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56cdccd64b5ca92/Desktop/Documents/Custom Office Templates/Desktop/qwen/"/>
    </mc:Choice>
  </mc:AlternateContent>
  <xr:revisionPtr revIDLastSave="0" documentId="8_{B3C92937-BC2E-4376-A0D7-080E69A118D4}" xr6:coauthVersionLast="47" xr6:coauthVersionMax="47" xr10:uidLastSave="{00000000-0000-0000-0000-000000000000}"/>
  <bookViews>
    <workbookView xWindow="-110" yWindow="-110" windowWidth="19420" windowHeight="11020" xr2:uid="{A7D54792-6C98-493C-B4AB-FC5FDA5E9A75}"/>
  </bookViews>
  <sheets>
    <sheet name="updated_real_estate_dataset_wi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</calcChain>
</file>

<file path=xl/sharedStrings.xml><?xml version="1.0" encoding="utf-8"?>
<sst xmlns="http://schemas.openxmlformats.org/spreadsheetml/2006/main" count="40025" uniqueCount="45">
  <si>
    <t>Latitude</t>
  </si>
  <si>
    <t>Longitude</t>
  </si>
  <si>
    <t>Neighborhood</t>
  </si>
  <si>
    <t>Proximity_to_City_Center_km</t>
  </si>
  <si>
    <t>Nearby_Amenities</t>
  </si>
  <si>
    <t>Area_in_sqft</t>
  </si>
  <si>
    <t>Bedrooms</t>
  </si>
  <si>
    <t>Bathrooms</t>
  </si>
  <si>
    <t>Year_Built</t>
  </si>
  <si>
    <t>Garage</t>
  </si>
  <si>
    <t>Swimming_Pool</t>
  </si>
  <si>
    <t>Garden</t>
  </si>
  <si>
    <t>Total_Rooms</t>
  </si>
  <si>
    <t>Building_Condition</t>
  </si>
  <si>
    <t>Property_Type</t>
  </si>
  <si>
    <t>Median_Income</t>
  </si>
  <si>
    <t>Property_Tax_Rate</t>
  </si>
  <si>
    <t>Local_Crime_Rate</t>
  </si>
  <si>
    <t>Air_Quality_Index</t>
  </si>
  <si>
    <t>Noise_Levels</t>
  </si>
  <si>
    <t>Price_Per_Sqft</t>
  </si>
  <si>
    <t>Room_to_Area_Ratio</t>
  </si>
  <si>
    <t>Property_Price</t>
  </si>
  <si>
    <t>Agent_Name</t>
  </si>
  <si>
    <t>Agent_Contact</t>
  </si>
  <si>
    <t>Suburb</t>
  </si>
  <si>
    <t>New</t>
  </si>
  <si>
    <t>Villa</t>
  </si>
  <si>
    <t>Benjamin Anderson</t>
  </si>
  <si>
    <t>Countryside</t>
  </si>
  <si>
    <t>Townhouse</t>
  </si>
  <si>
    <t>John Smith</t>
  </si>
  <si>
    <t>Apartment</t>
  </si>
  <si>
    <t>Emma Johnson</t>
  </si>
  <si>
    <t>Downtown</t>
  </si>
  <si>
    <t>Poor</t>
  </si>
  <si>
    <t>Sophia Davis</t>
  </si>
  <si>
    <t>Good</t>
  </si>
  <si>
    <t>Isabella Thomas</t>
  </si>
  <si>
    <t>Olivia Wilson</t>
  </si>
  <si>
    <t>Ava Taylor</t>
  </si>
  <si>
    <t>Average</t>
  </si>
  <si>
    <t>James Miller</t>
  </si>
  <si>
    <t>Michael Brown</t>
  </si>
  <si>
    <t>William Moore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</si>
</sst>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19910-C9E0-4712-9ACE-E3CD459A3658}">
  <dimension ref="A1:Y10001"/>
  <sheetViews>
    <sheetView tabSelected="1" workbookViewId="0">
      <selection activeCell="A2" sqref="A2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37.251283708130401</v>
      </c>
      <c r="B2">
        <v>-118.930546381182</v>
      </c>
      <c r="C2" t="s">
        <v>25</v>
      </c>
      <c r="D2">
        <v>26.0501885298949</v>
      </c>
      <c r="E2">
        <v>0</v>
      </c>
      <c r="F2">
        <v>2745</v>
      </c>
      <c r="G2">
        <v>2</v>
      </c>
      <c r="H2">
        <v>3</v>
      </c>
      <c r="I2">
        <v>2000</v>
      </c>
      <c r="J2">
        <v>1</v>
      </c>
      <c r="K2">
        <v>0</v>
      </c>
      <c r="L2">
        <v>0</v>
      </c>
      <c r="M2">
        <v>11</v>
      </c>
      <c r="N2" t="s">
        <v>26</v>
      </c>
      <c r="O2" t="s">
        <v>27</v>
      </c>
      <c r="P2">
        <v>11.4743400613925</v>
      </c>
      <c r="Q2">
        <v>0.82040760212778396</v>
      </c>
      <c r="R2">
        <v>7.2276513560678799</v>
      </c>
      <c r="S2">
        <v>67</v>
      </c>
      <c r="T2">
        <v>60</v>
      </c>
      <c r="U2">
        <v>747.48039851897499</v>
      </c>
      <c r="V2">
        <v>4.0072859744990797E-3</v>
      </c>
      <c r="W2">
        <v>2282598.48729908</v>
      </c>
      <c r="X2" t="s">
        <v>28</v>
      </c>
      <c r="Y2">
        <f>1-283-459-9051</f>
        <v>-9792</v>
      </c>
    </row>
    <row r="3" spans="1:25" x14ac:dyDescent="0.35">
      <c r="A3">
        <v>41.5957036661937</v>
      </c>
      <c r="B3">
        <v>-122.595247802565</v>
      </c>
      <c r="C3" t="s">
        <v>29</v>
      </c>
      <c r="D3">
        <v>32.369607580570502</v>
      </c>
      <c r="E3">
        <v>4</v>
      </c>
      <c r="F3">
        <v>3284</v>
      </c>
      <c r="G3">
        <v>1</v>
      </c>
      <c r="H3">
        <v>3</v>
      </c>
      <c r="I3">
        <v>1956</v>
      </c>
      <c r="J3">
        <v>1</v>
      </c>
      <c r="K3">
        <v>1</v>
      </c>
      <c r="L3">
        <v>0</v>
      </c>
      <c r="M3">
        <v>14</v>
      </c>
      <c r="N3" t="s">
        <v>26</v>
      </c>
      <c r="O3" t="s">
        <v>30</v>
      </c>
      <c r="P3">
        <v>10.6584812108119</v>
      </c>
      <c r="Q3">
        <v>2.4461721361123501</v>
      </c>
      <c r="R3">
        <v>8.65554999116973</v>
      </c>
      <c r="S3">
        <v>28</v>
      </c>
      <c r="T3">
        <v>21</v>
      </c>
      <c r="U3">
        <v>667.35200893385002</v>
      </c>
      <c r="V3">
        <v>4.2630937880633298E-3</v>
      </c>
      <c r="W3">
        <v>2488653.4119955902</v>
      </c>
      <c r="X3" t="s">
        <v>31</v>
      </c>
      <c r="Y3">
        <f>1-607-544-9016</f>
        <v>-10166</v>
      </c>
    </row>
    <row r="4" spans="1:25" x14ac:dyDescent="0.35">
      <c r="A4">
        <v>36.258297802758399</v>
      </c>
      <c r="B4">
        <v>-119.859944151324</v>
      </c>
      <c r="C4" t="s">
        <v>25</v>
      </c>
      <c r="D4">
        <v>27.0382420925255</v>
      </c>
      <c r="E4">
        <v>8</v>
      </c>
      <c r="F4">
        <v>4092</v>
      </c>
      <c r="G4">
        <v>3</v>
      </c>
      <c r="H4">
        <v>2</v>
      </c>
      <c r="I4">
        <v>1956</v>
      </c>
      <c r="J4">
        <v>1</v>
      </c>
      <c r="K4">
        <v>1</v>
      </c>
      <c r="L4">
        <v>1</v>
      </c>
      <c r="M4">
        <v>7</v>
      </c>
      <c r="N4" t="s">
        <v>26</v>
      </c>
      <c r="O4" t="s">
        <v>27</v>
      </c>
      <c r="P4">
        <v>7.2244062828038498</v>
      </c>
      <c r="Q4">
        <v>1.9602280568281101</v>
      </c>
      <c r="R4">
        <v>2.6356076729405902</v>
      </c>
      <c r="S4">
        <v>19</v>
      </c>
      <c r="T4">
        <v>44</v>
      </c>
      <c r="U4">
        <v>373.63281409804603</v>
      </c>
      <c r="V4">
        <v>1.71065493646138E-3</v>
      </c>
      <c r="W4">
        <v>1930740.23168759</v>
      </c>
      <c r="X4" t="s">
        <v>31</v>
      </c>
      <c r="Y4">
        <f>1-300-683-4168</f>
        <v>-5150</v>
      </c>
    </row>
    <row r="5" spans="1:25" x14ac:dyDescent="0.35">
      <c r="A5">
        <v>38.638393898018499</v>
      </c>
      <c r="B5">
        <v>-115.994560559343</v>
      </c>
      <c r="C5" t="s">
        <v>25</v>
      </c>
      <c r="D5">
        <v>34.496346274975203</v>
      </c>
      <c r="E5">
        <v>9</v>
      </c>
      <c r="F5">
        <v>4125</v>
      </c>
      <c r="G5">
        <v>4</v>
      </c>
      <c r="H5">
        <v>3</v>
      </c>
      <c r="I5">
        <v>1982</v>
      </c>
      <c r="J5">
        <v>0</v>
      </c>
      <c r="K5">
        <v>0</v>
      </c>
      <c r="L5">
        <v>0</v>
      </c>
      <c r="M5">
        <v>5</v>
      </c>
      <c r="N5" t="s">
        <v>26</v>
      </c>
      <c r="O5" t="s">
        <v>32</v>
      </c>
      <c r="P5">
        <v>11.481762424022399</v>
      </c>
      <c r="Q5">
        <v>1.1906916578517099</v>
      </c>
      <c r="R5">
        <v>0.28203087761534901</v>
      </c>
      <c r="S5">
        <v>83</v>
      </c>
      <c r="T5">
        <v>61</v>
      </c>
      <c r="U5">
        <v>251.19658170953801</v>
      </c>
      <c r="V5">
        <v>1.21212121212121E-3</v>
      </c>
      <c r="W5">
        <v>1396764.70417636</v>
      </c>
      <c r="X5" t="s">
        <v>33</v>
      </c>
      <c r="Y5">
        <f>1-456-248-6152</f>
        <v>-6855</v>
      </c>
    </row>
    <row r="6" spans="1:25" x14ac:dyDescent="0.35">
      <c r="A6">
        <v>34.142503925179803</v>
      </c>
      <c r="B6">
        <v>-114.156707899388</v>
      </c>
      <c r="C6" t="s">
        <v>34</v>
      </c>
      <c r="D6">
        <v>33.108662371286499</v>
      </c>
      <c r="E6">
        <v>1</v>
      </c>
      <c r="F6">
        <v>1850</v>
      </c>
      <c r="G6">
        <v>1</v>
      </c>
      <c r="H6">
        <v>1</v>
      </c>
      <c r="I6">
        <v>2004</v>
      </c>
      <c r="J6">
        <v>0</v>
      </c>
      <c r="K6">
        <v>1</v>
      </c>
      <c r="L6">
        <v>1</v>
      </c>
      <c r="M6">
        <v>10</v>
      </c>
      <c r="N6" t="s">
        <v>35</v>
      </c>
      <c r="O6" t="s">
        <v>32</v>
      </c>
      <c r="P6">
        <v>11.630512200269401</v>
      </c>
      <c r="Q6">
        <v>2.2949839765635902</v>
      </c>
      <c r="R6">
        <v>7.4455676951115803</v>
      </c>
      <c r="S6">
        <v>122</v>
      </c>
      <c r="T6">
        <v>40</v>
      </c>
      <c r="U6">
        <v>765.208238472007</v>
      </c>
      <c r="V6">
        <v>5.4054054054053996E-3</v>
      </c>
      <c r="W6">
        <v>1747408.97884692</v>
      </c>
      <c r="X6" t="s">
        <v>36</v>
      </c>
      <c r="Y6">
        <f>1-541-335-8368</f>
        <v>-9243</v>
      </c>
    </row>
    <row r="7" spans="1:25" x14ac:dyDescent="0.35">
      <c r="A7">
        <v>34.8814914792545</v>
      </c>
      <c r="B7">
        <v>-120.536460986203</v>
      </c>
      <c r="C7" t="s">
        <v>29</v>
      </c>
      <c r="D7">
        <v>7.7678233320910897</v>
      </c>
      <c r="E7">
        <v>5</v>
      </c>
      <c r="F7">
        <v>3055</v>
      </c>
      <c r="G7">
        <v>3</v>
      </c>
      <c r="H7">
        <v>1</v>
      </c>
      <c r="I7">
        <v>1991</v>
      </c>
      <c r="J7">
        <v>0</v>
      </c>
      <c r="K7">
        <v>1</v>
      </c>
      <c r="L7">
        <v>1</v>
      </c>
      <c r="M7">
        <v>14</v>
      </c>
      <c r="N7" t="s">
        <v>37</v>
      </c>
      <c r="O7" t="s">
        <v>32</v>
      </c>
      <c r="P7">
        <v>8.9259819049941296</v>
      </c>
      <c r="Q7">
        <v>0.65603001008840101</v>
      </c>
      <c r="R7">
        <v>6.2146559497736398</v>
      </c>
      <c r="S7">
        <v>178</v>
      </c>
      <c r="T7">
        <v>45</v>
      </c>
      <c r="U7">
        <v>426.04629244904999</v>
      </c>
      <c r="V7">
        <v>4.5826513911620204E-3</v>
      </c>
      <c r="W7">
        <v>1575278.8198674901</v>
      </c>
      <c r="X7" t="s">
        <v>38</v>
      </c>
      <c r="Y7">
        <f>1-739-955-2549</f>
        <v>-4242</v>
      </c>
    </row>
    <row r="8" spans="1:25" x14ac:dyDescent="0.35">
      <c r="A8">
        <v>34.603466201862901</v>
      </c>
      <c r="B8">
        <v>-114.550896975014</v>
      </c>
      <c r="C8" t="s">
        <v>29</v>
      </c>
      <c r="D8">
        <v>48.180820213573497</v>
      </c>
      <c r="E8">
        <v>6</v>
      </c>
      <c r="F8">
        <v>3880</v>
      </c>
      <c r="G8">
        <v>2</v>
      </c>
      <c r="H8">
        <v>1</v>
      </c>
      <c r="I8">
        <v>2021</v>
      </c>
      <c r="J8">
        <v>0</v>
      </c>
      <c r="K8">
        <v>0</v>
      </c>
      <c r="L8">
        <v>1</v>
      </c>
      <c r="M8">
        <v>11</v>
      </c>
      <c r="N8" t="s">
        <v>26</v>
      </c>
      <c r="O8" t="s">
        <v>32</v>
      </c>
      <c r="P8">
        <v>12.383080643019699</v>
      </c>
      <c r="Q8">
        <v>2.40423257669375</v>
      </c>
      <c r="R8">
        <v>1.88891580477868</v>
      </c>
      <c r="S8">
        <v>96</v>
      </c>
      <c r="T8">
        <v>74</v>
      </c>
      <c r="U8">
        <v>725.570782342847</v>
      </c>
      <c r="V8">
        <v>2.8350515463917499E-3</v>
      </c>
      <c r="W8">
        <v>3033646.1707486501</v>
      </c>
      <c r="X8" t="s">
        <v>38</v>
      </c>
      <c r="Y8">
        <f>1-582-405-7727</f>
        <v>-8713</v>
      </c>
    </row>
    <row r="9" spans="1:25" x14ac:dyDescent="0.35">
      <c r="A9">
        <v>39.021578534688203</v>
      </c>
      <c r="B9">
        <v>-116.84714035293899</v>
      </c>
      <c r="C9" t="s">
        <v>25</v>
      </c>
      <c r="D9">
        <v>40.237547437631903</v>
      </c>
      <c r="E9">
        <v>8</v>
      </c>
      <c r="F9">
        <v>4351</v>
      </c>
      <c r="G9">
        <v>2</v>
      </c>
      <c r="H9">
        <v>3</v>
      </c>
      <c r="I9">
        <v>1981</v>
      </c>
      <c r="J9">
        <v>0</v>
      </c>
      <c r="K9">
        <v>1</v>
      </c>
      <c r="L9">
        <v>1</v>
      </c>
      <c r="M9">
        <v>4</v>
      </c>
      <c r="N9" t="s">
        <v>26</v>
      </c>
      <c r="O9" t="s">
        <v>27</v>
      </c>
      <c r="P9">
        <v>14.49068306707</v>
      </c>
      <c r="Q9">
        <v>2.0149980379661199</v>
      </c>
      <c r="R9">
        <v>4.3349287850740197</v>
      </c>
      <c r="S9">
        <v>132</v>
      </c>
      <c r="T9">
        <v>76</v>
      </c>
      <c r="U9">
        <v>635.67492759728395</v>
      </c>
      <c r="V9">
        <v>9.1932888991036498E-4</v>
      </c>
      <c r="W9">
        <v>3114162.6960647302</v>
      </c>
      <c r="X9" t="s">
        <v>39</v>
      </c>
      <c r="Y9">
        <f>1-914-430-8405</f>
        <v>-9748</v>
      </c>
    </row>
    <row r="10" spans="1:25" x14ac:dyDescent="0.35">
      <c r="A10">
        <v>33.598081030518102</v>
      </c>
      <c r="B10">
        <v>-115.08386523387701</v>
      </c>
      <c r="C10" t="s">
        <v>29</v>
      </c>
      <c r="D10">
        <v>15.440834874414399</v>
      </c>
      <c r="E10">
        <v>8</v>
      </c>
      <c r="F10">
        <v>3284</v>
      </c>
      <c r="G10">
        <v>2</v>
      </c>
      <c r="H10">
        <v>1</v>
      </c>
      <c r="I10">
        <v>1983</v>
      </c>
      <c r="J10">
        <v>1</v>
      </c>
      <c r="K10">
        <v>1</v>
      </c>
      <c r="L10">
        <v>0</v>
      </c>
      <c r="M10">
        <v>2</v>
      </c>
      <c r="N10" t="s">
        <v>37</v>
      </c>
      <c r="O10" t="s">
        <v>27</v>
      </c>
      <c r="P10">
        <v>7.51786528232088</v>
      </c>
      <c r="Q10">
        <v>1.5928990470961299</v>
      </c>
      <c r="R10">
        <v>9.2314024985289809</v>
      </c>
      <c r="S10">
        <v>143</v>
      </c>
      <c r="T10">
        <v>76</v>
      </c>
      <c r="U10">
        <v>237.780984878167</v>
      </c>
      <c r="V10">
        <v>6.0901339829476202E-4</v>
      </c>
      <c r="W10">
        <v>1014767.37193551</v>
      </c>
      <c r="X10" t="s">
        <v>38</v>
      </c>
      <c r="Y10">
        <f>1-423-242-1977</f>
        <v>-2641</v>
      </c>
    </row>
    <row r="11" spans="1:25" x14ac:dyDescent="0.35">
      <c r="A11">
        <v>38.819644758917597</v>
      </c>
      <c r="B11">
        <v>-119.548172052501</v>
      </c>
      <c r="C11" t="s">
        <v>34</v>
      </c>
      <c r="D11">
        <v>12.5724289987799</v>
      </c>
      <c r="E11">
        <v>1</v>
      </c>
      <c r="F11">
        <v>1869</v>
      </c>
      <c r="G11">
        <v>2</v>
      </c>
      <c r="H11">
        <v>1</v>
      </c>
      <c r="I11">
        <v>1952</v>
      </c>
      <c r="J11">
        <v>1</v>
      </c>
      <c r="K11">
        <v>1</v>
      </c>
      <c r="L11">
        <v>0</v>
      </c>
      <c r="M11">
        <v>13</v>
      </c>
      <c r="N11" t="s">
        <v>37</v>
      </c>
      <c r="O11" t="s">
        <v>30</v>
      </c>
      <c r="P11">
        <v>5.8163355181046397</v>
      </c>
      <c r="Q11">
        <v>2.2367632626230902</v>
      </c>
      <c r="R11">
        <v>9.5386395890549203</v>
      </c>
      <c r="S11">
        <v>150</v>
      </c>
      <c r="T11">
        <v>24</v>
      </c>
      <c r="U11">
        <v>899.17005566583805</v>
      </c>
      <c r="V11">
        <v>6.9555912252541397E-3</v>
      </c>
      <c r="W11">
        <v>1882657.4155021801</v>
      </c>
      <c r="X11" t="s">
        <v>40</v>
      </c>
      <c r="Y11">
        <f>1-745-860-1423</f>
        <v>-3027</v>
      </c>
    </row>
    <row r="12" spans="1:25" x14ac:dyDescent="0.35">
      <c r="A12">
        <v>38.4253433879597</v>
      </c>
      <c r="B12">
        <v>-115.311866731878</v>
      </c>
      <c r="C12" t="s">
        <v>25</v>
      </c>
      <c r="D12">
        <v>36.926853132128798</v>
      </c>
      <c r="E12">
        <v>3</v>
      </c>
      <c r="F12">
        <v>2745</v>
      </c>
      <c r="G12">
        <v>4</v>
      </c>
      <c r="H12">
        <v>3</v>
      </c>
      <c r="I12">
        <v>1957</v>
      </c>
      <c r="J12">
        <v>0</v>
      </c>
      <c r="K12">
        <v>1</v>
      </c>
      <c r="L12">
        <v>0</v>
      </c>
      <c r="M12">
        <v>3</v>
      </c>
      <c r="N12" t="s">
        <v>35</v>
      </c>
      <c r="O12" t="s">
        <v>30</v>
      </c>
      <c r="P12">
        <v>3.7123486202940201</v>
      </c>
      <c r="Q12">
        <v>1.8411493600623201</v>
      </c>
      <c r="R12">
        <v>6.9320833176757803</v>
      </c>
      <c r="S12">
        <v>183</v>
      </c>
      <c r="T12">
        <v>23</v>
      </c>
      <c r="U12">
        <v>700.09525168815503</v>
      </c>
      <c r="V12">
        <v>1.09289617486338E-3</v>
      </c>
      <c r="W12">
        <v>2248056.5943128802</v>
      </c>
      <c r="X12" t="s">
        <v>31</v>
      </c>
      <c r="Y12">
        <f>1-527-868-5494</f>
        <v>-6888</v>
      </c>
    </row>
    <row r="13" spans="1:25" x14ac:dyDescent="0.35">
      <c r="A13">
        <v>38.268983827657799</v>
      </c>
      <c r="B13">
        <v>-124.390172643238</v>
      </c>
      <c r="C13" t="s">
        <v>29</v>
      </c>
      <c r="D13">
        <v>1.12636458901065</v>
      </c>
      <c r="E13">
        <v>4</v>
      </c>
      <c r="F13">
        <v>2244</v>
      </c>
      <c r="G13">
        <v>2</v>
      </c>
      <c r="H13">
        <v>1</v>
      </c>
      <c r="I13">
        <v>1958</v>
      </c>
      <c r="J13">
        <v>1</v>
      </c>
      <c r="K13">
        <v>1</v>
      </c>
      <c r="L13">
        <v>0</v>
      </c>
      <c r="M13">
        <v>8</v>
      </c>
      <c r="N13" t="s">
        <v>37</v>
      </c>
      <c r="O13" t="s">
        <v>30</v>
      </c>
      <c r="P13">
        <v>12.668073043249199</v>
      </c>
      <c r="Q13">
        <v>0.76591193958289505</v>
      </c>
      <c r="R13">
        <v>4.9655709057694297</v>
      </c>
      <c r="S13">
        <v>66</v>
      </c>
      <c r="T13">
        <v>30</v>
      </c>
      <c r="U13">
        <v>600.87690059698696</v>
      </c>
      <c r="V13">
        <v>3.5650623885918001E-3</v>
      </c>
      <c r="W13">
        <v>1666386.96479225</v>
      </c>
      <c r="X13" t="s">
        <v>38</v>
      </c>
      <c r="Y13">
        <f>1-988-196-5004</f>
        <v>-6187</v>
      </c>
    </row>
    <row r="14" spans="1:25" x14ac:dyDescent="0.35">
      <c r="A14">
        <v>39.828413147713</v>
      </c>
      <c r="B14">
        <v>-119.08858418144899</v>
      </c>
      <c r="C14" t="s">
        <v>29</v>
      </c>
      <c r="D14">
        <v>18.0955849763393</v>
      </c>
      <c r="E14">
        <v>3</v>
      </c>
      <c r="F14">
        <v>2390</v>
      </c>
      <c r="G14">
        <v>2</v>
      </c>
      <c r="H14">
        <v>3</v>
      </c>
      <c r="I14">
        <v>1968</v>
      </c>
      <c r="J14">
        <v>1</v>
      </c>
      <c r="K14">
        <v>1</v>
      </c>
      <c r="L14">
        <v>1</v>
      </c>
      <c r="M14">
        <v>10</v>
      </c>
      <c r="N14" t="s">
        <v>35</v>
      </c>
      <c r="O14" t="s">
        <v>27</v>
      </c>
      <c r="P14">
        <v>11.8379258061474</v>
      </c>
      <c r="Q14">
        <v>1.24303824836971</v>
      </c>
      <c r="R14">
        <v>3.6994176014478599</v>
      </c>
      <c r="S14">
        <v>102</v>
      </c>
      <c r="T14">
        <v>53</v>
      </c>
      <c r="U14">
        <v>622.80529096535099</v>
      </c>
      <c r="V14">
        <v>4.1841004184100397E-3</v>
      </c>
      <c r="W14">
        <v>1933458.9808942999</v>
      </c>
      <c r="X14" t="s">
        <v>31</v>
      </c>
      <c r="Y14">
        <f>1-372-355-9606</f>
        <v>-10332</v>
      </c>
    </row>
    <row r="15" spans="1:25" x14ac:dyDescent="0.35">
      <c r="A15">
        <v>37.339100016788997</v>
      </c>
      <c r="B15">
        <v>-119.536950999784</v>
      </c>
      <c r="C15" t="s">
        <v>29</v>
      </c>
      <c r="D15">
        <v>5.8712535558248504</v>
      </c>
      <c r="E15">
        <v>8</v>
      </c>
      <c r="F15">
        <v>1332</v>
      </c>
      <c r="G15">
        <v>3</v>
      </c>
      <c r="H15">
        <v>3</v>
      </c>
      <c r="I15">
        <v>1982</v>
      </c>
      <c r="J15">
        <v>0</v>
      </c>
      <c r="K15">
        <v>1</v>
      </c>
      <c r="L15">
        <v>0</v>
      </c>
      <c r="M15">
        <v>5</v>
      </c>
      <c r="N15" t="s">
        <v>41</v>
      </c>
      <c r="O15" t="s">
        <v>27</v>
      </c>
      <c r="P15">
        <v>10.2327314891503</v>
      </c>
      <c r="Q15">
        <v>2.18438274648569</v>
      </c>
      <c r="R15">
        <v>0.69827343003622999</v>
      </c>
      <c r="S15">
        <v>65</v>
      </c>
      <c r="T15">
        <v>33</v>
      </c>
      <c r="U15">
        <v>989.46164338834797</v>
      </c>
      <c r="V15">
        <v>3.7537537537537498E-3</v>
      </c>
      <c r="W15">
        <v>1644094.2360769999</v>
      </c>
      <c r="X15" t="s">
        <v>40</v>
      </c>
      <c r="Y15">
        <f>1-352-370-6528</f>
        <v>-7249</v>
      </c>
    </row>
    <row r="16" spans="1:25" x14ac:dyDescent="0.35">
      <c r="A16">
        <v>32.5137135169443</v>
      </c>
      <c r="B16">
        <v>-120.480421036745</v>
      </c>
      <c r="C16" t="s">
        <v>29</v>
      </c>
      <c r="D16">
        <v>41.857422545065099</v>
      </c>
      <c r="E16">
        <v>8</v>
      </c>
      <c r="F16">
        <v>2079</v>
      </c>
      <c r="G16">
        <v>1</v>
      </c>
      <c r="H16">
        <v>2</v>
      </c>
      <c r="I16">
        <v>2001</v>
      </c>
      <c r="J16">
        <v>0</v>
      </c>
      <c r="K16">
        <v>1</v>
      </c>
      <c r="L16">
        <v>1</v>
      </c>
      <c r="M16">
        <v>2</v>
      </c>
      <c r="N16" t="s">
        <v>26</v>
      </c>
      <c r="O16" t="s">
        <v>30</v>
      </c>
      <c r="P16">
        <v>12.9450497567383</v>
      </c>
      <c r="Q16">
        <v>0.55835195770882595</v>
      </c>
      <c r="R16">
        <v>8.7727332540462406</v>
      </c>
      <c r="S16">
        <v>188</v>
      </c>
      <c r="T16">
        <v>72</v>
      </c>
      <c r="U16">
        <v>285.79764970595699</v>
      </c>
      <c r="V16">
        <v>9.6200096200096204E-4</v>
      </c>
      <c r="W16">
        <v>934742.77899940801</v>
      </c>
      <c r="X16" t="s">
        <v>28</v>
      </c>
      <c r="Y16">
        <f>1-927-754-1972</f>
        <v>-3652</v>
      </c>
    </row>
    <row r="17" spans="1:25" x14ac:dyDescent="0.35">
      <c r="A17">
        <v>36.926592741171902</v>
      </c>
      <c r="B17">
        <v>-124.204522967686</v>
      </c>
      <c r="C17" t="s">
        <v>34</v>
      </c>
      <c r="D17">
        <v>47.1009049065092</v>
      </c>
      <c r="E17">
        <v>0</v>
      </c>
      <c r="F17">
        <v>4105</v>
      </c>
      <c r="G17">
        <v>2</v>
      </c>
      <c r="H17">
        <v>3</v>
      </c>
      <c r="I17">
        <v>1992</v>
      </c>
      <c r="J17">
        <v>1</v>
      </c>
      <c r="K17">
        <v>0</v>
      </c>
      <c r="L17">
        <v>1</v>
      </c>
      <c r="M17">
        <v>11</v>
      </c>
      <c r="N17" t="s">
        <v>37</v>
      </c>
      <c r="O17" t="s">
        <v>30</v>
      </c>
      <c r="P17">
        <v>5.1604686443788301</v>
      </c>
      <c r="Q17">
        <v>2.1035903255766901</v>
      </c>
      <c r="R17">
        <v>1.7723188480446299</v>
      </c>
      <c r="S17">
        <v>44</v>
      </c>
      <c r="T17">
        <v>30</v>
      </c>
      <c r="U17">
        <v>780.03720710857601</v>
      </c>
      <c r="V17">
        <v>2.6796589524969499E-3</v>
      </c>
      <c r="W17">
        <v>3274543.5808336399</v>
      </c>
      <c r="X17" t="s">
        <v>39</v>
      </c>
      <c r="Y17">
        <f>1-859-664-5947</f>
        <v>-7469</v>
      </c>
    </row>
    <row r="18" spans="1:25" x14ac:dyDescent="0.35">
      <c r="A18">
        <v>40.131005698471803</v>
      </c>
      <c r="B18">
        <v>-117.288027037349</v>
      </c>
      <c r="C18" t="s">
        <v>34</v>
      </c>
      <c r="D18">
        <v>30.510722369449901</v>
      </c>
      <c r="E18">
        <v>2</v>
      </c>
      <c r="F18">
        <v>1930</v>
      </c>
      <c r="G18">
        <v>2</v>
      </c>
      <c r="H18">
        <v>2</v>
      </c>
      <c r="I18">
        <v>1951</v>
      </c>
      <c r="J18">
        <v>0</v>
      </c>
      <c r="K18">
        <v>1</v>
      </c>
      <c r="L18">
        <v>0</v>
      </c>
      <c r="M18">
        <v>11</v>
      </c>
      <c r="N18" t="s">
        <v>37</v>
      </c>
      <c r="O18" t="s">
        <v>30</v>
      </c>
      <c r="P18">
        <v>10.773700070377201</v>
      </c>
      <c r="Q18">
        <v>0.57128346819764497</v>
      </c>
      <c r="R18">
        <v>3.3633102746769601</v>
      </c>
      <c r="S18">
        <v>24</v>
      </c>
      <c r="T18">
        <v>42</v>
      </c>
      <c r="U18">
        <v>518.98486996535701</v>
      </c>
      <c r="V18">
        <v>5.6994818652849697E-3</v>
      </c>
      <c r="W18">
        <v>1210785.1438873</v>
      </c>
      <c r="X18" t="s">
        <v>42</v>
      </c>
      <c r="Y18">
        <f>1-234-826-7328</f>
        <v>-8387</v>
      </c>
    </row>
    <row r="19" spans="1:25" x14ac:dyDescent="0.35">
      <c r="A19">
        <v>36.153545677130602</v>
      </c>
      <c r="B19">
        <v>-114.579277012793</v>
      </c>
      <c r="C19" t="s">
        <v>25</v>
      </c>
      <c r="D19">
        <v>45.874398698372502</v>
      </c>
      <c r="E19">
        <v>7</v>
      </c>
      <c r="F19">
        <v>797</v>
      </c>
      <c r="G19">
        <v>2</v>
      </c>
      <c r="H19">
        <v>1</v>
      </c>
      <c r="I19">
        <v>2022</v>
      </c>
      <c r="J19">
        <v>0</v>
      </c>
      <c r="K19">
        <v>1</v>
      </c>
      <c r="L19">
        <v>1</v>
      </c>
      <c r="M19">
        <v>13</v>
      </c>
      <c r="N19" t="s">
        <v>41</v>
      </c>
      <c r="O19" t="s">
        <v>27</v>
      </c>
      <c r="P19">
        <v>8.0331688982087393</v>
      </c>
      <c r="Q19">
        <v>2.30229065506335</v>
      </c>
      <c r="R19">
        <v>1.77114393219968</v>
      </c>
      <c r="S19">
        <v>10</v>
      </c>
      <c r="T19">
        <v>34</v>
      </c>
      <c r="U19">
        <v>644.44285435499705</v>
      </c>
      <c r="V19">
        <v>1.63111668757841E-2</v>
      </c>
      <c r="W19">
        <v>823487.14067748503</v>
      </c>
      <c r="X19" t="s">
        <v>33</v>
      </c>
      <c r="Y19">
        <f>1-402-964-6006</f>
        <v>-7371</v>
      </c>
    </row>
    <row r="20" spans="1:25" x14ac:dyDescent="0.35">
      <c r="A20">
        <v>33.758393919050903</v>
      </c>
      <c r="B20">
        <v>-123.229832179944</v>
      </c>
      <c r="C20" t="s">
        <v>34</v>
      </c>
      <c r="D20">
        <v>37.020358826010998</v>
      </c>
      <c r="E20">
        <v>7</v>
      </c>
      <c r="F20">
        <v>3111</v>
      </c>
      <c r="G20">
        <v>1</v>
      </c>
      <c r="H20">
        <v>1</v>
      </c>
      <c r="I20">
        <v>1958</v>
      </c>
      <c r="J20">
        <v>0</v>
      </c>
      <c r="K20">
        <v>0</v>
      </c>
      <c r="L20">
        <v>1</v>
      </c>
      <c r="M20">
        <v>7</v>
      </c>
      <c r="N20" t="s">
        <v>41</v>
      </c>
      <c r="O20" t="s">
        <v>27</v>
      </c>
      <c r="P20">
        <v>4.0682357698881599</v>
      </c>
      <c r="Q20">
        <v>1.017889392941</v>
      </c>
      <c r="R20">
        <v>2.4268371522668799</v>
      </c>
      <c r="S20">
        <v>113</v>
      </c>
      <c r="T20">
        <v>54</v>
      </c>
      <c r="U20">
        <v>697.808145311001</v>
      </c>
      <c r="V20">
        <v>2.25008036001285E-3</v>
      </c>
      <c r="W20">
        <v>2200804.82512062</v>
      </c>
      <c r="X20" t="s">
        <v>39</v>
      </c>
      <c r="Y20">
        <f>1-764-768-2577</f>
        <v>-4108</v>
      </c>
    </row>
    <row r="21" spans="1:25" x14ac:dyDescent="0.35">
      <c r="A21">
        <v>33.026257179336802</v>
      </c>
      <c r="B21">
        <v>-120.173974829307</v>
      </c>
      <c r="C21" t="s">
        <v>29</v>
      </c>
      <c r="D21">
        <v>41.228752843850501</v>
      </c>
      <c r="E21">
        <v>1</v>
      </c>
      <c r="F21">
        <v>3613</v>
      </c>
      <c r="G21">
        <v>2</v>
      </c>
      <c r="H21">
        <v>3</v>
      </c>
      <c r="I21">
        <v>2020</v>
      </c>
      <c r="J21">
        <v>1</v>
      </c>
      <c r="K21">
        <v>1</v>
      </c>
      <c r="L21">
        <v>0</v>
      </c>
      <c r="M21">
        <v>9</v>
      </c>
      <c r="N21" t="s">
        <v>41</v>
      </c>
      <c r="O21" t="s">
        <v>27</v>
      </c>
      <c r="P21">
        <v>10.886905468731999</v>
      </c>
      <c r="Q21">
        <v>1.27769999489679</v>
      </c>
      <c r="R21">
        <v>7.2528708410049996</v>
      </c>
      <c r="S21">
        <v>96</v>
      </c>
      <c r="T21">
        <v>77</v>
      </c>
      <c r="U21">
        <v>947.73395305370798</v>
      </c>
      <c r="V21">
        <v>2.4910047052311098E-3</v>
      </c>
      <c r="W21">
        <v>3781816.18937494</v>
      </c>
      <c r="X21" t="s">
        <v>28</v>
      </c>
      <c r="Y21">
        <f>1-767-252-5268</f>
        <v>-6286</v>
      </c>
    </row>
    <row r="22" spans="1:25" x14ac:dyDescent="0.35">
      <c r="A22">
        <v>39.957053594222998</v>
      </c>
      <c r="B22">
        <v>-114.964065666869</v>
      </c>
      <c r="C22" t="s">
        <v>25</v>
      </c>
      <c r="D22">
        <v>24.6281633458923</v>
      </c>
      <c r="E22">
        <v>7</v>
      </c>
      <c r="F22">
        <v>3714</v>
      </c>
      <c r="G22">
        <v>4</v>
      </c>
      <c r="H22">
        <v>1</v>
      </c>
      <c r="I22">
        <v>1967</v>
      </c>
      <c r="J22">
        <v>0</v>
      </c>
      <c r="K22">
        <v>1</v>
      </c>
      <c r="L22">
        <v>1</v>
      </c>
      <c r="M22">
        <v>12</v>
      </c>
      <c r="N22" t="s">
        <v>26</v>
      </c>
      <c r="O22" t="s">
        <v>27</v>
      </c>
      <c r="P22">
        <v>4.8011206009957101</v>
      </c>
      <c r="Q22">
        <v>0.62221441048905901</v>
      </c>
      <c r="R22">
        <v>4.5626874525721801</v>
      </c>
      <c r="S22">
        <v>99</v>
      </c>
      <c r="T22">
        <v>76</v>
      </c>
      <c r="U22">
        <v>765.62392031661602</v>
      </c>
      <c r="V22">
        <v>3.2310177705977298E-3</v>
      </c>
      <c r="W22">
        <v>3189379.5428558402</v>
      </c>
      <c r="X22" t="s">
        <v>31</v>
      </c>
      <c r="Y22">
        <f>1-853-192-3967</f>
        <v>-5011</v>
      </c>
    </row>
    <row r="23" spans="1:25" x14ac:dyDescent="0.35">
      <c r="A23">
        <v>35.558052472625903</v>
      </c>
      <c r="B23">
        <v>-115.772000027026</v>
      </c>
      <c r="C23" t="s">
        <v>34</v>
      </c>
      <c r="D23">
        <v>46.6152673692688</v>
      </c>
      <c r="E23">
        <v>2</v>
      </c>
      <c r="F23">
        <v>1228</v>
      </c>
      <c r="G23">
        <v>3</v>
      </c>
      <c r="H23">
        <v>2</v>
      </c>
      <c r="I23">
        <v>1973</v>
      </c>
      <c r="J23">
        <v>1</v>
      </c>
      <c r="K23">
        <v>1</v>
      </c>
      <c r="L23">
        <v>0</v>
      </c>
      <c r="M23">
        <v>10</v>
      </c>
      <c r="N23" t="s">
        <v>35</v>
      </c>
      <c r="O23" t="s">
        <v>32</v>
      </c>
      <c r="P23">
        <v>11.6787650225662</v>
      </c>
      <c r="Q23">
        <v>1.7400102039446801</v>
      </c>
      <c r="R23">
        <v>4.60437317561402</v>
      </c>
      <c r="S23">
        <v>87</v>
      </c>
      <c r="T23">
        <v>41</v>
      </c>
      <c r="U23">
        <v>623.11024732278497</v>
      </c>
      <c r="V23">
        <v>8.1433224755700293E-3</v>
      </c>
      <c r="W23">
        <v>1135092.3863194601</v>
      </c>
      <c r="X23" t="s">
        <v>31</v>
      </c>
      <c r="Y23">
        <f>1-717-166-8444</f>
        <v>-9326</v>
      </c>
    </row>
    <row r="24" spans="1:25" x14ac:dyDescent="0.35">
      <c r="A24">
        <v>32.800981985476</v>
      </c>
      <c r="B24">
        <v>-123.852621323411</v>
      </c>
      <c r="C24" t="s">
        <v>25</v>
      </c>
      <c r="D24">
        <v>34.0536373210224</v>
      </c>
      <c r="E24">
        <v>9</v>
      </c>
      <c r="F24">
        <v>3380</v>
      </c>
      <c r="G24">
        <v>1</v>
      </c>
      <c r="H24">
        <v>3</v>
      </c>
      <c r="I24">
        <v>2012</v>
      </c>
      <c r="J24">
        <v>1</v>
      </c>
      <c r="K24">
        <v>1</v>
      </c>
      <c r="L24">
        <v>0</v>
      </c>
      <c r="M24">
        <v>8</v>
      </c>
      <c r="N24" t="s">
        <v>37</v>
      </c>
      <c r="O24" t="s">
        <v>32</v>
      </c>
      <c r="P24">
        <v>10.014137474229299</v>
      </c>
      <c r="Q24">
        <v>1.93236036999229</v>
      </c>
      <c r="R24">
        <v>2.9908768407488302</v>
      </c>
      <c r="S24">
        <v>100</v>
      </c>
      <c r="T24">
        <v>52</v>
      </c>
      <c r="U24">
        <v>868.47648642841295</v>
      </c>
      <c r="V24">
        <v>2.3668639053254399E-3</v>
      </c>
      <c r="W24">
        <v>3195999.5658619702</v>
      </c>
      <c r="X24" t="s">
        <v>33</v>
      </c>
      <c r="Y24">
        <f>1-602-330-6039</f>
        <v>-6970</v>
      </c>
    </row>
    <row r="25" spans="1:25" x14ac:dyDescent="0.35">
      <c r="A25">
        <v>32.515553558461598</v>
      </c>
      <c r="B25">
        <v>-114.78823898843299</v>
      </c>
      <c r="C25" t="s">
        <v>29</v>
      </c>
      <c r="D25">
        <v>17.034545162547602</v>
      </c>
      <c r="E25">
        <v>0</v>
      </c>
      <c r="F25">
        <v>548</v>
      </c>
      <c r="G25">
        <v>5</v>
      </c>
      <c r="H25">
        <v>2</v>
      </c>
      <c r="I25">
        <v>2010</v>
      </c>
      <c r="J25">
        <v>1</v>
      </c>
      <c r="K25">
        <v>1</v>
      </c>
      <c r="L25">
        <v>0</v>
      </c>
      <c r="M25">
        <v>11</v>
      </c>
      <c r="N25" t="s">
        <v>37</v>
      </c>
      <c r="O25" t="s">
        <v>27</v>
      </c>
      <c r="P25">
        <v>14.0061220525977</v>
      </c>
      <c r="Q25">
        <v>2.1770577798661699</v>
      </c>
      <c r="R25">
        <v>4.3081356433154898</v>
      </c>
      <c r="S25">
        <v>41</v>
      </c>
      <c r="T25">
        <v>22</v>
      </c>
      <c r="U25">
        <v>440.247048111423</v>
      </c>
      <c r="V25">
        <v>2.0072992700729899E-2</v>
      </c>
      <c r="W25">
        <v>808740.66825899296</v>
      </c>
      <c r="X25" t="s">
        <v>36</v>
      </c>
      <c r="Y25">
        <f>1-643-654-3555</f>
        <v>-4851</v>
      </c>
    </row>
    <row r="26" spans="1:25" x14ac:dyDescent="0.35">
      <c r="A26">
        <v>40.892384789887203</v>
      </c>
      <c r="B26">
        <v>-121.540227095821</v>
      </c>
      <c r="C26" t="s">
        <v>34</v>
      </c>
      <c r="D26">
        <v>42.617260751376598</v>
      </c>
      <c r="E26">
        <v>1</v>
      </c>
      <c r="F26">
        <v>2775</v>
      </c>
      <c r="G26">
        <v>4</v>
      </c>
      <c r="H26">
        <v>2</v>
      </c>
      <c r="I26">
        <v>2013</v>
      </c>
      <c r="J26">
        <v>0</v>
      </c>
      <c r="K26">
        <v>0</v>
      </c>
      <c r="L26">
        <v>0</v>
      </c>
      <c r="M26">
        <v>5</v>
      </c>
      <c r="N26" t="s">
        <v>41</v>
      </c>
      <c r="O26" t="s">
        <v>27</v>
      </c>
      <c r="P26">
        <v>7.8864604027767804</v>
      </c>
      <c r="Q26">
        <v>2.3895446871336499</v>
      </c>
      <c r="R26">
        <v>8.7301467750265793</v>
      </c>
      <c r="S26">
        <v>135</v>
      </c>
      <c r="T26">
        <v>54</v>
      </c>
      <c r="U26">
        <v>910.19213459525497</v>
      </c>
      <c r="V26">
        <v>1.8018018018018001E-3</v>
      </c>
      <c r="W26">
        <v>2832157.6843448398</v>
      </c>
      <c r="X26" t="s">
        <v>38</v>
      </c>
      <c r="Y26">
        <f>1-614-576-8353</f>
        <v>-9542</v>
      </c>
    </row>
    <row r="27" spans="1:25" x14ac:dyDescent="0.35">
      <c r="A27">
        <v>35.080113165723397</v>
      </c>
      <c r="B27">
        <v>-117.493414854007</v>
      </c>
      <c r="C27" t="s">
        <v>34</v>
      </c>
      <c r="D27">
        <v>27.385178338662001</v>
      </c>
      <c r="E27">
        <v>1</v>
      </c>
      <c r="F27">
        <v>4646</v>
      </c>
      <c r="G27">
        <v>1</v>
      </c>
      <c r="H27">
        <v>2</v>
      </c>
      <c r="I27">
        <v>1955</v>
      </c>
      <c r="J27">
        <v>0</v>
      </c>
      <c r="K27">
        <v>0</v>
      </c>
      <c r="L27">
        <v>1</v>
      </c>
      <c r="M27">
        <v>10</v>
      </c>
      <c r="N27" t="s">
        <v>35</v>
      </c>
      <c r="O27" t="s">
        <v>27</v>
      </c>
      <c r="P27">
        <v>9.5454689187932793</v>
      </c>
      <c r="Q27">
        <v>0.89056420359698496</v>
      </c>
      <c r="R27">
        <v>2.1976232134122502</v>
      </c>
      <c r="S27">
        <v>166</v>
      </c>
      <c r="T27">
        <v>53</v>
      </c>
      <c r="U27">
        <v>216.22603485103599</v>
      </c>
      <c r="V27">
        <v>2.1523891519586698E-3</v>
      </c>
      <c r="W27">
        <v>1073669.02083392</v>
      </c>
      <c r="X27" t="s">
        <v>31</v>
      </c>
      <c r="Y27">
        <f>1-912-663-4796</f>
        <v>-6370</v>
      </c>
    </row>
    <row r="28" spans="1:25" x14ac:dyDescent="0.35">
      <c r="A28">
        <v>39.129600862200903</v>
      </c>
      <c r="B28">
        <v>-124.47001770663999</v>
      </c>
      <c r="C28" t="s">
        <v>29</v>
      </c>
      <c r="D28">
        <v>20.7632174515294</v>
      </c>
      <c r="E28">
        <v>1</v>
      </c>
      <c r="F28">
        <v>2850</v>
      </c>
      <c r="G28">
        <v>1</v>
      </c>
      <c r="H28">
        <v>3</v>
      </c>
      <c r="I28">
        <v>2016</v>
      </c>
      <c r="J28">
        <v>0</v>
      </c>
      <c r="K28">
        <v>0</v>
      </c>
      <c r="L28">
        <v>1</v>
      </c>
      <c r="M28">
        <v>9</v>
      </c>
      <c r="N28" t="s">
        <v>26</v>
      </c>
      <c r="O28" t="s">
        <v>30</v>
      </c>
      <c r="P28">
        <v>6.7273806145516097</v>
      </c>
      <c r="Q28">
        <v>1.93870693959672</v>
      </c>
      <c r="R28">
        <v>9.3725255540429906</v>
      </c>
      <c r="S28">
        <v>9</v>
      </c>
      <c r="T28">
        <v>77</v>
      </c>
      <c r="U28">
        <v>805.08262008447798</v>
      </c>
      <c r="V28">
        <v>3.1578947368421E-3</v>
      </c>
      <c r="W28">
        <v>2473473.0405655098</v>
      </c>
      <c r="X28" t="s">
        <v>28</v>
      </c>
      <c r="Y28">
        <f>1-918-654-7044</f>
        <v>-8615</v>
      </c>
    </row>
    <row r="29" spans="1:25" x14ac:dyDescent="0.35">
      <c r="A29">
        <v>35.181169674973397</v>
      </c>
      <c r="B29">
        <v>-114.56989551836701</v>
      </c>
      <c r="C29" t="s">
        <v>34</v>
      </c>
      <c r="D29">
        <v>48.533629081665197</v>
      </c>
      <c r="E29">
        <v>0</v>
      </c>
      <c r="F29">
        <v>609</v>
      </c>
      <c r="G29">
        <v>3</v>
      </c>
      <c r="H29">
        <v>3</v>
      </c>
      <c r="I29">
        <v>1989</v>
      </c>
      <c r="J29">
        <v>0</v>
      </c>
      <c r="K29">
        <v>1</v>
      </c>
      <c r="L29">
        <v>1</v>
      </c>
      <c r="M29">
        <v>10</v>
      </c>
      <c r="N29" t="s">
        <v>26</v>
      </c>
      <c r="O29" t="s">
        <v>27</v>
      </c>
      <c r="P29">
        <v>5.7547388042002696</v>
      </c>
      <c r="Q29">
        <v>1.5142764523354399</v>
      </c>
      <c r="R29">
        <v>4.7451258083096199</v>
      </c>
      <c r="S29">
        <v>10</v>
      </c>
      <c r="T29">
        <v>28</v>
      </c>
      <c r="U29">
        <v>529.85968928826105</v>
      </c>
      <c r="V29">
        <v>1.64203612479474E-2</v>
      </c>
      <c r="W29">
        <v>664729.87060732895</v>
      </c>
      <c r="X29" t="s">
        <v>40</v>
      </c>
      <c r="Y29">
        <f>1-335-678-6856</f>
        <v>-7868</v>
      </c>
    </row>
    <row r="30" spans="1:25" x14ac:dyDescent="0.35">
      <c r="A30">
        <v>41.163669541399699</v>
      </c>
      <c r="B30">
        <v>-114.722688160685</v>
      </c>
      <c r="C30" t="s">
        <v>25</v>
      </c>
      <c r="D30">
        <v>14.080495094440099</v>
      </c>
      <c r="E30">
        <v>7</v>
      </c>
      <c r="F30">
        <v>1354</v>
      </c>
      <c r="G30">
        <v>5</v>
      </c>
      <c r="H30">
        <v>3</v>
      </c>
      <c r="I30">
        <v>1989</v>
      </c>
      <c r="J30">
        <v>1</v>
      </c>
      <c r="K30">
        <v>1</v>
      </c>
      <c r="L30">
        <v>1</v>
      </c>
      <c r="M30">
        <v>13</v>
      </c>
      <c r="N30" t="s">
        <v>35</v>
      </c>
      <c r="O30" t="s">
        <v>32</v>
      </c>
      <c r="P30">
        <v>9.1879996625190294</v>
      </c>
      <c r="Q30">
        <v>2.44898990766626</v>
      </c>
      <c r="R30">
        <v>5.4931736415960897</v>
      </c>
      <c r="S30">
        <v>86</v>
      </c>
      <c r="T30">
        <v>62</v>
      </c>
      <c r="U30">
        <v>527.369373794789</v>
      </c>
      <c r="V30">
        <v>9.6011816838995501E-3</v>
      </c>
      <c r="W30">
        <v>1277687.78239709</v>
      </c>
      <c r="X30" t="s">
        <v>33</v>
      </c>
      <c r="Y30">
        <f>1-345-116-9072</f>
        <v>-9532</v>
      </c>
    </row>
    <row r="31" spans="1:25" x14ac:dyDescent="0.35">
      <c r="A31">
        <v>34.363825973789403</v>
      </c>
      <c r="B31">
        <v>-116.098434568212</v>
      </c>
      <c r="C31" t="s">
        <v>25</v>
      </c>
      <c r="D31">
        <v>43.247390807763203</v>
      </c>
      <c r="E31">
        <v>7</v>
      </c>
      <c r="F31">
        <v>2683</v>
      </c>
      <c r="G31">
        <v>2</v>
      </c>
      <c r="H31">
        <v>3</v>
      </c>
      <c r="I31">
        <v>1966</v>
      </c>
      <c r="J31">
        <v>1</v>
      </c>
      <c r="K31">
        <v>0</v>
      </c>
      <c r="L31">
        <v>1</v>
      </c>
      <c r="M31">
        <v>6</v>
      </c>
      <c r="N31" t="s">
        <v>35</v>
      </c>
      <c r="O31" t="s">
        <v>27</v>
      </c>
      <c r="P31">
        <v>2.7548703146497799</v>
      </c>
      <c r="Q31">
        <v>2.1253300147254301</v>
      </c>
      <c r="R31">
        <v>7.4526799810943896</v>
      </c>
      <c r="S31">
        <v>2</v>
      </c>
      <c r="T31">
        <v>73</v>
      </c>
      <c r="U31">
        <v>969.81341630835595</v>
      </c>
      <c r="V31">
        <v>2.2363026462914599E-3</v>
      </c>
      <c r="W31">
        <v>2837182.2170016398</v>
      </c>
      <c r="X31" t="s">
        <v>38</v>
      </c>
      <c r="Y31">
        <f>1-573-751-5837</f>
        <v>-7160</v>
      </c>
    </row>
    <row r="32" spans="1:25" x14ac:dyDescent="0.35">
      <c r="A32">
        <v>32.702527053070703</v>
      </c>
      <c r="B32">
        <v>-116.519588565053</v>
      </c>
      <c r="C32" t="s">
        <v>25</v>
      </c>
      <c r="D32">
        <v>29.677184433025399</v>
      </c>
      <c r="E32">
        <v>0</v>
      </c>
      <c r="F32">
        <v>3637</v>
      </c>
      <c r="G32">
        <v>4</v>
      </c>
      <c r="H32">
        <v>3</v>
      </c>
      <c r="I32">
        <v>1992</v>
      </c>
      <c r="J32">
        <v>0</v>
      </c>
      <c r="K32">
        <v>0</v>
      </c>
      <c r="L32">
        <v>1</v>
      </c>
      <c r="M32">
        <v>9</v>
      </c>
      <c r="N32" t="s">
        <v>26</v>
      </c>
      <c r="O32" t="s">
        <v>32</v>
      </c>
      <c r="P32">
        <v>2.8801493451692401</v>
      </c>
      <c r="Q32">
        <v>0.69009741852003204</v>
      </c>
      <c r="R32">
        <v>6.4494038938061298</v>
      </c>
      <c r="S32">
        <v>151</v>
      </c>
      <c r="T32">
        <v>66</v>
      </c>
      <c r="U32">
        <v>793.77401415897702</v>
      </c>
      <c r="V32">
        <v>2.4745669507836099E-3</v>
      </c>
      <c r="W32">
        <v>3114869.5639629099</v>
      </c>
      <c r="X32" t="s">
        <v>43</v>
      </c>
      <c r="Y32">
        <f>1-758-297-7608</f>
        <v>-8662</v>
      </c>
    </row>
    <row r="33" spans="1:25" x14ac:dyDescent="0.35">
      <c r="A33">
        <v>33.582119993779799</v>
      </c>
      <c r="B33">
        <v>-115.636490095852</v>
      </c>
      <c r="C33" t="s">
        <v>29</v>
      </c>
      <c r="D33">
        <v>25.082099191779399</v>
      </c>
      <c r="E33">
        <v>0</v>
      </c>
      <c r="F33">
        <v>3201</v>
      </c>
      <c r="G33">
        <v>4</v>
      </c>
      <c r="H33">
        <v>1</v>
      </c>
      <c r="I33">
        <v>1951</v>
      </c>
      <c r="J33">
        <v>0</v>
      </c>
      <c r="K33">
        <v>0</v>
      </c>
      <c r="L33">
        <v>0</v>
      </c>
      <c r="M33">
        <v>7</v>
      </c>
      <c r="N33" t="s">
        <v>35</v>
      </c>
      <c r="O33" t="s">
        <v>32</v>
      </c>
      <c r="P33">
        <v>11.1810750233098</v>
      </c>
      <c r="Q33">
        <v>1.7081388867577101</v>
      </c>
      <c r="R33">
        <v>7.9747896910365199</v>
      </c>
      <c r="S33">
        <v>11</v>
      </c>
      <c r="T33">
        <v>43</v>
      </c>
      <c r="U33">
        <v>588.32758400819796</v>
      </c>
      <c r="V33">
        <v>2.1868166198063099E-3</v>
      </c>
      <c r="W33">
        <v>2111557.2555264402</v>
      </c>
      <c r="X33" t="s">
        <v>38</v>
      </c>
      <c r="Y33">
        <f>1-223-937-3312</f>
        <v>-4471</v>
      </c>
    </row>
    <row r="34" spans="1:25" x14ac:dyDescent="0.35">
      <c r="A34">
        <v>40.767999803301699</v>
      </c>
      <c r="B34">
        <v>-116.95710514275601</v>
      </c>
      <c r="C34" t="s">
        <v>29</v>
      </c>
      <c r="D34">
        <v>33.0000939359753</v>
      </c>
      <c r="E34">
        <v>2</v>
      </c>
      <c r="F34">
        <v>2280</v>
      </c>
      <c r="G34">
        <v>1</v>
      </c>
      <c r="H34">
        <v>3</v>
      </c>
      <c r="I34">
        <v>1972</v>
      </c>
      <c r="J34">
        <v>1</v>
      </c>
      <c r="K34">
        <v>1</v>
      </c>
      <c r="L34">
        <v>0</v>
      </c>
      <c r="M34">
        <v>7</v>
      </c>
      <c r="N34" t="s">
        <v>37</v>
      </c>
      <c r="O34" t="s">
        <v>30</v>
      </c>
      <c r="P34">
        <v>6.7988232475135302</v>
      </c>
      <c r="Q34">
        <v>0.53792969889573805</v>
      </c>
      <c r="R34">
        <v>5.8985814933500702</v>
      </c>
      <c r="S34">
        <v>167</v>
      </c>
      <c r="T34">
        <v>62</v>
      </c>
      <c r="U34">
        <v>520.62974102388898</v>
      </c>
      <c r="V34">
        <v>3.0701754385964899E-3</v>
      </c>
      <c r="W34">
        <v>1444509.2125738401</v>
      </c>
      <c r="X34" t="s">
        <v>38</v>
      </c>
      <c r="Y34">
        <f>1-302-907-9691</f>
        <v>-10899</v>
      </c>
    </row>
    <row r="35" spans="1:25" x14ac:dyDescent="0.35">
      <c r="A35">
        <v>41.551955670269699</v>
      </c>
      <c r="B35">
        <v>-122.052607867406</v>
      </c>
      <c r="C35" t="s">
        <v>34</v>
      </c>
      <c r="D35">
        <v>3.9868799215760098</v>
      </c>
      <c r="E35">
        <v>9</v>
      </c>
      <c r="F35">
        <v>2036</v>
      </c>
      <c r="G35">
        <v>3</v>
      </c>
      <c r="H35">
        <v>1</v>
      </c>
      <c r="I35">
        <v>2015</v>
      </c>
      <c r="J35">
        <v>0</v>
      </c>
      <c r="K35">
        <v>1</v>
      </c>
      <c r="L35">
        <v>0</v>
      </c>
      <c r="M35">
        <v>3</v>
      </c>
      <c r="N35" t="s">
        <v>26</v>
      </c>
      <c r="O35" t="s">
        <v>27</v>
      </c>
      <c r="P35">
        <v>3.43072495602908</v>
      </c>
      <c r="Q35">
        <v>2.4951004550615901</v>
      </c>
      <c r="R35">
        <v>1.5666398699770301</v>
      </c>
      <c r="S35">
        <v>177</v>
      </c>
      <c r="T35">
        <v>29</v>
      </c>
      <c r="U35">
        <v>501.39253198710401</v>
      </c>
      <c r="V35">
        <v>1.4734774066797599E-3</v>
      </c>
      <c r="W35">
        <v>1273537.5609363699</v>
      </c>
      <c r="X35" t="s">
        <v>42</v>
      </c>
      <c r="Y35">
        <f>1-527-769-7884</f>
        <v>-9179</v>
      </c>
    </row>
    <row r="36" spans="1:25" x14ac:dyDescent="0.35">
      <c r="A36">
        <v>39.222802568463202</v>
      </c>
      <c r="B36">
        <v>-123.163065797014</v>
      </c>
      <c r="C36" t="s">
        <v>25</v>
      </c>
      <c r="D36">
        <v>18.8951295621969</v>
      </c>
      <c r="E36">
        <v>1</v>
      </c>
      <c r="F36">
        <v>881</v>
      </c>
      <c r="G36">
        <v>4</v>
      </c>
      <c r="H36">
        <v>2</v>
      </c>
      <c r="I36">
        <v>1956</v>
      </c>
      <c r="J36">
        <v>0</v>
      </c>
      <c r="K36">
        <v>0</v>
      </c>
      <c r="L36">
        <v>1</v>
      </c>
      <c r="M36">
        <v>2</v>
      </c>
      <c r="N36" t="s">
        <v>37</v>
      </c>
      <c r="O36" t="s">
        <v>27</v>
      </c>
      <c r="P36">
        <v>6.3613167329453697</v>
      </c>
      <c r="Q36">
        <v>1.62550324668704</v>
      </c>
      <c r="R36">
        <v>9.3365635683097405</v>
      </c>
      <c r="S36">
        <v>152</v>
      </c>
      <c r="T36">
        <v>79</v>
      </c>
      <c r="U36">
        <v>560.28198848017803</v>
      </c>
      <c r="V36">
        <v>2.2701475595913699E-3</v>
      </c>
      <c r="W36">
        <v>708075.777966936</v>
      </c>
      <c r="X36" t="s">
        <v>40</v>
      </c>
      <c r="Y36">
        <f>1-303-888-8337</f>
        <v>-9527</v>
      </c>
    </row>
    <row r="37" spans="1:25" x14ac:dyDescent="0.35">
      <c r="A37">
        <v>34.653913213056697</v>
      </c>
      <c r="B37">
        <v>-120.660406085727</v>
      </c>
      <c r="C37" t="s">
        <v>25</v>
      </c>
      <c r="D37">
        <v>48.703132874227002</v>
      </c>
      <c r="E37">
        <v>3</v>
      </c>
      <c r="F37">
        <v>2050</v>
      </c>
      <c r="G37">
        <v>2</v>
      </c>
      <c r="H37">
        <v>2</v>
      </c>
      <c r="I37">
        <v>1951</v>
      </c>
      <c r="J37">
        <v>0</v>
      </c>
      <c r="K37">
        <v>0</v>
      </c>
      <c r="L37">
        <v>1</v>
      </c>
      <c r="M37">
        <v>12</v>
      </c>
      <c r="N37" t="s">
        <v>26</v>
      </c>
      <c r="O37" t="s">
        <v>30</v>
      </c>
      <c r="P37">
        <v>2.7609043791390002</v>
      </c>
      <c r="Q37">
        <v>0.70918548690241301</v>
      </c>
      <c r="R37">
        <v>1.20707591755594</v>
      </c>
      <c r="S37">
        <v>165</v>
      </c>
      <c r="T37">
        <v>35</v>
      </c>
      <c r="U37">
        <v>234.58860748833899</v>
      </c>
      <c r="V37">
        <v>5.8536585365853598E-3</v>
      </c>
      <c r="W37">
        <v>560328.01535358001</v>
      </c>
      <c r="X37" t="s">
        <v>44</v>
      </c>
      <c r="Y37">
        <f>1-521-561-2603</f>
        <v>-3684</v>
      </c>
    </row>
    <row r="38" spans="1:25" x14ac:dyDescent="0.35">
      <c r="A38">
        <v>40.174843943534903</v>
      </c>
      <c r="B38">
        <v>-120.050141107645</v>
      </c>
      <c r="C38" t="s">
        <v>29</v>
      </c>
      <c r="D38">
        <v>42.598819352876802</v>
      </c>
      <c r="E38">
        <v>7</v>
      </c>
      <c r="F38">
        <v>3910</v>
      </c>
      <c r="G38">
        <v>2</v>
      </c>
      <c r="H38">
        <v>2</v>
      </c>
      <c r="I38">
        <v>2016</v>
      </c>
      <c r="J38">
        <v>1</v>
      </c>
      <c r="K38">
        <v>1</v>
      </c>
      <c r="L38">
        <v>0</v>
      </c>
      <c r="M38">
        <v>6</v>
      </c>
      <c r="N38" t="s">
        <v>35</v>
      </c>
      <c r="O38" t="s">
        <v>27</v>
      </c>
      <c r="P38">
        <v>9.7647836382726503</v>
      </c>
      <c r="Q38">
        <v>1.2931079035492601</v>
      </c>
      <c r="R38">
        <v>7.6631454528143399</v>
      </c>
      <c r="S38">
        <v>7</v>
      </c>
      <c r="T38">
        <v>27</v>
      </c>
      <c r="U38">
        <v>875.253875970732</v>
      </c>
      <c r="V38">
        <v>1.53452685421994E-3</v>
      </c>
      <c r="W38">
        <v>3761814.4626313201</v>
      </c>
      <c r="X38" t="s">
        <v>40</v>
      </c>
      <c r="Y38">
        <f>1-598-967-1980</f>
        <v>-3544</v>
      </c>
    </row>
    <row r="39" spans="1:25" x14ac:dyDescent="0.35">
      <c r="A39">
        <v>39.085091759055501</v>
      </c>
      <c r="B39">
        <v>-119.659437938228</v>
      </c>
      <c r="C39" t="s">
        <v>29</v>
      </c>
      <c r="D39">
        <v>15.808989096616701</v>
      </c>
      <c r="E39">
        <v>7</v>
      </c>
      <c r="F39">
        <v>4437</v>
      </c>
      <c r="G39">
        <v>2</v>
      </c>
      <c r="H39">
        <v>1</v>
      </c>
      <c r="I39">
        <v>2004</v>
      </c>
      <c r="J39">
        <v>0</v>
      </c>
      <c r="K39">
        <v>0</v>
      </c>
      <c r="L39">
        <v>1</v>
      </c>
      <c r="M39">
        <v>3</v>
      </c>
      <c r="N39" t="s">
        <v>37</v>
      </c>
      <c r="O39" t="s">
        <v>30</v>
      </c>
      <c r="P39">
        <v>13.001352865504</v>
      </c>
      <c r="Q39">
        <v>0.90667661890788298</v>
      </c>
      <c r="R39">
        <v>0.76506242410916903</v>
      </c>
      <c r="S39">
        <v>37</v>
      </c>
      <c r="T39">
        <v>76</v>
      </c>
      <c r="U39">
        <v>341.65104815670799</v>
      </c>
      <c r="V39">
        <v>6.7613252197430695E-4</v>
      </c>
      <c r="W39">
        <v>1687586.48478075</v>
      </c>
      <c r="X39" t="s">
        <v>40</v>
      </c>
      <c r="Y39">
        <f>1-217-139-8494</f>
        <v>-8849</v>
      </c>
    </row>
    <row r="40" spans="1:25" x14ac:dyDescent="0.35">
      <c r="A40">
        <v>33.411332904438197</v>
      </c>
      <c r="B40">
        <v>-119.49305597354299</v>
      </c>
      <c r="C40" t="s">
        <v>29</v>
      </c>
      <c r="D40">
        <v>7.0685165434683501</v>
      </c>
      <c r="E40">
        <v>1</v>
      </c>
      <c r="F40">
        <v>652</v>
      </c>
      <c r="G40">
        <v>4</v>
      </c>
      <c r="H40">
        <v>1</v>
      </c>
      <c r="I40">
        <v>2004</v>
      </c>
      <c r="J40">
        <v>1</v>
      </c>
      <c r="K40">
        <v>0</v>
      </c>
      <c r="L40">
        <v>1</v>
      </c>
      <c r="M40">
        <v>9</v>
      </c>
      <c r="N40" t="s">
        <v>35</v>
      </c>
      <c r="O40" t="s">
        <v>27</v>
      </c>
      <c r="P40">
        <v>14.9225572707151</v>
      </c>
      <c r="Q40">
        <v>1.5198637530558901</v>
      </c>
      <c r="R40">
        <v>7.10854674886148</v>
      </c>
      <c r="S40">
        <v>11</v>
      </c>
      <c r="T40">
        <v>20</v>
      </c>
      <c r="U40">
        <v>697.06036958946299</v>
      </c>
      <c r="V40">
        <v>1.3803680981595E-2</v>
      </c>
      <c r="W40">
        <v>805783.47191086796</v>
      </c>
      <c r="X40" t="s">
        <v>39</v>
      </c>
      <c r="Y40">
        <f>1-496-593-5969</f>
        <v>-7057</v>
      </c>
    </row>
    <row r="41" spans="1:25" x14ac:dyDescent="0.35">
      <c r="A41">
        <v>34.4822537900585</v>
      </c>
      <c r="B41">
        <v>-114.435693105361</v>
      </c>
      <c r="C41" t="s">
        <v>29</v>
      </c>
      <c r="D41">
        <v>11.702362795989</v>
      </c>
      <c r="E41">
        <v>8</v>
      </c>
      <c r="F41">
        <v>4886</v>
      </c>
      <c r="G41">
        <v>4</v>
      </c>
      <c r="H41">
        <v>3</v>
      </c>
      <c r="I41">
        <v>1992</v>
      </c>
      <c r="J41">
        <v>0</v>
      </c>
      <c r="K41">
        <v>0</v>
      </c>
      <c r="L41">
        <v>1</v>
      </c>
      <c r="M41">
        <v>9</v>
      </c>
      <c r="N41" t="s">
        <v>35</v>
      </c>
      <c r="O41" t="s">
        <v>27</v>
      </c>
      <c r="P41">
        <v>3.5420900564147799</v>
      </c>
      <c r="Q41">
        <v>0.57206035675433697</v>
      </c>
      <c r="R41">
        <v>1.69690585000589</v>
      </c>
      <c r="S41">
        <v>21</v>
      </c>
      <c r="T41">
        <v>60</v>
      </c>
      <c r="U41">
        <v>303.52266005741001</v>
      </c>
      <c r="V41">
        <v>1.8419975440032699E-3</v>
      </c>
      <c r="W41">
        <v>1859321.4985362401</v>
      </c>
      <c r="X41" t="s">
        <v>43</v>
      </c>
      <c r="Y41">
        <f>1-465-367-4314</f>
        <v>-5145</v>
      </c>
    </row>
    <row r="42" spans="1:25" x14ac:dyDescent="0.35">
      <c r="A42">
        <v>33.141199464915701</v>
      </c>
      <c r="B42">
        <v>-121.79499907970499</v>
      </c>
      <c r="C42" t="s">
        <v>29</v>
      </c>
      <c r="D42">
        <v>18.047217343495401</v>
      </c>
      <c r="E42">
        <v>2</v>
      </c>
      <c r="F42">
        <v>4974</v>
      </c>
      <c r="G42">
        <v>2</v>
      </c>
      <c r="H42">
        <v>1</v>
      </c>
      <c r="I42">
        <v>1980</v>
      </c>
      <c r="J42">
        <v>0</v>
      </c>
      <c r="K42">
        <v>0</v>
      </c>
      <c r="L42">
        <v>0</v>
      </c>
      <c r="M42">
        <v>9</v>
      </c>
      <c r="N42" t="s">
        <v>37</v>
      </c>
      <c r="O42" t="s">
        <v>30</v>
      </c>
      <c r="P42">
        <v>7.0791621379073399</v>
      </c>
      <c r="Q42">
        <v>0.95080390751062105</v>
      </c>
      <c r="R42">
        <v>6.4884631938159902</v>
      </c>
      <c r="S42">
        <v>63</v>
      </c>
      <c r="T42">
        <v>51</v>
      </c>
      <c r="U42">
        <v>342.44422655175799</v>
      </c>
      <c r="V42">
        <v>1.8094089264173701E-3</v>
      </c>
      <c r="W42">
        <v>1760879.1207089501</v>
      </c>
      <c r="X42" t="s">
        <v>44</v>
      </c>
      <c r="Y42">
        <f>1-241-107-2430</f>
        <v>-2777</v>
      </c>
    </row>
    <row r="43" spans="1:25" x14ac:dyDescent="0.35">
      <c r="A43">
        <v>33.433045223734801</v>
      </c>
      <c r="B43">
        <v>-121.526553174895</v>
      </c>
      <c r="C43" t="s">
        <v>25</v>
      </c>
      <c r="D43">
        <v>46.429752834167303</v>
      </c>
      <c r="E43">
        <v>0</v>
      </c>
      <c r="F43">
        <v>544</v>
      </c>
      <c r="G43">
        <v>5</v>
      </c>
      <c r="H43">
        <v>2</v>
      </c>
      <c r="I43">
        <v>2008</v>
      </c>
      <c r="J43">
        <v>1</v>
      </c>
      <c r="K43">
        <v>0</v>
      </c>
      <c r="L43">
        <v>0</v>
      </c>
      <c r="M43">
        <v>10</v>
      </c>
      <c r="N43" t="s">
        <v>37</v>
      </c>
      <c r="O43" t="s">
        <v>27</v>
      </c>
      <c r="P43">
        <v>14.913789068984</v>
      </c>
      <c r="Q43">
        <v>0.69920337569973301</v>
      </c>
      <c r="R43">
        <v>5.2006589472276703</v>
      </c>
      <c r="S43">
        <v>30</v>
      </c>
      <c r="T43">
        <v>73</v>
      </c>
      <c r="U43">
        <v>233.45678767694301</v>
      </c>
      <c r="V43">
        <v>1.8382352941176398E-2</v>
      </c>
      <c r="W43">
        <v>707619.76968906005</v>
      </c>
      <c r="X43" t="s">
        <v>33</v>
      </c>
      <c r="Y43">
        <f>1-654-707-2240</f>
        <v>-3600</v>
      </c>
    </row>
    <row r="44" spans="1:25" x14ac:dyDescent="0.35">
      <c r="A44">
        <v>38.309496199189802</v>
      </c>
      <c r="B44">
        <v>-122.32622791633899</v>
      </c>
      <c r="C44" t="s">
        <v>34</v>
      </c>
      <c r="D44">
        <v>29.989530266178001</v>
      </c>
      <c r="E44">
        <v>4</v>
      </c>
      <c r="F44">
        <v>3936</v>
      </c>
      <c r="G44">
        <v>2</v>
      </c>
      <c r="H44">
        <v>1</v>
      </c>
      <c r="I44">
        <v>2000</v>
      </c>
      <c r="J44">
        <v>1</v>
      </c>
      <c r="K44">
        <v>0</v>
      </c>
      <c r="L44">
        <v>0</v>
      </c>
      <c r="M44">
        <v>14</v>
      </c>
      <c r="N44" t="s">
        <v>41</v>
      </c>
      <c r="O44" t="s">
        <v>32</v>
      </c>
      <c r="P44">
        <v>13.8544072203486</v>
      </c>
      <c r="Q44">
        <v>2.2446601649281002</v>
      </c>
      <c r="R44">
        <v>7.3215238335809598</v>
      </c>
      <c r="S44">
        <v>60</v>
      </c>
      <c r="T44">
        <v>38</v>
      </c>
      <c r="U44">
        <v>577.55781654527198</v>
      </c>
      <c r="V44">
        <v>3.55691056910569E-3</v>
      </c>
      <c r="W44">
        <v>2573881.99455699</v>
      </c>
      <c r="X44" t="s">
        <v>44</v>
      </c>
      <c r="Y44">
        <f>1-565-360-8205</f>
        <v>-9129</v>
      </c>
    </row>
    <row r="45" spans="1:25" x14ac:dyDescent="0.35">
      <c r="A45">
        <v>38.0599791340072</v>
      </c>
      <c r="B45">
        <v>-122.262660025012</v>
      </c>
      <c r="C45" t="s">
        <v>34</v>
      </c>
      <c r="D45">
        <v>10.561204729416399</v>
      </c>
      <c r="E45">
        <v>0</v>
      </c>
      <c r="F45">
        <v>1718</v>
      </c>
      <c r="G45">
        <v>3</v>
      </c>
      <c r="H45">
        <v>3</v>
      </c>
      <c r="I45">
        <v>1982</v>
      </c>
      <c r="J45">
        <v>0</v>
      </c>
      <c r="K45">
        <v>1</v>
      </c>
      <c r="L45">
        <v>1</v>
      </c>
      <c r="M45">
        <v>2</v>
      </c>
      <c r="N45" t="s">
        <v>41</v>
      </c>
      <c r="O45" t="s">
        <v>32</v>
      </c>
      <c r="P45">
        <v>12.018275258346099</v>
      </c>
      <c r="Q45">
        <v>2.2307139464502002</v>
      </c>
      <c r="R45">
        <v>1.0856979657617101</v>
      </c>
      <c r="S45">
        <v>90</v>
      </c>
      <c r="T45">
        <v>43</v>
      </c>
      <c r="U45">
        <v>408.46324183944199</v>
      </c>
      <c r="V45">
        <v>1.1641443538998801E-3</v>
      </c>
      <c r="W45">
        <v>1070809.5763503199</v>
      </c>
      <c r="X45" t="s">
        <v>43</v>
      </c>
      <c r="Y45">
        <f>1-250-783-2824</f>
        <v>-3856</v>
      </c>
    </row>
    <row r="46" spans="1:25" x14ac:dyDescent="0.35">
      <c r="A46">
        <v>38.428423262350499</v>
      </c>
      <c r="B46">
        <v>-120.217670646375</v>
      </c>
      <c r="C46" t="s">
        <v>25</v>
      </c>
      <c r="D46">
        <v>39.354689164428599</v>
      </c>
      <c r="E46">
        <v>6</v>
      </c>
      <c r="F46">
        <v>670</v>
      </c>
      <c r="G46">
        <v>5</v>
      </c>
      <c r="H46">
        <v>3</v>
      </c>
      <c r="I46">
        <v>1982</v>
      </c>
      <c r="J46">
        <v>1</v>
      </c>
      <c r="K46">
        <v>0</v>
      </c>
      <c r="L46">
        <v>1</v>
      </c>
      <c r="M46">
        <v>10</v>
      </c>
      <c r="N46" t="s">
        <v>41</v>
      </c>
      <c r="O46" t="s">
        <v>27</v>
      </c>
      <c r="P46">
        <v>8.2369687686720798</v>
      </c>
      <c r="Q46">
        <v>1.1195097495500399</v>
      </c>
      <c r="R46">
        <v>6.3679196081634402</v>
      </c>
      <c r="S46">
        <v>126</v>
      </c>
      <c r="T46">
        <v>53</v>
      </c>
      <c r="U46">
        <v>471.16950979191</v>
      </c>
      <c r="V46">
        <v>1.4925373134328301E-2</v>
      </c>
      <c r="W46">
        <v>673824.37721820897</v>
      </c>
      <c r="X46" t="s">
        <v>44</v>
      </c>
      <c r="Y46">
        <f>1-381-948-8922</f>
        <v>-10250</v>
      </c>
    </row>
    <row r="47" spans="1:25" x14ac:dyDescent="0.35">
      <c r="A47">
        <v>38.607815321928697</v>
      </c>
      <c r="B47">
        <v>-123.927748731389</v>
      </c>
      <c r="C47" t="s">
        <v>25</v>
      </c>
      <c r="D47">
        <v>37.533924024219999</v>
      </c>
      <c r="E47">
        <v>2</v>
      </c>
      <c r="F47">
        <v>2591</v>
      </c>
      <c r="G47">
        <v>4</v>
      </c>
      <c r="H47">
        <v>2</v>
      </c>
      <c r="I47">
        <v>1988</v>
      </c>
      <c r="J47">
        <v>1</v>
      </c>
      <c r="K47">
        <v>1</v>
      </c>
      <c r="L47">
        <v>0</v>
      </c>
      <c r="M47">
        <v>5</v>
      </c>
      <c r="N47" t="s">
        <v>26</v>
      </c>
      <c r="O47" t="s">
        <v>27</v>
      </c>
      <c r="P47">
        <v>4.1928003835599004</v>
      </c>
      <c r="Q47">
        <v>0.64916867573919002</v>
      </c>
      <c r="R47">
        <v>6.7531392421709597</v>
      </c>
      <c r="S47">
        <v>120</v>
      </c>
      <c r="T47">
        <v>43</v>
      </c>
      <c r="U47">
        <v>954.36413494140697</v>
      </c>
      <c r="V47">
        <v>1.92975685063681E-3</v>
      </c>
      <c r="W47">
        <v>2787897.9463285198</v>
      </c>
      <c r="X47" t="s">
        <v>33</v>
      </c>
      <c r="Y47">
        <f>1-599-918-9453</f>
        <v>-10969</v>
      </c>
    </row>
    <row r="48" spans="1:25" x14ac:dyDescent="0.35">
      <c r="A48">
        <v>37.263718083987499</v>
      </c>
      <c r="B48">
        <v>-123.089545687154</v>
      </c>
      <c r="C48" t="s">
        <v>29</v>
      </c>
      <c r="D48">
        <v>17.166802429879102</v>
      </c>
      <c r="E48">
        <v>2</v>
      </c>
      <c r="F48">
        <v>1417</v>
      </c>
      <c r="G48">
        <v>5</v>
      </c>
      <c r="H48">
        <v>1</v>
      </c>
      <c r="I48">
        <v>2019</v>
      </c>
      <c r="J48">
        <v>1</v>
      </c>
      <c r="K48">
        <v>0</v>
      </c>
      <c r="L48">
        <v>1</v>
      </c>
      <c r="M48">
        <v>13</v>
      </c>
      <c r="N48" t="s">
        <v>26</v>
      </c>
      <c r="O48" t="s">
        <v>32</v>
      </c>
      <c r="P48">
        <v>8.2982520174275898</v>
      </c>
      <c r="Q48">
        <v>1.81437225217152</v>
      </c>
      <c r="R48">
        <v>7.0862195744731702</v>
      </c>
      <c r="S48">
        <v>9</v>
      </c>
      <c r="T48">
        <v>38</v>
      </c>
      <c r="U48">
        <v>827.90067109918198</v>
      </c>
      <c r="V48">
        <v>9.1743119266054999E-3</v>
      </c>
      <c r="W48">
        <v>1654793.12509399</v>
      </c>
      <c r="X48" t="s">
        <v>28</v>
      </c>
      <c r="Y48">
        <f>1-895-180-1081</f>
        <v>-2155</v>
      </c>
    </row>
    <row r="49" spans="1:25" x14ac:dyDescent="0.35">
      <c r="A49">
        <v>33.9469008578223</v>
      </c>
      <c r="B49">
        <v>-121.56022184795199</v>
      </c>
      <c r="C49" t="s">
        <v>25</v>
      </c>
      <c r="D49">
        <v>15.5635831710541</v>
      </c>
      <c r="E49">
        <v>7</v>
      </c>
      <c r="F49">
        <v>3191</v>
      </c>
      <c r="G49">
        <v>5</v>
      </c>
      <c r="H49">
        <v>3</v>
      </c>
      <c r="I49">
        <v>2007</v>
      </c>
      <c r="J49">
        <v>0</v>
      </c>
      <c r="K49">
        <v>1</v>
      </c>
      <c r="L49">
        <v>0</v>
      </c>
      <c r="M49">
        <v>2</v>
      </c>
      <c r="N49" t="s">
        <v>26</v>
      </c>
      <c r="O49" t="s">
        <v>27</v>
      </c>
      <c r="P49">
        <v>11.6338386536064</v>
      </c>
      <c r="Q49">
        <v>1.3942013388621699</v>
      </c>
      <c r="R49">
        <v>1.7385412207796</v>
      </c>
      <c r="S49">
        <v>59</v>
      </c>
      <c r="T49">
        <v>70</v>
      </c>
      <c r="U49">
        <v>256.72760694692801</v>
      </c>
      <c r="V49">
        <v>6.2676277029144402E-4</v>
      </c>
      <c r="W49">
        <v>1277811.3445152701</v>
      </c>
      <c r="X49" t="s">
        <v>28</v>
      </c>
      <c r="Y49">
        <f>1-304-801-1167</f>
        <v>-2271</v>
      </c>
    </row>
    <row r="50" spans="1:25" x14ac:dyDescent="0.35">
      <c r="A50">
        <v>36.944236898534498</v>
      </c>
      <c r="B50">
        <v>-116.08531552268499</v>
      </c>
      <c r="C50" t="s">
        <v>25</v>
      </c>
      <c r="D50">
        <v>37.420805673728999</v>
      </c>
      <c r="E50">
        <v>3</v>
      </c>
      <c r="F50">
        <v>656</v>
      </c>
      <c r="G50">
        <v>5</v>
      </c>
      <c r="H50">
        <v>2</v>
      </c>
      <c r="I50">
        <v>1975</v>
      </c>
      <c r="J50">
        <v>1</v>
      </c>
      <c r="K50">
        <v>1</v>
      </c>
      <c r="L50">
        <v>1</v>
      </c>
      <c r="M50">
        <v>12</v>
      </c>
      <c r="N50" t="s">
        <v>26</v>
      </c>
      <c r="O50" t="s">
        <v>32</v>
      </c>
      <c r="P50">
        <v>7.0396441713281703</v>
      </c>
      <c r="Q50">
        <v>1.1420290104150901</v>
      </c>
      <c r="R50">
        <v>9.1458822077379196</v>
      </c>
      <c r="S50">
        <v>149</v>
      </c>
      <c r="T50">
        <v>25</v>
      </c>
      <c r="U50">
        <v>548.10486086427602</v>
      </c>
      <c r="V50">
        <v>1.8292682926829201E-2</v>
      </c>
      <c r="W50">
        <v>882313.44854101399</v>
      </c>
      <c r="X50" t="s">
        <v>39</v>
      </c>
      <c r="Y50">
        <f>1-364-660-2788</f>
        <v>-3811</v>
      </c>
    </row>
    <row r="51" spans="1:25" x14ac:dyDescent="0.35">
      <c r="A51">
        <v>38.986388440200102</v>
      </c>
      <c r="B51">
        <v>-123.883517275274</v>
      </c>
      <c r="C51" t="s">
        <v>29</v>
      </c>
      <c r="D51">
        <v>12.6756624797029</v>
      </c>
      <c r="E51">
        <v>1</v>
      </c>
      <c r="F51">
        <v>4653</v>
      </c>
      <c r="G51">
        <v>4</v>
      </c>
      <c r="H51">
        <v>3</v>
      </c>
      <c r="I51">
        <v>2021</v>
      </c>
      <c r="J51">
        <v>0</v>
      </c>
      <c r="K51">
        <v>0</v>
      </c>
      <c r="L51">
        <v>0</v>
      </c>
      <c r="M51">
        <v>13</v>
      </c>
      <c r="N51" t="s">
        <v>26</v>
      </c>
      <c r="O51" t="s">
        <v>30</v>
      </c>
      <c r="P51">
        <v>6.0522354477784797</v>
      </c>
      <c r="Q51">
        <v>1.28608477483271</v>
      </c>
      <c r="R51">
        <v>0.51386662322966103</v>
      </c>
      <c r="S51">
        <v>184</v>
      </c>
      <c r="T51">
        <v>25</v>
      </c>
      <c r="U51">
        <v>235.41531375436401</v>
      </c>
      <c r="V51">
        <v>2.7938964109176798E-3</v>
      </c>
      <c r="W51">
        <v>1351419.6862457299</v>
      </c>
      <c r="X51" t="s">
        <v>36</v>
      </c>
      <c r="Y51">
        <f>1-792-898-5145</f>
        <v>-6834</v>
      </c>
    </row>
    <row r="52" spans="1:25" x14ac:dyDescent="0.35">
      <c r="A52">
        <v>34.309292618670597</v>
      </c>
      <c r="B52">
        <v>-121.45974830636</v>
      </c>
      <c r="C52" t="s">
        <v>34</v>
      </c>
      <c r="D52">
        <v>49.280564035830103</v>
      </c>
      <c r="E52">
        <v>7</v>
      </c>
      <c r="F52">
        <v>2361</v>
      </c>
      <c r="G52">
        <v>4</v>
      </c>
      <c r="H52">
        <v>1</v>
      </c>
      <c r="I52">
        <v>1950</v>
      </c>
      <c r="J52">
        <v>1</v>
      </c>
      <c r="K52">
        <v>1</v>
      </c>
      <c r="L52">
        <v>1</v>
      </c>
      <c r="M52">
        <v>4</v>
      </c>
      <c r="N52" t="s">
        <v>41</v>
      </c>
      <c r="O52" t="s">
        <v>32</v>
      </c>
      <c r="P52">
        <v>9.1337292174629905</v>
      </c>
      <c r="Q52">
        <v>0.53558540136880695</v>
      </c>
      <c r="R52">
        <v>2.1395513772781301</v>
      </c>
      <c r="S52">
        <v>144</v>
      </c>
      <c r="T52">
        <v>22</v>
      </c>
      <c r="U52">
        <v>840.241690198985</v>
      </c>
      <c r="V52">
        <v>1.69419737399407E-3</v>
      </c>
      <c r="W52">
        <v>2373539.4484545402</v>
      </c>
      <c r="X52" t="s">
        <v>28</v>
      </c>
      <c r="Y52">
        <f>1-981-764-7840</f>
        <v>-9584</v>
      </c>
    </row>
    <row r="53" spans="1:25" x14ac:dyDescent="0.35">
      <c r="A53">
        <v>33.088836685427502</v>
      </c>
      <c r="B53">
        <v>-119.405463474347</v>
      </c>
      <c r="C53" t="s">
        <v>34</v>
      </c>
      <c r="D53">
        <v>8.0928611857949999</v>
      </c>
      <c r="E53">
        <v>3</v>
      </c>
      <c r="F53">
        <v>4361</v>
      </c>
      <c r="G53">
        <v>1</v>
      </c>
      <c r="H53">
        <v>2</v>
      </c>
      <c r="I53">
        <v>1956</v>
      </c>
      <c r="J53">
        <v>1</v>
      </c>
      <c r="K53">
        <v>1</v>
      </c>
      <c r="L53">
        <v>1</v>
      </c>
      <c r="M53">
        <v>8</v>
      </c>
      <c r="N53" t="s">
        <v>35</v>
      </c>
      <c r="O53" t="s">
        <v>27</v>
      </c>
      <c r="P53">
        <v>4.8011914108252398</v>
      </c>
      <c r="Q53">
        <v>2.4811731373357699</v>
      </c>
      <c r="R53">
        <v>6.8357342632202398</v>
      </c>
      <c r="S53">
        <v>56</v>
      </c>
      <c r="T53">
        <v>26</v>
      </c>
      <c r="U53">
        <v>682.68655976500099</v>
      </c>
      <c r="V53">
        <v>1.8344416418252601E-3</v>
      </c>
      <c r="W53">
        <v>3166306.1383770402</v>
      </c>
      <c r="X53" t="s">
        <v>44</v>
      </c>
      <c r="Y53">
        <f>1-596-544-9932</f>
        <v>-11071</v>
      </c>
    </row>
    <row r="54" spans="1:25" x14ac:dyDescent="0.35">
      <c r="A54">
        <v>36.561261589645902</v>
      </c>
      <c r="B54">
        <v>-124.232353837594</v>
      </c>
      <c r="C54" t="s">
        <v>34</v>
      </c>
      <c r="D54">
        <v>37.599286876170801</v>
      </c>
      <c r="E54">
        <v>3</v>
      </c>
      <c r="F54">
        <v>4796</v>
      </c>
      <c r="G54">
        <v>3</v>
      </c>
      <c r="H54">
        <v>3</v>
      </c>
      <c r="I54">
        <v>1989</v>
      </c>
      <c r="J54">
        <v>1</v>
      </c>
      <c r="K54">
        <v>0</v>
      </c>
      <c r="L54">
        <v>1</v>
      </c>
      <c r="M54">
        <v>14</v>
      </c>
      <c r="N54" t="s">
        <v>37</v>
      </c>
      <c r="O54" t="s">
        <v>32</v>
      </c>
      <c r="P54">
        <v>14.886887393227999</v>
      </c>
      <c r="Q54">
        <v>2.2888602094639601</v>
      </c>
      <c r="R54">
        <v>4.7588364045569502</v>
      </c>
      <c r="S54">
        <v>71</v>
      </c>
      <c r="T54">
        <v>67</v>
      </c>
      <c r="U54">
        <v>263.98317708981102</v>
      </c>
      <c r="V54">
        <v>2.9190992493744699E-3</v>
      </c>
      <c r="W54">
        <v>1665132.1818617701</v>
      </c>
      <c r="X54" t="s">
        <v>36</v>
      </c>
      <c r="Y54">
        <f>1-234-460-6756</f>
        <v>-7449</v>
      </c>
    </row>
    <row r="55" spans="1:25" x14ac:dyDescent="0.35">
      <c r="A55">
        <v>38.015462557209901</v>
      </c>
      <c r="B55">
        <v>-116.009566335431</v>
      </c>
      <c r="C55" t="s">
        <v>29</v>
      </c>
      <c r="D55">
        <v>38.409325113639198</v>
      </c>
      <c r="E55">
        <v>9</v>
      </c>
      <c r="F55">
        <v>4945</v>
      </c>
      <c r="G55">
        <v>2</v>
      </c>
      <c r="H55">
        <v>1</v>
      </c>
      <c r="I55">
        <v>1996</v>
      </c>
      <c r="J55">
        <v>0</v>
      </c>
      <c r="K55">
        <v>1</v>
      </c>
      <c r="L55">
        <v>0</v>
      </c>
      <c r="M55">
        <v>13</v>
      </c>
      <c r="N55" t="s">
        <v>37</v>
      </c>
      <c r="O55" t="s">
        <v>27</v>
      </c>
      <c r="P55">
        <v>12.8243559903083</v>
      </c>
      <c r="Q55">
        <v>2.0956865922674299</v>
      </c>
      <c r="R55">
        <v>3.8275376786149802</v>
      </c>
      <c r="S55">
        <v>165</v>
      </c>
      <c r="T55">
        <v>28</v>
      </c>
      <c r="U55">
        <v>853.18336668517304</v>
      </c>
      <c r="V55">
        <v>2.6289180990899802E-3</v>
      </c>
      <c r="W55">
        <v>4384392.9494139496</v>
      </c>
      <c r="X55" t="s">
        <v>38</v>
      </c>
      <c r="Y55">
        <f>1-952-822-7280</f>
        <v>-9053</v>
      </c>
    </row>
    <row r="56" spans="1:25" x14ac:dyDescent="0.35">
      <c r="A56">
        <v>36.616604081467003</v>
      </c>
      <c r="B56">
        <v>-118.622204063235</v>
      </c>
      <c r="C56" t="s">
        <v>34</v>
      </c>
      <c r="D56">
        <v>27.621886397080601</v>
      </c>
      <c r="E56">
        <v>8</v>
      </c>
      <c r="F56">
        <v>2975</v>
      </c>
      <c r="G56">
        <v>5</v>
      </c>
      <c r="H56">
        <v>1</v>
      </c>
      <c r="I56">
        <v>2019</v>
      </c>
      <c r="J56">
        <v>1</v>
      </c>
      <c r="K56">
        <v>1</v>
      </c>
      <c r="L56">
        <v>1</v>
      </c>
      <c r="M56">
        <v>3</v>
      </c>
      <c r="N56" t="s">
        <v>35</v>
      </c>
      <c r="O56" t="s">
        <v>32</v>
      </c>
      <c r="P56">
        <v>9.3020115733721696</v>
      </c>
      <c r="Q56">
        <v>2.2647013853648201</v>
      </c>
      <c r="R56">
        <v>6.1217050985848998</v>
      </c>
      <c r="S56">
        <v>197</v>
      </c>
      <c r="T56">
        <v>44</v>
      </c>
      <c r="U56">
        <v>274.70496284517202</v>
      </c>
      <c r="V56">
        <v>1.00840336134453E-3</v>
      </c>
      <c r="W56">
        <v>1275302.4579267399</v>
      </c>
      <c r="X56" t="s">
        <v>38</v>
      </c>
      <c r="Y56">
        <f>1-986-898-1027</f>
        <v>-2910</v>
      </c>
    </row>
    <row r="57" spans="1:25" x14ac:dyDescent="0.35">
      <c r="A57">
        <v>36.773027532951097</v>
      </c>
      <c r="B57">
        <v>-121.258971689224</v>
      </c>
      <c r="C57" t="s">
        <v>29</v>
      </c>
      <c r="D57">
        <v>9.1239362312912906</v>
      </c>
      <c r="E57">
        <v>9</v>
      </c>
      <c r="F57">
        <v>4201</v>
      </c>
      <c r="G57">
        <v>4</v>
      </c>
      <c r="H57">
        <v>1</v>
      </c>
      <c r="I57">
        <v>1981</v>
      </c>
      <c r="J57">
        <v>0</v>
      </c>
      <c r="K57">
        <v>1</v>
      </c>
      <c r="L57">
        <v>0</v>
      </c>
      <c r="M57">
        <v>6</v>
      </c>
      <c r="N57" t="s">
        <v>26</v>
      </c>
      <c r="O57" t="s">
        <v>30</v>
      </c>
      <c r="P57">
        <v>2.9274205019028798</v>
      </c>
      <c r="Q57">
        <v>2.2832694279413701</v>
      </c>
      <c r="R57">
        <v>6.3606353725854801</v>
      </c>
      <c r="S57">
        <v>70</v>
      </c>
      <c r="T57">
        <v>40</v>
      </c>
      <c r="U57">
        <v>432.34549192240598</v>
      </c>
      <c r="V57">
        <v>1.4282313734825E-3</v>
      </c>
      <c r="W57">
        <v>2020670.0935881301</v>
      </c>
      <c r="X57" t="s">
        <v>40</v>
      </c>
      <c r="Y57">
        <f>1-388-220-5901</f>
        <v>-6508</v>
      </c>
    </row>
    <row r="58" spans="1:25" x14ac:dyDescent="0.35">
      <c r="A58">
        <v>39.442764387147598</v>
      </c>
      <c r="B58">
        <v>-120.72576863206</v>
      </c>
      <c r="C58" t="s">
        <v>25</v>
      </c>
      <c r="D58">
        <v>30.955219858369599</v>
      </c>
      <c r="E58">
        <v>4</v>
      </c>
      <c r="F58">
        <v>2748</v>
      </c>
      <c r="G58">
        <v>2</v>
      </c>
      <c r="H58">
        <v>3</v>
      </c>
      <c r="I58">
        <v>2011</v>
      </c>
      <c r="J58">
        <v>1</v>
      </c>
      <c r="K58">
        <v>1</v>
      </c>
      <c r="L58">
        <v>0</v>
      </c>
      <c r="M58">
        <v>6</v>
      </c>
      <c r="N58" t="s">
        <v>26</v>
      </c>
      <c r="O58" t="s">
        <v>27</v>
      </c>
      <c r="P58">
        <v>14.0225803793849</v>
      </c>
      <c r="Q58">
        <v>1.1463333972449901</v>
      </c>
      <c r="R58">
        <v>4.3757058872325203</v>
      </c>
      <c r="S58">
        <v>84</v>
      </c>
      <c r="T58">
        <v>22</v>
      </c>
      <c r="U58">
        <v>250.326760520313</v>
      </c>
      <c r="V58">
        <v>2.18340611353711E-3</v>
      </c>
      <c r="W58">
        <v>1175350.0924329399</v>
      </c>
      <c r="X58" t="s">
        <v>36</v>
      </c>
      <c r="Y58">
        <f>1-472-820-1428</f>
        <v>-2719</v>
      </c>
    </row>
    <row r="59" spans="1:25" x14ac:dyDescent="0.35">
      <c r="A59">
        <v>36.2872206928119</v>
      </c>
      <c r="B59">
        <v>-117.45307925652</v>
      </c>
      <c r="C59" t="s">
        <v>34</v>
      </c>
      <c r="D59">
        <v>40.905954135265901</v>
      </c>
      <c r="E59">
        <v>6</v>
      </c>
      <c r="F59">
        <v>2284</v>
      </c>
      <c r="G59">
        <v>3</v>
      </c>
      <c r="H59">
        <v>2</v>
      </c>
      <c r="I59">
        <v>1977</v>
      </c>
      <c r="J59">
        <v>0</v>
      </c>
      <c r="K59">
        <v>0</v>
      </c>
      <c r="L59">
        <v>0</v>
      </c>
      <c r="M59">
        <v>3</v>
      </c>
      <c r="N59" t="s">
        <v>26</v>
      </c>
      <c r="O59" t="s">
        <v>30</v>
      </c>
      <c r="P59">
        <v>3.38690402069011</v>
      </c>
      <c r="Q59">
        <v>1.8765817786579999</v>
      </c>
      <c r="R59">
        <v>6.4134134608783002</v>
      </c>
      <c r="S59">
        <v>184</v>
      </c>
      <c r="T59">
        <v>65</v>
      </c>
      <c r="U59">
        <v>638.73170580938495</v>
      </c>
      <c r="V59">
        <v>1.31348511383537E-3</v>
      </c>
      <c r="W59">
        <v>1547304.7118417299</v>
      </c>
      <c r="X59" t="s">
        <v>31</v>
      </c>
      <c r="Y59">
        <f>1-347-922-5779</f>
        <v>-7047</v>
      </c>
    </row>
    <row r="60" spans="1:25" x14ac:dyDescent="0.35">
      <c r="A60">
        <v>38.657701255739603</v>
      </c>
      <c r="B60">
        <v>-124.357636829805</v>
      </c>
      <c r="C60" t="s">
        <v>25</v>
      </c>
      <c r="D60">
        <v>26.521460522762901</v>
      </c>
      <c r="E60">
        <v>8</v>
      </c>
      <c r="F60">
        <v>3421</v>
      </c>
      <c r="G60">
        <v>1</v>
      </c>
      <c r="H60">
        <v>2</v>
      </c>
      <c r="I60">
        <v>1958</v>
      </c>
      <c r="J60">
        <v>1</v>
      </c>
      <c r="K60">
        <v>0</v>
      </c>
      <c r="L60">
        <v>0</v>
      </c>
      <c r="M60">
        <v>14</v>
      </c>
      <c r="N60" t="s">
        <v>37</v>
      </c>
      <c r="O60" t="s">
        <v>32</v>
      </c>
      <c r="P60">
        <v>9.6773498529716804</v>
      </c>
      <c r="Q60">
        <v>1.4418645555851901</v>
      </c>
      <c r="R60">
        <v>6.1135049625627298</v>
      </c>
      <c r="S60">
        <v>33</v>
      </c>
      <c r="T60">
        <v>42</v>
      </c>
      <c r="U60">
        <v>489.891754522822</v>
      </c>
      <c r="V60">
        <v>4.0923706518561798E-3</v>
      </c>
      <c r="W60">
        <v>1694210.77380253</v>
      </c>
      <c r="X60" t="s">
        <v>40</v>
      </c>
      <c r="Y60">
        <f>1-466-137-5319</f>
        <v>-5921</v>
      </c>
    </row>
    <row r="61" spans="1:25" x14ac:dyDescent="0.35">
      <c r="A61">
        <v>40.167509365242502</v>
      </c>
      <c r="B61">
        <v>-116.94069143295199</v>
      </c>
      <c r="C61" t="s">
        <v>29</v>
      </c>
      <c r="D61">
        <v>24.017080813563702</v>
      </c>
      <c r="E61">
        <v>0</v>
      </c>
      <c r="F61">
        <v>2345</v>
      </c>
      <c r="G61">
        <v>1</v>
      </c>
      <c r="H61">
        <v>1</v>
      </c>
      <c r="I61">
        <v>2001</v>
      </c>
      <c r="J61">
        <v>1</v>
      </c>
      <c r="K61">
        <v>1</v>
      </c>
      <c r="L61">
        <v>1</v>
      </c>
      <c r="M61">
        <v>8</v>
      </c>
      <c r="N61" t="s">
        <v>37</v>
      </c>
      <c r="O61" t="s">
        <v>30</v>
      </c>
      <c r="P61">
        <v>8.6033376357192797</v>
      </c>
      <c r="Q61">
        <v>1.6366482733694701</v>
      </c>
      <c r="R61">
        <v>3.2457308581453299</v>
      </c>
      <c r="S61">
        <v>142</v>
      </c>
      <c r="T61">
        <v>24</v>
      </c>
      <c r="U61">
        <v>565.66072895798095</v>
      </c>
      <c r="V61">
        <v>3.4115138592750501E-3</v>
      </c>
      <c r="W61">
        <v>1569703.8172231601</v>
      </c>
      <c r="X61" t="s">
        <v>40</v>
      </c>
      <c r="Y61">
        <f>1-948-828-8843</f>
        <v>-10618</v>
      </c>
    </row>
    <row r="62" spans="1:25" x14ac:dyDescent="0.35">
      <c r="A62">
        <v>38.8730476791253</v>
      </c>
      <c r="B62">
        <v>-117.205365813368</v>
      </c>
      <c r="C62" t="s">
        <v>25</v>
      </c>
      <c r="D62">
        <v>4.5106817735767999</v>
      </c>
      <c r="E62">
        <v>3</v>
      </c>
      <c r="F62">
        <v>2489</v>
      </c>
      <c r="G62">
        <v>5</v>
      </c>
      <c r="H62">
        <v>2</v>
      </c>
      <c r="I62">
        <v>2022</v>
      </c>
      <c r="J62">
        <v>0</v>
      </c>
      <c r="K62">
        <v>0</v>
      </c>
      <c r="L62">
        <v>0</v>
      </c>
      <c r="M62">
        <v>3</v>
      </c>
      <c r="N62" t="s">
        <v>41</v>
      </c>
      <c r="O62" t="s">
        <v>30</v>
      </c>
      <c r="P62">
        <v>8.3846627100353892</v>
      </c>
      <c r="Q62">
        <v>0.81857476684326902</v>
      </c>
      <c r="R62">
        <v>8.0156268532146608</v>
      </c>
      <c r="S62">
        <v>157</v>
      </c>
      <c r="T62">
        <v>65</v>
      </c>
      <c r="U62">
        <v>664.42103396645098</v>
      </c>
      <c r="V62">
        <v>1.2053033346725501E-3</v>
      </c>
      <c r="W62">
        <v>1918981.4776780501</v>
      </c>
      <c r="X62" t="s">
        <v>28</v>
      </c>
      <c r="Y62">
        <f>1-215-959-9036</f>
        <v>-10209</v>
      </c>
    </row>
    <row r="63" spans="1:25" x14ac:dyDescent="0.35">
      <c r="A63">
        <v>34.809783435260599</v>
      </c>
      <c r="B63">
        <v>-114.054376255531</v>
      </c>
      <c r="C63" t="s">
        <v>34</v>
      </c>
      <c r="D63">
        <v>35.029227026571597</v>
      </c>
      <c r="E63">
        <v>0</v>
      </c>
      <c r="F63">
        <v>1648</v>
      </c>
      <c r="G63">
        <v>3</v>
      </c>
      <c r="H63">
        <v>3</v>
      </c>
      <c r="I63">
        <v>2009</v>
      </c>
      <c r="J63">
        <v>0</v>
      </c>
      <c r="K63">
        <v>1</v>
      </c>
      <c r="L63">
        <v>1</v>
      </c>
      <c r="M63">
        <v>14</v>
      </c>
      <c r="N63" t="s">
        <v>35</v>
      </c>
      <c r="O63" t="s">
        <v>32</v>
      </c>
      <c r="P63">
        <v>6.83182787300467</v>
      </c>
      <c r="Q63">
        <v>2.4071841369610101</v>
      </c>
      <c r="R63">
        <v>2.5872453936871298</v>
      </c>
      <c r="S63">
        <v>126</v>
      </c>
      <c r="T63">
        <v>60</v>
      </c>
      <c r="U63">
        <v>908.67196248990899</v>
      </c>
      <c r="V63">
        <v>8.4951456310679609E-3</v>
      </c>
      <c r="W63">
        <v>1828208.42579316</v>
      </c>
      <c r="X63" t="s">
        <v>33</v>
      </c>
      <c r="Y63">
        <f>1-233-746-8591</f>
        <v>-9569</v>
      </c>
    </row>
    <row r="64" spans="1:25" x14ac:dyDescent="0.35">
      <c r="A64">
        <v>34.200831273435497</v>
      </c>
      <c r="B64">
        <v>-114.77210062284399</v>
      </c>
      <c r="C64" t="s">
        <v>34</v>
      </c>
      <c r="D64">
        <v>35.752209172040203</v>
      </c>
      <c r="E64">
        <v>1</v>
      </c>
      <c r="F64">
        <v>1006</v>
      </c>
      <c r="G64">
        <v>2</v>
      </c>
      <c r="H64">
        <v>3</v>
      </c>
      <c r="I64">
        <v>2009</v>
      </c>
      <c r="J64">
        <v>1</v>
      </c>
      <c r="K64">
        <v>0</v>
      </c>
      <c r="L64">
        <v>1</v>
      </c>
      <c r="M64">
        <v>4</v>
      </c>
      <c r="N64" t="s">
        <v>35</v>
      </c>
      <c r="O64" t="s">
        <v>27</v>
      </c>
      <c r="P64">
        <v>13.2207819603292</v>
      </c>
      <c r="Q64">
        <v>1.2702952204811999</v>
      </c>
      <c r="R64">
        <v>2.9804201241415198</v>
      </c>
      <c r="S64">
        <v>49</v>
      </c>
      <c r="T64">
        <v>60</v>
      </c>
      <c r="U64">
        <v>623.33557280688603</v>
      </c>
      <c r="V64">
        <v>3.9761431411530802E-3</v>
      </c>
      <c r="W64">
        <v>936604.94658506603</v>
      </c>
      <c r="X64" t="s">
        <v>44</v>
      </c>
      <c r="Y64">
        <f>1-584-699-9862</f>
        <v>-11144</v>
      </c>
    </row>
    <row r="65" spans="1:25" x14ac:dyDescent="0.35">
      <c r="A65">
        <v>35.556793309058598</v>
      </c>
      <c r="B65">
        <v>-114.490258094193</v>
      </c>
      <c r="C65" t="s">
        <v>34</v>
      </c>
      <c r="D65">
        <v>45.078981593604802</v>
      </c>
      <c r="E65">
        <v>3</v>
      </c>
      <c r="F65">
        <v>517</v>
      </c>
      <c r="G65">
        <v>2</v>
      </c>
      <c r="H65">
        <v>3</v>
      </c>
      <c r="I65">
        <v>2011</v>
      </c>
      <c r="J65">
        <v>0</v>
      </c>
      <c r="K65">
        <v>0</v>
      </c>
      <c r="L65">
        <v>1</v>
      </c>
      <c r="M65">
        <v>14</v>
      </c>
      <c r="N65" t="s">
        <v>41</v>
      </c>
      <c r="O65" t="s">
        <v>30</v>
      </c>
      <c r="P65">
        <v>10.9307203348668</v>
      </c>
      <c r="Q65">
        <v>0.74960736077718604</v>
      </c>
      <c r="R65">
        <v>1.5946505599578999</v>
      </c>
      <c r="S65">
        <v>10</v>
      </c>
      <c r="T65">
        <v>56</v>
      </c>
      <c r="U65">
        <v>884.25945630374599</v>
      </c>
      <c r="V65">
        <v>2.7079303675048301E-2</v>
      </c>
      <c r="W65">
        <v>786873.45762613602</v>
      </c>
      <c r="X65" t="s">
        <v>40</v>
      </c>
      <c r="Y65">
        <f>1-422-711-9471</f>
        <v>-10603</v>
      </c>
    </row>
    <row r="66" spans="1:25" x14ac:dyDescent="0.35">
      <c r="A66">
        <v>33.7976786893948</v>
      </c>
      <c r="B66">
        <v>-120.45563470418099</v>
      </c>
      <c r="C66" t="s">
        <v>29</v>
      </c>
      <c r="D66">
        <v>19.578991404850299</v>
      </c>
      <c r="E66">
        <v>0</v>
      </c>
      <c r="F66">
        <v>2611</v>
      </c>
      <c r="G66">
        <v>3</v>
      </c>
      <c r="H66">
        <v>2</v>
      </c>
      <c r="I66">
        <v>2020</v>
      </c>
      <c r="J66">
        <v>1</v>
      </c>
      <c r="K66">
        <v>0</v>
      </c>
      <c r="L66">
        <v>1</v>
      </c>
      <c r="M66">
        <v>9</v>
      </c>
      <c r="N66" t="s">
        <v>35</v>
      </c>
      <c r="O66" t="s">
        <v>27</v>
      </c>
      <c r="P66">
        <v>9.5516126386780495</v>
      </c>
      <c r="Q66">
        <v>1.8113136320173</v>
      </c>
      <c r="R66">
        <v>8.30467537938787</v>
      </c>
      <c r="S66">
        <v>130</v>
      </c>
      <c r="T66">
        <v>75</v>
      </c>
      <c r="U66">
        <v>561.29383690704503</v>
      </c>
      <c r="V66">
        <v>3.44695518958253E-3</v>
      </c>
      <c r="W66">
        <v>1855688.6676360399</v>
      </c>
      <c r="X66" t="s">
        <v>33</v>
      </c>
      <c r="Y66">
        <f>1-275-889-9141</f>
        <v>-10304</v>
      </c>
    </row>
    <row r="67" spans="1:25" x14ac:dyDescent="0.35">
      <c r="A67">
        <v>34.485150316466303</v>
      </c>
      <c r="B67">
        <v>-122.015900656097</v>
      </c>
      <c r="C67" t="s">
        <v>25</v>
      </c>
      <c r="D67">
        <v>9.4416043867534398</v>
      </c>
      <c r="E67">
        <v>0</v>
      </c>
      <c r="F67">
        <v>3522</v>
      </c>
      <c r="G67">
        <v>1</v>
      </c>
      <c r="H67">
        <v>3</v>
      </c>
      <c r="I67">
        <v>1954</v>
      </c>
      <c r="J67">
        <v>1</v>
      </c>
      <c r="K67">
        <v>0</v>
      </c>
      <c r="L67">
        <v>1</v>
      </c>
      <c r="M67">
        <v>4</v>
      </c>
      <c r="N67" t="s">
        <v>35</v>
      </c>
      <c r="O67" t="s">
        <v>30</v>
      </c>
      <c r="P67">
        <v>12.367050474100701</v>
      </c>
      <c r="Q67">
        <v>2.0026565788839901</v>
      </c>
      <c r="R67">
        <v>7.8528549524871698</v>
      </c>
      <c r="S67">
        <v>169</v>
      </c>
      <c r="T67">
        <v>44</v>
      </c>
      <c r="U67">
        <v>733.98316072339105</v>
      </c>
      <c r="V67">
        <v>1.13571834185122E-3</v>
      </c>
      <c r="W67">
        <v>2845210.9490394001</v>
      </c>
      <c r="X67" t="s">
        <v>40</v>
      </c>
      <c r="Y67">
        <f>1-297-790-4819</f>
        <v>-5905</v>
      </c>
    </row>
    <row r="68" spans="1:25" x14ac:dyDescent="0.35">
      <c r="A68">
        <v>35.238321486650001</v>
      </c>
      <c r="B68">
        <v>-121.572410167112</v>
      </c>
      <c r="C68" t="s">
        <v>25</v>
      </c>
      <c r="D68">
        <v>25.9573263087584</v>
      </c>
      <c r="E68">
        <v>2</v>
      </c>
      <c r="F68">
        <v>1772</v>
      </c>
      <c r="G68">
        <v>1</v>
      </c>
      <c r="H68">
        <v>3</v>
      </c>
      <c r="I68">
        <v>2008</v>
      </c>
      <c r="J68">
        <v>0</v>
      </c>
      <c r="K68">
        <v>0</v>
      </c>
      <c r="L68">
        <v>1</v>
      </c>
      <c r="M68">
        <v>7</v>
      </c>
      <c r="N68" t="s">
        <v>37</v>
      </c>
      <c r="O68" t="s">
        <v>32</v>
      </c>
      <c r="P68">
        <v>10.708556631591399</v>
      </c>
      <c r="Q68">
        <v>0.99071568461516102</v>
      </c>
      <c r="R68">
        <v>5.4996104827252399</v>
      </c>
      <c r="S68">
        <v>156</v>
      </c>
      <c r="T68">
        <v>20</v>
      </c>
      <c r="U68">
        <v>852.01056707237206</v>
      </c>
      <c r="V68">
        <v>3.9503386004514597E-3</v>
      </c>
      <c r="W68">
        <v>1710149.4934827001</v>
      </c>
      <c r="X68" t="s">
        <v>33</v>
      </c>
      <c r="Y68">
        <f>1-296-476-2303</f>
        <v>-3074</v>
      </c>
    </row>
    <row r="69" spans="1:25" x14ac:dyDescent="0.35">
      <c r="A69">
        <v>37.382847436383202</v>
      </c>
      <c r="B69">
        <v>-123.022229502606</v>
      </c>
      <c r="C69" t="s">
        <v>25</v>
      </c>
      <c r="D69">
        <v>33.3340151910214</v>
      </c>
      <c r="E69">
        <v>0</v>
      </c>
      <c r="F69">
        <v>3114</v>
      </c>
      <c r="G69">
        <v>2</v>
      </c>
      <c r="H69">
        <v>1</v>
      </c>
      <c r="I69">
        <v>1995</v>
      </c>
      <c r="J69">
        <v>0</v>
      </c>
      <c r="K69">
        <v>1</v>
      </c>
      <c r="L69">
        <v>1</v>
      </c>
      <c r="M69">
        <v>4</v>
      </c>
      <c r="N69" t="s">
        <v>26</v>
      </c>
      <c r="O69" t="s">
        <v>27</v>
      </c>
      <c r="P69">
        <v>12.931117543860999</v>
      </c>
      <c r="Q69">
        <v>1.8589870435459499</v>
      </c>
      <c r="R69">
        <v>2.6729784874192299</v>
      </c>
      <c r="S69">
        <v>105</v>
      </c>
      <c r="T69">
        <v>21</v>
      </c>
      <c r="U69">
        <v>791.52110705664495</v>
      </c>
      <c r="V69">
        <v>1.28452151573538E-3</v>
      </c>
      <c r="W69">
        <v>2718738.18486918</v>
      </c>
      <c r="X69" t="s">
        <v>43</v>
      </c>
      <c r="Y69">
        <f>1-341-421-9338</f>
        <v>-10099</v>
      </c>
    </row>
    <row r="70" spans="1:25" x14ac:dyDescent="0.35">
      <c r="A70">
        <v>37.687056164090897</v>
      </c>
      <c r="B70">
        <v>-121.06891388979599</v>
      </c>
      <c r="C70" t="s">
        <v>34</v>
      </c>
      <c r="D70">
        <v>16.484420023647498</v>
      </c>
      <c r="E70">
        <v>0</v>
      </c>
      <c r="F70">
        <v>3737</v>
      </c>
      <c r="G70">
        <v>1</v>
      </c>
      <c r="H70">
        <v>2</v>
      </c>
      <c r="I70">
        <v>1957</v>
      </c>
      <c r="J70">
        <v>0</v>
      </c>
      <c r="K70">
        <v>1</v>
      </c>
      <c r="L70">
        <v>0</v>
      </c>
      <c r="M70">
        <v>3</v>
      </c>
      <c r="N70" t="s">
        <v>35</v>
      </c>
      <c r="O70" t="s">
        <v>30</v>
      </c>
      <c r="P70">
        <v>2.31803655193628</v>
      </c>
      <c r="Q70">
        <v>1.45147594457816</v>
      </c>
      <c r="R70">
        <v>4.1008032569442898</v>
      </c>
      <c r="S70">
        <v>1</v>
      </c>
      <c r="T70">
        <v>66</v>
      </c>
      <c r="U70">
        <v>399.984139717365</v>
      </c>
      <c r="V70">
        <v>8.0278298100080201E-4</v>
      </c>
      <c r="W70">
        <v>1618005.7359738401</v>
      </c>
      <c r="X70" t="s">
        <v>33</v>
      </c>
      <c r="Y70">
        <f>1-875-862-1075</f>
        <v>-2811</v>
      </c>
    </row>
    <row r="71" spans="1:25" x14ac:dyDescent="0.35">
      <c r="A71">
        <v>39.206860916822798</v>
      </c>
      <c r="B71">
        <v>-121.883962175408</v>
      </c>
      <c r="C71" t="s">
        <v>29</v>
      </c>
      <c r="D71">
        <v>40.722269616279597</v>
      </c>
      <c r="E71">
        <v>6</v>
      </c>
      <c r="F71">
        <v>4461</v>
      </c>
      <c r="G71">
        <v>1</v>
      </c>
      <c r="H71">
        <v>1</v>
      </c>
      <c r="I71">
        <v>1966</v>
      </c>
      <c r="J71">
        <v>1</v>
      </c>
      <c r="K71">
        <v>1</v>
      </c>
      <c r="L71">
        <v>1</v>
      </c>
      <c r="M71">
        <v>11</v>
      </c>
      <c r="N71" t="s">
        <v>26</v>
      </c>
      <c r="O71" t="s">
        <v>32</v>
      </c>
      <c r="P71">
        <v>2.5520192914045698</v>
      </c>
      <c r="Q71">
        <v>0.84425450576234096</v>
      </c>
      <c r="R71">
        <v>8.9888676702533594</v>
      </c>
      <c r="S71">
        <v>72</v>
      </c>
      <c r="T71">
        <v>50</v>
      </c>
      <c r="U71">
        <v>674.49790289522798</v>
      </c>
      <c r="V71">
        <v>2.46581483972203E-3</v>
      </c>
      <c r="W71">
        <v>3218111.55682691</v>
      </c>
      <c r="X71" t="s">
        <v>42</v>
      </c>
      <c r="Y71">
        <f>1-216-941-3677</f>
        <v>-4833</v>
      </c>
    </row>
    <row r="72" spans="1:25" x14ac:dyDescent="0.35">
      <c r="A72">
        <v>39.538640876369797</v>
      </c>
      <c r="B72">
        <v>-122.03445794547601</v>
      </c>
      <c r="C72" t="s">
        <v>25</v>
      </c>
      <c r="D72">
        <v>24.351647044820499</v>
      </c>
      <c r="E72">
        <v>0</v>
      </c>
      <c r="F72">
        <v>3011</v>
      </c>
      <c r="G72">
        <v>5</v>
      </c>
      <c r="H72">
        <v>1</v>
      </c>
      <c r="I72">
        <v>1985</v>
      </c>
      <c r="J72">
        <v>1</v>
      </c>
      <c r="K72">
        <v>0</v>
      </c>
      <c r="L72">
        <v>1</v>
      </c>
      <c r="M72">
        <v>9</v>
      </c>
      <c r="N72" t="s">
        <v>37</v>
      </c>
      <c r="O72" t="s">
        <v>32</v>
      </c>
      <c r="P72">
        <v>14.038697112285</v>
      </c>
      <c r="Q72">
        <v>2.13749379323554</v>
      </c>
      <c r="R72">
        <v>5.3428535212969397</v>
      </c>
      <c r="S72">
        <v>25</v>
      </c>
      <c r="T72">
        <v>36</v>
      </c>
      <c r="U72">
        <v>360.51846808415598</v>
      </c>
      <c r="V72">
        <v>2.9890401859847199E-3</v>
      </c>
      <c r="W72">
        <v>1531957.03589597</v>
      </c>
      <c r="X72" t="s">
        <v>42</v>
      </c>
      <c r="Y72">
        <f>1-666-641-9943</f>
        <v>-11249</v>
      </c>
    </row>
    <row r="73" spans="1:25" x14ac:dyDescent="0.35">
      <c r="A73">
        <v>37.479739929904603</v>
      </c>
      <c r="B73">
        <v>-115.74275810786099</v>
      </c>
      <c r="C73" t="s">
        <v>29</v>
      </c>
      <c r="D73">
        <v>27.2941124196938</v>
      </c>
      <c r="E73">
        <v>7</v>
      </c>
      <c r="F73">
        <v>1428</v>
      </c>
      <c r="G73">
        <v>1</v>
      </c>
      <c r="H73">
        <v>3</v>
      </c>
      <c r="I73">
        <v>1974</v>
      </c>
      <c r="J73">
        <v>0</v>
      </c>
      <c r="K73">
        <v>1</v>
      </c>
      <c r="L73">
        <v>1</v>
      </c>
      <c r="M73">
        <v>8</v>
      </c>
      <c r="N73" t="s">
        <v>37</v>
      </c>
      <c r="O73" t="s">
        <v>27</v>
      </c>
      <c r="P73">
        <v>10.176984043645099</v>
      </c>
      <c r="Q73">
        <v>0.73677165592551397</v>
      </c>
      <c r="R73">
        <v>3.3928374413592701</v>
      </c>
      <c r="S73">
        <v>125</v>
      </c>
      <c r="T73">
        <v>30</v>
      </c>
      <c r="U73">
        <v>610.18979341936699</v>
      </c>
      <c r="V73">
        <v>5.60224089635854E-3</v>
      </c>
      <c r="W73">
        <v>1013508.75291463</v>
      </c>
      <c r="X73" t="s">
        <v>36</v>
      </c>
      <c r="Y73">
        <f>1-352-665-6511</f>
        <v>-7527</v>
      </c>
    </row>
    <row r="74" spans="1:25" x14ac:dyDescent="0.35">
      <c r="A74">
        <v>40.424831848814698</v>
      </c>
      <c r="B74">
        <v>-114.79821531363901</v>
      </c>
      <c r="C74" t="s">
        <v>34</v>
      </c>
      <c r="D74">
        <v>13.6281271254622</v>
      </c>
      <c r="E74">
        <v>5</v>
      </c>
      <c r="F74">
        <v>2224</v>
      </c>
      <c r="G74">
        <v>5</v>
      </c>
      <c r="H74">
        <v>3</v>
      </c>
      <c r="I74">
        <v>1975</v>
      </c>
      <c r="J74">
        <v>1</v>
      </c>
      <c r="K74">
        <v>1</v>
      </c>
      <c r="L74">
        <v>1</v>
      </c>
      <c r="M74">
        <v>4</v>
      </c>
      <c r="N74" t="s">
        <v>26</v>
      </c>
      <c r="O74" t="s">
        <v>30</v>
      </c>
      <c r="P74">
        <v>2.6198006330971402</v>
      </c>
      <c r="Q74">
        <v>1.5053665529923601</v>
      </c>
      <c r="R74">
        <v>1.1904649394861499E-2</v>
      </c>
      <c r="S74">
        <v>157</v>
      </c>
      <c r="T74">
        <v>75</v>
      </c>
      <c r="U74">
        <v>549.06850444243798</v>
      </c>
      <c r="V74">
        <v>1.7985611510791301E-3</v>
      </c>
      <c r="W74">
        <v>1641657.2417854101</v>
      </c>
      <c r="X74" t="s">
        <v>36</v>
      </c>
      <c r="Y74">
        <f>1-778-406-5825</f>
        <v>-7008</v>
      </c>
    </row>
    <row r="75" spans="1:25" x14ac:dyDescent="0.35">
      <c r="A75">
        <v>38.185416142194498</v>
      </c>
      <c r="B75">
        <v>-115.47492122869301</v>
      </c>
      <c r="C75" t="s">
        <v>25</v>
      </c>
      <c r="D75">
        <v>42.120306228666301</v>
      </c>
      <c r="E75">
        <v>8</v>
      </c>
      <c r="F75">
        <v>4100</v>
      </c>
      <c r="G75">
        <v>2</v>
      </c>
      <c r="H75">
        <v>2</v>
      </c>
      <c r="I75">
        <v>2017</v>
      </c>
      <c r="J75">
        <v>1</v>
      </c>
      <c r="K75">
        <v>0</v>
      </c>
      <c r="L75">
        <v>0</v>
      </c>
      <c r="M75">
        <v>7</v>
      </c>
      <c r="N75" t="s">
        <v>35</v>
      </c>
      <c r="O75" t="s">
        <v>32</v>
      </c>
      <c r="P75">
        <v>11.969595048197901</v>
      </c>
      <c r="Q75">
        <v>0.73740806553308202</v>
      </c>
      <c r="R75">
        <v>3.50658168145516</v>
      </c>
      <c r="S75">
        <v>106</v>
      </c>
      <c r="T75">
        <v>33</v>
      </c>
      <c r="U75">
        <v>243.802172376551</v>
      </c>
      <c r="V75">
        <v>1.70731707317073E-3</v>
      </c>
      <c r="W75">
        <v>1279335.86686181</v>
      </c>
      <c r="X75" t="s">
        <v>31</v>
      </c>
      <c r="Y75">
        <f>1-246-590-4391</f>
        <v>-5226</v>
      </c>
    </row>
    <row r="76" spans="1:25" x14ac:dyDescent="0.35">
      <c r="A76">
        <v>39.590359551543898</v>
      </c>
      <c r="B76">
        <v>-116.09333293934</v>
      </c>
      <c r="C76" t="s">
        <v>29</v>
      </c>
      <c r="D76">
        <v>32.4073227714672</v>
      </c>
      <c r="E76">
        <v>1</v>
      </c>
      <c r="F76">
        <v>3626</v>
      </c>
      <c r="G76">
        <v>1</v>
      </c>
      <c r="H76">
        <v>1</v>
      </c>
      <c r="I76">
        <v>1956</v>
      </c>
      <c r="J76">
        <v>1</v>
      </c>
      <c r="K76">
        <v>0</v>
      </c>
      <c r="L76">
        <v>0</v>
      </c>
      <c r="M76">
        <v>6</v>
      </c>
      <c r="N76" t="s">
        <v>41</v>
      </c>
      <c r="O76" t="s">
        <v>32</v>
      </c>
      <c r="P76">
        <v>14.853517168423201</v>
      </c>
      <c r="Q76">
        <v>1.1215529586864801</v>
      </c>
      <c r="R76">
        <v>4.4142633057448997</v>
      </c>
      <c r="S76">
        <v>154</v>
      </c>
      <c r="T76">
        <v>35</v>
      </c>
      <c r="U76">
        <v>377.39160357123001</v>
      </c>
      <c r="V76">
        <v>1.65471594043022E-3</v>
      </c>
      <c r="W76">
        <v>1554968.0338940199</v>
      </c>
      <c r="X76" t="s">
        <v>28</v>
      </c>
      <c r="Y76">
        <f>1-567-448-8289</f>
        <v>-9303</v>
      </c>
    </row>
    <row r="77" spans="1:25" x14ac:dyDescent="0.35">
      <c r="A77">
        <v>41.334006834848999</v>
      </c>
      <c r="B77">
        <v>-120.80145441123101</v>
      </c>
      <c r="C77" t="s">
        <v>34</v>
      </c>
      <c r="D77">
        <v>31.833020394635199</v>
      </c>
      <c r="E77">
        <v>4</v>
      </c>
      <c r="F77">
        <v>3719</v>
      </c>
      <c r="G77">
        <v>3</v>
      </c>
      <c r="H77">
        <v>1</v>
      </c>
      <c r="I77">
        <v>1966</v>
      </c>
      <c r="J77">
        <v>1</v>
      </c>
      <c r="K77">
        <v>0</v>
      </c>
      <c r="L77">
        <v>0</v>
      </c>
      <c r="M77">
        <v>7</v>
      </c>
      <c r="N77" t="s">
        <v>35</v>
      </c>
      <c r="O77" t="s">
        <v>27</v>
      </c>
      <c r="P77">
        <v>8.8742885688871205</v>
      </c>
      <c r="Q77">
        <v>1.6823937141120799</v>
      </c>
      <c r="R77">
        <v>9.8385072983652098</v>
      </c>
      <c r="S77">
        <v>110</v>
      </c>
      <c r="T77">
        <v>28</v>
      </c>
      <c r="U77">
        <v>444.50563898868302</v>
      </c>
      <c r="V77">
        <v>1.8822264049475599E-3</v>
      </c>
      <c r="W77">
        <v>1738370.55824465</v>
      </c>
      <c r="X77" t="s">
        <v>39</v>
      </c>
      <c r="Y77">
        <f>1-838-678-2758</f>
        <v>-4273</v>
      </c>
    </row>
    <row r="78" spans="1:25" x14ac:dyDescent="0.35">
      <c r="A78">
        <v>33.902567632810303</v>
      </c>
      <c r="B78">
        <v>-116.786974221297</v>
      </c>
      <c r="C78" t="s">
        <v>34</v>
      </c>
      <c r="D78">
        <v>7.2597073207302296</v>
      </c>
      <c r="E78">
        <v>1</v>
      </c>
      <c r="F78">
        <v>2279</v>
      </c>
      <c r="G78">
        <v>3</v>
      </c>
      <c r="H78">
        <v>3</v>
      </c>
      <c r="I78">
        <v>1956</v>
      </c>
      <c r="J78">
        <v>1</v>
      </c>
      <c r="K78">
        <v>0</v>
      </c>
      <c r="L78">
        <v>0</v>
      </c>
      <c r="M78">
        <v>10</v>
      </c>
      <c r="N78" t="s">
        <v>37</v>
      </c>
      <c r="O78" t="s">
        <v>32</v>
      </c>
      <c r="P78">
        <v>6.7703502201224097</v>
      </c>
      <c r="Q78">
        <v>1.68500187489083</v>
      </c>
      <c r="R78">
        <v>1.1221724222513301</v>
      </c>
      <c r="S78">
        <v>126</v>
      </c>
      <c r="T78">
        <v>65</v>
      </c>
      <c r="U78">
        <v>343.34700177581902</v>
      </c>
      <c r="V78">
        <v>4.3878894251864796E-3</v>
      </c>
      <c r="W78">
        <v>945618.87941136304</v>
      </c>
      <c r="X78" t="s">
        <v>28</v>
      </c>
      <c r="Y78">
        <f>1-916-509-8708</f>
        <v>-10132</v>
      </c>
    </row>
    <row r="79" spans="1:25" x14ac:dyDescent="0.35">
      <c r="A79">
        <v>35.461955011365497</v>
      </c>
      <c r="B79">
        <v>-115.795913004824</v>
      </c>
      <c r="C79" t="s">
        <v>29</v>
      </c>
      <c r="D79">
        <v>7.7457156115388699</v>
      </c>
      <c r="E79">
        <v>5</v>
      </c>
      <c r="F79">
        <v>2832</v>
      </c>
      <c r="G79">
        <v>5</v>
      </c>
      <c r="H79">
        <v>1</v>
      </c>
      <c r="I79">
        <v>1983</v>
      </c>
      <c r="J79">
        <v>0</v>
      </c>
      <c r="K79">
        <v>0</v>
      </c>
      <c r="L79">
        <v>1</v>
      </c>
      <c r="M79">
        <v>5</v>
      </c>
      <c r="N79" t="s">
        <v>35</v>
      </c>
      <c r="O79" t="s">
        <v>32</v>
      </c>
      <c r="P79">
        <v>6.50006066674002</v>
      </c>
      <c r="Q79">
        <v>1.0132622696901701</v>
      </c>
      <c r="R79">
        <v>8.3738423024010906</v>
      </c>
      <c r="S79">
        <v>8</v>
      </c>
      <c r="T79">
        <v>51</v>
      </c>
      <c r="U79">
        <v>808.72451908949404</v>
      </c>
      <c r="V79">
        <v>1.7655367231638401E-3</v>
      </c>
      <c r="W79">
        <v>2604783.3049094598</v>
      </c>
      <c r="X79" t="s">
        <v>39</v>
      </c>
      <c r="Y79">
        <f>1-485-725-7098</f>
        <v>-8307</v>
      </c>
    </row>
    <row r="80" spans="1:25" x14ac:dyDescent="0.35">
      <c r="A80">
        <v>36.018401210654801</v>
      </c>
      <c r="B80">
        <v>-124.096262536616</v>
      </c>
      <c r="C80" t="s">
        <v>34</v>
      </c>
      <c r="D80">
        <v>21.247155944157999</v>
      </c>
      <c r="E80">
        <v>6</v>
      </c>
      <c r="F80">
        <v>4383</v>
      </c>
      <c r="G80">
        <v>5</v>
      </c>
      <c r="H80">
        <v>1</v>
      </c>
      <c r="I80">
        <v>2017</v>
      </c>
      <c r="J80">
        <v>1</v>
      </c>
      <c r="K80">
        <v>1</v>
      </c>
      <c r="L80">
        <v>0</v>
      </c>
      <c r="M80">
        <v>4</v>
      </c>
      <c r="N80" t="s">
        <v>41</v>
      </c>
      <c r="O80" t="s">
        <v>27</v>
      </c>
      <c r="P80">
        <v>4.8113531467164297</v>
      </c>
      <c r="Q80">
        <v>2.2222496095061</v>
      </c>
      <c r="R80">
        <v>8.5857933183643702</v>
      </c>
      <c r="S80">
        <v>73</v>
      </c>
      <c r="T80">
        <v>50</v>
      </c>
      <c r="U80">
        <v>862.00849455558102</v>
      </c>
      <c r="V80">
        <v>9.1261692904403299E-4</v>
      </c>
      <c r="W80">
        <v>4231166.2211215496</v>
      </c>
      <c r="X80" t="s">
        <v>44</v>
      </c>
      <c r="Y80">
        <f>1-316-595-9486</f>
        <v>-10396</v>
      </c>
    </row>
    <row r="81" spans="1:25" x14ac:dyDescent="0.35">
      <c r="A81">
        <v>37.250394730801503</v>
      </c>
      <c r="B81">
        <v>-117.57956118329</v>
      </c>
      <c r="C81" t="s">
        <v>29</v>
      </c>
      <c r="D81">
        <v>36.770303897944501</v>
      </c>
      <c r="E81">
        <v>1</v>
      </c>
      <c r="F81">
        <v>963</v>
      </c>
      <c r="G81">
        <v>3</v>
      </c>
      <c r="H81">
        <v>3</v>
      </c>
      <c r="I81">
        <v>2022</v>
      </c>
      <c r="J81">
        <v>0</v>
      </c>
      <c r="K81">
        <v>0</v>
      </c>
      <c r="L81">
        <v>0</v>
      </c>
      <c r="M81">
        <v>13</v>
      </c>
      <c r="N81" t="s">
        <v>26</v>
      </c>
      <c r="O81" t="s">
        <v>32</v>
      </c>
      <c r="P81">
        <v>8.58913903863073</v>
      </c>
      <c r="Q81">
        <v>1.1106464550275701</v>
      </c>
      <c r="R81">
        <v>1.0700105992120501</v>
      </c>
      <c r="S81">
        <v>99</v>
      </c>
      <c r="T81">
        <v>39</v>
      </c>
      <c r="U81">
        <v>815.471111066356</v>
      </c>
      <c r="V81">
        <v>1.3499480789200401E-2</v>
      </c>
      <c r="W81">
        <v>1108591.9566306199</v>
      </c>
      <c r="X81" t="s">
        <v>28</v>
      </c>
      <c r="Y81">
        <f>1-277-349-1489</f>
        <v>-2114</v>
      </c>
    </row>
    <row r="82" spans="1:25" x14ac:dyDescent="0.35">
      <c r="A82">
        <v>35.347655464600301</v>
      </c>
      <c r="B82">
        <v>-117.507416273777</v>
      </c>
      <c r="C82" t="s">
        <v>25</v>
      </c>
      <c r="D82">
        <v>20.3734944827346</v>
      </c>
      <c r="E82">
        <v>5</v>
      </c>
      <c r="F82">
        <v>4745</v>
      </c>
      <c r="G82">
        <v>1</v>
      </c>
      <c r="H82">
        <v>2</v>
      </c>
      <c r="I82">
        <v>1976</v>
      </c>
      <c r="J82">
        <v>1</v>
      </c>
      <c r="K82">
        <v>0</v>
      </c>
      <c r="L82">
        <v>1</v>
      </c>
      <c r="M82">
        <v>6</v>
      </c>
      <c r="N82" t="s">
        <v>35</v>
      </c>
      <c r="O82" t="s">
        <v>27</v>
      </c>
      <c r="P82">
        <v>11.564391496584401</v>
      </c>
      <c r="Q82">
        <v>1.95647951992498</v>
      </c>
      <c r="R82">
        <v>3.15303186343893</v>
      </c>
      <c r="S82">
        <v>108</v>
      </c>
      <c r="T82">
        <v>66</v>
      </c>
      <c r="U82">
        <v>206.00547130650901</v>
      </c>
      <c r="V82">
        <v>1.26448893572181E-3</v>
      </c>
      <c r="W82">
        <v>1185865.1058290901</v>
      </c>
      <c r="X82" t="s">
        <v>28</v>
      </c>
      <c r="Y82">
        <f>1-918-607-7780</f>
        <v>-9304</v>
      </c>
    </row>
    <row r="83" spans="1:25" x14ac:dyDescent="0.35">
      <c r="A83">
        <v>38.3776170305402</v>
      </c>
      <c r="B83">
        <v>-119.71504975655699</v>
      </c>
      <c r="C83" t="s">
        <v>29</v>
      </c>
      <c r="D83">
        <v>6.6952295696924802</v>
      </c>
      <c r="E83">
        <v>8</v>
      </c>
      <c r="F83">
        <v>3457</v>
      </c>
      <c r="G83">
        <v>5</v>
      </c>
      <c r="H83">
        <v>1</v>
      </c>
      <c r="I83">
        <v>1967</v>
      </c>
      <c r="J83">
        <v>1</v>
      </c>
      <c r="K83">
        <v>0</v>
      </c>
      <c r="L83">
        <v>1</v>
      </c>
      <c r="M83">
        <v>2</v>
      </c>
      <c r="N83" t="s">
        <v>35</v>
      </c>
      <c r="O83" t="s">
        <v>27</v>
      </c>
      <c r="P83">
        <v>6.0698009009211997</v>
      </c>
      <c r="Q83">
        <v>0.544219659032526</v>
      </c>
      <c r="R83">
        <v>8.2492892131318705</v>
      </c>
      <c r="S83">
        <v>9</v>
      </c>
      <c r="T83">
        <v>75</v>
      </c>
      <c r="U83">
        <v>403.58243894204298</v>
      </c>
      <c r="V83">
        <v>5.7853630315302205E-4</v>
      </c>
      <c r="W83">
        <v>1674485.41602167</v>
      </c>
      <c r="X83" t="s">
        <v>33</v>
      </c>
      <c r="Y83">
        <f>1-902-537-5739</f>
        <v>-7177</v>
      </c>
    </row>
    <row r="84" spans="1:25" x14ac:dyDescent="0.35">
      <c r="A84">
        <v>36.833584515537702</v>
      </c>
      <c r="B84">
        <v>-119.062333496785</v>
      </c>
      <c r="C84" t="s">
        <v>34</v>
      </c>
      <c r="D84">
        <v>2.2840750251357198</v>
      </c>
      <c r="E84">
        <v>3</v>
      </c>
      <c r="F84">
        <v>3780</v>
      </c>
      <c r="G84">
        <v>1</v>
      </c>
      <c r="H84">
        <v>1</v>
      </c>
      <c r="I84">
        <v>1993</v>
      </c>
      <c r="J84">
        <v>0</v>
      </c>
      <c r="K84">
        <v>1</v>
      </c>
      <c r="L84">
        <v>0</v>
      </c>
      <c r="M84">
        <v>12</v>
      </c>
      <c r="N84" t="s">
        <v>41</v>
      </c>
      <c r="O84" t="s">
        <v>30</v>
      </c>
      <c r="P84">
        <v>2.3052728928699899</v>
      </c>
      <c r="Q84">
        <v>1.8938077700092999</v>
      </c>
      <c r="R84">
        <v>0.73523375637806698</v>
      </c>
      <c r="S84">
        <v>91</v>
      </c>
      <c r="T84">
        <v>78</v>
      </c>
      <c r="U84">
        <v>745.83426106106106</v>
      </c>
      <c r="V84">
        <v>3.1746031746031698E-3</v>
      </c>
      <c r="W84">
        <v>2955709.57172244</v>
      </c>
      <c r="X84" t="s">
        <v>38</v>
      </c>
      <c r="Y84">
        <f>1-724-861-4699</f>
        <v>-6283</v>
      </c>
    </row>
    <row r="85" spans="1:25" x14ac:dyDescent="0.35">
      <c r="A85">
        <v>33.582292203637003</v>
      </c>
      <c r="B85">
        <v>-114.90710397690199</v>
      </c>
      <c r="C85" t="s">
        <v>25</v>
      </c>
      <c r="D85">
        <v>23.1850007974645</v>
      </c>
      <c r="E85">
        <v>4</v>
      </c>
      <c r="F85">
        <v>1637</v>
      </c>
      <c r="G85">
        <v>1</v>
      </c>
      <c r="H85">
        <v>1</v>
      </c>
      <c r="I85">
        <v>1965</v>
      </c>
      <c r="J85">
        <v>0</v>
      </c>
      <c r="K85">
        <v>1</v>
      </c>
      <c r="L85">
        <v>1</v>
      </c>
      <c r="M85">
        <v>3</v>
      </c>
      <c r="N85" t="s">
        <v>37</v>
      </c>
      <c r="O85" t="s">
        <v>27</v>
      </c>
      <c r="P85">
        <v>11.042032596007999</v>
      </c>
      <c r="Q85">
        <v>1.3816616518520799</v>
      </c>
      <c r="R85">
        <v>2.5030160884969899</v>
      </c>
      <c r="S85">
        <v>30</v>
      </c>
      <c r="T85">
        <v>46</v>
      </c>
      <c r="U85">
        <v>692.72249018881303</v>
      </c>
      <c r="V85">
        <v>1.83262064752596E-3</v>
      </c>
      <c r="W85">
        <v>1379245.0720789901</v>
      </c>
      <c r="X85" t="s">
        <v>42</v>
      </c>
      <c r="Y85">
        <f>1-992-815-2061</f>
        <v>-3867</v>
      </c>
    </row>
    <row r="86" spans="1:25" x14ac:dyDescent="0.35">
      <c r="A86">
        <v>33.781944880746998</v>
      </c>
      <c r="B86">
        <v>-118.11940291625299</v>
      </c>
      <c r="C86" t="s">
        <v>25</v>
      </c>
      <c r="D86">
        <v>45.801250339209098</v>
      </c>
      <c r="E86">
        <v>0</v>
      </c>
      <c r="F86">
        <v>2091</v>
      </c>
      <c r="G86">
        <v>3</v>
      </c>
      <c r="H86">
        <v>2</v>
      </c>
      <c r="I86">
        <v>1959</v>
      </c>
      <c r="J86">
        <v>0</v>
      </c>
      <c r="K86">
        <v>1</v>
      </c>
      <c r="L86">
        <v>0</v>
      </c>
      <c r="M86">
        <v>11</v>
      </c>
      <c r="N86" t="s">
        <v>35</v>
      </c>
      <c r="O86" t="s">
        <v>27</v>
      </c>
      <c r="P86">
        <v>5.90702642676598</v>
      </c>
      <c r="Q86">
        <v>0.67461860534575102</v>
      </c>
      <c r="R86">
        <v>3.73462782098624</v>
      </c>
      <c r="S86">
        <v>126</v>
      </c>
      <c r="T86">
        <v>50</v>
      </c>
      <c r="U86">
        <v>604.17207470437802</v>
      </c>
      <c r="V86">
        <v>5.2606408417025302E-3</v>
      </c>
      <c r="W86">
        <v>1433949.0331020399</v>
      </c>
      <c r="X86" t="s">
        <v>44</v>
      </c>
      <c r="Y86">
        <f>1-340-645-6659</f>
        <v>-7643</v>
      </c>
    </row>
    <row r="87" spans="1:25" x14ac:dyDescent="0.35">
      <c r="A87">
        <v>33.048500723841499</v>
      </c>
      <c r="B87">
        <v>-115.09509505885499</v>
      </c>
      <c r="C87" t="s">
        <v>25</v>
      </c>
      <c r="D87">
        <v>1.52516587810411</v>
      </c>
      <c r="E87">
        <v>0</v>
      </c>
      <c r="F87">
        <v>4424</v>
      </c>
      <c r="G87">
        <v>2</v>
      </c>
      <c r="H87">
        <v>1</v>
      </c>
      <c r="I87">
        <v>2015</v>
      </c>
      <c r="J87">
        <v>0</v>
      </c>
      <c r="K87">
        <v>0</v>
      </c>
      <c r="L87">
        <v>1</v>
      </c>
      <c r="M87">
        <v>7</v>
      </c>
      <c r="N87" t="s">
        <v>35</v>
      </c>
      <c r="O87" t="s">
        <v>32</v>
      </c>
      <c r="P87">
        <v>4.9321002226619299</v>
      </c>
      <c r="Q87">
        <v>2.1050845847406401</v>
      </c>
      <c r="R87">
        <v>9.0206023093717604</v>
      </c>
      <c r="S87">
        <v>140</v>
      </c>
      <c r="T87">
        <v>41</v>
      </c>
      <c r="U87">
        <v>926.42544773893803</v>
      </c>
      <c r="V87">
        <v>1.58227848101265E-3</v>
      </c>
      <c r="W87">
        <v>4215016.7988540204</v>
      </c>
      <c r="X87" t="s">
        <v>36</v>
      </c>
      <c r="Y87">
        <f>1-504-701-7662</f>
        <v>-8866</v>
      </c>
    </row>
    <row r="88" spans="1:25" x14ac:dyDescent="0.35">
      <c r="A88">
        <v>36.560798384277099</v>
      </c>
      <c r="B88">
        <v>-123.632689545305</v>
      </c>
      <c r="C88" t="s">
        <v>29</v>
      </c>
      <c r="D88">
        <v>25.453884947582701</v>
      </c>
      <c r="E88">
        <v>5</v>
      </c>
      <c r="F88">
        <v>2700</v>
      </c>
      <c r="G88">
        <v>5</v>
      </c>
      <c r="H88">
        <v>3</v>
      </c>
      <c r="I88">
        <v>2013</v>
      </c>
      <c r="J88">
        <v>0</v>
      </c>
      <c r="K88">
        <v>1</v>
      </c>
      <c r="L88">
        <v>0</v>
      </c>
      <c r="M88">
        <v>8</v>
      </c>
      <c r="N88" t="s">
        <v>35</v>
      </c>
      <c r="O88" t="s">
        <v>27</v>
      </c>
      <c r="P88">
        <v>12.249774798750501</v>
      </c>
      <c r="Q88">
        <v>1.50905712207558</v>
      </c>
      <c r="R88">
        <v>0.13059444115626501</v>
      </c>
      <c r="S88">
        <v>68</v>
      </c>
      <c r="T88">
        <v>33</v>
      </c>
      <c r="U88">
        <v>338.45158870186901</v>
      </c>
      <c r="V88">
        <v>2.9629629629629602E-3</v>
      </c>
      <c r="W88">
        <v>1434519.7795713099</v>
      </c>
      <c r="X88" t="s">
        <v>44</v>
      </c>
      <c r="Y88">
        <f>1-413-243-2982</f>
        <v>-3637</v>
      </c>
    </row>
    <row r="89" spans="1:25" x14ac:dyDescent="0.35">
      <c r="A89">
        <v>32.812936012206997</v>
      </c>
      <c r="B89">
        <v>-120.016110989228</v>
      </c>
      <c r="C89" t="s">
        <v>25</v>
      </c>
      <c r="D89">
        <v>46.421497492310799</v>
      </c>
      <c r="E89">
        <v>6</v>
      </c>
      <c r="F89">
        <v>678</v>
      </c>
      <c r="G89">
        <v>1</v>
      </c>
      <c r="H89">
        <v>3</v>
      </c>
      <c r="I89">
        <v>2017</v>
      </c>
      <c r="J89">
        <v>0</v>
      </c>
      <c r="K89">
        <v>0</v>
      </c>
      <c r="L89">
        <v>0</v>
      </c>
      <c r="M89">
        <v>14</v>
      </c>
      <c r="N89" t="s">
        <v>41</v>
      </c>
      <c r="O89" t="s">
        <v>27</v>
      </c>
      <c r="P89">
        <v>4.0510584012358404</v>
      </c>
      <c r="Q89">
        <v>0.78339495237921597</v>
      </c>
      <c r="R89">
        <v>2.61490067950086</v>
      </c>
      <c r="S89">
        <v>23</v>
      </c>
      <c r="T89">
        <v>29</v>
      </c>
      <c r="U89">
        <v>341.65285860978202</v>
      </c>
      <c r="V89">
        <v>2.0648967551622401E-2</v>
      </c>
      <c r="W89">
        <v>412769.63306991698</v>
      </c>
      <c r="X89" t="s">
        <v>33</v>
      </c>
      <c r="Y89">
        <f>1-797-952-9892</f>
        <v>-11640</v>
      </c>
    </row>
    <row r="90" spans="1:25" x14ac:dyDescent="0.35">
      <c r="A90">
        <v>41.029590946911398</v>
      </c>
      <c r="B90">
        <v>-122.023637334513</v>
      </c>
      <c r="C90" t="s">
        <v>34</v>
      </c>
      <c r="D90">
        <v>26.218730748659901</v>
      </c>
      <c r="E90">
        <v>3</v>
      </c>
      <c r="F90">
        <v>3798</v>
      </c>
      <c r="G90">
        <v>1</v>
      </c>
      <c r="H90">
        <v>3</v>
      </c>
      <c r="I90">
        <v>1953</v>
      </c>
      <c r="J90">
        <v>0</v>
      </c>
      <c r="K90">
        <v>0</v>
      </c>
      <c r="L90">
        <v>1</v>
      </c>
      <c r="M90">
        <v>12</v>
      </c>
      <c r="N90" t="s">
        <v>41</v>
      </c>
      <c r="O90" t="s">
        <v>30</v>
      </c>
      <c r="P90">
        <v>12.305305211240301</v>
      </c>
      <c r="Q90">
        <v>0.89118899398534701</v>
      </c>
      <c r="R90">
        <v>7.9076358378245102</v>
      </c>
      <c r="S90">
        <v>134</v>
      </c>
      <c r="T90">
        <v>35</v>
      </c>
      <c r="U90">
        <v>849.62579873367804</v>
      </c>
      <c r="V90">
        <v>3.1595576619273301E-3</v>
      </c>
      <c r="W90">
        <v>3351636.9643911901</v>
      </c>
      <c r="X90" t="s">
        <v>36</v>
      </c>
      <c r="Y90">
        <f>1-618-374-7067</f>
        <v>-8058</v>
      </c>
    </row>
    <row r="91" spans="1:25" x14ac:dyDescent="0.35">
      <c r="A91">
        <v>35.6846892861697</v>
      </c>
      <c r="B91">
        <v>-118.74128817776401</v>
      </c>
      <c r="C91" t="s">
        <v>25</v>
      </c>
      <c r="D91">
        <v>3.22874093392159</v>
      </c>
      <c r="E91">
        <v>4</v>
      </c>
      <c r="F91">
        <v>1684</v>
      </c>
      <c r="G91">
        <v>5</v>
      </c>
      <c r="H91">
        <v>1</v>
      </c>
      <c r="I91">
        <v>2018</v>
      </c>
      <c r="J91">
        <v>0</v>
      </c>
      <c r="K91">
        <v>0</v>
      </c>
      <c r="L91">
        <v>1</v>
      </c>
      <c r="M91">
        <v>13</v>
      </c>
      <c r="N91" t="s">
        <v>37</v>
      </c>
      <c r="O91" t="s">
        <v>30</v>
      </c>
      <c r="P91">
        <v>3.2351644010500902</v>
      </c>
      <c r="Q91">
        <v>0.84199437215064599</v>
      </c>
      <c r="R91">
        <v>1.24507286488783</v>
      </c>
      <c r="S91">
        <v>198</v>
      </c>
      <c r="T91">
        <v>72</v>
      </c>
      <c r="U91">
        <v>352.52461639626699</v>
      </c>
      <c r="V91">
        <v>7.7197149643705399E-3</v>
      </c>
      <c r="W91">
        <v>733894.58315301198</v>
      </c>
      <c r="X91" t="s">
        <v>33</v>
      </c>
      <c r="Y91">
        <f>1-769-404-2100</f>
        <v>-3272</v>
      </c>
    </row>
    <row r="92" spans="1:25" x14ac:dyDescent="0.35">
      <c r="A92">
        <v>33.219642073234198</v>
      </c>
      <c r="B92">
        <v>-120.38793877123901</v>
      </c>
      <c r="C92" t="s">
        <v>25</v>
      </c>
      <c r="D92">
        <v>26.581098600949399</v>
      </c>
      <c r="E92">
        <v>8</v>
      </c>
      <c r="F92">
        <v>3625</v>
      </c>
      <c r="G92">
        <v>1</v>
      </c>
      <c r="H92">
        <v>1</v>
      </c>
      <c r="I92">
        <v>1972</v>
      </c>
      <c r="J92">
        <v>0</v>
      </c>
      <c r="K92">
        <v>1</v>
      </c>
      <c r="L92">
        <v>0</v>
      </c>
      <c r="M92">
        <v>14</v>
      </c>
      <c r="N92" t="s">
        <v>35</v>
      </c>
      <c r="O92" t="s">
        <v>32</v>
      </c>
      <c r="P92">
        <v>8.4677280251679505</v>
      </c>
      <c r="Q92">
        <v>2.3914208840142401</v>
      </c>
      <c r="R92">
        <v>2.0369637663603299</v>
      </c>
      <c r="S92">
        <v>79</v>
      </c>
      <c r="T92">
        <v>45</v>
      </c>
      <c r="U92">
        <v>712.06924352571195</v>
      </c>
      <c r="V92">
        <v>3.8620689655172401E-3</v>
      </c>
      <c r="W92">
        <v>2711374.4920618399</v>
      </c>
      <c r="X92" t="s">
        <v>28</v>
      </c>
      <c r="Y92">
        <f>1-478-353-3234</f>
        <v>-4064</v>
      </c>
    </row>
    <row r="93" spans="1:25" x14ac:dyDescent="0.35">
      <c r="A93">
        <v>33.025792979436297</v>
      </c>
      <c r="B93">
        <v>-116.81301504712</v>
      </c>
      <c r="C93" t="s">
        <v>34</v>
      </c>
      <c r="D93">
        <v>18.109227609682499</v>
      </c>
      <c r="E93">
        <v>4</v>
      </c>
      <c r="F93">
        <v>1028</v>
      </c>
      <c r="G93">
        <v>4</v>
      </c>
      <c r="H93">
        <v>2</v>
      </c>
      <c r="I93">
        <v>2013</v>
      </c>
      <c r="J93">
        <v>0</v>
      </c>
      <c r="K93">
        <v>1</v>
      </c>
      <c r="L93">
        <v>0</v>
      </c>
      <c r="M93">
        <v>3</v>
      </c>
      <c r="N93" t="s">
        <v>35</v>
      </c>
      <c r="O93" t="s">
        <v>30</v>
      </c>
      <c r="P93">
        <v>5.87179799354998</v>
      </c>
      <c r="Q93">
        <v>1.8183222737315501</v>
      </c>
      <c r="R93">
        <v>2.7002022053094601</v>
      </c>
      <c r="S93">
        <v>75</v>
      </c>
      <c r="T93">
        <v>30</v>
      </c>
      <c r="U93">
        <v>468.24388724776401</v>
      </c>
      <c r="V93">
        <v>2.9182879377431898E-3</v>
      </c>
      <c r="W93">
        <v>915996.21406850906</v>
      </c>
      <c r="X93" t="s">
        <v>40</v>
      </c>
      <c r="Y93">
        <f>1-799-340-1834</f>
        <v>-2972</v>
      </c>
    </row>
    <row r="94" spans="1:25" x14ac:dyDescent="0.35">
      <c r="A94">
        <v>40.6488926267495</v>
      </c>
      <c r="B94">
        <v>-117.559261095842</v>
      </c>
      <c r="C94" t="s">
        <v>34</v>
      </c>
      <c r="D94">
        <v>34.701415631795797</v>
      </c>
      <c r="E94">
        <v>9</v>
      </c>
      <c r="F94">
        <v>981</v>
      </c>
      <c r="G94">
        <v>3</v>
      </c>
      <c r="H94">
        <v>3</v>
      </c>
      <c r="I94">
        <v>1956</v>
      </c>
      <c r="J94">
        <v>0</v>
      </c>
      <c r="K94">
        <v>1</v>
      </c>
      <c r="L94">
        <v>0</v>
      </c>
      <c r="M94">
        <v>13</v>
      </c>
      <c r="N94" t="s">
        <v>37</v>
      </c>
      <c r="O94" t="s">
        <v>27</v>
      </c>
      <c r="P94">
        <v>8.3153865114080006</v>
      </c>
      <c r="Q94">
        <v>1.08385507828446</v>
      </c>
      <c r="R94">
        <v>4.3026547442537302</v>
      </c>
      <c r="S94">
        <v>90</v>
      </c>
      <c r="T94">
        <v>52</v>
      </c>
      <c r="U94">
        <v>525.456932306167</v>
      </c>
      <c r="V94">
        <v>1.3251783893985699E-2</v>
      </c>
      <c r="W94">
        <v>803796.54948771</v>
      </c>
      <c r="X94" t="s">
        <v>39</v>
      </c>
      <c r="Y94">
        <f>1-595-766-6890</f>
        <v>-8250</v>
      </c>
    </row>
    <row r="95" spans="1:25" x14ac:dyDescent="0.35">
      <c r="A95">
        <v>40.221018251336403</v>
      </c>
      <c r="B95">
        <v>-118.84762451019201</v>
      </c>
      <c r="C95" t="s">
        <v>34</v>
      </c>
      <c r="D95">
        <v>38.073293668561398</v>
      </c>
      <c r="E95">
        <v>1</v>
      </c>
      <c r="F95">
        <v>2093</v>
      </c>
      <c r="G95">
        <v>4</v>
      </c>
      <c r="H95">
        <v>3</v>
      </c>
      <c r="I95">
        <v>1994</v>
      </c>
      <c r="J95">
        <v>1</v>
      </c>
      <c r="K95">
        <v>1</v>
      </c>
      <c r="L95">
        <v>1</v>
      </c>
      <c r="M95">
        <v>12</v>
      </c>
      <c r="N95" t="s">
        <v>41</v>
      </c>
      <c r="O95" t="s">
        <v>27</v>
      </c>
      <c r="P95">
        <v>7.2027659500499697</v>
      </c>
      <c r="Q95">
        <v>1.9516902114266801</v>
      </c>
      <c r="R95">
        <v>6.2852624087136801</v>
      </c>
      <c r="S95">
        <v>172</v>
      </c>
      <c r="T95">
        <v>66</v>
      </c>
      <c r="U95">
        <v>597.21696718208398</v>
      </c>
      <c r="V95">
        <v>5.7333970377448596E-3</v>
      </c>
      <c r="W95">
        <v>1695826.15075989</v>
      </c>
      <c r="X95" t="s">
        <v>31</v>
      </c>
      <c r="Y95">
        <f>1-588-511-2983</f>
        <v>-4081</v>
      </c>
    </row>
    <row r="96" spans="1:25" x14ac:dyDescent="0.35">
      <c r="A96">
        <v>36.283406394855298</v>
      </c>
      <c r="B96">
        <v>-120.591790382401</v>
      </c>
      <c r="C96" t="s">
        <v>29</v>
      </c>
      <c r="D96">
        <v>9.0917663324059106</v>
      </c>
      <c r="E96">
        <v>9</v>
      </c>
      <c r="F96">
        <v>1168</v>
      </c>
      <c r="G96">
        <v>4</v>
      </c>
      <c r="H96">
        <v>1</v>
      </c>
      <c r="I96">
        <v>2020</v>
      </c>
      <c r="J96">
        <v>0</v>
      </c>
      <c r="K96">
        <v>0</v>
      </c>
      <c r="L96">
        <v>0</v>
      </c>
      <c r="M96">
        <v>2</v>
      </c>
      <c r="N96" t="s">
        <v>35</v>
      </c>
      <c r="O96" t="s">
        <v>27</v>
      </c>
      <c r="P96">
        <v>13.169683782704</v>
      </c>
      <c r="Q96">
        <v>1.9097603380325401</v>
      </c>
      <c r="R96">
        <v>1.21137072300773</v>
      </c>
      <c r="S96">
        <v>161</v>
      </c>
      <c r="T96">
        <v>47</v>
      </c>
      <c r="U96">
        <v>294.49625082948398</v>
      </c>
      <c r="V96">
        <v>1.71232876712328E-3</v>
      </c>
      <c r="W96">
        <v>663682.65446363902</v>
      </c>
      <c r="X96" t="s">
        <v>43</v>
      </c>
      <c r="Y96">
        <f>1-435-576-4818</f>
        <v>-5828</v>
      </c>
    </row>
    <row r="97" spans="1:25" x14ac:dyDescent="0.35">
      <c r="A97">
        <v>40.715961129555801</v>
      </c>
      <c r="B97">
        <v>-115.2054682049</v>
      </c>
      <c r="C97" t="s">
        <v>34</v>
      </c>
      <c r="D97">
        <v>46.1013409011709</v>
      </c>
      <c r="E97">
        <v>0</v>
      </c>
      <c r="F97">
        <v>4722</v>
      </c>
      <c r="G97">
        <v>1</v>
      </c>
      <c r="H97">
        <v>3</v>
      </c>
      <c r="I97">
        <v>1993</v>
      </c>
      <c r="J97">
        <v>0</v>
      </c>
      <c r="K97">
        <v>1</v>
      </c>
      <c r="L97">
        <v>1</v>
      </c>
      <c r="M97">
        <v>4</v>
      </c>
      <c r="N97" t="s">
        <v>26</v>
      </c>
      <c r="O97" t="s">
        <v>27</v>
      </c>
      <c r="P97">
        <v>13.3841786403396</v>
      </c>
      <c r="Q97">
        <v>1.10215846139249</v>
      </c>
      <c r="R97">
        <v>2.7126850992931</v>
      </c>
      <c r="S97">
        <v>95</v>
      </c>
      <c r="T97">
        <v>46</v>
      </c>
      <c r="U97">
        <v>356.43579813285299</v>
      </c>
      <c r="V97">
        <v>8.4709868699703501E-4</v>
      </c>
      <c r="W97">
        <v>1996026.2112100299</v>
      </c>
      <c r="X97" t="s">
        <v>31</v>
      </c>
      <c r="Y97">
        <f>1-316-910-4153</f>
        <v>-5378</v>
      </c>
    </row>
    <row r="98" spans="1:25" x14ac:dyDescent="0.35">
      <c r="A98">
        <v>40.448198526990303</v>
      </c>
      <c r="B98">
        <v>-120.43651228282501</v>
      </c>
      <c r="C98" t="s">
        <v>29</v>
      </c>
      <c r="D98">
        <v>3.3382919765629699</v>
      </c>
      <c r="E98">
        <v>4</v>
      </c>
      <c r="F98">
        <v>4778</v>
      </c>
      <c r="G98">
        <v>4</v>
      </c>
      <c r="H98">
        <v>2</v>
      </c>
      <c r="I98">
        <v>2016</v>
      </c>
      <c r="J98">
        <v>0</v>
      </c>
      <c r="K98">
        <v>1</v>
      </c>
      <c r="L98">
        <v>0</v>
      </c>
      <c r="M98">
        <v>5</v>
      </c>
      <c r="N98" t="s">
        <v>37</v>
      </c>
      <c r="O98" t="s">
        <v>27</v>
      </c>
      <c r="P98">
        <v>12.802444929064499</v>
      </c>
      <c r="Q98">
        <v>2.0330347513842599</v>
      </c>
      <c r="R98">
        <v>1.35502221775884</v>
      </c>
      <c r="S98">
        <v>47</v>
      </c>
      <c r="T98">
        <v>72</v>
      </c>
      <c r="U98">
        <v>973.032112729196</v>
      </c>
      <c r="V98">
        <v>1.04646295521138E-3</v>
      </c>
      <c r="W98">
        <v>5067196.3406426599</v>
      </c>
      <c r="X98" t="s">
        <v>31</v>
      </c>
      <c r="Y98">
        <f>1-831-319-5269</f>
        <v>-6418</v>
      </c>
    </row>
    <row r="99" spans="1:25" x14ac:dyDescent="0.35">
      <c r="A99">
        <v>39.326009842107602</v>
      </c>
      <c r="B99">
        <v>-119.72332150547101</v>
      </c>
      <c r="C99" t="s">
        <v>29</v>
      </c>
      <c r="D99">
        <v>48.086070537858397</v>
      </c>
      <c r="E99">
        <v>1</v>
      </c>
      <c r="F99">
        <v>2586</v>
      </c>
      <c r="G99">
        <v>4</v>
      </c>
      <c r="H99">
        <v>2</v>
      </c>
      <c r="I99">
        <v>2000</v>
      </c>
      <c r="J99">
        <v>1</v>
      </c>
      <c r="K99">
        <v>1</v>
      </c>
      <c r="L99">
        <v>0</v>
      </c>
      <c r="M99">
        <v>5</v>
      </c>
      <c r="N99" t="s">
        <v>35</v>
      </c>
      <c r="O99" t="s">
        <v>27</v>
      </c>
      <c r="P99">
        <v>9.5431609525899095</v>
      </c>
      <c r="Q99">
        <v>2.26145604228015</v>
      </c>
      <c r="R99">
        <v>2.9714902541121102</v>
      </c>
      <c r="S99">
        <v>28</v>
      </c>
      <c r="T99">
        <v>65</v>
      </c>
      <c r="U99">
        <v>536.74353048674698</v>
      </c>
      <c r="V99">
        <v>1.93348801237432E-3</v>
      </c>
      <c r="W99">
        <v>1807399.47339863</v>
      </c>
      <c r="X99" t="s">
        <v>42</v>
      </c>
      <c r="Y99">
        <f>1-325-572-3555</f>
        <v>-4451</v>
      </c>
    </row>
    <row r="100" spans="1:25" x14ac:dyDescent="0.35">
      <c r="A100">
        <v>35.7940885904748</v>
      </c>
      <c r="B100">
        <v>-115.73935003296501</v>
      </c>
      <c r="C100" t="s">
        <v>25</v>
      </c>
      <c r="D100">
        <v>16.518226405813301</v>
      </c>
      <c r="E100">
        <v>7</v>
      </c>
      <c r="F100">
        <v>3131</v>
      </c>
      <c r="G100">
        <v>2</v>
      </c>
      <c r="H100">
        <v>1</v>
      </c>
      <c r="I100">
        <v>1980</v>
      </c>
      <c r="J100">
        <v>1</v>
      </c>
      <c r="K100">
        <v>0</v>
      </c>
      <c r="L100">
        <v>1</v>
      </c>
      <c r="M100">
        <v>12</v>
      </c>
      <c r="N100" t="s">
        <v>41</v>
      </c>
      <c r="O100" t="s">
        <v>30</v>
      </c>
      <c r="P100">
        <v>4.1189712157821203</v>
      </c>
      <c r="Q100">
        <v>1.11954749998124</v>
      </c>
      <c r="R100">
        <v>6.9733595941077198</v>
      </c>
      <c r="S100">
        <v>102</v>
      </c>
      <c r="T100">
        <v>23</v>
      </c>
      <c r="U100">
        <v>568.78351664074899</v>
      </c>
      <c r="V100">
        <v>3.8326413286489899E-3</v>
      </c>
      <c r="W100">
        <v>1990345.4488895</v>
      </c>
      <c r="X100" t="s">
        <v>43</v>
      </c>
      <c r="Y100">
        <f>1-660-692-5175</f>
        <v>-6526</v>
      </c>
    </row>
    <row r="101" spans="1:25" x14ac:dyDescent="0.35">
      <c r="A101">
        <v>38.891002598752301</v>
      </c>
      <c r="B101">
        <v>-117.908722468043</v>
      </c>
      <c r="C101" t="s">
        <v>25</v>
      </c>
      <c r="D101">
        <v>9.8793701071945801</v>
      </c>
      <c r="E101">
        <v>4</v>
      </c>
      <c r="F101">
        <v>1545</v>
      </c>
      <c r="G101">
        <v>5</v>
      </c>
      <c r="H101">
        <v>2</v>
      </c>
      <c r="I101">
        <v>1993</v>
      </c>
      <c r="J101">
        <v>1</v>
      </c>
      <c r="K101">
        <v>1</v>
      </c>
      <c r="L101">
        <v>1</v>
      </c>
      <c r="M101">
        <v>4</v>
      </c>
      <c r="N101" t="s">
        <v>41</v>
      </c>
      <c r="O101" t="s">
        <v>32</v>
      </c>
      <c r="P101">
        <v>8.0685473741103593</v>
      </c>
      <c r="Q101">
        <v>1.62989323109087</v>
      </c>
      <c r="R101">
        <v>7.36916070322747</v>
      </c>
      <c r="S101">
        <v>21</v>
      </c>
      <c r="T101">
        <v>65</v>
      </c>
      <c r="U101">
        <v>824.70078138976498</v>
      </c>
      <c r="V101">
        <v>2.5889967637540401E-3</v>
      </c>
      <c r="W101">
        <v>1735893.7649552301</v>
      </c>
      <c r="X101" t="s">
        <v>42</v>
      </c>
      <c r="Y101">
        <f>1-924-258-9314</f>
        <v>-10495</v>
      </c>
    </row>
    <row r="102" spans="1:25" x14ac:dyDescent="0.35">
      <c r="A102">
        <v>39.620000936850801</v>
      </c>
      <c r="B102">
        <v>-116.338693652785</v>
      </c>
      <c r="C102" t="s">
        <v>29</v>
      </c>
      <c r="D102">
        <v>47.986898328647897</v>
      </c>
      <c r="E102">
        <v>4</v>
      </c>
      <c r="F102">
        <v>3299</v>
      </c>
      <c r="G102">
        <v>2</v>
      </c>
      <c r="H102">
        <v>1</v>
      </c>
      <c r="I102">
        <v>1958</v>
      </c>
      <c r="J102">
        <v>1</v>
      </c>
      <c r="K102">
        <v>0</v>
      </c>
      <c r="L102">
        <v>1</v>
      </c>
      <c r="M102">
        <v>8</v>
      </c>
      <c r="N102" t="s">
        <v>37</v>
      </c>
      <c r="O102" t="s">
        <v>32</v>
      </c>
      <c r="P102">
        <v>4.0599429588980804</v>
      </c>
      <c r="Q102">
        <v>1.90284393407065</v>
      </c>
      <c r="R102">
        <v>1.3136586723352</v>
      </c>
      <c r="S102">
        <v>199</v>
      </c>
      <c r="T102">
        <v>30</v>
      </c>
      <c r="U102">
        <v>969.66339284130504</v>
      </c>
      <c r="V102">
        <v>2.4249772658381302E-3</v>
      </c>
      <c r="W102">
        <v>3264112.0011448101</v>
      </c>
      <c r="X102" t="s">
        <v>38</v>
      </c>
      <c r="Y102">
        <f>1-492-709-3062</f>
        <v>-4262</v>
      </c>
    </row>
    <row r="103" spans="1:25" x14ac:dyDescent="0.35">
      <c r="A103">
        <v>38.394299333524401</v>
      </c>
      <c r="B103">
        <v>-122.744723973205</v>
      </c>
      <c r="C103" t="s">
        <v>34</v>
      </c>
      <c r="D103">
        <v>9.7713523091585301</v>
      </c>
      <c r="E103">
        <v>4</v>
      </c>
      <c r="F103">
        <v>4507</v>
      </c>
      <c r="G103">
        <v>2</v>
      </c>
      <c r="H103">
        <v>2</v>
      </c>
      <c r="I103">
        <v>1983</v>
      </c>
      <c r="J103">
        <v>0</v>
      </c>
      <c r="K103">
        <v>1</v>
      </c>
      <c r="L103">
        <v>1</v>
      </c>
      <c r="M103">
        <v>11</v>
      </c>
      <c r="N103" t="s">
        <v>37</v>
      </c>
      <c r="O103" t="s">
        <v>32</v>
      </c>
      <c r="P103">
        <v>6.7470069546470803</v>
      </c>
      <c r="Q103">
        <v>0.67208209122548501</v>
      </c>
      <c r="R103">
        <v>1.16689669906532</v>
      </c>
      <c r="S103">
        <v>24</v>
      </c>
      <c r="T103">
        <v>77</v>
      </c>
      <c r="U103">
        <v>571.33382218423003</v>
      </c>
      <c r="V103">
        <v>2.4406478810738799E-3</v>
      </c>
      <c r="W103">
        <v>2865324.6129240999</v>
      </c>
      <c r="X103" t="s">
        <v>40</v>
      </c>
      <c r="Y103">
        <f>1-750-480-5363</f>
        <v>-6592</v>
      </c>
    </row>
    <row r="104" spans="1:25" x14ac:dyDescent="0.35">
      <c r="A104">
        <v>37.601323578540303</v>
      </c>
      <c r="B104">
        <v>-115.603822986262</v>
      </c>
      <c r="C104" t="s">
        <v>29</v>
      </c>
      <c r="D104">
        <v>21.485136910682101</v>
      </c>
      <c r="E104">
        <v>8</v>
      </c>
      <c r="F104">
        <v>551</v>
      </c>
      <c r="G104">
        <v>3</v>
      </c>
      <c r="H104">
        <v>1</v>
      </c>
      <c r="I104">
        <v>1961</v>
      </c>
      <c r="J104">
        <v>0</v>
      </c>
      <c r="K104">
        <v>0</v>
      </c>
      <c r="L104">
        <v>1</v>
      </c>
      <c r="M104">
        <v>4</v>
      </c>
      <c r="N104" t="s">
        <v>41</v>
      </c>
      <c r="O104" t="s">
        <v>32</v>
      </c>
      <c r="P104">
        <v>11.395560931155</v>
      </c>
      <c r="Q104">
        <v>1.40057229813909</v>
      </c>
      <c r="R104">
        <v>6.7018580131138199</v>
      </c>
      <c r="S104">
        <v>185</v>
      </c>
      <c r="T104">
        <v>47</v>
      </c>
      <c r="U104">
        <v>426.882633581562</v>
      </c>
      <c r="V104">
        <v>7.2595281306715E-3</v>
      </c>
      <c r="W104">
        <v>359489.50405991101</v>
      </c>
      <c r="X104" t="s">
        <v>39</v>
      </c>
      <c r="Y104">
        <f>1-703-739-8502</f>
        <v>-9943</v>
      </c>
    </row>
    <row r="105" spans="1:25" x14ac:dyDescent="0.35">
      <c r="A105">
        <v>36.722088461856202</v>
      </c>
      <c r="B105">
        <v>-114.36596903199001</v>
      </c>
      <c r="C105" t="s">
        <v>29</v>
      </c>
      <c r="D105">
        <v>25.280859596722401</v>
      </c>
      <c r="E105">
        <v>7</v>
      </c>
      <c r="F105">
        <v>989</v>
      </c>
      <c r="G105">
        <v>5</v>
      </c>
      <c r="H105">
        <v>2</v>
      </c>
      <c r="I105">
        <v>1982</v>
      </c>
      <c r="J105">
        <v>1</v>
      </c>
      <c r="K105">
        <v>1</v>
      </c>
      <c r="L105">
        <v>1</v>
      </c>
      <c r="M105">
        <v>12</v>
      </c>
      <c r="N105" t="s">
        <v>35</v>
      </c>
      <c r="O105" t="s">
        <v>32</v>
      </c>
      <c r="P105">
        <v>11.531617312201099</v>
      </c>
      <c r="Q105">
        <v>1.8618244421033701</v>
      </c>
      <c r="R105">
        <v>4.5253798959739902</v>
      </c>
      <c r="S105">
        <v>170</v>
      </c>
      <c r="T105">
        <v>67</v>
      </c>
      <c r="U105">
        <v>259.697739669013</v>
      </c>
      <c r="V105">
        <v>1.2133468149646101E-2</v>
      </c>
      <c r="W105">
        <v>753766.02916754899</v>
      </c>
      <c r="X105" t="s">
        <v>38</v>
      </c>
      <c r="Y105">
        <f>1-952-116-8957</f>
        <v>-10024</v>
      </c>
    </row>
    <row r="106" spans="1:25" x14ac:dyDescent="0.35">
      <c r="A106">
        <v>39.240392701127902</v>
      </c>
      <c r="B106">
        <v>-116.53651325652901</v>
      </c>
      <c r="C106" t="s">
        <v>25</v>
      </c>
      <c r="D106">
        <v>24.786628338476898</v>
      </c>
      <c r="E106">
        <v>8</v>
      </c>
      <c r="F106">
        <v>3436</v>
      </c>
      <c r="G106">
        <v>2</v>
      </c>
      <c r="H106">
        <v>2</v>
      </c>
      <c r="I106">
        <v>1956</v>
      </c>
      <c r="J106">
        <v>1</v>
      </c>
      <c r="K106">
        <v>0</v>
      </c>
      <c r="L106">
        <v>1</v>
      </c>
      <c r="M106">
        <v>4</v>
      </c>
      <c r="N106" t="s">
        <v>41</v>
      </c>
      <c r="O106" t="s">
        <v>27</v>
      </c>
      <c r="P106">
        <v>8.1872147647306104</v>
      </c>
      <c r="Q106">
        <v>0.72156305154811895</v>
      </c>
      <c r="R106">
        <v>2.9734450202152498</v>
      </c>
      <c r="S106">
        <v>3</v>
      </c>
      <c r="T106">
        <v>28</v>
      </c>
      <c r="U106">
        <v>665.84779750358905</v>
      </c>
      <c r="V106">
        <v>1.1641443538998801E-3</v>
      </c>
      <c r="W106">
        <v>2536814.5079166102</v>
      </c>
      <c r="X106" t="s">
        <v>31</v>
      </c>
      <c r="Y106">
        <f>1-990-804-6091</f>
        <v>-7884</v>
      </c>
    </row>
    <row r="107" spans="1:25" x14ac:dyDescent="0.35">
      <c r="A107">
        <v>34.025156063018201</v>
      </c>
      <c r="B107">
        <v>-117.26688967131599</v>
      </c>
      <c r="C107" t="s">
        <v>34</v>
      </c>
      <c r="D107">
        <v>19.552366808755401</v>
      </c>
      <c r="E107">
        <v>1</v>
      </c>
      <c r="F107">
        <v>3804</v>
      </c>
      <c r="G107">
        <v>1</v>
      </c>
      <c r="H107">
        <v>1</v>
      </c>
      <c r="I107">
        <v>2000</v>
      </c>
      <c r="J107">
        <v>1</v>
      </c>
      <c r="K107">
        <v>1</v>
      </c>
      <c r="L107">
        <v>1</v>
      </c>
      <c r="M107">
        <v>7</v>
      </c>
      <c r="N107" t="s">
        <v>37</v>
      </c>
      <c r="O107" t="s">
        <v>32</v>
      </c>
      <c r="P107">
        <v>13.4403059244368</v>
      </c>
      <c r="Q107">
        <v>1.6388346822164499</v>
      </c>
      <c r="R107">
        <v>6.8862377355220703</v>
      </c>
      <c r="S107">
        <v>99</v>
      </c>
      <c r="T107">
        <v>40</v>
      </c>
      <c r="U107">
        <v>692.54848315841002</v>
      </c>
      <c r="V107">
        <v>1.8401682439537299E-3</v>
      </c>
      <c r="W107">
        <v>2988125.75426888</v>
      </c>
      <c r="X107" t="s">
        <v>36</v>
      </c>
      <c r="Y107">
        <f>1-955-579-2291</f>
        <v>-3824</v>
      </c>
    </row>
    <row r="108" spans="1:25" x14ac:dyDescent="0.35">
      <c r="A108">
        <v>41.603444189314999</v>
      </c>
      <c r="B108">
        <v>-122.074506893514</v>
      </c>
      <c r="C108" t="s">
        <v>34</v>
      </c>
      <c r="D108">
        <v>27.611393957335199</v>
      </c>
      <c r="E108">
        <v>3</v>
      </c>
      <c r="F108">
        <v>1585</v>
      </c>
      <c r="G108">
        <v>2</v>
      </c>
      <c r="H108">
        <v>1</v>
      </c>
      <c r="I108">
        <v>1992</v>
      </c>
      <c r="J108">
        <v>0</v>
      </c>
      <c r="K108">
        <v>0</v>
      </c>
      <c r="L108">
        <v>0</v>
      </c>
      <c r="M108">
        <v>12</v>
      </c>
      <c r="N108" t="s">
        <v>35</v>
      </c>
      <c r="O108" t="s">
        <v>27</v>
      </c>
      <c r="P108">
        <v>13.833803612276</v>
      </c>
      <c r="Q108">
        <v>0.58874218320165195</v>
      </c>
      <c r="R108">
        <v>0.18856723152337901</v>
      </c>
      <c r="S108">
        <v>12</v>
      </c>
      <c r="T108">
        <v>78</v>
      </c>
      <c r="U108">
        <v>718.40875430545395</v>
      </c>
      <c r="V108">
        <v>7.5709779179810701E-3</v>
      </c>
      <c r="W108">
        <v>1399423.1214338299</v>
      </c>
      <c r="X108" t="s">
        <v>39</v>
      </c>
      <c r="Y108">
        <f>1-318-225-3126</f>
        <v>-3668</v>
      </c>
    </row>
    <row r="109" spans="1:25" x14ac:dyDescent="0.35">
      <c r="A109">
        <v>34.547252106805303</v>
      </c>
      <c r="B109">
        <v>-114.08927353827001</v>
      </c>
      <c r="C109" t="s">
        <v>25</v>
      </c>
      <c r="D109">
        <v>17.2369786960579</v>
      </c>
      <c r="E109">
        <v>5</v>
      </c>
      <c r="F109">
        <v>1955</v>
      </c>
      <c r="G109">
        <v>2</v>
      </c>
      <c r="H109">
        <v>2</v>
      </c>
      <c r="I109">
        <v>1963</v>
      </c>
      <c r="J109">
        <v>1</v>
      </c>
      <c r="K109">
        <v>0</v>
      </c>
      <c r="L109">
        <v>0</v>
      </c>
      <c r="M109">
        <v>11</v>
      </c>
      <c r="N109" t="s">
        <v>26</v>
      </c>
      <c r="O109" t="s">
        <v>27</v>
      </c>
      <c r="P109">
        <v>5.8594985004825899</v>
      </c>
      <c r="Q109">
        <v>1.7536923634541499</v>
      </c>
      <c r="R109">
        <v>3.2286350288534398</v>
      </c>
      <c r="S109">
        <v>18</v>
      </c>
      <c r="T109">
        <v>31</v>
      </c>
      <c r="U109">
        <v>683.97355964826102</v>
      </c>
      <c r="V109">
        <v>5.6265984654731401E-3</v>
      </c>
      <c r="W109">
        <v>1477781.76853851</v>
      </c>
      <c r="X109" t="s">
        <v>38</v>
      </c>
      <c r="Y109">
        <f>1-606-720-7660</f>
        <v>-8985</v>
      </c>
    </row>
    <row r="110" spans="1:25" x14ac:dyDescent="0.35">
      <c r="A110">
        <v>37.639515372400403</v>
      </c>
      <c r="B110">
        <v>-124.05064619333901</v>
      </c>
      <c r="C110" t="s">
        <v>25</v>
      </c>
      <c r="D110">
        <v>34.057878463983499</v>
      </c>
      <c r="E110">
        <v>7</v>
      </c>
      <c r="F110">
        <v>4416</v>
      </c>
      <c r="G110">
        <v>4</v>
      </c>
      <c r="H110">
        <v>2</v>
      </c>
      <c r="I110">
        <v>1974</v>
      </c>
      <c r="J110">
        <v>1</v>
      </c>
      <c r="K110">
        <v>1</v>
      </c>
      <c r="L110">
        <v>0</v>
      </c>
      <c r="M110">
        <v>13</v>
      </c>
      <c r="N110" t="s">
        <v>41</v>
      </c>
      <c r="O110" t="s">
        <v>30</v>
      </c>
      <c r="P110">
        <v>4.2425275905901403</v>
      </c>
      <c r="Q110">
        <v>1.56698496111267</v>
      </c>
      <c r="R110">
        <v>6.7557714862640204</v>
      </c>
      <c r="S110">
        <v>39</v>
      </c>
      <c r="T110">
        <v>40</v>
      </c>
      <c r="U110">
        <v>356.44345106719197</v>
      </c>
      <c r="V110">
        <v>2.9438405797101398E-3</v>
      </c>
      <c r="W110">
        <v>1993436.44699108</v>
      </c>
      <c r="X110" t="s">
        <v>33</v>
      </c>
      <c r="Y110">
        <f>1-342-900-2486</f>
        <v>-3727</v>
      </c>
    </row>
    <row r="111" spans="1:25" x14ac:dyDescent="0.35">
      <c r="A111">
        <v>33.598090996492402</v>
      </c>
      <c r="B111">
        <v>-124.037277313701</v>
      </c>
      <c r="C111" t="s">
        <v>29</v>
      </c>
      <c r="D111">
        <v>25.097338655691001</v>
      </c>
      <c r="E111">
        <v>1</v>
      </c>
      <c r="F111">
        <v>1528</v>
      </c>
      <c r="G111">
        <v>5</v>
      </c>
      <c r="H111">
        <v>3</v>
      </c>
      <c r="I111">
        <v>1967</v>
      </c>
      <c r="J111">
        <v>1</v>
      </c>
      <c r="K111">
        <v>0</v>
      </c>
      <c r="L111">
        <v>1</v>
      </c>
      <c r="M111">
        <v>13</v>
      </c>
      <c r="N111" t="s">
        <v>41</v>
      </c>
      <c r="O111" t="s">
        <v>27</v>
      </c>
      <c r="P111">
        <v>2.6889562293462199</v>
      </c>
      <c r="Q111">
        <v>1.6158825407944899</v>
      </c>
      <c r="R111">
        <v>6.8732962304841401</v>
      </c>
      <c r="S111">
        <v>88</v>
      </c>
      <c r="T111">
        <v>27</v>
      </c>
      <c r="U111">
        <v>501.61117037850101</v>
      </c>
      <c r="V111">
        <v>8.5078534031413598E-3</v>
      </c>
      <c r="W111">
        <v>1097012.0019771</v>
      </c>
      <c r="X111" t="s">
        <v>43</v>
      </c>
      <c r="Y111">
        <f>1-487-819-8303</f>
        <v>-9608</v>
      </c>
    </row>
    <row r="112" spans="1:25" x14ac:dyDescent="0.35">
      <c r="A112">
        <v>36.409173291847502</v>
      </c>
      <c r="B112">
        <v>-117.27680026536</v>
      </c>
      <c r="C112" t="s">
        <v>34</v>
      </c>
      <c r="D112">
        <v>16.5344710214274</v>
      </c>
      <c r="E112">
        <v>6</v>
      </c>
      <c r="F112">
        <v>3121</v>
      </c>
      <c r="G112">
        <v>1</v>
      </c>
      <c r="H112">
        <v>2</v>
      </c>
      <c r="I112">
        <v>1967</v>
      </c>
      <c r="J112">
        <v>0</v>
      </c>
      <c r="K112">
        <v>1</v>
      </c>
      <c r="L112">
        <v>1</v>
      </c>
      <c r="M112">
        <v>2</v>
      </c>
      <c r="N112" t="s">
        <v>37</v>
      </c>
      <c r="O112" t="s">
        <v>32</v>
      </c>
      <c r="P112">
        <v>10.3414168695729</v>
      </c>
      <c r="Q112">
        <v>0.99144059568334697</v>
      </c>
      <c r="R112">
        <v>8.6803993629557308</v>
      </c>
      <c r="S112">
        <v>18</v>
      </c>
      <c r="T112">
        <v>59</v>
      </c>
      <c r="U112">
        <v>529.03323304212995</v>
      </c>
      <c r="V112">
        <v>6.4082024991989701E-4</v>
      </c>
      <c r="W112">
        <v>1847441.40531355</v>
      </c>
      <c r="X112" t="s">
        <v>40</v>
      </c>
      <c r="Y112">
        <f>1-223-596-8902</f>
        <v>-9720</v>
      </c>
    </row>
    <row r="113" spans="1:25" x14ac:dyDescent="0.35">
      <c r="A113">
        <v>37.437934590716097</v>
      </c>
      <c r="B113">
        <v>-117.19324879846</v>
      </c>
      <c r="C113" t="s">
        <v>29</v>
      </c>
      <c r="D113">
        <v>31.311831390572799</v>
      </c>
      <c r="E113">
        <v>8</v>
      </c>
      <c r="F113">
        <v>2179</v>
      </c>
      <c r="G113">
        <v>1</v>
      </c>
      <c r="H113">
        <v>3</v>
      </c>
      <c r="I113">
        <v>1960</v>
      </c>
      <c r="J113">
        <v>0</v>
      </c>
      <c r="K113">
        <v>0</v>
      </c>
      <c r="L113">
        <v>0</v>
      </c>
      <c r="M113">
        <v>6</v>
      </c>
      <c r="N113" t="s">
        <v>41</v>
      </c>
      <c r="O113" t="s">
        <v>27</v>
      </c>
      <c r="P113">
        <v>8.4856360525069192</v>
      </c>
      <c r="Q113">
        <v>0.56082451053791305</v>
      </c>
      <c r="R113">
        <v>1.21848052356702</v>
      </c>
      <c r="S113">
        <v>110</v>
      </c>
      <c r="T113">
        <v>62</v>
      </c>
      <c r="U113">
        <v>698.81768858367695</v>
      </c>
      <c r="V113">
        <v>2.7535566773749399E-3</v>
      </c>
      <c r="W113">
        <v>1637116.9562009</v>
      </c>
      <c r="X113" t="s">
        <v>44</v>
      </c>
      <c r="Y113">
        <f>1-768-588-9256</f>
        <v>-10611</v>
      </c>
    </row>
    <row r="114" spans="1:25" x14ac:dyDescent="0.35">
      <c r="A114">
        <v>37.270801431986797</v>
      </c>
      <c r="B114">
        <v>-123.939835684049</v>
      </c>
      <c r="C114" t="s">
        <v>29</v>
      </c>
      <c r="D114">
        <v>11.126067941514499</v>
      </c>
      <c r="E114">
        <v>7</v>
      </c>
      <c r="F114">
        <v>2456</v>
      </c>
      <c r="G114">
        <v>3</v>
      </c>
      <c r="H114">
        <v>2</v>
      </c>
      <c r="I114">
        <v>1998</v>
      </c>
      <c r="J114">
        <v>0</v>
      </c>
      <c r="K114">
        <v>0</v>
      </c>
      <c r="L114">
        <v>1</v>
      </c>
      <c r="M114">
        <v>12</v>
      </c>
      <c r="N114" t="s">
        <v>26</v>
      </c>
      <c r="O114" t="s">
        <v>32</v>
      </c>
      <c r="P114">
        <v>12.5715076100284</v>
      </c>
      <c r="Q114">
        <v>2.4442476878899901</v>
      </c>
      <c r="R114">
        <v>9.4426043147847807</v>
      </c>
      <c r="S114">
        <v>124</v>
      </c>
      <c r="T114">
        <v>55</v>
      </c>
      <c r="U114">
        <v>794.17107162278899</v>
      </c>
      <c r="V114">
        <v>4.8859934853420096E-3</v>
      </c>
      <c r="W114">
        <v>2198107.8258250002</v>
      </c>
      <c r="X114" t="s">
        <v>33</v>
      </c>
      <c r="Y114">
        <f>1-491-980-2142</f>
        <v>-3612</v>
      </c>
    </row>
    <row r="115" spans="1:25" x14ac:dyDescent="0.35">
      <c r="A115">
        <v>37.8667355775234</v>
      </c>
      <c r="B115">
        <v>-121.410972493926</v>
      </c>
      <c r="C115" t="s">
        <v>34</v>
      </c>
      <c r="D115">
        <v>41.114074133126202</v>
      </c>
      <c r="E115">
        <v>7</v>
      </c>
      <c r="F115">
        <v>614</v>
      </c>
      <c r="G115">
        <v>4</v>
      </c>
      <c r="H115">
        <v>2</v>
      </c>
      <c r="I115">
        <v>2013</v>
      </c>
      <c r="J115">
        <v>1</v>
      </c>
      <c r="K115">
        <v>1</v>
      </c>
      <c r="L115">
        <v>1</v>
      </c>
      <c r="M115">
        <v>2</v>
      </c>
      <c r="N115" t="s">
        <v>41</v>
      </c>
      <c r="O115" t="s">
        <v>30</v>
      </c>
      <c r="P115">
        <v>5.22239514968902</v>
      </c>
      <c r="Q115">
        <v>1.6526766127486501</v>
      </c>
      <c r="R115">
        <v>2.4616227709446998</v>
      </c>
      <c r="S115">
        <v>58</v>
      </c>
      <c r="T115">
        <v>71</v>
      </c>
      <c r="U115">
        <v>674.12531988486001</v>
      </c>
      <c r="V115">
        <v>3.2573289902280101E-3</v>
      </c>
      <c r="W115">
        <v>860913.64187963097</v>
      </c>
      <c r="X115" t="s">
        <v>44</v>
      </c>
      <c r="Y115">
        <f>1-643-787-3218</f>
        <v>-4647</v>
      </c>
    </row>
    <row r="116" spans="1:25" x14ac:dyDescent="0.35">
      <c r="A116">
        <v>34.699333790759198</v>
      </c>
      <c r="B116">
        <v>-117.570201618355</v>
      </c>
      <c r="C116" t="s">
        <v>29</v>
      </c>
      <c r="D116">
        <v>28.086793252943</v>
      </c>
      <c r="E116">
        <v>6</v>
      </c>
      <c r="F116">
        <v>1576</v>
      </c>
      <c r="G116">
        <v>1</v>
      </c>
      <c r="H116">
        <v>2</v>
      </c>
      <c r="I116">
        <v>1952</v>
      </c>
      <c r="J116">
        <v>1</v>
      </c>
      <c r="K116">
        <v>0</v>
      </c>
      <c r="L116">
        <v>0</v>
      </c>
      <c r="M116">
        <v>10</v>
      </c>
      <c r="N116" t="s">
        <v>35</v>
      </c>
      <c r="O116" t="s">
        <v>30</v>
      </c>
      <c r="P116">
        <v>6.2445144163208699</v>
      </c>
      <c r="Q116">
        <v>1.3701218733439799</v>
      </c>
      <c r="R116">
        <v>7.3722666486991297</v>
      </c>
      <c r="S116">
        <v>19</v>
      </c>
      <c r="T116">
        <v>76</v>
      </c>
      <c r="U116">
        <v>431.10649572455998</v>
      </c>
      <c r="V116">
        <v>6.3451776649746097E-3</v>
      </c>
      <c r="W116">
        <v>674924.77220720996</v>
      </c>
      <c r="X116" t="s">
        <v>36</v>
      </c>
      <c r="Y116">
        <f>1-319-681-9744</f>
        <v>-10743</v>
      </c>
    </row>
    <row r="117" spans="1:25" x14ac:dyDescent="0.35">
      <c r="A117">
        <v>34.5608487977157</v>
      </c>
      <c r="B117">
        <v>-115.56037123502099</v>
      </c>
      <c r="C117" t="s">
        <v>34</v>
      </c>
      <c r="D117">
        <v>19.324004556325502</v>
      </c>
      <c r="E117">
        <v>4</v>
      </c>
      <c r="F117">
        <v>4495</v>
      </c>
      <c r="G117">
        <v>4</v>
      </c>
      <c r="H117">
        <v>1</v>
      </c>
      <c r="I117">
        <v>2006</v>
      </c>
      <c r="J117">
        <v>1</v>
      </c>
      <c r="K117">
        <v>1</v>
      </c>
      <c r="L117">
        <v>0</v>
      </c>
      <c r="M117">
        <v>10</v>
      </c>
      <c r="N117" t="s">
        <v>35</v>
      </c>
      <c r="O117" t="s">
        <v>32</v>
      </c>
      <c r="P117">
        <v>11.6259749898732</v>
      </c>
      <c r="Q117">
        <v>2.44116655874641</v>
      </c>
      <c r="R117">
        <v>1.1795558947392599</v>
      </c>
      <c r="S117">
        <v>119</v>
      </c>
      <c r="T117">
        <v>47</v>
      </c>
      <c r="U117">
        <v>753.59665468510002</v>
      </c>
      <c r="V117">
        <v>2.2246941045606199E-3</v>
      </c>
      <c r="W117">
        <v>3835535.2633880102</v>
      </c>
      <c r="X117" t="s">
        <v>39</v>
      </c>
      <c r="Y117">
        <f>1-684-928-8654</f>
        <v>-10265</v>
      </c>
    </row>
    <row r="118" spans="1:25" x14ac:dyDescent="0.35">
      <c r="A118">
        <v>38.4673204171796</v>
      </c>
      <c r="B118">
        <v>-121.11397870747599</v>
      </c>
      <c r="C118" t="s">
        <v>34</v>
      </c>
      <c r="D118">
        <v>35.8944382138436</v>
      </c>
      <c r="E118">
        <v>2</v>
      </c>
      <c r="F118">
        <v>4308</v>
      </c>
      <c r="G118">
        <v>4</v>
      </c>
      <c r="H118">
        <v>2</v>
      </c>
      <c r="I118">
        <v>2016</v>
      </c>
      <c r="J118">
        <v>1</v>
      </c>
      <c r="K118">
        <v>0</v>
      </c>
      <c r="L118">
        <v>0</v>
      </c>
      <c r="M118">
        <v>10</v>
      </c>
      <c r="N118" t="s">
        <v>37</v>
      </c>
      <c r="O118" t="s">
        <v>27</v>
      </c>
      <c r="P118">
        <v>7.8698001499405903</v>
      </c>
      <c r="Q118">
        <v>1.34155037420686</v>
      </c>
      <c r="R118">
        <v>4.0284181601152804</v>
      </c>
      <c r="S118">
        <v>28</v>
      </c>
      <c r="T118">
        <v>51</v>
      </c>
      <c r="U118">
        <v>457.18473574058902</v>
      </c>
      <c r="V118">
        <v>2.3212627669452102E-3</v>
      </c>
      <c r="W118">
        <v>2323943.00626523</v>
      </c>
      <c r="X118" t="s">
        <v>43</v>
      </c>
      <c r="Y118">
        <f>1-861-418-9301</f>
        <v>-10579</v>
      </c>
    </row>
    <row r="119" spans="1:25" x14ac:dyDescent="0.35">
      <c r="A119">
        <v>38.895529770162398</v>
      </c>
      <c r="B119">
        <v>-115.88175199958501</v>
      </c>
      <c r="C119" t="s">
        <v>29</v>
      </c>
      <c r="D119">
        <v>4.9492524707059102</v>
      </c>
      <c r="E119">
        <v>5</v>
      </c>
      <c r="F119">
        <v>3712</v>
      </c>
      <c r="G119">
        <v>2</v>
      </c>
      <c r="H119">
        <v>3</v>
      </c>
      <c r="I119">
        <v>1998</v>
      </c>
      <c r="J119">
        <v>0</v>
      </c>
      <c r="K119">
        <v>1</v>
      </c>
      <c r="L119">
        <v>0</v>
      </c>
      <c r="M119">
        <v>14</v>
      </c>
      <c r="N119" t="s">
        <v>41</v>
      </c>
      <c r="O119" t="s">
        <v>27</v>
      </c>
      <c r="P119">
        <v>12.2799457709616</v>
      </c>
      <c r="Q119">
        <v>0.81198063738481197</v>
      </c>
      <c r="R119">
        <v>2.1404612185854002</v>
      </c>
      <c r="S119">
        <v>47</v>
      </c>
      <c r="T119">
        <v>32</v>
      </c>
      <c r="U119">
        <v>940.47254989234204</v>
      </c>
      <c r="V119">
        <v>3.7715517241379299E-3</v>
      </c>
      <c r="W119">
        <v>3789645.0770080299</v>
      </c>
      <c r="X119" t="s">
        <v>28</v>
      </c>
      <c r="Y119">
        <f>1-849-559-7180</f>
        <v>-8587</v>
      </c>
    </row>
    <row r="120" spans="1:25" x14ac:dyDescent="0.35">
      <c r="A120">
        <v>39.654792173047397</v>
      </c>
      <c r="B120">
        <v>-123.998855243013</v>
      </c>
      <c r="C120" t="s">
        <v>34</v>
      </c>
      <c r="D120">
        <v>34.451614234355603</v>
      </c>
      <c r="E120">
        <v>8</v>
      </c>
      <c r="F120">
        <v>2756</v>
      </c>
      <c r="G120">
        <v>3</v>
      </c>
      <c r="H120">
        <v>3</v>
      </c>
      <c r="I120">
        <v>2007</v>
      </c>
      <c r="J120">
        <v>1</v>
      </c>
      <c r="K120">
        <v>0</v>
      </c>
      <c r="L120">
        <v>1</v>
      </c>
      <c r="M120">
        <v>11</v>
      </c>
      <c r="N120" t="s">
        <v>41</v>
      </c>
      <c r="O120" t="s">
        <v>30</v>
      </c>
      <c r="P120">
        <v>13.7292750548044</v>
      </c>
      <c r="Q120">
        <v>1.9589497331863699</v>
      </c>
      <c r="R120">
        <v>2.29646469332403</v>
      </c>
      <c r="S120">
        <v>100</v>
      </c>
      <c r="T120">
        <v>22</v>
      </c>
      <c r="U120">
        <v>243.70949106262799</v>
      </c>
      <c r="V120">
        <v>3.99129172714078E-3</v>
      </c>
      <c r="W120">
        <v>1076423.00361219</v>
      </c>
      <c r="X120" t="s">
        <v>39</v>
      </c>
      <c r="Y120">
        <f>1-392-425-2839</f>
        <v>-3655</v>
      </c>
    </row>
    <row r="121" spans="1:25" x14ac:dyDescent="0.35">
      <c r="A121">
        <v>36.697684690648003</v>
      </c>
      <c r="B121">
        <v>-117.175035258493</v>
      </c>
      <c r="C121" t="s">
        <v>34</v>
      </c>
      <c r="D121">
        <v>35.097169063001502</v>
      </c>
      <c r="E121">
        <v>9</v>
      </c>
      <c r="F121">
        <v>3272</v>
      </c>
      <c r="G121">
        <v>3</v>
      </c>
      <c r="H121">
        <v>1</v>
      </c>
      <c r="I121">
        <v>1953</v>
      </c>
      <c r="J121">
        <v>1</v>
      </c>
      <c r="K121">
        <v>1</v>
      </c>
      <c r="L121">
        <v>0</v>
      </c>
      <c r="M121">
        <v>9</v>
      </c>
      <c r="N121" t="s">
        <v>26</v>
      </c>
      <c r="O121" t="s">
        <v>27</v>
      </c>
      <c r="P121">
        <v>11.6465036525999</v>
      </c>
      <c r="Q121">
        <v>0.86864515987817204</v>
      </c>
      <c r="R121">
        <v>9.3892339626608692</v>
      </c>
      <c r="S121">
        <v>119</v>
      </c>
      <c r="T121">
        <v>23</v>
      </c>
      <c r="U121">
        <v>625.59395157655501</v>
      </c>
      <c r="V121">
        <v>2.7506112469437602E-3</v>
      </c>
      <c r="W121">
        <v>2335898.55113476</v>
      </c>
      <c r="X121" t="s">
        <v>31</v>
      </c>
      <c r="Y121">
        <f>1-930-374-1690</f>
        <v>-2993</v>
      </c>
    </row>
    <row r="122" spans="1:25" x14ac:dyDescent="0.35">
      <c r="A122">
        <v>34.668053420527102</v>
      </c>
      <c r="B122">
        <v>-121.28244826728699</v>
      </c>
      <c r="C122" t="s">
        <v>29</v>
      </c>
      <c r="D122">
        <v>49.203371291632699</v>
      </c>
      <c r="E122">
        <v>6</v>
      </c>
      <c r="F122">
        <v>1811</v>
      </c>
      <c r="G122">
        <v>1</v>
      </c>
      <c r="H122">
        <v>1</v>
      </c>
      <c r="I122">
        <v>1984</v>
      </c>
      <c r="J122">
        <v>0</v>
      </c>
      <c r="K122">
        <v>0</v>
      </c>
      <c r="L122">
        <v>0</v>
      </c>
      <c r="M122">
        <v>12</v>
      </c>
      <c r="N122" t="s">
        <v>37</v>
      </c>
      <c r="O122" t="s">
        <v>27</v>
      </c>
      <c r="P122">
        <v>6.4805466656725796</v>
      </c>
      <c r="Q122">
        <v>1.06726350771409</v>
      </c>
      <c r="R122">
        <v>6.4270540725124903</v>
      </c>
      <c r="S122">
        <v>189</v>
      </c>
      <c r="T122">
        <v>44</v>
      </c>
      <c r="U122">
        <v>772.73753752547202</v>
      </c>
      <c r="V122">
        <v>6.6261733848702303E-3</v>
      </c>
      <c r="W122">
        <v>1455073.8458582801</v>
      </c>
      <c r="X122" t="s">
        <v>43</v>
      </c>
      <c r="Y122">
        <f>1-625-611-9963</f>
        <v>-11198</v>
      </c>
    </row>
    <row r="123" spans="1:25" x14ac:dyDescent="0.35">
      <c r="A123">
        <v>39.700352451213902</v>
      </c>
      <c r="B123">
        <v>-120.027752149024</v>
      </c>
      <c r="C123" t="s">
        <v>34</v>
      </c>
      <c r="D123">
        <v>29.1185899409931</v>
      </c>
      <c r="E123">
        <v>9</v>
      </c>
      <c r="F123">
        <v>1265</v>
      </c>
      <c r="G123">
        <v>1</v>
      </c>
      <c r="H123">
        <v>2</v>
      </c>
      <c r="I123">
        <v>2021</v>
      </c>
      <c r="J123">
        <v>1</v>
      </c>
      <c r="K123">
        <v>1</v>
      </c>
      <c r="L123">
        <v>1</v>
      </c>
      <c r="M123">
        <v>3</v>
      </c>
      <c r="N123" t="s">
        <v>35</v>
      </c>
      <c r="O123" t="s">
        <v>30</v>
      </c>
      <c r="P123">
        <v>7.9920503201272801</v>
      </c>
      <c r="Q123">
        <v>2.3403692398686999</v>
      </c>
      <c r="R123">
        <v>8.2898767187218407</v>
      </c>
      <c r="S123">
        <v>195</v>
      </c>
      <c r="T123">
        <v>24</v>
      </c>
      <c r="U123">
        <v>457.011442921428</v>
      </c>
      <c r="V123">
        <v>2.37154150197628E-3</v>
      </c>
      <c r="W123">
        <v>904040.69229203102</v>
      </c>
      <c r="X123" t="s">
        <v>28</v>
      </c>
      <c r="Y123">
        <f>1-846-666-5413</f>
        <v>-6924</v>
      </c>
    </row>
    <row r="124" spans="1:25" x14ac:dyDescent="0.35">
      <c r="A124">
        <v>33.475229859188602</v>
      </c>
      <c r="B124">
        <v>-122.49493767125399</v>
      </c>
      <c r="C124" t="s">
        <v>25</v>
      </c>
      <c r="D124">
        <v>20.604658095595099</v>
      </c>
      <c r="E124">
        <v>3</v>
      </c>
      <c r="F124">
        <v>1023</v>
      </c>
      <c r="G124">
        <v>2</v>
      </c>
      <c r="H124">
        <v>2</v>
      </c>
      <c r="I124">
        <v>1972</v>
      </c>
      <c r="J124">
        <v>1</v>
      </c>
      <c r="K124">
        <v>1</v>
      </c>
      <c r="L124">
        <v>1</v>
      </c>
      <c r="M124">
        <v>2</v>
      </c>
      <c r="N124" t="s">
        <v>37</v>
      </c>
      <c r="O124" t="s">
        <v>30</v>
      </c>
      <c r="P124">
        <v>4.48685839028124</v>
      </c>
      <c r="Q124">
        <v>1.5935179855636801</v>
      </c>
      <c r="R124">
        <v>3.59421953358415</v>
      </c>
      <c r="S124">
        <v>176</v>
      </c>
      <c r="T124">
        <v>24</v>
      </c>
      <c r="U124">
        <v>901.72773118196096</v>
      </c>
      <c r="V124">
        <v>1.9550342130987201E-3</v>
      </c>
      <c r="W124">
        <v>1178388.2384510799</v>
      </c>
      <c r="X124" t="s">
        <v>42</v>
      </c>
      <c r="Y124">
        <f>1-291-809-3923</f>
        <v>-5022</v>
      </c>
    </row>
    <row r="125" spans="1:25" x14ac:dyDescent="0.35">
      <c r="A125">
        <v>41.880616078821497</v>
      </c>
      <c r="B125">
        <v>-119.145003222849</v>
      </c>
      <c r="C125" t="s">
        <v>25</v>
      </c>
      <c r="D125">
        <v>7.5506191585802602</v>
      </c>
      <c r="E125">
        <v>3</v>
      </c>
      <c r="F125">
        <v>1913</v>
      </c>
      <c r="G125">
        <v>4</v>
      </c>
      <c r="H125">
        <v>2</v>
      </c>
      <c r="I125">
        <v>1993</v>
      </c>
      <c r="J125">
        <v>0</v>
      </c>
      <c r="K125">
        <v>1</v>
      </c>
      <c r="L125">
        <v>1</v>
      </c>
      <c r="M125">
        <v>9</v>
      </c>
      <c r="N125" t="s">
        <v>35</v>
      </c>
      <c r="O125" t="s">
        <v>27</v>
      </c>
      <c r="P125">
        <v>2.6823348422942299</v>
      </c>
      <c r="Q125">
        <v>2.1080578147111102</v>
      </c>
      <c r="R125">
        <v>6.2566942043748703</v>
      </c>
      <c r="S125">
        <v>18</v>
      </c>
      <c r="T125">
        <v>53</v>
      </c>
      <c r="U125">
        <v>743.10953883411798</v>
      </c>
      <c r="V125">
        <v>4.7046523784631403E-3</v>
      </c>
      <c r="W125">
        <v>1788961.77458698</v>
      </c>
      <c r="X125" t="s">
        <v>38</v>
      </c>
      <c r="Y125">
        <f>1-272-345-4745</f>
        <v>-5361</v>
      </c>
    </row>
    <row r="126" spans="1:25" x14ac:dyDescent="0.35">
      <c r="A126">
        <v>40.014570181641602</v>
      </c>
      <c r="B126">
        <v>-124.420204275125</v>
      </c>
      <c r="C126" t="s">
        <v>29</v>
      </c>
      <c r="D126">
        <v>14.0386213111996</v>
      </c>
      <c r="E126">
        <v>6</v>
      </c>
      <c r="F126">
        <v>2155</v>
      </c>
      <c r="G126">
        <v>5</v>
      </c>
      <c r="H126">
        <v>1</v>
      </c>
      <c r="I126">
        <v>1974</v>
      </c>
      <c r="J126">
        <v>1</v>
      </c>
      <c r="K126">
        <v>1</v>
      </c>
      <c r="L126">
        <v>1</v>
      </c>
      <c r="M126">
        <v>6</v>
      </c>
      <c r="N126" t="s">
        <v>41</v>
      </c>
      <c r="O126" t="s">
        <v>27</v>
      </c>
      <c r="P126">
        <v>6.4168811398263701</v>
      </c>
      <c r="Q126">
        <v>1.30618790263647</v>
      </c>
      <c r="R126">
        <v>7.7892643289007504</v>
      </c>
      <c r="S126">
        <v>164</v>
      </c>
      <c r="T126">
        <v>48</v>
      </c>
      <c r="U126">
        <v>518.23251881821102</v>
      </c>
      <c r="V126">
        <v>2.7842227378190201E-3</v>
      </c>
      <c r="W126">
        <v>1528111.56638198</v>
      </c>
      <c r="X126" t="s">
        <v>39</v>
      </c>
      <c r="Y126">
        <f>1-204-226-9387</f>
        <v>-9816</v>
      </c>
    </row>
    <row r="127" spans="1:25" x14ac:dyDescent="0.35">
      <c r="A127">
        <v>34.096407231584998</v>
      </c>
      <c r="B127">
        <v>-123.355712035699</v>
      </c>
      <c r="C127" t="s">
        <v>25</v>
      </c>
      <c r="D127">
        <v>3.0703352341285699</v>
      </c>
      <c r="E127">
        <v>9</v>
      </c>
      <c r="F127">
        <v>3798</v>
      </c>
      <c r="G127">
        <v>2</v>
      </c>
      <c r="H127">
        <v>3</v>
      </c>
      <c r="I127">
        <v>1971</v>
      </c>
      <c r="J127">
        <v>0</v>
      </c>
      <c r="K127">
        <v>0</v>
      </c>
      <c r="L127">
        <v>0</v>
      </c>
      <c r="M127">
        <v>11</v>
      </c>
      <c r="N127" t="s">
        <v>26</v>
      </c>
      <c r="O127" t="s">
        <v>30</v>
      </c>
      <c r="P127">
        <v>13.133127880115</v>
      </c>
      <c r="Q127">
        <v>1.5939232350474399</v>
      </c>
      <c r="R127">
        <v>4.7401774758305697</v>
      </c>
      <c r="S127">
        <v>95</v>
      </c>
      <c r="T127">
        <v>55</v>
      </c>
      <c r="U127">
        <v>989.03467761396098</v>
      </c>
      <c r="V127">
        <v>2.8962611901000501E-3</v>
      </c>
      <c r="W127">
        <v>3880908.9365980998</v>
      </c>
      <c r="X127" t="s">
        <v>44</v>
      </c>
      <c r="Y127">
        <f>1-924-613-7152</f>
        <v>-8688</v>
      </c>
    </row>
    <row r="128" spans="1:25" x14ac:dyDescent="0.35">
      <c r="A128">
        <v>34.405744874330999</v>
      </c>
      <c r="B128">
        <v>-116.640832032402</v>
      </c>
      <c r="C128" t="s">
        <v>25</v>
      </c>
      <c r="D128">
        <v>28.599850552189402</v>
      </c>
      <c r="E128">
        <v>1</v>
      </c>
      <c r="F128">
        <v>3307</v>
      </c>
      <c r="G128">
        <v>4</v>
      </c>
      <c r="H128">
        <v>2</v>
      </c>
      <c r="I128">
        <v>1953</v>
      </c>
      <c r="J128">
        <v>0</v>
      </c>
      <c r="K128">
        <v>0</v>
      </c>
      <c r="L128">
        <v>1</v>
      </c>
      <c r="M128">
        <v>7</v>
      </c>
      <c r="N128" t="s">
        <v>41</v>
      </c>
      <c r="O128" t="s">
        <v>32</v>
      </c>
      <c r="P128">
        <v>14.6697599600669</v>
      </c>
      <c r="Q128">
        <v>0.805508645195263</v>
      </c>
      <c r="R128">
        <v>4.3993402618227302</v>
      </c>
      <c r="S128">
        <v>170</v>
      </c>
      <c r="T128">
        <v>62</v>
      </c>
      <c r="U128">
        <v>976.20671984437502</v>
      </c>
      <c r="V128">
        <v>2.1167221046265402E-3</v>
      </c>
      <c r="W128">
        <v>3538444.8779714098</v>
      </c>
      <c r="X128" t="s">
        <v>36</v>
      </c>
      <c r="Y128">
        <f>1-858-771-8234</f>
        <v>-9862</v>
      </c>
    </row>
    <row r="129" spans="1:25" x14ac:dyDescent="0.35">
      <c r="A129">
        <v>33.169934866877497</v>
      </c>
      <c r="B129">
        <v>-118.37317671554599</v>
      </c>
      <c r="C129" t="s">
        <v>25</v>
      </c>
      <c r="D129">
        <v>23.166062715641502</v>
      </c>
      <c r="E129">
        <v>3</v>
      </c>
      <c r="F129">
        <v>1630</v>
      </c>
      <c r="G129">
        <v>1</v>
      </c>
      <c r="H129">
        <v>1</v>
      </c>
      <c r="I129">
        <v>2022</v>
      </c>
      <c r="J129">
        <v>1</v>
      </c>
      <c r="K129">
        <v>1</v>
      </c>
      <c r="L129">
        <v>1</v>
      </c>
      <c r="M129">
        <v>2</v>
      </c>
      <c r="N129" t="s">
        <v>41</v>
      </c>
      <c r="O129" t="s">
        <v>32</v>
      </c>
      <c r="P129">
        <v>8.6631011218149201</v>
      </c>
      <c r="Q129">
        <v>1.96350177220094</v>
      </c>
      <c r="R129">
        <v>6.9312528704775902</v>
      </c>
      <c r="S129">
        <v>116</v>
      </c>
      <c r="T129">
        <v>59</v>
      </c>
      <c r="U129">
        <v>828.47724394259501</v>
      </c>
      <c r="V129">
        <v>1.2269938650306699E-3</v>
      </c>
      <c r="W129">
        <v>1635265.2691630099</v>
      </c>
      <c r="X129" t="s">
        <v>38</v>
      </c>
      <c r="Y129">
        <f>1-677-722-4992</f>
        <v>-6390</v>
      </c>
    </row>
    <row r="130" spans="1:25" x14ac:dyDescent="0.35">
      <c r="A130">
        <v>36.673395055105701</v>
      </c>
      <c r="B130">
        <v>-121.542817393066</v>
      </c>
      <c r="C130" t="s">
        <v>29</v>
      </c>
      <c r="D130">
        <v>48.068914757283302</v>
      </c>
      <c r="E130">
        <v>2</v>
      </c>
      <c r="F130">
        <v>968</v>
      </c>
      <c r="G130">
        <v>4</v>
      </c>
      <c r="H130">
        <v>1</v>
      </c>
      <c r="I130">
        <v>1993</v>
      </c>
      <c r="J130">
        <v>1</v>
      </c>
      <c r="K130">
        <v>1</v>
      </c>
      <c r="L130">
        <v>1</v>
      </c>
      <c r="M130">
        <v>6</v>
      </c>
      <c r="N130" t="s">
        <v>41</v>
      </c>
      <c r="O130" t="s">
        <v>30</v>
      </c>
      <c r="P130">
        <v>14.0595408459642</v>
      </c>
      <c r="Q130">
        <v>1.7985272149979299</v>
      </c>
      <c r="R130">
        <v>9.2693748218931606</v>
      </c>
      <c r="S130">
        <v>9</v>
      </c>
      <c r="T130">
        <v>42</v>
      </c>
      <c r="U130">
        <v>664.05290588745004</v>
      </c>
      <c r="V130">
        <v>6.1983471074380098E-3</v>
      </c>
      <c r="W130">
        <v>1062201.68433884</v>
      </c>
      <c r="X130" t="s">
        <v>42</v>
      </c>
      <c r="Y130">
        <f>1-754-236-3108</f>
        <v>-4097</v>
      </c>
    </row>
    <row r="131" spans="1:25" x14ac:dyDescent="0.35">
      <c r="A131">
        <v>35.138540801637902</v>
      </c>
      <c r="B131">
        <v>-117.50615791502599</v>
      </c>
      <c r="C131" t="s">
        <v>34</v>
      </c>
      <c r="D131">
        <v>21.8505942714872</v>
      </c>
      <c r="E131">
        <v>2</v>
      </c>
      <c r="F131">
        <v>2213</v>
      </c>
      <c r="G131">
        <v>2</v>
      </c>
      <c r="H131">
        <v>1</v>
      </c>
      <c r="I131">
        <v>2000</v>
      </c>
      <c r="J131">
        <v>0</v>
      </c>
      <c r="K131">
        <v>0</v>
      </c>
      <c r="L131">
        <v>0</v>
      </c>
      <c r="M131">
        <v>13</v>
      </c>
      <c r="N131" t="s">
        <v>35</v>
      </c>
      <c r="O131" t="s">
        <v>32</v>
      </c>
      <c r="P131">
        <v>11.8410732745141</v>
      </c>
      <c r="Q131">
        <v>0.60538694077100697</v>
      </c>
      <c r="R131">
        <v>7.2122195534222699</v>
      </c>
      <c r="S131">
        <v>0</v>
      </c>
      <c r="T131">
        <v>44</v>
      </c>
      <c r="U131">
        <v>764.54767644334004</v>
      </c>
      <c r="V131">
        <v>5.8743786714866696E-3</v>
      </c>
      <c r="W131">
        <v>1899426.0461760999</v>
      </c>
      <c r="X131" t="s">
        <v>38</v>
      </c>
      <c r="Y131">
        <f>1-393-881-7286</f>
        <v>-8559</v>
      </c>
    </row>
    <row r="132" spans="1:25" x14ac:dyDescent="0.35">
      <c r="A132">
        <v>37.210095548538902</v>
      </c>
      <c r="B132">
        <v>-119.210604958123</v>
      </c>
      <c r="C132" t="s">
        <v>25</v>
      </c>
      <c r="D132">
        <v>41.379492847647398</v>
      </c>
      <c r="E132">
        <v>9</v>
      </c>
      <c r="F132">
        <v>4383</v>
      </c>
      <c r="G132">
        <v>1</v>
      </c>
      <c r="H132">
        <v>2</v>
      </c>
      <c r="I132">
        <v>1998</v>
      </c>
      <c r="J132">
        <v>0</v>
      </c>
      <c r="K132">
        <v>1</v>
      </c>
      <c r="L132">
        <v>0</v>
      </c>
      <c r="M132">
        <v>12</v>
      </c>
      <c r="N132" t="s">
        <v>35</v>
      </c>
      <c r="O132" t="s">
        <v>32</v>
      </c>
      <c r="P132">
        <v>10.6787161234243</v>
      </c>
      <c r="Q132">
        <v>0.61211527363329998</v>
      </c>
      <c r="R132">
        <v>2.3625260673035702</v>
      </c>
      <c r="S132">
        <v>92</v>
      </c>
      <c r="T132">
        <v>35</v>
      </c>
      <c r="U132">
        <v>642.84456966472601</v>
      </c>
      <c r="V132">
        <v>2.7378507871321E-3</v>
      </c>
      <c r="W132">
        <v>3023212.6211817702</v>
      </c>
      <c r="X132" t="s">
        <v>38</v>
      </c>
      <c r="Y132">
        <f>1-593-830-9724</f>
        <v>-11146</v>
      </c>
    </row>
    <row r="133" spans="1:25" x14ac:dyDescent="0.35">
      <c r="A133">
        <v>40.925714607541302</v>
      </c>
      <c r="B133">
        <v>-122.032551156735</v>
      </c>
      <c r="C133" t="s">
        <v>29</v>
      </c>
      <c r="D133">
        <v>40.401616109712101</v>
      </c>
      <c r="E133">
        <v>4</v>
      </c>
      <c r="F133">
        <v>1151</v>
      </c>
      <c r="G133">
        <v>4</v>
      </c>
      <c r="H133">
        <v>3</v>
      </c>
      <c r="I133">
        <v>1965</v>
      </c>
      <c r="J133">
        <v>1</v>
      </c>
      <c r="K133">
        <v>1</v>
      </c>
      <c r="L133">
        <v>1</v>
      </c>
      <c r="M133">
        <v>4</v>
      </c>
      <c r="N133" t="s">
        <v>41</v>
      </c>
      <c r="O133" t="s">
        <v>30</v>
      </c>
      <c r="P133">
        <v>5.3262660051989696</v>
      </c>
      <c r="Q133">
        <v>2.3903993874162999</v>
      </c>
      <c r="R133">
        <v>0.52737916584511801</v>
      </c>
      <c r="S133">
        <v>56</v>
      </c>
      <c r="T133">
        <v>69</v>
      </c>
      <c r="U133">
        <v>848.97562566947795</v>
      </c>
      <c r="V133">
        <v>3.4752389226759299E-3</v>
      </c>
      <c r="W133">
        <v>1393966.75197807</v>
      </c>
      <c r="X133" t="s">
        <v>42</v>
      </c>
      <c r="Y133">
        <f>1-755-595-7850</f>
        <v>-9199</v>
      </c>
    </row>
    <row r="134" spans="1:25" x14ac:dyDescent="0.35">
      <c r="A134">
        <v>35.009571956398503</v>
      </c>
      <c r="B134">
        <v>-120.79051805071499</v>
      </c>
      <c r="C134" t="s">
        <v>25</v>
      </c>
      <c r="D134">
        <v>20.441640259183799</v>
      </c>
      <c r="E134">
        <v>9</v>
      </c>
      <c r="F134">
        <v>1343</v>
      </c>
      <c r="G134">
        <v>5</v>
      </c>
      <c r="H134">
        <v>1</v>
      </c>
      <c r="I134">
        <v>1970</v>
      </c>
      <c r="J134">
        <v>1</v>
      </c>
      <c r="K134">
        <v>0</v>
      </c>
      <c r="L134">
        <v>0</v>
      </c>
      <c r="M134">
        <v>11</v>
      </c>
      <c r="N134" t="s">
        <v>41</v>
      </c>
      <c r="O134" t="s">
        <v>27</v>
      </c>
      <c r="P134">
        <v>14.438323026883401</v>
      </c>
      <c r="Q134">
        <v>1.0157139168382501</v>
      </c>
      <c r="R134">
        <v>7.6542343431330897</v>
      </c>
      <c r="S134">
        <v>91</v>
      </c>
      <c r="T134">
        <v>52</v>
      </c>
      <c r="U134">
        <v>826.72825623843801</v>
      </c>
      <c r="V134">
        <v>8.1906180193596408E-3</v>
      </c>
      <c r="W134">
        <v>1423162.6146597301</v>
      </c>
      <c r="X134" t="s">
        <v>40</v>
      </c>
      <c r="Y134">
        <f>1-919-231-4938</f>
        <v>-6087</v>
      </c>
    </row>
    <row r="135" spans="1:25" x14ac:dyDescent="0.35">
      <c r="A135">
        <v>41.625529790391397</v>
      </c>
      <c r="B135">
        <v>-122.547299051154</v>
      </c>
      <c r="C135" t="s">
        <v>34</v>
      </c>
      <c r="D135">
        <v>12.023086141466599</v>
      </c>
      <c r="E135">
        <v>7</v>
      </c>
      <c r="F135">
        <v>1464</v>
      </c>
      <c r="G135">
        <v>1</v>
      </c>
      <c r="H135">
        <v>1</v>
      </c>
      <c r="I135">
        <v>1983</v>
      </c>
      <c r="J135">
        <v>0</v>
      </c>
      <c r="K135">
        <v>1</v>
      </c>
      <c r="L135">
        <v>1</v>
      </c>
      <c r="M135">
        <v>2</v>
      </c>
      <c r="N135" t="s">
        <v>37</v>
      </c>
      <c r="O135" t="s">
        <v>27</v>
      </c>
      <c r="P135">
        <v>10.9538429637881</v>
      </c>
      <c r="Q135">
        <v>1.1734815771968901</v>
      </c>
      <c r="R135">
        <v>7.6990100456413098</v>
      </c>
      <c r="S135">
        <v>6</v>
      </c>
      <c r="T135">
        <v>41</v>
      </c>
      <c r="U135">
        <v>645.12839066490596</v>
      </c>
      <c r="V135">
        <v>1.36612021857923E-3</v>
      </c>
      <c r="W135">
        <v>1167191.2047548201</v>
      </c>
      <c r="X135" t="s">
        <v>28</v>
      </c>
      <c r="Y135">
        <f>1-275-811-1079</f>
        <v>-2164</v>
      </c>
    </row>
    <row r="136" spans="1:25" x14ac:dyDescent="0.35">
      <c r="A136">
        <v>39.016930148416598</v>
      </c>
      <c r="B136">
        <v>-118.879085821611</v>
      </c>
      <c r="C136" t="s">
        <v>25</v>
      </c>
      <c r="D136">
        <v>4.2035175778012404</v>
      </c>
      <c r="E136">
        <v>9</v>
      </c>
      <c r="F136">
        <v>4233</v>
      </c>
      <c r="G136">
        <v>2</v>
      </c>
      <c r="H136">
        <v>1</v>
      </c>
      <c r="I136">
        <v>1963</v>
      </c>
      <c r="J136">
        <v>0</v>
      </c>
      <c r="K136">
        <v>0</v>
      </c>
      <c r="L136">
        <v>0</v>
      </c>
      <c r="M136">
        <v>6</v>
      </c>
      <c r="N136" t="s">
        <v>37</v>
      </c>
      <c r="O136" t="s">
        <v>27</v>
      </c>
      <c r="P136">
        <v>14.5944200806754</v>
      </c>
      <c r="Q136">
        <v>1.5356708791264999</v>
      </c>
      <c r="R136">
        <v>2.1303063309993702</v>
      </c>
      <c r="S136">
        <v>172</v>
      </c>
      <c r="T136">
        <v>58</v>
      </c>
      <c r="U136">
        <v>245.745649860474</v>
      </c>
      <c r="V136">
        <v>1.41743444365698E-3</v>
      </c>
      <c r="W136">
        <v>1138362.3792608301</v>
      </c>
      <c r="X136" t="s">
        <v>42</v>
      </c>
      <c r="Y136">
        <f>1-222-695-6276</f>
        <v>-7192</v>
      </c>
    </row>
    <row r="137" spans="1:25" x14ac:dyDescent="0.35">
      <c r="A137">
        <v>34.382429716883699</v>
      </c>
      <c r="B137">
        <v>-120.354763716321</v>
      </c>
      <c r="C137" t="s">
        <v>25</v>
      </c>
      <c r="D137">
        <v>4.9984430710572303</v>
      </c>
      <c r="E137">
        <v>5</v>
      </c>
      <c r="F137">
        <v>3843</v>
      </c>
      <c r="G137">
        <v>5</v>
      </c>
      <c r="H137">
        <v>1</v>
      </c>
      <c r="I137">
        <v>2015</v>
      </c>
      <c r="J137">
        <v>0</v>
      </c>
      <c r="K137">
        <v>0</v>
      </c>
      <c r="L137">
        <v>1</v>
      </c>
      <c r="M137">
        <v>3</v>
      </c>
      <c r="N137" t="s">
        <v>35</v>
      </c>
      <c r="O137" t="s">
        <v>30</v>
      </c>
      <c r="P137">
        <v>11.414420941854999</v>
      </c>
      <c r="Q137">
        <v>1.5709982534837501</v>
      </c>
      <c r="R137">
        <v>6.5020861913597896</v>
      </c>
      <c r="S137">
        <v>171</v>
      </c>
      <c r="T137">
        <v>29</v>
      </c>
      <c r="U137">
        <v>936.88075731063202</v>
      </c>
      <c r="V137">
        <v>7.8064012490241998E-4</v>
      </c>
      <c r="W137">
        <v>3949506.2106696698</v>
      </c>
      <c r="X137" t="s">
        <v>33</v>
      </c>
      <c r="Y137">
        <f>1-696-993-6861</f>
        <v>-8549</v>
      </c>
    </row>
    <row r="138" spans="1:25" x14ac:dyDescent="0.35">
      <c r="A138">
        <v>32.638639947812003</v>
      </c>
      <c r="B138">
        <v>-115.420674565195</v>
      </c>
      <c r="C138" t="s">
        <v>25</v>
      </c>
      <c r="D138">
        <v>40.629257086717402</v>
      </c>
      <c r="E138">
        <v>2</v>
      </c>
      <c r="F138">
        <v>3352</v>
      </c>
      <c r="G138">
        <v>5</v>
      </c>
      <c r="H138">
        <v>1</v>
      </c>
      <c r="I138">
        <v>1950</v>
      </c>
      <c r="J138">
        <v>0</v>
      </c>
      <c r="K138">
        <v>1</v>
      </c>
      <c r="L138">
        <v>0</v>
      </c>
      <c r="M138">
        <v>13</v>
      </c>
      <c r="N138" t="s">
        <v>26</v>
      </c>
      <c r="O138" t="s">
        <v>27</v>
      </c>
      <c r="P138">
        <v>6.1045116913853601</v>
      </c>
      <c r="Q138">
        <v>1.1684056233826401</v>
      </c>
      <c r="R138">
        <v>6.5392910431850897</v>
      </c>
      <c r="S138">
        <v>62</v>
      </c>
      <c r="T138">
        <v>47</v>
      </c>
      <c r="U138">
        <v>213.599821588174</v>
      </c>
      <c r="V138">
        <v>3.87828162291169E-3</v>
      </c>
      <c r="W138">
        <v>1035568.61007788</v>
      </c>
      <c r="X138" t="s">
        <v>33</v>
      </c>
      <c r="Y138">
        <f>1-606-777-7815</f>
        <v>-9197</v>
      </c>
    </row>
    <row r="139" spans="1:25" x14ac:dyDescent="0.35">
      <c r="A139">
        <v>38.289689858652999</v>
      </c>
      <c r="B139">
        <v>-118.43115254013399</v>
      </c>
      <c r="C139" t="s">
        <v>34</v>
      </c>
      <c r="D139">
        <v>17.027165425626901</v>
      </c>
      <c r="E139">
        <v>8</v>
      </c>
      <c r="F139">
        <v>3855</v>
      </c>
      <c r="G139">
        <v>5</v>
      </c>
      <c r="H139">
        <v>2</v>
      </c>
      <c r="I139">
        <v>1994</v>
      </c>
      <c r="J139">
        <v>1</v>
      </c>
      <c r="K139">
        <v>0</v>
      </c>
      <c r="L139">
        <v>1</v>
      </c>
      <c r="M139">
        <v>9</v>
      </c>
      <c r="N139" t="s">
        <v>26</v>
      </c>
      <c r="O139" t="s">
        <v>32</v>
      </c>
      <c r="P139">
        <v>13.2984445223841</v>
      </c>
      <c r="Q139">
        <v>1.9441100587083699</v>
      </c>
      <c r="R139">
        <v>5.7395410625480503</v>
      </c>
      <c r="S139">
        <v>11</v>
      </c>
      <c r="T139">
        <v>65</v>
      </c>
      <c r="U139">
        <v>732.13976524176098</v>
      </c>
      <c r="V139">
        <v>2.3346303501945499E-3</v>
      </c>
      <c r="W139">
        <v>3189622.44998735</v>
      </c>
      <c r="X139" t="s">
        <v>40</v>
      </c>
      <c r="Y139">
        <f>1-436-606-9238</f>
        <v>-10279</v>
      </c>
    </row>
    <row r="140" spans="1:25" x14ac:dyDescent="0.35">
      <c r="A140">
        <v>39.301320687224397</v>
      </c>
      <c r="B140">
        <v>-121.45515518358</v>
      </c>
      <c r="C140" t="s">
        <v>29</v>
      </c>
      <c r="D140">
        <v>49.519782982868698</v>
      </c>
      <c r="E140">
        <v>5</v>
      </c>
      <c r="F140">
        <v>3807</v>
      </c>
      <c r="G140">
        <v>5</v>
      </c>
      <c r="H140">
        <v>1</v>
      </c>
      <c r="I140">
        <v>2022</v>
      </c>
      <c r="J140">
        <v>1</v>
      </c>
      <c r="K140">
        <v>0</v>
      </c>
      <c r="L140">
        <v>0</v>
      </c>
      <c r="M140">
        <v>10</v>
      </c>
      <c r="N140" t="s">
        <v>37</v>
      </c>
      <c r="O140" t="s">
        <v>32</v>
      </c>
      <c r="P140">
        <v>4.1857652969764398</v>
      </c>
      <c r="Q140">
        <v>2.0686093665989498</v>
      </c>
      <c r="R140">
        <v>5.4068134293592296</v>
      </c>
      <c r="S140">
        <v>156</v>
      </c>
      <c r="T140">
        <v>58</v>
      </c>
      <c r="U140">
        <v>283.558742324376</v>
      </c>
      <c r="V140">
        <v>2.62674021539269E-3</v>
      </c>
      <c r="W140">
        <v>1385532.98855763</v>
      </c>
      <c r="X140" t="s">
        <v>28</v>
      </c>
      <c r="Y140">
        <f>1-636-862-3372</f>
        <v>-4869</v>
      </c>
    </row>
    <row r="141" spans="1:25" x14ac:dyDescent="0.35">
      <c r="A141">
        <v>34.691783037180201</v>
      </c>
      <c r="B141">
        <v>-114.460868107886</v>
      </c>
      <c r="C141" t="s">
        <v>29</v>
      </c>
      <c r="D141">
        <v>7.27802582779284</v>
      </c>
      <c r="E141">
        <v>6</v>
      </c>
      <c r="F141">
        <v>4992</v>
      </c>
      <c r="G141">
        <v>1</v>
      </c>
      <c r="H141">
        <v>3</v>
      </c>
      <c r="I141">
        <v>1962</v>
      </c>
      <c r="J141">
        <v>1</v>
      </c>
      <c r="K141">
        <v>0</v>
      </c>
      <c r="L141">
        <v>1</v>
      </c>
      <c r="M141">
        <v>6</v>
      </c>
      <c r="N141" t="s">
        <v>26</v>
      </c>
      <c r="O141" t="s">
        <v>32</v>
      </c>
      <c r="P141">
        <v>8.0216600203686408</v>
      </c>
      <c r="Q141">
        <v>0.86643785978277699</v>
      </c>
      <c r="R141">
        <v>9.9897045928191197</v>
      </c>
      <c r="S141">
        <v>6</v>
      </c>
      <c r="T141">
        <v>27</v>
      </c>
      <c r="U141">
        <v>560.185401658974</v>
      </c>
      <c r="V141">
        <v>1.2019230769230701E-3</v>
      </c>
      <c r="W141">
        <v>2912531.11960389</v>
      </c>
      <c r="X141" t="s">
        <v>44</v>
      </c>
      <c r="Y141">
        <f>1-803-930-8601</f>
        <v>-10333</v>
      </c>
    </row>
    <row r="142" spans="1:25" x14ac:dyDescent="0.35">
      <c r="A142">
        <v>39.785002125462199</v>
      </c>
      <c r="B142">
        <v>-121.938932355491</v>
      </c>
      <c r="C142" t="s">
        <v>34</v>
      </c>
      <c r="D142">
        <v>20.5880491658537</v>
      </c>
      <c r="E142">
        <v>0</v>
      </c>
      <c r="F142">
        <v>3406</v>
      </c>
      <c r="G142">
        <v>2</v>
      </c>
      <c r="H142">
        <v>1</v>
      </c>
      <c r="I142">
        <v>1991</v>
      </c>
      <c r="J142">
        <v>1</v>
      </c>
      <c r="K142">
        <v>0</v>
      </c>
      <c r="L142">
        <v>1</v>
      </c>
      <c r="M142">
        <v>3</v>
      </c>
      <c r="N142" t="s">
        <v>41</v>
      </c>
      <c r="O142" t="s">
        <v>30</v>
      </c>
      <c r="P142">
        <v>12.137065667522</v>
      </c>
      <c r="Q142">
        <v>0.98647160354672403</v>
      </c>
      <c r="R142">
        <v>1.78271819633119</v>
      </c>
      <c r="S142">
        <v>141</v>
      </c>
      <c r="T142">
        <v>46</v>
      </c>
      <c r="U142">
        <v>870.51575689711501</v>
      </c>
      <c r="V142">
        <v>8.8079859072225401E-4</v>
      </c>
      <c r="W142">
        <v>3159914.7602270399</v>
      </c>
      <c r="X142" t="s">
        <v>28</v>
      </c>
      <c r="Y142">
        <f>1-607-195-4935</f>
        <v>-5736</v>
      </c>
    </row>
    <row r="143" spans="1:25" x14ac:dyDescent="0.35">
      <c r="A143">
        <v>37.732600149810999</v>
      </c>
      <c r="B143">
        <v>-116.104069824286</v>
      </c>
      <c r="C143" t="s">
        <v>25</v>
      </c>
      <c r="D143">
        <v>25.9342265053258</v>
      </c>
      <c r="E143">
        <v>5</v>
      </c>
      <c r="F143">
        <v>2882</v>
      </c>
      <c r="G143">
        <v>3</v>
      </c>
      <c r="H143">
        <v>2</v>
      </c>
      <c r="I143">
        <v>1971</v>
      </c>
      <c r="J143">
        <v>0</v>
      </c>
      <c r="K143">
        <v>1</v>
      </c>
      <c r="L143">
        <v>0</v>
      </c>
      <c r="M143">
        <v>5</v>
      </c>
      <c r="N143" t="s">
        <v>37</v>
      </c>
      <c r="O143" t="s">
        <v>32</v>
      </c>
      <c r="P143">
        <v>14.711274400698899</v>
      </c>
      <c r="Q143">
        <v>1.2479017087000299</v>
      </c>
      <c r="R143">
        <v>4.4296712633167896</v>
      </c>
      <c r="S143">
        <v>131</v>
      </c>
      <c r="T143">
        <v>36</v>
      </c>
      <c r="U143">
        <v>739.81894295377003</v>
      </c>
      <c r="V143">
        <v>1.73490631505898E-3</v>
      </c>
      <c r="W143">
        <v>2491124.7822124101</v>
      </c>
      <c r="X143" t="s">
        <v>33</v>
      </c>
      <c r="Y143">
        <f>1-248-395-8614</f>
        <v>-9256</v>
      </c>
    </row>
    <row r="144" spans="1:25" x14ac:dyDescent="0.35">
      <c r="A144">
        <v>37.5621349502333</v>
      </c>
      <c r="B144">
        <v>-120.646471722342</v>
      </c>
      <c r="C144" t="s">
        <v>29</v>
      </c>
      <c r="D144">
        <v>25.539428847671701</v>
      </c>
      <c r="E144">
        <v>1</v>
      </c>
      <c r="F144">
        <v>3042</v>
      </c>
      <c r="G144">
        <v>1</v>
      </c>
      <c r="H144">
        <v>1</v>
      </c>
      <c r="I144">
        <v>1964</v>
      </c>
      <c r="J144">
        <v>0</v>
      </c>
      <c r="K144">
        <v>1</v>
      </c>
      <c r="L144">
        <v>1</v>
      </c>
      <c r="M144">
        <v>10</v>
      </c>
      <c r="N144" t="s">
        <v>41</v>
      </c>
      <c r="O144" t="s">
        <v>30</v>
      </c>
      <c r="P144">
        <v>10.666715024324599</v>
      </c>
      <c r="Q144">
        <v>1.3975506635828701</v>
      </c>
      <c r="R144">
        <v>3.4647282575758398</v>
      </c>
      <c r="S144">
        <v>0</v>
      </c>
      <c r="T144">
        <v>22</v>
      </c>
      <c r="U144">
        <v>782.84566607139902</v>
      </c>
      <c r="V144">
        <v>3.2873109796186699E-3</v>
      </c>
      <c r="W144">
        <v>2616547.43735471</v>
      </c>
      <c r="X144" t="s">
        <v>38</v>
      </c>
      <c r="Y144">
        <f>1-488-720-6101</f>
        <v>-7308</v>
      </c>
    </row>
    <row r="145" spans="1:25" x14ac:dyDescent="0.35">
      <c r="A145">
        <v>39.7702402847682</v>
      </c>
      <c r="B145">
        <v>-122.56174336913099</v>
      </c>
      <c r="C145" t="s">
        <v>29</v>
      </c>
      <c r="D145">
        <v>32.0102435033292</v>
      </c>
      <c r="E145">
        <v>5</v>
      </c>
      <c r="F145">
        <v>3139</v>
      </c>
      <c r="G145">
        <v>2</v>
      </c>
      <c r="H145">
        <v>2</v>
      </c>
      <c r="I145">
        <v>1985</v>
      </c>
      <c r="J145">
        <v>1</v>
      </c>
      <c r="K145">
        <v>0</v>
      </c>
      <c r="L145">
        <v>1</v>
      </c>
      <c r="M145">
        <v>10</v>
      </c>
      <c r="N145" t="s">
        <v>37</v>
      </c>
      <c r="O145" t="s">
        <v>27</v>
      </c>
      <c r="P145">
        <v>13.2377983911065</v>
      </c>
      <c r="Q145">
        <v>1.57668020750663</v>
      </c>
      <c r="R145">
        <v>2.2572443616807298</v>
      </c>
      <c r="S145">
        <v>122</v>
      </c>
      <c r="T145">
        <v>42</v>
      </c>
      <c r="U145">
        <v>756.00743809060498</v>
      </c>
      <c r="V145">
        <v>3.1857279388340198E-3</v>
      </c>
      <c r="W145">
        <v>2604321.2590154898</v>
      </c>
      <c r="X145" t="s">
        <v>31</v>
      </c>
      <c r="Y145">
        <f>1-691-745-2297</f>
        <v>-3732</v>
      </c>
    </row>
    <row r="146" spans="1:25" x14ac:dyDescent="0.35">
      <c r="A146">
        <v>34.426205522438501</v>
      </c>
      <c r="B146">
        <v>-117.430665994983</v>
      </c>
      <c r="C146" t="s">
        <v>34</v>
      </c>
      <c r="D146">
        <v>23.988468182253602</v>
      </c>
      <c r="E146">
        <v>5</v>
      </c>
      <c r="F146">
        <v>662</v>
      </c>
      <c r="G146">
        <v>4</v>
      </c>
      <c r="H146">
        <v>1</v>
      </c>
      <c r="I146">
        <v>1988</v>
      </c>
      <c r="J146">
        <v>1</v>
      </c>
      <c r="K146">
        <v>0</v>
      </c>
      <c r="L146">
        <v>1</v>
      </c>
      <c r="M146">
        <v>10</v>
      </c>
      <c r="N146" t="s">
        <v>41</v>
      </c>
      <c r="O146" t="s">
        <v>32</v>
      </c>
      <c r="P146">
        <v>11.155921284646</v>
      </c>
      <c r="Q146">
        <v>2.4491906329171602</v>
      </c>
      <c r="R146">
        <v>1.2284589050160799</v>
      </c>
      <c r="S146">
        <v>104</v>
      </c>
      <c r="T146">
        <v>49</v>
      </c>
      <c r="U146">
        <v>627.41941360601504</v>
      </c>
      <c r="V146">
        <v>1.51057401812688E-2</v>
      </c>
      <c r="W146">
        <v>650106.21009580698</v>
      </c>
      <c r="X146" t="s">
        <v>28</v>
      </c>
      <c r="Y146">
        <f>1-667-624-2461</f>
        <v>-3751</v>
      </c>
    </row>
    <row r="147" spans="1:25" x14ac:dyDescent="0.35">
      <c r="A147">
        <v>34.957958718389598</v>
      </c>
      <c r="B147">
        <v>-115.33119991230301</v>
      </c>
      <c r="C147" t="s">
        <v>25</v>
      </c>
      <c r="D147">
        <v>37.239207922793</v>
      </c>
      <c r="E147">
        <v>8</v>
      </c>
      <c r="F147">
        <v>2590</v>
      </c>
      <c r="G147">
        <v>5</v>
      </c>
      <c r="H147">
        <v>3</v>
      </c>
      <c r="I147">
        <v>2004</v>
      </c>
      <c r="J147">
        <v>1</v>
      </c>
      <c r="K147">
        <v>0</v>
      </c>
      <c r="L147">
        <v>1</v>
      </c>
      <c r="M147">
        <v>7</v>
      </c>
      <c r="N147" t="s">
        <v>37</v>
      </c>
      <c r="O147" t="s">
        <v>27</v>
      </c>
      <c r="P147">
        <v>5.6277681479535904</v>
      </c>
      <c r="Q147">
        <v>2.1404383551072099</v>
      </c>
      <c r="R147">
        <v>7.5744052553066599</v>
      </c>
      <c r="S147">
        <v>78</v>
      </c>
      <c r="T147">
        <v>65</v>
      </c>
      <c r="U147">
        <v>874.01831538015495</v>
      </c>
      <c r="V147">
        <v>2.7027027027026998E-3</v>
      </c>
      <c r="W147">
        <v>2658756.5851202002</v>
      </c>
      <c r="X147" t="s">
        <v>42</v>
      </c>
      <c r="Y147">
        <f>1-513-568-1741</f>
        <v>-2821</v>
      </c>
    </row>
    <row r="148" spans="1:25" x14ac:dyDescent="0.35">
      <c r="A148">
        <v>41.649563571440297</v>
      </c>
      <c r="B148">
        <v>-118.23762122334</v>
      </c>
      <c r="C148" t="s">
        <v>34</v>
      </c>
      <c r="D148">
        <v>42.639747417647399</v>
      </c>
      <c r="E148">
        <v>5</v>
      </c>
      <c r="F148">
        <v>4997</v>
      </c>
      <c r="G148">
        <v>3</v>
      </c>
      <c r="H148">
        <v>2</v>
      </c>
      <c r="I148">
        <v>1986</v>
      </c>
      <c r="J148">
        <v>0</v>
      </c>
      <c r="K148">
        <v>1</v>
      </c>
      <c r="L148">
        <v>0</v>
      </c>
      <c r="M148">
        <v>5</v>
      </c>
      <c r="N148" t="s">
        <v>26</v>
      </c>
      <c r="O148" t="s">
        <v>32</v>
      </c>
      <c r="P148">
        <v>10.713852641295301</v>
      </c>
      <c r="Q148">
        <v>2.0048350201587501</v>
      </c>
      <c r="R148">
        <v>2.53043323506283</v>
      </c>
      <c r="S148">
        <v>132</v>
      </c>
      <c r="T148">
        <v>52</v>
      </c>
      <c r="U148">
        <v>801.54512841271696</v>
      </c>
      <c r="V148">
        <v>1.0006003602161201E-3</v>
      </c>
      <c r="W148">
        <v>4297840.1662840201</v>
      </c>
      <c r="X148" t="s">
        <v>33</v>
      </c>
      <c r="Y148">
        <f>1-832-904-7064</f>
        <v>-8799</v>
      </c>
    </row>
    <row r="149" spans="1:25" x14ac:dyDescent="0.35">
      <c r="A149">
        <v>40.142003680728102</v>
      </c>
      <c r="B149">
        <v>-115.21554529356899</v>
      </c>
      <c r="C149" t="s">
        <v>29</v>
      </c>
      <c r="D149">
        <v>41.524503720238201</v>
      </c>
      <c r="E149">
        <v>2</v>
      </c>
      <c r="F149">
        <v>3459</v>
      </c>
      <c r="G149">
        <v>4</v>
      </c>
      <c r="H149">
        <v>2</v>
      </c>
      <c r="I149">
        <v>2008</v>
      </c>
      <c r="J149">
        <v>1</v>
      </c>
      <c r="K149">
        <v>0</v>
      </c>
      <c r="L149">
        <v>1</v>
      </c>
      <c r="M149">
        <v>13</v>
      </c>
      <c r="N149" t="s">
        <v>41</v>
      </c>
      <c r="O149" t="s">
        <v>32</v>
      </c>
      <c r="P149">
        <v>7.8241070044799201</v>
      </c>
      <c r="Q149">
        <v>0.577677310999821</v>
      </c>
      <c r="R149">
        <v>6.4669962026351504</v>
      </c>
      <c r="S149">
        <v>68</v>
      </c>
      <c r="T149">
        <v>61</v>
      </c>
      <c r="U149">
        <v>839.15482039410904</v>
      </c>
      <c r="V149">
        <v>3.7583116507661101E-3</v>
      </c>
      <c r="W149">
        <v>3287760.2695931601</v>
      </c>
      <c r="X149" t="s">
        <v>36</v>
      </c>
      <c r="Y149">
        <f>1-952-308-9245</f>
        <v>-10504</v>
      </c>
    </row>
    <row r="150" spans="1:25" x14ac:dyDescent="0.35">
      <c r="A150">
        <v>41.833776457539798</v>
      </c>
      <c r="B150">
        <v>-117.42459777254101</v>
      </c>
      <c r="C150" t="s">
        <v>29</v>
      </c>
      <c r="D150">
        <v>37.101287056350898</v>
      </c>
      <c r="E150">
        <v>7</v>
      </c>
      <c r="F150">
        <v>3006</v>
      </c>
      <c r="G150">
        <v>3</v>
      </c>
      <c r="H150">
        <v>2</v>
      </c>
      <c r="I150">
        <v>1950</v>
      </c>
      <c r="J150">
        <v>1</v>
      </c>
      <c r="K150">
        <v>0</v>
      </c>
      <c r="L150">
        <v>0</v>
      </c>
      <c r="M150">
        <v>13</v>
      </c>
      <c r="N150" t="s">
        <v>26</v>
      </c>
      <c r="O150" t="s">
        <v>27</v>
      </c>
      <c r="P150">
        <v>3.83985130254261</v>
      </c>
      <c r="Q150">
        <v>1.9281027562363999</v>
      </c>
      <c r="R150">
        <v>8.2072306213950501</v>
      </c>
      <c r="S150">
        <v>194</v>
      </c>
      <c r="T150">
        <v>60</v>
      </c>
      <c r="U150">
        <v>662.13879395628101</v>
      </c>
      <c r="V150">
        <v>4.3246839654025203E-3</v>
      </c>
      <c r="W150">
        <v>2087479.0888680399</v>
      </c>
      <c r="X150" t="s">
        <v>43</v>
      </c>
      <c r="Y150">
        <f>1-513-614-6113</f>
        <v>-7239</v>
      </c>
    </row>
    <row r="151" spans="1:25" x14ac:dyDescent="0.35">
      <c r="A151">
        <v>40.1794468325906</v>
      </c>
      <c r="B151">
        <v>-117.488465206586</v>
      </c>
      <c r="C151" t="s">
        <v>29</v>
      </c>
      <c r="D151">
        <v>48.447808126061602</v>
      </c>
      <c r="E151">
        <v>1</v>
      </c>
      <c r="F151">
        <v>936</v>
      </c>
      <c r="G151">
        <v>1</v>
      </c>
      <c r="H151">
        <v>1</v>
      </c>
      <c r="I151">
        <v>1981</v>
      </c>
      <c r="J151">
        <v>0</v>
      </c>
      <c r="K151">
        <v>1</v>
      </c>
      <c r="L151">
        <v>0</v>
      </c>
      <c r="M151">
        <v>4</v>
      </c>
      <c r="N151" t="s">
        <v>26</v>
      </c>
      <c r="O151" t="s">
        <v>30</v>
      </c>
      <c r="P151">
        <v>11.7259162962647</v>
      </c>
      <c r="Q151">
        <v>2.0961797919204002</v>
      </c>
      <c r="R151">
        <v>5.9593043124816401</v>
      </c>
      <c r="S151">
        <v>22</v>
      </c>
      <c r="T151">
        <v>54</v>
      </c>
      <c r="U151">
        <v>521.15942488939902</v>
      </c>
      <c r="V151">
        <v>4.2735042735042696E-3</v>
      </c>
      <c r="W151">
        <v>754668.04699599696</v>
      </c>
      <c r="X151" t="s">
        <v>33</v>
      </c>
      <c r="Y151">
        <f>1-768-370-3693</f>
        <v>-4830</v>
      </c>
    </row>
    <row r="152" spans="1:25" x14ac:dyDescent="0.35">
      <c r="A152">
        <v>36.808602547058598</v>
      </c>
      <c r="B152">
        <v>-121.691106985647</v>
      </c>
      <c r="C152" t="s">
        <v>25</v>
      </c>
      <c r="D152">
        <v>47.500527564547099</v>
      </c>
      <c r="E152">
        <v>2</v>
      </c>
      <c r="F152">
        <v>1441</v>
      </c>
      <c r="G152">
        <v>5</v>
      </c>
      <c r="H152">
        <v>2</v>
      </c>
      <c r="I152">
        <v>2018</v>
      </c>
      <c r="J152">
        <v>0</v>
      </c>
      <c r="K152">
        <v>0</v>
      </c>
      <c r="L152">
        <v>0</v>
      </c>
      <c r="M152">
        <v>3</v>
      </c>
      <c r="N152" t="s">
        <v>41</v>
      </c>
      <c r="O152" t="s">
        <v>30</v>
      </c>
      <c r="P152">
        <v>7.1541925478307604</v>
      </c>
      <c r="Q152">
        <v>2.0410043402618498</v>
      </c>
      <c r="R152">
        <v>5.9354294474503702</v>
      </c>
      <c r="S152">
        <v>48</v>
      </c>
      <c r="T152">
        <v>76</v>
      </c>
      <c r="U152">
        <v>353.31254504801001</v>
      </c>
      <c r="V152">
        <v>2.0818875780707802E-3</v>
      </c>
      <c r="W152">
        <v>899266.78158557997</v>
      </c>
      <c r="X152" t="s">
        <v>40</v>
      </c>
      <c r="Y152">
        <f>1-729-787-5712</f>
        <v>-7227</v>
      </c>
    </row>
    <row r="153" spans="1:25" x14ac:dyDescent="0.35">
      <c r="A153">
        <v>41.673784315968298</v>
      </c>
      <c r="B153">
        <v>-115.093153911188</v>
      </c>
      <c r="C153" t="s">
        <v>34</v>
      </c>
      <c r="D153">
        <v>10.9269251319045</v>
      </c>
      <c r="E153">
        <v>3</v>
      </c>
      <c r="F153">
        <v>1451</v>
      </c>
      <c r="G153">
        <v>3</v>
      </c>
      <c r="H153">
        <v>2</v>
      </c>
      <c r="I153">
        <v>2010</v>
      </c>
      <c r="J153">
        <v>1</v>
      </c>
      <c r="K153">
        <v>0</v>
      </c>
      <c r="L153">
        <v>1</v>
      </c>
      <c r="M153">
        <v>12</v>
      </c>
      <c r="N153" t="s">
        <v>37</v>
      </c>
      <c r="O153" t="s">
        <v>32</v>
      </c>
      <c r="P153">
        <v>14.962235832181101</v>
      </c>
      <c r="Q153">
        <v>1.2487852452147099</v>
      </c>
      <c r="R153">
        <v>9.3766632971276103</v>
      </c>
      <c r="S153">
        <v>160</v>
      </c>
      <c r="T153">
        <v>58</v>
      </c>
      <c r="U153">
        <v>858.44393868826501</v>
      </c>
      <c r="V153">
        <v>8.2701585113714605E-3</v>
      </c>
      <c r="W153">
        <v>1527728.99094262</v>
      </c>
      <c r="X153" t="s">
        <v>31</v>
      </c>
      <c r="Y153">
        <f>1-388-190-7523</f>
        <v>-8100</v>
      </c>
    </row>
    <row r="154" spans="1:25" x14ac:dyDescent="0.35">
      <c r="A154">
        <v>32.544452346949399</v>
      </c>
      <c r="B154">
        <v>-123.93996611127901</v>
      </c>
      <c r="C154" t="s">
        <v>29</v>
      </c>
      <c r="D154">
        <v>14.597067105348501</v>
      </c>
      <c r="E154">
        <v>7</v>
      </c>
      <c r="F154">
        <v>2154</v>
      </c>
      <c r="G154">
        <v>4</v>
      </c>
      <c r="H154">
        <v>2</v>
      </c>
      <c r="I154">
        <v>1989</v>
      </c>
      <c r="J154">
        <v>1</v>
      </c>
      <c r="K154">
        <v>1</v>
      </c>
      <c r="L154">
        <v>1</v>
      </c>
      <c r="M154">
        <v>2</v>
      </c>
      <c r="N154" t="s">
        <v>37</v>
      </c>
      <c r="O154" t="s">
        <v>32</v>
      </c>
      <c r="P154">
        <v>14.280521816454501</v>
      </c>
      <c r="Q154">
        <v>1.45789823489226</v>
      </c>
      <c r="R154">
        <v>5.5600824044299397</v>
      </c>
      <c r="S154">
        <v>119</v>
      </c>
      <c r="T154">
        <v>21</v>
      </c>
      <c r="U154">
        <v>799.724735573256</v>
      </c>
      <c r="V154">
        <v>9.2850510677808696E-4</v>
      </c>
      <c r="W154">
        <v>2176049.4105510102</v>
      </c>
      <c r="X154" t="s">
        <v>33</v>
      </c>
      <c r="Y154">
        <f>1-882-713-2874</f>
        <v>-4468</v>
      </c>
    </row>
    <row r="155" spans="1:25" x14ac:dyDescent="0.35">
      <c r="A155">
        <v>41.935441217159003</v>
      </c>
      <c r="B155">
        <v>-115.35922637342701</v>
      </c>
      <c r="C155" t="s">
        <v>29</v>
      </c>
      <c r="D155">
        <v>2.7937834333599398</v>
      </c>
      <c r="E155">
        <v>7</v>
      </c>
      <c r="F155">
        <v>2682</v>
      </c>
      <c r="G155">
        <v>2</v>
      </c>
      <c r="H155">
        <v>3</v>
      </c>
      <c r="I155">
        <v>1989</v>
      </c>
      <c r="J155">
        <v>1</v>
      </c>
      <c r="K155">
        <v>1</v>
      </c>
      <c r="L155">
        <v>0</v>
      </c>
      <c r="M155">
        <v>6</v>
      </c>
      <c r="N155" t="s">
        <v>35</v>
      </c>
      <c r="O155" t="s">
        <v>32</v>
      </c>
      <c r="P155">
        <v>10.253606250933201</v>
      </c>
      <c r="Q155">
        <v>1.6741769297851601</v>
      </c>
      <c r="R155">
        <v>8.3364485102099692</v>
      </c>
      <c r="S155">
        <v>13</v>
      </c>
      <c r="T155">
        <v>30</v>
      </c>
      <c r="U155">
        <v>840.59954631216499</v>
      </c>
      <c r="V155">
        <v>2.23713646532438E-3</v>
      </c>
      <c r="W155">
        <v>2566673.3532411698</v>
      </c>
      <c r="X155" t="s">
        <v>38</v>
      </c>
      <c r="Y155">
        <f>1-842-487-8427</f>
        <v>-9755</v>
      </c>
    </row>
    <row r="156" spans="1:25" x14ac:dyDescent="0.35">
      <c r="A156">
        <v>38.222865545511702</v>
      </c>
      <c r="B156">
        <v>-114.65418289468499</v>
      </c>
      <c r="C156" t="s">
        <v>29</v>
      </c>
      <c r="D156">
        <v>4.2694337292250397</v>
      </c>
      <c r="E156">
        <v>9</v>
      </c>
      <c r="F156">
        <v>3692</v>
      </c>
      <c r="G156">
        <v>1</v>
      </c>
      <c r="H156">
        <v>2</v>
      </c>
      <c r="I156">
        <v>2011</v>
      </c>
      <c r="J156">
        <v>0</v>
      </c>
      <c r="K156">
        <v>1</v>
      </c>
      <c r="L156">
        <v>1</v>
      </c>
      <c r="M156">
        <v>13</v>
      </c>
      <c r="N156" t="s">
        <v>37</v>
      </c>
      <c r="O156" t="s">
        <v>32</v>
      </c>
      <c r="P156">
        <v>6.8700934962023998</v>
      </c>
      <c r="Q156">
        <v>0.87979262074454301</v>
      </c>
      <c r="R156">
        <v>7.1694230791126099</v>
      </c>
      <c r="S156">
        <v>124</v>
      </c>
      <c r="T156">
        <v>29</v>
      </c>
      <c r="U156">
        <v>543.10285183254996</v>
      </c>
      <c r="V156">
        <v>3.5211267605633799E-3</v>
      </c>
      <c r="W156">
        <v>2198705.2246223898</v>
      </c>
      <c r="X156" t="s">
        <v>43</v>
      </c>
      <c r="Y156">
        <f>1-556-710-4856</f>
        <v>-6121</v>
      </c>
    </row>
    <row r="157" spans="1:25" x14ac:dyDescent="0.35">
      <c r="A157">
        <v>32.566551283169701</v>
      </c>
      <c r="B157">
        <v>-117.296416935633</v>
      </c>
      <c r="C157" t="s">
        <v>34</v>
      </c>
      <c r="D157">
        <v>37.265636327612803</v>
      </c>
      <c r="E157">
        <v>8</v>
      </c>
      <c r="F157">
        <v>723</v>
      </c>
      <c r="G157">
        <v>1</v>
      </c>
      <c r="H157">
        <v>2</v>
      </c>
      <c r="I157">
        <v>2008</v>
      </c>
      <c r="J157">
        <v>0</v>
      </c>
      <c r="K157">
        <v>0</v>
      </c>
      <c r="L157">
        <v>0</v>
      </c>
      <c r="M157">
        <v>4</v>
      </c>
      <c r="N157" t="s">
        <v>35</v>
      </c>
      <c r="O157" t="s">
        <v>27</v>
      </c>
      <c r="P157">
        <v>4.14259164883042</v>
      </c>
      <c r="Q157">
        <v>1.3841463081596499</v>
      </c>
      <c r="R157">
        <v>4.6189842160365497</v>
      </c>
      <c r="S157">
        <v>4</v>
      </c>
      <c r="T157">
        <v>43</v>
      </c>
      <c r="U157">
        <v>884.44033220710799</v>
      </c>
      <c r="V157">
        <v>5.5325034578146597E-3</v>
      </c>
      <c r="W157">
        <v>761670.42217224895</v>
      </c>
      <c r="X157" t="s">
        <v>40</v>
      </c>
      <c r="Y157">
        <f>1-582-137-1737</f>
        <v>-2455</v>
      </c>
    </row>
    <row r="158" spans="1:25" x14ac:dyDescent="0.35">
      <c r="A158">
        <v>34.131894903378303</v>
      </c>
      <c r="B158">
        <v>-114.305389906304</v>
      </c>
      <c r="C158" t="s">
        <v>29</v>
      </c>
      <c r="D158">
        <v>25.878462108032501</v>
      </c>
      <c r="E158">
        <v>3</v>
      </c>
      <c r="F158">
        <v>1408</v>
      </c>
      <c r="G158">
        <v>4</v>
      </c>
      <c r="H158">
        <v>2</v>
      </c>
      <c r="I158">
        <v>1988</v>
      </c>
      <c r="J158">
        <v>1</v>
      </c>
      <c r="K158">
        <v>1</v>
      </c>
      <c r="L158">
        <v>0</v>
      </c>
      <c r="M158">
        <v>12</v>
      </c>
      <c r="N158" t="s">
        <v>26</v>
      </c>
      <c r="O158" t="s">
        <v>30</v>
      </c>
      <c r="P158">
        <v>4.6970796369813996</v>
      </c>
      <c r="Q158">
        <v>2.1616752281028999</v>
      </c>
      <c r="R158">
        <v>9.5194558999299002</v>
      </c>
      <c r="S158">
        <v>90</v>
      </c>
      <c r="T158">
        <v>59</v>
      </c>
      <c r="U158">
        <v>215.86260051159201</v>
      </c>
      <c r="V158">
        <v>8.5227272727272704E-3</v>
      </c>
      <c r="W158">
        <v>638153.94089797395</v>
      </c>
      <c r="X158" t="s">
        <v>43</v>
      </c>
      <c r="Y158">
        <f>1-855-276-8663</f>
        <v>-9793</v>
      </c>
    </row>
    <row r="159" spans="1:25" x14ac:dyDescent="0.35">
      <c r="A159">
        <v>36.697878471317999</v>
      </c>
      <c r="B159">
        <v>-119.01204258844299</v>
      </c>
      <c r="C159" t="s">
        <v>29</v>
      </c>
      <c r="D159">
        <v>5.2010135943283</v>
      </c>
      <c r="E159">
        <v>9</v>
      </c>
      <c r="F159">
        <v>3443</v>
      </c>
      <c r="G159">
        <v>4</v>
      </c>
      <c r="H159">
        <v>3</v>
      </c>
      <c r="I159">
        <v>1961</v>
      </c>
      <c r="J159">
        <v>0</v>
      </c>
      <c r="K159">
        <v>0</v>
      </c>
      <c r="L159">
        <v>0</v>
      </c>
      <c r="M159">
        <v>4</v>
      </c>
      <c r="N159" t="s">
        <v>26</v>
      </c>
      <c r="O159" t="s">
        <v>32</v>
      </c>
      <c r="P159">
        <v>4.0927451179869303</v>
      </c>
      <c r="Q159">
        <v>2.0058699054857501</v>
      </c>
      <c r="R159">
        <v>9.2477754571323896</v>
      </c>
      <c r="S159">
        <v>193</v>
      </c>
      <c r="T159">
        <v>42</v>
      </c>
      <c r="U159">
        <v>255.32383897630999</v>
      </c>
      <c r="V159">
        <v>1.16177751960499E-3</v>
      </c>
      <c r="W159">
        <v>1041467.5235847801</v>
      </c>
      <c r="X159" t="s">
        <v>33</v>
      </c>
      <c r="Y159">
        <f>1-907-986-9058</f>
        <v>-10950</v>
      </c>
    </row>
    <row r="160" spans="1:25" x14ac:dyDescent="0.35">
      <c r="A160">
        <v>35.329112891569103</v>
      </c>
      <c r="B160">
        <v>-116.106349129918</v>
      </c>
      <c r="C160" t="s">
        <v>25</v>
      </c>
      <c r="D160">
        <v>22.790460418335499</v>
      </c>
      <c r="E160">
        <v>8</v>
      </c>
      <c r="F160">
        <v>3463</v>
      </c>
      <c r="G160">
        <v>4</v>
      </c>
      <c r="H160">
        <v>1</v>
      </c>
      <c r="I160">
        <v>1958</v>
      </c>
      <c r="J160">
        <v>1</v>
      </c>
      <c r="K160">
        <v>0</v>
      </c>
      <c r="L160">
        <v>1</v>
      </c>
      <c r="M160">
        <v>11</v>
      </c>
      <c r="N160" t="s">
        <v>35</v>
      </c>
      <c r="O160" t="s">
        <v>30</v>
      </c>
      <c r="P160">
        <v>2.51486551392775</v>
      </c>
      <c r="Q160">
        <v>2.29430049770406</v>
      </c>
      <c r="R160">
        <v>5.7344952300934002</v>
      </c>
      <c r="S160">
        <v>5</v>
      </c>
      <c r="T160">
        <v>61</v>
      </c>
      <c r="U160">
        <v>284.704514183578</v>
      </c>
      <c r="V160">
        <v>3.1764366156511602E-3</v>
      </c>
      <c r="W160">
        <v>1218170.4985315599</v>
      </c>
      <c r="X160" t="s">
        <v>31</v>
      </c>
      <c r="Y160">
        <f>1-554-711-9091</f>
        <v>-10355</v>
      </c>
    </row>
    <row r="161" spans="1:25" x14ac:dyDescent="0.35">
      <c r="A161">
        <v>41.858276044161897</v>
      </c>
      <c r="B161">
        <v>-119.955529080573</v>
      </c>
      <c r="C161" t="s">
        <v>25</v>
      </c>
      <c r="D161">
        <v>9.2455393616568298</v>
      </c>
      <c r="E161">
        <v>8</v>
      </c>
      <c r="F161">
        <v>3789</v>
      </c>
      <c r="G161">
        <v>5</v>
      </c>
      <c r="H161">
        <v>1</v>
      </c>
      <c r="I161">
        <v>2009</v>
      </c>
      <c r="J161">
        <v>0</v>
      </c>
      <c r="K161">
        <v>1</v>
      </c>
      <c r="L161">
        <v>0</v>
      </c>
      <c r="M161">
        <v>12</v>
      </c>
      <c r="N161" t="s">
        <v>26</v>
      </c>
      <c r="O161" t="s">
        <v>27</v>
      </c>
      <c r="P161">
        <v>4.3689048816972598</v>
      </c>
      <c r="Q161">
        <v>1.5518669572128101</v>
      </c>
      <c r="R161">
        <v>7.5882589467561798</v>
      </c>
      <c r="S161">
        <v>102</v>
      </c>
      <c r="T161">
        <v>54</v>
      </c>
      <c r="U161">
        <v>456.14567696740397</v>
      </c>
      <c r="V161">
        <v>3.16706254948535E-3</v>
      </c>
      <c r="W161">
        <v>2219317.7424122202</v>
      </c>
      <c r="X161" t="s">
        <v>44</v>
      </c>
      <c r="Y161">
        <f>1-983-397-1118</f>
        <v>-2497</v>
      </c>
    </row>
    <row r="162" spans="1:25" x14ac:dyDescent="0.35">
      <c r="A162">
        <v>34.653039905436003</v>
      </c>
      <c r="B162">
        <v>-124.10243445596301</v>
      </c>
      <c r="C162" t="s">
        <v>25</v>
      </c>
      <c r="D162">
        <v>11.545603647202199</v>
      </c>
      <c r="E162">
        <v>6</v>
      </c>
      <c r="F162">
        <v>1812</v>
      </c>
      <c r="G162">
        <v>4</v>
      </c>
      <c r="H162">
        <v>3</v>
      </c>
      <c r="I162">
        <v>1965</v>
      </c>
      <c r="J162">
        <v>1</v>
      </c>
      <c r="K162">
        <v>0</v>
      </c>
      <c r="L162">
        <v>0</v>
      </c>
      <c r="M162">
        <v>13</v>
      </c>
      <c r="N162" t="s">
        <v>37</v>
      </c>
      <c r="O162" t="s">
        <v>32</v>
      </c>
      <c r="P162">
        <v>11.1282296272271</v>
      </c>
      <c r="Q162">
        <v>1.37593002992689</v>
      </c>
      <c r="R162">
        <v>7.7826420143454698</v>
      </c>
      <c r="S162">
        <v>183</v>
      </c>
      <c r="T162">
        <v>32</v>
      </c>
      <c r="U162">
        <v>339.71199623151898</v>
      </c>
      <c r="V162">
        <v>7.1743929359823402E-3</v>
      </c>
      <c r="W162">
        <v>955879.45243986906</v>
      </c>
      <c r="X162" t="s">
        <v>33</v>
      </c>
      <c r="Y162">
        <f>1-682-555-1179</f>
        <v>-2415</v>
      </c>
    </row>
    <row r="163" spans="1:25" x14ac:dyDescent="0.35">
      <c r="A163">
        <v>33.038318872642002</v>
      </c>
      <c r="B163">
        <v>-114.350431343469</v>
      </c>
      <c r="C163" t="s">
        <v>34</v>
      </c>
      <c r="D163">
        <v>20.773319764514099</v>
      </c>
      <c r="E163">
        <v>0</v>
      </c>
      <c r="F163">
        <v>1292</v>
      </c>
      <c r="G163">
        <v>2</v>
      </c>
      <c r="H163">
        <v>2</v>
      </c>
      <c r="I163">
        <v>2002</v>
      </c>
      <c r="J163">
        <v>1</v>
      </c>
      <c r="K163">
        <v>1</v>
      </c>
      <c r="L163">
        <v>1</v>
      </c>
      <c r="M163">
        <v>10</v>
      </c>
      <c r="N163" t="s">
        <v>37</v>
      </c>
      <c r="O163" t="s">
        <v>32</v>
      </c>
      <c r="P163">
        <v>7.8500695781992</v>
      </c>
      <c r="Q163">
        <v>1.08653340899122</v>
      </c>
      <c r="R163">
        <v>4.2394389519987401</v>
      </c>
      <c r="S163">
        <v>185</v>
      </c>
      <c r="T163">
        <v>74</v>
      </c>
      <c r="U163">
        <v>286.05320286856499</v>
      </c>
      <c r="V163">
        <v>7.73993808049535E-3</v>
      </c>
      <c r="W163">
        <v>736512.217927463</v>
      </c>
      <c r="X163" t="s">
        <v>40</v>
      </c>
      <c r="Y163">
        <f>1-805-486-4703</f>
        <v>-5993</v>
      </c>
    </row>
    <row r="164" spans="1:25" x14ac:dyDescent="0.35">
      <c r="A164">
        <v>35.660830324795697</v>
      </c>
      <c r="B164">
        <v>-120.706825016227</v>
      </c>
      <c r="C164" t="s">
        <v>25</v>
      </c>
      <c r="D164">
        <v>40.321879982591497</v>
      </c>
      <c r="E164">
        <v>7</v>
      </c>
      <c r="F164">
        <v>1904</v>
      </c>
      <c r="G164">
        <v>2</v>
      </c>
      <c r="H164">
        <v>3</v>
      </c>
      <c r="I164">
        <v>1996</v>
      </c>
      <c r="J164">
        <v>0</v>
      </c>
      <c r="K164">
        <v>1</v>
      </c>
      <c r="L164">
        <v>0</v>
      </c>
      <c r="M164">
        <v>7</v>
      </c>
      <c r="N164" t="s">
        <v>35</v>
      </c>
      <c r="O164" t="s">
        <v>32</v>
      </c>
      <c r="P164">
        <v>11.773322566587099</v>
      </c>
      <c r="Q164">
        <v>0.596684794829899</v>
      </c>
      <c r="R164">
        <v>9.58567114838071</v>
      </c>
      <c r="S164">
        <v>169</v>
      </c>
      <c r="T164">
        <v>41</v>
      </c>
      <c r="U164">
        <v>580.94286599145903</v>
      </c>
      <c r="V164">
        <v>3.6764705882352902E-3</v>
      </c>
      <c r="W164">
        <v>1352318.1875893299</v>
      </c>
      <c r="X164" t="s">
        <v>33</v>
      </c>
      <c r="Y164">
        <f>1-473-159-6220</f>
        <v>-6851</v>
      </c>
    </row>
    <row r="165" spans="1:25" x14ac:dyDescent="0.35">
      <c r="A165">
        <v>33.783375908840398</v>
      </c>
      <c r="B165">
        <v>-123.41563397212001</v>
      </c>
      <c r="C165" t="s">
        <v>29</v>
      </c>
      <c r="D165">
        <v>10.926024985931599</v>
      </c>
      <c r="E165">
        <v>2</v>
      </c>
      <c r="F165">
        <v>3229</v>
      </c>
      <c r="G165">
        <v>5</v>
      </c>
      <c r="H165">
        <v>2</v>
      </c>
      <c r="I165">
        <v>1987</v>
      </c>
      <c r="J165">
        <v>1</v>
      </c>
      <c r="K165">
        <v>1</v>
      </c>
      <c r="L165">
        <v>1</v>
      </c>
      <c r="M165">
        <v>4</v>
      </c>
      <c r="N165" t="s">
        <v>35</v>
      </c>
      <c r="O165" t="s">
        <v>27</v>
      </c>
      <c r="P165">
        <v>11.575046346040899</v>
      </c>
      <c r="Q165">
        <v>1.4244223863295</v>
      </c>
      <c r="R165">
        <v>8.3752411109299398</v>
      </c>
      <c r="S165">
        <v>198</v>
      </c>
      <c r="T165">
        <v>61</v>
      </c>
      <c r="U165">
        <v>810.47049836567999</v>
      </c>
      <c r="V165">
        <v>1.2387736141220101E-3</v>
      </c>
      <c r="W165">
        <v>3149364.8400727999</v>
      </c>
      <c r="X165" t="s">
        <v>36</v>
      </c>
      <c r="Y165">
        <f>1-494-272-1364</f>
        <v>-2129</v>
      </c>
    </row>
    <row r="166" spans="1:25" x14ac:dyDescent="0.35">
      <c r="A166">
        <v>40.9517377241812</v>
      </c>
      <c r="B166">
        <v>-117.594933361754</v>
      </c>
      <c r="C166" t="s">
        <v>34</v>
      </c>
      <c r="D166">
        <v>7.7977522750979196</v>
      </c>
      <c r="E166">
        <v>0</v>
      </c>
      <c r="F166">
        <v>1259</v>
      </c>
      <c r="G166">
        <v>4</v>
      </c>
      <c r="H166">
        <v>1</v>
      </c>
      <c r="I166">
        <v>2022</v>
      </c>
      <c r="J166">
        <v>1</v>
      </c>
      <c r="K166">
        <v>1</v>
      </c>
      <c r="L166">
        <v>1</v>
      </c>
      <c r="M166">
        <v>10</v>
      </c>
      <c r="N166" t="s">
        <v>26</v>
      </c>
      <c r="O166" t="s">
        <v>32</v>
      </c>
      <c r="P166">
        <v>6.8968267789674496</v>
      </c>
      <c r="Q166">
        <v>0.78188755022519796</v>
      </c>
      <c r="R166">
        <v>9.0861791806021301</v>
      </c>
      <c r="S166">
        <v>183</v>
      </c>
      <c r="T166">
        <v>23</v>
      </c>
      <c r="U166">
        <v>919.62487836371804</v>
      </c>
      <c r="V166">
        <v>7.9428117553613908E-3</v>
      </c>
      <c r="W166">
        <v>1569794.4986280301</v>
      </c>
      <c r="X166" t="s">
        <v>42</v>
      </c>
      <c r="Y166">
        <f>1-789-722-7209</f>
        <v>-8719</v>
      </c>
    </row>
    <row r="167" spans="1:25" x14ac:dyDescent="0.35">
      <c r="A167">
        <v>33.635327700813498</v>
      </c>
      <c r="B167">
        <v>-114.163078607123</v>
      </c>
      <c r="C167" t="s">
        <v>25</v>
      </c>
      <c r="D167">
        <v>29.950039094464302</v>
      </c>
      <c r="E167">
        <v>6</v>
      </c>
      <c r="F167">
        <v>1453</v>
      </c>
      <c r="G167">
        <v>1</v>
      </c>
      <c r="H167">
        <v>3</v>
      </c>
      <c r="I167">
        <v>1997</v>
      </c>
      <c r="J167">
        <v>0</v>
      </c>
      <c r="K167">
        <v>0</v>
      </c>
      <c r="L167">
        <v>0</v>
      </c>
      <c r="M167">
        <v>14</v>
      </c>
      <c r="N167" t="s">
        <v>37</v>
      </c>
      <c r="O167" t="s">
        <v>32</v>
      </c>
      <c r="P167">
        <v>4.2181749947531104</v>
      </c>
      <c r="Q167">
        <v>0.95620498171218105</v>
      </c>
      <c r="R167">
        <v>9.3327348943288406</v>
      </c>
      <c r="S167">
        <v>168</v>
      </c>
      <c r="T167">
        <v>61</v>
      </c>
      <c r="U167">
        <v>653.56280879859105</v>
      </c>
      <c r="V167">
        <v>9.6352374397797608E-3</v>
      </c>
      <c r="W167">
        <v>1059161.07418377</v>
      </c>
      <c r="X167" t="s">
        <v>44</v>
      </c>
      <c r="Y167">
        <f>1-291-752-7963</f>
        <v>-9005</v>
      </c>
    </row>
    <row r="168" spans="1:25" x14ac:dyDescent="0.35">
      <c r="A168">
        <v>34.193638657681298</v>
      </c>
      <c r="B168">
        <v>-114.81832132928</v>
      </c>
      <c r="C168" t="s">
        <v>25</v>
      </c>
      <c r="D168">
        <v>35.1918766685409</v>
      </c>
      <c r="E168">
        <v>8</v>
      </c>
      <c r="F168">
        <v>2052</v>
      </c>
      <c r="G168">
        <v>2</v>
      </c>
      <c r="H168">
        <v>3</v>
      </c>
      <c r="I168">
        <v>1985</v>
      </c>
      <c r="J168">
        <v>1</v>
      </c>
      <c r="K168">
        <v>1</v>
      </c>
      <c r="L168">
        <v>0</v>
      </c>
      <c r="M168">
        <v>7</v>
      </c>
      <c r="N168" t="s">
        <v>26</v>
      </c>
      <c r="O168" t="s">
        <v>32</v>
      </c>
      <c r="P168">
        <v>3.9731095082226902</v>
      </c>
      <c r="Q168">
        <v>2.0298112250368798</v>
      </c>
      <c r="R168">
        <v>5.8296116840758003</v>
      </c>
      <c r="S168">
        <v>87</v>
      </c>
      <c r="T168">
        <v>37</v>
      </c>
      <c r="U168">
        <v>775.28982153335198</v>
      </c>
      <c r="V168">
        <v>3.4113060428849901E-3</v>
      </c>
      <c r="W168">
        <v>1883900.29547676</v>
      </c>
      <c r="X168" t="s">
        <v>39</v>
      </c>
      <c r="Y168">
        <f>1-249-378-6577</f>
        <v>-7203</v>
      </c>
    </row>
    <row r="169" spans="1:25" x14ac:dyDescent="0.35">
      <c r="A169">
        <v>37.968282998922298</v>
      </c>
      <c r="B169">
        <v>-118.509608806085</v>
      </c>
      <c r="C169" t="s">
        <v>34</v>
      </c>
      <c r="D169">
        <v>1.9857587826586001</v>
      </c>
      <c r="E169">
        <v>1</v>
      </c>
      <c r="F169">
        <v>3608</v>
      </c>
      <c r="G169">
        <v>5</v>
      </c>
      <c r="H169">
        <v>1</v>
      </c>
      <c r="I169">
        <v>1954</v>
      </c>
      <c r="J169">
        <v>1</v>
      </c>
      <c r="K169">
        <v>1</v>
      </c>
      <c r="L169">
        <v>0</v>
      </c>
      <c r="M169">
        <v>14</v>
      </c>
      <c r="N169" t="s">
        <v>26</v>
      </c>
      <c r="O169" t="s">
        <v>32</v>
      </c>
      <c r="P169">
        <v>12.650258831314799</v>
      </c>
      <c r="Q169">
        <v>1.9439809420763501</v>
      </c>
      <c r="R169">
        <v>3.4425259572479301</v>
      </c>
      <c r="S169">
        <v>189</v>
      </c>
      <c r="T169">
        <v>78</v>
      </c>
      <c r="U169">
        <v>697.00489284963203</v>
      </c>
      <c r="V169">
        <v>3.8802660753880199E-3</v>
      </c>
      <c r="W169">
        <v>2750959.8819492399</v>
      </c>
      <c r="X169" t="s">
        <v>31</v>
      </c>
      <c r="Y169">
        <f>1-662-726-8007</f>
        <v>-9394</v>
      </c>
    </row>
    <row r="170" spans="1:25" x14ac:dyDescent="0.35">
      <c r="A170">
        <v>37.779149277917298</v>
      </c>
      <c r="B170">
        <v>-118.56625587204201</v>
      </c>
      <c r="C170" t="s">
        <v>25</v>
      </c>
      <c r="D170">
        <v>8.4386114354498201</v>
      </c>
      <c r="E170">
        <v>9</v>
      </c>
      <c r="F170">
        <v>1941</v>
      </c>
      <c r="G170">
        <v>4</v>
      </c>
      <c r="H170">
        <v>2</v>
      </c>
      <c r="I170">
        <v>1998</v>
      </c>
      <c r="J170">
        <v>0</v>
      </c>
      <c r="K170">
        <v>0</v>
      </c>
      <c r="L170">
        <v>1</v>
      </c>
      <c r="M170">
        <v>13</v>
      </c>
      <c r="N170" t="s">
        <v>41</v>
      </c>
      <c r="O170" t="s">
        <v>32</v>
      </c>
      <c r="P170">
        <v>7.2610667705870302</v>
      </c>
      <c r="Q170">
        <v>1.64848268299761</v>
      </c>
      <c r="R170">
        <v>3.6093770510892398</v>
      </c>
      <c r="S170">
        <v>171</v>
      </c>
      <c r="T170">
        <v>72</v>
      </c>
      <c r="U170">
        <v>787.68792997218702</v>
      </c>
      <c r="V170">
        <v>6.69757856774858E-3</v>
      </c>
      <c r="W170">
        <v>1754919.41899765</v>
      </c>
      <c r="X170" t="s">
        <v>42</v>
      </c>
      <c r="Y170">
        <f>1-834-623-9753</f>
        <v>-11209</v>
      </c>
    </row>
    <row r="171" spans="1:25" x14ac:dyDescent="0.35">
      <c r="A171">
        <v>37.434283081206303</v>
      </c>
      <c r="B171">
        <v>-116.204911197434</v>
      </c>
      <c r="C171" t="s">
        <v>25</v>
      </c>
      <c r="D171">
        <v>41.870106356358498</v>
      </c>
      <c r="E171">
        <v>6</v>
      </c>
      <c r="F171">
        <v>833</v>
      </c>
      <c r="G171">
        <v>1</v>
      </c>
      <c r="H171">
        <v>3</v>
      </c>
      <c r="I171">
        <v>2010</v>
      </c>
      <c r="J171">
        <v>1</v>
      </c>
      <c r="K171">
        <v>0</v>
      </c>
      <c r="L171">
        <v>1</v>
      </c>
      <c r="M171">
        <v>10</v>
      </c>
      <c r="N171" t="s">
        <v>37</v>
      </c>
      <c r="O171" t="s">
        <v>27</v>
      </c>
      <c r="P171">
        <v>3.4431742967924901</v>
      </c>
      <c r="Q171">
        <v>0.55498505319926605</v>
      </c>
      <c r="R171">
        <v>1.0437060865235199</v>
      </c>
      <c r="S171">
        <v>54</v>
      </c>
      <c r="T171">
        <v>30</v>
      </c>
      <c r="U171">
        <v>508.638500396719</v>
      </c>
      <c r="V171">
        <v>1.2004801920768301E-2</v>
      </c>
      <c r="W171">
        <v>608333.92040975799</v>
      </c>
      <c r="X171" t="s">
        <v>36</v>
      </c>
      <c r="Y171">
        <f>1-947-757-1968</f>
        <v>-3671</v>
      </c>
    </row>
    <row r="172" spans="1:25" x14ac:dyDescent="0.35">
      <c r="A172">
        <v>35.732441630662798</v>
      </c>
      <c r="B172">
        <v>-116.594122187788</v>
      </c>
      <c r="C172" t="s">
        <v>25</v>
      </c>
      <c r="D172">
        <v>33.376132176608301</v>
      </c>
      <c r="E172">
        <v>3</v>
      </c>
      <c r="F172">
        <v>2088</v>
      </c>
      <c r="G172">
        <v>1</v>
      </c>
      <c r="H172">
        <v>3</v>
      </c>
      <c r="I172">
        <v>1957</v>
      </c>
      <c r="J172">
        <v>0</v>
      </c>
      <c r="K172">
        <v>1</v>
      </c>
      <c r="L172">
        <v>0</v>
      </c>
      <c r="M172">
        <v>10</v>
      </c>
      <c r="N172" t="s">
        <v>35</v>
      </c>
      <c r="O172" t="s">
        <v>30</v>
      </c>
      <c r="P172">
        <v>13.1062031094042</v>
      </c>
      <c r="Q172">
        <v>2.2697437720275602</v>
      </c>
      <c r="R172">
        <v>6.4603612417441196</v>
      </c>
      <c r="S172">
        <v>144</v>
      </c>
      <c r="T172">
        <v>26</v>
      </c>
      <c r="U172">
        <v>341.78146719491701</v>
      </c>
      <c r="V172">
        <v>4.7892720306513398E-3</v>
      </c>
      <c r="W172">
        <v>825599.06724855804</v>
      </c>
      <c r="X172" t="s">
        <v>36</v>
      </c>
      <c r="Y172">
        <f>1-842-441-4440</f>
        <v>-5722</v>
      </c>
    </row>
    <row r="173" spans="1:25" x14ac:dyDescent="0.35">
      <c r="A173">
        <v>38.1843320484681</v>
      </c>
      <c r="B173">
        <v>-118.324857468513</v>
      </c>
      <c r="C173" t="s">
        <v>34</v>
      </c>
      <c r="D173">
        <v>45.554215596180697</v>
      </c>
      <c r="E173">
        <v>7</v>
      </c>
      <c r="F173">
        <v>1218</v>
      </c>
      <c r="G173">
        <v>1</v>
      </c>
      <c r="H173">
        <v>2</v>
      </c>
      <c r="I173">
        <v>2022</v>
      </c>
      <c r="J173">
        <v>1</v>
      </c>
      <c r="K173">
        <v>0</v>
      </c>
      <c r="L173">
        <v>0</v>
      </c>
      <c r="M173">
        <v>4</v>
      </c>
      <c r="N173" t="s">
        <v>37</v>
      </c>
      <c r="O173" t="s">
        <v>27</v>
      </c>
      <c r="P173">
        <v>4.2936534052781301</v>
      </c>
      <c r="Q173">
        <v>2.3137774979949102</v>
      </c>
      <c r="R173">
        <v>2.1715106853131698</v>
      </c>
      <c r="S173">
        <v>51</v>
      </c>
      <c r="T173">
        <v>52</v>
      </c>
      <c r="U173">
        <v>488.65273974289602</v>
      </c>
      <c r="V173">
        <v>3.28407224958949E-3</v>
      </c>
      <c r="W173">
        <v>701227.92206192901</v>
      </c>
      <c r="X173" t="s">
        <v>31</v>
      </c>
      <c r="Y173">
        <f>1-222-629-8257</f>
        <v>-9107</v>
      </c>
    </row>
    <row r="174" spans="1:25" x14ac:dyDescent="0.35">
      <c r="A174">
        <v>39.758080930761899</v>
      </c>
      <c r="B174">
        <v>-118.20131764520301</v>
      </c>
      <c r="C174" t="s">
        <v>34</v>
      </c>
      <c r="D174">
        <v>36.042841845068502</v>
      </c>
      <c r="E174">
        <v>1</v>
      </c>
      <c r="F174">
        <v>1065</v>
      </c>
      <c r="G174">
        <v>1</v>
      </c>
      <c r="H174">
        <v>3</v>
      </c>
      <c r="I174">
        <v>1982</v>
      </c>
      <c r="J174">
        <v>1</v>
      </c>
      <c r="K174">
        <v>1</v>
      </c>
      <c r="L174">
        <v>0</v>
      </c>
      <c r="M174">
        <v>7</v>
      </c>
      <c r="N174" t="s">
        <v>41</v>
      </c>
      <c r="O174" t="s">
        <v>32</v>
      </c>
      <c r="P174">
        <v>5.0112248433928999</v>
      </c>
      <c r="Q174">
        <v>0.71582911640692004</v>
      </c>
      <c r="R174">
        <v>2.0196755651005001</v>
      </c>
      <c r="S174">
        <v>17</v>
      </c>
      <c r="T174">
        <v>37</v>
      </c>
      <c r="U174">
        <v>736.16584933687204</v>
      </c>
      <c r="V174">
        <v>6.5727699530516402E-3</v>
      </c>
      <c r="W174">
        <v>1033887.64366881</v>
      </c>
      <c r="X174" t="s">
        <v>31</v>
      </c>
      <c r="Y174">
        <f>1-422-973-8586</f>
        <v>-9980</v>
      </c>
    </row>
    <row r="175" spans="1:25" x14ac:dyDescent="0.35">
      <c r="A175">
        <v>34.952565371943599</v>
      </c>
      <c r="B175">
        <v>-123.36104864645</v>
      </c>
      <c r="C175" t="s">
        <v>25</v>
      </c>
      <c r="D175">
        <v>42.139460721586502</v>
      </c>
      <c r="E175">
        <v>5</v>
      </c>
      <c r="F175">
        <v>2010</v>
      </c>
      <c r="G175">
        <v>4</v>
      </c>
      <c r="H175">
        <v>1</v>
      </c>
      <c r="I175">
        <v>1999</v>
      </c>
      <c r="J175">
        <v>1</v>
      </c>
      <c r="K175">
        <v>0</v>
      </c>
      <c r="L175">
        <v>1</v>
      </c>
      <c r="M175">
        <v>3</v>
      </c>
      <c r="N175" t="s">
        <v>26</v>
      </c>
      <c r="O175" t="s">
        <v>27</v>
      </c>
      <c r="P175">
        <v>2.4727441965177599</v>
      </c>
      <c r="Q175">
        <v>2.0259913135941199</v>
      </c>
      <c r="R175">
        <v>0.81737430051354398</v>
      </c>
      <c r="S175">
        <v>136</v>
      </c>
      <c r="T175">
        <v>26</v>
      </c>
      <c r="U175">
        <v>781.10510206322795</v>
      </c>
      <c r="V175">
        <v>1.49253731343283E-3</v>
      </c>
      <c r="W175">
        <v>1823708.4146881199</v>
      </c>
      <c r="X175" t="s">
        <v>43</v>
      </c>
      <c r="Y175">
        <f>1-940-708-8620</f>
        <v>-10267</v>
      </c>
    </row>
    <row r="176" spans="1:25" x14ac:dyDescent="0.35">
      <c r="A176">
        <v>40.023509291096097</v>
      </c>
      <c r="B176">
        <v>-117.783966110455</v>
      </c>
      <c r="C176" t="s">
        <v>29</v>
      </c>
      <c r="D176">
        <v>37.140386532056198</v>
      </c>
      <c r="E176">
        <v>5</v>
      </c>
      <c r="F176">
        <v>1655</v>
      </c>
      <c r="G176">
        <v>3</v>
      </c>
      <c r="H176">
        <v>1</v>
      </c>
      <c r="I176">
        <v>1952</v>
      </c>
      <c r="J176">
        <v>1</v>
      </c>
      <c r="K176">
        <v>0</v>
      </c>
      <c r="L176">
        <v>1</v>
      </c>
      <c r="M176">
        <v>13</v>
      </c>
      <c r="N176" t="s">
        <v>41</v>
      </c>
      <c r="O176" t="s">
        <v>27</v>
      </c>
      <c r="P176">
        <v>7.4390180222865698</v>
      </c>
      <c r="Q176">
        <v>0.510946087607836</v>
      </c>
      <c r="R176">
        <v>6.3821179032832003</v>
      </c>
      <c r="S176">
        <v>140</v>
      </c>
      <c r="T176">
        <v>55</v>
      </c>
      <c r="U176">
        <v>553.73569882368099</v>
      </c>
      <c r="V176">
        <v>7.8549848942598196E-3</v>
      </c>
      <c r="W176">
        <v>1086244.41034444</v>
      </c>
      <c r="X176" t="s">
        <v>39</v>
      </c>
      <c r="Y176">
        <f>1-911-273-6475</f>
        <v>-7658</v>
      </c>
    </row>
    <row r="177" spans="1:25" x14ac:dyDescent="0.35">
      <c r="A177">
        <v>38.032237838777903</v>
      </c>
      <c r="B177">
        <v>-120.950113364524</v>
      </c>
      <c r="C177" t="s">
        <v>34</v>
      </c>
      <c r="D177">
        <v>28.273281257816102</v>
      </c>
      <c r="E177">
        <v>5</v>
      </c>
      <c r="F177">
        <v>992</v>
      </c>
      <c r="G177">
        <v>3</v>
      </c>
      <c r="H177">
        <v>2</v>
      </c>
      <c r="I177">
        <v>2001</v>
      </c>
      <c r="J177">
        <v>0</v>
      </c>
      <c r="K177">
        <v>0</v>
      </c>
      <c r="L177">
        <v>0</v>
      </c>
      <c r="M177">
        <v>12</v>
      </c>
      <c r="N177" t="s">
        <v>26</v>
      </c>
      <c r="O177" t="s">
        <v>32</v>
      </c>
      <c r="P177">
        <v>3.9090419820960398</v>
      </c>
      <c r="Q177">
        <v>2.1033335536715501</v>
      </c>
      <c r="R177">
        <v>8.5577020320460004</v>
      </c>
      <c r="S177">
        <v>31</v>
      </c>
      <c r="T177">
        <v>47</v>
      </c>
      <c r="U177">
        <v>410.39389848301602</v>
      </c>
      <c r="V177">
        <v>1.20967741935483E-2</v>
      </c>
      <c r="W177">
        <v>539557.25894940097</v>
      </c>
      <c r="X177" t="s">
        <v>33</v>
      </c>
      <c r="Y177">
        <f>1-808-881-4725</f>
        <v>-6413</v>
      </c>
    </row>
    <row r="178" spans="1:25" x14ac:dyDescent="0.35">
      <c r="A178">
        <v>39.629164829039603</v>
      </c>
      <c r="B178">
        <v>-114.703993823521</v>
      </c>
      <c r="C178" t="s">
        <v>29</v>
      </c>
      <c r="D178">
        <v>37.952032409340703</v>
      </c>
      <c r="E178">
        <v>4</v>
      </c>
      <c r="F178">
        <v>3550</v>
      </c>
      <c r="G178">
        <v>1</v>
      </c>
      <c r="H178">
        <v>2</v>
      </c>
      <c r="I178">
        <v>2013</v>
      </c>
      <c r="J178">
        <v>1</v>
      </c>
      <c r="K178">
        <v>0</v>
      </c>
      <c r="L178">
        <v>1</v>
      </c>
      <c r="M178">
        <v>2</v>
      </c>
      <c r="N178" t="s">
        <v>35</v>
      </c>
      <c r="O178" t="s">
        <v>30</v>
      </c>
      <c r="P178">
        <v>10.838548754562501</v>
      </c>
      <c r="Q178">
        <v>1.4655033114742</v>
      </c>
      <c r="R178">
        <v>6.9958336384927504</v>
      </c>
      <c r="S178">
        <v>36</v>
      </c>
      <c r="T178">
        <v>48</v>
      </c>
      <c r="U178">
        <v>870.327030077725</v>
      </c>
      <c r="V178">
        <v>5.6338028169014001E-4</v>
      </c>
      <c r="W178">
        <v>3346732.43694381</v>
      </c>
      <c r="X178" t="s">
        <v>40</v>
      </c>
      <c r="Y178">
        <f>1-661-745-1146</f>
        <v>-2551</v>
      </c>
    </row>
    <row r="179" spans="1:25" x14ac:dyDescent="0.35">
      <c r="A179">
        <v>39.653319459023201</v>
      </c>
      <c r="B179">
        <v>-118.269566532773</v>
      </c>
      <c r="C179" t="s">
        <v>34</v>
      </c>
      <c r="D179">
        <v>26.669140244707901</v>
      </c>
      <c r="E179">
        <v>6</v>
      </c>
      <c r="F179">
        <v>1252</v>
      </c>
      <c r="G179">
        <v>3</v>
      </c>
      <c r="H179">
        <v>2</v>
      </c>
      <c r="I179">
        <v>2006</v>
      </c>
      <c r="J179">
        <v>1</v>
      </c>
      <c r="K179">
        <v>0</v>
      </c>
      <c r="L179">
        <v>1</v>
      </c>
      <c r="M179">
        <v>4</v>
      </c>
      <c r="N179" t="s">
        <v>26</v>
      </c>
      <c r="O179" t="s">
        <v>27</v>
      </c>
      <c r="P179">
        <v>8.56812716969897</v>
      </c>
      <c r="Q179">
        <v>1.5807099194610299</v>
      </c>
      <c r="R179">
        <v>6.0512430340585698E-2</v>
      </c>
      <c r="S179">
        <v>10</v>
      </c>
      <c r="T179">
        <v>23</v>
      </c>
      <c r="U179">
        <v>374.95231664235803</v>
      </c>
      <c r="V179">
        <v>3.1948881789137301E-3</v>
      </c>
      <c r="W179">
        <v>935675.81647269602</v>
      </c>
      <c r="X179" t="s">
        <v>33</v>
      </c>
      <c r="Y179">
        <f>1-584-605-1127</f>
        <v>-2315</v>
      </c>
    </row>
    <row r="180" spans="1:25" x14ac:dyDescent="0.35">
      <c r="A180">
        <v>40.972164791891103</v>
      </c>
      <c r="B180">
        <v>-118.885993937075</v>
      </c>
      <c r="C180" t="s">
        <v>25</v>
      </c>
      <c r="D180">
        <v>46.138924312888399</v>
      </c>
      <c r="E180">
        <v>6</v>
      </c>
      <c r="F180">
        <v>2253</v>
      </c>
      <c r="G180">
        <v>1</v>
      </c>
      <c r="H180">
        <v>3</v>
      </c>
      <c r="I180">
        <v>1973</v>
      </c>
      <c r="J180">
        <v>1</v>
      </c>
      <c r="K180">
        <v>1</v>
      </c>
      <c r="L180">
        <v>0</v>
      </c>
      <c r="M180">
        <v>4</v>
      </c>
      <c r="N180" t="s">
        <v>37</v>
      </c>
      <c r="O180" t="s">
        <v>32</v>
      </c>
      <c r="P180">
        <v>13.0648202671767</v>
      </c>
      <c r="Q180">
        <v>2.2159177134957302</v>
      </c>
      <c r="R180">
        <v>9.4224157923077492</v>
      </c>
      <c r="S180">
        <v>138</v>
      </c>
      <c r="T180">
        <v>53</v>
      </c>
      <c r="U180">
        <v>557.40990162330695</v>
      </c>
      <c r="V180">
        <v>1.77541056369285E-3</v>
      </c>
      <c r="W180">
        <v>1540364.20601989</v>
      </c>
      <c r="X180" t="s">
        <v>39</v>
      </c>
      <c r="Y180">
        <f>1-997-991-4027</f>
        <v>-6014</v>
      </c>
    </row>
    <row r="181" spans="1:25" x14ac:dyDescent="0.35">
      <c r="A181">
        <v>34.639464173859103</v>
      </c>
      <c r="B181">
        <v>-119.28646757972</v>
      </c>
      <c r="C181" t="s">
        <v>29</v>
      </c>
      <c r="D181">
        <v>21.539535167649799</v>
      </c>
      <c r="E181">
        <v>9</v>
      </c>
      <c r="F181">
        <v>1143</v>
      </c>
      <c r="G181">
        <v>4</v>
      </c>
      <c r="H181">
        <v>2</v>
      </c>
      <c r="I181">
        <v>2017</v>
      </c>
      <c r="J181">
        <v>1</v>
      </c>
      <c r="K181">
        <v>0</v>
      </c>
      <c r="L181">
        <v>0</v>
      </c>
      <c r="M181">
        <v>12</v>
      </c>
      <c r="N181" t="s">
        <v>37</v>
      </c>
      <c r="O181" t="s">
        <v>32</v>
      </c>
      <c r="P181">
        <v>8.0107291452426299</v>
      </c>
      <c r="Q181">
        <v>2.4519508470121099</v>
      </c>
      <c r="R181">
        <v>2.86676771057164</v>
      </c>
      <c r="S181">
        <v>150</v>
      </c>
      <c r="T181">
        <v>42</v>
      </c>
      <c r="U181">
        <v>241.29130409573401</v>
      </c>
      <c r="V181">
        <v>1.0498687664041899E-2</v>
      </c>
      <c r="W181">
        <v>591922.26928557397</v>
      </c>
      <c r="X181" t="s">
        <v>44</v>
      </c>
      <c r="Y181">
        <f>1-807-320-1826</f>
        <v>-2952</v>
      </c>
    </row>
    <row r="182" spans="1:25" x14ac:dyDescent="0.35">
      <c r="A182">
        <v>41.264699115882003</v>
      </c>
      <c r="B182">
        <v>-116.92006936446001</v>
      </c>
      <c r="C182" t="s">
        <v>34</v>
      </c>
      <c r="D182">
        <v>20.6156195256019</v>
      </c>
      <c r="E182">
        <v>2</v>
      </c>
      <c r="F182">
        <v>710</v>
      </c>
      <c r="G182">
        <v>2</v>
      </c>
      <c r="H182">
        <v>3</v>
      </c>
      <c r="I182">
        <v>1989</v>
      </c>
      <c r="J182">
        <v>1</v>
      </c>
      <c r="K182">
        <v>0</v>
      </c>
      <c r="L182">
        <v>0</v>
      </c>
      <c r="M182">
        <v>8</v>
      </c>
      <c r="N182" t="s">
        <v>26</v>
      </c>
      <c r="O182" t="s">
        <v>27</v>
      </c>
      <c r="P182">
        <v>4.0539760475681099</v>
      </c>
      <c r="Q182">
        <v>1.61821500617751</v>
      </c>
      <c r="R182">
        <v>0.64304842586963096</v>
      </c>
      <c r="S182">
        <v>80</v>
      </c>
      <c r="T182">
        <v>64</v>
      </c>
      <c r="U182">
        <v>927.60062630171706</v>
      </c>
      <c r="V182">
        <v>1.12676056338028E-2</v>
      </c>
      <c r="W182">
        <v>749593.04908753501</v>
      </c>
      <c r="X182" t="s">
        <v>31</v>
      </c>
      <c r="Y182">
        <f>1-344-641-4852</f>
        <v>-5836</v>
      </c>
    </row>
    <row r="183" spans="1:25" x14ac:dyDescent="0.35">
      <c r="A183">
        <v>40.657412811089799</v>
      </c>
      <c r="B183">
        <v>-114.48097244965</v>
      </c>
      <c r="C183" t="s">
        <v>34</v>
      </c>
      <c r="D183">
        <v>9.4339690611071898</v>
      </c>
      <c r="E183">
        <v>9</v>
      </c>
      <c r="F183">
        <v>3289</v>
      </c>
      <c r="G183">
        <v>5</v>
      </c>
      <c r="H183">
        <v>3</v>
      </c>
      <c r="I183">
        <v>1953</v>
      </c>
      <c r="J183">
        <v>0</v>
      </c>
      <c r="K183">
        <v>0</v>
      </c>
      <c r="L183">
        <v>1</v>
      </c>
      <c r="M183">
        <v>14</v>
      </c>
      <c r="N183" t="s">
        <v>37</v>
      </c>
      <c r="O183" t="s">
        <v>32</v>
      </c>
      <c r="P183">
        <v>14.180731957139299</v>
      </c>
      <c r="Q183">
        <v>1.8489849059257599</v>
      </c>
      <c r="R183">
        <v>5.3032127938358604</v>
      </c>
      <c r="S183">
        <v>136</v>
      </c>
      <c r="T183">
        <v>65</v>
      </c>
      <c r="U183">
        <v>680.89245301086396</v>
      </c>
      <c r="V183">
        <v>4.25661295226512E-3</v>
      </c>
      <c r="W183">
        <v>2493213.66956987</v>
      </c>
      <c r="X183" t="s">
        <v>39</v>
      </c>
      <c r="Y183">
        <f>1-476-852-9821</f>
        <v>-11148</v>
      </c>
    </row>
    <row r="184" spans="1:25" x14ac:dyDescent="0.35">
      <c r="A184">
        <v>36.481759887706303</v>
      </c>
      <c r="B184">
        <v>-118.288179279305</v>
      </c>
      <c r="C184" t="s">
        <v>29</v>
      </c>
      <c r="D184">
        <v>10.6855104939039</v>
      </c>
      <c r="E184">
        <v>8</v>
      </c>
      <c r="F184">
        <v>4806</v>
      </c>
      <c r="G184">
        <v>2</v>
      </c>
      <c r="H184">
        <v>1</v>
      </c>
      <c r="I184">
        <v>2013</v>
      </c>
      <c r="J184">
        <v>1</v>
      </c>
      <c r="K184">
        <v>1</v>
      </c>
      <c r="L184">
        <v>1</v>
      </c>
      <c r="M184">
        <v>12</v>
      </c>
      <c r="N184" t="s">
        <v>26</v>
      </c>
      <c r="O184" t="s">
        <v>32</v>
      </c>
      <c r="P184">
        <v>4.2683736552140701</v>
      </c>
      <c r="Q184">
        <v>2.3809894405388001</v>
      </c>
      <c r="R184">
        <v>1.4066453412912201</v>
      </c>
      <c r="S184">
        <v>137</v>
      </c>
      <c r="T184">
        <v>65</v>
      </c>
      <c r="U184">
        <v>996.27922025295095</v>
      </c>
      <c r="V184">
        <v>2.49687890137328E-3</v>
      </c>
      <c r="W184">
        <v>5115760.7514566099</v>
      </c>
      <c r="X184" t="s">
        <v>43</v>
      </c>
      <c r="Y184">
        <f>1-385-935-9991</f>
        <v>-11310</v>
      </c>
    </row>
    <row r="185" spans="1:25" x14ac:dyDescent="0.35">
      <c r="A185">
        <v>35.988227021148901</v>
      </c>
      <c r="B185">
        <v>-123.11207745082</v>
      </c>
      <c r="C185" t="s">
        <v>25</v>
      </c>
      <c r="D185">
        <v>38.732709099339701</v>
      </c>
      <c r="E185">
        <v>8</v>
      </c>
      <c r="F185">
        <v>1990</v>
      </c>
      <c r="G185">
        <v>5</v>
      </c>
      <c r="H185">
        <v>2</v>
      </c>
      <c r="I185">
        <v>1954</v>
      </c>
      <c r="J185">
        <v>0</v>
      </c>
      <c r="K185">
        <v>1</v>
      </c>
      <c r="L185">
        <v>0</v>
      </c>
      <c r="M185">
        <v>2</v>
      </c>
      <c r="N185" t="s">
        <v>41</v>
      </c>
      <c r="O185" t="s">
        <v>27</v>
      </c>
      <c r="P185">
        <v>8.5930230019499003</v>
      </c>
      <c r="Q185">
        <v>1.0305333712646001</v>
      </c>
      <c r="R185">
        <v>7.6768381400313501</v>
      </c>
      <c r="S185">
        <v>24</v>
      </c>
      <c r="T185">
        <v>35</v>
      </c>
      <c r="U185">
        <v>334.230342331668</v>
      </c>
      <c r="V185">
        <v>1.0050251256281399E-3</v>
      </c>
      <c r="W185">
        <v>1011432.67659192</v>
      </c>
      <c r="X185" t="s">
        <v>43</v>
      </c>
      <c r="Y185">
        <f>1-610-616-9074</f>
        <v>-10299</v>
      </c>
    </row>
    <row r="186" spans="1:25" x14ac:dyDescent="0.35">
      <c r="A186">
        <v>37.613498329713899</v>
      </c>
      <c r="B186">
        <v>-118.630262031659</v>
      </c>
      <c r="C186" t="s">
        <v>34</v>
      </c>
      <c r="D186">
        <v>21.903557764791401</v>
      </c>
      <c r="E186">
        <v>2</v>
      </c>
      <c r="F186">
        <v>4272</v>
      </c>
      <c r="G186">
        <v>1</v>
      </c>
      <c r="H186">
        <v>3</v>
      </c>
      <c r="I186">
        <v>2016</v>
      </c>
      <c r="J186">
        <v>0</v>
      </c>
      <c r="K186">
        <v>0</v>
      </c>
      <c r="L186">
        <v>1</v>
      </c>
      <c r="M186">
        <v>9</v>
      </c>
      <c r="N186" t="s">
        <v>41</v>
      </c>
      <c r="O186" t="s">
        <v>30</v>
      </c>
      <c r="P186">
        <v>7.4272281781766498</v>
      </c>
      <c r="Q186">
        <v>1.7177556784221999</v>
      </c>
      <c r="R186">
        <v>3.7935055814703702</v>
      </c>
      <c r="S186">
        <v>163</v>
      </c>
      <c r="T186">
        <v>55</v>
      </c>
      <c r="U186">
        <v>687.01183643845798</v>
      </c>
      <c r="V186">
        <v>2.1067415730337E-3</v>
      </c>
      <c r="W186">
        <v>3130468.60216117</v>
      </c>
      <c r="X186" t="s">
        <v>44</v>
      </c>
      <c r="Y186">
        <f>1-518-538-5727</f>
        <v>-6782</v>
      </c>
    </row>
    <row r="187" spans="1:25" x14ac:dyDescent="0.35">
      <c r="A187">
        <v>37.443398899184402</v>
      </c>
      <c r="B187">
        <v>-116.730872062117</v>
      </c>
      <c r="C187" t="s">
        <v>34</v>
      </c>
      <c r="D187">
        <v>10.8426229094887</v>
      </c>
      <c r="E187">
        <v>3</v>
      </c>
      <c r="F187">
        <v>4866</v>
      </c>
      <c r="G187">
        <v>4</v>
      </c>
      <c r="H187">
        <v>3</v>
      </c>
      <c r="I187">
        <v>1958</v>
      </c>
      <c r="J187">
        <v>0</v>
      </c>
      <c r="K187">
        <v>1</v>
      </c>
      <c r="L187">
        <v>0</v>
      </c>
      <c r="M187">
        <v>14</v>
      </c>
      <c r="N187" t="s">
        <v>37</v>
      </c>
      <c r="O187" t="s">
        <v>27</v>
      </c>
      <c r="P187">
        <v>4.2909757129633004</v>
      </c>
      <c r="Q187">
        <v>1.95107902246878</v>
      </c>
      <c r="R187">
        <v>5.1278567034547802</v>
      </c>
      <c r="S187">
        <v>129</v>
      </c>
      <c r="T187">
        <v>56</v>
      </c>
      <c r="U187">
        <v>639.93575629319105</v>
      </c>
      <c r="V187">
        <v>2.8771064529387498E-3</v>
      </c>
      <c r="W187">
        <v>3333437.40283156</v>
      </c>
      <c r="X187" t="s">
        <v>36</v>
      </c>
      <c r="Y187">
        <f>1-505-280-3188</f>
        <v>-3972</v>
      </c>
    </row>
    <row r="188" spans="1:25" x14ac:dyDescent="0.35">
      <c r="A188">
        <v>41.979752974587001</v>
      </c>
      <c r="B188">
        <v>-117.475661339895</v>
      </c>
      <c r="C188" t="s">
        <v>25</v>
      </c>
      <c r="D188">
        <v>4.3092068526765797</v>
      </c>
      <c r="E188">
        <v>7</v>
      </c>
      <c r="F188">
        <v>624</v>
      </c>
      <c r="G188">
        <v>3</v>
      </c>
      <c r="H188">
        <v>2</v>
      </c>
      <c r="I188">
        <v>2001</v>
      </c>
      <c r="J188">
        <v>0</v>
      </c>
      <c r="K188">
        <v>0</v>
      </c>
      <c r="L188">
        <v>1</v>
      </c>
      <c r="M188">
        <v>9</v>
      </c>
      <c r="N188" t="s">
        <v>26</v>
      </c>
      <c r="O188" t="s">
        <v>30</v>
      </c>
      <c r="P188">
        <v>10.222897883922901</v>
      </c>
      <c r="Q188">
        <v>1.35722947638266</v>
      </c>
      <c r="R188">
        <v>4.6621800976642902</v>
      </c>
      <c r="S188">
        <v>159</v>
      </c>
      <c r="T188">
        <v>45</v>
      </c>
      <c r="U188">
        <v>711.82134004083696</v>
      </c>
      <c r="V188">
        <v>1.44230769230769E-2</v>
      </c>
      <c r="W188">
        <v>648477.35911378195</v>
      </c>
      <c r="X188" t="s">
        <v>42</v>
      </c>
      <c r="Y188">
        <f>1-292-807-2403</f>
        <v>-3501</v>
      </c>
    </row>
    <row r="189" spans="1:25" x14ac:dyDescent="0.35">
      <c r="A189">
        <v>37.359019378432301</v>
      </c>
      <c r="B189">
        <v>-116.541531513986</v>
      </c>
      <c r="C189" t="s">
        <v>34</v>
      </c>
      <c r="D189">
        <v>21.456697779364902</v>
      </c>
      <c r="E189">
        <v>9</v>
      </c>
      <c r="F189">
        <v>4197</v>
      </c>
      <c r="G189">
        <v>5</v>
      </c>
      <c r="H189">
        <v>1</v>
      </c>
      <c r="I189">
        <v>2000</v>
      </c>
      <c r="J189">
        <v>0</v>
      </c>
      <c r="K189">
        <v>0</v>
      </c>
      <c r="L189">
        <v>0</v>
      </c>
      <c r="M189">
        <v>11</v>
      </c>
      <c r="N189" t="s">
        <v>35</v>
      </c>
      <c r="O189" t="s">
        <v>27</v>
      </c>
      <c r="P189">
        <v>5.4371327509540901</v>
      </c>
      <c r="Q189">
        <v>0.88539096940153394</v>
      </c>
      <c r="R189">
        <v>6.6337852557126196</v>
      </c>
      <c r="S189">
        <v>14</v>
      </c>
      <c r="T189">
        <v>36</v>
      </c>
      <c r="U189">
        <v>314.35252362991901</v>
      </c>
      <c r="V189">
        <v>2.6209197045508601E-3</v>
      </c>
      <c r="W189">
        <v>1631712.9739907</v>
      </c>
      <c r="X189" t="s">
        <v>33</v>
      </c>
      <c r="Y189">
        <f>1-761-708-5041</f>
        <v>-6509</v>
      </c>
    </row>
    <row r="190" spans="1:25" x14ac:dyDescent="0.35">
      <c r="A190">
        <v>34.911386518442399</v>
      </c>
      <c r="B190">
        <v>-123.38585945835899</v>
      </c>
      <c r="C190" t="s">
        <v>29</v>
      </c>
      <c r="D190">
        <v>18.6280068975456</v>
      </c>
      <c r="E190">
        <v>9</v>
      </c>
      <c r="F190">
        <v>1930</v>
      </c>
      <c r="G190">
        <v>4</v>
      </c>
      <c r="H190">
        <v>3</v>
      </c>
      <c r="I190">
        <v>1952</v>
      </c>
      <c r="J190">
        <v>0</v>
      </c>
      <c r="K190">
        <v>1</v>
      </c>
      <c r="L190">
        <v>0</v>
      </c>
      <c r="M190">
        <v>7</v>
      </c>
      <c r="N190" t="s">
        <v>35</v>
      </c>
      <c r="O190" t="s">
        <v>27</v>
      </c>
      <c r="P190">
        <v>13.382478347988799</v>
      </c>
      <c r="Q190">
        <v>2.0188487758078701</v>
      </c>
      <c r="R190">
        <v>3.0591164828640198</v>
      </c>
      <c r="S190">
        <v>54</v>
      </c>
      <c r="T190">
        <v>50</v>
      </c>
      <c r="U190">
        <v>394.625066085941</v>
      </c>
      <c r="V190">
        <v>3.6269430051813398E-3</v>
      </c>
      <c r="W190">
        <v>1256520.00165938</v>
      </c>
      <c r="X190" t="s">
        <v>43</v>
      </c>
      <c r="Y190">
        <f>1-550-624-5282</f>
        <v>-6455</v>
      </c>
    </row>
    <row r="191" spans="1:25" x14ac:dyDescent="0.35">
      <c r="A191">
        <v>37.080097846075901</v>
      </c>
      <c r="B191">
        <v>-121.395512966078</v>
      </c>
      <c r="C191" t="s">
        <v>34</v>
      </c>
      <c r="D191">
        <v>48.501280746011901</v>
      </c>
      <c r="E191">
        <v>3</v>
      </c>
      <c r="F191">
        <v>2059</v>
      </c>
      <c r="G191">
        <v>1</v>
      </c>
      <c r="H191">
        <v>3</v>
      </c>
      <c r="I191">
        <v>2004</v>
      </c>
      <c r="J191">
        <v>0</v>
      </c>
      <c r="K191">
        <v>0</v>
      </c>
      <c r="L191">
        <v>1</v>
      </c>
      <c r="M191">
        <v>12</v>
      </c>
      <c r="N191" t="s">
        <v>35</v>
      </c>
      <c r="O191" t="s">
        <v>30</v>
      </c>
      <c r="P191">
        <v>5.2708937194131797</v>
      </c>
      <c r="Q191">
        <v>0.786671627301186</v>
      </c>
      <c r="R191">
        <v>4.4606804116930103</v>
      </c>
      <c r="S191">
        <v>165</v>
      </c>
      <c r="T191">
        <v>38</v>
      </c>
      <c r="U191">
        <v>517.19408924014795</v>
      </c>
      <c r="V191">
        <v>5.8280718795531801E-3</v>
      </c>
      <c r="W191">
        <v>1166133.7703215801</v>
      </c>
      <c r="X191" t="s">
        <v>40</v>
      </c>
      <c r="Y191">
        <f>1-514-764-7135</f>
        <v>-8412</v>
      </c>
    </row>
    <row r="192" spans="1:25" x14ac:dyDescent="0.35">
      <c r="A192">
        <v>36.515969335217598</v>
      </c>
      <c r="B192">
        <v>-115.14751677840199</v>
      </c>
      <c r="C192" t="s">
        <v>29</v>
      </c>
      <c r="D192">
        <v>44.0877883320927</v>
      </c>
      <c r="E192">
        <v>5</v>
      </c>
      <c r="F192">
        <v>2682</v>
      </c>
      <c r="G192">
        <v>1</v>
      </c>
      <c r="H192">
        <v>1</v>
      </c>
      <c r="I192">
        <v>1960</v>
      </c>
      <c r="J192">
        <v>1</v>
      </c>
      <c r="K192">
        <v>1</v>
      </c>
      <c r="L192">
        <v>0</v>
      </c>
      <c r="M192">
        <v>6</v>
      </c>
      <c r="N192" t="s">
        <v>41</v>
      </c>
      <c r="O192" t="s">
        <v>27</v>
      </c>
      <c r="P192">
        <v>4.5751637395617601</v>
      </c>
      <c r="Q192">
        <v>2.2826349035497402</v>
      </c>
      <c r="R192">
        <v>3.7261787551534802</v>
      </c>
      <c r="S192">
        <v>1</v>
      </c>
      <c r="T192">
        <v>57</v>
      </c>
      <c r="U192">
        <v>314.30989281422097</v>
      </c>
      <c r="V192">
        <v>2.23713646532438E-3</v>
      </c>
      <c r="W192">
        <v>974881.92413850501</v>
      </c>
      <c r="X192" t="s">
        <v>33</v>
      </c>
      <c r="Y192">
        <f>1-271-133-4255</f>
        <v>-4658</v>
      </c>
    </row>
    <row r="193" spans="1:25" x14ac:dyDescent="0.35">
      <c r="A193">
        <v>35.098583612058498</v>
      </c>
      <c r="B193">
        <v>-115.129750026583</v>
      </c>
      <c r="C193" t="s">
        <v>29</v>
      </c>
      <c r="D193">
        <v>3.7615814844086599</v>
      </c>
      <c r="E193">
        <v>1</v>
      </c>
      <c r="F193">
        <v>4981</v>
      </c>
      <c r="G193">
        <v>2</v>
      </c>
      <c r="H193">
        <v>3</v>
      </c>
      <c r="I193">
        <v>2012</v>
      </c>
      <c r="J193">
        <v>0</v>
      </c>
      <c r="K193">
        <v>1</v>
      </c>
      <c r="L193">
        <v>1</v>
      </c>
      <c r="M193">
        <v>10</v>
      </c>
      <c r="N193" t="s">
        <v>26</v>
      </c>
      <c r="O193" t="s">
        <v>32</v>
      </c>
      <c r="P193">
        <v>11.905672973012001</v>
      </c>
      <c r="Q193">
        <v>0.50333780128827799</v>
      </c>
      <c r="R193">
        <v>0.51374664256509905</v>
      </c>
      <c r="S193">
        <v>55</v>
      </c>
      <c r="T193">
        <v>44</v>
      </c>
      <c r="U193">
        <v>315.58786014419798</v>
      </c>
      <c r="V193">
        <v>2.0076289901626099E-3</v>
      </c>
      <c r="W193">
        <v>2052954.72025355</v>
      </c>
      <c r="X193" t="s">
        <v>28</v>
      </c>
      <c r="Y193">
        <f>1-567-596-4985</f>
        <v>-6147</v>
      </c>
    </row>
    <row r="194" spans="1:25" x14ac:dyDescent="0.35">
      <c r="A194">
        <v>41.8009685111926</v>
      </c>
      <c r="B194">
        <v>-118.513481899691</v>
      </c>
      <c r="C194" t="s">
        <v>34</v>
      </c>
      <c r="D194">
        <v>42.341294494958703</v>
      </c>
      <c r="E194">
        <v>9</v>
      </c>
      <c r="F194">
        <v>1310</v>
      </c>
      <c r="G194">
        <v>4</v>
      </c>
      <c r="H194">
        <v>1</v>
      </c>
      <c r="I194">
        <v>1960</v>
      </c>
      <c r="J194">
        <v>1</v>
      </c>
      <c r="K194">
        <v>0</v>
      </c>
      <c r="L194">
        <v>1</v>
      </c>
      <c r="M194">
        <v>3</v>
      </c>
      <c r="N194" t="s">
        <v>35</v>
      </c>
      <c r="O194" t="s">
        <v>32</v>
      </c>
      <c r="P194">
        <v>9.6137903839487606</v>
      </c>
      <c r="Q194">
        <v>0.89383823532179196</v>
      </c>
      <c r="R194">
        <v>4.4029158608167203</v>
      </c>
      <c r="S194">
        <v>36</v>
      </c>
      <c r="T194">
        <v>53</v>
      </c>
      <c r="U194">
        <v>519.65529434184998</v>
      </c>
      <c r="V194">
        <v>2.2900763358778601E-3</v>
      </c>
      <c r="W194">
        <v>996729.94378852402</v>
      </c>
      <c r="X194" t="s">
        <v>33</v>
      </c>
      <c r="Y194">
        <f>1-335-717-3376</f>
        <v>-4427</v>
      </c>
    </row>
    <row r="195" spans="1:25" x14ac:dyDescent="0.35">
      <c r="A195">
        <v>36.969231694539197</v>
      </c>
      <c r="B195">
        <v>-120.673171587651</v>
      </c>
      <c r="C195" t="s">
        <v>25</v>
      </c>
      <c r="D195">
        <v>32.989351051890601</v>
      </c>
      <c r="E195">
        <v>2</v>
      </c>
      <c r="F195">
        <v>3159</v>
      </c>
      <c r="G195">
        <v>3</v>
      </c>
      <c r="H195">
        <v>3</v>
      </c>
      <c r="I195">
        <v>1976</v>
      </c>
      <c r="J195">
        <v>1</v>
      </c>
      <c r="K195">
        <v>1</v>
      </c>
      <c r="L195">
        <v>0</v>
      </c>
      <c r="M195">
        <v>10</v>
      </c>
      <c r="N195" t="s">
        <v>37</v>
      </c>
      <c r="O195" t="s">
        <v>32</v>
      </c>
      <c r="P195">
        <v>3.1798830658969699</v>
      </c>
      <c r="Q195">
        <v>0.93151851616973302</v>
      </c>
      <c r="R195">
        <v>6.9437242036408904</v>
      </c>
      <c r="S195">
        <v>40</v>
      </c>
      <c r="T195">
        <v>38</v>
      </c>
      <c r="U195">
        <v>987.85491114296804</v>
      </c>
      <c r="V195">
        <v>3.16555872111427E-3</v>
      </c>
      <c r="W195">
        <v>3432606.3489206401</v>
      </c>
      <c r="X195" t="s">
        <v>33</v>
      </c>
      <c r="Y195">
        <f>1-841-468-8785</f>
        <v>-10093</v>
      </c>
    </row>
    <row r="196" spans="1:25" x14ac:dyDescent="0.35">
      <c r="A196">
        <v>33.8426522438874</v>
      </c>
      <c r="B196">
        <v>-116.821550564178</v>
      </c>
      <c r="C196" t="s">
        <v>25</v>
      </c>
      <c r="D196">
        <v>19.095183834712</v>
      </c>
      <c r="E196">
        <v>2</v>
      </c>
      <c r="F196">
        <v>3201</v>
      </c>
      <c r="G196">
        <v>2</v>
      </c>
      <c r="H196">
        <v>3</v>
      </c>
      <c r="I196">
        <v>1972</v>
      </c>
      <c r="J196">
        <v>0</v>
      </c>
      <c r="K196">
        <v>0</v>
      </c>
      <c r="L196">
        <v>0</v>
      </c>
      <c r="M196">
        <v>4</v>
      </c>
      <c r="N196" t="s">
        <v>26</v>
      </c>
      <c r="O196" t="s">
        <v>30</v>
      </c>
      <c r="P196">
        <v>7.1539191648306701</v>
      </c>
      <c r="Q196">
        <v>1.63149725209501</v>
      </c>
      <c r="R196">
        <v>0.45579585102123099</v>
      </c>
      <c r="S196">
        <v>21</v>
      </c>
      <c r="T196">
        <v>30</v>
      </c>
      <c r="U196">
        <v>219.26125996893199</v>
      </c>
      <c r="V196">
        <v>1.24960949703217E-3</v>
      </c>
      <c r="W196">
        <v>857477.81217664306</v>
      </c>
      <c r="X196" t="s">
        <v>39</v>
      </c>
      <c r="Y196">
        <f>1-643-194-4774</f>
        <v>-5610</v>
      </c>
    </row>
    <row r="197" spans="1:25" x14ac:dyDescent="0.35">
      <c r="A197">
        <v>35.367870510957999</v>
      </c>
      <c r="B197">
        <v>-118.699849719642</v>
      </c>
      <c r="C197" t="s">
        <v>34</v>
      </c>
      <c r="D197">
        <v>17.306819123596998</v>
      </c>
      <c r="E197">
        <v>1</v>
      </c>
      <c r="F197">
        <v>1204</v>
      </c>
      <c r="G197">
        <v>5</v>
      </c>
      <c r="H197">
        <v>3</v>
      </c>
      <c r="I197">
        <v>2011</v>
      </c>
      <c r="J197">
        <v>0</v>
      </c>
      <c r="K197">
        <v>1</v>
      </c>
      <c r="L197">
        <v>1</v>
      </c>
      <c r="M197">
        <v>8</v>
      </c>
      <c r="N197" t="s">
        <v>41</v>
      </c>
      <c r="O197" t="s">
        <v>30</v>
      </c>
      <c r="P197">
        <v>5.9221844803173296</v>
      </c>
      <c r="Q197">
        <v>0.81724724502639201</v>
      </c>
      <c r="R197">
        <v>9.7159900172395997</v>
      </c>
      <c r="S197">
        <v>8</v>
      </c>
      <c r="T197">
        <v>39</v>
      </c>
      <c r="U197">
        <v>419.85366969908398</v>
      </c>
      <c r="V197">
        <v>6.6445182724252398E-3</v>
      </c>
      <c r="W197">
        <v>1024137.3786351701</v>
      </c>
      <c r="X197" t="s">
        <v>43</v>
      </c>
      <c r="Y197">
        <f>1-231-868-2860</f>
        <v>-3958</v>
      </c>
    </row>
    <row r="198" spans="1:25" x14ac:dyDescent="0.35">
      <c r="A198">
        <v>33.822426134155997</v>
      </c>
      <c r="B198">
        <v>-123.604406699856</v>
      </c>
      <c r="C198" t="s">
        <v>25</v>
      </c>
      <c r="D198">
        <v>13.9677890966758</v>
      </c>
      <c r="E198">
        <v>3</v>
      </c>
      <c r="F198">
        <v>1021</v>
      </c>
      <c r="G198">
        <v>4</v>
      </c>
      <c r="H198">
        <v>3</v>
      </c>
      <c r="I198">
        <v>1989</v>
      </c>
      <c r="J198">
        <v>1</v>
      </c>
      <c r="K198">
        <v>1</v>
      </c>
      <c r="L198">
        <v>1</v>
      </c>
      <c r="M198">
        <v>7</v>
      </c>
      <c r="N198" t="s">
        <v>26</v>
      </c>
      <c r="O198" t="s">
        <v>32</v>
      </c>
      <c r="P198">
        <v>6.4090511157597803</v>
      </c>
      <c r="Q198">
        <v>2.1118052806526899</v>
      </c>
      <c r="R198">
        <v>2.86544815274444</v>
      </c>
      <c r="S198">
        <v>89</v>
      </c>
      <c r="T198">
        <v>56</v>
      </c>
      <c r="U198">
        <v>444.605955143681</v>
      </c>
      <c r="V198">
        <v>6.8560235063662997E-3</v>
      </c>
      <c r="W198">
        <v>870338.63376038696</v>
      </c>
      <c r="X198" t="s">
        <v>28</v>
      </c>
      <c r="Y198">
        <f>1-472-963-3739</f>
        <v>-5173</v>
      </c>
    </row>
    <row r="199" spans="1:25" x14ac:dyDescent="0.35">
      <c r="A199">
        <v>37.038388276184897</v>
      </c>
      <c r="B199">
        <v>-123.62045265443599</v>
      </c>
      <c r="C199" t="s">
        <v>29</v>
      </c>
      <c r="D199">
        <v>23.297145483560602</v>
      </c>
      <c r="E199">
        <v>6</v>
      </c>
      <c r="F199">
        <v>1105</v>
      </c>
      <c r="G199">
        <v>4</v>
      </c>
      <c r="H199">
        <v>2</v>
      </c>
      <c r="I199">
        <v>1993</v>
      </c>
      <c r="J199">
        <v>1</v>
      </c>
      <c r="K199">
        <v>0</v>
      </c>
      <c r="L199">
        <v>1</v>
      </c>
      <c r="M199">
        <v>2</v>
      </c>
      <c r="N199" t="s">
        <v>37</v>
      </c>
      <c r="O199" t="s">
        <v>30</v>
      </c>
      <c r="P199">
        <v>7.5086987630213597</v>
      </c>
      <c r="Q199">
        <v>1.00089492330382</v>
      </c>
      <c r="R199">
        <v>7.0301595387997597</v>
      </c>
      <c r="S199">
        <v>38</v>
      </c>
      <c r="T199">
        <v>25</v>
      </c>
      <c r="U199">
        <v>696.80206308519496</v>
      </c>
      <c r="V199">
        <v>1.8099547511312201E-3</v>
      </c>
      <c r="W199">
        <v>1172882.17080477</v>
      </c>
      <c r="X199" t="s">
        <v>33</v>
      </c>
      <c r="Y199">
        <f>1-260-804-7513</f>
        <v>-8576</v>
      </c>
    </row>
    <row r="200" spans="1:25" x14ac:dyDescent="0.35">
      <c r="A200">
        <v>37.088527644059702</v>
      </c>
      <c r="B200">
        <v>-120.71602336122299</v>
      </c>
      <c r="C200" t="s">
        <v>34</v>
      </c>
      <c r="D200">
        <v>3.0885859365113202</v>
      </c>
      <c r="E200">
        <v>2</v>
      </c>
      <c r="F200">
        <v>4790</v>
      </c>
      <c r="G200">
        <v>4</v>
      </c>
      <c r="H200">
        <v>3</v>
      </c>
      <c r="I200">
        <v>1984</v>
      </c>
      <c r="J200">
        <v>0</v>
      </c>
      <c r="K200">
        <v>0</v>
      </c>
      <c r="L200">
        <v>1</v>
      </c>
      <c r="M200">
        <v>14</v>
      </c>
      <c r="N200" t="s">
        <v>37</v>
      </c>
      <c r="O200" t="s">
        <v>27</v>
      </c>
      <c r="P200">
        <v>5.7465365246987599</v>
      </c>
      <c r="Q200">
        <v>1.4196723128883</v>
      </c>
      <c r="R200">
        <v>2.7423568229014998</v>
      </c>
      <c r="S200">
        <v>37</v>
      </c>
      <c r="T200">
        <v>25</v>
      </c>
      <c r="U200">
        <v>261.29382242874999</v>
      </c>
      <c r="V200">
        <v>2.92275574112734E-3</v>
      </c>
      <c r="W200">
        <v>1545105.42197598</v>
      </c>
      <c r="X200" t="s">
        <v>44</v>
      </c>
      <c r="Y200">
        <f>1-864-377-4453</f>
        <v>-5693</v>
      </c>
    </row>
    <row r="201" spans="1:25" x14ac:dyDescent="0.35">
      <c r="A201">
        <v>38.851277511724398</v>
      </c>
      <c r="B201">
        <v>-124.258765865924</v>
      </c>
      <c r="C201" t="s">
        <v>29</v>
      </c>
      <c r="D201">
        <v>12.4840920107993</v>
      </c>
      <c r="E201">
        <v>3</v>
      </c>
      <c r="F201">
        <v>4188</v>
      </c>
      <c r="G201">
        <v>3</v>
      </c>
      <c r="H201">
        <v>3</v>
      </c>
      <c r="I201">
        <v>2010</v>
      </c>
      <c r="J201">
        <v>0</v>
      </c>
      <c r="K201">
        <v>0</v>
      </c>
      <c r="L201">
        <v>0</v>
      </c>
      <c r="M201">
        <v>12</v>
      </c>
      <c r="N201" t="s">
        <v>35</v>
      </c>
      <c r="O201" t="s">
        <v>27</v>
      </c>
      <c r="P201">
        <v>10.6313503919955</v>
      </c>
      <c r="Q201">
        <v>0.57836761173895801</v>
      </c>
      <c r="R201">
        <v>6.26232609815382</v>
      </c>
      <c r="S201">
        <v>155</v>
      </c>
      <c r="T201">
        <v>23</v>
      </c>
      <c r="U201">
        <v>480.68475108335701</v>
      </c>
      <c r="V201">
        <v>2.8653295128939801E-3</v>
      </c>
      <c r="W201">
        <v>2258093.5262957802</v>
      </c>
      <c r="X201" t="s">
        <v>42</v>
      </c>
      <c r="Y201">
        <f>1-569-671-7479</f>
        <v>-8718</v>
      </c>
    </row>
    <row r="202" spans="1:25" x14ac:dyDescent="0.35">
      <c r="A202">
        <v>39.7763016050638</v>
      </c>
      <c r="B202">
        <v>-116.82075676801701</v>
      </c>
      <c r="C202" t="s">
        <v>34</v>
      </c>
      <c r="D202">
        <v>38.760310131010698</v>
      </c>
      <c r="E202">
        <v>1</v>
      </c>
      <c r="F202">
        <v>870</v>
      </c>
      <c r="G202">
        <v>5</v>
      </c>
      <c r="H202">
        <v>3</v>
      </c>
      <c r="I202">
        <v>2005</v>
      </c>
      <c r="J202">
        <v>0</v>
      </c>
      <c r="K202">
        <v>0</v>
      </c>
      <c r="L202">
        <v>0</v>
      </c>
      <c r="M202">
        <v>5</v>
      </c>
      <c r="N202" t="s">
        <v>41</v>
      </c>
      <c r="O202" t="s">
        <v>27</v>
      </c>
      <c r="P202">
        <v>11.181202337355399</v>
      </c>
      <c r="Q202">
        <v>1.54523286755524</v>
      </c>
      <c r="R202">
        <v>7.2969233408928904</v>
      </c>
      <c r="S202">
        <v>97</v>
      </c>
      <c r="T202">
        <v>32</v>
      </c>
      <c r="U202">
        <v>344.98808487935798</v>
      </c>
      <c r="V202">
        <v>5.7471264367815996E-3</v>
      </c>
      <c r="W202">
        <v>745302.17816794896</v>
      </c>
      <c r="X202" t="s">
        <v>36</v>
      </c>
      <c r="Y202">
        <f>1-385-890-4387</f>
        <v>-5661</v>
      </c>
    </row>
    <row r="203" spans="1:25" x14ac:dyDescent="0.35">
      <c r="A203">
        <v>36.415599701481703</v>
      </c>
      <c r="B203">
        <v>-123.471791788556</v>
      </c>
      <c r="C203" t="s">
        <v>34</v>
      </c>
      <c r="D203">
        <v>8.6195486546110196</v>
      </c>
      <c r="E203">
        <v>7</v>
      </c>
      <c r="F203">
        <v>721</v>
      </c>
      <c r="G203">
        <v>2</v>
      </c>
      <c r="H203">
        <v>2</v>
      </c>
      <c r="I203">
        <v>1994</v>
      </c>
      <c r="J203">
        <v>0</v>
      </c>
      <c r="K203">
        <v>1</v>
      </c>
      <c r="L203">
        <v>0</v>
      </c>
      <c r="M203">
        <v>7</v>
      </c>
      <c r="N203" t="s">
        <v>35</v>
      </c>
      <c r="O203" t="s">
        <v>30</v>
      </c>
      <c r="P203">
        <v>3.6144095189939001</v>
      </c>
      <c r="Q203">
        <v>0.755514023704006</v>
      </c>
      <c r="R203">
        <v>5.4773778318940796</v>
      </c>
      <c r="S203">
        <v>90</v>
      </c>
      <c r="T203">
        <v>23</v>
      </c>
      <c r="U203">
        <v>971.08496539388898</v>
      </c>
      <c r="V203">
        <v>9.7087378640776604E-3</v>
      </c>
      <c r="W203">
        <v>964362.82421580795</v>
      </c>
      <c r="X203" t="s">
        <v>43</v>
      </c>
      <c r="Y203">
        <f>1-853-430-7120</f>
        <v>-8402</v>
      </c>
    </row>
    <row r="204" spans="1:25" x14ac:dyDescent="0.35">
      <c r="A204">
        <v>33.016736077416198</v>
      </c>
      <c r="B204">
        <v>-122.037808152734</v>
      </c>
      <c r="C204" t="s">
        <v>25</v>
      </c>
      <c r="D204">
        <v>9.0053061916632799</v>
      </c>
      <c r="E204">
        <v>8</v>
      </c>
      <c r="F204">
        <v>2359</v>
      </c>
      <c r="G204">
        <v>4</v>
      </c>
      <c r="H204">
        <v>1</v>
      </c>
      <c r="I204">
        <v>1985</v>
      </c>
      <c r="J204">
        <v>1</v>
      </c>
      <c r="K204">
        <v>0</v>
      </c>
      <c r="L204">
        <v>0</v>
      </c>
      <c r="M204">
        <v>14</v>
      </c>
      <c r="N204" t="s">
        <v>26</v>
      </c>
      <c r="O204" t="s">
        <v>30</v>
      </c>
      <c r="P204">
        <v>4.8909242705182896</v>
      </c>
      <c r="Q204">
        <v>1.1146002100506001</v>
      </c>
      <c r="R204">
        <v>2.6699908057991801</v>
      </c>
      <c r="S204">
        <v>11</v>
      </c>
      <c r="T204">
        <v>35</v>
      </c>
      <c r="U204">
        <v>269.24493477004899</v>
      </c>
      <c r="V204">
        <v>5.9347181008902001E-3</v>
      </c>
      <c r="W204">
        <v>823142.39305410394</v>
      </c>
      <c r="X204" t="s">
        <v>28</v>
      </c>
      <c r="Y204">
        <f>1-637-909-9244</f>
        <v>-10789</v>
      </c>
    </row>
    <row r="205" spans="1:25" x14ac:dyDescent="0.35">
      <c r="A205">
        <v>36.191820228468799</v>
      </c>
      <c r="B205">
        <v>-118.193512851799</v>
      </c>
      <c r="C205" t="s">
        <v>34</v>
      </c>
      <c r="D205">
        <v>28.216467633299299</v>
      </c>
      <c r="E205">
        <v>7</v>
      </c>
      <c r="F205">
        <v>3878</v>
      </c>
      <c r="G205">
        <v>5</v>
      </c>
      <c r="H205">
        <v>2</v>
      </c>
      <c r="I205">
        <v>2012</v>
      </c>
      <c r="J205">
        <v>1</v>
      </c>
      <c r="K205">
        <v>0</v>
      </c>
      <c r="L205">
        <v>0</v>
      </c>
      <c r="M205">
        <v>4</v>
      </c>
      <c r="N205" t="s">
        <v>37</v>
      </c>
      <c r="O205" t="s">
        <v>27</v>
      </c>
      <c r="P205">
        <v>14.082632026434901</v>
      </c>
      <c r="Q205">
        <v>1.13848767328919</v>
      </c>
      <c r="R205">
        <v>5.3015791844478599</v>
      </c>
      <c r="S205">
        <v>19</v>
      </c>
      <c r="T205">
        <v>72</v>
      </c>
      <c r="U205">
        <v>924.93680450516797</v>
      </c>
      <c r="V205">
        <v>1.0314595152140201E-3</v>
      </c>
      <c r="W205">
        <v>4118490.7356366199</v>
      </c>
      <c r="X205" t="s">
        <v>33</v>
      </c>
      <c r="Y205">
        <f>1-318-340-3718</f>
        <v>-4375</v>
      </c>
    </row>
    <row r="206" spans="1:25" x14ac:dyDescent="0.35">
      <c r="A206">
        <v>35.451986826217002</v>
      </c>
      <c r="B206">
        <v>-116.06203001578599</v>
      </c>
      <c r="C206" t="s">
        <v>25</v>
      </c>
      <c r="D206">
        <v>27.3927252818882</v>
      </c>
      <c r="E206">
        <v>0</v>
      </c>
      <c r="F206">
        <v>727</v>
      </c>
      <c r="G206">
        <v>1</v>
      </c>
      <c r="H206">
        <v>3</v>
      </c>
      <c r="I206">
        <v>2008</v>
      </c>
      <c r="J206">
        <v>0</v>
      </c>
      <c r="K206">
        <v>0</v>
      </c>
      <c r="L206">
        <v>0</v>
      </c>
      <c r="M206">
        <v>11</v>
      </c>
      <c r="N206" t="s">
        <v>26</v>
      </c>
      <c r="O206" t="s">
        <v>30</v>
      </c>
      <c r="P206">
        <v>13.618734159108399</v>
      </c>
      <c r="Q206">
        <v>1.1792040630321701</v>
      </c>
      <c r="R206">
        <v>8.9054902067457107</v>
      </c>
      <c r="S206">
        <v>100</v>
      </c>
      <c r="T206">
        <v>74</v>
      </c>
      <c r="U206">
        <v>313.24799348275099</v>
      </c>
      <c r="V206">
        <v>1.5130674002750999E-2</v>
      </c>
      <c r="W206">
        <v>394784.059284585</v>
      </c>
      <c r="X206" t="s">
        <v>33</v>
      </c>
      <c r="Y206">
        <f>1-334-807-2513</f>
        <v>-3653</v>
      </c>
    </row>
    <row r="207" spans="1:25" x14ac:dyDescent="0.35">
      <c r="A207">
        <v>36.162436326831099</v>
      </c>
      <c r="B207">
        <v>-120.884849594215</v>
      </c>
      <c r="C207" t="s">
        <v>29</v>
      </c>
      <c r="D207">
        <v>9.6863700943057491</v>
      </c>
      <c r="E207">
        <v>5</v>
      </c>
      <c r="F207">
        <v>2071</v>
      </c>
      <c r="G207">
        <v>5</v>
      </c>
      <c r="H207">
        <v>1</v>
      </c>
      <c r="I207">
        <v>2013</v>
      </c>
      <c r="J207">
        <v>1</v>
      </c>
      <c r="K207">
        <v>0</v>
      </c>
      <c r="L207">
        <v>0</v>
      </c>
      <c r="M207">
        <v>10</v>
      </c>
      <c r="N207" t="s">
        <v>37</v>
      </c>
      <c r="O207" t="s">
        <v>32</v>
      </c>
      <c r="P207">
        <v>3.5959345278283599</v>
      </c>
      <c r="Q207">
        <v>1.0471275238865101</v>
      </c>
      <c r="R207">
        <v>6.0965337597229201</v>
      </c>
      <c r="S207">
        <v>55</v>
      </c>
      <c r="T207">
        <v>28</v>
      </c>
      <c r="U207">
        <v>758.44728984021106</v>
      </c>
      <c r="V207">
        <v>4.8285852245292102E-3</v>
      </c>
      <c r="W207">
        <v>1864163.0479345899</v>
      </c>
      <c r="X207" t="s">
        <v>31</v>
      </c>
      <c r="Y207">
        <f>1-608-476-6215</f>
        <v>-7298</v>
      </c>
    </row>
    <row r="208" spans="1:25" x14ac:dyDescent="0.35">
      <c r="A208">
        <v>35.814589804977203</v>
      </c>
      <c r="B208">
        <v>-122.798524462476</v>
      </c>
      <c r="C208" t="s">
        <v>34</v>
      </c>
      <c r="D208">
        <v>27.510257030854699</v>
      </c>
      <c r="E208">
        <v>9</v>
      </c>
      <c r="F208">
        <v>930</v>
      </c>
      <c r="G208">
        <v>5</v>
      </c>
      <c r="H208">
        <v>3</v>
      </c>
      <c r="I208">
        <v>2003</v>
      </c>
      <c r="J208">
        <v>1</v>
      </c>
      <c r="K208">
        <v>0</v>
      </c>
      <c r="L208">
        <v>0</v>
      </c>
      <c r="M208">
        <v>4</v>
      </c>
      <c r="N208" t="s">
        <v>37</v>
      </c>
      <c r="O208" t="s">
        <v>32</v>
      </c>
      <c r="P208">
        <v>8.4508008506212295</v>
      </c>
      <c r="Q208">
        <v>1.21580785916683</v>
      </c>
      <c r="R208">
        <v>3.3426055352172499</v>
      </c>
      <c r="S208">
        <v>60</v>
      </c>
      <c r="T208">
        <v>53</v>
      </c>
      <c r="U208">
        <v>594.33687579603304</v>
      </c>
      <c r="V208">
        <v>4.3010752688172E-3</v>
      </c>
      <c r="W208">
        <v>942610.24204061297</v>
      </c>
      <c r="X208" t="s">
        <v>31</v>
      </c>
      <c r="Y208">
        <f>1-383-210-6994</f>
        <v>-7586</v>
      </c>
    </row>
    <row r="209" spans="1:25" x14ac:dyDescent="0.35">
      <c r="A209">
        <v>34.724053938296798</v>
      </c>
      <c r="B209">
        <v>-120.25458908000201</v>
      </c>
      <c r="C209" t="s">
        <v>29</v>
      </c>
      <c r="D209">
        <v>16.4557418755466</v>
      </c>
      <c r="E209">
        <v>4</v>
      </c>
      <c r="F209">
        <v>3868</v>
      </c>
      <c r="G209">
        <v>3</v>
      </c>
      <c r="H209">
        <v>3</v>
      </c>
      <c r="I209">
        <v>1969</v>
      </c>
      <c r="J209">
        <v>1</v>
      </c>
      <c r="K209">
        <v>0</v>
      </c>
      <c r="L209">
        <v>1</v>
      </c>
      <c r="M209">
        <v>10</v>
      </c>
      <c r="N209" t="s">
        <v>26</v>
      </c>
      <c r="O209" t="s">
        <v>32</v>
      </c>
      <c r="P209">
        <v>11.656282950259399</v>
      </c>
      <c r="Q209">
        <v>1.9418678015927899</v>
      </c>
      <c r="R209">
        <v>5.89887845830774</v>
      </c>
      <c r="S209">
        <v>83</v>
      </c>
      <c r="T209">
        <v>68</v>
      </c>
      <c r="U209">
        <v>450.02382968658299</v>
      </c>
      <c r="V209">
        <v>2.5853154084798302E-3</v>
      </c>
      <c r="W209">
        <v>2032588.4575527699</v>
      </c>
      <c r="X209" t="s">
        <v>39</v>
      </c>
      <c r="Y209">
        <f>1-333-261-8006</f>
        <v>-8599</v>
      </c>
    </row>
    <row r="210" spans="1:25" x14ac:dyDescent="0.35">
      <c r="A210">
        <v>36.135144725375099</v>
      </c>
      <c r="B210">
        <v>-120.785355791397</v>
      </c>
      <c r="C210" t="s">
        <v>34</v>
      </c>
      <c r="D210">
        <v>39.5457953812505</v>
      </c>
      <c r="E210">
        <v>8</v>
      </c>
      <c r="F210">
        <v>4652</v>
      </c>
      <c r="G210">
        <v>2</v>
      </c>
      <c r="H210">
        <v>2</v>
      </c>
      <c r="I210">
        <v>1958</v>
      </c>
      <c r="J210">
        <v>1</v>
      </c>
      <c r="K210">
        <v>0</v>
      </c>
      <c r="L210">
        <v>0</v>
      </c>
      <c r="M210">
        <v>10</v>
      </c>
      <c r="N210" t="s">
        <v>26</v>
      </c>
      <c r="O210" t="s">
        <v>30</v>
      </c>
      <c r="P210">
        <v>7.7174469462187698</v>
      </c>
      <c r="Q210">
        <v>2.2720535248741398</v>
      </c>
      <c r="R210">
        <v>3.4789369768679399</v>
      </c>
      <c r="S210">
        <v>190</v>
      </c>
      <c r="T210">
        <v>48</v>
      </c>
      <c r="U210">
        <v>222.71911610172901</v>
      </c>
      <c r="V210">
        <v>2.14961306964746E-3</v>
      </c>
      <c r="W210">
        <v>1133614.3668307201</v>
      </c>
      <c r="X210" t="s">
        <v>31</v>
      </c>
      <c r="Y210">
        <f>1-364-923-3037</f>
        <v>-4323</v>
      </c>
    </row>
    <row r="211" spans="1:25" x14ac:dyDescent="0.35">
      <c r="A211">
        <v>37.737112527230998</v>
      </c>
      <c r="B211">
        <v>-120.920118429886</v>
      </c>
      <c r="C211" t="s">
        <v>29</v>
      </c>
      <c r="D211">
        <v>29.2485607065388</v>
      </c>
      <c r="E211">
        <v>6</v>
      </c>
      <c r="F211">
        <v>3322</v>
      </c>
      <c r="G211">
        <v>1</v>
      </c>
      <c r="H211">
        <v>1</v>
      </c>
      <c r="I211">
        <v>2017</v>
      </c>
      <c r="J211">
        <v>0</v>
      </c>
      <c r="K211">
        <v>1</v>
      </c>
      <c r="L211">
        <v>0</v>
      </c>
      <c r="M211">
        <v>7</v>
      </c>
      <c r="N211" t="s">
        <v>26</v>
      </c>
      <c r="O211" t="s">
        <v>30</v>
      </c>
      <c r="P211">
        <v>3.9186025365941699</v>
      </c>
      <c r="Q211">
        <v>0.68100823708366198</v>
      </c>
      <c r="R211">
        <v>5.9493059537812396</v>
      </c>
      <c r="S211">
        <v>94</v>
      </c>
      <c r="T211">
        <v>22</v>
      </c>
      <c r="U211">
        <v>982.42181131691098</v>
      </c>
      <c r="V211">
        <v>2.1071643588199802E-3</v>
      </c>
      <c r="W211">
        <v>3445799.58293891</v>
      </c>
      <c r="X211" t="s">
        <v>28</v>
      </c>
      <c r="Y211">
        <f>1-294-796-6306</f>
        <v>-7395</v>
      </c>
    </row>
    <row r="212" spans="1:25" x14ac:dyDescent="0.35">
      <c r="A212">
        <v>38.104978420002297</v>
      </c>
      <c r="B212">
        <v>-115.965225379152</v>
      </c>
      <c r="C212" t="s">
        <v>25</v>
      </c>
      <c r="D212">
        <v>11.532026200984101</v>
      </c>
      <c r="E212">
        <v>4</v>
      </c>
      <c r="F212">
        <v>4172</v>
      </c>
      <c r="G212">
        <v>3</v>
      </c>
      <c r="H212">
        <v>1</v>
      </c>
      <c r="I212">
        <v>1992</v>
      </c>
      <c r="J212">
        <v>1</v>
      </c>
      <c r="K212">
        <v>1</v>
      </c>
      <c r="L212">
        <v>0</v>
      </c>
      <c r="M212">
        <v>3</v>
      </c>
      <c r="N212" t="s">
        <v>26</v>
      </c>
      <c r="O212" t="s">
        <v>32</v>
      </c>
      <c r="P212">
        <v>3.2783538656092301</v>
      </c>
      <c r="Q212">
        <v>1.1081090173925601</v>
      </c>
      <c r="R212">
        <v>4.3415332724223301</v>
      </c>
      <c r="S212">
        <v>186</v>
      </c>
      <c r="T212">
        <v>23</v>
      </c>
      <c r="U212">
        <v>949.86220057902199</v>
      </c>
      <c r="V212">
        <v>7.1907957813997997E-4</v>
      </c>
      <c r="W212">
        <v>4114683.82462129</v>
      </c>
      <c r="X212" t="s">
        <v>40</v>
      </c>
      <c r="Y212">
        <f>1-339-751-4842</f>
        <v>-5931</v>
      </c>
    </row>
    <row r="213" spans="1:25" x14ac:dyDescent="0.35">
      <c r="A213">
        <v>34.290042139116601</v>
      </c>
      <c r="B213">
        <v>-114.211989935544</v>
      </c>
      <c r="C213" t="s">
        <v>34</v>
      </c>
      <c r="D213">
        <v>48.159490292344799</v>
      </c>
      <c r="E213">
        <v>0</v>
      </c>
      <c r="F213">
        <v>1362</v>
      </c>
      <c r="G213">
        <v>4</v>
      </c>
      <c r="H213">
        <v>1</v>
      </c>
      <c r="I213">
        <v>1976</v>
      </c>
      <c r="J213">
        <v>0</v>
      </c>
      <c r="K213">
        <v>1</v>
      </c>
      <c r="L213">
        <v>1</v>
      </c>
      <c r="M213">
        <v>6</v>
      </c>
      <c r="N213" t="s">
        <v>41</v>
      </c>
      <c r="O213" t="s">
        <v>30</v>
      </c>
      <c r="P213">
        <v>13.4724309159509</v>
      </c>
      <c r="Q213">
        <v>1.7499212297200499</v>
      </c>
      <c r="R213">
        <v>5.9763344550227897</v>
      </c>
      <c r="S213">
        <v>199</v>
      </c>
      <c r="T213">
        <v>26</v>
      </c>
      <c r="U213">
        <v>771.28447726289403</v>
      </c>
      <c r="V213">
        <v>4.40528634361233E-3</v>
      </c>
      <c r="W213">
        <v>1439845.9736972901</v>
      </c>
      <c r="X213" t="s">
        <v>43</v>
      </c>
      <c r="Y213">
        <f>1-340-301-2665</f>
        <v>-3305</v>
      </c>
    </row>
    <row r="214" spans="1:25" x14ac:dyDescent="0.35">
      <c r="A214">
        <v>37.640427844368702</v>
      </c>
      <c r="B214">
        <v>-122.697838140933</v>
      </c>
      <c r="C214" t="s">
        <v>34</v>
      </c>
      <c r="D214">
        <v>43.381233013154699</v>
      </c>
      <c r="E214">
        <v>1</v>
      </c>
      <c r="F214">
        <v>4741</v>
      </c>
      <c r="G214">
        <v>5</v>
      </c>
      <c r="H214">
        <v>1</v>
      </c>
      <c r="I214">
        <v>1963</v>
      </c>
      <c r="J214">
        <v>0</v>
      </c>
      <c r="K214">
        <v>1</v>
      </c>
      <c r="L214">
        <v>0</v>
      </c>
      <c r="M214">
        <v>14</v>
      </c>
      <c r="N214" t="s">
        <v>41</v>
      </c>
      <c r="O214" t="s">
        <v>30</v>
      </c>
      <c r="P214">
        <v>14.8976963422385</v>
      </c>
      <c r="Q214">
        <v>0.65313406264610496</v>
      </c>
      <c r="R214">
        <v>5.8599814893928297</v>
      </c>
      <c r="S214">
        <v>151</v>
      </c>
      <c r="T214">
        <v>32</v>
      </c>
      <c r="U214">
        <v>823.94064705060703</v>
      </c>
      <c r="V214">
        <v>2.9529635098080498E-3</v>
      </c>
      <c r="W214">
        <v>4356855.6340388702</v>
      </c>
      <c r="X214" t="s">
        <v>39</v>
      </c>
      <c r="Y214">
        <f>1-443-672-5791</f>
        <v>-6905</v>
      </c>
    </row>
    <row r="215" spans="1:25" x14ac:dyDescent="0.35">
      <c r="A215">
        <v>38.728760217516403</v>
      </c>
      <c r="B215">
        <v>-122.960270658643</v>
      </c>
      <c r="C215" t="s">
        <v>34</v>
      </c>
      <c r="D215">
        <v>38.772596722200902</v>
      </c>
      <c r="E215">
        <v>3</v>
      </c>
      <c r="F215">
        <v>4840</v>
      </c>
      <c r="G215">
        <v>5</v>
      </c>
      <c r="H215">
        <v>3</v>
      </c>
      <c r="I215">
        <v>1959</v>
      </c>
      <c r="J215">
        <v>0</v>
      </c>
      <c r="K215">
        <v>1</v>
      </c>
      <c r="L215">
        <v>0</v>
      </c>
      <c r="M215">
        <v>7</v>
      </c>
      <c r="N215" t="s">
        <v>37</v>
      </c>
      <c r="O215" t="s">
        <v>32</v>
      </c>
      <c r="P215">
        <v>9.5715229839674905</v>
      </c>
      <c r="Q215">
        <v>0.50473378234959798</v>
      </c>
      <c r="R215">
        <v>8.1251935034176999</v>
      </c>
      <c r="S215">
        <v>181</v>
      </c>
      <c r="T215">
        <v>62</v>
      </c>
      <c r="U215">
        <v>779.42953173398803</v>
      </c>
      <c r="V215">
        <v>1.4462809917355299E-3</v>
      </c>
      <c r="W215">
        <v>4147843.5794745502</v>
      </c>
      <c r="X215" t="s">
        <v>31</v>
      </c>
      <c r="Y215">
        <f>1-757-400-3219</f>
        <v>-4375</v>
      </c>
    </row>
    <row r="216" spans="1:25" x14ac:dyDescent="0.35">
      <c r="A216">
        <v>34.537020729593799</v>
      </c>
      <c r="B216">
        <v>-120.44948396246301</v>
      </c>
      <c r="C216" t="s">
        <v>25</v>
      </c>
      <c r="D216">
        <v>34.674076871522502</v>
      </c>
      <c r="E216">
        <v>1</v>
      </c>
      <c r="F216">
        <v>2301</v>
      </c>
      <c r="G216">
        <v>2</v>
      </c>
      <c r="H216">
        <v>2</v>
      </c>
      <c r="I216">
        <v>1965</v>
      </c>
      <c r="J216">
        <v>1</v>
      </c>
      <c r="K216">
        <v>1</v>
      </c>
      <c r="L216">
        <v>0</v>
      </c>
      <c r="M216">
        <v>9</v>
      </c>
      <c r="N216" t="s">
        <v>35</v>
      </c>
      <c r="O216" t="s">
        <v>27</v>
      </c>
      <c r="P216">
        <v>14.9517200561957</v>
      </c>
      <c r="Q216">
        <v>1.21602911335898</v>
      </c>
      <c r="R216">
        <v>6.2519278487127696</v>
      </c>
      <c r="S216">
        <v>35</v>
      </c>
      <c r="T216">
        <v>57</v>
      </c>
      <c r="U216">
        <v>604.80642146494097</v>
      </c>
      <c r="V216">
        <v>3.9113428943937396E-3</v>
      </c>
      <c r="W216">
        <v>1712729.36242347</v>
      </c>
      <c r="X216" t="s">
        <v>42</v>
      </c>
      <c r="Y216">
        <f>1-408-553-3595</f>
        <v>-4555</v>
      </c>
    </row>
    <row r="217" spans="1:25" x14ac:dyDescent="0.35">
      <c r="A217">
        <v>33.084401953384003</v>
      </c>
      <c r="B217">
        <v>-115.277547919238</v>
      </c>
      <c r="C217" t="s">
        <v>29</v>
      </c>
      <c r="D217">
        <v>20.525614383594</v>
      </c>
      <c r="E217">
        <v>6</v>
      </c>
      <c r="F217">
        <v>3273</v>
      </c>
      <c r="G217">
        <v>5</v>
      </c>
      <c r="H217">
        <v>3</v>
      </c>
      <c r="I217">
        <v>2021</v>
      </c>
      <c r="J217">
        <v>0</v>
      </c>
      <c r="K217">
        <v>0</v>
      </c>
      <c r="L217">
        <v>0</v>
      </c>
      <c r="M217">
        <v>12</v>
      </c>
      <c r="N217" t="s">
        <v>37</v>
      </c>
      <c r="O217" t="s">
        <v>32</v>
      </c>
      <c r="P217">
        <v>3.0705762206697198</v>
      </c>
      <c r="Q217">
        <v>0.942637679876276</v>
      </c>
      <c r="R217">
        <v>9.8813609879271205</v>
      </c>
      <c r="S217">
        <v>22</v>
      </c>
      <c r="T217">
        <v>54</v>
      </c>
      <c r="U217">
        <v>649.25467565368899</v>
      </c>
      <c r="V217">
        <v>3.6663611365719499E-3</v>
      </c>
      <c r="W217">
        <v>2409044.97932541</v>
      </c>
      <c r="X217" t="s">
        <v>42</v>
      </c>
      <c r="Y217">
        <f>1-502-436-2038</f>
        <v>-2975</v>
      </c>
    </row>
    <row r="218" spans="1:25" x14ac:dyDescent="0.35">
      <c r="A218">
        <v>36.683982837855901</v>
      </c>
      <c r="B218">
        <v>-124.445533492249</v>
      </c>
      <c r="C218" t="s">
        <v>29</v>
      </c>
      <c r="D218">
        <v>6.6942089118963697</v>
      </c>
      <c r="E218">
        <v>2</v>
      </c>
      <c r="F218">
        <v>2493</v>
      </c>
      <c r="G218">
        <v>2</v>
      </c>
      <c r="H218">
        <v>2</v>
      </c>
      <c r="I218">
        <v>2014</v>
      </c>
      <c r="J218">
        <v>1</v>
      </c>
      <c r="K218">
        <v>0</v>
      </c>
      <c r="L218">
        <v>0</v>
      </c>
      <c r="M218">
        <v>6</v>
      </c>
      <c r="N218" t="s">
        <v>35</v>
      </c>
      <c r="O218" t="s">
        <v>27</v>
      </c>
      <c r="P218">
        <v>3.8786037480184001</v>
      </c>
      <c r="Q218">
        <v>1.04085287965394</v>
      </c>
      <c r="R218">
        <v>0.48091095074569401</v>
      </c>
      <c r="S218">
        <v>100</v>
      </c>
      <c r="T218">
        <v>71</v>
      </c>
      <c r="U218">
        <v>551.76872064979898</v>
      </c>
      <c r="V218">
        <v>2.40673886883273E-3</v>
      </c>
      <c r="W218">
        <v>1638650.0887240199</v>
      </c>
      <c r="X218" t="s">
        <v>44</v>
      </c>
      <c r="Y218">
        <f>1-264-147-6764</f>
        <v>-7174</v>
      </c>
    </row>
    <row r="219" spans="1:25" x14ac:dyDescent="0.35">
      <c r="A219">
        <v>32.814593885721401</v>
      </c>
      <c r="B219">
        <v>-123.648994092625</v>
      </c>
      <c r="C219" t="s">
        <v>25</v>
      </c>
      <c r="D219">
        <v>16.9867239956947</v>
      </c>
      <c r="E219">
        <v>8</v>
      </c>
      <c r="F219">
        <v>4110</v>
      </c>
      <c r="G219">
        <v>4</v>
      </c>
      <c r="H219">
        <v>2</v>
      </c>
      <c r="I219">
        <v>2013</v>
      </c>
      <c r="J219">
        <v>1</v>
      </c>
      <c r="K219">
        <v>1</v>
      </c>
      <c r="L219">
        <v>0</v>
      </c>
      <c r="M219">
        <v>2</v>
      </c>
      <c r="N219" t="s">
        <v>37</v>
      </c>
      <c r="O219" t="s">
        <v>30</v>
      </c>
      <c r="P219">
        <v>7.2334483838583497</v>
      </c>
      <c r="Q219">
        <v>1.58490730420737</v>
      </c>
      <c r="R219">
        <v>5.5218070684550096</v>
      </c>
      <c r="S219">
        <v>100</v>
      </c>
      <c r="T219">
        <v>47</v>
      </c>
      <c r="U219">
        <v>966.36570308392004</v>
      </c>
      <c r="V219">
        <v>4.8661800486618002E-4</v>
      </c>
      <c r="W219">
        <v>4429106.5810612896</v>
      </c>
      <c r="X219" t="s">
        <v>33</v>
      </c>
      <c r="Y219">
        <f>1-883-751-5350</f>
        <v>-6983</v>
      </c>
    </row>
    <row r="220" spans="1:25" x14ac:dyDescent="0.35">
      <c r="A220">
        <v>37.697440756523399</v>
      </c>
      <c r="B220">
        <v>-115.742988102396</v>
      </c>
      <c r="C220" t="s">
        <v>25</v>
      </c>
      <c r="D220">
        <v>44.701778834173403</v>
      </c>
      <c r="E220">
        <v>5</v>
      </c>
      <c r="F220">
        <v>1806</v>
      </c>
      <c r="G220">
        <v>5</v>
      </c>
      <c r="H220">
        <v>3</v>
      </c>
      <c r="I220">
        <v>1953</v>
      </c>
      <c r="J220">
        <v>1</v>
      </c>
      <c r="K220">
        <v>1</v>
      </c>
      <c r="L220">
        <v>1</v>
      </c>
      <c r="M220">
        <v>8</v>
      </c>
      <c r="N220" t="s">
        <v>35</v>
      </c>
      <c r="O220" t="s">
        <v>30</v>
      </c>
      <c r="P220">
        <v>10.766992432100199</v>
      </c>
      <c r="Q220">
        <v>2.2425019921741698</v>
      </c>
      <c r="R220">
        <v>4.2832610726736897</v>
      </c>
      <c r="S220">
        <v>76</v>
      </c>
      <c r="T220">
        <v>61</v>
      </c>
      <c r="U220">
        <v>595.81840565180596</v>
      </c>
      <c r="V220">
        <v>4.4296788482834897E-3</v>
      </c>
      <c r="W220">
        <v>1534915.86945146</v>
      </c>
      <c r="X220" t="s">
        <v>36</v>
      </c>
      <c r="Y220">
        <f>1-873-974-3548</f>
        <v>-5394</v>
      </c>
    </row>
    <row r="221" spans="1:25" x14ac:dyDescent="0.35">
      <c r="A221">
        <v>34.587960592087398</v>
      </c>
      <c r="B221">
        <v>-121.676585816669</v>
      </c>
      <c r="C221" t="s">
        <v>25</v>
      </c>
      <c r="D221">
        <v>36.743272880844103</v>
      </c>
      <c r="E221">
        <v>8</v>
      </c>
      <c r="F221">
        <v>566</v>
      </c>
      <c r="G221">
        <v>2</v>
      </c>
      <c r="H221">
        <v>3</v>
      </c>
      <c r="I221">
        <v>1982</v>
      </c>
      <c r="J221">
        <v>1</v>
      </c>
      <c r="K221">
        <v>1</v>
      </c>
      <c r="L221">
        <v>1</v>
      </c>
      <c r="M221">
        <v>4</v>
      </c>
      <c r="N221" t="s">
        <v>26</v>
      </c>
      <c r="O221" t="s">
        <v>27</v>
      </c>
      <c r="P221">
        <v>8.3947960313145398</v>
      </c>
      <c r="Q221">
        <v>2.4134807701973999</v>
      </c>
      <c r="R221">
        <v>3.4509119924559499</v>
      </c>
      <c r="S221">
        <v>43</v>
      </c>
      <c r="T221">
        <v>44</v>
      </c>
      <c r="U221">
        <v>622.11537930809504</v>
      </c>
      <c r="V221">
        <v>7.0671378091872704E-3</v>
      </c>
      <c r="W221">
        <v>747023.33807808999</v>
      </c>
      <c r="X221" t="s">
        <v>42</v>
      </c>
      <c r="Y221">
        <f>1-546-210-8469</f>
        <v>-9224</v>
      </c>
    </row>
    <row r="222" spans="1:25" x14ac:dyDescent="0.35">
      <c r="A222">
        <v>41.062058505391697</v>
      </c>
      <c r="B222">
        <v>-118.819576145124</v>
      </c>
      <c r="C222" t="s">
        <v>34</v>
      </c>
      <c r="D222">
        <v>28.758900740079401</v>
      </c>
      <c r="E222">
        <v>5</v>
      </c>
      <c r="F222">
        <v>1688</v>
      </c>
      <c r="G222">
        <v>5</v>
      </c>
      <c r="H222">
        <v>1</v>
      </c>
      <c r="I222">
        <v>1951</v>
      </c>
      <c r="J222">
        <v>1</v>
      </c>
      <c r="K222">
        <v>0</v>
      </c>
      <c r="L222">
        <v>0</v>
      </c>
      <c r="M222">
        <v>14</v>
      </c>
      <c r="N222" t="s">
        <v>41</v>
      </c>
      <c r="O222" t="s">
        <v>32</v>
      </c>
      <c r="P222">
        <v>6.7062135806962804</v>
      </c>
      <c r="Q222">
        <v>2.0750884548943098</v>
      </c>
      <c r="R222">
        <v>1.8238994322234601</v>
      </c>
      <c r="S222">
        <v>18</v>
      </c>
      <c r="T222">
        <v>71</v>
      </c>
      <c r="U222">
        <v>702.71518127460195</v>
      </c>
      <c r="V222">
        <v>8.2938388625592406E-3</v>
      </c>
      <c r="W222">
        <v>1443315.9446377801</v>
      </c>
      <c r="X222" t="s">
        <v>28</v>
      </c>
      <c r="Y222">
        <f>1-467-456-1211</f>
        <v>-2133</v>
      </c>
    </row>
    <row r="223" spans="1:25" x14ac:dyDescent="0.35">
      <c r="A223">
        <v>36.163488406668101</v>
      </c>
      <c r="B223">
        <v>-119.655351732865</v>
      </c>
      <c r="C223" t="s">
        <v>29</v>
      </c>
      <c r="D223">
        <v>10.381788892028901</v>
      </c>
      <c r="E223">
        <v>9</v>
      </c>
      <c r="F223">
        <v>2769</v>
      </c>
      <c r="G223">
        <v>2</v>
      </c>
      <c r="H223">
        <v>2</v>
      </c>
      <c r="I223">
        <v>2021</v>
      </c>
      <c r="J223">
        <v>0</v>
      </c>
      <c r="K223">
        <v>1</v>
      </c>
      <c r="L223">
        <v>1</v>
      </c>
      <c r="M223">
        <v>4</v>
      </c>
      <c r="N223" t="s">
        <v>26</v>
      </c>
      <c r="O223" t="s">
        <v>32</v>
      </c>
      <c r="P223">
        <v>8.6242209857363399</v>
      </c>
      <c r="Q223">
        <v>0.838006411340247</v>
      </c>
      <c r="R223">
        <v>3.9907976608893798</v>
      </c>
      <c r="S223">
        <v>94</v>
      </c>
      <c r="T223">
        <v>21</v>
      </c>
      <c r="U223">
        <v>799.40542895200599</v>
      </c>
      <c r="V223">
        <v>1.4445648248465101E-3</v>
      </c>
      <c r="W223">
        <v>2459844.3748148102</v>
      </c>
      <c r="X223" t="s">
        <v>39</v>
      </c>
      <c r="Y223">
        <f>1-645-722-1595</f>
        <v>-2961</v>
      </c>
    </row>
    <row r="224" spans="1:25" x14ac:dyDescent="0.35">
      <c r="A224">
        <v>39.583385396512597</v>
      </c>
      <c r="B224">
        <v>-122.33943140186101</v>
      </c>
      <c r="C224" t="s">
        <v>25</v>
      </c>
      <c r="D224">
        <v>16.717555299267602</v>
      </c>
      <c r="E224">
        <v>0</v>
      </c>
      <c r="F224">
        <v>4093</v>
      </c>
      <c r="G224">
        <v>2</v>
      </c>
      <c r="H224">
        <v>1</v>
      </c>
      <c r="I224">
        <v>2015</v>
      </c>
      <c r="J224">
        <v>1</v>
      </c>
      <c r="K224">
        <v>1</v>
      </c>
      <c r="L224">
        <v>1</v>
      </c>
      <c r="M224">
        <v>8</v>
      </c>
      <c r="N224" t="s">
        <v>26</v>
      </c>
      <c r="O224" t="s">
        <v>30</v>
      </c>
      <c r="P224">
        <v>12.6037394708184</v>
      </c>
      <c r="Q224">
        <v>2.4148775050959101</v>
      </c>
      <c r="R224">
        <v>0.14226571019707901</v>
      </c>
      <c r="S224">
        <v>29</v>
      </c>
      <c r="T224">
        <v>54</v>
      </c>
      <c r="U224">
        <v>662.71565831065595</v>
      </c>
      <c r="V224">
        <v>1.9545565599804501E-3</v>
      </c>
      <c r="W224">
        <v>3148674.2668784498</v>
      </c>
      <c r="X224" t="s">
        <v>42</v>
      </c>
      <c r="Y224">
        <f>1-250-356-3512</f>
        <v>-4117</v>
      </c>
    </row>
    <row r="225" spans="1:25" x14ac:dyDescent="0.35">
      <c r="A225">
        <v>33.143154068945897</v>
      </c>
      <c r="B225">
        <v>-114.062782352664</v>
      </c>
      <c r="C225" t="s">
        <v>25</v>
      </c>
      <c r="D225">
        <v>37.815613101314597</v>
      </c>
      <c r="E225">
        <v>2</v>
      </c>
      <c r="F225">
        <v>4398</v>
      </c>
      <c r="G225">
        <v>2</v>
      </c>
      <c r="H225">
        <v>2</v>
      </c>
      <c r="I225">
        <v>2016</v>
      </c>
      <c r="J225">
        <v>0</v>
      </c>
      <c r="K225">
        <v>0</v>
      </c>
      <c r="L225">
        <v>0</v>
      </c>
      <c r="M225">
        <v>13</v>
      </c>
      <c r="N225" t="s">
        <v>35</v>
      </c>
      <c r="O225" t="s">
        <v>27</v>
      </c>
      <c r="P225">
        <v>2.7211419441431599</v>
      </c>
      <c r="Q225">
        <v>1.0001619462322799</v>
      </c>
      <c r="R225">
        <v>7.7896878190351002E-2</v>
      </c>
      <c r="S225">
        <v>48</v>
      </c>
      <c r="T225">
        <v>60</v>
      </c>
      <c r="U225">
        <v>344.55414422722998</v>
      </c>
      <c r="V225">
        <v>2.9558890404729398E-3</v>
      </c>
      <c r="W225">
        <v>1720673.4755017499</v>
      </c>
      <c r="X225" t="s">
        <v>39</v>
      </c>
      <c r="Y225">
        <f>1-489-904-1527</f>
        <v>-2919</v>
      </c>
    </row>
    <row r="226" spans="1:25" x14ac:dyDescent="0.35">
      <c r="A226">
        <v>32.9409863554678</v>
      </c>
      <c r="B226">
        <v>-123.450099117759</v>
      </c>
      <c r="C226" t="s">
        <v>29</v>
      </c>
      <c r="D226">
        <v>9.9746253310146091</v>
      </c>
      <c r="E226">
        <v>3</v>
      </c>
      <c r="F226">
        <v>3586</v>
      </c>
      <c r="G226">
        <v>3</v>
      </c>
      <c r="H226">
        <v>2</v>
      </c>
      <c r="I226">
        <v>2019</v>
      </c>
      <c r="J226">
        <v>0</v>
      </c>
      <c r="K226">
        <v>0</v>
      </c>
      <c r="L226">
        <v>1</v>
      </c>
      <c r="M226">
        <v>10</v>
      </c>
      <c r="N226" t="s">
        <v>35</v>
      </c>
      <c r="O226" t="s">
        <v>32</v>
      </c>
      <c r="P226">
        <v>10.525002787605001</v>
      </c>
      <c r="Q226">
        <v>1.48739443665445</v>
      </c>
      <c r="R226">
        <v>6.37332517435879</v>
      </c>
      <c r="S226">
        <v>127</v>
      </c>
      <c r="T226">
        <v>22</v>
      </c>
      <c r="U226">
        <v>799.19556095158498</v>
      </c>
      <c r="V226">
        <v>2.7886224205242601E-3</v>
      </c>
      <c r="W226">
        <v>3072669.5348804002</v>
      </c>
      <c r="X226" t="s">
        <v>28</v>
      </c>
      <c r="Y226">
        <f>1-382-607-4738</f>
        <v>-5726</v>
      </c>
    </row>
    <row r="227" spans="1:25" x14ac:dyDescent="0.35">
      <c r="A227">
        <v>37.691590843416598</v>
      </c>
      <c r="B227">
        <v>-115.18684175737501</v>
      </c>
      <c r="C227" t="s">
        <v>34</v>
      </c>
      <c r="D227">
        <v>12.067028761389301</v>
      </c>
      <c r="E227">
        <v>4</v>
      </c>
      <c r="F227">
        <v>1796</v>
      </c>
      <c r="G227">
        <v>3</v>
      </c>
      <c r="H227">
        <v>1</v>
      </c>
      <c r="I227">
        <v>2011</v>
      </c>
      <c r="J227">
        <v>1</v>
      </c>
      <c r="K227">
        <v>0</v>
      </c>
      <c r="L227">
        <v>1</v>
      </c>
      <c r="M227">
        <v>11</v>
      </c>
      <c r="N227" t="s">
        <v>41</v>
      </c>
      <c r="O227" t="s">
        <v>30</v>
      </c>
      <c r="P227">
        <v>11.823518462001701</v>
      </c>
      <c r="Q227">
        <v>0.92556843344114803</v>
      </c>
      <c r="R227">
        <v>3.72036824253468</v>
      </c>
      <c r="S227">
        <v>42</v>
      </c>
      <c r="T227">
        <v>59</v>
      </c>
      <c r="U227">
        <v>565.87081500599197</v>
      </c>
      <c r="V227">
        <v>6.1247216035634697E-3</v>
      </c>
      <c r="W227">
        <v>1451629.3192004301</v>
      </c>
      <c r="X227" t="s">
        <v>38</v>
      </c>
      <c r="Y227">
        <f>1-979-714-5249</f>
        <v>-6941</v>
      </c>
    </row>
    <row r="228" spans="1:25" x14ac:dyDescent="0.35">
      <c r="A228">
        <v>41.739369660241003</v>
      </c>
      <c r="B228">
        <v>-114.963922462124</v>
      </c>
      <c r="C228" t="s">
        <v>29</v>
      </c>
      <c r="D228">
        <v>32.1408680007237</v>
      </c>
      <c r="E228">
        <v>8</v>
      </c>
      <c r="F228">
        <v>871</v>
      </c>
      <c r="G228">
        <v>4</v>
      </c>
      <c r="H228">
        <v>2</v>
      </c>
      <c r="I228">
        <v>1959</v>
      </c>
      <c r="J228">
        <v>1</v>
      </c>
      <c r="K228">
        <v>0</v>
      </c>
      <c r="L228">
        <v>1</v>
      </c>
      <c r="M228">
        <v>3</v>
      </c>
      <c r="N228" t="s">
        <v>37</v>
      </c>
      <c r="O228" t="s">
        <v>30</v>
      </c>
      <c r="P228">
        <v>11.789775312223</v>
      </c>
      <c r="Q228">
        <v>1.49613431060473</v>
      </c>
      <c r="R228">
        <v>1.25164771854631</v>
      </c>
      <c r="S228">
        <v>88</v>
      </c>
      <c r="T228">
        <v>49</v>
      </c>
      <c r="U228">
        <v>696.88700477724296</v>
      </c>
      <c r="V228">
        <v>3.4443168771526901E-3</v>
      </c>
      <c r="W228">
        <v>943866.14840514795</v>
      </c>
      <c r="X228" t="s">
        <v>38</v>
      </c>
      <c r="Y228">
        <f>1-314-902-6908</f>
        <v>-8123</v>
      </c>
    </row>
    <row r="229" spans="1:25" x14ac:dyDescent="0.35">
      <c r="A229">
        <v>38.723821360012202</v>
      </c>
      <c r="B229">
        <v>-117.683440885218</v>
      </c>
      <c r="C229" t="s">
        <v>25</v>
      </c>
      <c r="D229">
        <v>14.423656258882</v>
      </c>
      <c r="E229">
        <v>1</v>
      </c>
      <c r="F229">
        <v>2204</v>
      </c>
      <c r="G229">
        <v>5</v>
      </c>
      <c r="H229">
        <v>3</v>
      </c>
      <c r="I229">
        <v>2010</v>
      </c>
      <c r="J229">
        <v>1</v>
      </c>
      <c r="K229">
        <v>0</v>
      </c>
      <c r="L229">
        <v>1</v>
      </c>
      <c r="M229">
        <v>5</v>
      </c>
      <c r="N229" t="s">
        <v>37</v>
      </c>
      <c r="O229" t="s">
        <v>30</v>
      </c>
      <c r="P229">
        <v>9.3693422181634496</v>
      </c>
      <c r="Q229">
        <v>2.2776780907818899</v>
      </c>
      <c r="R229">
        <v>4.5955859667241201</v>
      </c>
      <c r="S229">
        <v>40</v>
      </c>
      <c r="T229">
        <v>78</v>
      </c>
      <c r="U229">
        <v>435.15186457435601</v>
      </c>
      <c r="V229">
        <v>2.2686025408348398E-3</v>
      </c>
      <c r="W229">
        <v>1434243.82517194</v>
      </c>
      <c r="X229" t="s">
        <v>44</v>
      </c>
      <c r="Y229">
        <f>1-700-311-6132</f>
        <v>-7142</v>
      </c>
    </row>
    <row r="230" spans="1:25" x14ac:dyDescent="0.35">
      <c r="A230">
        <v>37.817468361786801</v>
      </c>
      <c r="B230">
        <v>-115.88590593625401</v>
      </c>
      <c r="C230" t="s">
        <v>29</v>
      </c>
      <c r="D230">
        <v>46.666313674012997</v>
      </c>
      <c r="E230">
        <v>0</v>
      </c>
      <c r="F230">
        <v>2419</v>
      </c>
      <c r="G230">
        <v>1</v>
      </c>
      <c r="H230">
        <v>1</v>
      </c>
      <c r="I230">
        <v>1965</v>
      </c>
      <c r="J230">
        <v>1</v>
      </c>
      <c r="K230">
        <v>0</v>
      </c>
      <c r="L230">
        <v>1</v>
      </c>
      <c r="M230">
        <v>8</v>
      </c>
      <c r="N230" t="s">
        <v>26</v>
      </c>
      <c r="O230" t="s">
        <v>32</v>
      </c>
      <c r="P230">
        <v>6.9073039252794999</v>
      </c>
      <c r="Q230">
        <v>1.2361624483576801</v>
      </c>
      <c r="R230">
        <v>9.9801762984970104</v>
      </c>
      <c r="S230">
        <v>63</v>
      </c>
      <c r="T230">
        <v>67</v>
      </c>
      <c r="U230">
        <v>297.82280606952401</v>
      </c>
      <c r="V230">
        <v>3.3071517155849502E-3</v>
      </c>
      <c r="W230">
        <v>851676.03808397695</v>
      </c>
      <c r="X230" t="s">
        <v>28</v>
      </c>
      <c r="Y230">
        <f>1-880-601-4031</f>
        <v>-5511</v>
      </c>
    </row>
    <row r="231" spans="1:25" x14ac:dyDescent="0.35">
      <c r="A231">
        <v>37.4180089713619</v>
      </c>
      <c r="B231">
        <v>-119.88567474672099</v>
      </c>
      <c r="C231" t="s">
        <v>25</v>
      </c>
      <c r="D231">
        <v>39.446608785118798</v>
      </c>
      <c r="E231">
        <v>2</v>
      </c>
      <c r="F231">
        <v>2027</v>
      </c>
      <c r="G231">
        <v>2</v>
      </c>
      <c r="H231">
        <v>2</v>
      </c>
      <c r="I231">
        <v>2013</v>
      </c>
      <c r="J231">
        <v>1</v>
      </c>
      <c r="K231">
        <v>1</v>
      </c>
      <c r="L231">
        <v>0</v>
      </c>
      <c r="M231">
        <v>14</v>
      </c>
      <c r="N231" t="s">
        <v>37</v>
      </c>
      <c r="O231" t="s">
        <v>32</v>
      </c>
      <c r="P231">
        <v>8.60302472027184</v>
      </c>
      <c r="Q231">
        <v>0.78994530622335701</v>
      </c>
      <c r="R231">
        <v>1.5302306451294501</v>
      </c>
      <c r="S231">
        <v>150</v>
      </c>
      <c r="T231">
        <v>46</v>
      </c>
      <c r="U231">
        <v>344.20512582192799</v>
      </c>
      <c r="V231">
        <v>6.9067587567834196E-3</v>
      </c>
      <c r="W231">
        <v>1081604.34927087</v>
      </c>
      <c r="X231" t="s">
        <v>39</v>
      </c>
      <c r="Y231">
        <f>1-484-181-5047</f>
        <v>-5711</v>
      </c>
    </row>
    <row r="232" spans="1:25" x14ac:dyDescent="0.35">
      <c r="A232">
        <v>32.570226060765897</v>
      </c>
      <c r="B232">
        <v>-116.75308398176</v>
      </c>
      <c r="C232" t="s">
        <v>29</v>
      </c>
      <c r="D232">
        <v>44.929423917445803</v>
      </c>
      <c r="E232">
        <v>4</v>
      </c>
      <c r="F232">
        <v>867</v>
      </c>
      <c r="G232">
        <v>1</v>
      </c>
      <c r="H232">
        <v>3</v>
      </c>
      <c r="I232">
        <v>1954</v>
      </c>
      <c r="J232">
        <v>0</v>
      </c>
      <c r="K232">
        <v>1</v>
      </c>
      <c r="L232">
        <v>0</v>
      </c>
      <c r="M232">
        <v>9</v>
      </c>
      <c r="N232" t="s">
        <v>41</v>
      </c>
      <c r="O232" t="s">
        <v>32</v>
      </c>
      <c r="P232">
        <v>7.9722240738453598</v>
      </c>
      <c r="Q232">
        <v>1.0661758876162299</v>
      </c>
      <c r="R232">
        <v>8.4482947562337607</v>
      </c>
      <c r="S232">
        <v>136</v>
      </c>
      <c r="T232">
        <v>29</v>
      </c>
      <c r="U232">
        <v>453.02761432577302</v>
      </c>
      <c r="V232">
        <v>1.03806228373702E-2</v>
      </c>
      <c r="W232">
        <v>525108.76053225703</v>
      </c>
      <c r="X232" t="s">
        <v>40</v>
      </c>
      <c r="Y232">
        <f>1-656-288-8666</f>
        <v>-9609</v>
      </c>
    </row>
    <row r="233" spans="1:25" x14ac:dyDescent="0.35">
      <c r="A233">
        <v>34.942314641171698</v>
      </c>
      <c r="B233">
        <v>-117.51178886022301</v>
      </c>
      <c r="C233" t="s">
        <v>25</v>
      </c>
      <c r="D233">
        <v>48.101259254356997</v>
      </c>
      <c r="E233">
        <v>5</v>
      </c>
      <c r="F233">
        <v>2244</v>
      </c>
      <c r="G233">
        <v>5</v>
      </c>
      <c r="H233">
        <v>3</v>
      </c>
      <c r="I233">
        <v>1953</v>
      </c>
      <c r="J233">
        <v>1</v>
      </c>
      <c r="K233">
        <v>1</v>
      </c>
      <c r="L233">
        <v>1</v>
      </c>
      <c r="M233">
        <v>3</v>
      </c>
      <c r="N233" t="s">
        <v>35</v>
      </c>
      <c r="O233" t="s">
        <v>27</v>
      </c>
      <c r="P233">
        <v>3.2411569406815199</v>
      </c>
      <c r="Q233">
        <v>1.44766084224792</v>
      </c>
      <c r="R233">
        <v>7.9843417071651697</v>
      </c>
      <c r="S233">
        <v>39</v>
      </c>
      <c r="T233">
        <v>36</v>
      </c>
      <c r="U233">
        <v>755.78815650692002</v>
      </c>
      <c r="V233">
        <v>1.3368983957219201E-3</v>
      </c>
      <c r="W233">
        <v>2113794.0819685101</v>
      </c>
      <c r="X233" t="s">
        <v>33</v>
      </c>
      <c r="Y233">
        <f>1-452-688-3191</f>
        <v>-4330</v>
      </c>
    </row>
    <row r="234" spans="1:25" x14ac:dyDescent="0.35">
      <c r="A234">
        <v>34.343541267757999</v>
      </c>
      <c r="B234">
        <v>-119.54290906159601</v>
      </c>
      <c r="C234" t="s">
        <v>25</v>
      </c>
      <c r="D234">
        <v>9.5614615158804597</v>
      </c>
      <c r="E234">
        <v>8</v>
      </c>
      <c r="F234">
        <v>3974</v>
      </c>
      <c r="G234">
        <v>5</v>
      </c>
      <c r="H234">
        <v>3</v>
      </c>
      <c r="I234">
        <v>1981</v>
      </c>
      <c r="J234">
        <v>0</v>
      </c>
      <c r="K234">
        <v>0</v>
      </c>
      <c r="L234">
        <v>0</v>
      </c>
      <c r="M234">
        <v>8</v>
      </c>
      <c r="N234" t="s">
        <v>37</v>
      </c>
      <c r="O234" t="s">
        <v>32</v>
      </c>
      <c r="P234">
        <v>12.964755944025599</v>
      </c>
      <c r="Q234">
        <v>0.88307860557587403</v>
      </c>
      <c r="R234">
        <v>9.5803510155748892</v>
      </c>
      <c r="S234">
        <v>37</v>
      </c>
      <c r="T234">
        <v>37</v>
      </c>
      <c r="U234">
        <v>784.743134973525</v>
      </c>
      <c r="V234">
        <v>2.01308505284348E-3</v>
      </c>
      <c r="W234">
        <v>3448828.7906534402</v>
      </c>
      <c r="X234" t="s">
        <v>40</v>
      </c>
      <c r="Y234">
        <f>1-649-745-4486</f>
        <v>-5879</v>
      </c>
    </row>
    <row r="235" spans="1:25" x14ac:dyDescent="0.35">
      <c r="A235">
        <v>35.756254434743198</v>
      </c>
      <c r="B235">
        <v>-123.084780937063</v>
      </c>
      <c r="C235" t="s">
        <v>29</v>
      </c>
      <c r="D235">
        <v>31.716795766451401</v>
      </c>
      <c r="E235">
        <v>9</v>
      </c>
      <c r="F235">
        <v>1130</v>
      </c>
      <c r="G235">
        <v>5</v>
      </c>
      <c r="H235">
        <v>2</v>
      </c>
      <c r="I235">
        <v>2008</v>
      </c>
      <c r="J235">
        <v>0</v>
      </c>
      <c r="K235">
        <v>0</v>
      </c>
      <c r="L235">
        <v>1</v>
      </c>
      <c r="M235">
        <v>2</v>
      </c>
      <c r="N235" t="s">
        <v>26</v>
      </c>
      <c r="O235" t="s">
        <v>30</v>
      </c>
      <c r="P235">
        <v>3.3787121974566698</v>
      </c>
      <c r="Q235">
        <v>2.30249351427759</v>
      </c>
      <c r="R235">
        <v>6.9551943850795803</v>
      </c>
      <c r="S235">
        <v>43</v>
      </c>
      <c r="T235">
        <v>23</v>
      </c>
      <c r="U235">
        <v>680.64693910969504</v>
      </c>
      <c r="V235">
        <v>1.7699115044247701E-3</v>
      </c>
      <c r="W235">
        <v>1153308.3531533501</v>
      </c>
      <c r="X235" t="s">
        <v>36</v>
      </c>
      <c r="Y235">
        <f>1-402-123-1448</f>
        <v>-1972</v>
      </c>
    </row>
    <row r="236" spans="1:25" x14ac:dyDescent="0.35">
      <c r="A236">
        <v>37.865327199300097</v>
      </c>
      <c r="B236">
        <v>-119.30794404695</v>
      </c>
      <c r="C236" t="s">
        <v>25</v>
      </c>
      <c r="D236">
        <v>39.6545640516443</v>
      </c>
      <c r="E236">
        <v>2</v>
      </c>
      <c r="F236">
        <v>4062</v>
      </c>
      <c r="G236">
        <v>2</v>
      </c>
      <c r="H236">
        <v>3</v>
      </c>
      <c r="I236">
        <v>1960</v>
      </c>
      <c r="J236">
        <v>1</v>
      </c>
      <c r="K236">
        <v>0</v>
      </c>
      <c r="L236">
        <v>1</v>
      </c>
      <c r="M236">
        <v>13</v>
      </c>
      <c r="N236" t="s">
        <v>35</v>
      </c>
      <c r="O236" t="s">
        <v>32</v>
      </c>
      <c r="P236">
        <v>10.641487398893799</v>
      </c>
      <c r="Q236">
        <v>0.63275802902158096</v>
      </c>
      <c r="R236">
        <v>1.83565737848565</v>
      </c>
      <c r="S236">
        <v>158</v>
      </c>
      <c r="T236">
        <v>76</v>
      </c>
      <c r="U236">
        <v>266.30219379829202</v>
      </c>
      <c r="V236">
        <v>3.2003938946331802E-3</v>
      </c>
      <c r="W236">
        <v>1312310.5284023599</v>
      </c>
      <c r="X236" t="s">
        <v>44</v>
      </c>
      <c r="Y236">
        <f>1-788-701-7692</f>
        <v>-9180</v>
      </c>
    </row>
    <row r="237" spans="1:25" x14ac:dyDescent="0.35">
      <c r="A237">
        <v>35.6678921055153</v>
      </c>
      <c r="B237">
        <v>-121.522975230068</v>
      </c>
      <c r="C237" t="s">
        <v>25</v>
      </c>
      <c r="D237">
        <v>42.921642471444201</v>
      </c>
      <c r="E237">
        <v>6</v>
      </c>
      <c r="F237">
        <v>3024</v>
      </c>
      <c r="G237">
        <v>2</v>
      </c>
      <c r="H237">
        <v>1</v>
      </c>
      <c r="I237">
        <v>1955</v>
      </c>
      <c r="J237">
        <v>0</v>
      </c>
      <c r="K237">
        <v>1</v>
      </c>
      <c r="L237">
        <v>1</v>
      </c>
      <c r="M237">
        <v>6</v>
      </c>
      <c r="N237" t="s">
        <v>35</v>
      </c>
      <c r="O237" t="s">
        <v>30</v>
      </c>
      <c r="P237">
        <v>2.62614589217231</v>
      </c>
      <c r="Q237">
        <v>1.8151887653093499</v>
      </c>
      <c r="R237">
        <v>8.3537110310754503</v>
      </c>
      <c r="S237">
        <v>190</v>
      </c>
      <c r="T237">
        <v>54</v>
      </c>
      <c r="U237">
        <v>203.342109996516</v>
      </c>
      <c r="V237">
        <v>1.9841269841269801E-3</v>
      </c>
      <c r="W237">
        <v>694752.11630913499</v>
      </c>
      <c r="X237" t="s">
        <v>39</v>
      </c>
      <c r="Y237">
        <f>1-785-311-9637</f>
        <v>-10732</v>
      </c>
    </row>
    <row r="238" spans="1:25" x14ac:dyDescent="0.35">
      <c r="A238">
        <v>41.223417563327899</v>
      </c>
      <c r="B238">
        <v>-115.06956819532</v>
      </c>
      <c r="C238" t="s">
        <v>25</v>
      </c>
      <c r="D238">
        <v>24.155981044131899</v>
      </c>
      <c r="E238">
        <v>5</v>
      </c>
      <c r="F238">
        <v>3500</v>
      </c>
      <c r="G238">
        <v>1</v>
      </c>
      <c r="H238">
        <v>3</v>
      </c>
      <c r="I238">
        <v>2005</v>
      </c>
      <c r="J238">
        <v>0</v>
      </c>
      <c r="K238">
        <v>0</v>
      </c>
      <c r="L238">
        <v>0</v>
      </c>
      <c r="M238">
        <v>5</v>
      </c>
      <c r="N238" t="s">
        <v>41</v>
      </c>
      <c r="O238" t="s">
        <v>27</v>
      </c>
      <c r="P238">
        <v>9.7841733536982893</v>
      </c>
      <c r="Q238">
        <v>0.80062747497951003</v>
      </c>
      <c r="R238">
        <v>2.0595471615421701</v>
      </c>
      <c r="S238">
        <v>195</v>
      </c>
      <c r="T238">
        <v>41</v>
      </c>
      <c r="U238">
        <v>930.61651125200501</v>
      </c>
      <c r="V238">
        <v>1.4285714285714199E-3</v>
      </c>
      <c r="W238">
        <v>3401309.2599353902</v>
      </c>
      <c r="X238" t="s">
        <v>36</v>
      </c>
      <c r="Y238">
        <f>1-226-996-4316</f>
        <v>-5537</v>
      </c>
    </row>
    <row r="239" spans="1:25" x14ac:dyDescent="0.35">
      <c r="A239">
        <v>40.588996176035302</v>
      </c>
      <c r="B239">
        <v>-120.839976445289</v>
      </c>
      <c r="C239" t="s">
        <v>29</v>
      </c>
      <c r="D239">
        <v>8.09972911714096</v>
      </c>
      <c r="E239">
        <v>4</v>
      </c>
      <c r="F239">
        <v>629</v>
      </c>
      <c r="G239">
        <v>3</v>
      </c>
      <c r="H239">
        <v>3</v>
      </c>
      <c r="I239">
        <v>1973</v>
      </c>
      <c r="J239">
        <v>0</v>
      </c>
      <c r="K239">
        <v>0</v>
      </c>
      <c r="L239">
        <v>0</v>
      </c>
      <c r="M239">
        <v>7</v>
      </c>
      <c r="N239" t="s">
        <v>35</v>
      </c>
      <c r="O239" t="s">
        <v>32</v>
      </c>
      <c r="P239">
        <v>6.6065585619061702</v>
      </c>
      <c r="Q239">
        <v>2.3527126097404301</v>
      </c>
      <c r="R239">
        <v>8.5416381440827802</v>
      </c>
      <c r="S239">
        <v>75</v>
      </c>
      <c r="T239">
        <v>60</v>
      </c>
      <c r="U239">
        <v>571.45574140682697</v>
      </c>
      <c r="V239">
        <v>1.11287758346581E-2</v>
      </c>
      <c r="W239">
        <v>470648.54601230699</v>
      </c>
      <c r="X239" t="s">
        <v>28</v>
      </c>
      <c r="Y239">
        <f>1-736-293-7071</f>
        <v>-8099</v>
      </c>
    </row>
    <row r="240" spans="1:25" x14ac:dyDescent="0.35">
      <c r="A240">
        <v>34.397257188474597</v>
      </c>
      <c r="B240">
        <v>-120.526842293005</v>
      </c>
      <c r="C240" t="s">
        <v>25</v>
      </c>
      <c r="D240">
        <v>15.8572559378875</v>
      </c>
      <c r="E240">
        <v>7</v>
      </c>
      <c r="F240">
        <v>1194</v>
      </c>
      <c r="G240">
        <v>4</v>
      </c>
      <c r="H240">
        <v>1</v>
      </c>
      <c r="I240">
        <v>1950</v>
      </c>
      <c r="J240">
        <v>0</v>
      </c>
      <c r="K240">
        <v>1</v>
      </c>
      <c r="L240">
        <v>1</v>
      </c>
      <c r="M240">
        <v>2</v>
      </c>
      <c r="N240" t="s">
        <v>35</v>
      </c>
      <c r="O240" t="s">
        <v>32</v>
      </c>
      <c r="P240">
        <v>9.8599693082468693</v>
      </c>
      <c r="Q240">
        <v>1.9699742051049201</v>
      </c>
      <c r="R240">
        <v>3.7492003967543401</v>
      </c>
      <c r="S240">
        <v>8</v>
      </c>
      <c r="T240">
        <v>52</v>
      </c>
      <c r="U240">
        <v>318.00813018820202</v>
      </c>
      <c r="V240">
        <v>1.6750418760468999E-3</v>
      </c>
      <c r="W240">
        <v>693006.25664445595</v>
      </c>
      <c r="X240" t="s">
        <v>39</v>
      </c>
      <c r="Y240">
        <f>1-757-351-8842</f>
        <v>-9949</v>
      </c>
    </row>
    <row r="241" spans="1:25" x14ac:dyDescent="0.35">
      <c r="A241">
        <v>35.395056525010098</v>
      </c>
      <c r="B241">
        <v>-120.604048738947</v>
      </c>
      <c r="C241" t="s">
        <v>25</v>
      </c>
      <c r="D241">
        <v>34.434164858529797</v>
      </c>
      <c r="E241">
        <v>8</v>
      </c>
      <c r="F241">
        <v>2921</v>
      </c>
      <c r="G241">
        <v>3</v>
      </c>
      <c r="H241">
        <v>1</v>
      </c>
      <c r="I241">
        <v>1953</v>
      </c>
      <c r="J241">
        <v>1</v>
      </c>
      <c r="K241">
        <v>0</v>
      </c>
      <c r="L241">
        <v>0</v>
      </c>
      <c r="M241">
        <v>2</v>
      </c>
      <c r="N241" t="s">
        <v>26</v>
      </c>
      <c r="O241" t="s">
        <v>30</v>
      </c>
      <c r="P241">
        <v>12.6933030191723</v>
      </c>
      <c r="Q241">
        <v>0.77699163973764895</v>
      </c>
      <c r="R241">
        <v>2.9762992565458499</v>
      </c>
      <c r="S241">
        <v>133</v>
      </c>
      <c r="T241">
        <v>62</v>
      </c>
      <c r="U241">
        <v>751.59951552053803</v>
      </c>
      <c r="V241">
        <v>6.8469702156795603E-4</v>
      </c>
      <c r="W241">
        <v>2442232.5984844901</v>
      </c>
      <c r="X241" t="s">
        <v>38</v>
      </c>
      <c r="Y241">
        <f>1-403-426-5141</f>
        <v>-5969</v>
      </c>
    </row>
    <row r="242" spans="1:25" x14ac:dyDescent="0.35">
      <c r="A242">
        <v>33.747489959079502</v>
      </c>
      <c r="B242">
        <v>-116.73815162534</v>
      </c>
      <c r="C242" t="s">
        <v>25</v>
      </c>
      <c r="D242">
        <v>8.8079346975554493</v>
      </c>
      <c r="E242">
        <v>2</v>
      </c>
      <c r="F242">
        <v>4545</v>
      </c>
      <c r="G242">
        <v>2</v>
      </c>
      <c r="H242">
        <v>1</v>
      </c>
      <c r="I242">
        <v>1983</v>
      </c>
      <c r="J242">
        <v>0</v>
      </c>
      <c r="K242">
        <v>0</v>
      </c>
      <c r="L242">
        <v>0</v>
      </c>
      <c r="M242">
        <v>4</v>
      </c>
      <c r="N242" t="s">
        <v>41</v>
      </c>
      <c r="O242" t="s">
        <v>27</v>
      </c>
      <c r="P242">
        <v>9.6492721030495101</v>
      </c>
      <c r="Q242">
        <v>1.86414734322139</v>
      </c>
      <c r="R242">
        <v>3.9166675823443802</v>
      </c>
      <c r="S242">
        <v>40</v>
      </c>
      <c r="T242">
        <v>56</v>
      </c>
      <c r="U242">
        <v>244.518453523441</v>
      </c>
      <c r="V242">
        <v>8.8008800880087995E-4</v>
      </c>
      <c r="W242">
        <v>1165534.16604115</v>
      </c>
      <c r="X242" t="s">
        <v>40</v>
      </c>
      <c r="Y242">
        <f>1-655-308-2838</f>
        <v>-3800</v>
      </c>
    </row>
    <row r="243" spans="1:25" x14ac:dyDescent="0.35">
      <c r="A243">
        <v>41.804650586845099</v>
      </c>
      <c r="B243">
        <v>-120.590877773261</v>
      </c>
      <c r="C243" t="s">
        <v>25</v>
      </c>
      <c r="D243">
        <v>35.937194667230699</v>
      </c>
      <c r="E243">
        <v>0</v>
      </c>
      <c r="F243">
        <v>3056</v>
      </c>
      <c r="G243">
        <v>1</v>
      </c>
      <c r="H243">
        <v>1</v>
      </c>
      <c r="I243">
        <v>2010</v>
      </c>
      <c r="J243">
        <v>1</v>
      </c>
      <c r="K243">
        <v>0</v>
      </c>
      <c r="L243">
        <v>0</v>
      </c>
      <c r="M243">
        <v>5</v>
      </c>
      <c r="N243" t="s">
        <v>26</v>
      </c>
      <c r="O243" t="s">
        <v>32</v>
      </c>
      <c r="P243">
        <v>8.6811486694340996</v>
      </c>
      <c r="Q243">
        <v>1.83215782106809</v>
      </c>
      <c r="R243">
        <v>6.5289101465331401</v>
      </c>
      <c r="S243">
        <v>191</v>
      </c>
      <c r="T243">
        <v>27</v>
      </c>
      <c r="U243">
        <v>637.57405057307096</v>
      </c>
      <c r="V243">
        <v>1.63612565445026E-3</v>
      </c>
      <c r="W243">
        <v>2014576.9101821801</v>
      </c>
      <c r="X243" t="s">
        <v>44</v>
      </c>
      <c r="Y243">
        <f>1-604-755-3005</f>
        <v>-4363</v>
      </c>
    </row>
    <row r="244" spans="1:25" x14ac:dyDescent="0.35">
      <c r="A244">
        <v>39.203446589038997</v>
      </c>
      <c r="B244">
        <v>-123.749943949727</v>
      </c>
      <c r="C244" t="s">
        <v>34</v>
      </c>
      <c r="D244">
        <v>17.154824668820801</v>
      </c>
      <c r="E244">
        <v>8</v>
      </c>
      <c r="F244">
        <v>3679</v>
      </c>
      <c r="G244">
        <v>3</v>
      </c>
      <c r="H244">
        <v>1</v>
      </c>
      <c r="I244">
        <v>1999</v>
      </c>
      <c r="J244">
        <v>1</v>
      </c>
      <c r="K244">
        <v>0</v>
      </c>
      <c r="L244">
        <v>0</v>
      </c>
      <c r="M244">
        <v>5</v>
      </c>
      <c r="N244" t="s">
        <v>37</v>
      </c>
      <c r="O244" t="s">
        <v>27</v>
      </c>
      <c r="P244">
        <v>10.074592728846801</v>
      </c>
      <c r="Q244">
        <v>0.86034328492512901</v>
      </c>
      <c r="R244">
        <v>4.9242420416885997</v>
      </c>
      <c r="S244">
        <v>101</v>
      </c>
      <c r="T244">
        <v>50</v>
      </c>
      <c r="U244">
        <v>256.24725905384298</v>
      </c>
      <c r="V244">
        <v>1.3590649633052399E-3</v>
      </c>
      <c r="W244">
        <v>1162921.4757900799</v>
      </c>
      <c r="X244" t="s">
        <v>42</v>
      </c>
      <c r="Y244">
        <f>1-440-742-9280</f>
        <v>-10461</v>
      </c>
    </row>
    <row r="245" spans="1:25" x14ac:dyDescent="0.35">
      <c r="A245">
        <v>40.287257552297099</v>
      </c>
      <c r="B245">
        <v>-123.55009831458</v>
      </c>
      <c r="C245" t="s">
        <v>29</v>
      </c>
      <c r="D245">
        <v>9.3358001571692792</v>
      </c>
      <c r="E245">
        <v>3</v>
      </c>
      <c r="F245">
        <v>4302</v>
      </c>
      <c r="G245">
        <v>4</v>
      </c>
      <c r="H245">
        <v>1</v>
      </c>
      <c r="I245">
        <v>2006</v>
      </c>
      <c r="J245">
        <v>0</v>
      </c>
      <c r="K245">
        <v>1</v>
      </c>
      <c r="L245">
        <v>0</v>
      </c>
      <c r="M245">
        <v>9</v>
      </c>
      <c r="N245" t="s">
        <v>26</v>
      </c>
      <c r="O245" t="s">
        <v>32</v>
      </c>
      <c r="P245">
        <v>5.8957203140758301</v>
      </c>
      <c r="Q245">
        <v>1.2596741400793201</v>
      </c>
      <c r="R245">
        <v>8.0865539892956999</v>
      </c>
      <c r="S245">
        <v>85</v>
      </c>
      <c r="T245">
        <v>65</v>
      </c>
      <c r="U245">
        <v>293.30975239264899</v>
      </c>
      <c r="V245">
        <v>2.0920502092050199E-3</v>
      </c>
      <c r="W245">
        <v>1590535.7778640999</v>
      </c>
      <c r="X245" t="s">
        <v>40</v>
      </c>
      <c r="Y245">
        <f>1-763-379-1373</f>
        <v>-2514</v>
      </c>
    </row>
    <row r="246" spans="1:25" x14ac:dyDescent="0.35">
      <c r="A246">
        <v>34.387477152392997</v>
      </c>
      <c r="B246">
        <v>-123.88473785412199</v>
      </c>
      <c r="C246" t="s">
        <v>29</v>
      </c>
      <c r="D246">
        <v>11.8877052477396</v>
      </c>
      <c r="E246">
        <v>0</v>
      </c>
      <c r="F246">
        <v>2529</v>
      </c>
      <c r="G246">
        <v>5</v>
      </c>
      <c r="H246">
        <v>3</v>
      </c>
      <c r="I246">
        <v>2018</v>
      </c>
      <c r="J246">
        <v>1</v>
      </c>
      <c r="K246">
        <v>1</v>
      </c>
      <c r="L246">
        <v>0</v>
      </c>
      <c r="M246">
        <v>9</v>
      </c>
      <c r="N246" t="s">
        <v>37</v>
      </c>
      <c r="O246" t="s">
        <v>32</v>
      </c>
      <c r="P246">
        <v>2.7729030392521099</v>
      </c>
      <c r="Q246">
        <v>1.86997401021604</v>
      </c>
      <c r="R246">
        <v>9.5875231227341899</v>
      </c>
      <c r="S246">
        <v>145</v>
      </c>
      <c r="T246">
        <v>76</v>
      </c>
      <c r="U246">
        <v>539.94978474550396</v>
      </c>
      <c r="V246">
        <v>3.5587188612099599E-3</v>
      </c>
      <c r="W246">
        <v>1795249.28342859</v>
      </c>
      <c r="X246" t="s">
        <v>39</v>
      </c>
      <c r="Y246">
        <f>1-284-792-7565</f>
        <v>-8640</v>
      </c>
    </row>
    <row r="247" spans="1:25" x14ac:dyDescent="0.35">
      <c r="A247">
        <v>36.653382036608001</v>
      </c>
      <c r="B247">
        <v>-114.727376609947</v>
      </c>
      <c r="C247" t="s">
        <v>34</v>
      </c>
      <c r="D247">
        <v>35.842790380063903</v>
      </c>
      <c r="E247">
        <v>1</v>
      </c>
      <c r="F247">
        <v>3969</v>
      </c>
      <c r="G247">
        <v>5</v>
      </c>
      <c r="H247">
        <v>3</v>
      </c>
      <c r="I247">
        <v>2007</v>
      </c>
      <c r="J247">
        <v>0</v>
      </c>
      <c r="K247">
        <v>1</v>
      </c>
      <c r="L247">
        <v>1</v>
      </c>
      <c r="M247">
        <v>2</v>
      </c>
      <c r="N247" t="s">
        <v>26</v>
      </c>
      <c r="O247" t="s">
        <v>27</v>
      </c>
      <c r="P247">
        <v>11.964329101767699</v>
      </c>
      <c r="Q247">
        <v>2.0772595028652101</v>
      </c>
      <c r="R247">
        <v>1.03516318986413</v>
      </c>
      <c r="S247">
        <v>121</v>
      </c>
      <c r="T247">
        <v>62</v>
      </c>
      <c r="U247">
        <v>751.87088860997403</v>
      </c>
      <c r="V247">
        <v>5.0390526581002701E-4</v>
      </c>
      <c r="W247">
        <v>3481652.84600884</v>
      </c>
      <c r="X247" t="s">
        <v>33</v>
      </c>
      <c r="Y247">
        <f>1-413-690-2968</f>
        <v>-4070</v>
      </c>
    </row>
    <row r="248" spans="1:25" x14ac:dyDescent="0.35">
      <c r="A248">
        <v>40.236807422501997</v>
      </c>
      <c r="B248">
        <v>-117.869354831476</v>
      </c>
      <c r="C248" t="s">
        <v>34</v>
      </c>
      <c r="D248">
        <v>17.345759332906699</v>
      </c>
      <c r="E248">
        <v>3</v>
      </c>
      <c r="F248">
        <v>4350</v>
      </c>
      <c r="G248">
        <v>5</v>
      </c>
      <c r="H248">
        <v>2</v>
      </c>
      <c r="I248">
        <v>1961</v>
      </c>
      <c r="J248">
        <v>0</v>
      </c>
      <c r="K248">
        <v>0</v>
      </c>
      <c r="L248">
        <v>1</v>
      </c>
      <c r="M248">
        <v>13</v>
      </c>
      <c r="N248" t="s">
        <v>26</v>
      </c>
      <c r="O248" t="s">
        <v>30</v>
      </c>
      <c r="P248">
        <v>7.3900849624621401</v>
      </c>
      <c r="Q248">
        <v>0.89893338075795204</v>
      </c>
      <c r="R248">
        <v>6.6892706292669502</v>
      </c>
      <c r="S248">
        <v>135</v>
      </c>
      <c r="T248">
        <v>73</v>
      </c>
      <c r="U248">
        <v>905.77846670132897</v>
      </c>
      <c r="V248">
        <v>2.98850574712643E-3</v>
      </c>
      <c r="W248">
        <v>4231503.5362043399</v>
      </c>
      <c r="X248" t="s">
        <v>38</v>
      </c>
      <c r="Y248">
        <f>1-442-669-4714</f>
        <v>-5824</v>
      </c>
    </row>
    <row r="249" spans="1:25" x14ac:dyDescent="0.35">
      <c r="A249">
        <v>37.539622008894298</v>
      </c>
      <c r="B249">
        <v>-120.287057702658</v>
      </c>
      <c r="C249" t="s">
        <v>34</v>
      </c>
      <c r="D249">
        <v>4.9132755210583099</v>
      </c>
      <c r="E249">
        <v>5</v>
      </c>
      <c r="F249">
        <v>4969</v>
      </c>
      <c r="G249">
        <v>2</v>
      </c>
      <c r="H249">
        <v>2</v>
      </c>
      <c r="I249">
        <v>1987</v>
      </c>
      <c r="J249">
        <v>1</v>
      </c>
      <c r="K249">
        <v>1</v>
      </c>
      <c r="L249">
        <v>0</v>
      </c>
      <c r="M249">
        <v>6</v>
      </c>
      <c r="N249" t="s">
        <v>35</v>
      </c>
      <c r="O249" t="s">
        <v>27</v>
      </c>
      <c r="P249">
        <v>13.0123600575811</v>
      </c>
      <c r="Q249">
        <v>1.36339878000194</v>
      </c>
      <c r="R249">
        <v>5.2888207401231</v>
      </c>
      <c r="S249">
        <v>10</v>
      </c>
      <c r="T249">
        <v>63</v>
      </c>
      <c r="U249">
        <v>856.85426663500402</v>
      </c>
      <c r="V249">
        <v>1.20748641577782E-3</v>
      </c>
      <c r="W249">
        <v>4572715.5970472498</v>
      </c>
      <c r="X249" t="s">
        <v>31</v>
      </c>
      <c r="Y249">
        <f>1-670-297-3986</f>
        <v>-4952</v>
      </c>
    </row>
    <row r="250" spans="1:25" x14ac:dyDescent="0.35">
      <c r="A250">
        <v>32.530090917010902</v>
      </c>
      <c r="B250">
        <v>-116.694778407238</v>
      </c>
      <c r="C250" t="s">
        <v>34</v>
      </c>
      <c r="D250">
        <v>48.3789374159647</v>
      </c>
      <c r="E250">
        <v>2</v>
      </c>
      <c r="F250">
        <v>3863</v>
      </c>
      <c r="G250">
        <v>1</v>
      </c>
      <c r="H250">
        <v>2</v>
      </c>
      <c r="I250">
        <v>1968</v>
      </c>
      <c r="J250">
        <v>0</v>
      </c>
      <c r="K250">
        <v>1</v>
      </c>
      <c r="L250">
        <v>1</v>
      </c>
      <c r="M250">
        <v>3</v>
      </c>
      <c r="N250" t="s">
        <v>35</v>
      </c>
      <c r="O250" t="s">
        <v>30</v>
      </c>
      <c r="P250">
        <v>12.518238113021701</v>
      </c>
      <c r="Q250">
        <v>1.75684571517545</v>
      </c>
      <c r="R250">
        <v>1.9805749646392301</v>
      </c>
      <c r="S250">
        <v>49</v>
      </c>
      <c r="T250">
        <v>51</v>
      </c>
      <c r="U250">
        <v>649.48822713256004</v>
      </c>
      <c r="V250">
        <v>7.7659849857623605E-4</v>
      </c>
      <c r="W250">
        <v>2782577.07879677</v>
      </c>
      <c r="X250" t="s">
        <v>40</v>
      </c>
      <c r="Y250">
        <f>1-493-952-8856</f>
        <v>-10300</v>
      </c>
    </row>
    <row r="251" spans="1:25" x14ac:dyDescent="0.35">
      <c r="A251">
        <v>33.129469678195697</v>
      </c>
      <c r="B251">
        <v>-119.29466195415399</v>
      </c>
      <c r="C251" t="s">
        <v>29</v>
      </c>
      <c r="D251">
        <v>32.439653627608102</v>
      </c>
      <c r="E251">
        <v>2</v>
      </c>
      <c r="F251">
        <v>2712</v>
      </c>
      <c r="G251">
        <v>1</v>
      </c>
      <c r="H251">
        <v>3</v>
      </c>
      <c r="I251">
        <v>2001</v>
      </c>
      <c r="J251">
        <v>1</v>
      </c>
      <c r="K251">
        <v>1</v>
      </c>
      <c r="L251">
        <v>1</v>
      </c>
      <c r="M251">
        <v>8</v>
      </c>
      <c r="N251" t="s">
        <v>26</v>
      </c>
      <c r="O251" t="s">
        <v>27</v>
      </c>
      <c r="P251">
        <v>3.4569054305458198</v>
      </c>
      <c r="Q251">
        <v>1.13006911908682</v>
      </c>
      <c r="R251">
        <v>9.3959146199234898</v>
      </c>
      <c r="S251">
        <v>133</v>
      </c>
      <c r="T251">
        <v>35</v>
      </c>
      <c r="U251">
        <v>534.292017952116</v>
      </c>
      <c r="V251">
        <v>2.9498525073746299E-3</v>
      </c>
      <c r="W251">
        <v>1683099.8463025601</v>
      </c>
      <c r="X251" t="s">
        <v>36</v>
      </c>
      <c r="Y251">
        <f>1-457-834-9718</f>
        <v>-11008</v>
      </c>
    </row>
    <row r="252" spans="1:25" x14ac:dyDescent="0.35">
      <c r="A252">
        <v>36.501173167863001</v>
      </c>
      <c r="B252">
        <v>-119.68672183673399</v>
      </c>
      <c r="C252" t="s">
        <v>25</v>
      </c>
      <c r="D252">
        <v>24.195266283574401</v>
      </c>
      <c r="E252">
        <v>8</v>
      </c>
      <c r="F252">
        <v>3267</v>
      </c>
      <c r="G252">
        <v>4</v>
      </c>
      <c r="H252">
        <v>2</v>
      </c>
      <c r="I252">
        <v>2002</v>
      </c>
      <c r="J252">
        <v>1</v>
      </c>
      <c r="K252">
        <v>1</v>
      </c>
      <c r="L252">
        <v>1</v>
      </c>
      <c r="M252">
        <v>10</v>
      </c>
      <c r="N252" t="s">
        <v>41</v>
      </c>
      <c r="O252" t="s">
        <v>32</v>
      </c>
      <c r="P252">
        <v>13.898948869282</v>
      </c>
      <c r="Q252">
        <v>0.880071011250524</v>
      </c>
      <c r="R252">
        <v>1.6298709086799399</v>
      </c>
      <c r="S252">
        <v>72</v>
      </c>
      <c r="T252">
        <v>39</v>
      </c>
      <c r="U252">
        <v>548.61185381862003</v>
      </c>
      <c r="V252">
        <v>3.0609121518212399E-3</v>
      </c>
      <c r="W252">
        <v>2303790.89868786</v>
      </c>
      <c r="X252" t="s">
        <v>33</v>
      </c>
      <c r="Y252">
        <f>1-771-194-3409</f>
        <v>-4373</v>
      </c>
    </row>
    <row r="253" spans="1:25" x14ac:dyDescent="0.35">
      <c r="A253">
        <v>41.624448046178102</v>
      </c>
      <c r="B253">
        <v>-121.410908871782</v>
      </c>
      <c r="C253" t="s">
        <v>29</v>
      </c>
      <c r="D253">
        <v>32.111915068433603</v>
      </c>
      <c r="E253">
        <v>1</v>
      </c>
      <c r="F253">
        <v>1090</v>
      </c>
      <c r="G253">
        <v>3</v>
      </c>
      <c r="H253">
        <v>2</v>
      </c>
      <c r="I253">
        <v>2017</v>
      </c>
      <c r="J253">
        <v>1</v>
      </c>
      <c r="K253">
        <v>0</v>
      </c>
      <c r="L253">
        <v>0</v>
      </c>
      <c r="M253">
        <v>8</v>
      </c>
      <c r="N253" t="s">
        <v>37</v>
      </c>
      <c r="O253" t="s">
        <v>30</v>
      </c>
      <c r="P253">
        <v>8.7178142701824495</v>
      </c>
      <c r="Q253">
        <v>0.66290387579659205</v>
      </c>
      <c r="R253">
        <v>9.0240967410591395</v>
      </c>
      <c r="S253">
        <v>182</v>
      </c>
      <c r="T253">
        <v>44</v>
      </c>
      <c r="U253">
        <v>314.51723679909003</v>
      </c>
      <c r="V253">
        <v>7.3394495412843997E-3</v>
      </c>
      <c r="W253">
        <v>601196.49271851406</v>
      </c>
      <c r="X253" t="s">
        <v>36</v>
      </c>
      <c r="Y253">
        <f>1-498-153-2531</f>
        <v>-3181</v>
      </c>
    </row>
    <row r="254" spans="1:25" x14ac:dyDescent="0.35">
      <c r="A254">
        <v>38.782351447741199</v>
      </c>
      <c r="B254">
        <v>-122.044203516431</v>
      </c>
      <c r="C254" t="s">
        <v>25</v>
      </c>
      <c r="D254">
        <v>18.5447505937566</v>
      </c>
      <c r="E254">
        <v>7</v>
      </c>
      <c r="F254">
        <v>3466</v>
      </c>
      <c r="G254">
        <v>2</v>
      </c>
      <c r="H254">
        <v>3</v>
      </c>
      <c r="I254">
        <v>1998</v>
      </c>
      <c r="J254">
        <v>1</v>
      </c>
      <c r="K254">
        <v>0</v>
      </c>
      <c r="L254">
        <v>1</v>
      </c>
      <c r="M254">
        <v>13</v>
      </c>
      <c r="N254" t="s">
        <v>35</v>
      </c>
      <c r="O254" t="s">
        <v>32</v>
      </c>
      <c r="P254">
        <v>2.6748884809863398</v>
      </c>
      <c r="Q254">
        <v>0.586751530183236</v>
      </c>
      <c r="R254">
        <v>7.9930151882134597</v>
      </c>
      <c r="S254">
        <v>38</v>
      </c>
      <c r="T254">
        <v>44</v>
      </c>
      <c r="U254">
        <v>860.35760563823499</v>
      </c>
      <c r="V254">
        <v>3.7507212925562599E-3</v>
      </c>
      <c r="W254">
        <v>3188492.5545848301</v>
      </c>
      <c r="X254" t="s">
        <v>38</v>
      </c>
      <c r="Y254">
        <f>1-717-692-9679</f>
        <v>-11087</v>
      </c>
    </row>
    <row r="255" spans="1:25" x14ac:dyDescent="0.35">
      <c r="A255">
        <v>35.8036403086939</v>
      </c>
      <c r="B255">
        <v>-115.149417166256</v>
      </c>
      <c r="C255" t="s">
        <v>34</v>
      </c>
      <c r="D255">
        <v>39.617547744828599</v>
      </c>
      <c r="E255">
        <v>6</v>
      </c>
      <c r="F255">
        <v>3547</v>
      </c>
      <c r="G255">
        <v>2</v>
      </c>
      <c r="H255">
        <v>1</v>
      </c>
      <c r="I255">
        <v>1980</v>
      </c>
      <c r="J255">
        <v>0</v>
      </c>
      <c r="K255">
        <v>1</v>
      </c>
      <c r="L255">
        <v>1</v>
      </c>
      <c r="M255">
        <v>11</v>
      </c>
      <c r="N255" t="s">
        <v>26</v>
      </c>
      <c r="O255" t="s">
        <v>30</v>
      </c>
      <c r="P255">
        <v>4.9155149634817601</v>
      </c>
      <c r="Q255">
        <v>0.66732370798421303</v>
      </c>
      <c r="R255">
        <v>2.53984114838067</v>
      </c>
      <c r="S255">
        <v>171</v>
      </c>
      <c r="T255">
        <v>78</v>
      </c>
      <c r="U255">
        <v>551.52097485627496</v>
      </c>
      <c r="V255">
        <v>3.1012122920778102E-3</v>
      </c>
      <c r="W255">
        <v>2214644.5829650201</v>
      </c>
      <c r="X255" t="s">
        <v>43</v>
      </c>
      <c r="Y255">
        <f>1-502-345-1615</f>
        <v>-2461</v>
      </c>
    </row>
    <row r="256" spans="1:25" x14ac:dyDescent="0.35">
      <c r="A256">
        <v>40.717632875397399</v>
      </c>
      <c r="B256">
        <v>-119.85818419057701</v>
      </c>
      <c r="C256" t="s">
        <v>34</v>
      </c>
      <c r="D256">
        <v>27.423887340628401</v>
      </c>
      <c r="E256">
        <v>4</v>
      </c>
      <c r="F256">
        <v>1164</v>
      </c>
      <c r="G256">
        <v>4</v>
      </c>
      <c r="H256">
        <v>3</v>
      </c>
      <c r="I256">
        <v>1957</v>
      </c>
      <c r="J256">
        <v>0</v>
      </c>
      <c r="K256">
        <v>0</v>
      </c>
      <c r="L256">
        <v>0</v>
      </c>
      <c r="M256">
        <v>12</v>
      </c>
      <c r="N256" t="s">
        <v>35</v>
      </c>
      <c r="O256" t="s">
        <v>30</v>
      </c>
      <c r="P256">
        <v>9.9816221397567002</v>
      </c>
      <c r="Q256">
        <v>1.1951077233126699</v>
      </c>
      <c r="R256">
        <v>3.54663956204918</v>
      </c>
      <c r="S256">
        <v>125</v>
      </c>
      <c r="T256">
        <v>43</v>
      </c>
      <c r="U256">
        <v>467.76052027919599</v>
      </c>
      <c r="V256">
        <v>1.03092783505154E-2</v>
      </c>
      <c r="W256">
        <v>799018.021404851</v>
      </c>
      <c r="X256" t="s">
        <v>33</v>
      </c>
      <c r="Y256">
        <f>1-858-387-7174</f>
        <v>-8418</v>
      </c>
    </row>
    <row r="257" spans="1:25" x14ac:dyDescent="0.35">
      <c r="A257">
        <v>33.870308749077402</v>
      </c>
      <c r="B257">
        <v>-114.84125546708501</v>
      </c>
      <c r="C257" t="s">
        <v>34</v>
      </c>
      <c r="D257">
        <v>1.3870858519242499</v>
      </c>
      <c r="E257">
        <v>0</v>
      </c>
      <c r="F257">
        <v>3747</v>
      </c>
      <c r="G257">
        <v>5</v>
      </c>
      <c r="H257">
        <v>1</v>
      </c>
      <c r="I257">
        <v>2001</v>
      </c>
      <c r="J257">
        <v>0</v>
      </c>
      <c r="K257">
        <v>1</v>
      </c>
      <c r="L257">
        <v>0</v>
      </c>
      <c r="M257">
        <v>4</v>
      </c>
      <c r="N257" t="s">
        <v>26</v>
      </c>
      <c r="O257" t="s">
        <v>32</v>
      </c>
      <c r="P257">
        <v>9.3442095386734199</v>
      </c>
      <c r="Q257">
        <v>0.86553535624827505</v>
      </c>
      <c r="R257">
        <v>8.1720062950498296</v>
      </c>
      <c r="S257">
        <v>96</v>
      </c>
      <c r="T257">
        <v>61</v>
      </c>
      <c r="U257">
        <v>406.431606506918</v>
      </c>
      <c r="V257">
        <v>1.0675206832132301E-3</v>
      </c>
      <c r="W257">
        <v>1928545.5241805499</v>
      </c>
      <c r="X257" t="s">
        <v>44</v>
      </c>
      <c r="Y257">
        <f>1-321-502-4323</f>
        <v>-5145</v>
      </c>
    </row>
    <row r="258" spans="1:25" x14ac:dyDescent="0.35">
      <c r="A258">
        <v>36.061544594874498</v>
      </c>
      <c r="B258">
        <v>-121.627531424737</v>
      </c>
      <c r="C258" t="s">
        <v>34</v>
      </c>
      <c r="D258">
        <v>29.272874133854401</v>
      </c>
      <c r="E258">
        <v>2</v>
      </c>
      <c r="F258">
        <v>1314</v>
      </c>
      <c r="G258">
        <v>3</v>
      </c>
      <c r="H258">
        <v>2</v>
      </c>
      <c r="I258">
        <v>1980</v>
      </c>
      <c r="J258">
        <v>1</v>
      </c>
      <c r="K258">
        <v>0</v>
      </c>
      <c r="L258">
        <v>0</v>
      </c>
      <c r="M258">
        <v>10</v>
      </c>
      <c r="N258" t="s">
        <v>37</v>
      </c>
      <c r="O258" t="s">
        <v>30</v>
      </c>
      <c r="P258">
        <v>11.209434799597</v>
      </c>
      <c r="Q258">
        <v>1.2646563489888401</v>
      </c>
      <c r="R258">
        <v>4.3981975111499398</v>
      </c>
      <c r="S258">
        <v>46</v>
      </c>
      <c r="T258">
        <v>50</v>
      </c>
      <c r="U258">
        <v>587.38465150226295</v>
      </c>
      <c r="V258">
        <v>7.6103500761035003E-3</v>
      </c>
      <c r="W258">
        <v>1080040.7277134301</v>
      </c>
      <c r="X258" t="s">
        <v>40</v>
      </c>
      <c r="Y258">
        <f>1-329-261-4630</f>
        <v>-5219</v>
      </c>
    </row>
    <row r="259" spans="1:25" x14ac:dyDescent="0.35">
      <c r="A259">
        <v>37.644080752481599</v>
      </c>
      <c r="B259">
        <v>-119.423532443485</v>
      </c>
      <c r="C259" t="s">
        <v>34</v>
      </c>
      <c r="D259">
        <v>15.347685024109101</v>
      </c>
      <c r="E259">
        <v>8</v>
      </c>
      <c r="F259">
        <v>4681</v>
      </c>
      <c r="G259">
        <v>4</v>
      </c>
      <c r="H259">
        <v>1</v>
      </c>
      <c r="I259">
        <v>1991</v>
      </c>
      <c r="J259">
        <v>1</v>
      </c>
      <c r="K259">
        <v>1</v>
      </c>
      <c r="L259">
        <v>1</v>
      </c>
      <c r="M259">
        <v>9</v>
      </c>
      <c r="N259" t="s">
        <v>35</v>
      </c>
      <c r="O259" t="s">
        <v>30</v>
      </c>
      <c r="P259">
        <v>11.663346538874301</v>
      </c>
      <c r="Q259">
        <v>1.5438313478138399</v>
      </c>
      <c r="R259">
        <v>6.9307994457980504</v>
      </c>
      <c r="S259">
        <v>149</v>
      </c>
      <c r="T259">
        <v>68</v>
      </c>
      <c r="U259">
        <v>606.44121809467003</v>
      </c>
      <c r="V259">
        <v>1.9226660969878201E-3</v>
      </c>
      <c r="W259">
        <v>3271487.1842609402</v>
      </c>
      <c r="X259" t="s">
        <v>39</v>
      </c>
      <c r="Y259">
        <f>1-284-974-9667</f>
        <v>-10924</v>
      </c>
    </row>
    <row r="260" spans="1:25" x14ac:dyDescent="0.35">
      <c r="A260">
        <v>37.380784974443102</v>
      </c>
      <c r="B260">
        <v>-121.872735601152</v>
      </c>
      <c r="C260" t="s">
        <v>29</v>
      </c>
      <c r="D260">
        <v>30.822837374022999</v>
      </c>
      <c r="E260">
        <v>1</v>
      </c>
      <c r="F260">
        <v>989</v>
      </c>
      <c r="G260">
        <v>5</v>
      </c>
      <c r="H260">
        <v>2</v>
      </c>
      <c r="I260">
        <v>1987</v>
      </c>
      <c r="J260">
        <v>0</v>
      </c>
      <c r="K260">
        <v>0</v>
      </c>
      <c r="L260">
        <v>0</v>
      </c>
      <c r="M260">
        <v>13</v>
      </c>
      <c r="N260" t="s">
        <v>26</v>
      </c>
      <c r="O260" t="s">
        <v>27</v>
      </c>
      <c r="P260">
        <v>12.8861597702093</v>
      </c>
      <c r="Q260">
        <v>1.77088439912538</v>
      </c>
      <c r="R260">
        <v>1.3573219263582901</v>
      </c>
      <c r="S260">
        <v>151</v>
      </c>
      <c r="T260">
        <v>59</v>
      </c>
      <c r="U260">
        <v>311.80105273801797</v>
      </c>
      <c r="V260">
        <v>1.3144590495449899E-2</v>
      </c>
      <c r="W260">
        <v>732328.57711390499</v>
      </c>
      <c r="X260" t="s">
        <v>36</v>
      </c>
      <c r="Y260">
        <f>1-543-432-5887</f>
        <v>-6861</v>
      </c>
    </row>
    <row r="261" spans="1:25" x14ac:dyDescent="0.35">
      <c r="A261">
        <v>38.086313631978904</v>
      </c>
      <c r="B261">
        <v>-120.95532349761299</v>
      </c>
      <c r="C261" t="s">
        <v>29</v>
      </c>
      <c r="D261">
        <v>43.977771154844</v>
      </c>
      <c r="E261">
        <v>5</v>
      </c>
      <c r="F261">
        <v>2931</v>
      </c>
      <c r="G261">
        <v>3</v>
      </c>
      <c r="H261">
        <v>1</v>
      </c>
      <c r="I261">
        <v>1967</v>
      </c>
      <c r="J261">
        <v>0</v>
      </c>
      <c r="K261">
        <v>1</v>
      </c>
      <c r="L261">
        <v>1</v>
      </c>
      <c r="M261">
        <v>14</v>
      </c>
      <c r="N261" t="s">
        <v>37</v>
      </c>
      <c r="O261" t="s">
        <v>32</v>
      </c>
      <c r="P261">
        <v>11.9097061637435</v>
      </c>
      <c r="Q261">
        <v>1.0787092674457199</v>
      </c>
      <c r="R261">
        <v>4.4470118768272098</v>
      </c>
      <c r="S261">
        <v>104</v>
      </c>
      <c r="T261">
        <v>42</v>
      </c>
      <c r="U261">
        <v>778.60353415782095</v>
      </c>
      <c r="V261">
        <v>4.7765267826680299E-3</v>
      </c>
      <c r="W261">
        <v>2645222.8807516098</v>
      </c>
      <c r="X261" t="s">
        <v>31</v>
      </c>
      <c r="Y261">
        <f>1-598-857-1157</f>
        <v>-2611</v>
      </c>
    </row>
    <row r="262" spans="1:25" x14ac:dyDescent="0.35">
      <c r="A262">
        <v>37.734731686082597</v>
      </c>
      <c r="B262">
        <v>-122.128547723849</v>
      </c>
      <c r="C262" t="s">
        <v>34</v>
      </c>
      <c r="D262">
        <v>39.767099592417303</v>
      </c>
      <c r="E262">
        <v>4</v>
      </c>
      <c r="F262">
        <v>2140</v>
      </c>
      <c r="G262">
        <v>2</v>
      </c>
      <c r="H262">
        <v>1</v>
      </c>
      <c r="I262">
        <v>1971</v>
      </c>
      <c r="J262">
        <v>0</v>
      </c>
      <c r="K262">
        <v>1</v>
      </c>
      <c r="L262">
        <v>1</v>
      </c>
      <c r="M262">
        <v>13</v>
      </c>
      <c r="N262" t="s">
        <v>35</v>
      </c>
      <c r="O262" t="s">
        <v>32</v>
      </c>
      <c r="P262">
        <v>10.4235797806341</v>
      </c>
      <c r="Q262">
        <v>1.0592613252979299</v>
      </c>
      <c r="R262">
        <v>6.2995417371401796</v>
      </c>
      <c r="S262">
        <v>117</v>
      </c>
      <c r="T262">
        <v>62</v>
      </c>
      <c r="U262">
        <v>658.33932897981197</v>
      </c>
      <c r="V262">
        <v>6.07476635514018E-3</v>
      </c>
      <c r="W262">
        <v>1676295.60226132</v>
      </c>
      <c r="X262" t="s">
        <v>33</v>
      </c>
      <c r="Y262">
        <f>1-739-734-4975</f>
        <v>-6447</v>
      </c>
    </row>
    <row r="263" spans="1:25" x14ac:dyDescent="0.35">
      <c r="A263">
        <v>39.049459707520903</v>
      </c>
      <c r="B263">
        <v>-121.61735593092899</v>
      </c>
      <c r="C263" t="s">
        <v>34</v>
      </c>
      <c r="D263">
        <v>26.600071561380801</v>
      </c>
      <c r="E263">
        <v>3</v>
      </c>
      <c r="F263">
        <v>3543</v>
      </c>
      <c r="G263">
        <v>3</v>
      </c>
      <c r="H263">
        <v>2</v>
      </c>
      <c r="I263">
        <v>1987</v>
      </c>
      <c r="J263">
        <v>1</v>
      </c>
      <c r="K263">
        <v>0</v>
      </c>
      <c r="L263">
        <v>1</v>
      </c>
      <c r="M263">
        <v>9</v>
      </c>
      <c r="N263" t="s">
        <v>41</v>
      </c>
      <c r="O263" t="s">
        <v>30</v>
      </c>
      <c r="P263">
        <v>9.0958640568600408</v>
      </c>
      <c r="Q263">
        <v>1.6886926514313001</v>
      </c>
      <c r="R263">
        <v>6.6120294008536797</v>
      </c>
      <c r="S263">
        <v>71</v>
      </c>
      <c r="T263">
        <v>35</v>
      </c>
      <c r="U263">
        <v>626.441395309256</v>
      </c>
      <c r="V263">
        <v>2.5402201524131998E-3</v>
      </c>
      <c r="W263">
        <v>2548595.1957255602</v>
      </c>
      <c r="X263" t="s">
        <v>28</v>
      </c>
      <c r="Y263">
        <f>1-377-982-8248</f>
        <v>-9606</v>
      </c>
    </row>
    <row r="264" spans="1:25" x14ac:dyDescent="0.35">
      <c r="A264">
        <v>34.6564497057675</v>
      </c>
      <c r="B264">
        <v>-115.550993341061</v>
      </c>
      <c r="C264" t="s">
        <v>25</v>
      </c>
      <c r="D264">
        <v>19.878816127548301</v>
      </c>
      <c r="E264">
        <v>3</v>
      </c>
      <c r="F264">
        <v>1593</v>
      </c>
      <c r="G264">
        <v>5</v>
      </c>
      <c r="H264">
        <v>1</v>
      </c>
      <c r="I264">
        <v>1956</v>
      </c>
      <c r="J264">
        <v>1</v>
      </c>
      <c r="K264">
        <v>1</v>
      </c>
      <c r="L264">
        <v>0</v>
      </c>
      <c r="M264">
        <v>8</v>
      </c>
      <c r="N264" t="s">
        <v>26</v>
      </c>
      <c r="O264" t="s">
        <v>30</v>
      </c>
      <c r="P264">
        <v>7.4158779851972696</v>
      </c>
      <c r="Q264">
        <v>1.1317667432732901</v>
      </c>
      <c r="R264">
        <v>9.3490326446391592</v>
      </c>
      <c r="S264">
        <v>91</v>
      </c>
      <c r="T264">
        <v>40</v>
      </c>
      <c r="U264">
        <v>964.48558941548697</v>
      </c>
      <c r="V264">
        <v>5.0219711236660297E-3</v>
      </c>
      <c r="W264">
        <v>1923072.1748121299</v>
      </c>
      <c r="X264" t="s">
        <v>36</v>
      </c>
      <c r="Y264">
        <f>1-634-695-7091</f>
        <v>-8419</v>
      </c>
    </row>
    <row r="265" spans="1:25" x14ac:dyDescent="0.35">
      <c r="A265">
        <v>36.133767457431198</v>
      </c>
      <c r="B265">
        <v>-120.543695945149</v>
      </c>
      <c r="C265" t="s">
        <v>25</v>
      </c>
      <c r="D265">
        <v>20.256168219402198</v>
      </c>
      <c r="E265">
        <v>8</v>
      </c>
      <c r="F265">
        <v>4317</v>
      </c>
      <c r="G265">
        <v>3</v>
      </c>
      <c r="H265">
        <v>1</v>
      </c>
      <c r="I265">
        <v>1964</v>
      </c>
      <c r="J265">
        <v>1</v>
      </c>
      <c r="K265">
        <v>1</v>
      </c>
      <c r="L265">
        <v>1</v>
      </c>
      <c r="M265">
        <v>12</v>
      </c>
      <c r="N265" t="s">
        <v>41</v>
      </c>
      <c r="O265" t="s">
        <v>32</v>
      </c>
      <c r="P265">
        <v>6.3840932958591097</v>
      </c>
      <c r="Q265">
        <v>2.1712550829381798</v>
      </c>
      <c r="R265">
        <v>6.0081150722058698</v>
      </c>
      <c r="S265">
        <v>49</v>
      </c>
      <c r="T265">
        <v>43</v>
      </c>
      <c r="U265">
        <v>262.26356631275701</v>
      </c>
      <c r="V265">
        <v>2.7797081306462799E-3</v>
      </c>
      <c r="W265">
        <v>1424695.3599634501</v>
      </c>
      <c r="X265" t="s">
        <v>39</v>
      </c>
      <c r="Y265">
        <f>1-340-579-9873</f>
        <v>-10791</v>
      </c>
    </row>
    <row r="266" spans="1:25" x14ac:dyDescent="0.35">
      <c r="A266">
        <v>38.918316149094402</v>
      </c>
      <c r="B266">
        <v>-120.82003092786</v>
      </c>
      <c r="C266" t="s">
        <v>25</v>
      </c>
      <c r="D266">
        <v>31.491638132924798</v>
      </c>
      <c r="E266">
        <v>3</v>
      </c>
      <c r="F266">
        <v>2546</v>
      </c>
      <c r="G266">
        <v>1</v>
      </c>
      <c r="H266">
        <v>1</v>
      </c>
      <c r="I266">
        <v>1952</v>
      </c>
      <c r="J266">
        <v>0</v>
      </c>
      <c r="K266">
        <v>1</v>
      </c>
      <c r="L266">
        <v>1</v>
      </c>
      <c r="M266">
        <v>14</v>
      </c>
      <c r="N266" t="s">
        <v>37</v>
      </c>
      <c r="O266" t="s">
        <v>32</v>
      </c>
      <c r="P266">
        <v>3.9763930635084899</v>
      </c>
      <c r="Q266">
        <v>1.2217104208338101</v>
      </c>
      <c r="R266">
        <v>5.0260240823693696</v>
      </c>
      <c r="S266">
        <v>127</v>
      </c>
      <c r="T266">
        <v>45</v>
      </c>
      <c r="U266">
        <v>490.496747467408</v>
      </c>
      <c r="V266">
        <v>5.4988216810683398E-3</v>
      </c>
      <c r="W266">
        <v>1400492.0252243499</v>
      </c>
      <c r="X266" t="s">
        <v>33</v>
      </c>
      <c r="Y266">
        <f>1-928-402-1819</f>
        <v>-3148</v>
      </c>
    </row>
    <row r="267" spans="1:25" x14ac:dyDescent="0.35">
      <c r="A267">
        <v>38.461658724795299</v>
      </c>
      <c r="B267">
        <v>-124.02057610363801</v>
      </c>
      <c r="C267" t="s">
        <v>25</v>
      </c>
      <c r="D267">
        <v>21.050352512742101</v>
      </c>
      <c r="E267">
        <v>3</v>
      </c>
      <c r="F267">
        <v>3884</v>
      </c>
      <c r="G267">
        <v>2</v>
      </c>
      <c r="H267">
        <v>1</v>
      </c>
      <c r="I267">
        <v>2015</v>
      </c>
      <c r="J267">
        <v>0</v>
      </c>
      <c r="K267">
        <v>1</v>
      </c>
      <c r="L267">
        <v>0</v>
      </c>
      <c r="M267">
        <v>11</v>
      </c>
      <c r="N267" t="s">
        <v>35</v>
      </c>
      <c r="O267" t="s">
        <v>27</v>
      </c>
      <c r="P267">
        <v>5.16588344471654</v>
      </c>
      <c r="Q267">
        <v>1.7237885646208699</v>
      </c>
      <c r="R267">
        <v>0.21427318016686001</v>
      </c>
      <c r="S267">
        <v>93</v>
      </c>
      <c r="T267">
        <v>54</v>
      </c>
      <c r="U267">
        <v>811.72486387705897</v>
      </c>
      <c r="V267">
        <v>2.8321318228630198E-3</v>
      </c>
      <c r="W267">
        <v>3372654.4101641402</v>
      </c>
      <c r="X267" t="s">
        <v>39</v>
      </c>
      <c r="Y267">
        <f>1-865-502-4859</f>
        <v>-6225</v>
      </c>
    </row>
    <row r="268" spans="1:25" x14ac:dyDescent="0.35">
      <c r="A268">
        <v>40.212492611239298</v>
      </c>
      <c r="B268">
        <v>-122.04352574080799</v>
      </c>
      <c r="C268" t="s">
        <v>29</v>
      </c>
      <c r="D268">
        <v>20.7850438560885</v>
      </c>
      <c r="E268">
        <v>5</v>
      </c>
      <c r="F268">
        <v>4747</v>
      </c>
      <c r="G268">
        <v>4</v>
      </c>
      <c r="H268">
        <v>2</v>
      </c>
      <c r="I268">
        <v>1950</v>
      </c>
      <c r="J268">
        <v>0</v>
      </c>
      <c r="K268">
        <v>0</v>
      </c>
      <c r="L268">
        <v>1</v>
      </c>
      <c r="M268">
        <v>13</v>
      </c>
      <c r="N268" t="s">
        <v>37</v>
      </c>
      <c r="O268" t="s">
        <v>27</v>
      </c>
      <c r="P268">
        <v>14.935708883372699</v>
      </c>
      <c r="Q268">
        <v>1.5212830861506901</v>
      </c>
      <c r="R268">
        <v>0.45020927211447198</v>
      </c>
      <c r="S268">
        <v>75</v>
      </c>
      <c r="T268">
        <v>22</v>
      </c>
      <c r="U268">
        <v>594.51317501512494</v>
      </c>
      <c r="V268">
        <v>2.7385717295133698E-3</v>
      </c>
      <c r="W268">
        <v>3182120.8386383099</v>
      </c>
      <c r="X268" t="s">
        <v>39</v>
      </c>
      <c r="Y268">
        <f>1-281-268-4217</f>
        <v>-4765</v>
      </c>
    </row>
    <row r="269" spans="1:25" x14ac:dyDescent="0.35">
      <c r="A269">
        <v>34.0229143358793</v>
      </c>
      <c r="B269">
        <v>-124.026910348434</v>
      </c>
      <c r="C269" t="s">
        <v>34</v>
      </c>
      <c r="D269">
        <v>32.221888920159401</v>
      </c>
      <c r="E269">
        <v>8</v>
      </c>
      <c r="F269">
        <v>3506</v>
      </c>
      <c r="G269">
        <v>3</v>
      </c>
      <c r="H269">
        <v>1</v>
      </c>
      <c r="I269">
        <v>1986</v>
      </c>
      <c r="J269">
        <v>0</v>
      </c>
      <c r="K269">
        <v>1</v>
      </c>
      <c r="L269">
        <v>1</v>
      </c>
      <c r="M269">
        <v>3</v>
      </c>
      <c r="N269" t="s">
        <v>41</v>
      </c>
      <c r="O269" t="s">
        <v>30</v>
      </c>
      <c r="P269">
        <v>11.0378762898067</v>
      </c>
      <c r="Q269">
        <v>1.8774778649030499</v>
      </c>
      <c r="R269">
        <v>2.5239724288894498</v>
      </c>
      <c r="S269">
        <v>170</v>
      </c>
      <c r="T269">
        <v>27</v>
      </c>
      <c r="U269">
        <v>288.28822502531898</v>
      </c>
      <c r="V269">
        <v>8.5567598402738103E-4</v>
      </c>
      <c r="W269">
        <v>1308361.8299247399</v>
      </c>
      <c r="X269" t="s">
        <v>43</v>
      </c>
      <c r="Y269">
        <f>1-444-927-8195</f>
        <v>-9565</v>
      </c>
    </row>
    <row r="270" spans="1:25" x14ac:dyDescent="0.35">
      <c r="A270">
        <v>38.679888487707203</v>
      </c>
      <c r="B270">
        <v>-119.808648065973</v>
      </c>
      <c r="C270" t="s">
        <v>29</v>
      </c>
      <c r="D270">
        <v>37.139382363098399</v>
      </c>
      <c r="E270">
        <v>5</v>
      </c>
      <c r="F270">
        <v>1076</v>
      </c>
      <c r="G270">
        <v>5</v>
      </c>
      <c r="H270">
        <v>3</v>
      </c>
      <c r="I270">
        <v>1964</v>
      </c>
      <c r="J270">
        <v>1</v>
      </c>
      <c r="K270">
        <v>0</v>
      </c>
      <c r="L270">
        <v>0</v>
      </c>
      <c r="M270">
        <v>7</v>
      </c>
      <c r="N270" t="s">
        <v>26</v>
      </c>
      <c r="O270" t="s">
        <v>30</v>
      </c>
      <c r="P270">
        <v>14.3314128916989</v>
      </c>
      <c r="Q270">
        <v>1.2108923853475799</v>
      </c>
      <c r="R270">
        <v>6.61508897247049</v>
      </c>
      <c r="S270">
        <v>165</v>
      </c>
      <c r="T270">
        <v>67</v>
      </c>
      <c r="U270">
        <v>236.40601018343801</v>
      </c>
      <c r="V270">
        <v>6.5055762081784301E-3</v>
      </c>
      <c r="W270">
        <v>542653.99390059896</v>
      </c>
      <c r="X270" t="s">
        <v>33</v>
      </c>
      <c r="Y270">
        <f>1-882-895-4476</f>
        <v>-6252</v>
      </c>
    </row>
    <row r="271" spans="1:25" x14ac:dyDescent="0.35">
      <c r="A271">
        <v>36.211784764772197</v>
      </c>
      <c r="B271">
        <v>-115.82770779375301</v>
      </c>
      <c r="C271" t="s">
        <v>29</v>
      </c>
      <c r="D271">
        <v>22.043929478625099</v>
      </c>
      <c r="E271">
        <v>8</v>
      </c>
      <c r="F271">
        <v>4562</v>
      </c>
      <c r="G271">
        <v>2</v>
      </c>
      <c r="H271">
        <v>3</v>
      </c>
      <c r="I271">
        <v>1995</v>
      </c>
      <c r="J271">
        <v>0</v>
      </c>
      <c r="K271">
        <v>1</v>
      </c>
      <c r="L271">
        <v>0</v>
      </c>
      <c r="M271">
        <v>10</v>
      </c>
      <c r="N271" t="s">
        <v>37</v>
      </c>
      <c r="O271" t="s">
        <v>30</v>
      </c>
      <c r="P271">
        <v>11.0218957740133</v>
      </c>
      <c r="Q271">
        <v>2.1700592576532398</v>
      </c>
      <c r="R271">
        <v>8.9596227535318196</v>
      </c>
      <c r="S271">
        <v>98</v>
      </c>
      <c r="T271">
        <v>43</v>
      </c>
      <c r="U271">
        <v>612.196675315417</v>
      </c>
      <c r="V271">
        <v>2.19202104340201E-3</v>
      </c>
      <c r="W271">
        <v>3029884.8343355302</v>
      </c>
      <c r="X271" t="s">
        <v>38</v>
      </c>
      <c r="Y271">
        <f>1-354-970-1445</f>
        <v>-2768</v>
      </c>
    </row>
    <row r="272" spans="1:25" x14ac:dyDescent="0.35">
      <c r="A272">
        <v>39.576849192117997</v>
      </c>
      <c r="B272">
        <v>-122.953289923642</v>
      </c>
      <c r="C272" t="s">
        <v>34</v>
      </c>
      <c r="D272">
        <v>35.703808793601702</v>
      </c>
      <c r="E272">
        <v>4</v>
      </c>
      <c r="F272">
        <v>4640</v>
      </c>
      <c r="G272">
        <v>2</v>
      </c>
      <c r="H272">
        <v>3</v>
      </c>
      <c r="I272">
        <v>1985</v>
      </c>
      <c r="J272">
        <v>1</v>
      </c>
      <c r="K272">
        <v>1</v>
      </c>
      <c r="L272">
        <v>0</v>
      </c>
      <c r="M272">
        <v>7</v>
      </c>
      <c r="N272" t="s">
        <v>37</v>
      </c>
      <c r="O272" t="s">
        <v>30</v>
      </c>
      <c r="P272">
        <v>10.6038285909059</v>
      </c>
      <c r="Q272">
        <v>1.0093941795801999</v>
      </c>
      <c r="R272">
        <v>5.9921308407015204</v>
      </c>
      <c r="S272">
        <v>152</v>
      </c>
      <c r="T272">
        <v>44</v>
      </c>
      <c r="U272">
        <v>819.80282910068695</v>
      </c>
      <c r="V272">
        <v>1.50862068965517E-3</v>
      </c>
      <c r="W272">
        <v>4129892.1352169602</v>
      </c>
      <c r="X272" t="s">
        <v>39</v>
      </c>
      <c r="Y272">
        <f>1-917-467-9714</f>
        <v>-11097</v>
      </c>
    </row>
    <row r="273" spans="1:25" x14ac:dyDescent="0.35">
      <c r="A273">
        <v>34.641195505419297</v>
      </c>
      <c r="B273">
        <v>-116.263862299875</v>
      </c>
      <c r="C273" t="s">
        <v>29</v>
      </c>
      <c r="D273">
        <v>39.566309806451201</v>
      </c>
      <c r="E273">
        <v>0</v>
      </c>
      <c r="F273">
        <v>2149</v>
      </c>
      <c r="G273">
        <v>4</v>
      </c>
      <c r="H273">
        <v>1</v>
      </c>
      <c r="I273">
        <v>1984</v>
      </c>
      <c r="J273">
        <v>0</v>
      </c>
      <c r="K273">
        <v>0</v>
      </c>
      <c r="L273">
        <v>0</v>
      </c>
      <c r="M273">
        <v>14</v>
      </c>
      <c r="N273" t="s">
        <v>35</v>
      </c>
      <c r="O273" t="s">
        <v>32</v>
      </c>
      <c r="P273">
        <v>8.7972762276132705</v>
      </c>
      <c r="Q273">
        <v>1.05726749820657</v>
      </c>
      <c r="R273">
        <v>8.6599856372679493</v>
      </c>
      <c r="S273">
        <v>68</v>
      </c>
      <c r="T273">
        <v>55</v>
      </c>
      <c r="U273">
        <v>603.81835212710303</v>
      </c>
      <c r="V273">
        <v>6.5146579804560203E-3</v>
      </c>
      <c r="W273">
        <v>1565368.14968971</v>
      </c>
      <c r="X273" t="s">
        <v>42</v>
      </c>
      <c r="Y273">
        <f>1-808-718-1759</f>
        <v>-3284</v>
      </c>
    </row>
    <row r="274" spans="1:25" x14ac:dyDescent="0.35">
      <c r="A274">
        <v>36.665009731583297</v>
      </c>
      <c r="B274">
        <v>-124.373775525762</v>
      </c>
      <c r="C274" t="s">
        <v>29</v>
      </c>
      <c r="D274">
        <v>6.8856403443136598</v>
      </c>
      <c r="E274">
        <v>8</v>
      </c>
      <c r="F274">
        <v>2119</v>
      </c>
      <c r="G274">
        <v>4</v>
      </c>
      <c r="H274">
        <v>1</v>
      </c>
      <c r="I274">
        <v>1981</v>
      </c>
      <c r="J274">
        <v>0</v>
      </c>
      <c r="K274">
        <v>0</v>
      </c>
      <c r="L274">
        <v>0</v>
      </c>
      <c r="M274">
        <v>3</v>
      </c>
      <c r="N274" t="s">
        <v>35</v>
      </c>
      <c r="O274" t="s">
        <v>30</v>
      </c>
      <c r="P274">
        <v>7.3145749140242602</v>
      </c>
      <c r="Q274">
        <v>1.8350036230065301</v>
      </c>
      <c r="R274">
        <v>4.5350642431324797</v>
      </c>
      <c r="S274">
        <v>177</v>
      </c>
      <c r="T274">
        <v>78</v>
      </c>
      <c r="U274">
        <v>880.11560132421096</v>
      </c>
      <c r="V274">
        <v>1.41576215195847E-3</v>
      </c>
      <c r="W274">
        <v>2016676.84884505</v>
      </c>
      <c r="X274" t="s">
        <v>38</v>
      </c>
      <c r="Y274">
        <f>1-849-201-4516</f>
        <v>-5565</v>
      </c>
    </row>
    <row r="275" spans="1:25" x14ac:dyDescent="0.35">
      <c r="A275">
        <v>39.774526028202601</v>
      </c>
      <c r="B275">
        <v>-114.98281243049701</v>
      </c>
      <c r="C275" t="s">
        <v>25</v>
      </c>
      <c r="D275">
        <v>44.453123990883</v>
      </c>
      <c r="E275">
        <v>4</v>
      </c>
      <c r="F275">
        <v>1089</v>
      </c>
      <c r="G275">
        <v>1</v>
      </c>
      <c r="H275">
        <v>3</v>
      </c>
      <c r="I275">
        <v>1977</v>
      </c>
      <c r="J275">
        <v>1</v>
      </c>
      <c r="K275">
        <v>0</v>
      </c>
      <c r="L275">
        <v>1</v>
      </c>
      <c r="M275">
        <v>13</v>
      </c>
      <c r="N275" t="s">
        <v>41</v>
      </c>
      <c r="O275" t="s">
        <v>30</v>
      </c>
      <c r="P275">
        <v>4.0305904819403997</v>
      </c>
      <c r="Q275">
        <v>1.8240155342717399</v>
      </c>
      <c r="R275">
        <v>5.1438100712107602</v>
      </c>
      <c r="S275">
        <v>139</v>
      </c>
      <c r="T275">
        <v>56</v>
      </c>
      <c r="U275">
        <v>656.90164037428895</v>
      </c>
      <c r="V275">
        <v>1.19375573921028E-2</v>
      </c>
      <c r="W275">
        <v>770737.91661077295</v>
      </c>
      <c r="X275" t="s">
        <v>39</v>
      </c>
      <c r="Y275">
        <f>1-204-806-6593</f>
        <v>-7602</v>
      </c>
    </row>
    <row r="276" spans="1:25" x14ac:dyDescent="0.35">
      <c r="A276">
        <v>36.853535954303901</v>
      </c>
      <c r="B276">
        <v>-115.11721345724899</v>
      </c>
      <c r="C276" t="s">
        <v>34</v>
      </c>
      <c r="D276">
        <v>20.9687502206293</v>
      </c>
      <c r="E276">
        <v>2</v>
      </c>
      <c r="F276">
        <v>2396</v>
      </c>
      <c r="G276">
        <v>2</v>
      </c>
      <c r="H276">
        <v>2</v>
      </c>
      <c r="I276">
        <v>1999</v>
      </c>
      <c r="J276">
        <v>1</v>
      </c>
      <c r="K276">
        <v>1</v>
      </c>
      <c r="L276">
        <v>1</v>
      </c>
      <c r="M276">
        <v>14</v>
      </c>
      <c r="N276" t="s">
        <v>37</v>
      </c>
      <c r="O276" t="s">
        <v>30</v>
      </c>
      <c r="P276">
        <v>12.5080219645893</v>
      </c>
      <c r="Q276">
        <v>2.2057195027552101</v>
      </c>
      <c r="R276">
        <v>3.6684102319602299</v>
      </c>
      <c r="S276">
        <v>99</v>
      </c>
      <c r="T276">
        <v>44</v>
      </c>
      <c r="U276">
        <v>504.18825414807998</v>
      </c>
      <c r="V276">
        <v>5.8430717863105098E-3</v>
      </c>
      <c r="W276">
        <v>1630731.9332328001</v>
      </c>
      <c r="X276" t="s">
        <v>33</v>
      </c>
      <c r="Y276">
        <f>1-857-239-7167</f>
        <v>-8262</v>
      </c>
    </row>
    <row r="277" spans="1:25" x14ac:dyDescent="0.35">
      <c r="A277">
        <v>36.270045636577699</v>
      </c>
      <c r="B277">
        <v>-124.145257104808</v>
      </c>
      <c r="C277" t="s">
        <v>29</v>
      </c>
      <c r="D277">
        <v>11.1533196814408</v>
      </c>
      <c r="E277">
        <v>7</v>
      </c>
      <c r="F277">
        <v>4253</v>
      </c>
      <c r="G277">
        <v>3</v>
      </c>
      <c r="H277">
        <v>2</v>
      </c>
      <c r="I277">
        <v>1996</v>
      </c>
      <c r="J277">
        <v>0</v>
      </c>
      <c r="K277">
        <v>1</v>
      </c>
      <c r="L277">
        <v>0</v>
      </c>
      <c r="M277">
        <v>7</v>
      </c>
      <c r="N277" t="s">
        <v>35</v>
      </c>
      <c r="O277" t="s">
        <v>32</v>
      </c>
      <c r="P277">
        <v>6.0891588849935498</v>
      </c>
      <c r="Q277">
        <v>0.53155558478692599</v>
      </c>
      <c r="R277">
        <v>5.0438739299288597</v>
      </c>
      <c r="S277">
        <v>67</v>
      </c>
      <c r="T277">
        <v>21</v>
      </c>
      <c r="U277">
        <v>493.214811984525</v>
      </c>
      <c r="V277">
        <v>1.6458970138725599E-3</v>
      </c>
      <c r="W277">
        <v>2396603.4418888302</v>
      </c>
      <c r="X277" t="s">
        <v>44</v>
      </c>
      <c r="Y277">
        <f>1-697-300-9967</f>
        <v>-10963</v>
      </c>
    </row>
    <row r="278" spans="1:25" x14ac:dyDescent="0.35">
      <c r="A278">
        <v>37.924314045774899</v>
      </c>
      <c r="B278">
        <v>-123.620817300506</v>
      </c>
      <c r="C278" t="s">
        <v>29</v>
      </c>
      <c r="D278">
        <v>32.970405400225097</v>
      </c>
      <c r="E278">
        <v>8</v>
      </c>
      <c r="F278">
        <v>4726</v>
      </c>
      <c r="G278">
        <v>3</v>
      </c>
      <c r="H278">
        <v>1</v>
      </c>
      <c r="I278">
        <v>1983</v>
      </c>
      <c r="J278">
        <v>0</v>
      </c>
      <c r="K278">
        <v>1</v>
      </c>
      <c r="L278">
        <v>0</v>
      </c>
      <c r="M278">
        <v>3</v>
      </c>
      <c r="N278" t="s">
        <v>35</v>
      </c>
      <c r="O278" t="s">
        <v>30</v>
      </c>
      <c r="P278">
        <v>7.1941943155675396</v>
      </c>
      <c r="Q278">
        <v>0.57760506837607895</v>
      </c>
      <c r="R278">
        <v>1.6901338613972099</v>
      </c>
      <c r="S278">
        <v>106</v>
      </c>
      <c r="T278">
        <v>53</v>
      </c>
      <c r="U278">
        <v>676.20913966790602</v>
      </c>
      <c r="V278">
        <v>6.3478628861616496E-4</v>
      </c>
      <c r="W278">
        <v>3412408.59146576</v>
      </c>
      <c r="X278" t="s">
        <v>42</v>
      </c>
      <c r="Y278">
        <f>1-302-179-3238</f>
        <v>-3718</v>
      </c>
    </row>
    <row r="279" spans="1:25" x14ac:dyDescent="0.35">
      <c r="A279">
        <v>40.029804069242502</v>
      </c>
      <c r="B279">
        <v>-116.64462232098801</v>
      </c>
      <c r="C279" t="s">
        <v>29</v>
      </c>
      <c r="D279">
        <v>28.498898788974198</v>
      </c>
      <c r="E279">
        <v>6</v>
      </c>
      <c r="F279">
        <v>4439</v>
      </c>
      <c r="G279">
        <v>2</v>
      </c>
      <c r="H279">
        <v>2</v>
      </c>
      <c r="I279">
        <v>1987</v>
      </c>
      <c r="J279">
        <v>0</v>
      </c>
      <c r="K279">
        <v>0</v>
      </c>
      <c r="L279">
        <v>0</v>
      </c>
      <c r="M279">
        <v>4</v>
      </c>
      <c r="N279" t="s">
        <v>35</v>
      </c>
      <c r="O279" t="s">
        <v>32</v>
      </c>
      <c r="P279">
        <v>9.9027344572457903</v>
      </c>
      <c r="Q279">
        <v>2.3878465713088599</v>
      </c>
      <c r="R279">
        <v>7.6961797762853603</v>
      </c>
      <c r="S279">
        <v>165</v>
      </c>
      <c r="T279">
        <v>28</v>
      </c>
      <c r="U279">
        <v>828.51962425941701</v>
      </c>
      <c r="V279">
        <v>9.0110385221896802E-4</v>
      </c>
      <c r="W279">
        <v>3808162.9673728901</v>
      </c>
      <c r="X279" t="s">
        <v>33</v>
      </c>
      <c r="Y279">
        <f>1-320-173-1351</f>
        <v>-1843</v>
      </c>
    </row>
    <row r="280" spans="1:25" x14ac:dyDescent="0.35">
      <c r="A280">
        <v>36.742502269698903</v>
      </c>
      <c r="B280">
        <v>-116.676303158256</v>
      </c>
      <c r="C280" t="s">
        <v>34</v>
      </c>
      <c r="D280">
        <v>49.1065574155935</v>
      </c>
      <c r="E280">
        <v>2</v>
      </c>
      <c r="F280">
        <v>3277</v>
      </c>
      <c r="G280">
        <v>2</v>
      </c>
      <c r="H280">
        <v>2</v>
      </c>
      <c r="I280">
        <v>2013</v>
      </c>
      <c r="J280">
        <v>0</v>
      </c>
      <c r="K280">
        <v>1</v>
      </c>
      <c r="L280">
        <v>0</v>
      </c>
      <c r="M280">
        <v>12</v>
      </c>
      <c r="N280" t="s">
        <v>35</v>
      </c>
      <c r="O280" t="s">
        <v>32</v>
      </c>
      <c r="P280">
        <v>10.4975046654029</v>
      </c>
      <c r="Q280">
        <v>2.1127409039553098</v>
      </c>
      <c r="R280">
        <v>5.1114812489052204</v>
      </c>
      <c r="S280">
        <v>58</v>
      </c>
      <c r="T280">
        <v>78</v>
      </c>
      <c r="U280">
        <v>263.60667573614597</v>
      </c>
      <c r="V280">
        <v>3.6618858712236801E-3</v>
      </c>
      <c r="W280">
        <v>1225668.1461267499</v>
      </c>
      <c r="X280" t="s">
        <v>39</v>
      </c>
      <c r="Y280">
        <f>1-908-989-7653</f>
        <v>-9549</v>
      </c>
    </row>
    <row r="281" spans="1:25" x14ac:dyDescent="0.35">
      <c r="A281">
        <v>33.329505795728998</v>
      </c>
      <c r="B281">
        <v>-118.057669461872</v>
      </c>
      <c r="C281" t="s">
        <v>34</v>
      </c>
      <c r="D281">
        <v>17.608918784920899</v>
      </c>
      <c r="E281">
        <v>4</v>
      </c>
      <c r="F281">
        <v>4156</v>
      </c>
      <c r="G281">
        <v>3</v>
      </c>
      <c r="H281">
        <v>1</v>
      </c>
      <c r="I281">
        <v>2018</v>
      </c>
      <c r="J281">
        <v>0</v>
      </c>
      <c r="K281">
        <v>1</v>
      </c>
      <c r="L281">
        <v>1</v>
      </c>
      <c r="M281">
        <v>12</v>
      </c>
      <c r="N281" t="s">
        <v>35</v>
      </c>
      <c r="O281" t="s">
        <v>27</v>
      </c>
      <c r="P281">
        <v>2.45849952075136</v>
      </c>
      <c r="Q281">
        <v>1.76120394905527</v>
      </c>
      <c r="R281">
        <v>5.0114373944175004</v>
      </c>
      <c r="S281">
        <v>21</v>
      </c>
      <c r="T281">
        <v>32</v>
      </c>
      <c r="U281">
        <v>879.45057570194297</v>
      </c>
      <c r="V281">
        <v>2.8873917228103901E-3</v>
      </c>
      <c r="W281">
        <v>3930702.2723772302</v>
      </c>
      <c r="X281" t="s">
        <v>31</v>
      </c>
      <c r="Y281">
        <f>1-718-116-4238</f>
        <v>-5071</v>
      </c>
    </row>
    <row r="282" spans="1:25" x14ac:dyDescent="0.35">
      <c r="A282">
        <v>37.191723629065201</v>
      </c>
      <c r="B282">
        <v>-123.669956539756</v>
      </c>
      <c r="C282" t="s">
        <v>34</v>
      </c>
      <c r="D282">
        <v>15.2429007583057</v>
      </c>
      <c r="E282">
        <v>9</v>
      </c>
      <c r="F282">
        <v>1040</v>
      </c>
      <c r="G282">
        <v>5</v>
      </c>
      <c r="H282">
        <v>3</v>
      </c>
      <c r="I282">
        <v>2022</v>
      </c>
      <c r="J282">
        <v>1</v>
      </c>
      <c r="K282">
        <v>0</v>
      </c>
      <c r="L282">
        <v>1</v>
      </c>
      <c r="M282">
        <v>3</v>
      </c>
      <c r="N282" t="s">
        <v>37</v>
      </c>
      <c r="O282" t="s">
        <v>32</v>
      </c>
      <c r="P282">
        <v>6.5177767504269797</v>
      </c>
      <c r="Q282">
        <v>0.525732858020171</v>
      </c>
      <c r="R282">
        <v>9.1507286430096197</v>
      </c>
      <c r="S282">
        <v>77</v>
      </c>
      <c r="T282">
        <v>30</v>
      </c>
      <c r="U282">
        <v>657.73354329493804</v>
      </c>
      <c r="V282">
        <v>2.88461538461538E-3</v>
      </c>
      <c r="W282">
        <v>1049064.95232142</v>
      </c>
      <c r="X282" t="s">
        <v>43</v>
      </c>
      <c r="Y282">
        <f>1-335-351-1446</f>
        <v>-2131</v>
      </c>
    </row>
    <row r="283" spans="1:25" x14ac:dyDescent="0.35">
      <c r="A283">
        <v>37.5498762146037</v>
      </c>
      <c r="B283">
        <v>-118.06674862532</v>
      </c>
      <c r="C283" t="s">
        <v>34</v>
      </c>
      <c r="D283">
        <v>8.6662349505510097</v>
      </c>
      <c r="E283">
        <v>2</v>
      </c>
      <c r="F283">
        <v>2064</v>
      </c>
      <c r="G283">
        <v>4</v>
      </c>
      <c r="H283">
        <v>2</v>
      </c>
      <c r="I283">
        <v>2012</v>
      </c>
      <c r="J283">
        <v>1</v>
      </c>
      <c r="K283">
        <v>1</v>
      </c>
      <c r="L283">
        <v>1</v>
      </c>
      <c r="M283">
        <v>7</v>
      </c>
      <c r="N283" t="s">
        <v>41</v>
      </c>
      <c r="O283" t="s">
        <v>27</v>
      </c>
      <c r="P283">
        <v>5.2151232366574503</v>
      </c>
      <c r="Q283">
        <v>0.99221430233144403</v>
      </c>
      <c r="R283">
        <v>8.9289979729397704</v>
      </c>
      <c r="S283">
        <v>106</v>
      </c>
      <c r="T283">
        <v>25</v>
      </c>
      <c r="U283">
        <v>859.45139560681605</v>
      </c>
      <c r="V283">
        <v>3.3914728682170499E-3</v>
      </c>
      <c r="W283">
        <v>2141334.9261263502</v>
      </c>
      <c r="X283" t="s">
        <v>43</v>
      </c>
      <c r="Y283">
        <f>1-798-954-8120</f>
        <v>-9871</v>
      </c>
    </row>
    <row r="284" spans="1:25" x14ac:dyDescent="0.35">
      <c r="A284">
        <v>32.795652188368102</v>
      </c>
      <c r="B284">
        <v>-117.875694269143</v>
      </c>
      <c r="C284" t="s">
        <v>25</v>
      </c>
      <c r="D284">
        <v>20.051244955820199</v>
      </c>
      <c r="E284">
        <v>8</v>
      </c>
      <c r="F284">
        <v>4362</v>
      </c>
      <c r="G284">
        <v>2</v>
      </c>
      <c r="H284">
        <v>3</v>
      </c>
      <c r="I284">
        <v>1953</v>
      </c>
      <c r="J284">
        <v>1</v>
      </c>
      <c r="K284">
        <v>1</v>
      </c>
      <c r="L284">
        <v>1</v>
      </c>
      <c r="M284">
        <v>6</v>
      </c>
      <c r="N284" t="s">
        <v>26</v>
      </c>
      <c r="O284" t="s">
        <v>30</v>
      </c>
      <c r="P284">
        <v>8.9404887897747294</v>
      </c>
      <c r="Q284">
        <v>1.6291975446114599</v>
      </c>
      <c r="R284">
        <v>1.7275771494271299</v>
      </c>
      <c r="S284">
        <v>122</v>
      </c>
      <c r="T284">
        <v>46</v>
      </c>
      <c r="U284">
        <v>910.71777137669199</v>
      </c>
      <c r="V284">
        <v>1.37551581843191E-3</v>
      </c>
      <c r="W284">
        <v>4200410.47636481</v>
      </c>
      <c r="X284" t="s">
        <v>39</v>
      </c>
      <c r="Y284">
        <f>1-291-458-1204</f>
        <v>-1952</v>
      </c>
    </row>
    <row r="285" spans="1:25" x14ac:dyDescent="0.35">
      <c r="A285">
        <v>41.835739139954804</v>
      </c>
      <c r="B285">
        <v>-124.169184734311</v>
      </c>
      <c r="C285" t="s">
        <v>29</v>
      </c>
      <c r="D285">
        <v>45.8175925103236</v>
      </c>
      <c r="E285">
        <v>6</v>
      </c>
      <c r="F285">
        <v>2014</v>
      </c>
      <c r="G285">
        <v>2</v>
      </c>
      <c r="H285">
        <v>1</v>
      </c>
      <c r="I285">
        <v>1964</v>
      </c>
      <c r="J285">
        <v>1</v>
      </c>
      <c r="K285">
        <v>0</v>
      </c>
      <c r="L285">
        <v>1</v>
      </c>
      <c r="M285">
        <v>14</v>
      </c>
      <c r="N285" t="s">
        <v>26</v>
      </c>
      <c r="O285" t="s">
        <v>32</v>
      </c>
      <c r="P285">
        <v>11.6780788257512</v>
      </c>
      <c r="Q285">
        <v>1.98960418839103</v>
      </c>
      <c r="R285">
        <v>6.3219172519175197</v>
      </c>
      <c r="S285">
        <v>188</v>
      </c>
      <c r="T285">
        <v>40</v>
      </c>
      <c r="U285">
        <v>327.23936863242898</v>
      </c>
      <c r="V285">
        <v>6.9513406156901597E-3</v>
      </c>
      <c r="W285">
        <v>781761.45662043896</v>
      </c>
      <c r="X285" t="s">
        <v>36</v>
      </c>
      <c r="Y285">
        <f>1-602-901-1245</f>
        <v>-2747</v>
      </c>
    </row>
    <row r="286" spans="1:25" x14ac:dyDescent="0.35">
      <c r="A286">
        <v>39.465167968536299</v>
      </c>
      <c r="B286">
        <v>-122.541672270275</v>
      </c>
      <c r="C286" t="s">
        <v>29</v>
      </c>
      <c r="D286">
        <v>38.226915415830298</v>
      </c>
      <c r="E286">
        <v>5</v>
      </c>
      <c r="F286">
        <v>2294</v>
      </c>
      <c r="G286">
        <v>3</v>
      </c>
      <c r="H286">
        <v>3</v>
      </c>
      <c r="I286">
        <v>1989</v>
      </c>
      <c r="J286">
        <v>1</v>
      </c>
      <c r="K286">
        <v>1</v>
      </c>
      <c r="L286">
        <v>1</v>
      </c>
      <c r="M286">
        <v>2</v>
      </c>
      <c r="N286" t="s">
        <v>41</v>
      </c>
      <c r="O286" t="s">
        <v>30</v>
      </c>
      <c r="P286">
        <v>12.4967107307693</v>
      </c>
      <c r="Q286">
        <v>0.66844513246470605</v>
      </c>
      <c r="R286">
        <v>8.1921103664220301</v>
      </c>
      <c r="S286">
        <v>44</v>
      </c>
      <c r="T286">
        <v>59</v>
      </c>
      <c r="U286">
        <v>880.68195196460499</v>
      </c>
      <c r="V286">
        <v>8.7183958151700004E-4</v>
      </c>
      <c r="W286">
        <v>2486071.0215391298</v>
      </c>
      <c r="X286" t="s">
        <v>39</v>
      </c>
      <c r="Y286">
        <f>1-306-673-1808</f>
        <v>-2786</v>
      </c>
    </row>
    <row r="287" spans="1:25" x14ac:dyDescent="0.35">
      <c r="A287">
        <v>37.504358690729397</v>
      </c>
      <c r="B287">
        <v>-118.75134659405801</v>
      </c>
      <c r="C287" t="s">
        <v>34</v>
      </c>
      <c r="D287">
        <v>38.2212779157311</v>
      </c>
      <c r="E287">
        <v>6</v>
      </c>
      <c r="F287">
        <v>1803</v>
      </c>
      <c r="G287">
        <v>2</v>
      </c>
      <c r="H287">
        <v>2</v>
      </c>
      <c r="I287">
        <v>1981</v>
      </c>
      <c r="J287">
        <v>1</v>
      </c>
      <c r="K287">
        <v>1</v>
      </c>
      <c r="L287">
        <v>0</v>
      </c>
      <c r="M287">
        <v>5</v>
      </c>
      <c r="N287" t="s">
        <v>41</v>
      </c>
      <c r="O287" t="s">
        <v>27</v>
      </c>
      <c r="P287">
        <v>11.5798101022163</v>
      </c>
      <c r="Q287">
        <v>1.3029659874766399</v>
      </c>
      <c r="R287">
        <v>8.2462173721102392</v>
      </c>
      <c r="S287">
        <v>56</v>
      </c>
      <c r="T287">
        <v>46</v>
      </c>
      <c r="U287">
        <v>562.54561593971096</v>
      </c>
      <c r="V287">
        <v>2.77315585135884E-3</v>
      </c>
      <c r="W287">
        <v>1263647.62312604</v>
      </c>
      <c r="X287" t="s">
        <v>36</v>
      </c>
      <c r="Y287">
        <f>1-487-164-2083</f>
        <v>-2733</v>
      </c>
    </row>
    <row r="288" spans="1:25" x14ac:dyDescent="0.35">
      <c r="A288">
        <v>36.275823717704696</v>
      </c>
      <c r="B288">
        <v>-121.33288186840601</v>
      </c>
      <c r="C288" t="s">
        <v>25</v>
      </c>
      <c r="D288">
        <v>31.148513133709699</v>
      </c>
      <c r="E288">
        <v>2</v>
      </c>
      <c r="F288">
        <v>3162</v>
      </c>
      <c r="G288">
        <v>2</v>
      </c>
      <c r="H288">
        <v>1</v>
      </c>
      <c r="I288">
        <v>1992</v>
      </c>
      <c r="J288">
        <v>0</v>
      </c>
      <c r="K288">
        <v>0</v>
      </c>
      <c r="L288">
        <v>0</v>
      </c>
      <c r="M288">
        <v>11</v>
      </c>
      <c r="N288" t="s">
        <v>26</v>
      </c>
      <c r="O288" t="s">
        <v>30</v>
      </c>
      <c r="P288">
        <v>10.205948280206799</v>
      </c>
      <c r="Q288">
        <v>0.70440986243773696</v>
      </c>
      <c r="R288">
        <v>7.3390509359321303</v>
      </c>
      <c r="S288">
        <v>127</v>
      </c>
      <c r="T288">
        <v>41</v>
      </c>
      <c r="U288">
        <v>567.42704528674506</v>
      </c>
      <c r="V288">
        <v>3.4788108791903799E-3</v>
      </c>
      <c r="W288">
        <v>1973894.7876247701</v>
      </c>
      <c r="X288" t="s">
        <v>28</v>
      </c>
      <c r="Y288">
        <f>1-281-166-3607</f>
        <v>-4053</v>
      </c>
    </row>
    <row r="289" spans="1:25" x14ac:dyDescent="0.35">
      <c r="A289">
        <v>34.267070953543502</v>
      </c>
      <c r="B289">
        <v>-115.46148297464801</v>
      </c>
      <c r="C289" t="s">
        <v>29</v>
      </c>
      <c r="D289">
        <v>17.230322662296398</v>
      </c>
      <c r="E289">
        <v>7</v>
      </c>
      <c r="F289">
        <v>841</v>
      </c>
      <c r="G289">
        <v>2</v>
      </c>
      <c r="H289">
        <v>1</v>
      </c>
      <c r="I289">
        <v>1987</v>
      </c>
      <c r="J289">
        <v>0</v>
      </c>
      <c r="K289">
        <v>0</v>
      </c>
      <c r="L289">
        <v>0</v>
      </c>
      <c r="M289">
        <v>9</v>
      </c>
      <c r="N289" t="s">
        <v>41</v>
      </c>
      <c r="O289" t="s">
        <v>27</v>
      </c>
      <c r="P289">
        <v>10.510608219985601</v>
      </c>
      <c r="Q289">
        <v>1.19273168231478</v>
      </c>
      <c r="R289">
        <v>2.0987846352816999</v>
      </c>
      <c r="S289">
        <v>28</v>
      </c>
      <c r="T289">
        <v>55</v>
      </c>
      <c r="U289">
        <v>693.65118344191796</v>
      </c>
      <c r="V289">
        <v>1.07015457788347E-2</v>
      </c>
      <c r="W289">
        <v>821414.32341665495</v>
      </c>
      <c r="X289" t="s">
        <v>39</v>
      </c>
      <c r="Y289">
        <f>1-369-995-2468</f>
        <v>-3831</v>
      </c>
    </row>
    <row r="290" spans="1:25" x14ac:dyDescent="0.35">
      <c r="A290">
        <v>39.834556906034003</v>
      </c>
      <c r="B290">
        <v>-120.334748133061</v>
      </c>
      <c r="C290" t="s">
        <v>34</v>
      </c>
      <c r="D290">
        <v>47.795382765434603</v>
      </c>
      <c r="E290">
        <v>9</v>
      </c>
      <c r="F290">
        <v>1321</v>
      </c>
      <c r="G290">
        <v>2</v>
      </c>
      <c r="H290">
        <v>2</v>
      </c>
      <c r="I290">
        <v>1955</v>
      </c>
      <c r="J290">
        <v>0</v>
      </c>
      <c r="K290">
        <v>0</v>
      </c>
      <c r="L290">
        <v>1</v>
      </c>
      <c r="M290">
        <v>5</v>
      </c>
      <c r="N290" t="s">
        <v>35</v>
      </c>
      <c r="O290" t="s">
        <v>27</v>
      </c>
      <c r="P290">
        <v>12.773091684252</v>
      </c>
      <c r="Q290">
        <v>1.0129686162417899</v>
      </c>
      <c r="R290">
        <v>4.1854117468322398</v>
      </c>
      <c r="S290">
        <v>30</v>
      </c>
      <c r="T290">
        <v>27</v>
      </c>
      <c r="U290">
        <v>952.22896393380904</v>
      </c>
      <c r="V290">
        <v>3.7850113550340599E-3</v>
      </c>
      <c r="W290">
        <v>1531841.6712597699</v>
      </c>
      <c r="X290" t="s">
        <v>43</v>
      </c>
      <c r="Y290">
        <f>1-747-460-2662</f>
        <v>-3868</v>
      </c>
    </row>
    <row r="291" spans="1:25" x14ac:dyDescent="0.35">
      <c r="A291">
        <v>35.022851523237598</v>
      </c>
      <c r="B291">
        <v>-115.77547873995501</v>
      </c>
      <c r="C291" t="s">
        <v>34</v>
      </c>
      <c r="D291">
        <v>3.6451423880628999</v>
      </c>
      <c r="E291">
        <v>4</v>
      </c>
      <c r="F291">
        <v>3244</v>
      </c>
      <c r="G291">
        <v>3</v>
      </c>
      <c r="H291">
        <v>1</v>
      </c>
      <c r="I291">
        <v>2004</v>
      </c>
      <c r="J291">
        <v>0</v>
      </c>
      <c r="K291">
        <v>1</v>
      </c>
      <c r="L291">
        <v>0</v>
      </c>
      <c r="M291">
        <v>6</v>
      </c>
      <c r="N291" t="s">
        <v>35</v>
      </c>
      <c r="O291" t="s">
        <v>27</v>
      </c>
      <c r="P291">
        <v>14.5728400946352</v>
      </c>
      <c r="Q291">
        <v>1.8421402766172399</v>
      </c>
      <c r="R291">
        <v>6.3942893235066602</v>
      </c>
      <c r="S291">
        <v>69</v>
      </c>
      <c r="T291">
        <v>30</v>
      </c>
      <c r="U291">
        <v>428.11503489731803</v>
      </c>
      <c r="V291">
        <v>1.8495684340320501E-3</v>
      </c>
      <c r="W291">
        <v>1783884.3233298601</v>
      </c>
      <c r="X291" t="s">
        <v>43</v>
      </c>
      <c r="Y291">
        <f>1-941-290-6119</f>
        <v>-7349</v>
      </c>
    </row>
    <row r="292" spans="1:25" x14ac:dyDescent="0.35">
      <c r="A292">
        <v>41.592525987532198</v>
      </c>
      <c r="B292">
        <v>-121.945699475685</v>
      </c>
      <c r="C292" t="s">
        <v>34</v>
      </c>
      <c r="D292">
        <v>22.820350353084301</v>
      </c>
      <c r="E292">
        <v>0</v>
      </c>
      <c r="F292">
        <v>4799</v>
      </c>
      <c r="G292">
        <v>4</v>
      </c>
      <c r="H292">
        <v>1</v>
      </c>
      <c r="I292">
        <v>1965</v>
      </c>
      <c r="J292">
        <v>0</v>
      </c>
      <c r="K292">
        <v>1</v>
      </c>
      <c r="L292">
        <v>0</v>
      </c>
      <c r="M292">
        <v>5</v>
      </c>
      <c r="N292" t="s">
        <v>41</v>
      </c>
      <c r="O292" t="s">
        <v>30</v>
      </c>
      <c r="P292">
        <v>6.9386427202440597</v>
      </c>
      <c r="Q292">
        <v>2.3982511943267899</v>
      </c>
      <c r="R292">
        <v>2.8194502429721799</v>
      </c>
      <c r="S292">
        <v>145</v>
      </c>
      <c r="T292">
        <v>63</v>
      </c>
      <c r="U292">
        <v>544.657780908522</v>
      </c>
      <c r="V292">
        <v>1.0418837257761999E-3</v>
      </c>
      <c r="W292">
        <v>2932589.0971550099</v>
      </c>
      <c r="X292" t="s">
        <v>31</v>
      </c>
      <c r="Y292">
        <f>1-722-994-1212</f>
        <v>-2927</v>
      </c>
    </row>
    <row r="293" spans="1:25" x14ac:dyDescent="0.35">
      <c r="A293">
        <v>33.953579794940303</v>
      </c>
      <c r="B293">
        <v>-122.11521181984</v>
      </c>
      <c r="C293" t="s">
        <v>25</v>
      </c>
      <c r="D293">
        <v>32.555545711923898</v>
      </c>
      <c r="E293">
        <v>4</v>
      </c>
      <c r="F293">
        <v>4978</v>
      </c>
      <c r="G293">
        <v>3</v>
      </c>
      <c r="H293">
        <v>3</v>
      </c>
      <c r="I293">
        <v>1971</v>
      </c>
      <c r="J293">
        <v>0</v>
      </c>
      <c r="K293">
        <v>1</v>
      </c>
      <c r="L293">
        <v>1</v>
      </c>
      <c r="M293">
        <v>8</v>
      </c>
      <c r="N293" t="s">
        <v>35</v>
      </c>
      <c r="O293" t="s">
        <v>27</v>
      </c>
      <c r="P293">
        <v>5.9991765057814304</v>
      </c>
      <c r="Q293">
        <v>0.63081394793323098</v>
      </c>
      <c r="R293">
        <v>1.4808568012947101</v>
      </c>
      <c r="S293">
        <v>175</v>
      </c>
      <c r="T293">
        <v>73</v>
      </c>
      <c r="U293">
        <v>460.00356596325599</v>
      </c>
      <c r="V293">
        <v>1.60707111289674E-3</v>
      </c>
      <c r="W293">
        <v>2627824.0463172798</v>
      </c>
      <c r="X293" t="s">
        <v>39</v>
      </c>
      <c r="Y293">
        <f>1-464-288-9226</f>
        <v>-9977</v>
      </c>
    </row>
    <row r="294" spans="1:25" x14ac:dyDescent="0.35">
      <c r="A294">
        <v>39.491066897380797</v>
      </c>
      <c r="B294">
        <v>-119.800734608797</v>
      </c>
      <c r="C294" t="s">
        <v>29</v>
      </c>
      <c r="D294">
        <v>49.428762795410499</v>
      </c>
      <c r="E294">
        <v>5</v>
      </c>
      <c r="F294">
        <v>4184</v>
      </c>
      <c r="G294">
        <v>2</v>
      </c>
      <c r="H294">
        <v>3</v>
      </c>
      <c r="I294">
        <v>1957</v>
      </c>
      <c r="J294">
        <v>1</v>
      </c>
      <c r="K294">
        <v>1</v>
      </c>
      <c r="L294">
        <v>1</v>
      </c>
      <c r="M294">
        <v>11</v>
      </c>
      <c r="N294" t="s">
        <v>37</v>
      </c>
      <c r="O294" t="s">
        <v>30</v>
      </c>
      <c r="P294">
        <v>4.0464169540485697</v>
      </c>
      <c r="Q294">
        <v>1.58520390179157</v>
      </c>
      <c r="R294">
        <v>3.72252666760077</v>
      </c>
      <c r="S294">
        <v>153</v>
      </c>
      <c r="T294">
        <v>45</v>
      </c>
      <c r="U294">
        <v>388.58779487167698</v>
      </c>
      <c r="V294">
        <v>2.62906309751434E-3</v>
      </c>
      <c r="W294">
        <v>1875540.4756549101</v>
      </c>
      <c r="X294" t="s">
        <v>38</v>
      </c>
      <c r="Y294">
        <f>1-527-464-2827</f>
        <v>-3817</v>
      </c>
    </row>
    <row r="295" spans="1:25" x14ac:dyDescent="0.35">
      <c r="A295">
        <v>34.353867944784298</v>
      </c>
      <c r="B295">
        <v>-121.84076132267001</v>
      </c>
      <c r="C295" t="s">
        <v>34</v>
      </c>
      <c r="D295">
        <v>39.634910497249301</v>
      </c>
      <c r="E295">
        <v>2</v>
      </c>
      <c r="F295">
        <v>1223</v>
      </c>
      <c r="G295">
        <v>4</v>
      </c>
      <c r="H295">
        <v>1</v>
      </c>
      <c r="I295">
        <v>1989</v>
      </c>
      <c r="J295">
        <v>0</v>
      </c>
      <c r="K295">
        <v>1</v>
      </c>
      <c r="L295">
        <v>0</v>
      </c>
      <c r="M295">
        <v>11</v>
      </c>
      <c r="N295" t="s">
        <v>35</v>
      </c>
      <c r="O295" t="s">
        <v>32</v>
      </c>
      <c r="P295">
        <v>14.212543073100999</v>
      </c>
      <c r="Q295">
        <v>1.4287220181556399</v>
      </c>
      <c r="R295">
        <v>3.0505068505263901</v>
      </c>
      <c r="S295">
        <v>91</v>
      </c>
      <c r="T295">
        <v>55</v>
      </c>
      <c r="U295">
        <v>383.04137788526901</v>
      </c>
      <c r="V295">
        <v>8.9942763695829899E-3</v>
      </c>
      <c r="W295">
        <v>924206.58310159296</v>
      </c>
      <c r="X295" t="s">
        <v>36</v>
      </c>
      <c r="Y295">
        <f>1-461-530-9572</f>
        <v>-10562</v>
      </c>
    </row>
    <row r="296" spans="1:25" x14ac:dyDescent="0.35">
      <c r="A296">
        <v>41.1455418402847</v>
      </c>
      <c r="B296">
        <v>-115.760981297803</v>
      </c>
      <c r="C296" t="s">
        <v>25</v>
      </c>
      <c r="D296">
        <v>22.794811392767102</v>
      </c>
      <c r="E296">
        <v>0</v>
      </c>
      <c r="F296">
        <v>4703</v>
      </c>
      <c r="G296">
        <v>3</v>
      </c>
      <c r="H296">
        <v>1</v>
      </c>
      <c r="I296">
        <v>1950</v>
      </c>
      <c r="J296">
        <v>1</v>
      </c>
      <c r="K296">
        <v>1</v>
      </c>
      <c r="L296">
        <v>0</v>
      </c>
      <c r="M296">
        <v>13</v>
      </c>
      <c r="N296" t="s">
        <v>37</v>
      </c>
      <c r="O296" t="s">
        <v>32</v>
      </c>
      <c r="P296">
        <v>8.6977720210959504</v>
      </c>
      <c r="Q296">
        <v>1.3886394631114001</v>
      </c>
      <c r="R296">
        <v>9.0139068411257206</v>
      </c>
      <c r="S296">
        <v>84</v>
      </c>
      <c r="T296">
        <v>31</v>
      </c>
      <c r="U296">
        <v>885.34825341594706</v>
      </c>
      <c r="V296">
        <v>2.7641930682543001E-3</v>
      </c>
      <c r="W296">
        <v>4384263.7205820298</v>
      </c>
      <c r="X296" t="s">
        <v>39</v>
      </c>
      <c r="Y296">
        <f>1-911-997-3285</f>
        <v>-5192</v>
      </c>
    </row>
    <row r="297" spans="1:25" x14ac:dyDescent="0.35">
      <c r="A297">
        <v>40.716842102636299</v>
      </c>
      <c r="B297">
        <v>-118.276054287796</v>
      </c>
      <c r="C297" t="s">
        <v>34</v>
      </c>
      <c r="D297">
        <v>4.6980306976614896</v>
      </c>
      <c r="E297">
        <v>6</v>
      </c>
      <c r="F297">
        <v>1502</v>
      </c>
      <c r="G297">
        <v>3</v>
      </c>
      <c r="H297">
        <v>2</v>
      </c>
      <c r="I297">
        <v>2015</v>
      </c>
      <c r="J297">
        <v>1</v>
      </c>
      <c r="K297">
        <v>0</v>
      </c>
      <c r="L297">
        <v>1</v>
      </c>
      <c r="M297">
        <v>5</v>
      </c>
      <c r="N297" t="s">
        <v>37</v>
      </c>
      <c r="O297" t="s">
        <v>27</v>
      </c>
      <c r="P297">
        <v>12.830609474376899</v>
      </c>
      <c r="Q297">
        <v>1.47881784863185</v>
      </c>
      <c r="R297">
        <v>2.4752793884539002</v>
      </c>
      <c r="S297">
        <v>149</v>
      </c>
      <c r="T297">
        <v>43</v>
      </c>
      <c r="U297">
        <v>319.64086475652698</v>
      </c>
      <c r="V297">
        <v>3.3288948069240998E-3</v>
      </c>
      <c r="W297">
        <v>779049.92205519602</v>
      </c>
      <c r="X297" t="s">
        <v>28</v>
      </c>
      <c r="Y297">
        <f>1-312-403-3094</f>
        <v>-3808</v>
      </c>
    </row>
    <row r="298" spans="1:25" x14ac:dyDescent="0.35">
      <c r="A298">
        <v>34.276977139334697</v>
      </c>
      <c r="B298">
        <v>-117.84012670590199</v>
      </c>
      <c r="C298" t="s">
        <v>29</v>
      </c>
      <c r="D298">
        <v>27.262084766905101</v>
      </c>
      <c r="E298">
        <v>3</v>
      </c>
      <c r="F298">
        <v>3533</v>
      </c>
      <c r="G298">
        <v>5</v>
      </c>
      <c r="H298">
        <v>3</v>
      </c>
      <c r="I298">
        <v>1983</v>
      </c>
      <c r="J298">
        <v>1</v>
      </c>
      <c r="K298">
        <v>1</v>
      </c>
      <c r="L298">
        <v>1</v>
      </c>
      <c r="M298">
        <v>13</v>
      </c>
      <c r="N298" t="s">
        <v>26</v>
      </c>
      <c r="O298" t="s">
        <v>32</v>
      </c>
      <c r="P298">
        <v>12.9305736989858</v>
      </c>
      <c r="Q298">
        <v>1.60879391556352</v>
      </c>
      <c r="R298">
        <v>9.6739305571344492</v>
      </c>
      <c r="S298">
        <v>59</v>
      </c>
      <c r="T298">
        <v>62</v>
      </c>
      <c r="U298">
        <v>832.81162560601797</v>
      </c>
      <c r="V298">
        <v>3.6795924143787099E-3</v>
      </c>
      <c r="W298">
        <v>3565136.0110181798</v>
      </c>
      <c r="X298" t="s">
        <v>38</v>
      </c>
      <c r="Y298">
        <f>1-247-451-8345</f>
        <v>-9042</v>
      </c>
    </row>
    <row r="299" spans="1:25" x14ac:dyDescent="0.35">
      <c r="A299">
        <v>37.910380351443301</v>
      </c>
      <c r="B299">
        <v>-116.113991637147</v>
      </c>
      <c r="C299" t="s">
        <v>29</v>
      </c>
      <c r="D299">
        <v>26.4666953960561</v>
      </c>
      <c r="E299">
        <v>8</v>
      </c>
      <c r="F299">
        <v>1410</v>
      </c>
      <c r="G299">
        <v>3</v>
      </c>
      <c r="H299">
        <v>2</v>
      </c>
      <c r="I299">
        <v>1992</v>
      </c>
      <c r="J299">
        <v>0</v>
      </c>
      <c r="K299">
        <v>1</v>
      </c>
      <c r="L299">
        <v>1</v>
      </c>
      <c r="M299">
        <v>5</v>
      </c>
      <c r="N299" t="s">
        <v>41</v>
      </c>
      <c r="O299" t="s">
        <v>30</v>
      </c>
      <c r="P299">
        <v>9.5777479591292707</v>
      </c>
      <c r="Q299">
        <v>1.15834067368189</v>
      </c>
      <c r="R299">
        <v>6.7991739038546601</v>
      </c>
      <c r="S299">
        <v>63</v>
      </c>
      <c r="T299">
        <v>34</v>
      </c>
      <c r="U299">
        <v>686.15034674822198</v>
      </c>
      <c r="V299">
        <v>3.54609929078014E-3</v>
      </c>
      <c r="W299">
        <v>1298132.2132938299</v>
      </c>
      <c r="X299" t="s">
        <v>28</v>
      </c>
      <c r="Y299">
        <f>1-699-696-6866</f>
        <v>-8260</v>
      </c>
    </row>
    <row r="300" spans="1:25" x14ac:dyDescent="0.35">
      <c r="A300">
        <v>41.502386812823197</v>
      </c>
      <c r="B300">
        <v>-120.434156800548</v>
      </c>
      <c r="C300" t="s">
        <v>25</v>
      </c>
      <c r="D300">
        <v>45.769875847128901</v>
      </c>
      <c r="E300">
        <v>4</v>
      </c>
      <c r="F300">
        <v>2972</v>
      </c>
      <c r="G300">
        <v>4</v>
      </c>
      <c r="H300">
        <v>3</v>
      </c>
      <c r="I300">
        <v>1971</v>
      </c>
      <c r="J300">
        <v>0</v>
      </c>
      <c r="K300">
        <v>1</v>
      </c>
      <c r="L300">
        <v>0</v>
      </c>
      <c r="M300">
        <v>7</v>
      </c>
      <c r="N300" t="s">
        <v>26</v>
      </c>
      <c r="O300" t="s">
        <v>30</v>
      </c>
      <c r="P300">
        <v>3.7977026150515298</v>
      </c>
      <c r="Q300">
        <v>0.58558075717621105</v>
      </c>
      <c r="R300">
        <v>9.5920853330326707</v>
      </c>
      <c r="S300">
        <v>183</v>
      </c>
      <c r="T300">
        <v>52</v>
      </c>
      <c r="U300">
        <v>758.612034663234</v>
      </c>
      <c r="V300">
        <v>2.35531628532974E-3</v>
      </c>
      <c r="W300">
        <v>2575654.14505221</v>
      </c>
      <c r="X300" t="s">
        <v>38</v>
      </c>
      <c r="Y300">
        <f>1-219-459-6470</f>
        <v>-7147</v>
      </c>
    </row>
    <row r="301" spans="1:25" x14ac:dyDescent="0.35">
      <c r="A301">
        <v>40.105118008686397</v>
      </c>
      <c r="B301">
        <v>-114.69729805747799</v>
      </c>
      <c r="C301" t="s">
        <v>34</v>
      </c>
      <c r="D301">
        <v>40.717866334752898</v>
      </c>
      <c r="E301">
        <v>7</v>
      </c>
      <c r="F301">
        <v>3807</v>
      </c>
      <c r="G301">
        <v>1</v>
      </c>
      <c r="H301">
        <v>2</v>
      </c>
      <c r="I301">
        <v>2004</v>
      </c>
      <c r="J301">
        <v>1</v>
      </c>
      <c r="K301">
        <v>0</v>
      </c>
      <c r="L301">
        <v>1</v>
      </c>
      <c r="M301">
        <v>12</v>
      </c>
      <c r="N301" t="s">
        <v>26</v>
      </c>
      <c r="O301" t="s">
        <v>32</v>
      </c>
      <c r="P301">
        <v>12.803507705236401</v>
      </c>
      <c r="Q301">
        <v>1.97487224544291</v>
      </c>
      <c r="R301">
        <v>6.29835023656904</v>
      </c>
      <c r="S301">
        <v>143</v>
      </c>
      <c r="T301">
        <v>31</v>
      </c>
      <c r="U301">
        <v>776.07281996748804</v>
      </c>
      <c r="V301">
        <v>3.15208825847123E-3</v>
      </c>
      <c r="W301">
        <v>3122470.38705057</v>
      </c>
      <c r="X301" t="s">
        <v>36</v>
      </c>
      <c r="Y301">
        <f>1-960-958-6568</f>
        <v>-8485</v>
      </c>
    </row>
    <row r="302" spans="1:25" x14ac:dyDescent="0.35">
      <c r="A302">
        <v>34.124214903374501</v>
      </c>
      <c r="B302">
        <v>-120.299018047001</v>
      </c>
      <c r="C302" t="s">
        <v>25</v>
      </c>
      <c r="D302">
        <v>13.231114413897</v>
      </c>
      <c r="E302">
        <v>2</v>
      </c>
      <c r="F302">
        <v>773</v>
      </c>
      <c r="G302">
        <v>4</v>
      </c>
      <c r="H302">
        <v>3</v>
      </c>
      <c r="I302">
        <v>2015</v>
      </c>
      <c r="J302">
        <v>1</v>
      </c>
      <c r="K302">
        <v>1</v>
      </c>
      <c r="L302">
        <v>0</v>
      </c>
      <c r="M302">
        <v>3</v>
      </c>
      <c r="N302" t="s">
        <v>35</v>
      </c>
      <c r="O302" t="s">
        <v>32</v>
      </c>
      <c r="P302">
        <v>11.790586570042001</v>
      </c>
      <c r="Q302">
        <v>2.21181409900684</v>
      </c>
      <c r="R302">
        <v>3.3930221532164002</v>
      </c>
      <c r="S302">
        <v>6</v>
      </c>
      <c r="T302">
        <v>22</v>
      </c>
      <c r="U302">
        <v>978.13659309278398</v>
      </c>
      <c r="V302">
        <v>3.8809831824062001E-3</v>
      </c>
      <c r="W302">
        <v>1215956.9220209599</v>
      </c>
      <c r="X302" t="s">
        <v>33</v>
      </c>
      <c r="Y302">
        <f>1-901-795-2022</f>
        <v>-3717</v>
      </c>
    </row>
    <row r="303" spans="1:25" x14ac:dyDescent="0.35">
      <c r="A303">
        <v>32.888895875817099</v>
      </c>
      <c r="B303">
        <v>-117.110217590087</v>
      </c>
      <c r="C303" t="s">
        <v>25</v>
      </c>
      <c r="D303">
        <v>29.8061811115907</v>
      </c>
      <c r="E303">
        <v>7</v>
      </c>
      <c r="F303">
        <v>2956</v>
      </c>
      <c r="G303">
        <v>2</v>
      </c>
      <c r="H303">
        <v>3</v>
      </c>
      <c r="I303">
        <v>2001</v>
      </c>
      <c r="J303">
        <v>0</v>
      </c>
      <c r="K303">
        <v>1</v>
      </c>
      <c r="L303">
        <v>1</v>
      </c>
      <c r="M303">
        <v>9</v>
      </c>
      <c r="N303" t="s">
        <v>37</v>
      </c>
      <c r="O303" t="s">
        <v>30</v>
      </c>
      <c r="P303">
        <v>11.776202252865</v>
      </c>
      <c r="Q303">
        <v>2.3045319806335098</v>
      </c>
      <c r="R303">
        <v>0.85189442036707697</v>
      </c>
      <c r="S303">
        <v>47</v>
      </c>
      <c r="T303">
        <v>41</v>
      </c>
      <c r="U303">
        <v>433.91922442749097</v>
      </c>
      <c r="V303">
        <v>3.0446549391068998E-3</v>
      </c>
      <c r="W303">
        <v>1702913.6083537999</v>
      </c>
      <c r="X303" t="s">
        <v>38</v>
      </c>
      <c r="Y303">
        <f>1-377-296-3857</f>
        <v>-4529</v>
      </c>
    </row>
    <row r="304" spans="1:25" x14ac:dyDescent="0.35">
      <c r="A304">
        <v>37.191549328032501</v>
      </c>
      <c r="B304">
        <v>-114.739074632263</v>
      </c>
      <c r="C304" t="s">
        <v>34</v>
      </c>
      <c r="D304">
        <v>14.488949789867</v>
      </c>
      <c r="E304">
        <v>5</v>
      </c>
      <c r="F304">
        <v>4290</v>
      </c>
      <c r="G304">
        <v>3</v>
      </c>
      <c r="H304">
        <v>2</v>
      </c>
      <c r="I304">
        <v>1964</v>
      </c>
      <c r="J304">
        <v>0</v>
      </c>
      <c r="K304">
        <v>0</v>
      </c>
      <c r="L304">
        <v>0</v>
      </c>
      <c r="M304">
        <v>3</v>
      </c>
      <c r="N304" t="s">
        <v>26</v>
      </c>
      <c r="O304" t="s">
        <v>32</v>
      </c>
      <c r="P304">
        <v>11.9504343927183</v>
      </c>
      <c r="Q304">
        <v>0.50027758047850002</v>
      </c>
      <c r="R304">
        <v>0.47200486946945502</v>
      </c>
      <c r="S304">
        <v>22</v>
      </c>
      <c r="T304">
        <v>26</v>
      </c>
      <c r="U304">
        <v>317.13817123341499</v>
      </c>
      <c r="V304">
        <v>6.9930069930069897E-4</v>
      </c>
      <c r="W304">
        <v>1600541.84517744</v>
      </c>
      <c r="X304" t="s">
        <v>40</v>
      </c>
      <c r="Y304">
        <f>1-794-222-5255</f>
        <v>-6270</v>
      </c>
    </row>
    <row r="305" spans="1:25" x14ac:dyDescent="0.35">
      <c r="A305">
        <v>34.678009401353997</v>
      </c>
      <c r="B305">
        <v>-114.170375394221</v>
      </c>
      <c r="C305" t="s">
        <v>34</v>
      </c>
      <c r="D305">
        <v>40.516014513328102</v>
      </c>
      <c r="E305">
        <v>7</v>
      </c>
      <c r="F305">
        <v>501</v>
      </c>
      <c r="G305">
        <v>5</v>
      </c>
      <c r="H305">
        <v>1</v>
      </c>
      <c r="I305">
        <v>2003</v>
      </c>
      <c r="J305">
        <v>1</v>
      </c>
      <c r="K305">
        <v>1</v>
      </c>
      <c r="L305">
        <v>0</v>
      </c>
      <c r="M305">
        <v>11</v>
      </c>
      <c r="N305" t="s">
        <v>26</v>
      </c>
      <c r="O305" t="s">
        <v>32</v>
      </c>
      <c r="P305">
        <v>5.3695781349883296</v>
      </c>
      <c r="Q305">
        <v>2.3382186349328302</v>
      </c>
      <c r="R305">
        <v>7.2322150161136598</v>
      </c>
      <c r="S305">
        <v>161</v>
      </c>
      <c r="T305">
        <v>27</v>
      </c>
      <c r="U305">
        <v>373.02706508718302</v>
      </c>
      <c r="V305">
        <v>2.1956087824351201E-2</v>
      </c>
      <c r="W305">
        <v>616158.12117987196</v>
      </c>
      <c r="X305" t="s">
        <v>36</v>
      </c>
      <c r="Y305">
        <f>1-329-218-6830</f>
        <v>-7376</v>
      </c>
    </row>
    <row r="306" spans="1:25" x14ac:dyDescent="0.35">
      <c r="A306">
        <v>37.384572934091501</v>
      </c>
      <c r="B306">
        <v>-123.323032430987</v>
      </c>
      <c r="C306" t="s">
        <v>25</v>
      </c>
      <c r="D306">
        <v>23.6411085860227</v>
      </c>
      <c r="E306">
        <v>3</v>
      </c>
      <c r="F306">
        <v>4518</v>
      </c>
      <c r="G306">
        <v>1</v>
      </c>
      <c r="H306">
        <v>3</v>
      </c>
      <c r="I306">
        <v>2016</v>
      </c>
      <c r="J306">
        <v>0</v>
      </c>
      <c r="K306">
        <v>0</v>
      </c>
      <c r="L306">
        <v>1</v>
      </c>
      <c r="M306">
        <v>13</v>
      </c>
      <c r="N306" t="s">
        <v>26</v>
      </c>
      <c r="O306" t="s">
        <v>27</v>
      </c>
      <c r="P306">
        <v>9.4194698939931207</v>
      </c>
      <c r="Q306">
        <v>0.53044326243539897</v>
      </c>
      <c r="R306">
        <v>6.3311258861205104</v>
      </c>
      <c r="S306">
        <v>64</v>
      </c>
      <c r="T306">
        <v>36</v>
      </c>
      <c r="U306">
        <v>491.88123041852202</v>
      </c>
      <c r="V306">
        <v>2.8773793714032699E-3</v>
      </c>
      <c r="W306">
        <v>2467486.5266849101</v>
      </c>
      <c r="X306" t="s">
        <v>43</v>
      </c>
      <c r="Y306">
        <f>1-529-991-4227</f>
        <v>-5746</v>
      </c>
    </row>
    <row r="307" spans="1:25" x14ac:dyDescent="0.35">
      <c r="A307">
        <v>41.2281615368383</v>
      </c>
      <c r="B307">
        <v>-122.15330252533499</v>
      </c>
      <c r="C307" t="s">
        <v>34</v>
      </c>
      <c r="D307">
        <v>36.729059425162397</v>
      </c>
      <c r="E307">
        <v>7</v>
      </c>
      <c r="F307">
        <v>930</v>
      </c>
      <c r="G307">
        <v>2</v>
      </c>
      <c r="H307">
        <v>1</v>
      </c>
      <c r="I307">
        <v>1988</v>
      </c>
      <c r="J307">
        <v>1</v>
      </c>
      <c r="K307">
        <v>0</v>
      </c>
      <c r="L307">
        <v>0</v>
      </c>
      <c r="M307">
        <v>7</v>
      </c>
      <c r="N307" t="s">
        <v>41</v>
      </c>
      <c r="O307" t="s">
        <v>32</v>
      </c>
      <c r="P307">
        <v>10.6455855596997</v>
      </c>
      <c r="Q307">
        <v>1.14213047962195</v>
      </c>
      <c r="R307">
        <v>6.0210242243721197</v>
      </c>
      <c r="S307">
        <v>35</v>
      </c>
      <c r="T307">
        <v>60</v>
      </c>
      <c r="U307">
        <v>296.81211753810601</v>
      </c>
      <c r="V307">
        <v>7.5268817204301001E-3</v>
      </c>
      <c r="W307">
        <v>491846.660867011</v>
      </c>
      <c r="X307" t="s">
        <v>38</v>
      </c>
      <c r="Y307">
        <f>1-626-994-4314</f>
        <v>-5933</v>
      </c>
    </row>
    <row r="308" spans="1:25" x14ac:dyDescent="0.35">
      <c r="A308">
        <v>32.568338922848604</v>
      </c>
      <c r="B308">
        <v>-121.630783554692</v>
      </c>
      <c r="C308" t="s">
        <v>25</v>
      </c>
      <c r="D308">
        <v>19.306606104766502</v>
      </c>
      <c r="E308">
        <v>2</v>
      </c>
      <c r="F308">
        <v>4597</v>
      </c>
      <c r="G308">
        <v>5</v>
      </c>
      <c r="H308">
        <v>3</v>
      </c>
      <c r="I308">
        <v>1954</v>
      </c>
      <c r="J308">
        <v>0</v>
      </c>
      <c r="K308">
        <v>0</v>
      </c>
      <c r="L308">
        <v>0</v>
      </c>
      <c r="M308">
        <v>6</v>
      </c>
      <c r="N308" t="s">
        <v>41</v>
      </c>
      <c r="O308" t="s">
        <v>32</v>
      </c>
      <c r="P308">
        <v>5.62968141993559</v>
      </c>
      <c r="Q308">
        <v>2.4398740302394102</v>
      </c>
      <c r="R308">
        <v>6.4934537112593702</v>
      </c>
      <c r="S308">
        <v>104</v>
      </c>
      <c r="T308">
        <v>38</v>
      </c>
      <c r="U308">
        <v>557.38948958614299</v>
      </c>
      <c r="V308">
        <v>1.3051990428540299E-3</v>
      </c>
      <c r="W308">
        <v>2774057.40764193</v>
      </c>
      <c r="X308" t="s">
        <v>38</v>
      </c>
      <c r="Y308">
        <f>1-303-249-8403</f>
        <v>-8954</v>
      </c>
    </row>
    <row r="309" spans="1:25" x14ac:dyDescent="0.35">
      <c r="A309">
        <v>36.099554180393703</v>
      </c>
      <c r="B309">
        <v>-117.198116465426</v>
      </c>
      <c r="C309" t="s">
        <v>25</v>
      </c>
      <c r="D309">
        <v>5.98313831163349</v>
      </c>
      <c r="E309">
        <v>4</v>
      </c>
      <c r="F309">
        <v>2422</v>
      </c>
      <c r="G309">
        <v>1</v>
      </c>
      <c r="H309">
        <v>1</v>
      </c>
      <c r="I309">
        <v>2001</v>
      </c>
      <c r="J309">
        <v>1</v>
      </c>
      <c r="K309">
        <v>1</v>
      </c>
      <c r="L309">
        <v>0</v>
      </c>
      <c r="M309">
        <v>2</v>
      </c>
      <c r="N309" t="s">
        <v>35</v>
      </c>
      <c r="O309" t="s">
        <v>27</v>
      </c>
      <c r="P309">
        <v>14.4458899907626</v>
      </c>
      <c r="Q309">
        <v>1.67445118521457</v>
      </c>
      <c r="R309">
        <v>2.96389574468513</v>
      </c>
      <c r="S309">
        <v>189</v>
      </c>
      <c r="T309">
        <v>30</v>
      </c>
      <c r="U309">
        <v>566.85264147387795</v>
      </c>
      <c r="V309">
        <v>8.25763831544178E-4</v>
      </c>
      <c r="W309">
        <v>1682553.99147954</v>
      </c>
      <c r="X309" t="s">
        <v>28</v>
      </c>
      <c r="Y309">
        <f>1-670-306-7568</f>
        <v>-8543</v>
      </c>
    </row>
    <row r="310" spans="1:25" x14ac:dyDescent="0.35">
      <c r="A310">
        <v>41.356686324811498</v>
      </c>
      <c r="B310">
        <v>-122.054516117845</v>
      </c>
      <c r="C310" t="s">
        <v>34</v>
      </c>
      <c r="D310">
        <v>40.687090838520902</v>
      </c>
      <c r="E310">
        <v>5</v>
      </c>
      <c r="F310">
        <v>741</v>
      </c>
      <c r="G310">
        <v>1</v>
      </c>
      <c r="H310">
        <v>2</v>
      </c>
      <c r="I310">
        <v>1989</v>
      </c>
      <c r="J310">
        <v>0</v>
      </c>
      <c r="K310">
        <v>0</v>
      </c>
      <c r="L310">
        <v>0</v>
      </c>
      <c r="M310">
        <v>10</v>
      </c>
      <c r="N310" t="s">
        <v>26</v>
      </c>
      <c r="O310" t="s">
        <v>32</v>
      </c>
      <c r="P310">
        <v>9.9851643217300108</v>
      </c>
      <c r="Q310">
        <v>1.5542109397511299</v>
      </c>
      <c r="R310">
        <v>1.18462966007461</v>
      </c>
      <c r="S310">
        <v>100</v>
      </c>
      <c r="T310">
        <v>43</v>
      </c>
      <c r="U310">
        <v>856.71613558987804</v>
      </c>
      <c r="V310">
        <v>1.3495276653171301E-2</v>
      </c>
      <c r="W310">
        <v>672334.39038429304</v>
      </c>
      <c r="X310" t="s">
        <v>42</v>
      </c>
      <c r="Y310">
        <f>1-347-993-2046</f>
        <v>-3385</v>
      </c>
    </row>
    <row r="311" spans="1:25" x14ac:dyDescent="0.35">
      <c r="A311">
        <v>40.772098003381302</v>
      </c>
      <c r="B311">
        <v>-121.758693313691</v>
      </c>
      <c r="C311" t="s">
        <v>34</v>
      </c>
      <c r="D311">
        <v>45.078480202388697</v>
      </c>
      <c r="E311">
        <v>9</v>
      </c>
      <c r="F311">
        <v>3347</v>
      </c>
      <c r="G311">
        <v>5</v>
      </c>
      <c r="H311">
        <v>3</v>
      </c>
      <c r="I311">
        <v>1968</v>
      </c>
      <c r="J311">
        <v>0</v>
      </c>
      <c r="K311">
        <v>1</v>
      </c>
      <c r="L311">
        <v>1</v>
      </c>
      <c r="M311">
        <v>14</v>
      </c>
      <c r="N311" t="s">
        <v>37</v>
      </c>
      <c r="O311" t="s">
        <v>32</v>
      </c>
      <c r="P311">
        <v>7.1285335695162599</v>
      </c>
      <c r="Q311">
        <v>1.2587861415085699</v>
      </c>
      <c r="R311">
        <v>4.4639464838848903</v>
      </c>
      <c r="S311">
        <v>8</v>
      </c>
      <c r="T311">
        <v>59</v>
      </c>
      <c r="U311">
        <v>397.85824406280699</v>
      </c>
      <c r="V311">
        <v>4.1828503137137703E-3</v>
      </c>
      <c r="W311">
        <v>1763430.2223886</v>
      </c>
      <c r="X311" t="s">
        <v>43</v>
      </c>
      <c r="Y311">
        <f>1-677-879-1661</f>
        <v>-3216</v>
      </c>
    </row>
    <row r="312" spans="1:25" x14ac:dyDescent="0.35">
      <c r="A312">
        <v>37.688716930510502</v>
      </c>
      <c r="B312">
        <v>-116.63574676344901</v>
      </c>
      <c r="C312" t="s">
        <v>25</v>
      </c>
      <c r="D312">
        <v>38.806909949886297</v>
      </c>
      <c r="E312">
        <v>0</v>
      </c>
      <c r="F312">
        <v>3369</v>
      </c>
      <c r="G312">
        <v>5</v>
      </c>
      <c r="H312">
        <v>3</v>
      </c>
      <c r="I312">
        <v>1956</v>
      </c>
      <c r="J312">
        <v>1</v>
      </c>
      <c r="K312">
        <v>0</v>
      </c>
      <c r="L312">
        <v>0</v>
      </c>
      <c r="M312">
        <v>8</v>
      </c>
      <c r="N312" t="s">
        <v>37</v>
      </c>
      <c r="O312" t="s">
        <v>27</v>
      </c>
      <c r="P312">
        <v>11.4799606563779</v>
      </c>
      <c r="Q312">
        <v>2.1055289055034598</v>
      </c>
      <c r="R312">
        <v>3.3240048913603601</v>
      </c>
      <c r="S312">
        <v>28</v>
      </c>
      <c r="T312">
        <v>50</v>
      </c>
      <c r="U312">
        <v>519.13901542311896</v>
      </c>
      <c r="V312">
        <v>2.3745918670228499E-3</v>
      </c>
      <c r="W312">
        <v>2223312.3051017202</v>
      </c>
      <c r="X312" t="s">
        <v>44</v>
      </c>
      <c r="Y312">
        <f>1-838-937-5796</f>
        <v>-7570</v>
      </c>
    </row>
    <row r="313" spans="1:25" x14ac:dyDescent="0.35">
      <c r="A313">
        <v>33.6652651865287</v>
      </c>
      <c r="B313">
        <v>-117.458569251328</v>
      </c>
      <c r="C313" t="s">
        <v>34</v>
      </c>
      <c r="D313">
        <v>20.690009623031901</v>
      </c>
      <c r="E313">
        <v>7</v>
      </c>
      <c r="F313">
        <v>4763</v>
      </c>
      <c r="G313">
        <v>4</v>
      </c>
      <c r="H313">
        <v>1</v>
      </c>
      <c r="I313">
        <v>1962</v>
      </c>
      <c r="J313">
        <v>1</v>
      </c>
      <c r="K313">
        <v>0</v>
      </c>
      <c r="L313">
        <v>0</v>
      </c>
      <c r="M313">
        <v>14</v>
      </c>
      <c r="N313" t="s">
        <v>37</v>
      </c>
      <c r="O313" t="s">
        <v>27</v>
      </c>
      <c r="P313">
        <v>7.2006821889337704</v>
      </c>
      <c r="Q313">
        <v>0.84238012746775703</v>
      </c>
      <c r="R313">
        <v>1.7011065942722501</v>
      </c>
      <c r="S313">
        <v>183</v>
      </c>
      <c r="T313">
        <v>29</v>
      </c>
      <c r="U313">
        <v>785.210609134224</v>
      </c>
      <c r="V313">
        <v>2.9393239554902301E-3</v>
      </c>
      <c r="W313">
        <v>3911917.26017902</v>
      </c>
      <c r="X313" t="s">
        <v>31</v>
      </c>
      <c r="Y313">
        <f>1-261-983-1367</f>
        <v>-2610</v>
      </c>
    </row>
    <row r="314" spans="1:25" x14ac:dyDescent="0.35">
      <c r="A314">
        <v>36.444316149660899</v>
      </c>
      <c r="B314">
        <v>-119.38820162762499</v>
      </c>
      <c r="C314" t="s">
        <v>25</v>
      </c>
      <c r="D314">
        <v>8.40540841864944</v>
      </c>
      <c r="E314">
        <v>4</v>
      </c>
      <c r="F314">
        <v>1698</v>
      </c>
      <c r="G314">
        <v>5</v>
      </c>
      <c r="H314">
        <v>1</v>
      </c>
      <c r="I314">
        <v>1989</v>
      </c>
      <c r="J314">
        <v>0</v>
      </c>
      <c r="K314">
        <v>1</v>
      </c>
      <c r="L314">
        <v>1</v>
      </c>
      <c r="M314">
        <v>10</v>
      </c>
      <c r="N314" t="s">
        <v>35</v>
      </c>
      <c r="O314" t="s">
        <v>27</v>
      </c>
      <c r="P314">
        <v>14.775323313965099</v>
      </c>
      <c r="Q314">
        <v>1.5063347720889999</v>
      </c>
      <c r="R314">
        <v>8.5285912407762901</v>
      </c>
      <c r="S314">
        <v>57</v>
      </c>
      <c r="T314">
        <v>59</v>
      </c>
      <c r="U314">
        <v>655.63964742757003</v>
      </c>
      <c r="V314">
        <v>5.8892815076560601E-3</v>
      </c>
      <c r="W314">
        <v>1558462.9925094401</v>
      </c>
      <c r="X314" t="s">
        <v>28</v>
      </c>
      <c r="Y314">
        <f>1-356-752-6517</f>
        <v>-7624</v>
      </c>
    </row>
    <row r="315" spans="1:25" x14ac:dyDescent="0.35">
      <c r="A315">
        <v>36.637701305721002</v>
      </c>
      <c r="B315">
        <v>-117.676552858118</v>
      </c>
      <c r="C315" t="s">
        <v>34</v>
      </c>
      <c r="D315">
        <v>46.152992367900197</v>
      </c>
      <c r="E315">
        <v>1</v>
      </c>
      <c r="F315">
        <v>4020</v>
      </c>
      <c r="G315">
        <v>5</v>
      </c>
      <c r="H315">
        <v>2</v>
      </c>
      <c r="I315">
        <v>1999</v>
      </c>
      <c r="J315">
        <v>0</v>
      </c>
      <c r="K315">
        <v>1</v>
      </c>
      <c r="L315">
        <v>0</v>
      </c>
      <c r="M315">
        <v>9</v>
      </c>
      <c r="N315" t="s">
        <v>35</v>
      </c>
      <c r="O315" t="s">
        <v>27</v>
      </c>
      <c r="P315">
        <v>6.4777830063404398</v>
      </c>
      <c r="Q315">
        <v>2.0778417494310699</v>
      </c>
      <c r="R315">
        <v>9.0281885383716691</v>
      </c>
      <c r="S315">
        <v>149</v>
      </c>
      <c r="T315">
        <v>40</v>
      </c>
      <c r="U315">
        <v>487.91959844682498</v>
      </c>
      <c r="V315">
        <v>2.23880597014925E-3</v>
      </c>
      <c r="W315">
        <v>2357915.3109207801</v>
      </c>
      <c r="X315" t="s">
        <v>42</v>
      </c>
      <c r="Y315">
        <f>1-842-874-9202</f>
        <v>-10917</v>
      </c>
    </row>
    <row r="316" spans="1:25" x14ac:dyDescent="0.35">
      <c r="A316">
        <v>34.533283013982803</v>
      </c>
      <c r="B316">
        <v>-123.477578060315</v>
      </c>
      <c r="C316" t="s">
        <v>25</v>
      </c>
      <c r="D316">
        <v>19.689515124519598</v>
      </c>
      <c r="E316">
        <v>2</v>
      </c>
      <c r="F316">
        <v>1034</v>
      </c>
      <c r="G316">
        <v>1</v>
      </c>
      <c r="H316">
        <v>1</v>
      </c>
      <c r="I316">
        <v>1989</v>
      </c>
      <c r="J316">
        <v>0</v>
      </c>
      <c r="K316">
        <v>0</v>
      </c>
      <c r="L316">
        <v>0</v>
      </c>
      <c r="M316">
        <v>13</v>
      </c>
      <c r="N316" t="s">
        <v>37</v>
      </c>
      <c r="O316" t="s">
        <v>32</v>
      </c>
      <c r="P316">
        <v>11.1990203095969</v>
      </c>
      <c r="Q316">
        <v>2.0481740820600201</v>
      </c>
      <c r="R316">
        <v>5.5589814710590302</v>
      </c>
      <c r="S316">
        <v>7</v>
      </c>
      <c r="T316">
        <v>65</v>
      </c>
      <c r="U316">
        <v>501.01628695551602</v>
      </c>
      <c r="V316">
        <v>1.25725338491295E-2</v>
      </c>
      <c r="W316">
        <v>582752.08143217699</v>
      </c>
      <c r="X316" t="s">
        <v>33</v>
      </c>
      <c r="Y316">
        <f>1-870-276-4080</f>
        <v>-5225</v>
      </c>
    </row>
    <row r="317" spans="1:25" x14ac:dyDescent="0.35">
      <c r="A317">
        <v>34.393147383213403</v>
      </c>
      <c r="B317">
        <v>-122.353221754904</v>
      </c>
      <c r="C317" t="s">
        <v>25</v>
      </c>
      <c r="D317">
        <v>44.2577181316029</v>
      </c>
      <c r="E317">
        <v>0</v>
      </c>
      <c r="F317">
        <v>1629</v>
      </c>
      <c r="G317">
        <v>3</v>
      </c>
      <c r="H317">
        <v>3</v>
      </c>
      <c r="I317">
        <v>2020</v>
      </c>
      <c r="J317">
        <v>1</v>
      </c>
      <c r="K317">
        <v>0</v>
      </c>
      <c r="L317">
        <v>0</v>
      </c>
      <c r="M317">
        <v>4</v>
      </c>
      <c r="N317" t="s">
        <v>35</v>
      </c>
      <c r="O317" t="s">
        <v>32</v>
      </c>
      <c r="P317">
        <v>10.2556389679572</v>
      </c>
      <c r="Q317">
        <v>1.2236491093900701</v>
      </c>
      <c r="R317">
        <v>4.8931614848951703</v>
      </c>
      <c r="S317">
        <v>78</v>
      </c>
      <c r="T317">
        <v>21</v>
      </c>
      <c r="U317">
        <v>521.61043941225705</v>
      </c>
      <c r="V317">
        <v>2.4554941682013499E-3</v>
      </c>
      <c r="W317">
        <v>1160721.0863365601</v>
      </c>
      <c r="X317" t="s">
        <v>31</v>
      </c>
      <c r="Y317">
        <f>1-863-362-2452</f>
        <v>-3676</v>
      </c>
    </row>
    <row r="318" spans="1:25" x14ac:dyDescent="0.35">
      <c r="A318">
        <v>36.5966034122793</v>
      </c>
      <c r="B318">
        <v>-116.81218980787</v>
      </c>
      <c r="C318" t="s">
        <v>29</v>
      </c>
      <c r="D318">
        <v>41.273505382877197</v>
      </c>
      <c r="E318">
        <v>4</v>
      </c>
      <c r="F318">
        <v>4022</v>
      </c>
      <c r="G318">
        <v>4</v>
      </c>
      <c r="H318">
        <v>2</v>
      </c>
      <c r="I318">
        <v>2022</v>
      </c>
      <c r="J318">
        <v>0</v>
      </c>
      <c r="K318">
        <v>0</v>
      </c>
      <c r="L318">
        <v>1</v>
      </c>
      <c r="M318">
        <v>6</v>
      </c>
      <c r="N318" t="s">
        <v>37</v>
      </c>
      <c r="O318" t="s">
        <v>32</v>
      </c>
      <c r="P318">
        <v>6.5442341184034003</v>
      </c>
      <c r="Q318">
        <v>2.1692987443360501</v>
      </c>
      <c r="R318">
        <v>8.9723171484966695</v>
      </c>
      <c r="S318">
        <v>160</v>
      </c>
      <c r="T318">
        <v>75</v>
      </c>
      <c r="U318">
        <v>948.56761787441098</v>
      </c>
      <c r="V318">
        <v>1.4917951268025799E-3</v>
      </c>
      <c r="W318">
        <v>4176647.1367663299</v>
      </c>
      <c r="X318" t="s">
        <v>31</v>
      </c>
      <c r="Y318">
        <f>1-665-468-9730</f>
        <v>-10862</v>
      </c>
    </row>
    <row r="319" spans="1:25" x14ac:dyDescent="0.35">
      <c r="A319">
        <v>35.792268279599803</v>
      </c>
      <c r="B319">
        <v>-114.62418636586899</v>
      </c>
      <c r="C319" t="s">
        <v>29</v>
      </c>
      <c r="D319">
        <v>49.637652747984703</v>
      </c>
      <c r="E319">
        <v>0</v>
      </c>
      <c r="F319">
        <v>4665</v>
      </c>
      <c r="G319">
        <v>1</v>
      </c>
      <c r="H319">
        <v>2</v>
      </c>
      <c r="I319">
        <v>2002</v>
      </c>
      <c r="J319">
        <v>1</v>
      </c>
      <c r="K319">
        <v>0</v>
      </c>
      <c r="L319">
        <v>1</v>
      </c>
      <c r="M319">
        <v>6</v>
      </c>
      <c r="N319" t="s">
        <v>41</v>
      </c>
      <c r="O319" t="s">
        <v>32</v>
      </c>
      <c r="P319">
        <v>6.2850356557170297</v>
      </c>
      <c r="Q319">
        <v>1.34535331203505</v>
      </c>
      <c r="R319">
        <v>0.11426178905192701</v>
      </c>
      <c r="S319">
        <v>14</v>
      </c>
      <c r="T319">
        <v>26</v>
      </c>
      <c r="U319">
        <v>764.35645272248598</v>
      </c>
      <c r="V319">
        <v>1.2861736334405099E-3</v>
      </c>
      <c r="W319">
        <v>3846859.3485253998</v>
      </c>
      <c r="X319" t="s">
        <v>28</v>
      </c>
      <c r="Y319">
        <f>1-439-325-1096</f>
        <v>-1859</v>
      </c>
    </row>
    <row r="320" spans="1:25" x14ac:dyDescent="0.35">
      <c r="A320">
        <v>35.523009949084603</v>
      </c>
      <c r="B320">
        <v>-117.531726485823</v>
      </c>
      <c r="C320" t="s">
        <v>34</v>
      </c>
      <c r="D320">
        <v>38.962539468886099</v>
      </c>
      <c r="E320">
        <v>4</v>
      </c>
      <c r="F320">
        <v>1818</v>
      </c>
      <c r="G320">
        <v>3</v>
      </c>
      <c r="H320">
        <v>3</v>
      </c>
      <c r="I320">
        <v>1963</v>
      </c>
      <c r="J320">
        <v>1</v>
      </c>
      <c r="K320">
        <v>0</v>
      </c>
      <c r="L320">
        <v>0</v>
      </c>
      <c r="M320">
        <v>13</v>
      </c>
      <c r="N320" t="s">
        <v>35</v>
      </c>
      <c r="O320" t="s">
        <v>32</v>
      </c>
      <c r="P320">
        <v>2.8343385926848201</v>
      </c>
      <c r="Q320">
        <v>0.82984799847096302</v>
      </c>
      <c r="R320">
        <v>6.4374904822006398</v>
      </c>
      <c r="S320">
        <v>154</v>
      </c>
      <c r="T320">
        <v>25</v>
      </c>
      <c r="U320">
        <v>813.09211848315499</v>
      </c>
      <c r="V320">
        <v>7.1507150715071502E-3</v>
      </c>
      <c r="W320">
        <v>1597976.63427059</v>
      </c>
      <c r="X320" t="s">
        <v>28</v>
      </c>
      <c r="Y320">
        <f>1-443-530-2751</f>
        <v>-3723</v>
      </c>
    </row>
    <row r="321" spans="1:25" x14ac:dyDescent="0.35">
      <c r="A321">
        <v>40.701536992232398</v>
      </c>
      <c r="B321">
        <v>-122.928448015605</v>
      </c>
      <c r="C321" t="s">
        <v>34</v>
      </c>
      <c r="D321">
        <v>32.1843981165188</v>
      </c>
      <c r="E321">
        <v>9</v>
      </c>
      <c r="F321">
        <v>4123</v>
      </c>
      <c r="G321">
        <v>2</v>
      </c>
      <c r="H321">
        <v>2</v>
      </c>
      <c r="I321">
        <v>1983</v>
      </c>
      <c r="J321">
        <v>0</v>
      </c>
      <c r="K321">
        <v>0</v>
      </c>
      <c r="L321">
        <v>0</v>
      </c>
      <c r="M321">
        <v>5</v>
      </c>
      <c r="N321" t="s">
        <v>41</v>
      </c>
      <c r="O321" t="s">
        <v>27</v>
      </c>
      <c r="P321">
        <v>7.4809521657782998</v>
      </c>
      <c r="Q321">
        <v>1.7084471483788399</v>
      </c>
      <c r="R321">
        <v>3.2193353651718799</v>
      </c>
      <c r="S321">
        <v>152</v>
      </c>
      <c r="T321">
        <v>35</v>
      </c>
      <c r="U321">
        <v>981.62381828004095</v>
      </c>
      <c r="V321">
        <v>1.2127091923356699E-3</v>
      </c>
      <c r="W321">
        <v>4229512.2817665702</v>
      </c>
      <c r="X321" t="s">
        <v>39</v>
      </c>
      <c r="Y321">
        <f>1-361-117-4870</f>
        <v>-5347</v>
      </c>
    </row>
    <row r="322" spans="1:25" x14ac:dyDescent="0.35">
      <c r="A322">
        <v>41.670103613817503</v>
      </c>
      <c r="B322">
        <v>-114.41346175306499</v>
      </c>
      <c r="C322" t="s">
        <v>29</v>
      </c>
      <c r="D322">
        <v>2.40227880588469</v>
      </c>
      <c r="E322">
        <v>6</v>
      </c>
      <c r="F322">
        <v>3982</v>
      </c>
      <c r="G322">
        <v>2</v>
      </c>
      <c r="H322">
        <v>3</v>
      </c>
      <c r="I322">
        <v>1968</v>
      </c>
      <c r="J322">
        <v>0</v>
      </c>
      <c r="K322">
        <v>0</v>
      </c>
      <c r="L322">
        <v>0</v>
      </c>
      <c r="M322">
        <v>11</v>
      </c>
      <c r="N322" t="s">
        <v>41</v>
      </c>
      <c r="O322" t="s">
        <v>30</v>
      </c>
      <c r="P322">
        <v>7.9913890204941502</v>
      </c>
      <c r="Q322">
        <v>1.5096807640808401</v>
      </c>
      <c r="R322">
        <v>9.39619653615987</v>
      </c>
      <c r="S322">
        <v>14</v>
      </c>
      <c r="T322">
        <v>54</v>
      </c>
      <c r="U322">
        <v>333.27438288503799</v>
      </c>
      <c r="V322">
        <v>2.7624309392265101E-3</v>
      </c>
      <c r="W322">
        <v>1453214.56948909</v>
      </c>
      <c r="X322" t="s">
        <v>31</v>
      </c>
      <c r="Y322">
        <f>1-910-919-4040</f>
        <v>-5868</v>
      </c>
    </row>
    <row r="323" spans="1:25" x14ac:dyDescent="0.35">
      <c r="A323">
        <v>39.874185003708</v>
      </c>
      <c r="B323">
        <v>-122.610147958429</v>
      </c>
      <c r="C323" t="s">
        <v>29</v>
      </c>
      <c r="D323">
        <v>26.203970971699999</v>
      </c>
      <c r="E323">
        <v>9</v>
      </c>
      <c r="F323">
        <v>2707</v>
      </c>
      <c r="G323">
        <v>1</v>
      </c>
      <c r="H323">
        <v>1</v>
      </c>
      <c r="I323">
        <v>2007</v>
      </c>
      <c r="J323">
        <v>0</v>
      </c>
      <c r="K323">
        <v>1</v>
      </c>
      <c r="L323">
        <v>1</v>
      </c>
      <c r="M323">
        <v>13</v>
      </c>
      <c r="N323" t="s">
        <v>35</v>
      </c>
      <c r="O323" t="s">
        <v>30</v>
      </c>
      <c r="P323">
        <v>12.016799154871199</v>
      </c>
      <c r="Q323">
        <v>2.3812364749518902</v>
      </c>
      <c r="R323">
        <v>1.2202881966525301</v>
      </c>
      <c r="S323">
        <v>85</v>
      </c>
      <c r="T323">
        <v>32</v>
      </c>
      <c r="U323">
        <v>487.22763972084698</v>
      </c>
      <c r="V323">
        <v>4.8023642408570296E-3</v>
      </c>
      <c r="W323">
        <v>1621607.8910443201</v>
      </c>
      <c r="X323" t="s">
        <v>36</v>
      </c>
      <c r="Y323">
        <f>1-838-674-3735</f>
        <v>-5246</v>
      </c>
    </row>
    <row r="324" spans="1:25" x14ac:dyDescent="0.35">
      <c r="A324">
        <v>35.126377051188598</v>
      </c>
      <c r="B324">
        <v>-115.62365588894799</v>
      </c>
      <c r="C324" t="s">
        <v>25</v>
      </c>
      <c r="D324">
        <v>27.0487134036165</v>
      </c>
      <c r="E324">
        <v>7</v>
      </c>
      <c r="F324">
        <v>2001</v>
      </c>
      <c r="G324">
        <v>3</v>
      </c>
      <c r="H324">
        <v>2</v>
      </c>
      <c r="I324">
        <v>1950</v>
      </c>
      <c r="J324">
        <v>1</v>
      </c>
      <c r="K324">
        <v>0</v>
      </c>
      <c r="L324">
        <v>0</v>
      </c>
      <c r="M324">
        <v>10</v>
      </c>
      <c r="N324" t="s">
        <v>35</v>
      </c>
      <c r="O324" t="s">
        <v>30</v>
      </c>
      <c r="P324">
        <v>14.930312775851601</v>
      </c>
      <c r="Q324">
        <v>2.30290967873623</v>
      </c>
      <c r="R324">
        <v>5.1836991669180401</v>
      </c>
      <c r="S324">
        <v>47</v>
      </c>
      <c r="T324">
        <v>57</v>
      </c>
      <c r="U324">
        <v>673.76508884420502</v>
      </c>
      <c r="V324">
        <v>4.99750124937531E-3</v>
      </c>
      <c r="W324">
        <v>1564325.57024036</v>
      </c>
      <c r="X324" t="s">
        <v>40</v>
      </c>
      <c r="Y324">
        <f>1-551-975-1620</f>
        <v>-3145</v>
      </c>
    </row>
    <row r="325" spans="1:25" x14ac:dyDescent="0.35">
      <c r="A325">
        <v>34.3787962266872</v>
      </c>
      <c r="B325">
        <v>-124.433284663487</v>
      </c>
      <c r="C325" t="s">
        <v>29</v>
      </c>
      <c r="D325">
        <v>27.919097560468298</v>
      </c>
      <c r="E325">
        <v>8</v>
      </c>
      <c r="F325">
        <v>3528</v>
      </c>
      <c r="G325">
        <v>2</v>
      </c>
      <c r="H325">
        <v>3</v>
      </c>
      <c r="I325">
        <v>1999</v>
      </c>
      <c r="J325">
        <v>0</v>
      </c>
      <c r="K325">
        <v>1</v>
      </c>
      <c r="L325">
        <v>0</v>
      </c>
      <c r="M325">
        <v>5</v>
      </c>
      <c r="N325" t="s">
        <v>37</v>
      </c>
      <c r="O325" t="s">
        <v>30</v>
      </c>
      <c r="P325">
        <v>12.5629401160316</v>
      </c>
      <c r="Q325">
        <v>2.1618111217774398</v>
      </c>
      <c r="R325">
        <v>8.4856995140212508</v>
      </c>
      <c r="S325">
        <v>183</v>
      </c>
      <c r="T325">
        <v>43</v>
      </c>
      <c r="U325">
        <v>829.00941993041204</v>
      </c>
      <c r="V325">
        <v>1.4172335600906999E-3</v>
      </c>
      <c r="W325">
        <v>3215872.4998033298</v>
      </c>
      <c r="X325" t="s">
        <v>44</v>
      </c>
      <c r="Y325">
        <f>1-388-676-2957</f>
        <v>-4020</v>
      </c>
    </row>
    <row r="326" spans="1:25" x14ac:dyDescent="0.35">
      <c r="A326">
        <v>38.964388787114601</v>
      </c>
      <c r="B326">
        <v>-120.090775598951</v>
      </c>
      <c r="C326" t="s">
        <v>34</v>
      </c>
      <c r="D326">
        <v>39.466731685680699</v>
      </c>
      <c r="E326">
        <v>1</v>
      </c>
      <c r="F326">
        <v>3546</v>
      </c>
      <c r="G326">
        <v>1</v>
      </c>
      <c r="H326">
        <v>2</v>
      </c>
      <c r="I326">
        <v>1980</v>
      </c>
      <c r="J326">
        <v>1</v>
      </c>
      <c r="K326">
        <v>1</v>
      </c>
      <c r="L326">
        <v>1</v>
      </c>
      <c r="M326">
        <v>14</v>
      </c>
      <c r="N326" t="s">
        <v>41</v>
      </c>
      <c r="O326" t="s">
        <v>30</v>
      </c>
      <c r="P326">
        <v>5.3756176045242299</v>
      </c>
      <c r="Q326">
        <v>1.0928663204728799</v>
      </c>
      <c r="R326">
        <v>0.32025201488370603</v>
      </c>
      <c r="S326">
        <v>190</v>
      </c>
      <c r="T326">
        <v>39</v>
      </c>
      <c r="U326">
        <v>875.42376358839999</v>
      </c>
      <c r="V326">
        <v>3.9481105470953104E-3</v>
      </c>
      <c r="W326">
        <v>3261016.2496136902</v>
      </c>
      <c r="X326" t="s">
        <v>33</v>
      </c>
      <c r="Y326">
        <f>1-243-914-5879</f>
        <v>-7035</v>
      </c>
    </row>
    <row r="327" spans="1:25" x14ac:dyDescent="0.35">
      <c r="A327">
        <v>35.163155853861099</v>
      </c>
      <c r="B327">
        <v>-115.52083323366401</v>
      </c>
      <c r="C327" t="s">
        <v>34</v>
      </c>
      <c r="D327">
        <v>38.826509164861598</v>
      </c>
      <c r="E327">
        <v>0</v>
      </c>
      <c r="F327">
        <v>1247</v>
      </c>
      <c r="G327">
        <v>2</v>
      </c>
      <c r="H327">
        <v>2</v>
      </c>
      <c r="I327">
        <v>1989</v>
      </c>
      <c r="J327">
        <v>1</v>
      </c>
      <c r="K327">
        <v>0</v>
      </c>
      <c r="L327">
        <v>0</v>
      </c>
      <c r="M327">
        <v>2</v>
      </c>
      <c r="N327" t="s">
        <v>37</v>
      </c>
      <c r="O327" t="s">
        <v>32</v>
      </c>
      <c r="P327">
        <v>4.3754424086504198</v>
      </c>
      <c r="Q327">
        <v>1.3017838253115299</v>
      </c>
      <c r="R327">
        <v>8.55128677939698</v>
      </c>
      <c r="S327">
        <v>17</v>
      </c>
      <c r="T327">
        <v>38</v>
      </c>
      <c r="U327">
        <v>481.911151911221</v>
      </c>
      <c r="V327">
        <v>1.6038492381716099E-3</v>
      </c>
      <c r="W327">
        <v>813117.85884499503</v>
      </c>
      <c r="X327" t="s">
        <v>38</v>
      </c>
      <c r="Y327">
        <f>1-760-775-6649</f>
        <v>-8183</v>
      </c>
    </row>
    <row r="328" spans="1:25" x14ac:dyDescent="0.35">
      <c r="A328">
        <v>41.097180386193102</v>
      </c>
      <c r="B328">
        <v>-118.135069706473</v>
      </c>
      <c r="C328" t="s">
        <v>25</v>
      </c>
      <c r="D328">
        <v>30.5445288663756</v>
      </c>
      <c r="E328">
        <v>1</v>
      </c>
      <c r="F328">
        <v>4832</v>
      </c>
      <c r="G328">
        <v>3</v>
      </c>
      <c r="H328">
        <v>2</v>
      </c>
      <c r="I328">
        <v>2019</v>
      </c>
      <c r="J328">
        <v>0</v>
      </c>
      <c r="K328">
        <v>0</v>
      </c>
      <c r="L328">
        <v>0</v>
      </c>
      <c r="M328">
        <v>12</v>
      </c>
      <c r="N328" t="s">
        <v>41</v>
      </c>
      <c r="O328" t="s">
        <v>32</v>
      </c>
      <c r="P328">
        <v>4.9312485355630704</v>
      </c>
      <c r="Q328">
        <v>0.61036725894321897</v>
      </c>
      <c r="R328">
        <v>0.465021316415477</v>
      </c>
      <c r="S328">
        <v>59</v>
      </c>
      <c r="T328">
        <v>39</v>
      </c>
      <c r="U328">
        <v>824.67531610635206</v>
      </c>
      <c r="V328">
        <v>2.4834437086092699E-3</v>
      </c>
      <c r="W328">
        <v>4314588.8119985098</v>
      </c>
      <c r="X328" t="s">
        <v>43</v>
      </c>
      <c r="Y328">
        <f>1-480-791-5483</f>
        <v>-6753</v>
      </c>
    </row>
    <row r="329" spans="1:25" x14ac:dyDescent="0.35">
      <c r="A329">
        <v>34.341809440367498</v>
      </c>
      <c r="B329">
        <v>-123.708778480505</v>
      </c>
      <c r="C329" t="s">
        <v>25</v>
      </c>
      <c r="D329">
        <v>26.128076422680099</v>
      </c>
      <c r="E329">
        <v>8</v>
      </c>
      <c r="F329">
        <v>2068</v>
      </c>
      <c r="G329">
        <v>1</v>
      </c>
      <c r="H329">
        <v>3</v>
      </c>
      <c r="I329">
        <v>1995</v>
      </c>
      <c r="J329">
        <v>1</v>
      </c>
      <c r="K329">
        <v>0</v>
      </c>
      <c r="L329">
        <v>0</v>
      </c>
      <c r="M329">
        <v>5</v>
      </c>
      <c r="N329" t="s">
        <v>35</v>
      </c>
      <c r="O329" t="s">
        <v>32</v>
      </c>
      <c r="P329">
        <v>5.7286864454322997</v>
      </c>
      <c r="Q329">
        <v>2.1132735810894201</v>
      </c>
      <c r="R329">
        <v>2.5782875806201999</v>
      </c>
      <c r="S329">
        <v>110</v>
      </c>
      <c r="T329">
        <v>31</v>
      </c>
      <c r="U329">
        <v>284.87922099884599</v>
      </c>
      <c r="V329">
        <v>2.4177949709864601E-3</v>
      </c>
      <c r="W329">
        <v>795558.41459390195</v>
      </c>
      <c r="X329" t="s">
        <v>33</v>
      </c>
      <c r="Y329">
        <f>1-797-984-2613</f>
        <v>-4393</v>
      </c>
    </row>
    <row r="330" spans="1:25" x14ac:dyDescent="0.35">
      <c r="A330">
        <v>38.3560841680154</v>
      </c>
      <c r="B330">
        <v>-115.150669635702</v>
      </c>
      <c r="C330" t="s">
        <v>29</v>
      </c>
      <c r="D330">
        <v>37.3040805442484</v>
      </c>
      <c r="E330">
        <v>0</v>
      </c>
      <c r="F330">
        <v>2939</v>
      </c>
      <c r="G330">
        <v>1</v>
      </c>
      <c r="H330">
        <v>1</v>
      </c>
      <c r="I330">
        <v>1992</v>
      </c>
      <c r="J330">
        <v>1</v>
      </c>
      <c r="K330">
        <v>1</v>
      </c>
      <c r="L330">
        <v>1</v>
      </c>
      <c r="M330">
        <v>11</v>
      </c>
      <c r="N330" t="s">
        <v>35</v>
      </c>
      <c r="O330" t="s">
        <v>27</v>
      </c>
      <c r="P330">
        <v>8.8091197807532904</v>
      </c>
      <c r="Q330">
        <v>0.91735331612222204</v>
      </c>
      <c r="R330">
        <v>1.6716243281135601</v>
      </c>
      <c r="S330">
        <v>20</v>
      </c>
      <c r="T330">
        <v>25</v>
      </c>
      <c r="U330">
        <v>792.02619869164505</v>
      </c>
      <c r="V330">
        <v>3.7427696495406599E-3</v>
      </c>
      <c r="W330">
        <v>2499467.66348925</v>
      </c>
      <c r="X330" t="s">
        <v>44</v>
      </c>
      <c r="Y330">
        <f>1-567-636-8318</f>
        <v>-9520</v>
      </c>
    </row>
    <row r="331" spans="1:25" x14ac:dyDescent="0.35">
      <c r="A331">
        <v>33.466109638234201</v>
      </c>
      <c r="B331">
        <v>-124.379606955282</v>
      </c>
      <c r="C331" t="s">
        <v>34</v>
      </c>
      <c r="D331">
        <v>17.379488851450201</v>
      </c>
      <c r="E331">
        <v>6</v>
      </c>
      <c r="F331">
        <v>2520</v>
      </c>
      <c r="G331">
        <v>4</v>
      </c>
      <c r="H331">
        <v>3</v>
      </c>
      <c r="I331">
        <v>1981</v>
      </c>
      <c r="J331">
        <v>0</v>
      </c>
      <c r="K331">
        <v>0</v>
      </c>
      <c r="L331">
        <v>0</v>
      </c>
      <c r="M331">
        <v>10</v>
      </c>
      <c r="N331" t="s">
        <v>35</v>
      </c>
      <c r="O331" t="s">
        <v>27</v>
      </c>
      <c r="P331">
        <v>5.7954373795558496</v>
      </c>
      <c r="Q331">
        <v>1.51927390229686</v>
      </c>
      <c r="R331">
        <v>8.7948470563524292</v>
      </c>
      <c r="S331">
        <v>122</v>
      </c>
      <c r="T331">
        <v>71</v>
      </c>
      <c r="U331">
        <v>737.41031099014697</v>
      </c>
      <c r="V331">
        <v>3.9682539682539602E-3</v>
      </c>
      <c r="W331">
        <v>2086738.22457805</v>
      </c>
      <c r="X331" t="s">
        <v>42</v>
      </c>
      <c r="Y331">
        <f>1-536-907-1809</f>
        <v>-3251</v>
      </c>
    </row>
    <row r="332" spans="1:25" x14ac:dyDescent="0.35">
      <c r="A332">
        <v>39.688645227095201</v>
      </c>
      <c r="B332">
        <v>-118.963580858686</v>
      </c>
      <c r="C332" t="s">
        <v>34</v>
      </c>
      <c r="D332">
        <v>29.233023016111702</v>
      </c>
      <c r="E332">
        <v>5</v>
      </c>
      <c r="F332">
        <v>4765</v>
      </c>
      <c r="G332">
        <v>4</v>
      </c>
      <c r="H332">
        <v>3</v>
      </c>
      <c r="I332">
        <v>1952</v>
      </c>
      <c r="J332">
        <v>0</v>
      </c>
      <c r="K332">
        <v>0</v>
      </c>
      <c r="L332">
        <v>0</v>
      </c>
      <c r="M332">
        <v>3</v>
      </c>
      <c r="N332" t="s">
        <v>35</v>
      </c>
      <c r="O332" t="s">
        <v>30</v>
      </c>
      <c r="P332">
        <v>13.3945449116736</v>
      </c>
      <c r="Q332">
        <v>1.4986232648989199</v>
      </c>
      <c r="R332">
        <v>5.4859700200487804</v>
      </c>
      <c r="S332">
        <v>151</v>
      </c>
      <c r="T332">
        <v>29</v>
      </c>
      <c r="U332">
        <v>691.70503482151901</v>
      </c>
      <c r="V332">
        <v>6.2959076600209798E-4</v>
      </c>
      <c r="W332">
        <v>3647251.5870137899</v>
      </c>
      <c r="X332" t="s">
        <v>38</v>
      </c>
      <c r="Y332">
        <f>1-480-257-4346</f>
        <v>-5082</v>
      </c>
    </row>
    <row r="333" spans="1:25" x14ac:dyDescent="0.35">
      <c r="A333">
        <v>39.630725859932497</v>
      </c>
      <c r="B333">
        <v>-122.739756314272</v>
      </c>
      <c r="C333" t="s">
        <v>25</v>
      </c>
      <c r="D333">
        <v>43.738038706069602</v>
      </c>
      <c r="E333">
        <v>8</v>
      </c>
      <c r="F333">
        <v>1450</v>
      </c>
      <c r="G333">
        <v>1</v>
      </c>
      <c r="H333">
        <v>2</v>
      </c>
      <c r="I333">
        <v>1958</v>
      </c>
      <c r="J333">
        <v>0</v>
      </c>
      <c r="K333">
        <v>1</v>
      </c>
      <c r="L333">
        <v>0</v>
      </c>
      <c r="M333">
        <v>8</v>
      </c>
      <c r="N333" t="s">
        <v>35</v>
      </c>
      <c r="O333" t="s">
        <v>30</v>
      </c>
      <c r="P333">
        <v>9.7413912536504093</v>
      </c>
      <c r="Q333">
        <v>2.4447769714244401</v>
      </c>
      <c r="R333">
        <v>7.1522202185678898</v>
      </c>
      <c r="S333">
        <v>174</v>
      </c>
      <c r="T333">
        <v>38</v>
      </c>
      <c r="U333">
        <v>922.34928653854297</v>
      </c>
      <c r="V333">
        <v>5.5172413793103401E-3</v>
      </c>
      <c r="W333">
        <v>1480764.84748673</v>
      </c>
      <c r="X333" t="s">
        <v>42</v>
      </c>
      <c r="Y333">
        <f>1-687-431-2842</f>
        <v>-3959</v>
      </c>
    </row>
    <row r="334" spans="1:25" x14ac:dyDescent="0.35">
      <c r="A334">
        <v>38.953547633490601</v>
      </c>
      <c r="B334">
        <v>-115.23087551002099</v>
      </c>
      <c r="C334" t="s">
        <v>25</v>
      </c>
      <c r="D334">
        <v>47.432364881127903</v>
      </c>
      <c r="E334">
        <v>5</v>
      </c>
      <c r="F334">
        <v>4859</v>
      </c>
      <c r="G334">
        <v>4</v>
      </c>
      <c r="H334">
        <v>3</v>
      </c>
      <c r="I334">
        <v>1961</v>
      </c>
      <c r="J334">
        <v>0</v>
      </c>
      <c r="K334">
        <v>1</v>
      </c>
      <c r="L334">
        <v>1</v>
      </c>
      <c r="M334">
        <v>5</v>
      </c>
      <c r="N334" t="s">
        <v>41</v>
      </c>
      <c r="O334" t="s">
        <v>32</v>
      </c>
      <c r="P334">
        <v>8.2118885858533108</v>
      </c>
      <c r="Q334">
        <v>1.1001987051773501</v>
      </c>
      <c r="R334">
        <v>7.8891618265711001</v>
      </c>
      <c r="S334">
        <v>146</v>
      </c>
      <c r="T334">
        <v>38</v>
      </c>
      <c r="U334">
        <v>883.30680697862499</v>
      </c>
      <c r="V334">
        <v>1.02901831652603E-3</v>
      </c>
      <c r="W334">
        <v>4657406.8909868402</v>
      </c>
      <c r="X334" t="s">
        <v>40</v>
      </c>
      <c r="Y334">
        <f>1-299-590-7028</f>
        <v>-7916</v>
      </c>
    </row>
    <row r="335" spans="1:25" x14ac:dyDescent="0.35">
      <c r="A335">
        <v>41.636281833805398</v>
      </c>
      <c r="B335">
        <v>-116.464109728233</v>
      </c>
      <c r="C335" t="s">
        <v>25</v>
      </c>
      <c r="D335">
        <v>36.348215916715397</v>
      </c>
      <c r="E335">
        <v>7</v>
      </c>
      <c r="F335">
        <v>974</v>
      </c>
      <c r="G335">
        <v>1</v>
      </c>
      <c r="H335">
        <v>1</v>
      </c>
      <c r="I335">
        <v>1983</v>
      </c>
      <c r="J335">
        <v>0</v>
      </c>
      <c r="K335">
        <v>1</v>
      </c>
      <c r="L335">
        <v>1</v>
      </c>
      <c r="M335">
        <v>6</v>
      </c>
      <c r="N335" t="s">
        <v>26</v>
      </c>
      <c r="O335" t="s">
        <v>32</v>
      </c>
      <c r="P335">
        <v>3.8452192807453698</v>
      </c>
      <c r="Q335">
        <v>0.77888799130519004</v>
      </c>
      <c r="R335">
        <v>5.6564125998853498</v>
      </c>
      <c r="S335">
        <v>106</v>
      </c>
      <c r="T335">
        <v>75</v>
      </c>
      <c r="U335">
        <v>836.31450678228805</v>
      </c>
      <c r="V335">
        <v>6.1601642710472203E-3</v>
      </c>
      <c r="W335">
        <v>906113.94856065803</v>
      </c>
      <c r="X335" t="s">
        <v>40</v>
      </c>
      <c r="Y335">
        <f>1-718-784-7786</f>
        <v>-9287</v>
      </c>
    </row>
    <row r="336" spans="1:25" x14ac:dyDescent="0.35">
      <c r="A336">
        <v>40.454341485030902</v>
      </c>
      <c r="B336">
        <v>-124.319710253899</v>
      </c>
      <c r="C336" t="s">
        <v>25</v>
      </c>
      <c r="D336">
        <v>39.375460889439402</v>
      </c>
      <c r="E336">
        <v>3</v>
      </c>
      <c r="F336">
        <v>1349</v>
      </c>
      <c r="G336">
        <v>4</v>
      </c>
      <c r="H336">
        <v>1</v>
      </c>
      <c r="I336">
        <v>2021</v>
      </c>
      <c r="J336">
        <v>0</v>
      </c>
      <c r="K336">
        <v>1</v>
      </c>
      <c r="L336">
        <v>1</v>
      </c>
      <c r="M336">
        <v>3</v>
      </c>
      <c r="N336" t="s">
        <v>37</v>
      </c>
      <c r="O336" t="s">
        <v>32</v>
      </c>
      <c r="P336">
        <v>12.922345235896</v>
      </c>
      <c r="Q336">
        <v>1.1304793151515999</v>
      </c>
      <c r="R336">
        <v>6.9439434899837602</v>
      </c>
      <c r="S336">
        <v>97</v>
      </c>
      <c r="T336">
        <v>77</v>
      </c>
      <c r="U336">
        <v>555.17509916297297</v>
      </c>
      <c r="V336">
        <v>2.2238695329873902E-3</v>
      </c>
      <c r="W336">
        <v>1123299.1386939399</v>
      </c>
      <c r="X336" t="s">
        <v>43</v>
      </c>
      <c r="Y336">
        <f>1-239-139-3716</f>
        <v>-4093</v>
      </c>
    </row>
    <row r="337" spans="1:25" x14ac:dyDescent="0.35">
      <c r="A337">
        <v>40.771931484099198</v>
      </c>
      <c r="B337">
        <v>-117.511454568351</v>
      </c>
      <c r="C337" t="s">
        <v>29</v>
      </c>
      <c r="D337">
        <v>49.910906806718998</v>
      </c>
      <c r="E337">
        <v>3</v>
      </c>
      <c r="F337">
        <v>902</v>
      </c>
      <c r="G337">
        <v>1</v>
      </c>
      <c r="H337">
        <v>3</v>
      </c>
      <c r="I337">
        <v>2015</v>
      </c>
      <c r="J337">
        <v>0</v>
      </c>
      <c r="K337">
        <v>0</v>
      </c>
      <c r="L337">
        <v>0</v>
      </c>
      <c r="M337">
        <v>11</v>
      </c>
      <c r="N337" t="s">
        <v>35</v>
      </c>
      <c r="O337" t="s">
        <v>27</v>
      </c>
      <c r="P337">
        <v>5.6645508323452702</v>
      </c>
      <c r="Q337">
        <v>1.4513074671078099</v>
      </c>
      <c r="R337">
        <v>1.1898706801726799</v>
      </c>
      <c r="S337">
        <v>20</v>
      </c>
      <c r="T337">
        <v>51</v>
      </c>
      <c r="U337">
        <v>258.516784513733</v>
      </c>
      <c r="V337">
        <v>1.21951219512195E-2</v>
      </c>
      <c r="W337">
        <v>332476.60200282198</v>
      </c>
      <c r="X337" t="s">
        <v>31</v>
      </c>
      <c r="Y337">
        <f>1-269-704-6727</f>
        <v>-7699</v>
      </c>
    </row>
    <row r="338" spans="1:25" x14ac:dyDescent="0.35">
      <c r="A338">
        <v>40.679078493451499</v>
      </c>
      <c r="B338">
        <v>-118.602105636975</v>
      </c>
      <c r="C338" t="s">
        <v>34</v>
      </c>
      <c r="D338">
        <v>45.011616517080697</v>
      </c>
      <c r="E338">
        <v>8</v>
      </c>
      <c r="F338">
        <v>3607</v>
      </c>
      <c r="G338">
        <v>3</v>
      </c>
      <c r="H338">
        <v>3</v>
      </c>
      <c r="I338">
        <v>2003</v>
      </c>
      <c r="J338">
        <v>1</v>
      </c>
      <c r="K338">
        <v>1</v>
      </c>
      <c r="L338">
        <v>1</v>
      </c>
      <c r="M338">
        <v>14</v>
      </c>
      <c r="N338" t="s">
        <v>26</v>
      </c>
      <c r="O338" t="s">
        <v>32</v>
      </c>
      <c r="P338">
        <v>10.2250937841817</v>
      </c>
      <c r="Q338">
        <v>2.3931031640671399</v>
      </c>
      <c r="R338">
        <v>7.0262450279925703</v>
      </c>
      <c r="S338">
        <v>47</v>
      </c>
      <c r="T338">
        <v>41</v>
      </c>
      <c r="U338">
        <v>495.07260111111799</v>
      </c>
      <c r="V338">
        <v>3.8813418353202101E-3</v>
      </c>
      <c r="W338">
        <v>2168435.7760303598</v>
      </c>
      <c r="X338" t="s">
        <v>38</v>
      </c>
      <c r="Y338">
        <f>1-736-676-3261</f>
        <v>-4672</v>
      </c>
    </row>
    <row r="339" spans="1:25" x14ac:dyDescent="0.35">
      <c r="A339">
        <v>34.4353044174063</v>
      </c>
      <c r="B339">
        <v>-118.53723468224</v>
      </c>
      <c r="C339" t="s">
        <v>29</v>
      </c>
      <c r="D339">
        <v>27.0203720774341</v>
      </c>
      <c r="E339">
        <v>6</v>
      </c>
      <c r="F339">
        <v>4096</v>
      </c>
      <c r="G339">
        <v>4</v>
      </c>
      <c r="H339">
        <v>2</v>
      </c>
      <c r="I339">
        <v>2019</v>
      </c>
      <c r="J339">
        <v>0</v>
      </c>
      <c r="K339">
        <v>1</v>
      </c>
      <c r="L339">
        <v>1</v>
      </c>
      <c r="M339">
        <v>8</v>
      </c>
      <c r="N339" t="s">
        <v>37</v>
      </c>
      <c r="O339" t="s">
        <v>27</v>
      </c>
      <c r="P339">
        <v>4.2041333287820102</v>
      </c>
      <c r="Q339">
        <v>1.04938004929563</v>
      </c>
      <c r="R339">
        <v>6.5164468283152504</v>
      </c>
      <c r="S339">
        <v>179</v>
      </c>
      <c r="T339">
        <v>27</v>
      </c>
      <c r="U339">
        <v>488.63821926979898</v>
      </c>
      <c r="V339">
        <v>1.953125E-3</v>
      </c>
      <c r="W339">
        <v>2386766.8696100898</v>
      </c>
      <c r="X339" t="s">
        <v>28</v>
      </c>
      <c r="Y339">
        <f>1-323-643-5709</f>
        <v>-6674</v>
      </c>
    </row>
    <row r="340" spans="1:25" x14ac:dyDescent="0.35">
      <c r="A340">
        <v>39.8008221571042</v>
      </c>
      <c r="B340">
        <v>-122.757352095299</v>
      </c>
      <c r="C340" t="s">
        <v>34</v>
      </c>
      <c r="D340">
        <v>36.247578040129603</v>
      </c>
      <c r="E340">
        <v>0</v>
      </c>
      <c r="F340">
        <v>4703</v>
      </c>
      <c r="G340">
        <v>5</v>
      </c>
      <c r="H340">
        <v>3</v>
      </c>
      <c r="I340">
        <v>1950</v>
      </c>
      <c r="J340">
        <v>0</v>
      </c>
      <c r="K340">
        <v>0</v>
      </c>
      <c r="L340">
        <v>0</v>
      </c>
      <c r="M340">
        <v>8</v>
      </c>
      <c r="N340" t="s">
        <v>35</v>
      </c>
      <c r="O340" t="s">
        <v>30</v>
      </c>
      <c r="P340">
        <v>10.925307003319</v>
      </c>
      <c r="Q340">
        <v>0.53790298878527998</v>
      </c>
      <c r="R340">
        <v>7.2879662149229096</v>
      </c>
      <c r="S340">
        <v>94</v>
      </c>
      <c r="T340">
        <v>39</v>
      </c>
      <c r="U340">
        <v>984.88677849731198</v>
      </c>
      <c r="V340">
        <v>1.7010418881564899E-3</v>
      </c>
      <c r="W340">
        <v>4919354.9926529899</v>
      </c>
      <c r="X340" t="s">
        <v>38</v>
      </c>
      <c r="Y340">
        <f>1-273-614-5709</f>
        <v>-6595</v>
      </c>
    </row>
    <row r="341" spans="1:25" x14ac:dyDescent="0.35">
      <c r="A341">
        <v>41.714624376997698</v>
      </c>
      <c r="B341">
        <v>-116.53276504810501</v>
      </c>
      <c r="C341" t="s">
        <v>29</v>
      </c>
      <c r="D341">
        <v>13.8315455960129</v>
      </c>
      <c r="E341">
        <v>5</v>
      </c>
      <c r="F341">
        <v>4964</v>
      </c>
      <c r="G341">
        <v>4</v>
      </c>
      <c r="H341">
        <v>3</v>
      </c>
      <c r="I341">
        <v>1977</v>
      </c>
      <c r="J341">
        <v>1</v>
      </c>
      <c r="K341">
        <v>0</v>
      </c>
      <c r="L341">
        <v>0</v>
      </c>
      <c r="M341">
        <v>8</v>
      </c>
      <c r="N341" t="s">
        <v>37</v>
      </c>
      <c r="O341" t="s">
        <v>32</v>
      </c>
      <c r="P341">
        <v>3.0002146600550899</v>
      </c>
      <c r="Q341">
        <v>0.61349140271206304</v>
      </c>
      <c r="R341">
        <v>6.2849535825291598</v>
      </c>
      <c r="S341">
        <v>171</v>
      </c>
      <c r="T341">
        <v>58</v>
      </c>
      <c r="U341">
        <v>216.78186110090101</v>
      </c>
      <c r="V341">
        <v>1.6116035455278001E-3</v>
      </c>
      <c r="W341">
        <v>1435820.60391233</v>
      </c>
      <c r="X341" t="s">
        <v>31</v>
      </c>
      <c r="Y341">
        <f>1-663-955-7861</f>
        <v>-9478</v>
      </c>
    </row>
    <row r="342" spans="1:25" x14ac:dyDescent="0.35">
      <c r="A342">
        <v>39.382710384163502</v>
      </c>
      <c r="B342">
        <v>-117.614511829149</v>
      </c>
      <c r="C342" t="s">
        <v>29</v>
      </c>
      <c r="D342">
        <v>43.318379569211203</v>
      </c>
      <c r="E342">
        <v>5</v>
      </c>
      <c r="F342">
        <v>4149</v>
      </c>
      <c r="G342">
        <v>1</v>
      </c>
      <c r="H342">
        <v>2</v>
      </c>
      <c r="I342">
        <v>2014</v>
      </c>
      <c r="J342">
        <v>0</v>
      </c>
      <c r="K342">
        <v>0</v>
      </c>
      <c r="L342">
        <v>1</v>
      </c>
      <c r="M342">
        <v>4</v>
      </c>
      <c r="N342" t="s">
        <v>26</v>
      </c>
      <c r="O342" t="s">
        <v>27</v>
      </c>
      <c r="P342">
        <v>13.5694907916498</v>
      </c>
      <c r="Q342">
        <v>1.0594501997244901</v>
      </c>
      <c r="R342">
        <v>2.68644361540529</v>
      </c>
      <c r="S342">
        <v>22</v>
      </c>
      <c r="T342">
        <v>71</v>
      </c>
      <c r="U342">
        <v>243.56539218907801</v>
      </c>
      <c r="V342">
        <v>9.6408773198360998E-4</v>
      </c>
      <c r="W342">
        <v>1143664.8679597599</v>
      </c>
      <c r="X342" t="s">
        <v>36</v>
      </c>
      <c r="Y342">
        <f>1-470-172-3610</f>
        <v>-4251</v>
      </c>
    </row>
    <row r="343" spans="1:25" x14ac:dyDescent="0.35">
      <c r="A343">
        <v>34.564478822352299</v>
      </c>
      <c r="B343">
        <v>-121.640294000887</v>
      </c>
      <c r="C343" t="s">
        <v>29</v>
      </c>
      <c r="D343">
        <v>19.0303398850794</v>
      </c>
      <c r="E343">
        <v>4</v>
      </c>
      <c r="F343">
        <v>2032</v>
      </c>
      <c r="G343">
        <v>3</v>
      </c>
      <c r="H343">
        <v>2</v>
      </c>
      <c r="I343">
        <v>1956</v>
      </c>
      <c r="J343">
        <v>1</v>
      </c>
      <c r="K343">
        <v>1</v>
      </c>
      <c r="L343">
        <v>0</v>
      </c>
      <c r="M343">
        <v>8</v>
      </c>
      <c r="N343" t="s">
        <v>41</v>
      </c>
      <c r="O343" t="s">
        <v>30</v>
      </c>
      <c r="P343">
        <v>7.6014905379926603</v>
      </c>
      <c r="Q343">
        <v>2.1503670859660899</v>
      </c>
      <c r="R343">
        <v>1.2094838099016001</v>
      </c>
      <c r="S343">
        <v>153</v>
      </c>
      <c r="T343">
        <v>28</v>
      </c>
      <c r="U343">
        <v>444.10323900280702</v>
      </c>
      <c r="V343">
        <v>3.9370078740157402E-3</v>
      </c>
      <c r="W343">
        <v>1208428.0756763699</v>
      </c>
      <c r="X343" t="s">
        <v>42</v>
      </c>
      <c r="Y343">
        <f>1-821-425-1554</f>
        <v>-2799</v>
      </c>
    </row>
    <row r="344" spans="1:25" x14ac:dyDescent="0.35">
      <c r="A344">
        <v>33.775024617237598</v>
      </c>
      <c r="B344">
        <v>-123.19166112216701</v>
      </c>
      <c r="C344" t="s">
        <v>29</v>
      </c>
      <c r="D344">
        <v>1.7516084653258499</v>
      </c>
      <c r="E344">
        <v>2</v>
      </c>
      <c r="F344">
        <v>843</v>
      </c>
      <c r="G344">
        <v>1</v>
      </c>
      <c r="H344">
        <v>1</v>
      </c>
      <c r="I344">
        <v>1993</v>
      </c>
      <c r="J344">
        <v>0</v>
      </c>
      <c r="K344">
        <v>0</v>
      </c>
      <c r="L344">
        <v>1</v>
      </c>
      <c r="M344">
        <v>5</v>
      </c>
      <c r="N344" t="s">
        <v>35</v>
      </c>
      <c r="O344" t="s">
        <v>27</v>
      </c>
      <c r="P344">
        <v>10.9251257123536</v>
      </c>
      <c r="Q344">
        <v>1.0246809820253799</v>
      </c>
      <c r="R344">
        <v>7.8584562198309902</v>
      </c>
      <c r="S344">
        <v>173</v>
      </c>
      <c r="T344">
        <v>48</v>
      </c>
      <c r="U344">
        <v>999.29038734532503</v>
      </c>
      <c r="V344">
        <v>5.9311981020166004E-3</v>
      </c>
      <c r="W344">
        <v>951495.697936474</v>
      </c>
      <c r="X344" t="s">
        <v>31</v>
      </c>
      <c r="Y344">
        <f>1-613-461-6035</f>
        <v>-7108</v>
      </c>
    </row>
    <row r="345" spans="1:25" x14ac:dyDescent="0.35">
      <c r="A345">
        <v>34.146953989270102</v>
      </c>
      <c r="B345">
        <v>-120.80947997381701</v>
      </c>
      <c r="C345" t="s">
        <v>34</v>
      </c>
      <c r="D345">
        <v>43.443684399976</v>
      </c>
      <c r="E345">
        <v>9</v>
      </c>
      <c r="F345">
        <v>4237</v>
      </c>
      <c r="G345">
        <v>4</v>
      </c>
      <c r="H345">
        <v>2</v>
      </c>
      <c r="I345">
        <v>1991</v>
      </c>
      <c r="J345">
        <v>0</v>
      </c>
      <c r="K345">
        <v>0</v>
      </c>
      <c r="L345">
        <v>1</v>
      </c>
      <c r="M345">
        <v>3</v>
      </c>
      <c r="N345" t="s">
        <v>37</v>
      </c>
      <c r="O345" t="s">
        <v>27</v>
      </c>
      <c r="P345">
        <v>11.1892988788429</v>
      </c>
      <c r="Q345">
        <v>2.38215744920221</v>
      </c>
      <c r="R345">
        <v>9.07518266116627</v>
      </c>
      <c r="S345">
        <v>143</v>
      </c>
      <c r="T345">
        <v>37</v>
      </c>
      <c r="U345">
        <v>681.36135240521696</v>
      </c>
      <c r="V345">
        <v>7.0804814727401402E-4</v>
      </c>
      <c r="W345">
        <v>3133858.1657630098</v>
      </c>
      <c r="X345" t="s">
        <v>28</v>
      </c>
      <c r="Y345">
        <f>1-930-447-2132</f>
        <v>-3508</v>
      </c>
    </row>
    <row r="346" spans="1:25" x14ac:dyDescent="0.35">
      <c r="A346">
        <v>36.989120609613401</v>
      </c>
      <c r="B346">
        <v>-119.45688011238001</v>
      </c>
      <c r="C346" t="s">
        <v>29</v>
      </c>
      <c r="D346">
        <v>47.529971639405296</v>
      </c>
      <c r="E346">
        <v>9</v>
      </c>
      <c r="F346">
        <v>1835</v>
      </c>
      <c r="G346">
        <v>5</v>
      </c>
      <c r="H346">
        <v>3</v>
      </c>
      <c r="I346">
        <v>2009</v>
      </c>
      <c r="J346">
        <v>1</v>
      </c>
      <c r="K346">
        <v>1</v>
      </c>
      <c r="L346">
        <v>1</v>
      </c>
      <c r="M346">
        <v>14</v>
      </c>
      <c r="N346" t="s">
        <v>35</v>
      </c>
      <c r="O346" t="s">
        <v>27</v>
      </c>
      <c r="P346">
        <v>7.4832655107338502</v>
      </c>
      <c r="Q346">
        <v>2.1120385459183599</v>
      </c>
      <c r="R346">
        <v>3.5922911305737402</v>
      </c>
      <c r="S346">
        <v>88</v>
      </c>
      <c r="T346">
        <v>43</v>
      </c>
      <c r="U346">
        <v>358.44091532731699</v>
      </c>
      <c r="V346">
        <v>7.6294277929155304E-3</v>
      </c>
      <c r="W346">
        <v>1188914.5417816001</v>
      </c>
      <c r="X346" t="s">
        <v>31</v>
      </c>
      <c r="Y346">
        <f>1-551-129-5514</f>
        <v>-6193</v>
      </c>
    </row>
    <row r="347" spans="1:25" x14ac:dyDescent="0.35">
      <c r="A347">
        <v>40.035805570662397</v>
      </c>
      <c r="B347">
        <v>-123.018872511469</v>
      </c>
      <c r="C347" t="s">
        <v>25</v>
      </c>
      <c r="D347">
        <v>8.8619393751272</v>
      </c>
      <c r="E347">
        <v>7</v>
      </c>
      <c r="F347">
        <v>4715</v>
      </c>
      <c r="G347">
        <v>1</v>
      </c>
      <c r="H347">
        <v>3</v>
      </c>
      <c r="I347">
        <v>2021</v>
      </c>
      <c r="J347">
        <v>0</v>
      </c>
      <c r="K347">
        <v>1</v>
      </c>
      <c r="L347">
        <v>0</v>
      </c>
      <c r="M347">
        <v>3</v>
      </c>
      <c r="N347" t="s">
        <v>26</v>
      </c>
      <c r="O347" t="s">
        <v>27</v>
      </c>
      <c r="P347">
        <v>7.2956899402916999</v>
      </c>
      <c r="Q347">
        <v>1.3501569015736901</v>
      </c>
      <c r="R347">
        <v>9.5544481665779504</v>
      </c>
      <c r="S347">
        <v>87</v>
      </c>
      <c r="T347">
        <v>48</v>
      </c>
      <c r="U347">
        <v>716.08018113709795</v>
      </c>
      <c r="V347">
        <v>6.3626723223753903E-4</v>
      </c>
      <c r="W347">
        <v>3630034.9592579198</v>
      </c>
      <c r="X347" t="s">
        <v>28</v>
      </c>
      <c r="Y347">
        <f>1-204-786-7825</f>
        <v>-8814</v>
      </c>
    </row>
    <row r="348" spans="1:25" x14ac:dyDescent="0.35">
      <c r="A348">
        <v>37.452592184338897</v>
      </c>
      <c r="B348">
        <v>-114.86418689811001</v>
      </c>
      <c r="C348" t="s">
        <v>25</v>
      </c>
      <c r="D348">
        <v>49.502670738183397</v>
      </c>
      <c r="E348">
        <v>1</v>
      </c>
      <c r="F348">
        <v>1753</v>
      </c>
      <c r="G348">
        <v>3</v>
      </c>
      <c r="H348">
        <v>1</v>
      </c>
      <c r="I348">
        <v>1985</v>
      </c>
      <c r="J348">
        <v>0</v>
      </c>
      <c r="K348">
        <v>1</v>
      </c>
      <c r="L348">
        <v>1</v>
      </c>
      <c r="M348">
        <v>10</v>
      </c>
      <c r="N348" t="s">
        <v>26</v>
      </c>
      <c r="O348" t="s">
        <v>30</v>
      </c>
      <c r="P348">
        <v>13.9840828306608</v>
      </c>
      <c r="Q348">
        <v>2.1070842587955201</v>
      </c>
      <c r="R348">
        <v>7.91223626494555</v>
      </c>
      <c r="S348">
        <v>29</v>
      </c>
      <c r="T348">
        <v>46</v>
      </c>
      <c r="U348">
        <v>814.49021194834495</v>
      </c>
      <c r="V348">
        <v>5.7045065601825399E-3</v>
      </c>
      <c r="W348">
        <v>1732725.31925186</v>
      </c>
      <c r="X348" t="s">
        <v>42</v>
      </c>
      <c r="Y348">
        <f>1-405-732-1034</f>
        <v>-2170</v>
      </c>
    </row>
    <row r="349" spans="1:25" x14ac:dyDescent="0.35">
      <c r="A349">
        <v>33.865521507225402</v>
      </c>
      <c r="B349">
        <v>-122.964547373345</v>
      </c>
      <c r="C349" t="s">
        <v>34</v>
      </c>
      <c r="D349">
        <v>11.8044043626358</v>
      </c>
      <c r="E349">
        <v>1</v>
      </c>
      <c r="F349">
        <v>688</v>
      </c>
      <c r="G349">
        <v>5</v>
      </c>
      <c r="H349">
        <v>1</v>
      </c>
      <c r="I349">
        <v>1961</v>
      </c>
      <c r="J349">
        <v>0</v>
      </c>
      <c r="K349">
        <v>1</v>
      </c>
      <c r="L349">
        <v>1</v>
      </c>
      <c r="M349">
        <v>5</v>
      </c>
      <c r="N349" t="s">
        <v>37</v>
      </c>
      <c r="O349" t="s">
        <v>30</v>
      </c>
      <c r="P349">
        <v>12.7549386966858</v>
      </c>
      <c r="Q349">
        <v>2.4813214190281401</v>
      </c>
      <c r="R349">
        <v>9.80741744956409</v>
      </c>
      <c r="S349">
        <v>79</v>
      </c>
      <c r="T349">
        <v>21</v>
      </c>
      <c r="U349">
        <v>519.784732858334</v>
      </c>
      <c r="V349">
        <v>7.2674418604651101E-3</v>
      </c>
      <c r="W349">
        <v>710092.02166677301</v>
      </c>
      <c r="X349" t="s">
        <v>44</v>
      </c>
      <c r="Y349">
        <f>1-316-710-7711</f>
        <v>-8736</v>
      </c>
    </row>
    <row r="350" spans="1:25" x14ac:dyDescent="0.35">
      <c r="A350">
        <v>38.400299016561704</v>
      </c>
      <c r="B350">
        <v>-123.92581762187</v>
      </c>
      <c r="C350" t="s">
        <v>25</v>
      </c>
      <c r="D350">
        <v>13.605807734455199</v>
      </c>
      <c r="E350">
        <v>1</v>
      </c>
      <c r="F350">
        <v>931</v>
      </c>
      <c r="G350">
        <v>5</v>
      </c>
      <c r="H350">
        <v>2</v>
      </c>
      <c r="I350">
        <v>1996</v>
      </c>
      <c r="J350">
        <v>1</v>
      </c>
      <c r="K350">
        <v>1</v>
      </c>
      <c r="L350">
        <v>0</v>
      </c>
      <c r="M350">
        <v>8</v>
      </c>
      <c r="N350" t="s">
        <v>26</v>
      </c>
      <c r="O350" t="s">
        <v>27</v>
      </c>
      <c r="P350">
        <v>7.1895567276141801</v>
      </c>
      <c r="Q350">
        <v>0.86493596970253295</v>
      </c>
      <c r="R350">
        <v>2.8075243607483098</v>
      </c>
      <c r="S350">
        <v>35</v>
      </c>
      <c r="T350">
        <v>30</v>
      </c>
      <c r="U350">
        <v>409.18207207641098</v>
      </c>
      <c r="V350">
        <v>8.5929108485499409E-3</v>
      </c>
      <c r="W350">
        <v>923475.23634496902</v>
      </c>
      <c r="X350" t="s">
        <v>40</v>
      </c>
      <c r="Y350">
        <f>1-433-347-5311</f>
        <v>-6090</v>
      </c>
    </row>
    <row r="351" spans="1:25" x14ac:dyDescent="0.35">
      <c r="A351">
        <v>41.137417683636599</v>
      </c>
      <c r="B351">
        <v>-120.555991264222</v>
      </c>
      <c r="C351" t="s">
        <v>29</v>
      </c>
      <c r="D351">
        <v>39.069625076848901</v>
      </c>
      <c r="E351">
        <v>4</v>
      </c>
      <c r="F351">
        <v>4200</v>
      </c>
      <c r="G351">
        <v>4</v>
      </c>
      <c r="H351">
        <v>2</v>
      </c>
      <c r="I351">
        <v>1991</v>
      </c>
      <c r="J351">
        <v>0</v>
      </c>
      <c r="K351">
        <v>0</v>
      </c>
      <c r="L351">
        <v>0</v>
      </c>
      <c r="M351">
        <v>4</v>
      </c>
      <c r="N351" t="s">
        <v>37</v>
      </c>
      <c r="O351" t="s">
        <v>30</v>
      </c>
      <c r="P351">
        <v>13.833239977753699</v>
      </c>
      <c r="Q351">
        <v>2.0215379219971901</v>
      </c>
      <c r="R351">
        <v>2.4044610322445399</v>
      </c>
      <c r="S351">
        <v>133</v>
      </c>
      <c r="T351">
        <v>54</v>
      </c>
      <c r="U351">
        <v>797.83942720882601</v>
      </c>
      <c r="V351">
        <v>9.5238095238095195E-4</v>
      </c>
      <c r="W351">
        <v>3605255.93579693</v>
      </c>
      <c r="X351" t="s">
        <v>38</v>
      </c>
      <c r="Y351">
        <f>1-256-707-3895</f>
        <v>-4857</v>
      </c>
    </row>
    <row r="352" spans="1:25" x14ac:dyDescent="0.35">
      <c r="A352">
        <v>40.481000809680999</v>
      </c>
      <c r="B352">
        <v>-114.77096007075301</v>
      </c>
      <c r="C352" t="s">
        <v>29</v>
      </c>
      <c r="D352">
        <v>21.741660676538501</v>
      </c>
      <c r="E352">
        <v>0</v>
      </c>
      <c r="F352">
        <v>4644</v>
      </c>
      <c r="G352">
        <v>3</v>
      </c>
      <c r="H352">
        <v>1</v>
      </c>
      <c r="I352">
        <v>1959</v>
      </c>
      <c r="J352">
        <v>1</v>
      </c>
      <c r="K352">
        <v>1</v>
      </c>
      <c r="L352">
        <v>1</v>
      </c>
      <c r="M352">
        <v>7</v>
      </c>
      <c r="N352" t="s">
        <v>41</v>
      </c>
      <c r="O352" t="s">
        <v>27</v>
      </c>
      <c r="P352">
        <v>5.8839817125831004</v>
      </c>
      <c r="Q352">
        <v>1.80069972657198</v>
      </c>
      <c r="R352">
        <v>5.6819066663997297</v>
      </c>
      <c r="S352">
        <v>185</v>
      </c>
      <c r="T352">
        <v>41</v>
      </c>
      <c r="U352">
        <v>561.51843129405302</v>
      </c>
      <c r="V352">
        <v>1.5073212747631301E-3</v>
      </c>
      <c r="W352">
        <v>2862540.8526921999</v>
      </c>
      <c r="X352" t="s">
        <v>33</v>
      </c>
      <c r="Y352">
        <f>1-297-941-9735</f>
        <v>-10972</v>
      </c>
    </row>
    <row r="353" spans="1:25" x14ac:dyDescent="0.35">
      <c r="A353">
        <v>33.774385589372599</v>
      </c>
      <c r="B353">
        <v>-123.872247629827</v>
      </c>
      <c r="C353" t="s">
        <v>34</v>
      </c>
      <c r="D353">
        <v>6.9939388142829699</v>
      </c>
      <c r="E353">
        <v>2</v>
      </c>
      <c r="F353">
        <v>1652</v>
      </c>
      <c r="G353">
        <v>2</v>
      </c>
      <c r="H353">
        <v>2</v>
      </c>
      <c r="I353">
        <v>2017</v>
      </c>
      <c r="J353">
        <v>0</v>
      </c>
      <c r="K353">
        <v>0</v>
      </c>
      <c r="L353">
        <v>0</v>
      </c>
      <c r="M353">
        <v>5</v>
      </c>
      <c r="N353" t="s">
        <v>37</v>
      </c>
      <c r="O353" t="s">
        <v>30</v>
      </c>
      <c r="P353">
        <v>10.711643206269899</v>
      </c>
      <c r="Q353">
        <v>0.954152824581875</v>
      </c>
      <c r="R353">
        <v>3.5757996152972402</v>
      </c>
      <c r="S353">
        <v>82</v>
      </c>
      <c r="T353">
        <v>60</v>
      </c>
      <c r="U353">
        <v>845.24343846046895</v>
      </c>
      <c r="V353">
        <v>3.0266343825665798E-3</v>
      </c>
      <c r="W353">
        <v>1595382.6067092</v>
      </c>
      <c r="X353" t="s">
        <v>43</v>
      </c>
      <c r="Y353">
        <f>1-245-138-8386</f>
        <v>-8768</v>
      </c>
    </row>
    <row r="354" spans="1:25" x14ac:dyDescent="0.35">
      <c r="A354">
        <v>34.437304732022703</v>
      </c>
      <c r="B354">
        <v>-117.02374553005301</v>
      </c>
      <c r="C354" t="s">
        <v>29</v>
      </c>
      <c r="D354">
        <v>22.5739636297271</v>
      </c>
      <c r="E354">
        <v>8</v>
      </c>
      <c r="F354">
        <v>2632</v>
      </c>
      <c r="G354">
        <v>1</v>
      </c>
      <c r="H354">
        <v>2</v>
      </c>
      <c r="I354">
        <v>1978</v>
      </c>
      <c r="J354">
        <v>0</v>
      </c>
      <c r="K354">
        <v>1</v>
      </c>
      <c r="L354">
        <v>0</v>
      </c>
      <c r="M354">
        <v>11</v>
      </c>
      <c r="N354" t="s">
        <v>41</v>
      </c>
      <c r="O354" t="s">
        <v>30</v>
      </c>
      <c r="P354">
        <v>10.991079353903</v>
      </c>
      <c r="Q354">
        <v>1.2382204614890899</v>
      </c>
      <c r="R354">
        <v>1.85436230796197</v>
      </c>
      <c r="S354">
        <v>175</v>
      </c>
      <c r="T354">
        <v>25</v>
      </c>
      <c r="U354">
        <v>764.92135242271002</v>
      </c>
      <c r="V354">
        <v>4.1793313069908803E-3</v>
      </c>
      <c r="W354">
        <v>2148398.7271113698</v>
      </c>
      <c r="X354" t="s">
        <v>42</v>
      </c>
      <c r="Y354">
        <f>1-293-224-3514</f>
        <v>-4030</v>
      </c>
    </row>
    <row r="355" spans="1:25" x14ac:dyDescent="0.35">
      <c r="A355">
        <v>36.039414922068403</v>
      </c>
      <c r="B355">
        <v>-124.195641613635</v>
      </c>
      <c r="C355" t="s">
        <v>29</v>
      </c>
      <c r="D355">
        <v>21.635935862921801</v>
      </c>
      <c r="E355">
        <v>2</v>
      </c>
      <c r="F355">
        <v>3897</v>
      </c>
      <c r="G355">
        <v>3</v>
      </c>
      <c r="H355">
        <v>2</v>
      </c>
      <c r="I355">
        <v>2009</v>
      </c>
      <c r="J355">
        <v>1</v>
      </c>
      <c r="K355">
        <v>0</v>
      </c>
      <c r="L355">
        <v>1</v>
      </c>
      <c r="M355">
        <v>9</v>
      </c>
      <c r="N355" t="s">
        <v>35</v>
      </c>
      <c r="O355" t="s">
        <v>32</v>
      </c>
      <c r="P355">
        <v>3.8868569283446099</v>
      </c>
      <c r="Q355">
        <v>0.89994120813495004</v>
      </c>
      <c r="R355">
        <v>2.1932202588999701</v>
      </c>
      <c r="S355">
        <v>132</v>
      </c>
      <c r="T355">
        <v>72</v>
      </c>
      <c r="U355">
        <v>297.09488186410903</v>
      </c>
      <c r="V355">
        <v>2.3094688221708998E-3</v>
      </c>
      <c r="W355">
        <v>1440251.4870007201</v>
      </c>
      <c r="X355" t="s">
        <v>42</v>
      </c>
      <c r="Y355">
        <f>1-918-955-3369</f>
        <v>-5241</v>
      </c>
    </row>
    <row r="356" spans="1:25" x14ac:dyDescent="0.35">
      <c r="A356">
        <v>41.166121011487903</v>
      </c>
      <c r="B356">
        <v>-123.790642843615</v>
      </c>
      <c r="C356" t="s">
        <v>25</v>
      </c>
      <c r="D356">
        <v>13.5762264058668</v>
      </c>
      <c r="E356">
        <v>2</v>
      </c>
      <c r="F356">
        <v>4727</v>
      </c>
      <c r="G356">
        <v>4</v>
      </c>
      <c r="H356">
        <v>3</v>
      </c>
      <c r="I356">
        <v>2007</v>
      </c>
      <c r="J356">
        <v>0</v>
      </c>
      <c r="K356">
        <v>1</v>
      </c>
      <c r="L356">
        <v>1</v>
      </c>
      <c r="M356">
        <v>11</v>
      </c>
      <c r="N356" t="s">
        <v>26</v>
      </c>
      <c r="O356" t="s">
        <v>30</v>
      </c>
      <c r="P356">
        <v>7.0994520190869803</v>
      </c>
      <c r="Q356">
        <v>1.95182242590711</v>
      </c>
      <c r="R356">
        <v>7.5974712560248596</v>
      </c>
      <c r="S356">
        <v>50</v>
      </c>
      <c r="T356">
        <v>30</v>
      </c>
      <c r="U356">
        <v>644.72118145759202</v>
      </c>
      <c r="V356">
        <v>2.3270573302305898E-3</v>
      </c>
      <c r="W356">
        <v>3388491.7044957802</v>
      </c>
      <c r="X356" t="s">
        <v>39</v>
      </c>
      <c r="Y356">
        <f>1-668-589-9096</f>
        <v>-10352</v>
      </c>
    </row>
    <row r="357" spans="1:25" x14ac:dyDescent="0.35">
      <c r="A357">
        <v>32.841075329670602</v>
      </c>
      <c r="B357">
        <v>-117.80333244103799</v>
      </c>
      <c r="C357" t="s">
        <v>29</v>
      </c>
      <c r="D357">
        <v>12.4511063106776</v>
      </c>
      <c r="E357">
        <v>1</v>
      </c>
      <c r="F357">
        <v>1266</v>
      </c>
      <c r="G357">
        <v>1</v>
      </c>
      <c r="H357">
        <v>2</v>
      </c>
      <c r="I357">
        <v>1979</v>
      </c>
      <c r="J357">
        <v>1</v>
      </c>
      <c r="K357">
        <v>0</v>
      </c>
      <c r="L357">
        <v>0</v>
      </c>
      <c r="M357">
        <v>3</v>
      </c>
      <c r="N357" t="s">
        <v>26</v>
      </c>
      <c r="O357" t="s">
        <v>27</v>
      </c>
      <c r="P357">
        <v>3.5101639435986201</v>
      </c>
      <c r="Q357">
        <v>0.97016180206966995</v>
      </c>
      <c r="R357">
        <v>6.5276240459549602</v>
      </c>
      <c r="S357">
        <v>23</v>
      </c>
      <c r="T357">
        <v>71</v>
      </c>
      <c r="U357">
        <v>397.59853152811502</v>
      </c>
      <c r="V357">
        <v>2.36966824644549E-3</v>
      </c>
      <c r="W357">
        <v>572699.83514699806</v>
      </c>
      <c r="X357" t="s">
        <v>33</v>
      </c>
      <c r="Y357">
        <f>1-893-925-8303</f>
        <v>-10120</v>
      </c>
    </row>
    <row r="358" spans="1:25" x14ac:dyDescent="0.35">
      <c r="A358">
        <v>36.078177997728801</v>
      </c>
      <c r="B358">
        <v>-119.63651565965699</v>
      </c>
      <c r="C358" t="s">
        <v>34</v>
      </c>
      <c r="D358">
        <v>29.3359297188181</v>
      </c>
      <c r="E358">
        <v>0</v>
      </c>
      <c r="F358">
        <v>2343</v>
      </c>
      <c r="G358">
        <v>3</v>
      </c>
      <c r="H358">
        <v>3</v>
      </c>
      <c r="I358">
        <v>1974</v>
      </c>
      <c r="J358">
        <v>1</v>
      </c>
      <c r="K358">
        <v>0</v>
      </c>
      <c r="L358">
        <v>0</v>
      </c>
      <c r="M358">
        <v>8</v>
      </c>
      <c r="N358" t="s">
        <v>41</v>
      </c>
      <c r="O358" t="s">
        <v>30</v>
      </c>
      <c r="P358">
        <v>4.24645355596504</v>
      </c>
      <c r="Q358">
        <v>0.58765978146735698</v>
      </c>
      <c r="R358">
        <v>8.49823746926808</v>
      </c>
      <c r="S358">
        <v>25</v>
      </c>
      <c r="T358">
        <v>68</v>
      </c>
      <c r="U358">
        <v>998.04124464665097</v>
      </c>
      <c r="V358">
        <v>3.41442594963721E-3</v>
      </c>
      <c r="W358">
        <v>2586645.6400326798</v>
      </c>
      <c r="X358" t="s">
        <v>38</v>
      </c>
      <c r="Y358">
        <f>1-586-797-4367</f>
        <v>-5749</v>
      </c>
    </row>
    <row r="359" spans="1:25" x14ac:dyDescent="0.35">
      <c r="A359">
        <v>35.225894967778103</v>
      </c>
      <c r="B359">
        <v>-122.419035749139</v>
      </c>
      <c r="C359" t="s">
        <v>29</v>
      </c>
      <c r="D359">
        <v>18.201136034131501</v>
      </c>
      <c r="E359">
        <v>2</v>
      </c>
      <c r="F359">
        <v>1403</v>
      </c>
      <c r="G359">
        <v>1</v>
      </c>
      <c r="H359">
        <v>3</v>
      </c>
      <c r="I359">
        <v>1985</v>
      </c>
      <c r="J359">
        <v>1</v>
      </c>
      <c r="K359">
        <v>1</v>
      </c>
      <c r="L359">
        <v>0</v>
      </c>
      <c r="M359">
        <v>8</v>
      </c>
      <c r="N359" t="s">
        <v>37</v>
      </c>
      <c r="O359" t="s">
        <v>30</v>
      </c>
      <c r="P359">
        <v>8.760923691636</v>
      </c>
      <c r="Q359">
        <v>0.938419508498192</v>
      </c>
      <c r="R359">
        <v>2.0158939176255699</v>
      </c>
      <c r="S359">
        <v>47</v>
      </c>
      <c r="T359">
        <v>47</v>
      </c>
      <c r="U359">
        <v>804.37471276088695</v>
      </c>
      <c r="V359">
        <v>5.7020669992872402E-3</v>
      </c>
      <c r="W359">
        <v>1448841.74655631</v>
      </c>
      <c r="X359" t="s">
        <v>42</v>
      </c>
      <c r="Y359">
        <f>1-747-540-3592</f>
        <v>-4878</v>
      </c>
    </row>
    <row r="360" spans="1:25" x14ac:dyDescent="0.35">
      <c r="A360">
        <v>40.183508877351898</v>
      </c>
      <c r="B360">
        <v>-119.18664775421099</v>
      </c>
      <c r="C360" t="s">
        <v>34</v>
      </c>
      <c r="D360">
        <v>46.7826023409622</v>
      </c>
      <c r="E360">
        <v>0</v>
      </c>
      <c r="F360">
        <v>4864</v>
      </c>
      <c r="G360">
        <v>5</v>
      </c>
      <c r="H360">
        <v>2</v>
      </c>
      <c r="I360">
        <v>2010</v>
      </c>
      <c r="J360">
        <v>0</v>
      </c>
      <c r="K360">
        <v>0</v>
      </c>
      <c r="L360">
        <v>1</v>
      </c>
      <c r="M360">
        <v>10</v>
      </c>
      <c r="N360" t="s">
        <v>37</v>
      </c>
      <c r="O360" t="s">
        <v>30</v>
      </c>
      <c r="P360">
        <v>6.48328581963918</v>
      </c>
      <c r="Q360">
        <v>2.4352693681761899</v>
      </c>
      <c r="R360">
        <v>2.0842213107955101</v>
      </c>
      <c r="S360">
        <v>38</v>
      </c>
      <c r="T360">
        <v>24</v>
      </c>
      <c r="U360">
        <v>600.25942561104796</v>
      </c>
      <c r="V360">
        <v>2.0559210526315702E-3</v>
      </c>
      <c r="W360">
        <v>3272880.9521778701</v>
      </c>
      <c r="X360" t="s">
        <v>36</v>
      </c>
      <c r="Y360">
        <f>1-810-194-8926</f>
        <v>-9929</v>
      </c>
    </row>
    <row r="361" spans="1:25" x14ac:dyDescent="0.35">
      <c r="A361">
        <v>40.4750403624504</v>
      </c>
      <c r="B361">
        <v>-118.582485054877</v>
      </c>
      <c r="C361" t="s">
        <v>34</v>
      </c>
      <c r="D361">
        <v>32.147976577762797</v>
      </c>
      <c r="E361">
        <v>9</v>
      </c>
      <c r="F361">
        <v>4780</v>
      </c>
      <c r="G361">
        <v>4</v>
      </c>
      <c r="H361">
        <v>3</v>
      </c>
      <c r="I361">
        <v>2004</v>
      </c>
      <c r="J361">
        <v>0</v>
      </c>
      <c r="K361">
        <v>1</v>
      </c>
      <c r="L361">
        <v>0</v>
      </c>
      <c r="M361">
        <v>8</v>
      </c>
      <c r="N361" t="s">
        <v>26</v>
      </c>
      <c r="O361" t="s">
        <v>32</v>
      </c>
      <c r="P361">
        <v>13.756839666661801</v>
      </c>
      <c r="Q361">
        <v>1.99311253428561</v>
      </c>
      <c r="R361">
        <v>9.3211002741816902</v>
      </c>
      <c r="S361">
        <v>60</v>
      </c>
      <c r="T361">
        <v>47</v>
      </c>
      <c r="U361">
        <v>876.22893797220399</v>
      </c>
      <c r="V361">
        <v>1.6736401673640099E-3</v>
      </c>
      <c r="W361">
        <v>4573580.0915999599</v>
      </c>
      <c r="X361" t="s">
        <v>36</v>
      </c>
      <c r="Y361">
        <f>1-882-717-3319</f>
        <v>-4917</v>
      </c>
    </row>
    <row r="362" spans="1:25" x14ac:dyDescent="0.35">
      <c r="A362">
        <v>38.048740030119497</v>
      </c>
      <c r="B362">
        <v>-123.056237167741</v>
      </c>
      <c r="C362" t="s">
        <v>34</v>
      </c>
      <c r="D362">
        <v>16.238604933056401</v>
      </c>
      <c r="E362">
        <v>7</v>
      </c>
      <c r="F362">
        <v>2276</v>
      </c>
      <c r="G362">
        <v>4</v>
      </c>
      <c r="H362">
        <v>2</v>
      </c>
      <c r="I362">
        <v>2007</v>
      </c>
      <c r="J362">
        <v>1</v>
      </c>
      <c r="K362">
        <v>1</v>
      </c>
      <c r="L362">
        <v>1</v>
      </c>
      <c r="M362">
        <v>9</v>
      </c>
      <c r="N362" t="s">
        <v>37</v>
      </c>
      <c r="O362" t="s">
        <v>30</v>
      </c>
      <c r="P362">
        <v>4.5648042691268804</v>
      </c>
      <c r="Q362">
        <v>2.3559158297332301</v>
      </c>
      <c r="R362">
        <v>7.7373125415853101</v>
      </c>
      <c r="S362">
        <v>165</v>
      </c>
      <c r="T362">
        <v>25</v>
      </c>
      <c r="U362">
        <v>268.96467483782499</v>
      </c>
      <c r="V362">
        <v>3.9543057996485002E-3</v>
      </c>
      <c r="W362">
        <v>1023708.5072645</v>
      </c>
      <c r="X362" t="s">
        <v>28</v>
      </c>
      <c r="Y362">
        <f>1-899-472-4034</f>
        <v>-5404</v>
      </c>
    </row>
    <row r="363" spans="1:25" x14ac:dyDescent="0.35">
      <c r="A363">
        <v>32.598033851043503</v>
      </c>
      <c r="B363">
        <v>-114.52388674543499</v>
      </c>
      <c r="C363" t="s">
        <v>25</v>
      </c>
      <c r="D363">
        <v>34.3791507488558</v>
      </c>
      <c r="E363">
        <v>3</v>
      </c>
      <c r="F363">
        <v>1716</v>
      </c>
      <c r="G363">
        <v>3</v>
      </c>
      <c r="H363">
        <v>3</v>
      </c>
      <c r="I363">
        <v>2017</v>
      </c>
      <c r="J363">
        <v>1</v>
      </c>
      <c r="K363">
        <v>1</v>
      </c>
      <c r="L363">
        <v>0</v>
      </c>
      <c r="M363">
        <v>6</v>
      </c>
      <c r="N363" t="s">
        <v>35</v>
      </c>
      <c r="O363" t="s">
        <v>32</v>
      </c>
      <c r="P363">
        <v>8.8245616825239104</v>
      </c>
      <c r="Q363">
        <v>1.3782190269185399</v>
      </c>
      <c r="R363">
        <v>3.4929510141025899</v>
      </c>
      <c r="S363">
        <v>92</v>
      </c>
      <c r="T363">
        <v>49</v>
      </c>
      <c r="U363">
        <v>433.92791148510702</v>
      </c>
      <c r="V363">
        <v>3.49650349650349E-3</v>
      </c>
      <c r="W363">
        <v>1181469.5500022401</v>
      </c>
      <c r="X363" t="s">
        <v>36</v>
      </c>
      <c r="Y363">
        <f>1-643-748-3005</f>
        <v>-4395</v>
      </c>
    </row>
    <row r="364" spans="1:25" x14ac:dyDescent="0.35">
      <c r="A364">
        <v>39.564189584309801</v>
      </c>
      <c r="B364">
        <v>-124.17519353653201</v>
      </c>
      <c r="C364" t="s">
        <v>29</v>
      </c>
      <c r="D364">
        <v>36.958244699814799</v>
      </c>
      <c r="E364">
        <v>4</v>
      </c>
      <c r="F364">
        <v>4151</v>
      </c>
      <c r="G364">
        <v>5</v>
      </c>
      <c r="H364">
        <v>1</v>
      </c>
      <c r="I364">
        <v>1997</v>
      </c>
      <c r="J364">
        <v>0</v>
      </c>
      <c r="K364">
        <v>1</v>
      </c>
      <c r="L364">
        <v>0</v>
      </c>
      <c r="M364">
        <v>9</v>
      </c>
      <c r="N364" t="s">
        <v>37</v>
      </c>
      <c r="O364" t="s">
        <v>32</v>
      </c>
      <c r="P364">
        <v>12.722145006975101</v>
      </c>
      <c r="Q364">
        <v>2.0418508509517199</v>
      </c>
      <c r="R364">
        <v>6.4469297882561296</v>
      </c>
      <c r="S364">
        <v>143</v>
      </c>
      <c r="T364">
        <v>37</v>
      </c>
      <c r="U364">
        <v>630.75407162341901</v>
      </c>
      <c r="V364">
        <v>2.1681522524692799E-3</v>
      </c>
      <c r="W364">
        <v>2991831.9161033002</v>
      </c>
      <c r="X364" t="s">
        <v>28</v>
      </c>
      <c r="Y364">
        <f>1-343-477-8743</f>
        <v>-9562</v>
      </c>
    </row>
    <row r="365" spans="1:25" x14ac:dyDescent="0.35">
      <c r="A365">
        <v>39.425940462186901</v>
      </c>
      <c r="B365">
        <v>-119.116238095073</v>
      </c>
      <c r="C365" t="s">
        <v>29</v>
      </c>
      <c r="D365">
        <v>1.68429622395685</v>
      </c>
      <c r="E365">
        <v>3</v>
      </c>
      <c r="F365">
        <v>2481</v>
      </c>
      <c r="G365">
        <v>2</v>
      </c>
      <c r="H365">
        <v>1</v>
      </c>
      <c r="I365">
        <v>1964</v>
      </c>
      <c r="J365">
        <v>1</v>
      </c>
      <c r="K365">
        <v>0</v>
      </c>
      <c r="L365">
        <v>0</v>
      </c>
      <c r="M365">
        <v>7</v>
      </c>
      <c r="N365" t="s">
        <v>26</v>
      </c>
      <c r="O365" t="s">
        <v>30</v>
      </c>
      <c r="P365">
        <v>4.1079134948434302</v>
      </c>
      <c r="Q365">
        <v>2.0543906046851501</v>
      </c>
      <c r="R365">
        <v>7.47413911793765</v>
      </c>
      <c r="S365">
        <v>160</v>
      </c>
      <c r="T365">
        <v>65</v>
      </c>
      <c r="U365">
        <v>743.72594265176895</v>
      </c>
      <c r="V365">
        <v>2.8214429665457401E-3</v>
      </c>
      <c r="W365">
        <v>1935453.7999223999</v>
      </c>
      <c r="X365" t="s">
        <v>31</v>
      </c>
      <c r="Y365">
        <f>1-916-591-2325</f>
        <v>-3831</v>
      </c>
    </row>
    <row r="366" spans="1:25" x14ac:dyDescent="0.35">
      <c r="A366">
        <v>39.070458219565502</v>
      </c>
      <c r="B366">
        <v>-115.113326533939</v>
      </c>
      <c r="C366" t="s">
        <v>25</v>
      </c>
      <c r="D366">
        <v>27.0028873527299</v>
      </c>
      <c r="E366">
        <v>1</v>
      </c>
      <c r="F366">
        <v>4429</v>
      </c>
      <c r="G366">
        <v>4</v>
      </c>
      <c r="H366">
        <v>1</v>
      </c>
      <c r="I366">
        <v>2001</v>
      </c>
      <c r="J366">
        <v>0</v>
      </c>
      <c r="K366">
        <v>0</v>
      </c>
      <c r="L366">
        <v>0</v>
      </c>
      <c r="M366">
        <v>14</v>
      </c>
      <c r="N366" t="s">
        <v>37</v>
      </c>
      <c r="O366" t="s">
        <v>32</v>
      </c>
      <c r="P366">
        <v>6.3978188181835796</v>
      </c>
      <c r="Q366">
        <v>1.2936730224383799</v>
      </c>
      <c r="R366">
        <v>9.8495038163156892</v>
      </c>
      <c r="S366">
        <v>196</v>
      </c>
      <c r="T366">
        <v>58</v>
      </c>
      <c r="U366">
        <v>213.19331301029899</v>
      </c>
      <c r="V366">
        <v>3.1609844208624902E-3</v>
      </c>
      <c r="W366">
        <v>1140115.80990756</v>
      </c>
      <c r="X366" t="s">
        <v>43</v>
      </c>
      <c r="Y366">
        <f>1-954-589-3145</f>
        <v>-4687</v>
      </c>
    </row>
    <row r="367" spans="1:25" x14ac:dyDescent="0.35">
      <c r="A367">
        <v>34.917228650291896</v>
      </c>
      <c r="B367">
        <v>-122.521120804471</v>
      </c>
      <c r="C367" t="s">
        <v>34</v>
      </c>
      <c r="D367">
        <v>16.374884048137101</v>
      </c>
      <c r="E367">
        <v>6</v>
      </c>
      <c r="F367">
        <v>2488</v>
      </c>
      <c r="G367">
        <v>2</v>
      </c>
      <c r="H367">
        <v>3</v>
      </c>
      <c r="I367">
        <v>1969</v>
      </c>
      <c r="J367">
        <v>0</v>
      </c>
      <c r="K367">
        <v>0</v>
      </c>
      <c r="L367">
        <v>1</v>
      </c>
      <c r="M367">
        <v>10</v>
      </c>
      <c r="N367" t="s">
        <v>37</v>
      </c>
      <c r="O367" t="s">
        <v>27</v>
      </c>
      <c r="P367">
        <v>8.5250441061856908</v>
      </c>
      <c r="Q367">
        <v>1.80699078507782</v>
      </c>
      <c r="R367">
        <v>3.2434646218108898</v>
      </c>
      <c r="S367">
        <v>66</v>
      </c>
      <c r="T367">
        <v>32</v>
      </c>
      <c r="U367">
        <v>204.284176528111</v>
      </c>
      <c r="V367">
        <v>4.0192926045015996E-3</v>
      </c>
      <c r="W367">
        <v>672362.514275947</v>
      </c>
      <c r="X367" t="s">
        <v>44</v>
      </c>
      <c r="Y367">
        <f>1-207-125-1447</f>
        <v>-1778</v>
      </c>
    </row>
    <row r="368" spans="1:25" x14ac:dyDescent="0.35">
      <c r="A368">
        <v>38.936732493386302</v>
      </c>
      <c r="B368">
        <v>-117.45334424898</v>
      </c>
      <c r="C368" t="s">
        <v>25</v>
      </c>
      <c r="D368">
        <v>44.523918775232701</v>
      </c>
      <c r="E368">
        <v>2</v>
      </c>
      <c r="F368">
        <v>3779</v>
      </c>
      <c r="G368">
        <v>2</v>
      </c>
      <c r="H368">
        <v>2</v>
      </c>
      <c r="I368">
        <v>1990</v>
      </c>
      <c r="J368">
        <v>1</v>
      </c>
      <c r="K368">
        <v>1</v>
      </c>
      <c r="L368">
        <v>1</v>
      </c>
      <c r="M368">
        <v>11</v>
      </c>
      <c r="N368" t="s">
        <v>37</v>
      </c>
      <c r="O368" t="s">
        <v>30</v>
      </c>
      <c r="P368">
        <v>12.6819935940041</v>
      </c>
      <c r="Q368">
        <v>2.39345212004958</v>
      </c>
      <c r="R368">
        <v>1.91274293162801</v>
      </c>
      <c r="S368">
        <v>64</v>
      </c>
      <c r="T368">
        <v>22</v>
      </c>
      <c r="U368">
        <v>335.20792199618302</v>
      </c>
      <c r="V368">
        <v>2.9108229690394199E-3</v>
      </c>
      <c r="W368">
        <v>1625131.9227156499</v>
      </c>
      <c r="X368" t="s">
        <v>39</v>
      </c>
      <c r="Y368">
        <f>1-378-723-2365</f>
        <v>-3465</v>
      </c>
    </row>
    <row r="369" spans="1:25" x14ac:dyDescent="0.35">
      <c r="A369">
        <v>32.968827115229303</v>
      </c>
      <c r="B369">
        <v>-121.492507727091</v>
      </c>
      <c r="C369" t="s">
        <v>29</v>
      </c>
      <c r="D369">
        <v>42.642343175945904</v>
      </c>
      <c r="E369">
        <v>1</v>
      </c>
      <c r="F369">
        <v>3826</v>
      </c>
      <c r="G369">
        <v>2</v>
      </c>
      <c r="H369">
        <v>2</v>
      </c>
      <c r="I369">
        <v>2007</v>
      </c>
      <c r="J369">
        <v>1</v>
      </c>
      <c r="K369">
        <v>0</v>
      </c>
      <c r="L369">
        <v>1</v>
      </c>
      <c r="M369">
        <v>9</v>
      </c>
      <c r="N369" t="s">
        <v>35</v>
      </c>
      <c r="O369" t="s">
        <v>30</v>
      </c>
      <c r="P369">
        <v>7.1082160077041703</v>
      </c>
      <c r="Q369">
        <v>1.5337501512973699</v>
      </c>
      <c r="R369">
        <v>6.5678749499748497</v>
      </c>
      <c r="S369">
        <v>0</v>
      </c>
      <c r="T369">
        <v>65</v>
      </c>
      <c r="U369">
        <v>358.84836977880099</v>
      </c>
      <c r="V369">
        <v>2.3523261892315702E-3</v>
      </c>
      <c r="W369">
        <v>1687229.13998362</v>
      </c>
      <c r="X369" t="s">
        <v>36</v>
      </c>
      <c r="Y369">
        <f>1-860-369-2820</f>
        <v>-4048</v>
      </c>
    </row>
    <row r="370" spans="1:25" x14ac:dyDescent="0.35">
      <c r="A370">
        <v>41.451882450654097</v>
      </c>
      <c r="B370">
        <v>-115.530662394003</v>
      </c>
      <c r="C370" t="s">
        <v>25</v>
      </c>
      <c r="D370">
        <v>34.294344613170502</v>
      </c>
      <c r="E370">
        <v>2</v>
      </c>
      <c r="F370">
        <v>4327</v>
      </c>
      <c r="G370">
        <v>1</v>
      </c>
      <c r="H370">
        <v>1</v>
      </c>
      <c r="I370">
        <v>2019</v>
      </c>
      <c r="J370">
        <v>0</v>
      </c>
      <c r="K370">
        <v>0</v>
      </c>
      <c r="L370">
        <v>0</v>
      </c>
      <c r="M370">
        <v>6</v>
      </c>
      <c r="N370" t="s">
        <v>41</v>
      </c>
      <c r="O370" t="s">
        <v>27</v>
      </c>
      <c r="P370">
        <v>4.9622096234185102</v>
      </c>
      <c r="Q370">
        <v>1.64049644711899</v>
      </c>
      <c r="R370">
        <v>8.6605607140577003</v>
      </c>
      <c r="S370">
        <v>58</v>
      </c>
      <c r="T370">
        <v>79</v>
      </c>
      <c r="U370">
        <v>217.675359913764</v>
      </c>
      <c r="V370">
        <v>1.3866420152530601E-3</v>
      </c>
      <c r="W370">
        <v>1008693.8733883</v>
      </c>
      <c r="X370" t="s">
        <v>33</v>
      </c>
      <c r="Y370">
        <f>1-781-270-1989</f>
        <v>-3039</v>
      </c>
    </row>
    <row r="371" spans="1:25" x14ac:dyDescent="0.35">
      <c r="A371">
        <v>37.630279483510598</v>
      </c>
      <c r="B371">
        <v>-119.03845073977099</v>
      </c>
      <c r="C371" t="s">
        <v>34</v>
      </c>
      <c r="D371">
        <v>2.1642781392202499</v>
      </c>
      <c r="E371">
        <v>0</v>
      </c>
      <c r="F371">
        <v>2493</v>
      </c>
      <c r="G371">
        <v>3</v>
      </c>
      <c r="H371">
        <v>2</v>
      </c>
      <c r="I371">
        <v>1950</v>
      </c>
      <c r="J371">
        <v>1</v>
      </c>
      <c r="K371">
        <v>0</v>
      </c>
      <c r="L371">
        <v>0</v>
      </c>
      <c r="M371">
        <v>11</v>
      </c>
      <c r="N371" t="s">
        <v>37</v>
      </c>
      <c r="O371" t="s">
        <v>30</v>
      </c>
      <c r="P371">
        <v>10.580499303367599</v>
      </c>
      <c r="Q371">
        <v>0.52155235864414096</v>
      </c>
      <c r="R371">
        <v>3.9506617445366401</v>
      </c>
      <c r="S371">
        <v>195</v>
      </c>
      <c r="T371">
        <v>62</v>
      </c>
      <c r="U371">
        <v>844.28730948857003</v>
      </c>
      <c r="V371">
        <v>4.4123545928600001E-3</v>
      </c>
      <c r="W371">
        <v>2215861.5983529901</v>
      </c>
      <c r="X371" t="s">
        <v>44</v>
      </c>
      <c r="Y371">
        <f>1-514-169-7428</f>
        <v>-8110</v>
      </c>
    </row>
    <row r="372" spans="1:25" x14ac:dyDescent="0.35">
      <c r="A372">
        <v>34.965976768596803</v>
      </c>
      <c r="B372">
        <v>-120.119314144089</v>
      </c>
      <c r="C372" t="s">
        <v>34</v>
      </c>
      <c r="D372">
        <v>13.547823089042099</v>
      </c>
      <c r="E372">
        <v>2</v>
      </c>
      <c r="F372">
        <v>4076</v>
      </c>
      <c r="G372">
        <v>5</v>
      </c>
      <c r="H372">
        <v>1</v>
      </c>
      <c r="I372">
        <v>1960</v>
      </c>
      <c r="J372">
        <v>0</v>
      </c>
      <c r="K372">
        <v>1</v>
      </c>
      <c r="L372">
        <v>0</v>
      </c>
      <c r="M372">
        <v>8</v>
      </c>
      <c r="N372" t="s">
        <v>37</v>
      </c>
      <c r="O372" t="s">
        <v>27</v>
      </c>
      <c r="P372">
        <v>8.0670643774684692</v>
      </c>
      <c r="Q372">
        <v>2.4364284732997801</v>
      </c>
      <c r="R372">
        <v>2.1347749538732299</v>
      </c>
      <c r="S372">
        <v>66</v>
      </c>
      <c r="T372">
        <v>57</v>
      </c>
      <c r="U372">
        <v>383.51079432105098</v>
      </c>
      <c r="V372">
        <v>1.9627085377821301E-3</v>
      </c>
      <c r="W372">
        <v>1942383.2575491001</v>
      </c>
      <c r="X372" t="s">
        <v>44</v>
      </c>
      <c r="Y372">
        <f>1-567-123-6464</f>
        <v>-7153</v>
      </c>
    </row>
    <row r="373" spans="1:25" x14ac:dyDescent="0.35">
      <c r="A373">
        <v>39.496706612436903</v>
      </c>
      <c r="B373">
        <v>-118.957764296866</v>
      </c>
      <c r="C373" t="s">
        <v>25</v>
      </c>
      <c r="D373">
        <v>39.071967030917897</v>
      </c>
      <c r="E373">
        <v>6</v>
      </c>
      <c r="F373">
        <v>4551</v>
      </c>
      <c r="G373">
        <v>5</v>
      </c>
      <c r="H373">
        <v>1</v>
      </c>
      <c r="I373">
        <v>1979</v>
      </c>
      <c r="J373">
        <v>0</v>
      </c>
      <c r="K373">
        <v>0</v>
      </c>
      <c r="L373">
        <v>1</v>
      </c>
      <c r="M373">
        <v>12</v>
      </c>
      <c r="N373" t="s">
        <v>26</v>
      </c>
      <c r="O373" t="s">
        <v>32</v>
      </c>
      <c r="P373">
        <v>11.299358451527601</v>
      </c>
      <c r="Q373">
        <v>0.95397290626537901</v>
      </c>
      <c r="R373">
        <v>1.49388479836538</v>
      </c>
      <c r="S373">
        <v>176</v>
      </c>
      <c r="T373">
        <v>32</v>
      </c>
      <c r="U373">
        <v>358.65199546707299</v>
      </c>
      <c r="V373">
        <v>2.6367831245879998E-3</v>
      </c>
      <c r="W373">
        <v>1902738.34251349</v>
      </c>
      <c r="X373" t="s">
        <v>36</v>
      </c>
      <c r="Y373">
        <f>1-612-252-9433</f>
        <v>-10296</v>
      </c>
    </row>
    <row r="374" spans="1:25" x14ac:dyDescent="0.35">
      <c r="A374">
        <v>36.506803561266899</v>
      </c>
      <c r="B374">
        <v>-114.894189689719</v>
      </c>
      <c r="C374" t="s">
        <v>34</v>
      </c>
      <c r="D374">
        <v>10.7758280182093</v>
      </c>
      <c r="E374">
        <v>7</v>
      </c>
      <c r="F374">
        <v>2365</v>
      </c>
      <c r="G374">
        <v>1</v>
      </c>
      <c r="H374">
        <v>2</v>
      </c>
      <c r="I374">
        <v>1995</v>
      </c>
      <c r="J374">
        <v>0</v>
      </c>
      <c r="K374">
        <v>0</v>
      </c>
      <c r="L374">
        <v>0</v>
      </c>
      <c r="M374">
        <v>11</v>
      </c>
      <c r="N374" t="s">
        <v>41</v>
      </c>
      <c r="O374" t="s">
        <v>32</v>
      </c>
      <c r="P374">
        <v>5.5418789147556202</v>
      </c>
      <c r="Q374">
        <v>1.2583243305401099</v>
      </c>
      <c r="R374">
        <v>6.0360535250466798</v>
      </c>
      <c r="S374">
        <v>139</v>
      </c>
      <c r="T374">
        <v>40</v>
      </c>
      <c r="U374">
        <v>382.32807584364201</v>
      </c>
      <c r="V374">
        <v>4.65116279069767E-3</v>
      </c>
      <c r="W374">
        <v>980339.58645866194</v>
      </c>
      <c r="X374" t="s">
        <v>33</v>
      </c>
      <c r="Y374">
        <f>1-647-699-9269</f>
        <v>-10614</v>
      </c>
    </row>
    <row r="375" spans="1:25" x14ac:dyDescent="0.35">
      <c r="A375">
        <v>40.824507559433002</v>
      </c>
      <c r="B375">
        <v>-120.876735187045</v>
      </c>
      <c r="C375" t="s">
        <v>34</v>
      </c>
      <c r="D375">
        <v>27.828381380806</v>
      </c>
      <c r="E375">
        <v>3</v>
      </c>
      <c r="F375">
        <v>2009</v>
      </c>
      <c r="G375">
        <v>1</v>
      </c>
      <c r="H375">
        <v>3</v>
      </c>
      <c r="I375">
        <v>1955</v>
      </c>
      <c r="J375">
        <v>0</v>
      </c>
      <c r="K375">
        <v>1</v>
      </c>
      <c r="L375">
        <v>0</v>
      </c>
      <c r="M375">
        <v>4</v>
      </c>
      <c r="N375" t="s">
        <v>26</v>
      </c>
      <c r="O375" t="s">
        <v>27</v>
      </c>
      <c r="P375">
        <v>11.1985502271784</v>
      </c>
      <c r="Q375">
        <v>2.4909363471287298</v>
      </c>
      <c r="R375">
        <v>9.3760702803248606</v>
      </c>
      <c r="S375">
        <v>123</v>
      </c>
      <c r="T375">
        <v>64</v>
      </c>
      <c r="U375">
        <v>911.999768228844</v>
      </c>
      <c r="V375">
        <v>1.99104031856645E-3</v>
      </c>
      <c r="W375">
        <v>2003154.21929284</v>
      </c>
      <c r="X375" t="s">
        <v>31</v>
      </c>
      <c r="Y375">
        <f>1-696-505-5615</f>
        <v>-6815</v>
      </c>
    </row>
    <row r="376" spans="1:25" x14ac:dyDescent="0.35">
      <c r="A376">
        <v>39.5624220798422</v>
      </c>
      <c r="B376">
        <v>-124.207783642911</v>
      </c>
      <c r="C376" t="s">
        <v>29</v>
      </c>
      <c r="D376">
        <v>15.8691972686296</v>
      </c>
      <c r="E376">
        <v>6</v>
      </c>
      <c r="F376">
        <v>4258</v>
      </c>
      <c r="G376">
        <v>1</v>
      </c>
      <c r="H376">
        <v>1</v>
      </c>
      <c r="I376">
        <v>1972</v>
      </c>
      <c r="J376">
        <v>0</v>
      </c>
      <c r="K376">
        <v>1</v>
      </c>
      <c r="L376">
        <v>0</v>
      </c>
      <c r="M376">
        <v>6</v>
      </c>
      <c r="N376" t="s">
        <v>35</v>
      </c>
      <c r="O376" t="s">
        <v>27</v>
      </c>
      <c r="P376">
        <v>12.5669819496553</v>
      </c>
      <c r="Q376">
        <v>2.31361214088454</v>
      </c>
      <c r="R376">
        <v>6.2911394490671801</v>
      </c>
      <c r="S376">
        <v>66</v>
      </c>
      <c r="T376">
        <v>54</v>
      </c>
      <c r="U376">
        <v>601.04683760869</v>
      </c>
      <c r="V376">
        <v>1.40911225927665E-3</v>
      </c>
      <c r="W376">
        <v>2678966.20961968</v>
      </c>
      <c r="X376" t="s">
        <v>40</v>
      </c>
      <c r="Y376">
        <f>1-604-795-3269</f>
        <v>-4667</v>
      </c>
    </row>
    <row r="377" spans="1:25" x14ac:dyDescent="0.35">
      <c r="A377">
        <v>39.9739826118536</v>
      </c>
      <c r="B377">
        <v>-123.150921382886</v>
      </c>
      <c r="C377" t="s">
        <v>34</v>
      </c>
      <c r="D377">
        <v>34.636184721925403</v>
      </c>
      <c r="E377">
        <v>6</v>
      </c>
      <c r="F377">
        <v>4459</v>
      </c>
      <c r="G377">
        <v>4</v>
      </c>
      <c r="H377">
        <v>1</v>
      </c>
      <c r="I377">
        <v>1966</v>
      </c>
      <c r="J377">
        <v>0</v>
      </c>
      <c r="K377">
        <v>1</v>
      </c>
      <c r="L377">
        <v>0</v>
      </c>
      <c r="M377">
        <v>5</v>
      </c>
      <c r="N377" t="s">
        <v>41</v>
      </c>
      <c r="O377" t="s">
        <v>30</v>
      </c>
      <c r="P377">
        <v>14.1882495957797</v>
      </c>
      <c r="Q377">
        <v>1.9318010780738599</v>
      </c>
      <c r="R377">
        <v>5.2302665990281199</v>
      </c>
      <c r="S377">
        <v>134</v>
      </c>
      <c r="T377">
        <v>45</v>
      </c>
      <c r="U377">
        <v>400.74897841413701</v>
      </c>
      <c r="V377">
        <v>1.12132765193989E-3</v>
      </c>
      <c r="W377">
        <v>2143562.09596948</v>
      </c>
      <c r="X377" t="s">
        <v>39</v>
      </c>
      <c r="Y377">
        <f>1-320-624-1455</f>
        <v>-2398</v>
      </c>
    </row>
    <row r="378" spans="1:25" x14ac:dyDescent="0.35">
      <c r="A378">
        <v>37.001317617390399</v>
      </c>
      <c r="B378">
        <v>-120.95498272584901</v>
      </c>
      <c r="C378" t="s">
        <v>25</v>
      </c>
      <c r="D378">
        <v>26.458523116480499</v>
      </c>
      <c r="E378">
        <v>0</v>
      </c>
      <c r="F378">
        <v>1278</v>
      </c>
      <c r="G378">
        <v>3</v>
      </c>
      <c r="H378">
        <v>1</v>
      </c>
      <c r="I378">
        <v>1954</v>
      </c>
      <c r="J378">
        <v>1</v>
      </c>
      <c r="K378">
        <v>0</v>
      </c>
      <c r="L378">
        <v>0</v>
      </c>
      <c r="M378">
        <v>11</v>
      </c>
      <c r="N378" t="s">
        <v>41</v>
      </c>
      <c r="O378" t="s">
        <v>27</v>
      </c>
      <c r="P378">
        <v>11.643416124475699</v>
      </c>
      <c r="Q378">
        <v>0.90763659340932301</v>
      </c>
      <c r="R378">
        <v>1.2942585849677699</v>
      </c>
      <c r="S378">
        <v>86</v>
      </c>
      <c r="T378">
        <v>72</v>
      </c>
      <c r="U378">
        <v>858.54770531254997</v>
      </c>
      <c r="V378">
        <v>8.6071987480438109E-3</v>
      </c>
      <c r="W378">
        <v>1421057.2522585799</v>
      </c>
      <c r="X378" t="s">
        <v>36</v>
      </c>
      <c r="Y378">
        <f>1-374-885-2230</f>
        <v>-3488</v>
      </c>
    </row>
    <row r="379" spans="1:25" x14ac:dyDescent="0.35">
      <c r="A379">
        <v>40.506533256136301</v>
      </c>
      <c r="B379">
        <v>-118.888841238426</v>
      </c>
      <c r="C379" t="s">
        <v>25</v>
      </c>
      <c r="D379">
        <v>38.686297171161797</v>
      </c>
      <c r="E379">
        <v>2</v>
      </c>
      <c r="F379">
        <v>748</v>
      </c>
      <c r="G379">
        <v>5</v>
      </c>
      <c r="H379">
        <v>2</v>
      </c>
      <c r="I379">
        <v>2021</v>
      </c>
      <c r="J379">
        <v>1</v>
      </c>
      <c r="K379">
        <v>0</v>
      </c>
      <c r="L379">
        <v>1</v>
      </c>
      <c r="M379">
        <v>8</v>
      </c>
      <c r="N379" t="s">
        <v>26</v>
      </c>
      <c r="O379" t="s">
        <v>30</v>
      </c>
      <c r="P379">
        <v>12.351690020485901</v>
      </c>
      <c r="Q379">
        <v>0.98204388846211399</v>
      </c>
      <c r="R379">
        <v>9.67983690252297</v>
      </c>
      <c r="S379">
        <v>59</v>
      </c>
      <c r="T379">
        <v>32</v>
      </c>
      <c r="U379">
        <v>224.007026151048</v>
      </c>
      <c r="V379">
        <v>1.06951871657754E-2</v>
      </c>
      <c r="W379">
        <v>612792.69180211006</v>
      </c>
      <c r="X379" t="s">
        <v>39</v>
      </c>
      <c r="Y379">
        <f>1-988-396-1255</f>
        <v>-2638</v>
      </c>
    </row>
    <row r="380" spans="1:25" x14ac:dyDescent="0.35">
      <c r="A380">
        <v>33.254351567345502</v>
      </c>
      <c r="B380">
        <v>-124.064630495321</v>
      </c>
      <c r="C380" t="s">
        <v>25</v>
      </c>
      <c r="D380">
        <v>29.295458736626099</v>
      </c>
      <c r="E380">
        <v>4</v>
      </c>
      <c r="F380">
        <v>3845</v>
      </c>
      <c r="G380">
        <v>5</v>
      </c>
      <c r="H380">
        <v>1</v>
      </c>
      <c r="I380">
        <v>1999</v>
      </c>
      <c r="J380">
        <v>1</v>
      </c>
      <c r="K380">
        <v>0</v>
      </c>
      <c r="L380">
        <v>1</v>
      </c>
      <c r="M380">
        <v>13</v>
      </c>
      <c r="N380" t="s">
        <v>41</v>
      </c>
      <c r="O380" t="s">
        <v>30</v>
      </c>
      <c r="P380">
        <v>6.6270100031311001</v>
      </c>
      <c r="Q380">
        <v>1.80134448942968</v>
      </c>
      <c r="R380">
        <v>3.2188559446771401</v>
      </c>
      <c r="S380">
        <v>56</v>
      </c>
      <c r="T380">
        <v>24</v>
      </c>
      <c r="U380">
        <v>492.62070895715198</v>
      </c>
      <c r="V380">
        <v>3.38101430429128E-3</v>
      </c>
      <c r="W380">
        <v>2203128.0015753899</v>
      </c>
      <c r="X380" t="s">
        <v>31</v>
      </c>
      <c r="Y380">
        <f>1-413-915-5605</f>
        <v>-6932</v>
      </c>
    </row>
    <row r="381" spans="1:25" x14ac:dyDescent="0.35">
      <c r="A381">
        <v>32.808639135142201</v>
      </c>
      <c r="B381">
        <v>-122.67757865706</v>
      </c>
      <c r="C381" t="s">
        <v>29</v>
      </c>
      <c r="D381">
        <v>5.6350418347406501</v>
      </c>
      <c r="E381">
        <v>8</v>
      </c>
      <c r="F381">
        <v>2073</v>
      </c>
      <c r="G381">
        <v>5</v>
      </c>
      <c r="H381">
        <v>2</v>
      </c>
      <c r="I381">
        <v>1952</v>
      </c>
      <c r="J381">
        <v>1</v>
      </c>
      <c r="K381">
        <v>0</v>
      </c>
      <c r="L381">
        <v>1</v>
      </c>
      <c r="M381">
        <v>9</v>
      </c>
      <c r="N381" t="s">
        <v>35</v>
      </c>
      <c r="O381" t="s">
        <v>32</v>
      </c>
      <c r="P381">
        <v>12.709112303945099</v>
      </c>
      <c r="Q381">
        <v>1.6480291943162899</v>
      </c>
      <c r="R381">
        <v>0.34103677941173299</v>
      </c>
      <c r="S381">
        <v>21</v>
      </c>
      <c r="T381">
        <v>77</v>
      </c>
      <c r="U381">
        <v>395.08624862647798</v>
      </c>
      <c r="V381">
        <v>4.3415340086830597E-3</v>
      </c>
      <c r="W381">
        <v>1257136.5678717301</v>
      </c>
      <c r="X381" t="s">
        <v>44</v>
      </c>
      <c r="Y381">
        <f>1-945-859-9432</f>
        <v>-11235</v>
      </c>
    </row>
    <row r="382" spans="1:25" x14ac:dyDescent="0.35">
      <c r="A382">
        <v>39.804471648897398</v>
      </c>
      <c r="B382">
        <v>-115.65966885368501</v>
      </c>
      <c r="C382" t="s">
        <v>34</v>
      </c>
      <c r="D382">
        <v>19.134117633037199</v>
      </c>
      <c r="E382">
        <v>1</v>
      </c>
      <c r="F382">
        <v>4476</v>
      </c>
      <c r="G382">
        <v>2</v>
      </c>
      <c r="H382">
        <v>2</v>
      </c>
      <c r="I382">
        <v>1989</v>
      </c>
      <c r="J382">
        <v>1</v>
      </c>
      <c r="K382">
        <v>1</v>
      </c>
      <c r="L382">
        <v>0</v>
      </c>
      <c r="M382">
        <v>5</v>
      </c>
      <c r="N382" t="s">
        <v>37</v>
      </c>
      <c r="O382" t="s">
        <v>30</v>
      </c>
      <c r="P382">
        <v>2.61465186685232</v>
      </c>
      <c r="Q382">
        <v>2.4188064859738998</v>
      </c>
      <c r="R382">
        <v>5.8053060639877003</v>
      </c>
      <c r="S382">
        <v>78</v>
      </c>
      <c r="T382">
        <v>41</v>
      </c>
      <c r="U382">
        <v>725.37790874470704</v>
      </c>
      <c r="V382">
        <v>1.11706881143878E-3</v>
      </c>
      <c r="W382">
        <v>3421806.1081826598</v>
      </c>
      <c r="X382" t="s">
        <v>40</v>
      </c>
      <c r="Y382">
        <f>1-668-425-5552</f>
        <v>-6644</v>
      </c>
    </row>
    <row r="383" spans="1:25" x14ac:dyDescent="0.35">
      <c r="A383">
        <v>38.246718067960302</v>
      </c>
      <c r="B383">
        <v>-122.651762840128</v>
      </c>
      <c r="C383" t="s">
        <v>29</v>
      </c>
      <c r="D383">
        <v>34.035853332598002</v>
      </c>
      <c r="E383">
        <v>2</v>
      </c>
      <c r="F383">
        <v>4952</v>
      </c>
      <c r="G383">
        <v>2</v>
      </c>
      <c r="H383">
        <v>1</v>
      </c>
      <c r="I383">
        <v>1996</v>
      </c>
      <c r="J383">
        <v>0</v>
      </c>
      <c r="K383">
        <v>1</v>
      </c>
      <c r="L383">
        <v>0</v>
      </c>
      <c r="M383">
        <v>14</v>
      </c>
      <c r="N383" t="s">
        <v>35</v>
      </c>
      <c r="O383" t="s">
        <v>30</v>
      </c>
      <c r="P383">
        <v>7.4225297147027796</v>
      </c>
      <c r="Q383">
        <v>0.66553368589740503</v>
      </c>
      <c r="R383">
        <v>7.5161466957503</v>
      </c>
      <c r="S383">
        <v>85</v>
      </c>
      <c r="T383">
        <v>49</v>
      </c>
      <c r="U383">
        <v>515.47715006330202</v>
      </c>
      <c r="V383">
        <v>2.82714054927302E-3</v>
      </c>
      <c r="W383">
        <v>2825511.7152772699</v>
      </c>
      <c r="X383" t="s">
        <v>38</v>
      </c>
      <c r="Y383">
        <f>1-303-592-5177</f>
        <v>-6071</v>
      </c>
    </row>
    <row r="384" spans="1:25" x14ac:dyDescent="0.35">
      <c r="A384">
        <v>33.337930424956298</v>
      </c>
      <c r="B384">
        <v>-114.729470515283</v>
      </c>
      <c r="C384" t="s">
        <v>29</v>
      </c>
      <c r="D384">
        <v>25.397842377745999</v>
      </c>
      <c r="E384">
        <v>5</v>
      </c>
      <c r="F384">
        <v>4487</v>
      </c>
      <c r="G384">
        <v>3</v>
      </c>
      <c r="H384">
        <v>3</v>
      </c>
      <c r="I384">
        <v>2011</v>
      </c>
      <c r="J384">
        <v>0</v>
      </c>
      <c r="K384">
        <v>1</v>
      </c>
      <c r="L384">
        <v>1</v>
      </c>
      <c r="M384">
        <v>10</v>
      </c>
      <c r="N384" t="s">
        <v>41</v>
      </c>
      <c r="O384" t="s">
        <v>32</v>
      </c>
      <c r="P384">
        <v>3.1164132846884902</v>
      </c>
      <c r="Q384">
        <v>0.88786694905214503</v>
      </c>
      <c r="R384">
        <v>7.5517971304793496</v>
      </c>
      <c r="S384">
        <v>198</v>
      </c>
      <c r="T384">
        <v>77</v>
      </c>
      <c r="U384">
        <v>860.11713061668797</v>
      </c>
      <c r="V384">
        <v>2.2286605749944201E-3</v>
      </c>
      <c r="W384">
        <v>4131523.8750281702</v>
      </c>
      <c r="X384" t="s">
        <v>28</v>
      </c>
      <c r="Y384">
        <f>1-860-365-6337</f>
        <v>-7561</v>
      </c>
    </row>
    <row r="385" spans="1:25" x14ac:dyDescent="0.35">
      <c r="A385">
        <v>41.532574951289398</v>
      </c>
      <c r="B385">
        <v>-120.258521940158</v>
      </c>
      <c r="C385" t="s">
        <v>25</v>
      </c>
      <c r="D385">
        <v>7.4130205212511298</v>
      </c>
      <c r="E385">
        <v>8</v>
      </c>
      <c r="F385">
        <v>3701</v>
      </c>
      <c r="G385">
        <v>2</v>
      </c>
      <c r="H385">
        <v>2</v>
      </c>
      <c r="I385">
        <v>2004</v>
      </c>
      <c r="J385">
        <v>1</v>
      </c>
      <c r="K385">
        <v>0</v>
      </c>
      <c r="L385">
        <v>1</v>
      </c>
      <c r="M385">
        <v>12</v>
      </c>
      <c r="N385" t="s">
        <v>41</v>
      </c>
      <c r="O385" t="s">
        <v>32</v>
      </c>
      <c r="P385">
        <v>13.537652267751</v>
      </c>
      <c r="Q385">
        <v>2.1453804986335201</v>
      </c>
      <c r="R385">
        <v>9.2861553188290795</v>
      </c>
      <c r="S385">
        <v>197</v>
      </c>
      <c r="T385">
        <v>70</v>
      </c>
      <c r="U385">
        <v>720.86528609161701</v>
      </c>
      <c r="V385">
        <v>3.24236692785733E-3</v>
      </c>
      <c r="W385">
        <v>2884878.1200365601</v>
      </c>
      <c r="X385" t="s">
        <v>36</v>
      </c>
      <c r="Y385">
        <f>1-366-617-1553</f>
        <v>-2535</v>
      </c>
    </row>
    <row r="386" spans="1:25" x14ac:dyDescent="0.35">
      <c r="A386">
        <v>34.833435598638403</v>
      </c>
      <c r="B386">
        <v>-114.339397106091</v>
      </c>
      <c r="C386" t="s">
        <v>34</v>
      </c>
      <c r="D386">
        <v>48.398934977222602</v>
      </c>
      <c r="E386">
        <v>5</v>
      </c>
      <c r="F386">
        <v>4669</v>
      </c>
      <c r="G386">
        <v>5</v>
      </c>
      <c r="H386">
        <v>2</v>
      </c>
      <c r="I386">
        <v>1975</v>
      </c>
      <c r="J386">
        <v>0</v>
      </c>
      <c r="K386">
        <v>1</v>
      </c>
      <c r="L386">
        <v>1</v>
      </c>
      <c r="M386">
        <v>2</v>
      </c>
      <c r="N386" t="s">
        <v>37</v>
      </c>
      <c r="O386" t="s">
        <v>27</v>
      </c>
      <c r="P386">
        <v>9.13129010274913</v>
      </c>
      <c r="Q386">
        <v>1.1659258850877099</v>
      </c>
      <c r="R386">
        <v>4.5180162524296499</v>
      </c>
      <c r="S386">
        <v>6</v>
      </c>
      <c r="T386">
        <v>25</v>
      </c>
      <c r="U386">
        <v>271.91411767892203</v>
      </c>
      <c r="V386">
        <v>4.28357249946455E-4</v>
      </c>
      <c r="W386">
        <v>1631436.95242398</v>
      </c>
      <c r="X386" t="s">
        <v>36</v>
      </c>
      <c r="Y386">
        <f>1-952-637-1154</f>
        <v>-2742</v>
      </c>
    </row>
    <row r="387" spans="1:25" x14ac:dyDescent="0.35">
      <c r="A387">
        <v>35.634699635315897</v>
      </c>
      <c r="B387">
        <v>-120.884038524736</v>
      </c>
      <c r="C387" t="s">
        <v>34</v>
      </c>
      <c r="D387">
        <v>15.055164588030101</v>
      </c>
      <c r="E387">
        <v>3</v>
      </c>
      <c r="F387">
        <v>2240</v>
      </c>
      <c r="G387">
        <v>4</v>
      </c>
      <c r="H387">
        <v>2</v>
      </c>
      <c r="I387">
        <v>1960</v>
      </c>
      <c r="J387">
        <v>0</v>
      </c>
      <c r="K387">
        <v>0</v>
      </c>
      <c r="L387">
        <v>1</v>
      </c>
      <c r="M387">
        <v>13</v>
      </c>
      <c r="N387" t="s">
        <v>41</v>
      </c>
      <c r="O387" t="s">
        <v>27</v>
      </c>
      <c r="P387">
        <v>4.3925771342863396</v>
      </c>
      <c r="Q387">
        <v>1.48417580074545</v>
      </c>
      <c r="R387">
        <v>0.25431813241718998</v>
      </c>
      <c r="S387">
        <v>1</v>
      </c>
      <c r="T387">
        <v>77</v>
      </c>
      <c r="U387">
        <v>222.01388622667699</v>
      </c>
      <c r="V387">
        <v>5.8035714285714201E-3</v>
      </c>
      <c r="W387">
        <v>653653.66101552604</v>
      </c>
      <c r="X387" t="s">
        <v>40</v>
      </c>
      <c r="Y387">
        <f>1-560-357-5809</f>
        <v>-6725</v>
      </c>
    </row>
    <row r="388" spans="1:25" x14ac:dyDescent="0.35">
      <c r="A388">
        <v>37.7122463912401</v>
      </c>
      <c r="B388">
        <v>-117.490004889879</v>
      </c>
      <c r="C388" t="s">
        <v>34</v>
      </c>
      <c r="D388">
        <v>14.1567000146759</v>
      </c>
      <c r="E388">
        <v>3</v>
      </c>
      <c r="F388">
        <v>591</v>
      </c>
      <c r="G388">
        <v>4</v>
      </c>
      <c r="H388">
        <v>1</v>
      </c>
      <c r="I388">
        <v>2007</v>
      </c>
      <c r="J388">
        <v>0</v>
      </c>
      <c r="K388">
        <v>0</v>
      </c>
      <c r="L388">
        <v>1</v>
      </c>
      <c r="M388">
        <v>3</v>
      </c>
      <c r="N388" t="s">
        <v>37</v>
      </c>
      <c r="O388" t="s">
        <v>32</v>
      </c>
      <c r="P388">
        <v>9.2311115094620906</v>
      </c>
      <c r="Q388">
        <v>2.1978585103836301</v>
      </c>
      <c r="R388">
        <v>7.7653528898491997</v>
      </c>
      <c r="S388">
        <v>40</v>
      </c>
      <c r="T388">
        <v>78</v>
      </c>
      <c r="U388">
        <v>865.61968629428304</v>
      </c>
      <c r="V388">
        <v>5.0761421319796898E-3</v>
      </c>
      <c r="W388">
        <v>794603.03201626299</v>
      </c>
      <c r="X388" t="s">
        <v>31</v>
      </c>
      <c r="Y388">
        <f>1-390-957-6995</f>
        <v>-8341</v>
      </c>
    </row>
    <row r="389" spans="1:25" x14ac:dyDescent="0.35">
      <c r="A389">
        <v>41.840784690494097</v>
      </c>
      <c r="B389">
        <v>-123.76870797239199</v>
      </c>
      <c r="C389" t="s">
        <v>25</v>
      </c>
      <c r="D389">
        <v>5.1136759982967304</v>
      </c>
      <c r="E389">
        <v>9</v>
      </c>
      <c r="F389">
        <v>4328</v>
      </c>
      <c r="G389">
        <v>1</v>
      </c>
      <c r="H389">
        <v>3</v>
      </c>
      <c r="I389">
        <v>1984</v>
      </c>
      <c r="J389">
        <v>0</v>
      </c>
      <c r="K389">
        <v>1</v>
      </c>
      <c r="L389">
        <v>1</v>
      </c>
      <c r="M389">
        <v>11</v>
      </c>
      <c r="N389" t="s">
        <v>26</v>
      </c>
      <c r="O389" t="s">
        <v>27</v>
      </c>
      <c r="P389">
        <v>4.7422147133403802</v>
      </c>
      <c r="Q389">
        <v>1.18533519024858</v>
      </c>
      <c r="R389">
        <v>3.0103671180574798</v>
      </c>
      <c r="S389">
        <v>102</v>
      </c>
      <c r="T389">
        <v>27</v>
      </c>
      <c r="U389">
        <v>491.85522037440398</v>
      </c>
      <c r="V389">
        <v>2.54158964879852E-3</v>
      </c>
      <c r="W389">
        <v>2432346.0203964598</v>
      </c>
      <c r="X389" t="s">
        <v>31</v>
      </c>
      <c r="Y389">
        <f>1-429-885-9097</f>
        <v>-10410</v>
      </c>
    </row>
    <row r="390" spans="1:25" x14ac:dyDescent="0.35">
      <c r="A390">
        <v>36.783447103960199</v>
      </c>
      <c r="B390">
        <v>-120.869876284079</v>
      </c>
      <c r="C390" t="s">
        <v>34</v>
      </c>
      <c r="D390">
        <v>16.719884943410499</v>
      </c>
      <c r="E390">
        <v>8</v>
      </c>
      <c r="F390">
        <v>4019</v>
      </c>
      <c r="G390">
        <v>3</v>
      </c>
      <c r="H390">
        <v>1</v>
      </c>
      <c r="I390">
        <v>1981</v>
      </c>
      <c r="J390">
        <v>0</v>
      </c>
      <c r="K390">
        <v>1</v>
      </c>
      <c r="L390">
        <v>1</v>
      </c>
      <c r="M390">
        <v>7</v>
      </c>
      <c r="N390" t="s">
        <v>26</v>
      </c>
      <c r="O390" t="s">
        <v>32</v>
      </c>
      <c r="P390">
        <v>12.064739249054799</v>
      </c>
      <c r="Q390">
        <v>1.85702961209559</v>
      </c>
      <c r="R390">
        <v>1.1941155846542699</v>
      </c>
      <c r="S390">
        <v>29</v>
      </c>
      <c r="T390">
        <v>78</v>
      </c>
      <c r="U390">
        <v>836.6481679003</v>
      </c>
      <c r="V390">
        <v>1.7417267977108701E-3</v>
      </c>
      <c r="W390">
        <v>3676204.2170248702</v>
      </c>
      <c r="X390" t="s">
        <v>38</v>
      </c>
      <c r="Y390">
        <f>1-215-502-2206</f>
        <v>-2922</v>
      </c>
    </row>
    <row r="391" spans="1:25" x14ac:dyDescent="0.35">
      <c r="A391">
        <v>41.043401055050602</v>
      </c>
      <c r="B391">
        <v>-121.32592083927101</v>
      </c>
      <c r="C391" t="s">
        <v>34</v>
      </c>
      <c r="D391">
        <v>30.829649999273698</v>
      </c>
      <c r="E391">
        <v>9</v>
      </c>
      <c r="F391">
        <v>4946</v>
      </c>
      <c r="G391">
        <v>1</v>
      </c>
      <c r="H391">
        <v>3</v>
      </c>
      <c r="I391">
        <v>2020</v>
      </c>
      <c r="J391">
        <v>1</v>
      </c>
      <c r="K391">
        <v>0</v>
      </c>
      <c r="L391">
        <v>1</v>
      </c>
      <c r="M391">
        <v>4</v>
      </c>
      <c r="N391" t="s">
        <v>41</v>
      </c>
      <c r="O391" t="s">
        <v>30</v>
      </c>
      <c r="P391">
        <v>9.6238206807520097</v>
      </c>
      <c r="Q391">
        <v>0.96893447566688495</v>
      </c>
      <c r="R391">
        <v>3.5120381458893299</v>
      </c>
      <c r="S391">
        <v>10</v>
      </c>
      <c r="T391">
        <v>62</v>
      </c>
      <c r="U391">
        <v>717.06574082053498</v>
      </c>
      <c r="V391">
        <v>8.0873433077234102E-4</v>
      </c>
      <c r="W391">
        <v>3813154.2058779299</v>
      </c>
      <c r="X391" t="s">
        <v>31</v>
      </c>
      <c r="Y391">
        <f>1-424-165-8804</f>
        <v>-9392</v>
      </c>
    </row>
    <row r="392" spans="1:25" x14ac:dyDescent="0.35">
      <c r="A392">
        <v>40.6339142234796</v>
      </c>
      <c r="B392">
        <v>-115.88156108649601</v>
      </c>
      <c r="C392" t="s">
        <v>29</v>
      </c>
      <c r="D392">
        <v>38.249500664955399</v>
      </c>
      <c r="E392">
        <v>6</v>
      </c>
      <c r="F392">
        <v>1109</v>
      </c>
      <c r="G392">
        <v>2</v>
      </c>
      <c r="H392">
        <v>3</v>
      </c>
      <c r="I392">
        <v>1998</v>
      </c>
      <c r="J392">
        <v>1</v>
      </c>
      <c r="K392">
        <v>1</v>
      </c>
      <c r="L392">
        <v>0</v>
      </c>
      <c r="M392">
        <v>10</v>
      </c>
      <c r="N392" t="s">
        <v>41</v>
      </c>
      <c r="O392" t="s">
        <v>27</v>
      </c>
      <c r="P392">
        <v>9.9193568268180208</v>
      </c>
      <c r="Q392">
        <v>1.2232389471193399</v>
      </c>
      <c r="R392">
        <v>9.7122832870556906</v>
      </c>
      <c r="S392">
        <v>0</v>
      </c>
      <c r="T392">
        <v>26</v>
      </c>
      <c r="U392">
        <v>234.017985173851</v>
      </c>
      <c r="V392">
        <v>9.0171325518485102E-3</v>
      </c>
      <c r="W392">
        <v>597386.85433174297</v>
      </c>
      <c r="X392" t="s">
        <v>42</v>
      </c>
      <c r="Y392">
        <f>1-939-902-8108</f>
        <v>-9948</v>
      </c>
    </row>
    <row r="393" spans="1:25" x14ac:dyDescent="0.35">
      <c r="A393">
        <v>33.699241226807501</v>
      </c>
      <c r="B393">
        <v>-123.70024114130599</v>
      </c>
      <c r="C393" t="s">
        <v>25</v>
      </c>
      <c r="D393">
        <v>45.936251154701701</v>
      </c>
      <c r="E393">
        <v>6</v>
      </c>
      <c r="F393">
        <v>4422</v>
      </c>
      <c r="G393">
        <v>2</v>
      </c>
      <c r="H393">
        <v>3</v>
      </c>
      <c r="I393">
        <v>1987</v>
      </c>
      <c r="J393">
        <v>0</v>
      </c>
      <c r="K393">
        <v>0</v>
      </c>
      <c r="L393">
        <v>1</v>
      </c>
      <c r="M393">
        <v>6</v>
      </c>
      <c r="N393" t="s">
        <v>35</v>
      </c>
      <c r="O393" t="s">
        <v>30</v>
      </c>
      <c r="P393">
        <v>4.0390528032769897</v>
      </c>
      <c r="Q393">
        <v>2.2089646046774498</v>
      </c>
      <c r="R393">
        <v>9.3368347491365906</v>
      </c>
      <c r="S393">
        <v>25</v>
      </c>
      <c r="T393">
        <v>58</v>
      </c>
      <c r="U393">
        <v>686.61215197434899</v>
      </c>
      <c r="V393">
        <v>1.35685210312075E-3</v>
      </c>
      <c r="W393">
        <v>3270167.1925168601</v>
      </c>
      <c r="X393" t="s">
        <v>40</v>
      </c>
      <c r="Y393">
        <f>1-219-531-6936</f>
        <v>-7685</v>
      </c>
    </row>
    <row r="394" spans="1:25" x14ac:dyDescent="0.35">
      <c r="A394">
        <v>34.463893796012201</v>
      </c>
      <c r="B394">
        <v>-118.73627359464901</v>
      </c>
      <c r="C394" t="s">
        <v>29</v>
      </c>
      <c r="D394">
        <v>30.662449925567</v>
      </c>
      <c r="E394">
        <v>3</v>
      </c>
      <c r="F394">
        <v>2019</v>
      </c>
      <c r="G394">
        <v>2</v>
      </c>
      <c r="H394">
        <v>3</v>
      </c>
      <c r="I394">
        <v>1987</v>
      </c>
      <c r="J394">
        <v>0</v>
      </c>
      <c r="K394">
        <v>0</v>
      </c>
      <c r="L394">
        <v>0</v>
      </c>
      <c r="M394">
        <v>7</v>
      </c>
      <c r="N394" t="s">
        <v>35</v>
      </c>
      <c r="O394" t="s">
        <v>32</v>
      </c>
      <c r="P394">
        <v>8.6720435884676306</v>
      </c>
      <c r="Q394">
        <v>0.77488219322287599</v>
      </c>
      <c r="R394">
        <v>3.3720462076249298</v>
      </c>
      <c r="S394">
        <v>194</v>
      </c>
      <c r="T394">
        <v>41</v>
      </c>
      <c r="U394">
        <v>814.01322613233401</v>
      </c>
      <c r="V394">
        <v>3.46706290242694E-3</v>
      </c>
      <c r="W394">
        <v>1813434.9563165901</v>
      </c>
      <c r="X394" t="s">
        <v>38</v>
      </c>
      <c r="Y394">
        <f>1-711-101-2362</f>
        <v>-3173</v>
      </c>
    </row>
    <row r="395" spans="1:25" x14ac:dyDescent="0.35">
      <c r="A395">
        <v>39.141916608618899</v>
      </c>
      <c r="B395">
        <v>-118.89584690372401</v>
      </c>
      <c r="C395" t="s">
        <v>34</v>
      </c>
      <c r="D395">
        <v>10.566657337936</v>
      </c>
      <c r="E395">
        <v>5</v>
      </c>
      <c r="F395">
        <v>3185</v>
      </c>
      <c r="G395">
        <v>4</v>
      </c>
      <c r="H395">
        <v>3</v>
      </c>
      <c r="I395">
        <v>1975</v>
      </c>
      <c r="J395">
        <v>1</v>
      </c>
      <c r="K395">
        <v>0</v>
      </c>
      <c r="L395">
        <v>1</v>
      </c>
      <c r="M395">
        <v>11</v>
      </c>
      <c r="N395" t="s">
        <v>41</v>
      </c>
      <c r="O395" t="s">
        <v>27</v>
      </c>
      <c r="P395">
        <v>8.0834991175390307</v>
      </c>
      <c r="Q395">
        <v>0.72557129548647104</v>
      </c>
      <c r="R395">
        <v>2.9575798813249898</v>
      </c>
      <c r="S395">
        <v>188</v>
      </c>
      <c r="T395">
        <v>40</v>
      </c>
      <c r="U395">
        <v>855.81382089642796</v>
      </c>
      <c r="V395">
        <v>3.4536891679748799E-3</v>
      </c>
      <c r="W395">
        <v>3056813.2348983199</v>
      </c>
      <c r="X395" t="s">
        <v>44</v>
      </c>
      <c r="Y395">
        <f>1-258-643-9559</f>
        <v>-10459</v>
      </c>
    </row>
    <row r="396" spans="1:25" x14ac:dyDescent="0.35">
      <c r="A396">
        <v>36.5017472087358</v>
      </c>
      <c r="B396">
        <v>-119.07966598023501</v>
      </c>
      <c r="C396" t="s">
        <v>29</v>
      </c>
      <c r="D396">
        <v>1.73252361246734</v>
      </c>
      <c r="E396">
        <v>5</v>
      </c>
      <c r="F396">
        <v>944</v>
      </c>
      <c r="G396">
        <v>1</v>
      </c>
      <c r="H396">
        <v>3</v>
      </c>
      <c r="I396">
        <v>1956</v>
      </c>
      <c r="J396">
        <v>0</v>
      </c>
      <c r="K396">
        <v>1</v>
      </c>
      <c r="L396">
        <v>1</v>
      </c>
      <c r="M396">
        <v>2</v>
      </c>
      <c r="N396" t="s">
        <v>37</v>
      </c>
      <c r="O396" t="s">
        <v>27</v>
      </c>
      <c r="P396">
        <v>12.1090795982598</v>
      </c>
      <c r="Q396">
        <v>2.0900965328620602</v>
      </c>
      <c r="R396">
        <v>7.6007145223174204</v>
      </c>
      <c r="S396">
        <v>115</v>
      </c>
      <c r="T396">
        <v>70</v>
      </c>
      <c r="U396">
        <v>908.71605791686704</v>
      </c>
      <c r="V396">
        <v>2.1186440677966102E-3</v>
      </c>
      <c r="W396">
        <v>1078817.57348154</v>
      </c>
      <c r="X396" t="s">
        <v>36</v>
      </c>
      <c r="Y396">
        <f>1-809-106-9102</f>
        <v>-10016</v>
      </c>
    </row>
    <row r="397" spans="1:25" x14ac:dyDescent="0.35">
      <c r="A397">
        <v>36.324566558707403</v>
      </c>
      <c r="B397">
        <v>-123.000593605887</v>
      </c>
      <c r="C397" t="s">
        <v>29</v>
      </c>
      <c r="D397">
        <v>40.284117848952903</v>
      </c>
      <c r="E397">
        <v>3</v>
      </c>
      <c r="F397">
        <v>4524</v>
      </c>
      <c r="G397">
        <v>4</v>
      </c>
      <c r="H397">
        <v>3</v>
      </c>
      <c r="I397">
        <v>1968</v>
      </c>
      <c r="J397">
        <v>1</v>
      </c>
      <c r="K397">
        <v>1</v>
      </c>
      <c r="L397">
        <v>0</v>
      </c>
      <c r="M397">
        <v>7</v>
      </c>
      <c r="N397" t="s">
        <v>41</v>
      </c>
      <c r="O397" t="s">
        <v>32</v>
      </c>
      <c r="P397">
        <v>8.0811808732027899</v>
      </c>
      <c r="Q397">
        <v>1.6845242675851</v>
      </c>
      <c r="R397">
        <v>8.2554012469048903</v>
      </c>
      <c r="S397">
        <v>128</v>
      </c>
      <c r="T397">
        <v>70</v>
      </c>
      <c r="U397">
        <v>430.52718305908098</v>
      </c>
      <c r="V397">
        <v>1.5473032714411999E-3</v>
      </c>
      <c r="W397">
        <v>2399592.80052215</v>
      </c>
      <c r="X397" t="s">
        <v>33</v>
      </c>
      <c r="Y397">
        <f>1-470-880-7642</f>
        <v>-8991</v>
      </c>
    </row>
    <row r="398" spans="1:25" x14ac:dyDescent="0.35">
      <c r="A398">
        <v>40.9936738887221</v>
      </c>
      <c r="B398">
        <v>-122.936645269197</v>
      </c>
      <c r="C398" t="s">
        <v>34</v>
      </c>
      <c r="D398">
        <v>33.299200223384602</v>
      </c>
      <c r="E398">
        <v>1</v>
      </c>
      <c r="F398">
        <v>4022</v>
      </c>
      <c r="G398">
        <v>5</v>
      </c>
      <c r="H398">
        <v>3</v>
      </c>
      <c r="I398">
        <v>1995</v>
      </c>
      <c r="J398">
        <v>0</v>
      </c>
      <c r="K398">
        <v>1</v>
      </c>
      <c r="L398">
        <v>0</v>
      </c>
      <c r="M398">
        <v>13</v>
      </c>
      <c r="N398" t="s">
        <v>35</v>
      </c>
      <c r="O398" t="s">
        <v>32</v>
      </c>
      <c r="P398">
        <v>7.3296849814328402</v>
      </c>
      <c r="Q398">
        <v>2.1074120603463502</v>
      </c>
      <c r="R398">
        <v>9.6583171228143296</v>
      </c>
      <c r="S398">
        <v>63</v>
      </c>
      <c r="T398">
        <v>24</v>
      </c>
      <c r="U398">
        <v>333.69654367847198</v>
      </c>
      <c r="V398">
        <v>3.23222277473893E-3</v>
      </c>
      <c r="W398">
        <v>1790261.23482786</v>
      </c>
      <c r="X398" t="s">
        <v>43</v>
      </c>
      <c r="Y398">
        <f>1-466-162-9339</f>
        <v>-9966</v>
      </c>
    </row>
    <row r="399" spans="1:25" x14ac:dyDescent="0.35">
      <c r="A399">
        <v>35.524898518950899</v>
      </c>
      <c r="B399">
        <v>-122.207524563791</v>
      </c>
      <c r="C399" t="s">
        <v>34</v>
      </c>
      <c r="D399">
        <v>28.351213098957398</v>
      </c>
      <c r="E399">
        <v>3</v>
      </c>
      <c r="F399">
        <v>826</v>
      </c>
      <c r="G399">
        <v>1</v>
      </c>
      <c r="H399">
        <v>2</v>
      </c>
      <c r="I399">
        <v>2021</v>
      </c>
      <c r="J399">
        <v>0</v>
      </c>
      <c r="K399">
        <v>0</v>
      </c>
      <c r="L399">
        <v>0</v>
      </c>
      <c r="M399">
        <v>7</v>
      </c>
      <c r="N399" t="s">
        <v>41</v>
      </c>
      <c r="O399" t="s">
        <v>30</v>
      </c>
      <c r="P399">
        <v>6.2888169093412296</v>
      </c>
      <c r="Q399">
        <v>2.4287910919715201</v>
      </c>
      <c r="R399">
        <v>3.1432626889857702</v>
      </c>
      <c r="S399">
        <v>117</v>
      </c>
      <c r="T399">
        <v>47</v>
      </c>
      <c r="U399">
        <v>223.84196481551299</v>
      </c>
      <c r="V399">
        <v>8.4745762711864406E-3</v>
      </c>
      <c r="W399">
        <v>375140.64458122</v>
      </c>
      <c r="X399" t="s">
        <v>36</v>
      </c>
      <c r="Y399">
        <f>1-370-709-1213</f>
        <v>-2291</v>
      </c>
    </row>
    <row r="400" spans="1:25" x14ac:dyDescent="0.35">
      <c r="A400">
        <v>41.246154577360201</v>
      </c>
      <c r="B400">
        <v>-116.93410255822501</v>
      </c>
      <c r="C400" t="s">
        <v>25</v>
      </c>
      <c r="D400">
        <v>36.981060473576399</v>
      </c>
      <c r="E400">
        <v>4</v>
      </c>
      <c r="F400">
        <v>4359</v>
      </c>
      <c r="G400">
        <v>3</v>
      </c>
      <c r="H400">
        <v>2</v>
      </c>
      <c r="I400">
        <v>1951</v>
      </c>
      <c r="J400">
        <v>0</v>
      </c>
      <c r="K400">
        <v>1</v>
      </c>
      <c r="L400">
        <v>0</v>
      </c>
      <c r="M400">
        <v>10</v>
      </c>
      <c r="N400" t="s">
        <v>26</v>
      </c>
      <c r="O400" t="s">
        <v>32</v>
      </c>
      <c r="P400">
        <v>8.1220854407699505</v>
      </c>
      <c r="Q400">
        <v>2.3904354506317498</v>
      </c>
      <c r="R400">
        <v>4.5800525799317304</v>
      </c>
      <c r="S400">
        <v>106</v>
      </c>
      <c r="T400">
        <v>63</v>
      </c>
      <c r="U400">
        <v>371.58511781640198</v>
      </c>
      <c r="V400">
        <v>2.29410415232851E-3</v>
      </c>
      <c r="W400">
        <v>1834471.2333499601</v>
      </c>
      <c r="X400" t="s">
        <v>43</v>
      </c>
      <c r="Y400">
        <f>1-567-739-6335</f>
        <v>-7640</v>
      </c>
    </row>
    <row r="401" spans="1:25" x14ac:dyDescent="0.35">
      <c r="A401">
        <v>38.989001610648799</v>
      </c>
      <c r="B401">
        <v>-115.196776656273</v>
      </c>
      <c r="C401" t="s">
        <v>29</v>
      </c>
      <c r="D401">
        <v>7.2934255864895698</v>
      </c>
      <c r="E401">
        <v>6</v>
      </c>
      <c r="F401">
        <v>2430</v>
      </c>
      <c r="G401">
        <v>3</v>
      </c>
      <c r="H401">
        <v>2</v>
      </c>
      <c r="I401">
        <v>1965</v>
      </c>
      <c r="J401">
        <v>0</v>
      </c>
      <c r="K401">
        <v>0</v>
      </c>
      <c r="L401">
        <v>1</v>
      </c>
      <c r="M401">
        <v>13</v>
      </c>
      <c r="N401" t="s">
        <v>41</v>
      </c>
      <c r="O401" t="s">
        <v>30</v>
      </c>
      <c r="P401">
        <v>13.122912847194799</v>
      </c>
      <c r="Q401">
        <v>0.71405954918428105</v>
      </c>
      <c r="R401">
        <v>3.6034545580775998</v>
      </c>
      <c r="S401">
        <v>63</v>
      </c>
      <c r="T401">
        <v>54</v>
      </c>
      <c r="U401">
        <v>268.041695196413</v>
      </c>
      <c r="V401">
        <v>5.3497942386831199E-3</v>
      </c>
      <c r="W401">
        <v>880990.54637785198</v>
      </c>
      <c r="X401" t="s">
        <v>38</v>
      </c>
      <c r="Y401">
        <f>1-550-563-8039</f>
        <v>-9151</v>
      </c>
    </row>
    <row r="402" spans="1:25" x14ac:dyDescent="0.35">
      <c r="A402">
        <v>33.736173352912097</v>
      </c>
      <c r="B402">
        <v>-118.948171282898</v>
      </c>
      <c r="C402" t="s">
        <v>25</v>
      </c>
      <c r="D402">
        <v>12.4684791012071</v>
      </c>
      <c r="E402">
        <v>5</v>
      </c>
      <c r="F402">
        <v>1797</v>
      </c>
      <c r="G402">
        <v>3</v>
      </c>
      <c r="H402">
        <v>1</v>
      </c>
      <c r="I402">
        <v>1999</v>
      </c>
      <c r="J402">
        <v>1</v>
      </c>
      <c r="K402">
        <v>1</v>
      </c>
      <c r="L402">
        <v>1</v>
      </c>
      <c r="M402">
        <v>8</v>
      </c>
      <c r="N402" t="s">
        <v>41</v>
      </c>
      <c r="O402" t="s">
        <v>32</v>
      </c>
      <c r="P402">
        <v>9.1192737707964309</v>
      </c>
      <c r="Q402">
        <v>1.0447687535930801</v>
      </c>
      <c r="R402">
        <v>5.9419057766849699</v>
      </c>
      <c r="S402">
        <v>174</v>
      </c>
      <c r="T402">
        <v>59</v>
      </c>
      <c r="U402">
        <v>726.237550998502</v>
      </c>
      <c r="V402">
        <v>4.4518642181413399E-3</v>
      </c>
      <c r="W402">
        <v>1641547.82243168</v>
      </c>
      <c r="X402" t="s">
        <v>36</v>
      </c>
      <c r="Y402">
        <f>1-781-422-4188</f>
        <v>-5390</v>
      </c>
    </row>
    <row r="403" spans="1:25" x14ac:dyDescent="0.35">
      <c r="A403">
        <v>32.729697661362501</v>
      </c>
      <c r="B403">
        <v>-122.130920046599</v>
      </c>
      <c r="C403" t="s">
        <v>25</v>
      </c>
      <c r="D403">
        <v>19.5259447044347</v>
      </c>
      <c r="E403">
        <v>2</v>
      </c>
      <c r="F403">
        <v>4197</v>
      </c>
      <c r="G403">
        <v>1</v>
      </c>
      <c r="H403">
        <v>1</v>
      </c>
      <c r="I403">
        <v>1985</v>
      </c>
      <c r="J403">
        <v>1</v>
      </c>
      <c r="K403">
        <v>0</v>
      </c>
      <c r="L403">
        <v>1</v>
      </c>
      <c r="M403">
        <v>12</v>
      </c>
      <c r="N403" t="s">
        <v>26</v>
      </c>
      <c r="O403" t="s">
        <v>27</v>
      </c>
      <c r="P403">
        <v>9.1116996990717105</v>
      </c>
      <c r="Q403">
        <v>1.6893756512336</v>
      </c>
      <c r="R403">
        <v>9.53132784378049</v>
      </c>
      <c r="S403">
        <v>116</v>
      </c>
      <c r="T403">
        <v>42</v>
      </c>
      <c r="U403">
        <v>821.126242776514</v>
      </c>
      <c r="V403">
        <v>2.8591851322373098E-3</v>
      </c>
      <c r="W403">
        <v>3603848.7153391698</v>
      </c>
      <c r="X403" t="s">
        <v>43</v>
      </c>
      <c r="Y403">
        <f>1-812-631-6118</f>
        <v>-7560</v>
      </c>
    </row>
    <row r="404" spans="1:25" x14ac:dyDescent="0.35">
      <c r="A404">
        <v>39.590057909051197</v>
      </c>
      <c r="B404">
        <v>-116.592693808871</v>
      </c>
      <c r="C404" t="s">
        <v>34</v>
      </c>
      <c r="D404">
        <v>13.349966387728999</v>
      </c>
      <c r="E404">
        <v>6</v>
      </c>
      <c r="F404">
        <v>4272</v>
      </c>
      <c r="G404">
        <v>4</v>
      </c>
      <c r="H404">
        <v>3</v>
      </c>
      <c r="I404">
        <v>1975</v>
      </c>
      <c r="J404">
        <v>0</v>
      </c>
      <c r="K404">
        <v>1</v>
      </c>
      <c r="L404">
        <v>1</v>
      </c>
      <c r="M404">
        <v>6</v>
      </c>
      <c r="N404" t="s">
        <v>37</v>
      </c>
      <c r="O404" t="s">
        <v>32</v>
      </c>
      <c r="P404">
        <v>13.428563198840701</v>
      </c>
      <c r="Q404">
        <v>2.0202301330291501</v>
      </c>
      <c r="R404">
        <v>0.916091251953425</v>
      </c>
      <c r="S404">
        <v>42</v>
      </c>
      <c r="T404">
        <v>28</v>
      </c>
      <c r="U404">
        <v>401.60913229874802</v>
      </c>
      <c r="V404">
        <v>1.4044943820224699E-3</v>
      </c>
      <c r="W404">
        <v>2210903.2489048098</v>
      </c>
      <c r="X404" t="s">
        <v>36</v>
      </c>
      <c r="Y404">
        <f>1-844-669-3931</f>
        <v>-5443</v>
      </c>
    </row>
    <row r="405" spans="1:25" x14ac:dyDescent="0.35">
      <c r="A405">
        <v>38.265584669111902</v>
      </c>
      <c r="B405">
        <v>-114.026613414175</v>
      </c>
      <c r="C405" t="s">
        <v>29</v>
      </c>
      <c r="D405">
        <v>47.696979829902403</v>
      </c>
      <c r="E405">
        <v>5</v>
      </c>
      <c r="F405">
        <v>4383</v>
      </c>
      <c r="G405">
        <v>4</v>
      </c>
      <c r="H405">
        <v>1</v>
      </c>
      <c r="I405">
        <v>1988</v>
      </c>
      <c r="J405">
        <v>1</v>
      </c>
      <c r="K405">
        <v>1</v>
      </c>
      <c r="L405">
        <v>1</v>
      </c>
      <c r="M405">
        <v>4</v>
      </c>
      <c r="N405" t="s">
        <v>41</v>
      </c>
      <c r="O405" t="s">
        <v>27</v>
      </c>
      <c r="P405">
        <v>6.3363998977105602</v>
      </c>
      <c r="Q405">
        <v>2.1558353529368799</v>
      </c>
      <c r="R405">
        <v>3.3791611506182</v>
      </c>
      <c r="S405">
        <v>86</v>
      </c>
      <c r="T405">
        <v>64</v>
      </c>
      <c r="U405">
        <v>375.55269045751498</v>
      </c>
      <c r="V405">
        <v>9.1261692904403299E-4</v>
      </c>
      <c r="W405">
        <v>2043476.1491725501</v>
      </c>
      <c r="X405" t="s">
        <v>33</v>
      </c>
      <c r="Y405">
        <f>1-387-157-6214</f>
        <v>-6757</v>
      </c>
    </row>
    <row r="406" spans="1:25" x14ac:dyDescent="0.35">
      <c r="A406">
        <v>33.411655222598803</v>
      </c>
      <c r="B406">
        <v>-114.79487915761</v>
      </c>
      <c r="C406" t="s">
        <v>29</v>
      </c>
      <c r="D406">
        <v>27.705768491604299</v>
      </c>
      <c r="E406">
        <v>5</v>
      </c>
      <c r="F406">
        <v>853</v>
      </c>
      <c r="G406">
        <v>5</v>
      </c>
      <c r="H406">
        <v>1</v>
      </c>
      <c r="I406">
        <v>2009</v>
      </c>
      <c r="J406">
        <v>1</v>
      </c>
      <c r="K406">
        <v>1</v>
      </c>
      <c r="L406">
        <v>0</v>
      </c>
      <c r="M406">
        <v>13</v>
      </c>
      <c r="N406" t="s">
        <v>26</v>
      </c>
      <c r="O406" t="s">
        <v>30</v>
      </c>
      <c r="P406">
        <v>10.874073170099001</v>
      </c>
      <c r="Q406">
        <v>0.95741198571091302</v>
      </c>
      <c r="R406">
        <v>1.43603239379626</v>
      </c>
      <c r="S406">
        <v>177</v>
      </c>
      <c r="T406">
        <v>75</v>
      </c>
      <c r="U406">
        <v>959.88352982525305</v>
      </c>
      <c r="V406">
        <v>1.5240328253223899E-2</v>
      </c>
      <c r="W406">
        <v>1236125.0855239001</v>
      </c>
      <c r="X406" t="s">
        <v>33</v>
      </c>
      <c r="Y406">
        <f>1-695-198-5379</f>
        <v>-6271</v>
      </c>
    </row>
    <row r="407" spans="1:25" x14ac:dyDescent="0.35">
      <c r="A407">
        <v>35.3740435568103</v>
      </c>
      <c r="B407">
        <v>-119.19465489190399</v>
      </c>
      <c r="C407" t="s">
        <v>29</v>
      </c>
      <c r="D407">
        <v>15.977695448037201</v>
      </c>
      <c r="E407">
        <v>7</v>
      </c>
      <c r="F407">
        <v>4525</v>
      </c>
      <c r="G407">
        <v>5</v>
      </c>
      <c r="H407">
        <v>2</v>
      </c>
      <c r="I407">
        <v>2001</v>
      </c>
      <c r="J407">
        <v>1</v>
      </c>
      <c r="K407">
        <v>1</v>
      </c>
      <c r="L407">
        <v>1</v>
      </c>
      <c r="M407">
        <v>13</v>
      </c>
      <c r="N407" t="s">
        <v>35</v>
      </c>
      <c r="O407" t="s">
        <v>27</v>
      </c>
      <c r="P407">
        <v>3.5608411112554701</v>
      </c>
      <c r="Q407">
        <v>0.66019406967072503</v>
      </c>
      <c r="R407">
        <v>2.74954659005276</v>
      </c>
      <c r="S407">
        <v>41</v>
      </c>
      <c r="T407">
        <v>27</v>
      </c>
      <c r="U407">
        <v>320.25522255909601</v>
      </c>
      <c r="V407">
        <v>2.8729281767955802E-3</v>
      </c>
      <c r="W407">
        <v>1970324.0682463001</v>
      </c>
      <c r="X407" t="s">
        <v>33</v>
      </c>
      <c r="Y407">
        <f>1-281-840-5505</f>
        <v>-6625</v>
      </c>
    </row>
    <row r="408" spans="1:25" x14ac:dyDescent="0.35">
      <c r="A408">
        <v>34.2615697671296</v>
      </c>
      <c r="B408">
        <v>-114.59119798959</v>
      </c>
      <c r="C408" t="s">
        <v>29</v>
      </c>
      <c r="D408">
        <v>46.106434292825298</v>
      </c>
      <c r="E408">
        <v>2</v>
      </c>
      <c r="F408">
        <v>3415</v>
      </c>
      <c r="G408">
        <v>5</v>
      </c>
      <c r="H408">
        <v>3</v>
      </c>
      <c r="I408">
        <v>2014</v>
      </c>
      <c r="J408">
        <v>1</v>
      </c>
      <c r="K408">
        <v>0</v>
      </c>
      <c r="L408">
        <v>0</v>
      </c>
      <c r="M408">
        <v>5</v>
      </c>
      <c r="N408" t="s">
        <v>35</v>
      </c>
      <c r="O408" t="s">
        <v>30</v>
      </c>
      <c r="P408">
        <v>12.7096246221996</v>
      </c>
      <c r="Q408">
        <v>0.97024950251358499</v>
      </c>
      <c r="R408">
        <v>7.9577076959988799</v>
      </c>
      <c r="S408">
        <v>52</v>
      </c>
      <c r="T408">
        <v>21</v>
      </c>
      <c r="U408">
        <v>336.36773489890197</v>
      </c>
      <c r="V408">
        <v>1.4641288433382099E-3</v>
      </c>
      <c r="W408">
        <v>1583908.2427007901</v>
      </c>
      <c r="X408" t="s">
        <v>42</v>
      </c>
      <c r="Y408">
        <f>1-318-808-1390</f>
        <v>-2515</v>
      </c>
    </row>
    <row r="409" spans="1:25" x14ac:dyDescent="0.35">
      <c r="A409">
        <v>37.201880415628104</v>
      </c>
      <c r="B409">
        <v>-115.572648047953</v>
      </c>
      <c r="C409" t="s">
        <v>25</v>
      </c>
      <c r="D409">
        <v>10.2288260850054</v>
      </c>
      <c r="E409">
        <v>9</v>
      </c>
      <c r="F409">
        <v>4922</v>
      </c>
      <c r="G409">
        <v>1</v>
      </c>
      <c r="H409">
        <v>1</v>
      </c>
      <c r="I409">
        <v>1987</v>
      </c>
      <c r="J409">
        <v>1</v>
      </c>
      <c r="K409">
        <v>1</v>
      </c>
      <c r="L409">
        <v>0</v>
      </c>
      <c r="M409">
        <v>6</v>
      </c>
      <c r="N409" t="s">
        <v>35</v>
      </c>
      <c r="O409" t="s">
        <v>30</v>
      </c>
      <c r="P409">
        <v>9.3130060332096303</v>
      </c>
      <c r="Q409">
        <v>0.97437305504305305</v>
      </c>
      <c r="R409">
        <v>3.0608657910382799</v>
      </c>
      <c r="S409">
        <v>142</v>
      </c>
      <c r="T409">
        <v>66</v>
      </c>
      <c r="U409">
        <v>372.163689721911</v>
      </c>
      <c r="V409">
        <v>1.21901665989435E-3</v>
      </c>
      <c r="W409">
        <v>1958021.3624549999</v>
      </c>
      <c r="X409" t="s">
        <v>39</v>
      </c>
      <c r="Y409">
        <f>1-995-692-3419</f>
        <v>-5105</v>
      </c>
    </row>
    <row r="410" spans="1:25" x14ac:dyDescent="0.35">
      <c r="A410">
        <v>33.951569570235598</v>
      </c>
      <c r="B410">
        <v>-119.67227367088999</v>
      </c>
      <c r="C410" t="s">
        <v>34</v>
      </c>
      <c r="D410">
        <v>47.548879297885598</v>
      </c>
      <c r="E410">
        <v>0</v>
      </c>
      <c r="F410">
        <v>803</v>
      </c>
      <c r="G410">
        <v>5</v>
      </c>
      <c r="H410">
        <v>2</v>
      </c>
      <c r="I410">
        <v>1965</v>
      </c>
      <c r="J410">
        <v>1</v>
      </c>
      <c r="K410">
        <v>0</v>
      </c>
      <c r="L410">
        <v>1</v>
      </c>
      <c r="M410">
        <v>8</v>
      </c>
      <c r="N410" t="s">
        <v>37</v>
      </c>
      <c r="O410" t="s">
        <v>32</v>
      </c>
      <c r="P410">
        <v>10.1408830838061</v>
      </c>
      <c r="Q410">
        <v>1.63794126691472</v>
      </c>
      <c r="R410">
        <v>5.4026142102190304</v>
      </c>
      <c r="S410">
        <v>30</v>
      </c>
      <c r="T410">
        <v>67</v>
      </c>
      <c r="U410">
        <v>431.984585137213</v>
      </c>
      <c r="V410">
        <v>9.9626400996263992E-3</v>
      </c>
      <c r="W410">
        <v>736949.61431181501</v>
      </c>
      <c r="X410" t="s">
        <v>38</v>
      </c>
      <c r="Y410">
        <f>1-224-803-3323</f>
        <v>-4349</v>
      </c>
    </row>
    <row r="411" spans="1:25" x14ac:dyDescent="0.35">
      <c r="A411">
        <v>32.980812456398297</v>
      </c>
      <c r="B411">
        <v>-124.185095644268</v>
      </c>
      <c r="C411" t="s">
        <v>34</v>
      </c>
      <c r="D411">
        <v>33.327799812407498</v>
      </c>
      <c r="E411">
        <v>0</v>
      </c>
      <c r="F411">
        <v>1755</v>
      </c>
      <c r="G411">
        <v>4</v>
      </c>
      <c r="H411">
        <v>3</v>
      </c>
      <c r="I411">
        <v>1973</v>
      </c>
      <c r="J411">
        <v>0</v>
      </c>
      <c r="K411">
        <v>1</v>
      </c>
      <c r="L411">
        <v>1</v>
      </c>
      <c r="M411">
        <v>8</v>
      </c>
      <c r="N411" t="s">
        <v>41</v>
      </c>
      <c r="O411" t="s">
        <v>32</v>
      </c>
      <c r="P411">
        <v>4.2076381169105899</v>
      </c>
      <c r="Q411">
        <v>0.62460973808776599</v>
      </c>
      <c r="R411">
        <v>6.8565493778172302</v>
      </c>
      <c r="S411">
        <v>134</v>
      </c>
      <c r="T411">
        <v>57</v>
      </c>
      <c r="U411">
        <v>487.00824925509602</v>
      </c>
      <c r="V411">
        <v>4.5584045584045503E-3</v>
      </c>
      <c r="W411">
        <v>1258115.4361952399</v>
      </c>
      <c r="X411" t="s">
        <v>42</v>
      </c>
      <c r="Y411">
        <f>1-723-603-6815</f>
        <v>-8140</v>
      </c>
    </row>
    <row r="412" spans="1:25" x14ac:dyDescent="0.35">
      <c r="A412">
        <v>35.902129467751401</v>
      </c>
      <c r="B412">
        <v>-115.483457973195</v>
      </c>
      <c r="C412" t="s">
        <v>34</v>
      </c>
      <c r="D412">
        <v>19.0427369904756</v>
      </c>
      <c r="E412">
        <v>0</v>
      </c>
      <c r="F412">
        <v>615</v>
      </c>
      <c r="G412">
        <v>5</v>
      </c>
      <c r="H412">
        <v>1</v>
      </c>
      <c r="I412">
        <v>1953</v>
      </c>
      <c r="J412">
        <v>1</v>
      </c>
      <c r="K412">
        <v>0</v>
      </c>
      <c r="L412">
        <v>1</v>
      </c>
      <c r="M412">
        <v>13</v>
      </c>
      <c r="N412" t="s">
        <v>37</v>
      </c>
      <c r="O412" t="s">
        <v>30</v>
      </c>
      <c r="P412">
        <v>4.10654963365148</v>
      </c>
      <c r="Q412">
        <v>1.76265226063133</v>
      </c>
      <c r="R412">
        <v>5.3483241135667496</v>
      </c>
      <c r="S412">
        <v>9</v>
      </c>
      <c r="T412">
        <v>50</v>
      </c>
      <c r="U412">
        <v>633.12650534105501</v>
      </c>
      <c r="V412">
        <v>2.1138211382113799E-2</v>
      </c>
      <c r="W412">
        <v>628300.70433638699</v>
      </c>
      <c r="X412" t="s">
        <v>39</v>
      </c>
      <c r="Y412">
        <f>1-949-417-1653</f>
        <v>-3018</v>
      </c>
    </row>
    <row r="413" spans="1:25" x14ac:dyDescent="0.35">
      <c r="A413">
        <v>35.004890208544197</v>
      </c>
      <c r="B413">
        <v>-117.74994340543201</v>
      </c>
      <c r="C413" t="s">
        <v>25</v>
      </c>
      <c r="D413">
        <v>1.42766262282423</v>
      </c>
      <c r="E413">
        <v>6</v>
      </c>
      <c r="F413">
        <v>3326</v>
      </c>
      <c r="G413">
        <v>4</v>
      </c>
      <c r="H413">
        <v>1</v>
      </c>
      <c r="I413">
        <v>1973</v>
      </c>
      <c r="J413">
        <v>0</v>
      </c>
      <c r="K413">
        <v>1</v>
      </c>
      <c r="L413">
        <v>1</v>
      </c>
      <c r="M413">
        <v>10</v>
      </c>
      <c r="N413" t="s">
        <v>41</v>
      </c>
      <c r="O413" t="s">
        <v>30</v>
      </c>
      <c r="P413">
        <v>9.1453385250038508</v>
      </c>
      <c r="Q413">
        <v>2.1548236440992699</v>
      </c>
      <c r="R413">
        <v>6.3195778662765001</v>
      </c>
      <c r="S413">
        <v>175</v>
      </c>
      <c r="T413">
        <v>34</v>
      </c>
      <c r="U413">
        <v>246.17417703782399</v>
      </c>
      <c r="V413">
        <v>3.0066145520144302E-3</v>
      </c>
      <c r="W413">
        <v>1045881.42778958</v>
      </c>
      <c r="X413" t="s">
        <v>38</v>
      </c>
      <c r="Y413">
        <f>1-476-587-1069</f>
        <v>-2131</v>
      </c>
    </row>
    <row r="414" spans="1:25" x14ac:dyDescent="0.35">
      <c r="A414">
        <v>34.956669170361103</v>
      </c>
      <c r="B414">
        <v>-120.471938501035</v>
      </c>
      <c r="C414" t="s">
        <v>34</v>
      </c>
      <c r="D414">
        <v>5.9607594566720996</v>
      </c>
      <c r="E414">
        <v>5</v>
      </c>
      <c r="F414">
        <v>2659</v>
      </c>
      <c r="G414">
        <v>3</v>
      </c>
      <c r="H414">
        <v>2</v>
      </c>
      <c r="I414">
        <v>1960</v>
      </c>
      <c r="J414">
        <v>1</v>
      </c>
      <c r="K414">
        <v>0</v>
      </c>
      <c r="L414">
        <v>0</v>
      </c>
      <c r="M414">
        <v>9</v>
      </c>
      <c r="N414" t="s">
        <v>35</v>
      </c>
      <c r="O414" t="s">
        <v>30</v>
      </c>
      <c r="P414">
        <v>5.4083779091094302</v>
      </c>
      <c r="Q414">
        <v>1.1568623714725099</v>
      </c>
      <c r="R414">
        <v>9.8839280200396509</v>
      </c>
      <c r="S414">
        <v>194</v>
      </c>
      <c r="T414">
        <v>77</v>
      </c>
      <c r="U414">
        <v>483.299848490572</v>
      </c>
      <c r="V414">
        <v>3.3847311019180098E-3</v>
      </c>
      <c r="W414">
        <v>1376638.30439701</v>
      </c>
      <c r="X414" t="s">
        <v>40</v>
      </c>
      <c r="Y414">
        <f>1-207-238-7497</f>
        <v>-7941</v>
      </c>
    </row>
    <row r="415" spans="1:25" x14ac:dyDescent="0.35">
      <c r="A415">
        <v>40.1644340101548</v>
      </c>
      <c r="B415">
        <v>-120.39822558734799</v>
      </c>
      <c r="C415" t="s">
        <v>29</v>
      </c>
      <c r="D415">
        <v>36.280112997962</v>
      </c>
      <c r="E415">
        <v>0</v>
      </c>
      <c r="F415">
        <v>3056</v>
      </c>
      <c r="G415">
        <v>2</v>
      </c>
      <c r="H415">
        <v>1</v>
      </c>
      <c r="I415">
        <v>1955</v>
      </c>
      <c r="J415">
        <v>0</v>
      </c>
      <c r="K415">
        <v>1</v>
      </c>
      <c r="L415">
        <v>0</v>
      </c>
      <c r="M415">
        <v>13</v>
      </c>
      <c r="N415" t="s">
        <v>41</v>
      </c>
      <c r="O415" t="s">
        <v>30</v>
      </c>
      <c r="P415">
        <v>6.1066792504525598</v>
      </c>
      <c r="Q415">
        <v>1.90076436028243</v>
      </c>
      <c r="R415">
        <v>2.83291598694665</v>
      </c>
      <c r="S415">
        <v>48</v>
      </c>
      <c r="T415">
        <v>44</v>
      </c>
      <c r="U415">
        <v>610.31160711285497</v>
      </c>
      <c r="V415">
        <v>4.2539267015706799E-3</v>
      </c>
      <c r="W415">
        <v>1985144.94722735</v>
      </c>
      <c r="X415" t="s">
        <v>43</v>
      </c>
      <c r="Y415">
        <f>1-726-405-8452</f>
        <v>-9582</v>
      </c>
    </row>
    <row r="416" spans="1:25" x14ac:dyDescent="0.35">
      <c r="A416">
        <v>34.7803572768332</v>
      </c>
      <c r="B416">
        <v>-121.041764554691</v>
      </c>
      <c r="C416" t="s">
        <v>34</v>
      </c>
      <c r="D416">
        <v>38.999518290590601</v>
      </c>
      <c r="E416">
        <v>0</v>
      </c>
      <c r="F416">
        <v>2893</v>
      </c>
      <c r="G416">
        <v>1</v>
      </c>
      <c r="H416">
        <v>3</v>
      </c>
      <c r="I416">
        <v>2001</v>
      </c>
      <c r="J416">
        <v>0</v>
      </c>
      <c r="K416">
        <v>0</v>
      </c>
      <c r="L416">
        <v>0</v>
      </c>
      <c r="M416">
        <v>14</v>
      </c>
      <c r="N416" t="s">
        <v>37</v>
      </c>
      <c r="O416" t="s">
        <v>30</v>
      </c>
      <c r="P416">
        <v>12.819435672365501</v>
      </c>
      <c r="Q416">
        <v>1.0050064231695801</v>
      </c>
      <c r="R416">
        <v>9.1706089616612108</v>
      </c>
      <c r="S416">
        <v>36</v>
      </c>
      <c r="T416">
        <v>75</v>
      </c>
      <c r="U416">
        <v>406.838262282919</v>
      </c>
      <c r="V416">
        <v>4.8392671966816401E-3</v>
      </c>
      <c r="W416">
        <v>1343067.9918035101</v>
      </c>
      <c r="X416" t="s">
        <v>28</v>
      </c>
      <c r="Y416">
        <f>1-618-440-9606</f>
        <v>-10663</v>
      </c>
    </row>
    <row r="417" spans="1:25" x14ac:dyDescent="0.35">
      <c r="A417">
        <v>34.584437511489</v>
      </c>
      <c r="B417">
        <v>-117.61891237979199</v>
      </c>
      <c r="C417" t="s">
        <v>34</v>
      </c>
      <c r="D417">
        <v>30.968212439940402</v>
      </c>
      <c r="E417">
        <v>3</v>
      </c>
      <c r="F417">
        <v>4563</v>
      </c>
      <c r="G417">
        <v>2</v>
      </c>
      <c r="H417">
        <v>1</v>
      </c>
      <c r="I417">
        <v>1961</v>
      </c>
      <c r="J417">
        <v>0</v>
      </c>
      <c r="K417">
        <v>1</v>
      </c>
      <c r="L417">
        <v>1</v>
      </c>
      <c r="M417">
        <v>8</v>
      </c>
      <c r="N417" t="s">
        <v>35</v>
      </c>
      <c r="O417" t="s">
        <v>30</v>
      </c>
      <c r="P417">
        <v>9.4750410564177692</v>
      </c>
      <c r="Q417">
        <v>0.55484985179008595</v>
      </c>
      <c r="R417">
        <v>8.3038131313612595</v>
      </c>
      <c r="S417">
        <v>155</v>
      </c>
      <c r="T417">
        <v>39</v>
      </c>
      <c r="U417">
        <v>864.88865422228196</v>
      </c>
      <c r="V417">
        <v>1.75323252246329E-3</v>
      </c>
      <c r="W417">
        <v>4044770.9688096102</v>
      </c>
      <c r="X417" t="s">
        <v>33</v>
      </c>
      <c r="Y417">
        <f>1-941-646-6294</f>
        <v>-7880</v>
      </c>
    </row>
    <row r="418" spans="1:25" x14ac:dyDescent="0.35">
      <c r="A418">
        <v>34.476374892850899</v>
      </c>
      <c r="B418">
        <v>-124.02137920887</v>
      </c>
      <c r="C418" t="s">
        <v>25</v>
      </c>
      <c r="D418">
        <v>39.306403453604602</v>
      </c>
      <c r="E418">
        <v>6</v>
      </c>
      <c r="F418">
        <v>3699</v>
      </c>
      <c r="G418">
        <v>4</v>
      </c>
      <c r="H418">
        <v>3</v>
      </c>
      <c r="I418">
        <v>1974</v>
      </c>
      <c r="J418">
        <v>0</v>
      </c>
      <c r="K418">
        <v>1</v>
      </c>
      <c r="L418">
        <v>0</v>
      </c>
      <c r="M418">
        <v>6</v>
      </c>
      <c r="N418" t="s">
        <v>41</v>
      </c>
      <c r="O418" t="s">
        <v>27</v>
      </c>
      <c r="P418">
        <v>11.9785032217527</v>
      </c>
      <c r="Q418">
        <v>0.61158263065053797</v>
      </c>
      <c r="R418">
        <v>0.69688532059028996</v>
      </c>
      <c r="S418">
        <v>173</v>
      </c>
      <c r="T418">
        <v>52</v>
      </c>
      <c r="U418">
        <v>757.08342588606001</v>
      </c>
      <c r="V418">
        <v>1.6220600162206E-3</v>
      </c>
      <c r="W418">
        <v>3176961.3731194702</v>
      </c>
      <c r="X418" t="s">
        <v>40</v>
      </c>
      <c r="Y418">
        <f>1-577-576-4251</f>
        <v>-5403</v>
      </c>
    </row>
    <row r="419" spans="1:25" x14ac:dyDescent="0.35">
      <c r="A419">
        <v>34.301636508961003</v>
      </c>
      <c r="B419">
        <v>-122.679460242499</v>
      </c>
      <c r="C419" t="s">
        <v>34</v>
      </c>
      <c r="D419">
        <v>23.3906572523391</v>
      </c>
      <c r="E419">
        <v>7</v>
      </c>
      <c r="F419">
        <v>3594</v>
      </c>
      <c r="G419">
        <v>1</v>
      </c>
      <c r="H419">
        <v>1</v>
      </c>
      <c r="I419">
        <v>1964</v>
      </c>
      <c r="J419">
        <v>1</v>
      </c>
      <c r="K419">
        <v>1</v>
      </c>
      <c r="L419">
        <v>1</v>
      </c>
      <c r="M419">
        <v>14</v>
      </c>
      <c r="N419" t="s">
        <v>26</v>
      </c>
      <c r="O419" t="s">
        <v>27</v>
      </c>
      <c r="P419">
        <v>14.1447937800933</v>
      </c>
      <c r="Q419">
        <v>2.2341416109126899</v>
      </c>
      <c r="R419">
        <v>4.7841999067309597</v>
      </c>
      <c r="S419">
        <v>153</v>
      </c>
      <c r="T419">
        <v>60</v>
      </c>
      <c r="U419">
        <v>467.12710132541201</v>
      </c>
      <c r="V419">
        <v>3.89538119087367E-3</v>
      </c>
      <c r="W419">
        <v>1933601.2419008</v>
      </c>
      <c r="X419" t="s">
        <v>28</v>
      </c>
      <c r="Y419">
        <f>1-753-716-7075</f>
        <v>-8543</v>
      </c>
    </row>
    <row r="420" spans="1:25" x14ac:dyDescent="0.35">
      <c r="A420">
        <v>40.345340027828499</v>
      </c>
      <c r="B420">
        <v>-119.295022609757</v>
      </c>
      <c r="C420" t="s">
        <v>25</v>
      </c>
      <c r="D420">
        <v>39.1333996864753</v>
      </c>
      <c r="E420">
        <v>3</v>
      </c>
      <c r="F420">
        <v>2957</v>
      </c>
      <c r="G420">
        <v>3</v>
      </c>
      <c r="H420">
        <v>2</v>
      </c>
      <c r="I420">
        <v>2018</v>
      </c>
      <c r="J420">
        <v>0</v>
      </c>
      <c r="K420">
        <v>1</v>
      </c>
      <c r="L420">
        <v>1</v>
      </c>
      <c r="M420">
        <v>2</v>
      </c>
      <c r="N420" t="s">
        <v>41</v>
      </c>
      <c r="O420" t="s">
        <v>30</v>
      </c>
      <c r="P420">
        <v>6.2892201302879602</v>
      </c>
      <c r="Q420">
        <v>1.1160523443844299</v>
      </c>
      <c r="R420">
        <v>1.0051271505380399</v>
      </c>
      <c r="S420">
        <v>74</v>
      </c>
      <c r="T420">
        <v>31</v>
      </c>
      <c r="U420">
        <v>303.84066983197903</v>
      </c>
      <c r="V420">
        <v>6.7636117686844697E-4</v>
      </c>
      <c r="W420">
        <v>1213584.70952139</v>
      </c>
      <c r="X420" t="s">
        <v>36</v>
      </c>
      <c r="Y420">
        <f>1-309-515-4580</f>
        <v>-5403</v>
      </c>
    </row>
    <row r="421" spans="1:25" x14ac:dyDescent="0.35">
      <c r="A421">
        <v>33.099482501196398</v>
      </c>
      <c r="B421">
        <v>-117.970813044333</v>
      </c>
      <c r="C421" t="s">
        <v>29</v>
      </c>
      <c r="D421">
        <v>17.364078377591898</v>
      </c>
      <c r="E421">
        <v>6</v>
      </c>
      <c r="F421">
        <v>3974</v>
      </c>
      <c r="G421">
        <v>4</v>
      </c>
      <c r="H421">
        <v>2</v>
      </c>
      <c r="I421">
        <v>1967</v>
      </c>
      <c r="J421">
        <v>0</v>
      </c>
      <c r="K421">
        <v>0</v>
      </c>
      <c r="L421">
        <v>0</v>
      </c>
      <c r="M421">
        <v>11</v>
      </c>
      <c r="N421" t="s">
        <v>35</v>
      </c>
      <c r="O421" t="s">
        <v>32</v>
      </c>
      <c r="P421">
        <v>5.6010352542345503</v>
      </c>
      <c r="Q421">
        <v>1.03301148507204</v>
      </c>
      <c r="R421">
        <v>9.24171669258841</v>
      </c>
      <c r="S421">
        <v>141</v>
      </c>
      <c r="T421">
        <v>63</v>
      </c>
      <c r="U421">
        <v>794.92815908573095</v>
      </c>
      <c r="V421">
        <v>2.7679919476597801E-3</v>
      </c>
      <c r="W421">
        <v>3268496.7043550201</v>
      </c>
      <c r="X421" t="s">
        <v>36</v>
      </c>
      <c r="Y421">
        <f>1-271-552-9939</f>
        <v>-10761</v>
      </c>
    </row>
    <row r="422" spans="1:25" x14ac:dyDescent="0.35">
      <c r="A422">
        <v>36.337271909225699</v>
      </c>
      <c r="B422">
        <v>-119.36743398955799</v>
      </c>
      <c r="C422" t="s">
        <v>29</v>
      </c>
      <c r="D422">
        <v>44.191122058868999</v>
      </c>
      <c r="E422">
        <v>4</v>
      </c>
      <c r="F422">
        <v>3814</v>
      </c>
      <c r="G422">
        <v>4</v>
      </c>
      <c r="H422">
        <v>3</v>
      </c>
      <c r="I422">
        <v>1956</v>
      </c>
      <c r="J422">
        <v>0</v>
      </c>
      <c r="K422">
        <v>0</v>
      </c>
      <c r="L422">
        <v>0</v>
      </c>
      <c r="M422">
        <v>6</v>
      </c>
      <c r="N422" t="s">
        <v>35</v>
      </c>
      <c r="O422" t="s">
        <v>32</v>
      </c>
      <c r="P422">
        <v>13.6610799605688</v>
      </c>
      <c r="Q422">
        <v>2.4884524393778098</v>
      </c>
      <c r="R422">
        <v>7.4852703404456102</v>
      </c>
      <c r="S422">
        <v>151</v>
      </c>
      <c r="T422">
        <v>77</v>
      </c>
      <c r="U422">
        <v>828.88690061396505</v>
      </c>
      <c r="V422">
        <v>1.57315154693235E-3</v>
      </c>
      <c r="W422">
        <v>3482082.4208829599</v>
      </c>
      <c r="X422" t="s">
        <v>42</v>
      </c>
      <c r="Y422">
        <f>1-815-327-2434</f>
        <v>-3575</v>
      </c>
    </row>
    <row r="423" spans="1:25" x14ac:dyDescent="0.35">
      <c r="A423">
        <v>38.0856517123038</v>
      </c>
      <c r="B423">
        <v>-118.621001313569</v>
      </c>
      <c r="C423" t="s">
        <v>25</v>
      </c>
      <c r="D423">
        <v>33.266082970120202</v>
      </c>
      <c r="E423">
        <v>9</v>
      </c>
      <c r="F423">
        <v>2078</v>
      </c>
      <c r="G423">
        <v>4</v>
      </c>
      <c r="H423">
        <v>1</v>
      </c>
      <c r="I423">
        <v>1970</v>
      </c>
      <c r="J423">
        <v>0</v>
      </c>
      <c r="K423">
        <v>1</v>
      </c>
      <c r="L423">
        <v>0</v>
      </c>
      <c r="M423">
        <v>3</v>
      </c>
      <c r="N423" t="s">
        <v>35</v>
      </c>
      <c r="O423" t="s">
        <v>32</v>
      </c>
      <c r="P423">
        <v>13.1359631568012</v>
      </c>
      <c r="Q423">
        <v>1.52140449481844</v>
      </c>
      <c r="R423">
        <v>1.39786872420512</v>
      </c>
      <c r="S423">
        <v>45</v>
      </c>
      <c r="T423">
        <v>33</v>
      </c>
      <c r="U423">
        <v>974.35430138317895</v>
      </c>
      <c r="V423">
        <v>1.4436958614051901E-3</v>
      </c>
      <c r="W423">
        <v>2381326.36987489</v>
      </c>
      <c r="X423" t="s">
        <v>40</v>
      </c>
      <c r="Y423">
        <f>1-390-558-9531</f>
        <v>-10478</v>
      </c>
    </row>
    <row r="424" spans="1:25" x14ac:dyDescent="0.35">
      <c r="A424">
        <v>36.500964235180398</v>
      </c>
      <c r="B424">
        <v>-120.40303107022299</v>
      </c>
      <c r="C424" t="s">
        <v>29</v>
      </c>
      <c r="D424">
        <v>43.849086831063197</v>
      </c>
      <c r="E424">
        <v>5</v>
      </c>
      <c r="F424">
        <v>1402</v>
      </c>
      <c r="G424">
        <v>5</v>
      </c>
      <c r="H424">
        <v>3</v>
      </c>
      <c r="I424">
        <v>1966</v>
      </c>
      <c r="J424">
        <v>0</v>
      </c>
      <c r="K424">
        <v>0</v>
      </c>
      <c r="L424">
        <v>0</v>
      </c>
      <c r="M424">
        <v>4</v>
      </c>
      <c r="N424" t="s">
        <v>35</v>
      </c>
      <c r="O424" t="s">
        <v>30</v>
      </c>
      <c r="P424">
        <v>11.320328396766399</v>
      </c>
      <c r="Q424">
        <v>1.4620960716417499</v>
      </c>
      <c r="R424">
        <v>3.9344406314825902</v>
      </c>
      <c r="S424">
        <v>49</v>
      </c>
      <c r="T424">
        <v>36</v>
      </c>
      <c r="U424">
        <v>408.234160206924</v>
      </c>
      <c r="V424">
        <v>2.8530670470755999E-3</v>
      </c>
      <c r="W424">
        <v>976580.67852853797</v>
      </c>
      <c r="X424" t="s">
        <v>33</v>
      </c>
      <c r="Y424">
        <f>1-911-537-9629</f>
        <v>-11076</v>
      </c>
    </row>
    <row r="425" spans="1:25" x14ac:dyDescent="0.35">
      <c r="A425">
        <v>41.659386315114602</v>
      </c>
      <c r="B425">
        <v>-122.05057743950201</v>
      </c>
      <c r="C425" t="s">
        <v>25</v>
      </c>
      <c r="D425">
        <v>8.5364575222005694</v>
      </c>
      <c r="E425">
        <v>8</v>
      </c>
      <c r="F425">
        <v>4813</v>
      </c>
      <c r="G425">
        <v>5</v>
      </c>
      <c r="H425">
        <v>3</v>
      </c>
      <c r="I425">
        <v>2015</v>
      </c>
      <c r="J425">
        <v>1</v>
      </c>
      <c r="K425">
        <v>1</v>
      </c>
      <c r="L425">
        <v>1</v>
      </c>
      <c r="M425">
        <v>9</v>
      </c>
      <c r="N425" t="s">
        <v>37</v>
      </c>
      <c r="O425" t="s">
        <v>30</v>
      </c>
      <c r="P425">
        <v>8.5296655413889493</v>
      </c>
      <c r="Q425">
        <v>1.6724874171700601</v>
      </c>
      <c r="R425">
        <v>3.6043603747394899</v>
      </c>
      <c r="S425">
        <v>125</v>
      </c>
      <c r="T425">
        <v>36</v>
      </c>
      <c r="U425">
        <v>312.35170327285198</v>
      </c>
      <c r="V425">
        <v>1.8699355911074101E-3</v>
      </c>
      <c r="W425">
        <v>1935305.1722052</v>
      </c>
      <c r="X425" t="s">
        <v>44</v>
      </c>
      <c r="Y425">
        <f>1-667-632-5695</f>
        <v>-6993</v>
      </c>
    </row>
    <row r="426" spans="1:25" x14ac:dyDescent="0.35">
      <c r="A426">
        <v>36.654107669545397</v>
      </c>
      <c r="B426">
        <v>-114.67902931827</v>
      </c>
      <c r="C426" t="s">
        <v>34</v>
      </c>
      <c r="D426">
        <v>42.676095403132301</v>
      </c>
      <c r="E426">
        <v>3</v>
      </c>
      <c r="F426">
        <v>2978</v>
      </c>
      <c r="G426">
        <v>3</v>
      </c>
      <c r="H426">
        <v>1</v>
      </c>
      <c r="I426">
        <v>2021</v>
      </c>
      <c r="J426">
        <v>0</v>
      </c>
      <c r="K426">
        <v>1</v>
      </c>
      <c r="L426">
        <v>1</v>
      </c>
      <c r="M426">
        <v>12</v>
      </c>
      <c r="N426" t="s">
        <v>26</v>
      </c>
      <c r="O426" t="s">
        <v>27</v>
      </c>
      <c r="P426">
        <v>4.9066911372997097</v>
      </c>
      <c r="Q426">
        <v>2.2449516447001101</v>
      </c>
      <c r="R426">
        <v>5.7660598779538503</v>
      </c>
      <c r="S426">
        <v>13</v>
      </c>
      <c r="T426">
        <v>52</v>
      </c>
      <c r="U426">
        <v>889.24758450294496</v>
      </c>
      <c r="V426">
        <v>4.0295500335795799E-3</v>
      </c>
      <c r="W426">
        <v>2989307.1416107002</v>
      </c>
      <c r="X426" t="s">
        <v>40</v>
      </c>
      <c r="Y426">
        <f>1-782-285-3815</f>
        <v>-4881</v>
      </c>
    </row>
    <row r="427" spans="1:25" x14ac:dyDescent="0.35">
      <c r="A427">
        <v>37.223903177858297</v>
      </c>
      <c r="B427">
        <v>-117.63328109378701</v>
      </c>
      <c r="C427" t="s">
        <v>25</v>
      </c>
      <c r="D427">
        <v>23.402825431131198</v>
      </c>
      <c r="E427">
        <v>7</v>
      </c>
      <c r="F427">
        <v>3582</v>
      </c>
      <c r="G427">
        <v>4</v>
      </c>
      <c r="H427">
        <v>2</v>
      </c>
      <c r="I427">
        <v>1964</v>
      </c>
      <c r="J427">
        <v>1</v>
      </c>
      <c r="K427">
        <v>1</v>
      </c>
      <c r="L427">
        <v>1</v>
      </c>
      <c r="M427">
        <v>7</v>
      </c>
      <c r="N427" t="s">
        <v>41</v>
      </c>
      <c r="O427" t="s">
        <v>32</v>
      </c>
      <c r="P427">
        <v>3.0330144383507101</v>
      </c>
      <c r="Q427">
        <v>2.3193605839227498</v>
      </c>
      <c r="R427">
        <v>4.4988759917063801</v>
      </c>
      <c r="S427">
        <v>72</v>
      </c>
      <c r="T427">
        <v>21</v>
      </c>
      <c r="U427">
        <v>711.45730362569395</v>
      </c>
      <c r="V427">
        <v>1.9542155220547098E-3</v>
      </c>
      <c r="W427">
        <v>2888152.4667770099</v>
      </c>
      <c r="X427" t="s">
        <v>43</v>
      </c>
      <c r="Y427">
        <f>1-423-851-8556</f>
        <v>-9829</v>
      </c>
    </row>
    <row r="428" spans="1:25" x14ac:dyDescent="0.35">
      <c r="A428">
        <v>33.16000117486</v>
      </c>
      <c r="B428">
        <v>-120.647605869694</v>
      </c>
      <c r="C428" t="s">
        <v>29</v>
      </c>
      <c r="D428">
        <v>36.4846964569413</v>
      </c>
      <c r="E428">
        <v>7</v>
      </c>
      <c r="F428">
        <v>1063</v>
      </c>
      <c r="G428">
        <v>4</v>
      </c>
      <c r="H428">
        <v>1</v>
      </c>
      <c r="I428">
        <v>1987</v>
      </c>
      <c r="J428">
        <v>0</v>
      </c>
      <c r="K428">
        <v>0</v>
      </c>
      <c r="L428">
        <v>1</v>
      </c>
      <c r="M428">
        <v>13</v>
      </c>
      <c r="N428" t="s">
        <v>37</v>
      </c>
      <c r="O428" t="s">
        <v>30</v>
      </c>
      <c r="P428">
        <v>12.624222148882501</v>
      </c>
      <c r="Q428">
        <v>1.8027009209640801</v>
      </c>
      <c r="R428">
        <v>9.71544598970093</v>
      </c>
      <c r="S428">
        <v>146</v>
      </c>
      <c r="T428">
        <v>68</v>
      </c>
      <c r="U428">
        <v>999.990280590059</v>
      </c>
      <c r="V428">
        <v>1.2229539040451501E-2</v>
      </c>
      <c r="W428">
        <v>1223013.9335429801</v>
      </c>
      <c r="X428" t="s">
        <v>39</v>
      </c>
      <c r="Y428">
        <f>1-284-824-5937</f>
        <v>-7044</v>
      </c>
    </row>
    <row r="429" spans="1:25" x14ac:dyDescent="0.35">
      <c r="A429">
        <v>40.186911755664902</v>
      </c>
      <c r="B429">
        <v>-118.812548835244</v>
      </c>
      <c r="C429" t="s">
        <v>34</v>
      </c>
      <c r="D429">
        <v>27.461726454178901</v>
      </c>
      <c r="E429">
        <v>9</v>
      </c>
      <c r="F429">
        <v>2315</v>
      </c>
      <c r="G429">
        <v>1</v>
      </c>
      <c r="H429">
        <v>2</v>
      </c>
      <c r="I429">
        <v>2009</v>
      </c>
      <c r="J429">
        <v>1</v>
      </c>
      <c r="K429">
        <v>1</v>
      </c>
      <c r="L429">
        <v>0</v>
      </c>
      <c r="M429">
        <v>6</v>
      </c>
      <c r="N429" t="s">
        <v>26</v>
      </c>
      <c r="O429" t="s">
        <v>27</v>
      </c>
      <c r="P429">
        <v>6.3435314598860897</v>
      </c>
      <c r="Q429">
        <v>0.53497268333278902</v>
      </c>
      <c r="R429">
        <v>1.4647213526798799</v>
      </c>
      <c r="S429">
        <v>31</v>
      </c>
      <c r="T429">
        <v>31</v>
      </c>
      <c r="U429">
        <v>807.34220390547898</v>
      </c>
      <c r="V429">
        <v>2.59179265658747E-3</v>
      </c>
      <c r="W429">
        <v>2144412.8012187998</v>
      </c>
      <c r="X429" t="s">
        <v>31</v>
      </c>
      <c r="Y429">
        <f>1-218-942-7466</f>
        <v>-8625</v>
      </c>
    </row>
    <row r="430" spans="1:25" x14ac:dyDescent="0.35">
      <c r="A430">
        <v>35.785973162283902</v>
      </c>
      <c r="B430">
        <v>-122.90524945854899</v>
      </c>
      <c r="C430" t="s">
        <v>25</v>
      </c>
      <c r="D430">
        <v>40.650215809295098</v>
      </c>
      <c r="E430">
        <v>9</v>
      </c>
      <c r="F430">
        <v>2352</v>
      </c>
      <c r="G430">
        <v>2</v>
      </c>
      <c r="H430">
        <v>2</v>
      </c>
      <c r="I430">
        <v>2001</v>
      </c>
      <c r="J430">
        <v>1</v>
      </c>
      <c r="K430">
        <v>1</v>
      </c>
      <c r="L430">
        <v>0</v>
      </c>
      <c r="M430">
        <v>12</v>
      </c>
      <c r="N430" t="s">
        <v>41</v>
      </c>
      <c r="O430" t="s">
        <v>30</v>
      </c>
      <c r="P430">
        <v>12.136478900371801</v>
      </c>
      <c r="Q430">
        <v>1.7736449716087901</v>
      </c>
      <c r="R430">
        <v>4.2023436756374704</v>
      </c>
      <c r="S430">
        <v>137</v>
      </c>
      <c r="T430">
        <v>29</v>
      </c>
      <c r="U430">
        <v>375.186018414562</v>
      </c>
      <c r="V430">
        <v>5.1020408163265302E-3</v>
      </c>
      <c r="W430">
        <v>1132652.1624964799</v>
      </c>
      <c r="X430" t="s">
        <v>28</v>
      </c>
      <c r="Y430">
        <f>1-960-577-1160</f>
        <v>-2696</v>
      </c>
    </row>
    <row r="431" spans="1:25" x14ac:dyDescent="0.35">
      <c r="A431">
        <v>34.062542832637099</v>
      </c>
      <c r="B431">
        <v>-115.29056448898299</v>
      </c>
      <c r="C431" t="s">
        <v>29</v>
      </c>
      <c r="D431">
        <v>8.4627267404947393</v>
      </c>
      <c r="E431">
        <v>3</v>
      </c>
      <c r="F431">
        <v>587</v>
      </c>
      <c r="G431">
        <v>4</v>
      </c>
      <c r="H431">
        <v>1</v>
      </c>
      <c r="I431">
        <v>2017</v>
      </c>
      <c r="J431">
        <v>0</v>
      </c>
      <c r="K431">
        <v>1</v>
      </c>
      <c r="L431">
        <v>0</v>
      </c>
      <c r="M431">
        <v>2</v>
      </c>
      <c r="N431" t="s">
        <v>41</v>
      </c>
      <c r="O431" t="s">
        <v>32</v>
      </c>
      <c r="P431">
        <v>4.8159982836715001</v>
      </c>
      <c r="Q431">
        <v>1.32846447728677</v>
      </c>
      <c r="R431">
        <v>0.32994610909762101</v>
      </c>
      <c r="S431">
        <v>189</v>
      </c>
      <c r="T431">
        <v>68</v>
      </c>
      <c r="U431">
        <v>788.730770724443</v>
      </c>
      <c r="V431">
        <v>3.4071550255536601E-3</v>
      </c>
      <c r="W431">
        <v>783484.68813580205</v>
      </c>
      <c r="X431" t="s">
        <v>31</v>
      </c>
      <c r="Y431">
        <f>1-797-753-1328</f>
        <v>-2877</v>
      </c>
    </row>
    <row r="432" spans="1:25" x14ac:dyDescent="0.35">
      <c r="A432">
        <v>34.5573390512995</v>
      </c>
      <c r="B432">
        <v>-114.60228561833399</v>
      </c>
      <c r="C432" t="s">
        <v>29</v>
      </c>
      <c r="D432">
        <v>8.8413119029665506</v>
      </c>
      <c r="E432">
        <v>5</v>
      </c>
      <c r="F432">
        <v>1419</v>
      </c>
      <c r="G432">
        <v>3</v>
      </c>
      <c r="H432">
        <v>2</v>
      </c>
      <c r="I432">
        <v>2007</v>
      </c>
      <c r="J432">
        <v>0</v>
      </c>
      <c r="K432">
        <v>0</v>
      </c>
      <c r="L432">
        <v>0</v>
      </c>
      <c r="M432">
        <v>12</v>
      </c>
      <c r="N432" t="s">
        <v>37</v>
      </c>
      <c r="O432" t="s">
        <v>32</v>
      </c>
      <c r="P432">
        <v>14.909044358819299</v>
      </c>
      <c r="Q432">
        <v>2.4154952185089602</v>
      </c>
      <c r="R432">
        <v>1.76994045181412</v>
      </c>
      <c r="S432">
        <v>166</v>
      </c>
      <c r="T432">
        <v>22</v>
      </c>
      <c r="U432">
        <v>967.10117792722804</v>
      </c>
      <c r="V432">
        <v>8.4566596194503105E-3</v>
      </c>
      <c r="W432">
        <v>1646628.30544932</v>
      </c>
      <c r="X432" t="s">
        <v>39</v>
      </c>
      <c r="Y432">
        <f>1-896-181-9519</f>
        <v>-10595</v>
      </c>
    </row>
    <row r="433" spans="1:25" x14ac:dyDescent="0.35">
      <c r="A433">
        <v>36.193837357773504</v>
      </c>
      <c r="B433">
        <v>-120.25788439549601</v>
      </c>
      <c r="C433" t="s">
        <v>29</v>
      </c>
      <c r="D433">
        <v>19.1605194507944</v>
      </c>
      <c r="E433">
        <v>8</v>
      </c>
      <c r="F433">
        <v>4719</v>
      </c>
      <c r="G433">
        <v>3</v>
      </c>
      <c r="H433">
        <v>1</v>
      </c>
      <c r="I433">
        <v>2012</v>
      </c>
      <c r="J433">
        <v>0</v>
      </c>
      <c r="K433">
        <v>1</v>
      </c>
      <c r="L433">
        <v>0</v>
      </c>
      <c r="M433">
        <v>4</v>
      </c>
      <c r="N433" t="s">
        <v>37</v>
      </c>
      <c r="O433" t="s">
        <v>27</v>
      </c>
      <c r="P433">
        <v>3.3568230631025799</v>
      </c>
      <c r="Q433">
        <v>1.23396866877395</v>
      </c>
      <c r="R433">
        <v>4.3652047109223497</v>
      </c>
      <c r="S433">
        <v>192</v>
      </c>
      <c r="T433">
        <v>67</v>
      </c>
      <c r="U433">
        <v>964.10961819105705</v>
      </c>
      <c r="V433">
        <v>8.4763721127357496E-4</v>
      </c>
      <c r="W433">
        <v>4830120.7521930402</v>
      </c>
      <c r="X433" t="s">
        <v>40</v>
      </c>
      <c r="Y433">
        <f>1-620-989-5638</f>
        <v>-7246</v>
      </c>
    </row>
    <row r="434" spans="1:25" x14ac:dyDescent="0.35">
      <c r="A434">
        <v>32.879986663166001</v>
      </c>
      <c r="B434">
        <v>-117.758826319806</v>
      </c>
      <c r="C434" t="s">
        <v>25</v>
      </c>
      <c r="D434">
        <v>25.1305810111085</v>
      </c>
      <c r="E434">
        <v>3</v>
      </c>
      <c r="F434">
        <v>4170</v>
      </c>
      <c r="G434">
        <v>1</v>
      </c>
      <c r="H434">
        <v>3</v>
      </c>
      <c r="I434">
        <v>1963</v>
      </c>
      <c r="J434">
        <v>0</v>
      </c>
      <c r="K434">
        <v>0</v>
      </c>
      <c r="L434">
        <v>0</v>
      </c>
      <c r="M434">
        <v>3</v>
      </c>
      <c r="N434" t="s">
        <v>37</v>
      </c>
      <c r="O434" t="s">
        <v>30</v>
      </c>
      <c r="P434">
        <v>3.0694179752670001</v>
      </c>
      <c r="Q434">
        <v>1.06168965909726</v>
      </c>
      <c r="R434">
        <v>6.4028384132066902</v>
      </c>
      <c r="S434">
        <v>182</v>
      </c>
      <c r="T434">
        <v>75</v>
      </c>
      <c r="U434">
        <v>291.798116059672</v>
      </c>
      <c r="V434">
        <v>7.1942446043165404E-4</v>
      </c>
      <c r="W434">
        <v>1204479.63641633</v>
      </c>
      <c r="X434" t="s">
        <v>43</v>
      </c>
      <c r="Y434">
        <f>1-709-453-1638</f>
        <v>-2799</v>
      </c>
    </row>
    <row r="435" spans="1:25" x14ac:dyDescent="0.35">
      <c r="A435">
        <v>40.437966356239599</v>
      </c>
      <c r="B435">
        <v>-115.201867916433</v>
      </c>
      <c r="C435" t="s">
        <v>25</v>
      </c>
      <c r="D435">
        <v>45.697942638519898</v>
      </c>
      <c r="E435">
        <v>5</v>
      </c>
      <c r="F435">
        <v>2287</v>
      </c>
      <c r="G435">
        <v>1</v>
      </c>
      <c r="H435">
        <v>2</v>
      </c>
      <c r="I435">
        <v>2003</v>
      </c>
      <c r="J435">
        <v>0</v>
      </c>
      <c r="K435">
        <v>0</v>
      </c>
      <c r="L435">
        <v>1</v>
      </c>
      <c r="M435">
        <v>2</v>
      </c>
      <c r="N435" t="s">
        <v>26</v>
      </c>
      <c r="O435" t="s">
        <v>30</v>
      </c>
      <c r="P435">
        <v>5.9528084497944898</v>
      </c>
      <c r="Q435">
        <v>1.73594349355052</v>
      </c>
      <c r="R435">
        <v>4.4565673873530303</v>
      </c>
      <c r="S435">
        <v>66</v>
      </c>
      <c r="T435">
        <v>53</v>
      </c>
      <c r="U435">
        <v>599.715574412553</v>
      </c>
      <c r="V435">
        <v>8.7450808919982501E-4</v>
      </c>
      <c r="W435">
        <v>1476073.0941494801</v>
      </c>
      <c r="X435" t="s">
        <v>40</v>
      </c>
      <c r="Y435">
        <f>1-539-745-7717</f>
        <v>-9000</v>
      </c>
    </row>
    <row r="436" spans="1:25" x14ac:dyDescent="0.35">
      <c r="A436">
        <v>38.194901766627197</v>
      </c>
      <c r="B436">
        <v>-121.778375520106</v>
      </c>
      <c r="C436" t="s">
        <v>29</v>
      </c>
      <c r="D436">
        <v>42.129973214280902</v>
      </c>
      <c r="E436">
        <v>2</v>
      </c>
      <c r="F436">
        <v>1163</v>
      </c>
      <c r="G436">
        <v>3</v>
      </c>
      <c r="H436">
        <v>3</v>
      </c>
      <c r="I436">
        <v>2002</v>
      </c>
      <c r="J436">
        <v>0</v>
      </c>
      <c r="K436">
        <v>0</v>
      </c>
      <c r="L436">
        <v>1</v>
      </c>
      <c r="M436">
        <v>9</v>
      </c>
      <c r="N436" t="s">
        <v>35</v>
      </c>
      <c r="O436" t="s">
        <v>30</v>
      </c>
      <c r="P436">
        <v>9.34883889507954</v>
      </c>
      <c r="Q436">
        <v>1.24609637843479</v>
      </c>
      <c r="R436">
        <v>4.1127089559006</v>
      </c>
      <c r="S436">
        <v>69</v>
      </c>
      <c r="T436">
        <v>27</v>
      </c>
      <c r="U436">
        <v>216.664167833466</v>
      </c>
      <c r="V436">
        <v>7.7386070507308603E-3</v>
      </c>
      <c r="W436">
        <v>512831.52469515899</v>
      </c>
      <c r="X436" t="s">
        <v>31</v>
      </c>
      <c r="Y436">
        <f>1-355-587-6863</f>
        <v>-7804</v>
      </c>
    </row>
    <row r="437" spans="1:25" x14ac:dyDescent="0.35">
      <c r="A437">
        <v>36.056168113232602</v>
      </c>
      <c r="B437">
        <v>-115.765109255082</v>
      </c>
      <c r="C437" t="s">
        <v>29</v>
      </c>
      <c r="D437">
        <v>18.701028543335301</v>
      </c>
      <c r="E437">
        <v>5</v>
      </c>
      <c r="F437">
        <v>573</v>
      </c>
      <c r="G437">
        <v>3</v>
      </c>
      <c r="H437">
        <v>2</v>
      </c>
      <c r="I437">
        <v>1961</v>
      </c>
      <c r="J437">
        <v>1</v>
      </c>
      <c r="K437">
        <v>0</v>
      </c>
      <c r="L437">
        <v>0</v>
      </c>
      <c r="M437">
        <v>6</v>
      </c>
      <c r="N437" t="s">
        <v>41</v>
      </c>
      <c r="O437" t="s">
        <v>27</v>
      </c>
      <c r="P437">
        <v>4.23756866179985</v>
      </c>
      <c r="Q437">
        <v>2.0390121686331701</v>
      </c>
      <c r="R437">
        <v>2.0099265436318201</v>
      </c>
      <c r="S437">
        <v>104</v>
      </c>
      <c r="T437">
        <v>68</v>
      </c>
      <c r="U437">
        <v>800.98728725896797</v>
      </c>
      <c r="V437">
        <v>1.04712041884816E-2</v>
      </c>
      <c r="W437">
        <v>616325.58935646096</v>
      </c>
      <c r="X437" t="s">
        <v>36</v>
      </c>
      <c r="Y437">
        <f>1-580-573-8277</f>
        <v>-9429</v>
      </c>
    </row>
    <row r="438" spans="1:25" x14ac:dyDescent="0.35">
      <c r="A438">
        <v>38.092734143381399</v>
      </c>
      <c r="B438">
        <v>-115.666201251571</v>
      </c>
      <c r="C438" t="s">
        <v>29</v>
      </c>
      <c r="D438">
        <v>25.242285324023701</v>
      </c>
      <c r="E438">
        <v>1</v>
      </c>
      <c r="F438">
        <v>1556</v>
      </c>
      <c r="G438">
        <v>2</v>
      </c>
      <c r="H438">
        <v>2</v>
      </c>
      <c r="I438">
        <v>2002</v>
      </c>
      <c r="J438">
        <v>1</v>
      </c>
      <c r="K438">
        <v>1</v>
      </c>
      <c r="L438">
        <v>0</v>
      </c>
      <c r="M438">
        <v>10</v>
      </c>
      <c r="N438" t="s">
        <v>35</v>
      </c>
      <c r="O438" t="s">
        <v>30</v>
      </c>
      <c r="P438">
        <v>2.90650283683483</v>
      </c>
      <c r="Q438">
        <v>0.69895257933325206</v>
      </c>
      <c r="R438">
        <v>8.2429283646369296</v>
      </c>
      <c r="S438">
        <v>3</v>
      </c>
      <c r="T438">
        <v>56</v>
      </c>
      <c r="U438">
        <v>864.94843757002104</v>
      </c>
      <c r="V438">
        <v>6.4267352185089898E-3</v>
      </c>
      <c r="W438">
        <v>1670148.3198975399</v>
      </c>
      <c r="X438" t="s">
        <v>28</v>
      </c>
      <c r="Y438">
        <f>1-341-264-3095</f>
        <v>-3699</v>
      </c>
    </row>
    <row r="439" spans="1:25" x14ac:dyDescent="0.35">
      <c r="A439">
        <v>38.052074926494399</v>
      </c>
      <c r="B439">
        <v>-116.870993491459</v>
      </c>
      <c r="C439" t="s">
        <v>29</v>
      </c>
      <c r="D439">
        <v>6.3852429186999302</v>
      </c>
      <c r="E439">
        <v>2</v>
      </c>
      <c r="F439">
        <v>669</v>
      </c>
      <c r="G439">
        <v>3</v>
      </c>
      <c r="H439">
        <v>2</v>
      </c>
      <c r="I439">
        <v>2004</v>
      </c>
      <c r="J439">
        <v>1</v>
      </c>
      <c r="K439">
        <v>1</v>
      </c>
      <c r="L439">
        <v>0</v>
      </c>
      <c r="M439">
        <v>7</v>
      </c>
      <c r="N439" t="s">
        <v>26</v>
      </c>
      <c r="O439" t="s">
        <v>30</v>
      </c>
      <c r="P439">
        <v>4.7814249034283103</v>
      </c>
      <c r="Q439">
        <v>1.8783079652489301</v>
      </c>
      <c r="R439">
        <v>2.5839715979316802</v>
      </c>
      <c r="S439">
        <v>7</v>
      </c>
      <c r="T439">
        <v>58</v>
      </c>
      <c r="U439">
        <v>884.03920663684505</v>
      </c>
      <c r="V439">
        <v>1.04633781763826E-2</v>
      </c>
      <c r="W439">
        <v>939527.53510643099</v>
      </c>
      <c r="X439" t="s">
        <v>42</v>
      </c>
      <c r="Y439">
        <f>1-914-893-4977</f>
        <v>-6783</v>
      </c>
    </row>
    <row r="440" spans="1:25" x14ac:dyDescent="0.35">
      <c r="A440">
        <v>36.760244563734403</v>
      </c>
      <c r="B440">
        <v>-122.351307133623</v>
      </c>
      <c r="C440" t="s">
        <v>25</v>
      </c>
      <c r="D440">
        <v>26.393648273883901</v>
      </c>
      <c r="E440">
        <v>1</v>
      </c>
      <c r="F440">
        <v>1350</v>
      </c>
      <c r="G440">
        <v>4</v>
      </c>
      <c r="H440">
        <v>2</v>
      </c>
      <c r="I440">
        <v>1957</v>
      </c>
      <c r="J440">
        <v>1</v>
      </c>
      <c r="K440">
        <v>0</v>
      </c>
      <c r="L440">
        <v>1</v>
      </c>
      <c r="M440">
        <v>6</v>
      </c>
      <c r="N440" t="s">
        <v>26</v>
      </c>
      <c r="O440" t="s">
        <v>30</v>
      </c>
      <c r="P440">
        <v>9.5826483970000194</v>
      </c>
      <c r="Q440">
        <v>1.6236389251721499</v>
      </c>
      <c r="R440">
        <v>7.5696756273135701</v>
      </c>
      <c r="S440">
        <v>29</v>
      </c>
      <c r="T440">
        <v>65</v>
      </c>
      <c r="U440">
        <v>369.655885100852</v>
      </c>
      <c r="V440">
        <v>4.4444444444444401E-3</v>
      </c>
      <c r="W440">
        <v>765365.12918436795</v>
      </c>
      <c r="X440" t="s">
        <v>33</v>
      </c>
      <c r="Y440">
        <f>1-531-667-6627</f>
        <v>-7824</v>
      </c>
    </row>
    <row r="441" spans="1:25" x14ac:dyDescent="0.35">
      <c r="A441">
        <v>36.715052067558801</v>
      </c>
      <c r="B441">
        <v>-119.493782862092</v>
      </c>
      <c r="C441" t="s">
        <v>29</v>
      </c>
      <c r="D441">
        <v>42.005553255083001</v>
      </c>
      <c r="E441">
        <v>9</v>
      </c>
      <c r="F441">
        <v>1646</v>
      </c>
      <c r="G441">
        <v>4</v>
      </c>
      <c r="H441">
        <v>1</v>
      </c>
      <c r="I441">
        <v>1961</v>
      </c>
      <c r="J441">
        <v>1</v>
      </c>
      <c r="K441">
        <v>0</v>
      </c>
      <c r="L441">
        <v>0</v>
      </c>
      <c r="M441">
        <v>12</v>
      </c>
      <c r="N441" t="s">
        <v>41</v>
      </c>
      <c r="O441" t="s">
        <v>32</v>
      </c>
      <c r="P441">
        <v>10.2431849806679</v>
      </c>
      <c r="Q441">
        <v>2.0818597762655702</v>
      </c>
      <c r="R441">
        <v>7.1623701653699703</v>
      </c>
      <c r="S441">
        <v>71</v>
      </c>
      <c r="T441">
        <v>79</v>
      </c>
      <c r="U441">
        <v>596.39194694269895</v>
      </c>
      <c r="V441">
        <v>7.2904009720534601E-3</v>
      </c>
      <c r="W441">
        <v>1256192.3822773399</v>
      </c>
      <c r="X441" t="s">
        <v>31</v>
      </c>
      <c r="Y441">
        <f>1-919-735-6111</f>
        <v>-7764</v>
      </c>
    </row>
    <row r="442" spans="1:25" x14ac:dyDescent="0.35">
      <c r="A442">
        <v>34.825965049164203</v>
      </c>
      <c r="B442">
        <v>-120.158690659271</v>
      </c>
      <c r="C442" t="s">
        <v>29</v>
      </c>
      <c r="D442">
        <v>14.716010116997699</v>
      </c>
      <c r="E442">
        <v>8</v>
      </c>
      <c r="F442">
        <v>1618</v>
      </c>
      <c r="G442">
        <v>2</v>
      </c>
      <c r="H442">
        <v>2</v>
      </c>
      <c r="I442">
        <v>1970</v>
      </c>
      <c r="J442">
        <v>1</v>
      </c>
      <c r="K442">
        <v>1</v>
      </c>
      <c r="L442">
        <v>0</v>
      </c>
      <c r="M442">
        <v>4</v>
      </c>
      <c r="N442" t="s">
        <v>26</v>
      </c>
      <c r="O442" t="s">
        <v>32</v>
      </c>
      <c r="P442">
        <v>6.6892175978107096</v>
      </c>
      <c r="Q442">
        <v>1.66899421948621</v>
      </c>
      <c r="R442">
        <v>6.4800279232112201</v>
      </c>
      <c r="S442">
        <v>75</v>
      </c>
      <c r="T442">
        <v>54</v>
      </c>
      <c r="U442">
        <v>355.04859080492099</v>
      </c>
      <c r="V442">
        <v>2.4721878862793501E-3</v>
      </c>
      <c r="W442">
        <v>874072.227394994</v>
      </c>
      <c r="X442" t="s">
        <v>40</v>
      </c>
      <c r="Y442">
        <f>1-997-952-5762</f>
        <v>-7710</v>
      </c>
    </row>
    <row r="443" spans="1:25" x14ac:dyDescent="0.35">
      <c r="A443">
        <v>40.294946406441198</v>
      </c>
      <c r="B443">
        <v>-124.406159919101</v>
      </c>
      <c r="C443" t="s">
        <v>34</v>
      </c>
      <c r="D443">
        <v>21.427561474673102</v>
      </c>
      <c r="E443">
        <v>7</v>
      </c>
      <c r="F443">
        <v>1828</v>
      </c>
      <c r="G443">
        <v>3</v>
      </c>
      <c r="H443">
        <v>1</v>
      </c>
      <c r="I443">
        <v>1994</v>
      </c>
      <c r="J443">
        <v>0</v>
      </c>
      <c r="K443">
        <v>1</v>
      </c>
      <c r="L443">
        <v>1</v>
      </c>
      <c r="M443">
        <v>5</v>
      </c>
      <c r="N443" t="s">
        <v>37</v>
      </c>
      <c r="O443" t="s">
        <v>27</v>
      </c>
      <c r="P443">
        <v>7.5800206542066597</v>
      </c>
      <c r="Q443">
        <v>0.90223604662428103</v>
      </c>
      <c r="R443">
        <v>4.8949132598939498</v>
      </c>
      <c r="S443">
        <v>61</v>
      </c>
      <c r="T443">
        <v>58</v>
      </c>
      <c r="U443">
        <v>609.59691835306501</v>
      </c>
      <c r="V443">
        <v>2.7352297592997802E-3</v>
      </c>
      <c r="W443">
        <v>1408728.06689721</v>
      </c>
      <c r="X443" t="s">
        <v>31</v>
      </c>
      <c r="Y443">
        <f>1-632-781-6687</f>
        <v>-8099</v>
      </c>
    </row>
    <row r="444" spans="1:25" x14ac:dyDescent="0.35">
      <c r="A444">
        <v>41.555956662197801</v>
      </c>
      <c r="B444">
        <v>-116.37829081068701</v>
      </c>
      <c r="C444" t="s">
        <v>29</v>
      </c>
      <c r="D444">
        <v>45.675754816384803</v>
      </c>
      <c r="E444">
        <v>4</v>
      </c>
      <c r="F444">
        <v>4553</v>
      </c>
      <c r="G444">
        <v>4</v>
      </c>
      <c r="H444">
        <v>2</v>
      </c>
      <c r="I444">
        <v>1965</v>
      </c>
      <c r="J444">
        <v>0</v>
      </c>
      <c r="K444">
        <v>1</v>
      </c>
      <c r="L444">
        <v>0</v>
      </c>
      <c r="M444">
        <v>7</v>
      </c>
      <c r="N444" t="s">
        <v>26</v>
      </c>
      <c r="O444" t="s">
        <v>30</v>
      </c>
      <c r="P444">
        <v>14.2425147646734</v>
      </c>
      <c r="Q444">
        <v>1.81837841524854</v>
      </c>
      <c r="R444">
        <v>7.4252998018980998</v>
      </c>
      <c r="S444">
        <v>45</v>
      </c>
      <c r="T444">
        <v>73</v>
      </c>
      <c r="U444">
        <v>561.70199712064505</v>
      </c>
      <c r="V444">
        <v>1.53744783659125E-3</v>
      </c>
      <c r="W444">
        <v>2937648.3165593501</v>
      </c>
      <c r="X444" t="s">
        <v>33</v>
      </c>
      <c r="Y444">
        <f>1-730-697-9399</f>
        <v>-10825</v>
      </c>
    </row>
    <row r="445" spans="1:25" x14ac:dyDescent="0.35">
      <c r="A445">
        <v>37.734904782085401</v>
      </c>
      <c r="B445">
        <v>-114.798037914389</v>
      </c>
      <c r="C445" t="s">
        <v>29</v>
      </c>
      <c r="D445">
        <v>46.123038320212601</v>
      </c>
      <c r="E445">
        <v>1</v>
      </c>
      <c r="F445">
        <v>2165</v>
      </c>
      <c r="G445">
        <v>2</v>
      </c>
      <c r="H445">
        <v>2</v>
      </c>
      <c r="I445">
        <v>1969</v>
      </c>
      <c r="J445">
        <v>0</v>
      </c>
      <c r="K445">
        <v>1</v>
      </c>
      <c r="L445">
        <v>1</v>
      </c>
      <c r="M445">
        <v>5</v>
      </c>
      <c r="N445" t="s">
        <v>41</v>
      </c>
      <c r="O445" t="s">
        <v>27</v>
      </c>
      <c r="P445">
        <v>6.8913143346821704</v>
      </c>
      <c r="Q445">
        <v>1.92793252427922</v>
      </c>
      <c r="R445">
        <v>6.6398751399735501</v>
      </c>
      <c r="S445">
        <v>41</v>
      </c>
      <c r="T445">
        <v>42</v>
      </c>
      <c r="U445">
        <v>282.83666196472399</v>
      </c>
      <c r="V445">
        <v>2.3094688221708998E-3</v>
      </c>
      <c r="W445">
        <v>863446.32504524698</v>
      </c>
      <c r="X445" t="s">
        <v>44</v>
      </c>
      <c r="Y445">
        <f>1-969-163-9082</f>
        <v>-10213</v>
      </c>
    </row>
    <row r="446" spans="1:25" x14ac:dyDescent="0.35">
      <c r="A446">
        <v>36.069937927072303</v>
      </c>
      <c r="B446">
        <v>-123.779183010907</v>
      </c>
      <c r="C446" t="s">
        <v>29</v>
      </c>
      <c r="D446">
        <v>6.4978521835717702</v>
      </c>
      <c r="E446">
        <v>5</v>
      </c>
      <c r="F446">
        <v>3932</v>
      </c>
      <c r="G446">
        <v>3</v>
      </c>
      <c r="H446">
        <v>2</v>
      </c>
      <c r="I446">
        <v>1968</v>
      </c>
      <c r="J446">
        <v>1</v>
      </c>
      <c r="K446">
        <v>1</v>
      </c>
      <c r="L446">
        <v>0</v>
      </c>
      <c r="M446">
        <v>3</v>
      </c>
      <c r="N446" t="s">
        <v>35</v>
      </c>
      <c r="O446" t="s">
        <v>32</v>
      </c>
      <c r="P446">
        <v>10.0017315475322</v>
      </c>
      <c r="Q446">
        <v>2.0363355831271699</v>
      </c>
      <c r="R446">
        <v>4.8613468422342896</v>
      </c>
      <c r="S446">
        <v>138</v>
      </c>
      <c r="T446">
        <v>40</v>
      </c>
      <c r="U446">
        <v>758.92432216041198</v>
      </c>
      <c r="V446">
        <v>7.6297049847405898E-4</v>
      </c>
      <c r="W446">
        <v>3342352.25858146</v>
      </c>
      <c r="X446" t="s">
        <v>44</v>
      </c>
      <c r="Y446">
        <f>1-739-795-5361</f>
        <v>-6894</v>
      </c>
    </row>
    <row r="447" spans="1:25" x14ac:dyDescent="0.35">
      <c r="A447">
        <v>40.194988492949399</v>
      </c>
      <c r="B447">
        <v>-114.406146171879</v>
      </c>
      <c r="C447" t="s">
        <v>34</v>
      </c>
      <c r="D447">
        <v>22.5053936067306</v>
      </c>
      <c r="E447">
        <v>0</v>
      </c>
      <c r="F447">
        <v>1260</v>
      </c>
      <c r="G447">
        <v>4</v>
      </c>
      <c r="H447">
        <v>2</v>
      </c>
      <c r="I447">
        <v>1958</v>
      </c>
      <c r="J447">
        <v>0</v>
      </c>
      <c r="K447">
        <v>0</v>
      </c>
      <c r="L447">
        <v>1</v>
      </c>
      <c r="M447">
        <v>9</v>
      </c>
      <c r="N447" t="s">
        <v>26</v>
      </c>
      <c r="O447" t="s">
        <v>32</v>
      </c>
      <c r="P447">
        <v>4.1949351103114401</v>
      </c>
      <c r="Q447">
        <v>2.1319969994483001</v>
      </c>
      <c r="R447">
        <v>6.20740573408799</v>
      </c>
      <c r="S447">
        <v>61</v>
      </c>
      <c r="T447">
        <v>79</v>
      </c>
      <c r="U447">
        <v>601.83409135098702</v>
      </c>
      <c r="V447">
        <v>7.14285714285714E-3</v>
      </c>
      <c r="W447">
        <v>921697.545487041</v>
      </c>
      <c r="X447" t="s">
        <v>44</v>
      </c>
      <c r="Y447">
        <f>1-705-391-9171</f>
        <v>-10266</v>
      </c>
    </row>
    <row r="448" spans="1:25" x14ac:dyDescent="0.35">
      <c r="A448">
        <v>39.037948408471401</v>
      </c>
      <c r="B448">
        <v>-120.968004710193</v>
      </c>
      <c r="C448" t="s">
        <v>25</v>
      </c>
      <c r="D448">
        <v>3.6923178820943199</v>
      </c>
      <c r="E448">
        <v>5</v>
      </c>
      <c r="F448">
        <v>1882</v>
      </c>
      <c r="G448">
        <v>1</v>
      </c>
      <c r="H448">
        <v>2</v>
      </c>
      <c r="I448">
        <v>1958</v>
      </c>
      <c r="J448">
        <v>0</v>
      </c>
      <c r="K448">
        <v>0</v>
      </c>
      <c r="L448">
        <v>1</v>
      </c>
      <c r="M448">
        <v>14</v>
      </c>
      <c r="N448" t="s">
        <v>26</v>
      </c>
      <c r="O448" t="s">
        <v>30</v>
      </c>
      <c r="P448">
        <v>14.1485469391999</v>
      </c>
      <c r="Q448">
        <v>1.74651411813706</v>
      </c>
      <c r="R448">
        <v>5.3507713704545701</v>
      </c>
      <c r="S448">
        <v>89</v>
      </c>
      <c r="T448">
        <v>20</v>
      </c>
      <c r="U448">
        <v>797.83133033543697</v>
      </c>
      <c r="V448">
        <v>7.4388947927736399E-3</v>
      </c>
      <c r="W448">
        <v>1658947.40589334</v>
      </c>
      <c r="X448" t="s">
        <v>39</v>
      </c>
      <c r="Y448">
        <f>1-331-609-5528</f>
        <v>-6467</v>
      </c>
    </row>
    <row r="449" spans="1:25" x14ac:dyDescent="0.35">
      <c r="A449">
        <v>38.752065313812601</v>
      </c>
      <c r="B449">
        <v>-121.16733346192601</v>
      </c>
      <c r="C449" t="s">
        <v>29</v>
      </c>
      <c r="D449">
        <v>28.933872638763901</v>
      </c>
      <c r="E449">
        <v>0</v>
      </c>
      <c r="F449">
        <v>4008</v>
      </c>
      <c r="G449">
        <v>5</v>
      </c>
      <c r="H449">
        <v>2</v>
      </c>
      <c r="I449">
        <v>1966</v>
      </c>
      <c r="J449">
        <v>1</v>
      </c>
      <c r="K449">
        <v>0</v>
      </c>
      <c r="L449">
        <v>1</v>
      </c>
      <c r="M449">
        <v>3</v>
      </c>
      <c r="N449" t="s">
        <v>41</v>
      </c>
      <c r="O449" t="s">
        <v>27</v>
      </c>
      <c r="P449">
        <v>14.295117061358299</v>
      </c>
      <c r="Q449">
        <v>2.4421131071290101</v>
      </c>
      <c r="R449">
        <v>5.6907972580823403</v>
      </c>
      <c r="S449">
        <v>111</v>
      </c>
      <c r="T449">
        <v>71</v>
      </c>
      <c r="U449">
        <v>384.981896714968</v>
      </c>
      <c r="V449">
        <v>7.4850299401197598E-4</v>
      </c>
      <c r="W449">
        <v>1887496.3279971399</v>
      </c>
      <c r="X449" t="s">
        <v>36</v>
      </c>
      <c r="Y449">
        <f>1-357-735-7331</f>
        <v>-8422</v>
      </c>
    </row>
    <row r="450" spans="1:25" x14ac:dyDescent="0.35">
      <c r="A450">
        <v>35.001556813148198</v>
      </c>
      <c r="B450">
        <v>-114.93995418530299</v>
      </c>
      <c r="C450" t="s">
        <v>29</v>
      </c>
      <c r="D450">
        <v>15.2263412689039</v>
      </c>
      <c r="E450">
        <v>0</v>
      </c>
      <c r="F450">
        <v>4928</v>
      </c>
      <c r="G450">
        <v>5</v>
      </c>
      <c r="H450">
        <v>2</v>
      </c>
      <c r="I450">
        <v>1958</v>
      </c>
      <c r="J450">
        <v>1</v>
      </c>
      <c r="K450">
        <v>0</v>
      </c>
      <c r="L450">
        <v>0</v>
      </c>
      <c r="M450">
        <v>10</v>
      </c>
      <c r="N450" t="s">
        <v>41</v>
      </c>
      <c r="O450" t="s">
        <v>30</v>
      </c>
      <c r="P450">
        <v>11.010730149269399</v>
      </c>
      <c r="Q450">
        <v>0.622319409265502</v>
      </c>
      <c r="R450">
        <v>3.85841267722037</v>
      </c>
      <c r="S450">
        <v>87</v>
      </c>
      <c r="T450">
        <v>64</v>
      </c>
      <c r="U450">
        <v>551.11193131710297</v>
      </c>
      <c r="V450">
        <v>2.0292207792207699E-3</v>
      </c>
      <c r="W450">
        <v>3069234.77639555</v>
      </c>
      <c r="X450" t="s">
        <v>33</v>
      </c>
      <c r="Y450">
        <f>1-307-887-4949</f>
        <v>-6142</v>
      </c>
    </row>
    <row r="451" spans="1:25" x14ac:dyDescent="0.35">
      <c r="A451">
        <v>34.517107400251703</v>
      </c>
      <c r="B451">
        <v>-122.616801497278</v>
      </c>
      <c r="C451" t="s">
        <v>25</v>
      </c>
      <c r="D451">
        <v>21.464619213844401</v>
      </c>
      <c r="E451">
        <v>9</v>
      </c>
      <c r="F451">
        <v>2833</v>
      </c>
      <c r="G451">
        <v>3</v>
      </c>
      <c r="H451">
        <v>3</v>
      </c>
      <c r="I451">
        <v>1996</v>
      </c>
      <c r="J451">
        <v>1</v>
      </c>
      <c r="K451">
        <v>0</v>
      </c>
      <c r="L451">
        <v>1</v>
      </c>
      <c r="M451">
        <v>4</v>
      </c>
      <c r="N451" t="s">
        <v>41</v>
      </c>
      <c r="O451" t="s">
        <v>30</v>
      </c>
      <c r="P451">
        <v>14.5566035938061</v>
      </c>
      <c r="Q451">
        <v>0.71728635417286701</v>
      </c>
      <c r="R451">
        <v>9.4403699203264502</v>
      </c>
      <c r="S451">
        <v>95</v>
      </c>
      <c r="T451">
        <v>52</v>
      </c>
      <c r="U451">
        <v>955.84261232212805</v>
      </c>
      <c r="V451">
        <v>1.41193081539004E-3</v>
      </c>
      <c r="W451">
        <v>3170779.1782843298</v>
      </c>
      <c r="X451" t="s">
        <v>33</v>
      </c>
      <c r="Y451">
        <f>1-766-752-2395</f>
        <v>-3912</v>
      </c>
    </row>
    <row r="452" spans="1:25" x14ac:dyDescent="0.35">
      <c r="A452">
        <v>36.986623161236501</v>
      </c>
      <c r="B452">
        <v>-115.63201941805499</v>
      </c>
      <c r="C452" t="s">
        <v>34</v>
      </c>
      <c r="D452">
        <v>17.257136686591899</v>
      </c>
      <c r="E452">
        <v>0</v>
      </c>
      <c r="F452">
        <v>1902</v>
      </c>
      <c r="G452">
        <v>1</v>
      </c>
      <c r="H452">
        <v>1</v>
      </c>
      <c r="I452">
        <v>2018</v>
      </c>
      <c r="J452">
        <v>1</v>
      </c>
      <c r="K452">
        <v>1</v>
      </c>
      <c r="L452">
        <v>0</v>
      </c>
      <c r="M452">
        <v>8</v>
      </c>
      <c r="N452" t="s">
        <v>26</v>
      </c>
      <c r="O452" t="s">
        <v>32</v>
      </c>
      <c r="P452">
        <v>7.37680705379372</v>
      </c>
      <c r="Q452">
        <v>1.3792989458689799</v>
      </c>
      <c r="R452">
        <v>9.1059082329190009</v>
      </c>
      <c r="S452">
        <v>73</v>
      </c>
      <c r="T452">
        <v>52</v>
      </c>
      <c r="U452">
        <v>952.35176179100301</v>
      </c>
      <c r="V452">
        <v>4.2060988433228102E-3</v>
      </c>
      <c r="W452">
        <v>2147152.0622766302</v>
      </c>
      <c r="X452" t="s">
        <v>36</v>
      </c>
      <c r="Y452">
        <f>1-327-677-2415</f>
        <v>-3418</v>
      </c>
    </row>
    <row r="453" spans="1:25" x14ac:dyDescent="0.35">
      <c r="A453">
        <v>34.396061208034297</v>
      </c>
      <c r="B453">
        <v>-121.49934153786199</v>
      </c>
      <c r="C453" t="s">
        <v>25</v>
      </c>
      <c r="D453">
        <v>2.3243102527589001</v>
      </c>
      <c r="E453">
        <v>2</v>
      </c>
      <c r="F453">
        <v>860</v>
      </c>
      <c r="G453">
        <v>3</v>
      </c>
      <c r="H453">
        <v>1</v>
      </c>
      <c r="I453">
        <v>1973</v>
      </c>
      <c r="J453">
        <v>1</v>
      </c>
      <c r="K453">
        <v>0</v>
      </c>
      <c r="L453">
        <v>1</v>
      </c>
      <c r="M453">
        <v>8</v>
      </c>
      <c r="N453" t="s">
        <v>37</v>
      </c>
      <c r="O453" t="s">
        <v>27</v>
      </c>
      <c r="P453">
        <v>11.2985215560564</v>
      </c>
      <c r="Q453">
        <v>0.98883993518336899</v>
      </c>
      <c r="R453">
        <v>5.3136137254175697</v>
      </c>
      <c r="S453">
        <v>72</v>
      </c>
      <c r="T453">
        <v>50</v>
      </c>
      <c r="U453">
        <v>862.57807493184998</v>
      </c>
      <c r="V453">
        <v>9.30232558139534E-3</v>
      </c>
      <c r="W453">
        <v>1042362.71104069</v>
      </c>
      <c r="X453" t="s">
        <v>42</v>
      </c>
      <c r="Y453">
        <f>1-383-644-5996</f>
        <v>-7022</v>
      </c>
    </row>
    <row r="454" spans="1:25" x14ac:dyDescent="0.35">
      <c r="A454">
        <v>34.720562898716601</v>
      </c>
      <c r="B454">
        <v>-121.535677749013</v>
      </c>
      <c r="C454" t="s">
        <v>25</v>
      </c>
      <c r="D454">
        <v>47.443518666702701</v>
      </c>
      <c r="E454">
        <v>5</v>
      </c>
      <c r="F454">
        <v>1257</v>
      </c>
      <c r="G454">
        <v>2</v>
      </c>
      <c r="H454">
        <v>3</v>
      </c>
      <c r="I454">
        <v>1980</v>
      </c>
      <c r="J454">
        <v>1</v>
      </c>
      <c r="K454">
        <v>1</v>
      </c>
      <c r="L454">
        <v>0</v>
      </c>
      <c r="M454">
        <v>13</v>
      </c>
      <c r="N454" t="s">
        <v>35</v>
      </c>
      <c r="O454" t="s">
        <v>32</v>
      </c>
      <c r="P454">
        <v>8.9503455567626595</v>
      </c>
      <c r="Q454">
        <v>1.24476402092385</v>
      </c>
      <c r="R454">
        <v>0.55982159832358702</v>
      </c>
      <c r="S454">
        <v>134</v>
      </c>
      <c r="T454">
        <v>22</v>
      </c>
      <c r="U454">
        <v>428.07328490387499</v>
      </c>
      <c r="V454">
        <v>1.0342084327764499E-2</v>
      </c>
      <c r="W454">
        <v>848108.29038784397</v>
      </c>
      <c r="X454" t="s">
        <v>44</v>
      </c>
      <c r="Y454">
        <f>1-854-403-7848</f>
        <v>-9104</v>
      </c>
    </row>
    <row r="455" spans="1:25" x14ac:dyDescent="0.35">
      <c r="A455">
        <v>38.128676426902899</v>
      </c>
      <c r="B455">
        <v>-119.942209723508</v>
      </c>
      <c r="C455" t="s">
        <v>29</v>
      </c>
      <c r="D455">
        <v>42.666996162173902</v>
      </c>
      <c r="E455">
        <v>1</v>
      </c>
      <c r="F455">
        <v>2018</v>
      </c>
      <c r="G455">
        <v>1</v>
      </c>
      <c r="H455">
        <v>3</v>
      </c>
      <c r="I455">
        <v>1998</v>
      </c>
      <c r="J455">
        <v>1</v>
      </c>
      <c r="K455">
        <v>1</v>
      </c>
      <c r="L455">
        <v>1</v>
      </c>
      <c r="M455">
        <v>11</v>
      </c>
      <c r="N455" t="s">
        <v>37</v>
      </c>
      <c r="O455" t="s">
        <v>32</v>
      </c>
      <c r="P455">
        <v>6.6430742309559596</v>
      </c>
      <c r="Q455">
        <v>1.3210913012204399</v>
      </c>
      <c r="R455">
        <v>9.4500536206115697</v>
      </c>
      <c r="S455">
        <v>33</v>
      </c>
      <c r="T455">
        <v>35</v>
      </c>
      <c r="U455">
        <v>650.28207629876101</v>
      </c>
      <c r="V455">
        <v>5.4509415262636203E-3</v>
      </c>
      <c r="W455">
        <v>1642910.77910261</v>
      </c>
      <c r="X455" t="s">
        <v>33</v>
      </c>
      <c r="Y455">
        <f>1-591-296-7157</f>
        <v>-8043</v>
      </c>
    </row>
    <row r="456" spans="1:25" x14ac:dyDescent="0.35">
      <c r="A456">
        <v>41.429087264461202</v>
      </c>
      <c r="B456">
        <v>-119.190227875712</v>
      </c>
      <c r="C456" t="s">
        <v>29</v>
      </c>
      <c r="D456">
        <v>22.524429398346399</v>
      </c>
      <c r="E456">
        <v>5</v>
      </c>
      <c r="F456">
        <v>1438</v>
      </c>
      <c r="G456">
        <v>4</v>
      </c>
      <c r="H456">
        <v>1</v>
      </c>
      <c r="I456">
        <v>1980</v>
      </c>
      <c r="J456">
        <v>1</v>
      </c>
      <c r="K456">
        <v>1</v>
      </c>
      <c r="L456">
        <v>1</v>
      </c>
      <c r="M456">
        <v>14</v>
      </c>
      <c r="N456" t="s">
        <v>35</v>
      </c>
      <c r="O456" t="s">
        <v>30</v>
      </c>
      <c r="P456">
        <v>14.9320791899532</v>
      </c>
      <c r="Q456">
        <v>2.30403979588033</v>
      </c>
      <c r="R456">
        <v>2.1030910923427899</v>
      </c>
      <c r="S456">
        <v>34</v>
      </c>
      <c r="T456">
        <v>73</v>
      </c>
      <c r="U456">
        <v>651.73098944163905</v>
      </c>
      <c r="V456">
        <v>9.7357440890125102E-3</v>
      </c>
      <c r="W456">
        <v>1362903.70866474</v>
      </c>
      <c r="X456" t="s">
        <v>43</v>
      </c>
      <c r="Y456">
        <f>1-299-566-7320</f>
        <v>-8184</v>
      </c>
    </row>
    <row r="457" spans="1:25" x14ac:dyDescent="0.35">
      <c r="A457">
        <v>38.613777177139703</v>
      </c>
      <c r="B457">
        <v>-119.44264890773201</v>
      </c>
      <c r="C457" t="s">
        <v>25</v>
      </c>
      <c r="D457">
        <v>16.777833920641001</v>
      </c>
      <c r="E457">
        <v>4</v>
      </c>
      <c r="F457">
        <v>1724</v>
      </c>
      <c r="G457">
        <v>1</v>
      </c>
      <c r="H457">
        <v>1</v>
      </c>
      <c r="I457">
        <v>2020</v>
      </c>
      <c r="J457">
        <v>0</v>
      </c>
      <c r="K457">
        <v>1</v>
      </c>
      <c r="L457">
        <v>0</v>
      </c>
      <c r="M457">
        <v>6</v>
      </c>
      <c r="N457" t="s">
        <v>37</v>
      </c>
      <c r="O457" t="s">
        <v>27</v>
      </c>
      <c r="P457">
        <v>8.6276676062752795</v>
      </c>
      <c r="Q457">
        <v>0.65709533279522903</v>
      </c>
      <c r="R457">
        <v>0.86738899549794102</v>
      </c>
      <c r="S457">
        <v>4</v>
      </c>
      <c r="T457">
        <v>69</v>
      </c>
      <c r="U457">
        <v>267.046898949423</v>
      </c>
      <c r="V457">
        <v>3.48027842227378E-3</v>
      </c>
      <c r="W457">
        <v>678135.71817935398</v>
      </c>
      <c r="X457" t="s">
        <v>36</v>
      </c>
      <c r="Y457">
        <f>1-443-664-5974</f>
        <v>-7080</v>
      </c>
    </row>
    <row r="458" spans="1:25" x14ac:dyDescent="0.35">
      <c r="A458">
        <v>41.944362438986602</v>
      </c>
      <c r="B458">
        <v>-121.562160415927</v>
      </c>
      <c r="C458" t="s">
        <v>29</v>
      </c>
      <c r="D458">
        <v>40.936091568682897</v>
      </c>
      <c r="E458">
        <v>6</v>
      </c>
      <c r="F458">
        <v>3257</v>
      </c>
      <c r="G458">
        <v>2</v>
      </c>
      <c r="H458">
        <v>1</v>
      </c>
      <c r="I458">
        <v>1975</v>
      </c>
      <c r="J458">
        <v>1</v>
      </c>
      <c r="K458">
        <v>1</v>
      </c>
      <c r="L458">
        <v>0</v>
      </c>
      <c r="M458">
        <v>13</v>
      </c>
      <c r="N458" t="s">
        <v>41</v>
      </c>
      <c r="O458" t="s">
        <v>30</v>
      </c>
      <c r="P458">
        <v>6.2752567849997503</v>
      </c>
      <c r="Q458">
        <v>2.4377483409447702</v>
      </c>
      <c r="R458">
        <v>8.7759097995235908</v>
      </c>
      <c r="S458">
        <v>165</v>
      </c>
      <c r="T458">
        <v>54</v>
      </c>
      <c r="U458">
        <v>891.12801357954697</v>
      </c>
      <c r="V458">
        <v>3.9914031317163003E-3</v>
      </c>
      <c r="W458">
        <v>2991394.51920236</v>
      </c>
      <c r="X458" t="s">
        <v>38</v>
      </c>
      <c r="Y458">
        <f>1-902-113-4111</f>
        <v>-5125</v>
      </c>
    </row>
    <row r="459" spans="1:25" x14ac:dyDescent="0.35">
      <c r="A459">
        <v>38.9804676752346</v>
      </c>
      <c r="B459">
        <v>-116.938123073472</v>
      </c>
      <c r="C459" t="s">
        <v>29</v>
      </c>
      <c r="D459">
        <v>20.1755776597801</v>
      </c>
      <c r="E459">
        <v>8</v>
      </c>
      <c r="F459">
        <v>3573</v>
      </c>
      <c r="G459">
        <v>1</v>
      </c>
      <c r="H459">
        <v>2</v>
      </c>
      <c r="I459">
        <v>1984</v>
      </c>
      <c r="J459">
        <v>1</v>
      </c>
      <c r="K459">
        <v>0</v>
      </c>
      <c r="L459">
        <v>0</v>
      </c>
      <c r="M459">
        <v>5</v>
      </c>
      <c r="N459" t="s">
        <v>35</v>
      </c>
      <c r="O459" t="s">
        <v>32</v>
      </c>
      <c r="P459">
        <v>4.4235704603665003</v>
      </c>
      <c r="Q459">
        <v>2.0721862596149001</v>
      </c>
      <c r="R459">
        <v>1.0811345646891</v>
      </c>
      <c r="S459">
        <v>35</v>
      </c>
      <c r="T459">
        <v>71</v>
      </c>
      <c r="U459">
        <v>251.22646687272501</v>
      </c>
      <c r="V459">
        <v>1.39938427092079E-3</v>
      </c>
      <c r="W459">
        <v>1036770.56371147</v>
      </c>
      <c r="X459" t="s">
        <v>43</v>
      </c>
      <c r="Y459">
        <f>1-802-300-2520</f>
        <v>-3621</v>
      </c>
    </row>
    <row r="460" spans="1:25" x14ac:dyDescent="0.35">
      <c r="A460">
        <v>36.159558637103402</v>
      </c>
      <c r="B460">
        <v>-117.728495160276</v>
      </c>
      <c r="C460" t="s">
        <v>34</v>
      </c>
      <c r="D460">
        <v>34.763387874543398</v>
      </c>
      <c r="E460">
        <v>2</v>
      </c>
      <c r="F460">
        <v>2345</v>
      </c>
      <c r="G460">
        <v>3</v>
      </c>
      <c r="H460">
        <v>3</v>
      </c>
      <c r="I460">
        <v>2013</v>
      </c>
      <c r="J460">
        <v>1</v>
      </c>
      <c r="K460">
        <v>0</v>
      </c>
      <c r="L460">
        <v>0</v>
      </c>
      <c r="M460">
        <v>2</v>
      </c>
      <c r="N460" t="s">
        <v>41</v>
      </c>
      <c r="O460" t="s">
        <v>30</v>
      </c>
      <c r="P460">
        <v>5.8391062825154902</v>
      </c>
      <c r="Q460">
        <v>2.1264628999942201</v>
      </c>
      <c r="R460">
        <v>0.17381633437465499</v>
      </c>
      <c r="S460">
        <v>36</v>
      </c>
      <c r="T460">
        <v>61</v>
      </c>
      <c r="U460">
        <v>746.71877073742905</v>
      </c>
      <c r="V460">
        <v>8.5287846481876296E-4</v>
      </c>
      <c r="W460">
        <v>1973917.19807561</v>
      </c>
      <c r="X460" t="s">
        <v>44</v>
      </c>
      <c r="Y460">
        <f>1-839-923-9820</f>
        <v>-11581</v>
      </c>
    </row>
    <row r="461" spans="1:25" x14ac:dyDescent="0.35">
      <c r="A461">
        <v>34.955192294165897</v>
      </c>
      <c r="B461">
        <v>-120.534703918948</v>
      </c>
      <c r="C461" t="s">
        <v>25</v>
      </c>
      <c r="D461">
        <v>28.715070531347799</v>
      </c>
      <c r="E461">
        <v>7</v>
      </c>
      <c r="F461">
        <v>3341</v>
      </c>
      <c r="G461">
        <v>2</v>
      </c>
      <c r="H461">
        <v>1</v>
      </c>
      <c r="I461">
        <v>1996</v>
      </c>
      <c r="J461">
        <v>0</v>
      </c>
      <c r="K461">
        <v>0</v>
      </c>
      <c r="L461">
        <v>0</v>
      </c>
      <c r="M461">
        <v>7</v>
      </c>
      <c r="N461" t="s">
        <v>41</v>
      </c>
      <c r="O461" t="s">
        <v>30</v>
      </c>
      <c r="P461">
        <v>4.6123995922372103</v>
      </c>
      <c r="Q461">
        <v>1.32447410710771</v>
      </c>
      <c r="R461">
        <v>1.32257922757605</v>
      </c>
      <c r="S461">
        <v>56</v>
      </c>
      <c r="T461">
        <v>46</v>
      </c>
      <c r="U461">
        <v>464.81776867913999</v>
      </c>
      <c r="V461">
        <v>2.09518108350793E-3</v>
      </c>
      <c r="W461">
        <v>1684633.04113813</v>
      </c>
      <c r="X461" t="s">
        <v>36</v>
      </c>
      <c r="Y461">
        <f>1-637-858-8712</f>
        <v>-10206</v>
      </c>
    </row>
    <row r="462" spans="1:25" x14ac:dyDescent="0.35">
      <c r="A462">
        <v>37.2588563629539</v>
      </c>
      <c r="B462">
        <v>-124.097756091588</v>
      </c>
      <c r="C462" t="s">
        <v>34</v>
      </c>
      <c r="D462">
        <v>10.0966884582879</v>
      </c>
      <c r="E462">
        <v>3</v>
      </c>
      <c r="F462">
        <v>2909</v>
      </c>
      <c r="G462">
        <v>1</v>
      </c>
      <c r="H462">
        <v>1</v>
      </c>
      <c r="I462">
        <v>1967</v>
      </c>
      <c r="J462">
        <v>0</v>
      </c>
      <c r="K462">
        <v>0</v>
      </c>
      <c r="L462">
        <v>1</v>
      </c>
      <c r="M462">
        <v>14</v>
      </c>
      <c r="N462" t="s">
        <v>37</v>
      </c>
      <c r="O462" t="s">
        <v>30</v>
      </c>
      <c r="P462">
        <v>2.5756575012373899</v>
      </c>
      <c r="Q462">
        <v>1.3204264463676301</v>
      </c>
      <c r="R462">
        <v>9.8926415982000808</v>
      </c>
      <c r="S462">
        <v>46</v>
      </c>
      <c r="T462">
        <v>78</v>
      </c>
      <c r="U462">
        <v>669.88137647927601</v>
      </c>
      <c r="V462">
        <v>4.81265039532485E-3</v>
      </c>
      <c r="W462">
        <v>1951424.8665688599</v>
      </c>
      <c r="X462" t="s">
        <v>43</v>
      </c>
      <c r="Y462">
        <f>1-591-270-4649</f>
        <v>-5509</v>
      </c>
    </row>
    <row r="463" spans="1:25" x14ac:dyDescent="0.35">
      <c r="A463">
        <v>37.157411158963498</v>
      </c>
      <c r="B463">
        <v>-116.759449034737</v>
      </c>
      <c r="C463" t="s">
        <v>29</v>
      </c>
      <c r="D463">
        <v>17.768500224459999</v>
      </c>
      <c r="E463">
        <v>6</v>
      </c>
      <c r="F463">
        <v>4469</v>
      </c>
      <c r="G463">
        <v>1</v>
      </c>
      <c r="H463">
        <v>2</v>
      </c>
      <c r="I463">
        <v>1965</v>
      </c>
      <c r="J463">
        <v>1</v>
      </c>
      <c r="K463">
        <v>1</v>
      </c>
      <c r="L463">
        <v>0</v>
      </c>
      <c r="M463">
        <v>8</v>
      </c>
      <c r="N463" t="s">
        <v>35</v>
      </c>
      <c r="O463" t="s">
        <v>32</v>
      </c>
      <c r="P463">
        <v>2.22842030441329</v>
      </c>
      <c r="Q463">
        <v>1.1794924095891299</v>
      </c>
      <c r="R463">
        <v>3.98954495339835</v>
      </c>
      <c r="S463">
        <v>13</v>
      </c>
      <c r="T463">
        <v>23</v>
      </c>
      <c r="U463">
        <v>352.89024505036099</v>
      </c>
      <c r="V463">
        <v>1.7901096442156999E-3</v>
      </c>
      <c r="W463">
        <v>1823518.7650137399</v>
      </c>
      <c r="X463" t="s">
        <v>31</v>
      </c>
      <c r="Y463">
        <f>1-616-185-6090</f>
        <v>-6890</v>
      </c>
    </row>
    <row r="464" spans="1:25" x14ac:dyDescent="0.35">
      <c r="A464">
        <v>38.370969718576703</v>
      </c>
      <c r="B464">
        <v>-114.44717028375899</v>
      </c>
      <c r="C464" t="s">
        <v>34</v>
      </c>
      <c r="D464">
        <v>37.281757266964298</v>
      </c>
      <c r="E464">
        <v>2</v>
      </c>
      <c r="F464">
        <v>929</v>
      </c>
      <c r="G464">
        <v>4</v>
      </c>
      <c r="H464">
        <v>2</v>
      </c>
      <c r="I464">
        <v>1972</v>
      </c>
      <c r="J464">
        <v>1</v>
      </c>
      <c r="K464">
        <v>0</v>
      </c>
      <c r="L464">
        <v>0</v>
      </c>
      <c r="M464">
        <v>7</v>
      </c>
      <c r="N464" t="s">
        <v>35</v>
      </c>
      <c r="O464" t="s">
        <v>30</v>
      </c>
      <c r="P464">
        <v>9.0129691341640399</v>
      </c>
      <c r="Q464">
        <v>2.01118340637138</v>
      </c>
      <c r="R464">
        <v>4.8159074410128602</v>
      </c>
      <c r="S464">
        <v>90</v>
      </c>
      <c r="T464">
        <v>48</v>
      </c>
      <c r="U464">
        <v>420.00163953642698</v>
      </c>
      <c r="V464">
        <v>7.5349838536060204E-3</v>
      </c>
      <c r="W464">
        <v>655252.64590835304</v>
      </c>
      <c r="X464" t="s">
        <v>33</v>
      </c>
      <c r="Y464">
        <f>1-324-557-6792</f>
        <v>-7672</v>
      </c>
    </row>
    <row r="465" spans="1:25" x14ac:dyDescent="0.35">
      <c r="A465">
        <v>35.164812984858202</v>
      </c>
      <c r="B465">
        <v>-121.691934969012</v>
      </c>
      <c r="C465" t="s">
        <v>34</v>
      </c>
      <c r="D465">
        <v>27.347879030859598</v>
      </c>
      <c r="E465">
        <v>8</v>
      </c>
      <c r="F465">
        <v>3476</v>
      </c>
      <c r="G465">
        <v>4</v>
      </c>
      <c r="H465">
        <v>3</v>
      </c>
      <c r="I465">
        <v>1966</v>
      </c>
      <c r="J465">
        <v>1</v>
      </c>
      <c r="K465">
        <v>0</v>
      </c>
      <c r="L465">
        <v>0</v>
      </c>
      <c r="M465">
        <v>10</v>
      </c>
      <c r="N465" t="s">
        <v>26</v>
      </c>
      <c r="O465" t="s">
        <v>27</v>
      </c>
      <c r="P465">
        <v>7.9461053644193003</v>
      </c>
      <c r="Q465">
        <v>2.2299841612792601</v>
      </c>
      <c r="R465">
        <v>9.8477968795068591</v>
      </c>
      <c r="S465">
        <v>150</v>
      </c>
      <c r="T465">
        <v>49</v>
      </c>
      <c r="U465">
        <v>214.30045370142099</v>
      </c>
      <c r="V465">
        <v>2.8768699654775601E-3</v>
      </c>
      <c r="W465">
        <v>971073.23189984402</v>
      </c>
      <c r="X465" t="s">
        <v>43</v>
      </c>
      <c r="Y465">
        <f>1-360-191-9594</f>
        <v>-10144</v>
      </c>
    </row>
    <row r="466" spans="1:25" x14ac:dyDescent="0.35">
      <c r="A466">
        <v>33.844280702917899</v>
      </c>
      <c r="B466">
        <v>-118.298183255043</v>
      </c>
      <c r="C466" t="s">
        <v>25</v>
      </c>
      <c r="D466">
        <v>4.7730474028954699</v>
      </c>
      <c r="E466">
        <v>0</v>
      </c>
      <c r="F466">
        <v>1857</v>
      </c>
      <c r="G466">
        <v>3</v>
      </c>
      <c r="H466">
        <v>3</v>
      </c>
      <c r="I466">
        <v>2020</v>
      </c>
      <c r="J466">
        <v>1</v>
      </c>
      <c r="K466">
        <v>1</v>
      </c>
      <c r="L466">
        <v>0</v>
      </c>
      <c r="M466">
        <v>11</v>
      </c>
      <c r="N466" t="s">
        <v>26</v>
      </c>
      <c r="O466" t="s">
        <v>30</v>
      </c>
      <c r="P466">
        <v>2.36181012531378</v>
      </c>
      <c r="Q466">
        <v>0.66669834434965103</v>
      </c>
      <c r="R466">
        <v>7.1563464406044597</v>
      </c>
      <c r="S466">
        <v>27</v>
      </c>
      <c r="T466">
        <v>74</v>
      </c>
      <c r="U466">
        <v>669.55214466897098</v>
      </c>
      <c r="V466">
        <v>5.9235325794291804E-3</v>
      </c>
      <c r="W466">
        <v>1595121.2067891001</v>
      </c>
      <c r="X466" t="s">
        <v>44</v>
      </c>
      <c r="Y466">
        <f>1-243-546-3349</f>
        <v>-4137</v>
      </c>
    </row>
    <row r="467" spans="1:25" x14ac:dyDescent="0.35">
      <c r="A467">
        <v>32.706853356385899</v>
      </c>
      <c r="B467">
        <v>-122.564685382886</v>
      </c>
      <c r="C467" t="s">
        <v>25</v>
      </c>
      <c r="D467">
        <v>48.389945285122998</v>
      </c>
      <c r="E467">
        <v>2</v>
      </c>
      <c r="F467">
        <v>850</v>
      </c>
      <c r="G467">
        <v>4</v>
      </c>
      <c r="H467">
        <v>2</v>
      </c>
      <c r="I467">
        <v>1953</v>
      </c>
      <c r="J467">
        <v>1</v>
      </c>
      <c r="K467">
        <v>1</v>
      </c>
      <c r="L467">
        <v>0</v>
      </c>
      <c r="M467">
        <v>9</v>
      </c>
      <c r="N467" t="s">
        <v>26</v>
      </c>
      <c r="O467" t="s">
        <v>27</v>
      </c>
      <c r="P467">
        <v>3.0593994154048501</v>
      </c>
      <c r="Q467">
        <v>1.3654235834806201</v>
      </c>
      <c r="R467">
        <v>5.4258433338092704</v>
      </c>
      <c r="S467">
        <v>105</v>
      </c>
      <c r="T467">
        <v>44</v>
      </c>
      <c r="U467">
        <v>237.89314878544801</v>
      </c>
      <c r="V467">
        <v>1.05882352941176E-2</v>
      </c>
      <c r="W467">
        <v>567907.61983766698</v>
      </c>
      <c r="X467" t="s">
        <v>43</v>
      </c>
      <c r="Y467">
        <f>1-326-307-8057</f>
        <v>-8689</v>
      </c>
    </row>
    <row r="468" spans="1:25" x14ac:dyDescent="0.35">
      <c r="A468">
        <v>34.551349606693002</v>
      </c>
      <c r="B468">
        <v>-122.320450440416</v>
      </c>
      <c r="C468" t="s">
        <v>29</v>
      </c>
      <c r="D468">
        <v>38.621452198588997</v>
      </c>
      <c r="E468">
        <v>4</v>
      </c>
      <c r="F468">
        <v>1548</v>
      </c>
      <c r="G468">
        <v>3</v>
      </c>
      <c r="H468">
        <v>2</v>
      </c>
      <c r="I468">
        <v>1961</v>
      </c>
      <c r="J468">
        <v>0</v>
      </c>
      <c r="K468">
        <v>1</v>
      </c>
      <c r="L468">
        <v>0</v>
      </c>
      <c r="M468">
        <v>5</v>
      </c>
      <c r="N468" t="s">
        <v>37</v>
      </c>
      <c r="O468" t="s">
        <v>32</v>
      </c>
      <c r="P468">
        <v>9.4996973215225697</v>
      </c>
      <c r="Q468">
        <v>1.74386992039119</v>
      </c>
      <c r="R468">
        <v>9.4550918892514009</v>
      </c>
      <c r="S468">
        <v>31</v>
      </c>
      <c r="T468">
        <v>58</v>
      </c>
      <c r="U468">
        <v>835.65534778642098</v>
      </c>
      <c r="V468">
        <v>3.2299741602067099E-3</v>
      </c>
      <c r="W468">
        <v>1543125.7591109099</v>
      </c>
      <c r="X468" t="s">
        <v>43</v>
      </c>
      <c r="Y468">
        <f>1-778-358-3920</f>
        <v>-5055</v>
      </c>
    </row>
    <row r="469" spans="1:25" x14ac:dyDescent="0.35">
      <c r="A469">
        <v>40.4597760904648</v>
      </c>
      <c r="B469">
        <v>-115.697889837845</v>
      </c>
      <c r="C469" t="s">
        <v>29</v>
      </c>
      <c r="D469">
        <v>44.889513276818001</v>
      </c>
      <c r="E469">
        <v>1</v>
      </c>
      <c r="F469">
        <v>3421</v>
      </c>
      <c r="G469">
        <v>3</v>
      </c>
      <c r="H469">
        <v>1</v>
      </c>
      <c r="I469">
        <v>1960</v>
      </c>
      <c r="J469">
        <v>1</v>
      </c>
      <c r="K469">
        <v>1</v>
      </c>
      <c r="L469">
        <v>0</v>
      </c>
      <c r="M469">
        <v>12</v>
      </c>
      <c r="N469" t="s">
        <v>35</v>
      </c>
      <c r="O469" t="s">
        <v>30</v>
      </c>
      <c r="P469">
        <v>11.8426594199984</v>
      </c>
      <c r="Q469">
        <v>2.4862477230604201</v>
      </c>
      <c r="R469">
        <v>5.7060751894816004</v>
      </c>
      <c r="S469">
        <v>6</v>
      </c>
      <c r="T469">
        <v>40</v>
      </c>
      <c r="U469">
        <v>399.316892748584</v>
      </c>
      <c r="V469">
        <v>3.50774627301958E-3</v>
      </c>
      <c r="W469">
        <v>1744141.76292164</v>
      </c>
      <c r="X469" t="s">
        <v>43</v>
      </c>
      <c r="Y469">
        <f>1-456-244-3347</f>
        <v>-4046</v>
      </c>
    </row>
    <row r="470" spans="1:25" x14ac:dyDescent="0.35">
      <c r="A470">
        <v>37.059429252734098</v>
      </c>
      <c r="B470">
        <v>-120.533574899294</v>
      </c>
      <c r="C470" t="s">
        <v>34</v>
      </c>
      <c r="D470">
        <v>42.1753814736796</v>
      </c>
      <c r="E470">
        <v>5</v>
      </c>
      <c r="F470">
        <v>1350</v>
      </c>
      <c r="G470">
        <v>2</v>
      </c>
      <c r="H470">
        <v>3</v>
      </c>
      <c r="I470">
        <v>1978</v>
      </c>
      <c r="J470">
        <v>1</v>
      </c>
      <c r="K470">
        <v>1</v>
      </c>
      <c r="L470">
        <v>1</v>
      </c>
      <c r="M470">
        <v>6</v>
      </c>
      <c r="N470" t="s">
        <v>41</v>
      </c>
      <c r="O470" t="s">
        <v>32</v>
      </c>
      <c r="P470">
        <v>12.9355282598475</v>
      </c>
      <c r="Q470">
        <v>0.91274742971895895</v>
      </c>
      <c r="R470">
        <v>5.9693669415489303</v>
      </c>
      <c r="S470">
        <v>98</v>
      </c>
      <c r="T470">
        <v>60</v>
      </c>
      <c r="U470">
        <v>267.02785248085502</v>
      </c>
      <c r="V470">
        <v>4.4444444444444401E-3</v>
      </c>
      <c r="W470">
        <v>725683.65890305606</v>
      </c>
      <c r="X470" t="s">
        <v>31</v>
      </c>
      <c r="Y470">
        <f>1-482-715-1091</f>
        <v>-2287</v>
      </c>
    </row>
    <row r="471" spans="1:25" x14ac:dyDescent="0.35">
      <c r="A471">
        <v>34.093357434026402</v>
      </c>
      <c r="B471">
        <v>-123.881008325953</v>
      </c>
      <c r="C471" t="s">
        <v>29</v>
      </c>
      <c r="D471">
        <v>11.649510709118401</v>
      </c>
      <c r="E471">
        <v>2</v>
      </c>
      <c r="F471">
        <v>1450</v>
      </c>
      <c r="G471">
        <v>3</v>
      </c>
      <c r="H471">
        <v>1</v>
      </c>
      <c r="I471">
        <v>1965</v>
      </c>
      <c r="J471">
        <v>0</v>
      </c>
      <c r="K471">
        <v>0</v>
      </c>
      <c r="L471">
        <v>0</v>
      </c>
      <c r="M471">
        <v>5</v>
      </c>
      <c r="N471" t="s">
        <v>35</v>
      </c>
      <c r="O471" t="s">
        <v>27</v>
      </c>
      <c r="P471">
        <v>7.21125580172931</v>
      </c>
      <c r="Q471">
        <v>2.4381978195860099</v>
      </c>
      <c r="R471">
        <v>2.6484342887361598</v>
      </c>
      <c r="S471">
        <v>153</v>
      </c>
      <c r="T471">
        <v>43</v>
      </c>
      <c r="U471">
        <v>397.30062938453102</v>
      </c>
      <c r="V471">
        <v>3.4482758620689598E-3</v>
      </c>
      <c r="W471">
        <v>678853.78560247796</v>
      </c>
      <c r="X471" t="s">
        <v>31</v>
      </c>
      <c r="Y471">
        <f>1-321-509-5785</f>
        <v>-6614</v>
      </c>
    </row>
    <row r="472" spans="1:25" x14ac:dyDescent="0.35">
      <c r="A472">
        <v>34.957878780971797</v>
      </c>
      <c r="B472">
        <v>-117.48862730064199</v>
      </c>
      <c r="C472" t="s">
        <v>25</v>
      </c>
      <c r="D472">
        <v>11.497071316580101</v>
      </c>
      <c r="E472">
        <v>8</v>
      </c>
      <c r="F472">
        <v>2811</v>
      </c>
      <c r="G472">
        <v>1</v>
      </c>
      <c r="H472">
        <v>3</v>
      </c>
      <c r="I472">
        <v>2005</v>
      </c>
      <c r="J472">
        <v>1</v>
      </c>
      <c r="K472">
        <v>0</v>
      </c>
      <c r="L472">
        <v>0</v>
      </c>
      <c r="M472">
        <v>3</v>
      </c>
      <c r="N472" t="s">
        <v>41</v>
      </c>
      <c r="O472" t="s">
        <v>30</v>
      </c>
      <c r="P472">
        <v>10.407142468708299</v>
      </c>
      <c r="Q472">
        <v>1.1260800914985301</v>
      </c>
      <c r="R472">
        <v>8.9577548564195997</v>
      </c>
      <c r="S472">
        <v>96</v>
      </c>
      <c r="T472">
        <v>30</v>
      </c>
      <c r="U472">
        <v>590.53547624696705</v>
      </c>
      <c r="V472">
        <v>1.0672358591248599E-3</v>
      </c>
      <c r="W472">
        <v>1996284.1231855201</v>
      </c>
      <c r="X472" t="s">
        <v>43</v>
      </c>
      <c r="Y472">
        <f>1-645-172-4683</f>
        <v>-5499</v>
      </c>
    </row>
    <row r="473" spans="1:25" x14ac:dyDescent="0.35">
      <c r="A473">
        <v>36.835394584525602</v>
      </c>
      <c r="B473">
        <v>-119.439447350479</v>
      </c>
      <c r="C473" t="s">
        <v>25</v>
      </c>
      <c r="D473">
        <v>12.9806159741561</v>
      </c>
      <c r="E473">
        <v>1</v>
      </c>
      <c r="F473">
        <v>1853</v>
      </c>
      <c r="G473">
        <v>5</v>
      </c>
      <c r="H473">
        <v>1</v>
      </c>
      <c r="I473">
        <v>1978</v>
      </c>
      <c r="J473">
        <v>0</v>
      </c>
      <c r="K473">
        <v>1</v>
      </c>
      <c r="L473">
        <v>0</v>
      </c>
      <c r="M473">
        <v>13</v>
      </c>
      <c r="N473" t="s">
        <v>37</v>
      </c>
      <c r="O473" t="s">
        <v>27</v>
      </c>
      <c r="P473">
        <v>14.0138642134009</v>
      </c>
      <c r="Q473">
        <v>1.06415197025112</v>
      </c>
      <c r="R473">
        <v>8.2195066935158305</v>
      </c>
      <c r="S473">
        <v>0</v>
      </c>
      <c r="T473">
        <v>29</v>
      </c>
      <c r="U473">
        <v>594.55560679103496</v>
      </c>
      <c r="V473">
        <v>7.0156502968159703E-3</v>
      </c>
      <c r="W473">
        <v>1487442.8158539601</v>
      </c>
      <c r="X473" t="s">
        <v>28</v>
      </c>
      <c r="Y473">
        <f>1-230-173-6915</f>
        <v>-7317</v>
      </c>
    </row>
    <row r="474" spans="1:25" x14ac:dyDescent="0.35">
      <c r="A474">
        <v>39.949844631534702</v>
      </c>
      <c r="B474">
        <v>-120.28716780196299</v>
      </c>
      <c r="C474" t="s">
        <v>34</v>
      </c>
      <c r="D474">
        <v>20.830852547718901</v>
      </c>
      <c r="E474">
        <v>8</v>
      </c>
      <c r="F474">
        <v>2460</v>
      </c>
      <c r="G474">
        <v>2</v>
      </c>
      <c r="H474">
        <v>3</v>
      </c>
      <c r="I474">
        <v>1955</v>
      </c>
      <c r="J474">
        <v>1</v>
      </c>
      <c r="K474">
        <v>0</v>
      </c>
      <c r="L474">
        <v>1</v>
      </c>
      <c r="M474">
        <v>7</v>
      </c>
      <c r="N474" t="s">
        <v>41</v>
      </c>
      <c r="O474" t="s">
        <v>27</v>
      </c>
      <c r="P474">
        <v>4.17468628106705</v>
      </c>
      <c r="Q474">
        <v>2.3289739058499501</v>
      </c>
      <c r="R474">
        <v>6.1524624334236799</v>
      </c>
      <c r="S474">
        <v>1</v>
      </c>
      <c r="T474">
        <v>34</v>
      </c>
      <c r="U474">
        <v>282.86190119706401</v>
      </c>
      <c r="V474">
        <v>2.84552845528455E-3</v>
      </c>
      <c r="W474">
        <v>839228.92222309904</v>
      </c>
      <c r="X474" t="s">
        <v>38</v>
      </c>
      <c r="Y474">
        <f>1-839-737-5176</f>
        <v>-6751</v>
      </c>
    </row>
    <row r="475" spans="1:25" x14ac:dyDescent="0.35">
      <c r="A475">
        <v>36.451099918542397</v>
      </c>
      <c r="B475">
        <v>-118.165304576488</v>
      </c>
      <c r="C475" t="s">
        <v>25</v>
      </c>
      <c r="D475">
        <v>27.955449008785099</v>
      </c>
      <c r="E475">
        <v>1</v>
      </c>
      <c r="F475">
        <v>2220</v>
      </c>
      <c r="G475">
        <v>5</v>
      </c>
      <c r="H475">
        <v>1</v>
      </c>
      <c r="I475">
        <v>1978</v>
      </c>
      <c r="J475">
        <v>1</v>
      </c>
      <c r="K475">
        <v>1</v>
      </c>
      <c r="L475">
        <v>1</v>
      </c>
      <c r="M475">
        <v>9</v>
      </c>
      <c r="N475" t="s">
        <v>35</v>
      </c>
      <c r="O475" t="s">
        <v>30</v>
      </c>
      <c r="P475">
        <v>2.8275504690603102</v>
      </c>
      <c r="Q475">
        <v>0.86335189331041795</v>
      </c>
      <c r="R475">
        <v>3.0475713271688099</v>
      </c>
      <c r="S475">
        <v>88</v>
      </c>
      <c r="T475">
        <v>65</v>
      </c>
      <c r="U475">
        <v>685.33692220173305</v>
      </c>
      <c r="V475">
        <v>4.0540540540540499E-3</v>
      </c>
      <c r="W475">
        <v>1922032.9445857201</v>
      </c>
      <c r="X475" t="s">
        <v>44</v>
      </c>
      <c r="Y475">
        <f>1-932-605-2342</f>
        <v>-3878</v>
      </c>
    </row>
    <row r="476" spans="1:25" x14ac:dyDescent="0.35">
      <c r="A476">
        <v>36.0159266684974</v>
      </c>
      <c r="B476">
        <v>-114.43860709434701</v>
      </c>
      <c r="C476" t="s">
        <v>34</v>
      </c>
      <c r="D476">
        <v>9.2380857266204099</v>
      </c>
      <c r="E476">
        <v>2</v>
      </c>
      <c r="F476">
        <v>4433</v>
      </c>
      <c r="G476">
        <v>4</v>
      </c>
      <c r="H476">
        <v>2</v>
      </c>
      <c r="I476">
        <v>1989</v>
      </c>
      <c r="J476">
        <v>1</v>
      </c>
      <c r="K476">
        <v>0</v>
      </c>
      <c r="L476">
        <v>0</v>
      </c>
      <c r="M476">
        <v>4</v>
      </c>
      <c r="N476" t="s">
        <v>37</v>
      </c>
      <c r="O476" t="s">
        <v>30</v>
      </c>
      <c r="P476">
        <v>7.9398814569533203</v>
      </c>
      <c r="Q476">
        <v>2.3332835835849801</v>
      </c>
      <c r="R476">
        <v>0.51830691289988595</v>
      </c>
      <c r="S476">
        <v>176</v>
      </c>
      <c r="T476">
        <v>40</v>
      </c>
      <c r="U476">
        <v>729.39104841758501</v>
      </c>
      <c r="V476">
        <v>9.0232348296864404E-4</v>
      </c>
      <c r="W476">
        <v>3542924.9475348499</v>
      </c>
      <c r="X476" t="s">
        <v>38</v>
      </c>
      <c r="Y476">
        <f>1-286-705-9347</f>
        <v>-10337</v>
      </c>
    </row>
    <row r="477" spans="1:25" x14ac:dyDescent="0.35">
      <c r="A477">
        <v>34.301783362488003</v>
      </c>
      <c r="B477">
        <v>-118.701598620818</v>
      </c>
      <c r="C477" t="s">
        <v>25</v>
      </c>
      <c r="D477">
        <v>7.5140583641282799</v>
      </c>
      <c r="E477">
        <v>6</v>
      </c>
      <c r="F477">
        <v>1334</v>
      </c>
      <c r="G477">
        <v>1</v>
      </c>
      <c r="H477">
        <v>3</v>
      </c>
      <c r="I477">
        <v>2009</v>
      </c>
      <c r="J477">
        <v>0</v>
      </c>
      <c r="K477">
        <v>0</v>
      </c>
      <c r="L477">
        <v>0</v>
      </c>
      <c r="M477">
        <v>5</v>
      </c>
      <c r="N477" t="s">
        <v>41</v>
      </c>
      <c r="O477" t="s">
        <v>32</v>
      </c>
      <c r="P477">
        <v>14.7477294436317</v>
      </c>
      <c r="Q477">
        <v>1.85115812443489</v>
      </c>
      <c r="R477">
        <v>3.2125218064285299</v>
      </c>
      <c r="S477">
        <v>128</v>
      </c>
      <c r="T477">
        <v>62</v>
      </c>
      <c r="U477">
        <v>654.70332555736502</v>
      </c>
      <c r="V477">
        <v>3.7481259370314799E-3</v>
      </c>
      <c r="W477">
        <v>1059384.66604753</v>
      </c>
      <c r="X477" t="s">
        <v>42</v>
      </c>
      <c r="Y477">
        <f>1-737-432-9481</f>
        <v>-10649</v>
      </c>
    </row>
    <row r="478" spans="1:25" x14ac:dyDescent="0.35">
      <c r="A478">
        <v>35.658715760356898</v>
      </c>
      <c r="B478">
        <v>-123.995003730447</v>
      </c>
      <c r="C478" t="s">
        <v>25</v>
      </c>
      <c r="D478">
        <v>10.8199788740045</v>
      </c>
      <c r="E478">
        <v>8</v>
      </c>
      <c r="F478">
        <v>2734</v>
      </c>
      <c r="G478">
        <v>4</v>
      </c>
      <c r="H478">
        <v>2</v>
      </c>
      <c r="I478">
        <v>1952</v>
      </c>
      <c r="J478">
        <v>1</v>
      </c>
      <c r="K478">
        <v>0</v>
      </c>
      <c r="L478">
        <v>0</v>
      </c>
      <c r="M478">
        <v>6</v>
      </c>
      <c r="N478" t="s">
        <v>37</v>
      </c>
      <c r="O478" t="s">
        <v>32</v>
      </c>
      <c r="P478">
        <v>4.4878497164156199</v>
      </c>
      <c r="Q478">
        <v>2.0278449669077001</v>
      </c>
      <c r="R478">
        <v>8.7931866198475301</v>
      </c>
      <c r="S478">
        <v>36</v>
      </c>
      <c r="T478">
        <v>54</v>
      </c>
      <c r="U478">
        <v>462.48637582606199</v>
      </c>
      <c r="V478">
        <v>2.1945866861740999E-3</v>
      </c>
      <c r="W478">
        <v>1449212.9820721501</v>
      </c>
      <c r="X478" t="s">
        <v>42</v>
      </c>
      <c r="Y478">
        <f>1-838-555-4509</f>
        <v>-5901</v>
      </c>
    </row>
    <row r="479" spans="1:25" x14ac:dyDescent="0.35">
      <c r="A479">
        <v>38.236861250698901</v>
      </c>
      <c r="B479">
        <v>-122.991855475592</v>
      </c>
      <c r="C479" t="s">
        <v>25</v>
      </c>
      <c r="D479">
        <v>7.9771305838122801</v>
      </c>
      <c r="E479">
        <v>4</v>
      </c>
      <c r="F479">
        <v>2467</v>
      </c>
      <c r="G479">
        <v>2</v>
      </c>
      <c r="H479">
        <v>3</v>
      </c>
      <c r="I479">
        <v>1967</v>
      </c>
      <c r="J479">
        <v>0</v>
      </c>
      <c r="K479">
        <v>0</v>
      </c>
      <c r="L479">
        <v>1</v>
      </c>
      <c r="M479">
        <v>3</v>
      </c>
      <c r="N479" t="s">
        <v>37</v>
      </c>
      <c r="O479" t="s">
        <v>32</v>
      </c>
      <c r="P479">
        <v>5.9876448735215897</v>
      </c>
      <c r="Q479">
        <v>1.8825554926446</v>
      </c>
      <c r="R479">
        <v>2.6469453350805701</v>
      </c>
      <c r="S479">
        <v>163</v>
      </c>
      <c r="T479">
        <v>42</v>
      </c>
      <c r="U479">
        <v>612.30002104281698</v>
      </c>
      <c r="V479">
        <v>1.2160518848804199E-3</v>
      </c>
      <c r="W479">
        <v>1657659.87011096</v>
      </c>
      <c r="X479" t="s">
        <v>44</v>
      </c>
      <c r="Y479">
        <f>1-297-386-8108</f>
        <v>-8790</v>
      </c>
    </row>
    <row r="480" spans="1:25" x14ac:dyDescent="0.35">
      <c r="A480">
        <v>33.313264217869197</v>
      </c>
      <c r="B480">
        <v>-117.462661243185</v>
      </c>
      <c r="C480" t="s">
        <v>25</v>
      </c>
      <c r="D480">
        <v>1.30496384852823</v>
      </c>
      <c r="E480">
        <v>7</v>
      </c>
      <c r="F480">
        <v>3353</v>
      </c>
      <c r="G480">
        <v>2</v>
      </c>
      <c r="H480">
        <v>3</v>
      </c>
      <c r="I480">
        <v>1961</v>
      </c>
      <c r="J480">
        <v>1</v>
      </c>
      <c r="K480">
        <v>0</v>
      </c>
      <c r="L480">
        <v>1</v>
      </c>
      <c r="M480">
        <v>5</v>
      </c>
      <c r="N480" t="s">
        <v>41</v>
      </c>
      <c r="O480" t="s">
        <v>30</v>
      </c>
      <c r="P480">
        <v>3.7204475451569698</v>
      </c>
      <c r="Q480">
        <v>0.75637387186876504</v>
      </c>
      <c r="R480">
        <v>7.2526079528111396</v>
      </c>
      <c r="S480">
        <v>103</v>
      </c>
      <c r="T480">
        <v>66</v>
      </c>
      <c r="U480">
        <v>890.46376915892699</v>
      </c>
      <c r="V480">
        <v>1.4912019087384399E-3</v>
      </c>
      <c r="W480">
        <v>3230979.2951704301</v>
      </c>
      <c r="X480" t="s">
        <v>44</v>
      </c>
      <c r="Y480">
        <f>1-787-789-7527</f>
        <v>-9102</v>
      </c>
    </row>
    <row r="481" spans="1:25" x14ac:dyDescent="0.35">
      <c r="A481">
        <v>41.447496893730801</v>
      </c>
      <c r="B481">
        <v>-117.467134746946</v>
      </c>
      <c r="C481" t="s">
        <v>25</v>
      </c>
      <c r="D481">
        <v>25.8177549678195</v>
      </c>
      <c r="E481">
        <v>2</v>
      </c>
      <c r="F481">
        <v>3242</v>
      </c>
      <c r="G481">
        <v>4</v>
      </c>
      <c r="H481">
        <v>1</v>
      </c>
      <c r="I481">
        <v>2015</v>
      </c>
      <c r="J481">
        <v>1</v>
      </c>
      <c r="K481">
        <v>1</v>
      </c>
      <c r="L481">
        <v>0</v>
      </c>
      <c r="M481">
        <v>14</v>
      </c>
      <c r="N481" t="s">
        <v>35</v>
      </c>
      <c r="O481" t="s">
        <v>30</v>
      </c>
      <c r="P481">
        <v>2.00672111491295</v>
      </c>
      <c r="Q481">
        <v>0.73959085590871498</v>
      </c>
      <c r="R481">
        <v>9.2589325677390999</v>
      </c>
      <c r="S481">
        <v>121</v>
      </c>
      <c r="T481">
        <v>20</v>
      </c>
      <c r="U481">
        <v>914.784879278223</v>
      </c>
      <c r="V481">
        <v>4.3183220234423196E-3</v>
      </c>
      <c r="W481">
        <v>3321266.8834056798</v>
      </c>
      <c r="X481" t="s">
        <v>43</v>
      </c>
      <c r="Y481">
        <f>1-660-543-9828</f>
        <v>-11030</v>
      </c>
    </row>
    <row r="482" spans="1:25" x14ac:dyDescent="0.35">
      <c r="A482">
        <v>35.402087063152898</v>
      </c>
      <c r="B482">
        <v>-121.171397321383</v>
      </c>
      <c r="C482" t="s">
        <v>29</v>
      </c>
      <c r="D482">
        <v>15.593594214158401</v>
      </c>
      <c r="E482">
        <v>4</v>
      </c>
      <c r="F482">
        <v>1082</v>
      </c>
      <c r="G482">
        <v>4</v>
      </c>
      <c r="H482">
        <v>3</v>
      </c>
      <c r="I482">
        <v>2008</v>
      </c>
      <c r="J482">
        <v>1</v>
      </c>
      <c r="K482">
        <v>1</v>
      </c>
      <c r="L482">
        <v>0</v>
      </c>
      <c r="M482">
        <v>12</v>
      </c>
      <c r="N482" t="s">
        <v>26</v>
      </c>
      <c r="O482" t="s">
        <v>32</v>
      </c>
      <c r="P482">
        <v>7.0713642902225198</v>
      </c>
      <c r="Q482">
        <v>0.52350433803926499</v>
      </c>
      <c r="R482">
        <v>2.0567816656832898</v>
      </c>
      <c r="S482">
        <v>170</v>
      </c>
      <c r="T482">
        <v>37</v>
      </c>
      <c r="U482">
        <v>664.49799969913101</v>
      </c>
      <c r="V482">
        <v>1.1090573012939E-2</v>
      </c>
      <c r="W482">
        <v>1086249.67296749</v>
      </c>
      <c r="X482" t="s">
        <v>40</v>
      </c>
      <c r="Y482">
        <f>1-210-967-7050</f>
        <v>-8226</v>
      </c>
    </row>
    <row r="483" spans="1:25" x14ac:dyDescent="0.35">
      <c r="A483">
        <v>41.081225338102001</v>
      </c>
      <c r="B483">
        <v>-116.506747202779</v>
      </c>
      <c r="C483" t="s">
        <v>34</v>
      </c>
      <c r="D483">
        <v>12.404165803081099</v>
      </c>
      <c r="E483">
        <v>3</v>
      </c>
      <c r="F483">
        <v>1938</v>
      </c>
      <c r="G483">
        <v>2</v>
      </c>
      <c r="H483">
        <v>3</v>
      </c>
      <c r="I483">
        <v>1965</v>
      </c>
      <c r="J483">
        <v>1</v>
      </c>
      <c r="K483">
        <v>1</v>
      </c>
      <c r="L483">
        <v>0</v>
      </c>
      <c r="M483">
        <v>14</v>
      </c>
      <c r="N483" t="s">
        <v>26</v>
      </c>
      <c r="O483" t="s">
        <v>27</v>
      </c>
      <c r="P483">
        <v>6.3800147993115104</v>
      </c>
      <c r="Q483">
        <v>0.89527525756361703</v>
      </c>
      <c r="R483">
        <v>3.54108895854031</v>
      </c>
      <c r="S483">
        <v>121</v>
      </c>
      <c r="T483">
        <v>64</v>
      </c>
      <c r="U483">
        <v>742.58117514126502</v>
      </c>
      <c r="V483">
        <v>7.2239422084623304E-3</v>
      </c>
      <c r="W483">
        <v>1766031.17165128</v>
      </c>
      <c r="X483" t="s">
        <v>39</v>
      </c>
      <c r="Y483">
        <f>1-476-667-8436</f>
        <v>-9578</v>
      </c>
    </row>
    <row r="484" spans="1:25" x14ac:dyDescent="0.35">
      <c r="A484">
        <v>37.706286998677101</v>
      </c>
      <c r="B484">
        <v>-117.845964262542</v>
      </c>
      <c r="C484" t="s">
        <v>34</v>
      </c>
      <c r="D484">
        <v>21.018266742857101</v>
      </c>
      <c r="E484">
        <v>0</v>
      </c>
      <c r="F484">
        <v>1887</v>
      </c>
      <c r="G484">
        <v>5</v>
      </c>
      <c r="H484">
        <v>2</v>
      </c>
      <c r="I484">
        <v>2018</v>
      </c>
      <c r="J484">
        <v>1</v>
      </c>
      <c r="K484">
        <v>1</v>
      </c>
      <c r="L484">
        <v>1</v>
      </c>
      <c r="M484">
        <v>8</v>
      </c>
      <c r="N484" t="s">
        <v>37</v>
      </c>
      <c r="O484" t="s">
        <v>32</v>
      </c>
      <c r="P484">
        <v>13.0206144807937</v>
      </c>
      <c r="Q484">
        <v>1.80124765492812</v>
      </c>
      <c r="R484">
        <v>4.3067528865108002</v>
      </c>
      <c r="S484">
        <v>125</v>
      </c>
      <c r="T484">
        <v>62</v>
      </c>
      <c r="U484">
        <v>696.24727897412799</v>
      </c>
      <c r="V484">
        <v>4.2395336512983496E-3</v>
      </c>
      <c r="W484">
        <v>1738323.11382967</v>
      </c>
      <c r="X484" t="s">
        <v>28</v>
      </c>
      <c r="Y484">
        <f>1-547-522-9231</f>
        <v>-10299</v>
      </c>
    </row>
    <row r="485" spans="1:25" x14ac:dyDescent="0.35">
      <c r="A485">
        <v>39.3105681978275</v>
      </c>
      <c r="B485">
        <v>-123.967961659899</v>
      </c>
      <c r="C485" t="s">
        <v>25</v>
      </c>
      <c r="D485">
        <v>48.134150702003303</v>
      </c>
      <c r="E485">
        <v>1</v>
      </c>
      <c r="F485">
        <v>2368</v>
      </c>
      <c r="G485">
        <v>4</v>
      </c>
      <c r="H485">
        <v>2</v>
      </c>
      <c r="I485">
        <v>1977</v>
      </c>
      <c r="J485">
        <v>1</v>
      </c>
      <c r="K485">
        <v>0</v>
      </c>
      <c r="L485">
        <v>0</v>
      </c>
      <c r="M485">
        <v>8</v>
      </c>
      <c r="N485" t="s">
        <v>37</v>
      </c>
      <c r="O485" t="s">
        <v>30</v>
      </c>
      <c r="P485">
        <v>5.4510466798505499</v>
      </c>
      <c r="Q485">
        <v>0.94768707026384702</v>
      </c>
      <c r="R485">
        <v>9.1882583551376005</v>
      </c>
      <c r="S485">
        <v>50</v>
      </c>
      <c r="T485">
        <v>24</v>
      </c>
      <c r="U485">
        <v>452.64778247904701</v>
      </c>
      <c r="V485">
        <v>3.3783783783783699E-3</v>
      </c>
      <c r="W485">
        <v>1327752.73878016</v>
      </c>
      <c r="X485" t="s">
        <v>28</v>
      </c>
      <c r="Y485">
        <f>1-738-801-2303</f>
        <v>-3841</v>
      </c>
    </row>
    <row r="486" spans="1:25" x14ac:dyDescent="0.35">
      <c r="A486">
        <v>35.689367095048397</v>
      </c>
      <c r="B486">
        <v>-122.222044898787</v>
      </c>
      <c r="C486" t="s">
        <v>29</v>
      </c>
      <c r="D486">
        <v>4.9023468035042699</v>
      </c>
      <c r="E486">
        <v>3</v>
      </c>
      <c r="F486">
        <v>897</v>
      </c>
      <c r="G486">
        <v>1</v>
      </c>
      <c r="H486">
        <v>1</v>
      </c>
      <c r="I486">
        <v>1996</v>
      </c>
      <c r="J486">
        <v>1</v>
      </c>
      <c r="K486">
        <v>0</v>
      </c>
      <c r="L486">
        <v>0</v>
      </c>
      <c r="M486">
        <v>11</v>
      </c>
      <c r="N486" t="s">
        <v>35</v>
      </c>
      <c r="O486" t="s">
        <v>32</v>
      </c>
      <c r="P486">
        <v>2.6701932255062002</v>
      </c>
      <c r="Q486">
        <v>0.76776561973750501</v>
      </c>
      <c r="R486">
        <v>1.5582687770127499</v>
      </c>
      <c r="S486">
        <v>16</v>
      </c>
      <c r="T486">
        <v>37</v>
      </c>
      <c r="U486">
        <v>988.14200818283098</v>
      </c>
      <c r="V486">
        <v>1.2263099219620901E-2</v>
      </c>
      <c r="W486">
        <v>968751.92229170597</v>
      </c>
      <c r="X486" t="s">
        <v>39</v>
      </c>
      <c r="Y486">
        <f>1-800-533-7994</f>
        <v>-9326</v>
      </c>
    </row>
    <row r="487" spans="1:25" x14ac:dyDescent="0.35">
      <c r="A487">
        <v>34.951502506163997</v>
      </c>
      <c r="B487">
        <v>-118.51671401175</v>
      </c>
      <c r="C487" t="s">
        <v>34</v>
      </c>
      <c r="D487">
        <v>18.714584484404298</v>
      </c>
      <c r="E487">
        <v>1</v>
      </c>
      <c r="F487">
        <v>2468</v>
      </c>
      <c r="G487">
        <v>4</v>
      </c>
      <c r="H487">
        <v>1</v>
      </c>
      <c r="I487">
        <v>2010</v>
      </c>
      <c r="J487">
        <v>0</v>
      </c>
      <c r="K487">
        <v>1</v>
      </c>
      <c r="L487">
        <v>0</v>
      </c>
      <c r="M487">
        <v>2</v>
      </c>
      <c r="N487" t="s">
        <v>35</v>
      </c>
      <c r="O487" t="s">
        <v>27</v>
      </c>
      <c r="P487">
        <v>12.1061284986109</v>
      </c>
      <c r="Q487">
        <v>1.9824106472529599</v>
      </c>
      <c r="R487">
        <v>6.1858452095389698</v>
      </c>
      <c r="S487">
        <v>171</v>
      </c>
      <c r="T487">
        <v>71</v>
      </c>
      <c r="U487">
        <v>828.40753868388003</v>
      </c>
      <c r="V487">
        <v>8.1037277147487797E-4</v>
      </c>
      <c r="W487">
        <v>2349167.77087687</v>
      </c>
      <c r="X487" t="s">
        <v>31</v>
      </c>
      <c r="Y487">
        <f>1-575-296-3380</f>
        <v>-4250</v>
      </c>
    </row>
    <row r="488" spans="1:25" x14ac:dyDescent="0.35">
      <c r="A488">
        <v>36.966232765999798</v>
      </c>
      <c r="B488">
        <v>-115.165986026487</v>
      </c>
      <c r="C488" t="s">
        <v>29</v>
      </c>
      <c r="D488">
        <v>37.569166479810697</v>
      </c>
      <c r="E488">
        <v>8</v>
      </c>
      <c r="F488">
        <v>4522</v>
      </c>
      <c r="G488">
        <v>2</v>
      </c>
      <c r="H488">
        <v>3</v>
      </c>
      <c r="I488">
        <v>2012</v>
      </c>
      <c r="J488">
        <v>1</v>
      </c>
      <c r="K488">
        <v>1</v>
      </c>
      <c r="L488">
        <v>0</v>
      </c>
      <c r="M488">
        <v>9</v>
      </c>
      <c r="N488" t="s">
        <v>37</v>
      </c>
      <c r="O488" t="s">
        <v>32</v>
      </c>
      <c r="P488">
        <v>9.5531021558225095</v>
      </c>
      <c r="Q488">
        <v>0.88162941763253899</v>
      </c>
      <c r="R488">
        <v>0.80925157904099398</v>
      </c>
      <c r="S488">
        <v>159</v>
      </c>
      <c r="T488">
        <v>57</v>
      </c>
      <c r="U488">
        <v>508.11392475732299</v>
      </c>
      <c r="V488">
        <v>1.99026979212737E-3</v>
      </c>
      <c r="W488">
        <v>2675694.76325825</v>
      </c>
      <c r="X488" t="s">
        <v>43</v>
      </c>
      <c r="Y488">
        <f>1-864-291-2130</f>
        <v>-3284</v>
      </c>
    </row>
    <row r="489" spans="1:25" x14ac:dyDescent="0.35">
      <c r="A489">
        <v>38.798476702892501</v>
      </c>
      <c r="B489">
        <v>-117.60600478823</v>
      </c>
      <c r="C489" t="s">
        <v>29</v>
      </c>
      <c r="D489">
        <v>2.10524604650394</v>
      </c>
      <c r="E489">
        <v>3</v>
      </c>
      <c r="F489">
        <v>3208</v>
      </c>
      <c r="G489">
        <v>1</v>
      </c>
      <c r="H489">
        <v>2</v>
      </c>
      <c r="I489">
        <v>1961</v>
      </c>
      <c r="J489">
        <v>1</v>
      </c>
      <c r="K489">
        <v>1</v>
      </c>
      <c r="L489">
        <v>0</v>
      </c>
      <c r="M489">
        <v>10</v>
      </c>
      <c r="N489" t="s">
        <v>26</v>
      </c>
      <c r="O489" t="s">
        <v>27</v>
      </c>
      <c r="P489">
        <v>4.8175574129000296</v>
      </c>
      <c r="Q489">
        <v>2.3347079171668401</v>
      </c>
      <c r="R489">
        <v>1.11971407511064</v>
      </c>
      <c r="S489">
        <v>17</v>
      </c>
      <c r="T489">
        <v>32</v>
      </c>
      <c r="U489">
        <v>431.47033275163199</v>
      </c>
      <c r="V489">
        <v>3.1172069825436402E-3</v>
      </c>
      <c r="W489">
        <v>1700144.88837691</v>
      </c>
      <c r="X489" t="s">
        <v>38</v>
      </c>
      <c r="Y489">
        <f>1-731-772-6662</f>
        <v>-8164</v>
      </c>
    </row>
    <row r="490" spans="1:25" x14ac:dyDescent="0.35">
      <c r="A490">
        <v>32.706290077162201</v>
      </c>
      <c r="B490">
        <v>-120.355246731268</v>
      </c>
      <c r="C490" t="s">
        <v>34</v>
      </c>
      <c r="D490">
        <v>40.573090343720501</v>
      </c>
      <c r="E490">
        <v>1</v>
      </c>
      <c r="F490">
        <v>1073</v>
      </c>
      <c r="G490">
        <v>3</v>
      </c>
      <c r="H490">
        <v>1</v>
      </c>
      <c r="I490">
        <v>1985</v>
      </c>
      <c r="J490">
        <v>1</v>
      </c>
      <c r="K490">
        <v>1</v>
      </c>
      <c r="L490">
        <v>0</v>
      </c>
      <c r="M490">
        <v>2</v>
      </c>
      <c r="N490" t="s">
        <v>37</v>
      </c>
      <c r="O490" t="s">
        <v>27</v>
      </c>
      <c r="P490">
        <v>7.7458906464586397</v>
      </c>
      <c r="Q490">
        <v>2.4629615577045101</v>
      </c>
      <c r="R490">
        <v>5.5857399899978404</v>
      </c>
      <c r="S490">
        <v>69</v>
      </c>
      <c r="T490">
        <v>39</v>
      </c>
      <c r="U490">
        <v>825.549830285962</v>
      </c>
      <c r="V490">
        <v>1.86393289841565E-3</v>
      </c>
      <c r="W490">
        <v>1222812.75296621</v>
      </c>
      <c r="X490" t="s">
        <v>33</v>
      </c>
      <c r="Y490">
        <f>1-588-677-6573</f>
        <v>-7837</v>
      </c>
    </row>
    <row r="491" spans="1:25" x14ac:dyDescent="0.35">
      <c r="A491">
        <v>36.746601654609002</v>
      </c>
      <c r="B491">
        <v>-114.326066843894</v>
      </c>
      <c r="C491" t="s">
        <v>25</v>
      </c>
      <c r="D491">
        <v>18.082860617863801</v>
      </c>
      <c r="E491">
        <v>4</v>
      </c>
      <c r="F491">
        <v>3604</v>
      </c>
      <c r="G491">
        <v>4</v>
      </c>
      <c r="H491">
        <v>3</v>
      </c>
      <c r="I491">
        <v>2008</v>
      </c>
      <c r="J491">
        <v>1</v>
      </c>
      <c r="K491">
        <v>0</v>
      </c>
      <c r="L491">
        <v>1</v>
      </c>
      <c r="M491">
        <v>12</v>
      </c>
      <c r="N491" t="s">
        <v>35</v>
      </c>
      <c r="O491" t="s">
        <v>30</v>
      </c>
      <c r="P491">
        <v>3.1644264184136</v>
      </c>
      <c r="Q491">
        <v>1.98048268052354</v>
      </c>
      <c r="R491">
        <v>1.89853166248163</v>
      </c>
      <c r="S491">
        <v>4</v>
      </c>
      <c r="T491">
        <v>58</v>
      </c>
      <c r="U491">
        <v>297.20548066111598</v>
      </c>
      <c r="V491">
        <v>3.3296337402885599E-3</v>
      </c>
      <c r="W491">
        <v>1445310.5487156301</v>
      </c>
      <c r="X491" t="s">
        <v>36</v>
      </c>
      <c r="Y491">
        <f>1-443-474-2777</f>
        <v>-3693</v>
      </c>
    </row>
    <row r="492" spans="1:25" x14ac:dyDescent="0.35">
      <c r="A492">
        <v>36.012811000741102</v>
      </c>
      <c r="B492">
        <v>-116.49955179747</v>
      </c>
      <c r="C492" t="s">
        <v>25</v>
      </c>
      <c r="D492">
        <v>21.175410067974301</v>
      </c>
      <c r="E492">
        <v>7</v>
      </c>
      <c r="F492">
        <v>2838</v>
      </c>
      <c r="G492">
        <v>4</v>
      </c>
      <c r="H492">
        <v>2</v>
      </c>
      <c r="I492">
        <v>1987</v>
      </c>
      <c r="J492">
        <v>1</v>
      </c>
      <c r="K492">
        <v>0</v>
      </c>
      <c r="L492">
        <v>0</v>
      </c>
      <c r="M492">
        <v>14</v>
      </c>
      <c r="N492" t="s">
        <v>37</v>
      </c>
      <c r="O492" t="s">
        <v>27</v>
      </c>
      <c r="P492">
        <v>8.1022338805201297</v>
      </c>
      <c r="Q492">
        <v>0.89658884478296197</v>
      </c>
      <c r="R492">
        <v>4.0006625257410597</v>
      </c>
      <c r="S492">
        <v>187</v>
      </c>
      <c r="T492">
        <v>55</v>
      </c>
      <c r="U492">
        <v>995.31334923404302</v>
      </c>
      <c r="V492">
        <v>4.9330514446793497E-3</v>
      </c>
      <c r="W492">
        <v>3034587.73131915</v>
      </c>
      <c r="X492" t="s">
        <v>36</v>
      </c>
      <c r="Y492">
        <f>1-654-249-8570</f>
        <v>-9472</v>
      </c>
    </row>
    <row r="493" spans="1:25" x14ac:dyDescent="0.35">
      <c r="A493">
        <v>34.784549344795103</v>
      </c>
      <c r="B493">
        <v>-116.64003394743099</v>
      </c>
      <c r="C493" t="s">
        <v>34</v>
      </c>
      <c r="D493">
        <v>46.403838875242499</v>
      </c>
      <c r="E493">
        <v>3</v>
      </c>
      <c r="F493">
        <v>4024</v>
      </c>
      <c r="G493">
        <v>1</v>
      </c>
      <c r="H493">
        <v>1</v>
      </c>
      <c r="I493">
        <v>2019</v>
      </c>
      <c r="J493">
        <v>1</v>
      </c>
      <c r="K493">
        <v>0</v>
      </c>
      <c r="L493">
        <v>0</v>
      </c>
      <c r="M493">
        <v>7</v>
      </c>
      <c r="N493" t="s">
        <v>37</v>
      </c>
      <c r="O493" t="s">
        <v>27</v>
      </c>
      <c r="P493">
        <v>12.7859744330304</v>
      </c>
      <c r="Q493">
        <v>1.6448998628367699</v>
      </c>
      <c r="R493">
        <v>5.39885560793459</v>
      </c>
      <c r="S493">
        <v>46</v>
      </c>
      <c r="T493">
        <v>57</v>
      </c>
      <c r="U493">
        <v>681.58507158789405</v>
      </c>
      <c r="V493">
        <v>1.73956262425447E-3</v>
      </c>
      <c r="W493">
        <v>2979498.3963766298</v>
      </c>
      <c r="X493" t="s">
        <v>33</v>
      </c>
      <c r="Y493">
        <f>1-987-106-9856</f>
        <v>-10948</v>
      </c>
    </row>
    <row r="494" spans="1:25" x14ac:dyDescent="0.35">
      <c r="A494">
        <v>35.038321236513298</v>
      </c>
      <c r="B494">
        <v>-114.420687272633</v>
      </c>
      <c r="C494" t="s">
        <v>29</v>
      </c>
      <c r="D494">
        <v>12.3080953140233</v>
      </c>
      <c r="E494">
        <v>3</v>
      </c>
      <c r="F494">
        <v>939</v>
      </c>
      <c r="G494">
        <v>4</v>
      </c>
      <c r="H494">
        <v>3</v>
      </c>
      <c r="I494">
        <v>1978</v>
      </c>
      <c r="J494">
        <v>1</v>
      </c>
      <c r="K494">
        <v>0</v>
      </c>
      <c r="L494">
        <v>0</v>
      </c>
      <c r="M494">
        <v>6</v>
      </c>
      <c r="N494" t="s">
        <v>26</v>
      </c>
      <c r="O494" t="s">
        <v>27</v>
      </c>
      <c r="P494">
        <v>13.147184988147901</v>
      </c>
      <c r="Q494">
        <v>1.4524591246241301</v>
      </c>
      <c r="R494">
        <v>7.2488793874970199</v>
      </c>
      <c r="S494">
        <v>193</v>
      </c>
      <c r="T494">
        <v>21</v>
      </c>
      <c r="U494">
        <v>768.29817654292003</v>
      </c>
      <c r="V494">
        <v>6.3897763578274697E-3</v>
      </c>
      <c r="W494">
        <v>1111306.88010301</v>
      </c>
      <c r="X494" t="s">
        <v>39</v>
      </c>
      <c r="Y494">
        <f>1-517-650-5515</f>
        <v>-6681</v>
      </c>
    </row>
    <row r="495" spans="1:25" x14ac:dyDescent="0.35">
      <c r="A495">
        <v>36.3163344055233</v>
      </c>
      <c r="B495">
        <v>-121.289675540864</v>
      </c>
      <c r="C495" t="s">
        <v>25</v>
      </c>
      <c r="D495">
        <v>49.047557441550701</v>
      </c>
      <c r="E495">
        <v>3</v>
      </c>
      <c r="F495">
        <v>666</v>
      </c>
      <c r="G495">
        <v>5</v>
      </c>
      <c r="H495">
        <v>1</v>
      </c>
      <c r="I495">
        <v>1984</v>
      </c>
      <c r="J495">
        <v>1</v>
      </c>
      <c r="K495">
        <v>0</v>
      </c>
      <c r="L495">
        <v>0</v>
      </c>
      <c r="M495">
        <v>13</v>
      </c>
      <c r="N495" t="s">
        <v>35</v>
      </c>
      <c r="O495" t="s">
        <v>32</v>
      </c>
      <c r="P495">
        <v>13.0824759665801</v>
      </c>
      <c r="Q495">
        <v>1.4849630124028801</v>
      </c>
      <c r="R495">
        <v>1.96248262855101</v>
      </c>
      <c r="S495">
        <v>183</v>
      </c>
      <c r="T495">
        <v>45</v>
      </c>
      <c r="U495">
        <v>280.32174402594399</v>
      </c>
      <c r="V495">
        <v>1.9519519519519499E-2</v>
      </c>
      <c r="W495">
        <v>541065.97649469494</v>
      </c>
      <c r="X495" t="s">
        <v>28</v>
      </c>
      <c r="Y495">
        <f>1-713-555-8810</f>
        <v>-10077</v>
      </c>
    </row>
    <row r="496" spans="1:25" x14ac:dyDescent="0.35">
      <c r="A496">
        <v>40.516118728682898</v>
      </c>
      <c r="B496">
        <v>-120.851901097105</v>
      </c>
      <c r="C496" t="s">
        <v>25</v>
      </c>
      <c r="D496">
        <v>37.919442953598498</v>
      </c>
      <c r="E496">
        <v>3</v>
      </c>
      <c r="F496">
        <v>4440</v>
      </c>
      <c r="G496">
        <v>5</v>
      </c>
      <c r="H496">
        <v>2</v>
      </c>
      <c r="I496">
        <v>2002</v>
      </c>
      <c r="J496">
        <v>1</v>
      </c>
      <c r="K496">
        <v>1</v>
      </c>
      <c r="L496">
        <v>0</v>
      </c>
      <c r="M496">
        <v>9</v>
      </c>
      <c r="N496" t="s">
        <v>26</v>
      </c>
      <c r="O496" t="s">
        <v>27</v>
      </c>
      <c r="P496">
        <v>11.177409507572801</v>
      </c>
      <c r="Q496">
        <v>1.64746365754843</v>
      </c>
      <c r="R496">
        <v>6.8766307047332997</v>
      </c>
      <c r="S496">
        <v>114</v>
      </c>
      <c r="T496">
        <v>26</v>
      </c>
      <c r="U496">
        <v>680.11404593454597</v>
      </c>
      <c r="V496">
        <v>2.0270270270270202E-3</v>
      </c>
      <c r="W496">
        <v>3544558.6000115499</v>
      </c>
      <c r="X496" t="s">
        <v>44</v>
      </c>
      <c r="Y496">
        <f>1-258-846-6083</f>
        <v>-7186</v>
      </c>
    </row>
    <row r="497" spans="1:25" x14ac:dyDescent="0.35">
      <c r="A497">
        <v>32.600611279212202</v>
      </c>
      <c r="B497">
        <v>-119.451900408618</v>
      </c>
      <c r="C497" t="s">
        <v>34</v>
      </c>
      <c r="D497">
        <v>20.051132033209299</v>
      </c>
      <c r="E497">
        <v>9</v>
      </c>
      <c r="F497">
        <v>2824</v>
      </c>
      <c r="G497">
        <v>1</v>
      </c>
      <c r="H497">
        <v>2</v>
      </c>
      <c r="I497">
        <v>1983</v>
      </c>
      <c r="J497">
        <v>0</v>
      </c>
      <c r="K497">
        <v>1</v>
      </c>
      <c r="L497">
        <v>0</v>
      </c>
      <c r="M497">
        <v>11</v>
      </c>
      <c r="N497" t="s">
        <v>41</v>
      </c>
      <c r="O497" t="s">
        <v>32</v>
      </c>
      <c r="P497">
        <v>9.9862524685813092</v>
      </c>
      <c r="Q497">
        <v>2.3958470929771201</v>
      </c>
      <c r="R497">
        <v>7.1010651661653403</v>
      </c>
      <c r="S497">
        <v>108</v>
      </c>
      <c r="T497">
        <v>62</v>
      </c>
      <c r="U497">
        <v>363.11939168136303</v>
      </c>
      <c r="V497">
        <v>3.89518413597733E-3</v>
      </c>
      <c r="W497">
        <v>1184805.63872544</v>
      </c>
      <c r="X497" t="s">
        <v>28</v>
      </c>
      <c r="Y497">
        <f>1-753-958-1022</f>
        <v>-2732</v>
      </c>
    </row>
    <row r="498" spans="1:25" x14ac:dyDescent="0.35">
      <c r="A498">
        <v>40.100741381832997</v>
      </c>
      <c r="B498">
        <v>-116.68356519197501</v>
      </c>
      <c r="C498" t="s">
        <v>34</v>
      </c>
      <c r="D498">
        <v>37.740681966464997</v>
      </c>
      <c r="E498">
        <v>5</v>
      </c>
      <c r="F498">
        <v>2934</v>
      </c>
      <c r="G498">
        <v>5</v>
      </c>
      <c r="H498">
        <v>1</v>
      </c>
      <c r="I498">
        <v>1968</v>
      </c>
      <c r="J498">
        <v>0</v>
      </c>
      <c r="K498">
        <v>1</v>
      </c>
      <c r="L498">
        <v>1</v>
      </c>
      <c r="M498">
        <v>2</v>
      </c>
      <c r="N498" t="s">
        <v>41</v>
      </c>
      <c r="O498" t="s">
        <v>30</v>
      </c>
      <c r="P498">
        <v>7.9102173191112497</v>
      </c>
      <c r="Q498">
        <v>0.88746134100958995</v>
      </c>
      <c r="R498">
        <v>3.2360256433990702</v>
      </c>
      <c r="S498">
        <v>74</v>
      </c>
      <c r="T498">
        <v>67</v>
      </c>
      <c r="U498">
        <v>878.55669308431004</v>
      </c>
      <c r="V498">
        <v>6.8166325835037397E-4</v>
      </c>
      <c r="W498">
        <v>2935985.2584340898</v>
      </c>
      <c r="X498" t="s">
        <v>28</v>
      </c>
      <c r="Y498">
        <f>1-563-940-8348</f>
        <v>-9850</v>
      </c>
    </row>
    <row r="499" spans="1:25" x14ac:dyDescent="0.35">
      <c r="A499">
        <v>38.550356461138897</v>
      </c>
      <c r="B499">
        <v>-124.083521028767</v>
      </c>
      <c r="C499" t="s">
        <v>29</v>
      </c>
      <c r="D499">
        <v>35.721908876384603</v>
      </c>
      <c r="E499">
        <v>4</v>
      </c>
      <c r="F499">
        <v>3084</v>
      </c>
      <c r="G499">
        <v>3</v>
      </c>
      <c r="H499">
        <v>2</v>
      </c>
      <c r="I499">
        <v>1954</v>
      </c>
      <c r="J499">
        <v>0</v>
      </c>
      <c r="K499">
        <v>0</v>
      </c>
      <c r="L499">
        <v>1</v>
      </c>
      <c r="M499">
        <v>14</v>
      </c>
      <c r="N499" t="s">
        <v>37</v>
      </c>
      <c r="O499" t="s">
        <v>32</v>
      </c>
      <c r="P499">
        <v>12.084563075381499</v>
      </c>
      <c r="Q499">
        <v>1.6431855704350899</v>
      </c>
      <c r="R499">
        <v>8.6200198471921592</v>
      </c>
      <c r="S499">
        <v>41</v>
      </c>
      <c r="T499">
        <v>33</v>
      </c>
      <c r="U499">
        <v>353.96207148039002</v>
      </c>
      <c r="V499">
        <v>4.5395590142671798E-3</v>
      </c>
      <c r="W499">
        <v>1339324.9487389899</v>
      </c>
      <c r="X499" t="s">
        <v>38</v>
      </c>
      <c r="Y499">
        <f>1-928-786-1790</f>
        <v>-3503</v>
      </c>
    </row>
    <row r="500" spans="1:25" x14ac:dyDescent="0.35">
      <c r="A500">
        <v>40.512845789051603</v>
      </c>
      <c r="B500">
        <v>-115.63484089095201</v>
      </c>
      <c r="C500" t="s">
        <v>25</v>
      </c>
      <c r="D500">
        <v>5.4562200791244004</v>
      </c>
      <c r="E500">
        <v>8</v>
      </c>
      <c r="F500">
        <v>2861</v>
      </c>
      <c r="G500">
        <v>3</v>
      </c>
      <c r="H500">
        <v>1</v>
      </c>
      <c r="I500">
        <v>1970</v>
      </c>
      <c r="J500">
        <v>0</v>
      </c>
      <c r="K500">
        <v>0</v>
      </c>
      <c r="L500">
        <v>1</v>
      </c>
      <c r="M500">
        <v>7</v>
      </c>
      <c r="N500" t="s">
        <v>37</v>
      </c>
      <c r="O500" t="s">
        <v>32</v>
      </c>
      <c r="P500">
        <v>13.4893518924821</v>
      </c>
      <c r="Q500">
        <v>2.4349686852781698</v>
      </c>
      <c r="R500">
        <v>1.9231807947889801</v>
      </c>
      <c r="S500">
        <v>21</v>
      </c>
      <c r="T500">
        <v>30</v>
      </c>
      <c r="U500">
        <v>681.26186812150104</v>
      </c>
      <c r="V500">
        <v>2.4466969591052001E-3</v>
      </c>
      <c r="W500">
        <v>2214784.2743098801</v>
      </c>
      <c r="X500" t="s">
        <v>40</v>
      </c>
      <c r="Y500">
        <f>1-418-753-8565</f>
        <v>-9735</v>
      </c>
    </row>
    <row r="501" spans="1:25" x14ac:dyDescent="0.35">
      <c r="A501">
        <v>36.393544457845799</v>
      </c>
      <c r="B501">
        <v>-119.9630083463</v>
      </c>
      <c r="C501" t="s">
        <v>34</v>
      </c>
      <c r="D501">
        <v>19.239034287532998</v>
      </c>
      <c r="E501">
        <v>2</v>
      </c>
      <c r="F501">
        <v>3275</v>
      </c>
      <c r="G501">
        <v>2</v>
      </c>
      <c r="H501">
        <v>2</v>
      </c>
      <c r="I501">
        <v>1983</v>
      </c>
      <c r="J501">
        <v>0</v>
      </c>
      <c r="K501">
        <v>1</v>
      </c>
      <c r="L501">
        <v>1</v>
      </c>
      <c r="M501">
        <v>3</v>
      </c>
      <c r="N501" t="s">
        <v>26</v>
      </c>
      <c r="O501" t="s">
        <v>30</v>
      </c>
      <c r="P501">
        <v>5.0818460368928804</v>
      </c>
      <c r="Q501">
        <v>2.16810411803174</v>
      </c>
      <c r="R501">
        <v>0.370545427475582</v>
      </c>
      <c r="S501">
        <v>155</v>
      </c>
      <c r="T501">
        <v>58</v>
      </c>
      <c r="U501">
        <v>708.24964770105896</v>
      </c>
      <c r="V501">
        <v>9.1603053435114501E-4</v>
      </c>
      <c r="W501">
        <v>2631705.4528146302</v>
      </c>
      <c r="X501" t="s">
        <v>38</v>
      </c>
      <c r="Y501">
        <f>1-665-431-8606</f>
        <v>-9701</v>
      </c>
    </row>
    <row r="502" spans="1:25" x14ac:dyDescent="0.35">
      <c r="A502">
        <v>37.300688578896803</v>
      </c>
      <c r="B502">
        <v>-115.725097255484</v>
      </c>
      <c r="C502" t="s">
        <v>25</v>
      </c>
      <c r="D502">
        <v>16.782993639090201</v>
      </c>
      <c r="E502">
        <v>1</v>
      </c>
      <c r="F502">
        <v>3297</v>
      </c>
      <c r="G502">
        <v>5</v>
      </c>
      <c r="H502">
        <v>3</v>
      </c>
      <c r="I502">
        <v>2015</v>
      </c>
      <c r="J502">
        <v>0</v>
      </c>
      <c r="K502">
        <v>1</v>
      </c>
      <c r="L502">
        <v>0</v>
      </c>
      <c r="M502">
        <v>12</v>
      </c>
      <c r="N502" t="s">
        <v>35</v>
      </c>
      <c r="O502" t="s">
        <v>27</v>
      </c>
      <c r="P502">
        <v>11.681884068877199</v>
      </c>
      <c r="Q502">
        <v>2.07458687435247</v>
      </c>
      <c r="R502">
        <v>7.7092851426889002</v>
      </c>
      <c r="S502">
        <v>27</v>
      </c>
      <c r="T502">
        <v>72</v>
      </c>
      <c r="U502">
        <v>224.19128253305499</v>
      </c>
      <c r="V502">
        <v>3.6396724294813399E-3</v>
      </c>
      <c r="W502">
        <v>1282157.5557256499</v>
      </c>
      <c r="X502" t="s">
        <v>28</v>
      </c>
      <c r="Y502">
        <f>1-283-463-4369</f>
        <v>-5114</v>
      </c>
    </row>
    <row r="503" spans="1:25" x14ac:dyDescent="0.35">
      <c r="A503">
        <v>40.330985395795601</v>
      </c>
      <c r="B503">
        <v>-119.34416386146501</v>
      </c>
      <c r="C503" t="s">
        <v>25</v>
      </c>
      <c r="D503">
        <v>34.211257258262002</v>
      </c>
      <c r="E503">
        <v>7</v>
      </c>
      <c r="F503">
        <v>4685</v>
      </c>
      <c r="G503">
        <v>5</v>
      </c>
      <c r="H503">
        <v>1</v>
      </c>
      <c r="I503">
        <v>1982</v>
      </c>
      <c r="J503">
        <v>0</v>
      </c>
      <c r="K503">
        <v>1</v>
      </c>
      <c r="L503">
        <v>0</v>
      </c>
      <c r="M503">
        <v>14</v>
      </c>
      <c r="N503" t="s">
        <v>37</v>
      </c>
      <c r="O503" t="s">
        <v>30</v>
      </c>
      <c r="P503">
        <v>3.8679879848447301</v>
      </c>
      <c r="Q503">
        <v>1.6339000351363999</v>
      </c>
      <c r="R503">
        <v>9.7659459279562206</v>
      </c>
      <c r="S503">
        <v>159</v>
      </c>
      <c r="T503">
        <v>51</v>
      </c>
      <c r="U503">
        <v>532.08573115901902</v>
      </c>
      <c r="V503">
        <v>2.9882604055496199E-3</v>
      </c>
      <c r="W503">
        <v>2669059.6369092902</v>
      </c>
      <c r="X503" t="s">
        <v>39</v>
      </c>
      <c r="Y503">
        <f>1-379-461-2217</f>
        <v>-3056</v>
      </c>
    </row>
    <row r="504" spans="1:25" x14ac:dyDescent="0.35">
      <c r="A504">
        <v>40.007863478067598</v>
      </c>
      <c r="B504">
        <v>-118.8213421655</v>
      </c>
      <c r="C504" t="s">
        <v>34</v>
      </c>
      <c r="D504">
        <v>48.926416634825301</v>
      </c>
      <c r="E504">
        <v>6</v>
      </c>
      <c r="F504">
        <v>1033</v>
      </c>
      <c r="G504">
        <v>2</v>
      </c>
      <c r="H504">
        <v>2</v>
      </c>
      <c r="I504">
        <v>1997</v>
      </c>
      <c r="J504">
        <v>1</v>
      </c>
      <c r="K504">
        <v>0</v>
      </c>
      <c r="L504">
        <v>1</v>
      </c>
      <c r="M504">
        <v>2</v>
      </c>
      <c r="N504" t="s">
        <v>37</v>
      </c>
      <c r="O504" t="s">
        <v>27</v>
      </c>
      <c r="P504">
        <v>5.3702168659614999</v>
      </c>
      <c r="Q504">
        <v>0.51360323593148904</v>
      </c>
      <c r="R504">
        <v>2.8442302663972399</v>
      </c>
      <c r="S504">
        <v>90</v>
      </c>
      <c r="T504">
        <v>25</v>
      </c>
      <c r="U504">
        <v>435.83851167909802</v>
      </c>
      <c r="V504">
        <v>1.93610842207163E-3</v>
      </c>
      <c r="W504">
        <v>632092.24562466401</v>
      </c>
      <c r="X504" t="s">
        <v>36</v>
      </c>
      <c r="Y504">
        <f>1-361-577-4765</f>
        <v>-5702</v>
      </c>
    </row>
    <row r="505" spans="1:25" x14ac:dyDescent="0.35">
      <c r="A505">
        <v>33.14176991523</v>
      </c>
      <c r="B505">
        <v>-115.11147849469501</v>
      </c>
      <c r="C505" t="s">
        <v>25</v>
      </c>
      <c r="D505">
        <v>4.2929237075694502</v>
      </c>
      <c r="E505">
        <v>0</v>
      </c>
      <c r="F505">
        <v>2333</v>
      </c>
      <c r="G505">
        <v>5</v>
      </c>
      <c r="H505">
        <v>3</v>
      </c>
      <c r="I505">
        <v>1966</v>
      </c>
      <c r="J505">
        <v>1</v>
      </c>
      <c r="K505">
        <v>0</v>
      </c>
      <c r="L505">
        <v>0</v>
      </c>
      <c r="M505">
        <v>13</v>
      </c>
      <c r="N505" t="s">
        <v>35</v>
      </c>
      <c r="O505" t="s">
        <v>30</v>
      </c>
      <c r="P505">
        <v>5.3593540802220296</v>
      </c>
      <c r="Q505">
        <v>2.0813472346004902</v>
      </c>
      <c r="R505">
        <v>9.0182680461493199</v>
      </c>
      <c r="S505">
        <v>106</v>
      </c>
      <c r="T505">
        <v>55</v>
      </c>
      <c r="U505">
        <v>986.11449617793096</v>
      </c>
      <c r="V505">
        <v>5.5722246035147796E-3</v>
      </c>
      <c r="W505">
        <v>2728375.9606290502</v>
      </c>
      <c r="X505" t="s">
        <v>31</v>
      </c>
      <c r="Y505">
        <f>1-725-851-7998</f>
        <v>-9573</v>
      </c>
    </row>
    <row r="506" spans="1:25" x14ac:dyDescent="0.35">
      <c r="A506">
        <v>36.251343188962203</v>
      </c>
      <c r="B506">
        <v>-122.430521576986</v>
      </c>
      <c r="C506" t="s">
        <v>29</v>
      </c>
      <c r="D506">
        <v>31.018712758052001</v>
      </c>
      <c r="E506">
        <v>6</v>
      </c>
      <c r="F506">
        <v>1983</v>
      </c>
      <c r="G506">
        <v>4</v>
      </c>
      <c r="H506">
        <v>2</v>
      </c>
      <c r="I506">
        <v>2021</v>
      </c>
      <c r="J506">
        <v>0</v>
      </c>
      <c r="K506">
        <v>1</v>
      </c>
      <c r="L506">
        <v>0</v>
      </c>
      <c r="M506">
        <v>7</v>
      </c>
      <c r="N506" t="s">
        <v>26</v>
      </c>
      <c r="O506" t="s">
        <v>30</v>
      </c>
      <c r="P506">
        <v>11.7224060247409</v>
      </c>
      <c r="Q506">
        <v>2.4062731178194898</v>
      </c>
      <c r="R506">
        <v>5.9408615333083796</v>
      </c>
      <c r="S506">
        <v>2</v>
      </c>
      <c r="T506">
        <v>42</v>
      </c>
      <c r="U506">
        <v>737.78395906336198</v>
      </c>
      <c r="V506">
        <v>3.5300050428643398E-3</v>
      </c>
      <c r="W506">
        <v>1908259.00152844</v>
      </c>
      <c r="X506" t="s">
        <v>28</v>
      </c>
      <c r="Y506">
        <f>1-336-529-2343</f>
        <v>-3207</v>
      </c>
    </row>
    <row r="507" spans="1:25" x14ac:dyDescent="0.35">
      <c r="A507">
        <v>37.464280498633102</v>
      </c>
      <c r="B507">
        <v>-116.758224466025</v>
      </c>
      <c r="C507" t="s">
        <v>34</v>
      </c>
      <c r="D507">
        <v>26.585406630748199</v>
      </c>
      <c r="E507">
        <v>7</v>
      </c>
      <c r="F507">
        <v>2321</v>
      </c>
      <c r="G507">
        <v>3</v>
      </c>
      <c r="H507">
        <v>3</v>
      </c>
      <c r="I507">
        <v>1969</v>
      </c>
      <c r="J507">
        <v>0</v>
      </c>
      <c r="K507">
        <v>0</v>
      </c>
      <c r="L507">
        <v>0</v>
      </c>
      <c r="M507">
        <v>13</v>
      </c>
      <c r="N507" t="s">
        <v>37</v>
      </c>
      <c r="O507" t="s">
        <v>32</v>
      </c>
      <c r="P507">
        <v>6.4423192567447396</v>
      </c>
      <c r="Q507">
        <v>0.56710067815127096</v>
      </c>
      <c r="R507">
        <v>5.1561976147415702</v>
      </c>
      <c r="S507">
        <v>161</v>
      </c>
      <c r="T507">
        <v>70</v>
      </c>
      <c r="U507">
        <v>338.929774951772</v>
      </c>
      <c r="V507">
        <v>5.6010340370529904E-3</v>
      </c>
      <c r="W507">
        <v>959950.73358671297</v>
      </c>
      <c r="X507" t="s">
        <v>42</v>
      </c>
      <c r="Y507">
        <f>1-733-720-8539</f>
        <v>-9991</v>
      </c>
    </row>
    <row r="508" spans="1:25" x14ac:dyDescent="0.35">
      <c r="A508">
        <v>39.233730227346697</v>
      </c>
      <c r="B508">
        <v>-118.416346007784</v>
      </c>
      <c r="C508" t="s">
        <v>34</v>
      </c>
      <c r="D508">
        <v>46.371966010343598</v>
      </c>
      <c r="E508">
        <v>8</v>
      </c>
      <c r="F508">
        <v>804</v>
      </c>
      <c r="G508">
        <v>4</v>
      </c>
      <c r="H508">
        <v>2</v>
      </c>
      <c r="I508">
        <v>1993</v>
      </c>
      <c r="J508">
        <v>1</v>
      </c>
      <c r="K508">
        <v>0</v>
      </c>
      <c r="L508">
        <v>0</v>
      </c>
      <c r="M508">
        <v>8</v>
      </c>
      <c r="N508" t="s">
        <v>41</v>
      </c>
      <c r="O508" t="s">
        <v>30</v>
      </c>
      <c r="P508">
        <v>13.0308111892939</v>
      </c>
      <c r="Q508">
        <v>1.18942547460408</v>
      </c>
      <c r="R508">
        <v>4.6995844861074403</v>
      </c>
      <c r="S508">
        <v>22</v>
      </c>
      <c r="T508">
        <v>29</v>
      </c>
      <c r="U508">
        <v>909.77002366302895</v>
      </c>
      <c r="V508">
        <v>9.9502487562189001E-3</v>
      </c>
      <c r="W508">
        <v>1149864.74377634</v>
      </c>
      <c r="X508" t="s">
        <v>40</v>
      </c>
      <c r="Y508">
        <f>1-961-397-2689</f>
        <v>-4046</v>
      </c>
    </row>
    <row r="509" spans="1:25" x14ac:dyDescent="0.35">
      <c r="A509">
        <v>38.713917385854998</v>
      </c>
      <c r="B509">
        <v>-121.117728846638</v>
      </c>
      <c r="C509" t="s">
        <v>29</v>
      </c>
      <c r="D509">
        <v>14.7200955339529</v>
      </c>
      <c r="E509">
        <v>2</v>
      </c>
      <c r="F509">
        <v>3788</v>
      </c>
      <c r="G509">
        <v>4</v>
      </c>
      <c r="H509">
        <v>1</v>
      </c>
      <c r="I509">
        <v>1970</v>
      </c>
      <c r="J509">
        <v>1</v>
      </c>
      <c r="K509">
        <v>1</v>
      </c>
      <c r="L509">
        <v>1</v>
      </c>
      <c r="M509">
        <v>11</v>
      </c>
      <c r="N509" t="s">
        <v>26</v>
      </c>
      <c r="O509" t="s">
        <v>27</v>
      </c>
      <c r="P509">
        <v>8.7470305876342493</v>
      </c>
      <c r="Q509">
        <v>1.4625162129270901</v>
      </c>
      <c r="R509">
        <v>3.2755805029312901</v>
      </c>
      <c r="S509">
        <v>129</v>
      </c>
      <c r="T509">
        <v>31</v>
      </c>
      <c r="U509">
        <v>358.68286765502802</v>
      </c>
      <c r="V509">
        <v>2.9039070749736001E-3</v>
      </c>
      <c r="W509">
        <v>1737908.38372814</v>
      </c>
      <c r="X509" t="s">
        <v>39</v>
      </c>
      <c r="Y509">
        <f>1-755-139-5805</f>
        <v>-6698</v>
      </c>
    </row>
    <row r="510" spans="1:25" x14ac:dyDescent="0.35">
      <c r="A510">
        <v>41.434930675915403</v>
      </c>
      <c r="B510">
        <v>-114.04595071559</v>
      </c>
      <c r="C510" t="s">
        <v>25</v>
      </c>
      <c r="D510">
        <v>32.342379897996999</v>
      </c>
      <c r="E510">
        <v>3</v>
      </c>
      <c r="F510">
        <v>2173</v>
      </c>
      <c r="G510">
        <v>2</v>
      </c>
      <c r="H510">
        <v>2</v>
      </c>
      <c r="I510">
        <v>1969</v>
      </c>
      <c r="J510">
        <v>1</v>
      </c>
      <c r="K510">
        <v>1</v>
      </c>
      <c r="L510">
        <v>0</v>
      </c>
      <c r="M510">
        <v>12</v>
      </c>
      <c r="N510" t="s">
        <v>37</v>
      </c>
      <c r="O510" t="s">
        <v>27</v>
      </c>
      <c r="P510">
        <v>4.8330750944237897</v>
      </c>
      <c r="Q510">
        <v>0.995331332029875</v>
      </c>
      <c r="R510">
        <v>0.54417429026238995</v>
      </c>
      <c r="S510">
        <v>25</v>
      </c>
      <c r="T510">
        <v>60</v>
      </c>
      <c r="U510">
        <v>480.608800891839</v>
      </c>
      <c r="V510">
        <v>5.5223193741371296E-3</v>
      </c>
      <c r="W510">
        <v>1304060.40386265</v>
      </c>
      <c r="X510" t="s">
        <v>40</v>
      </c>
      <c r="Y510">
        <f>1-860-849-4588</f>
        <v>-6296</v>
      </c>
    </row>
    <row r="511" spans="1:25" x14ac:dyDescent="0.35">
      <c r="A511">
        <v>38.6726997424731</v>
      </c>
      <c r="B511">
        <v>-123.993067908426</v>
      </c>
      <c r="C511" t="s">
        <v>34</v>
      </c>
      <c r="D511">
        <v>16.572558838753501</v>
      </c>
      <c r="E511">
        <v>0</v>
      </c>
      <c r="F511">
        <v>4751</v>
      </c>
      <c r="G511">
        <v>3</v>
      </c>
      <c r="H511">
        <v>2</v>
      </c>
      <c r="I511">
        <v>1997</v>
      </c>
      <c r="J511">
        <v>0</v>
      </c>
      <c r="K511">
        <v>1</v>
      </c>
      <c r="L511">
        <v>1</v>
      </c>
      <c r="M511">
        <v>5</v>
      </c>
      <c r="N511" t="s">
        <v>37</v>
      </c>
      <c r="O511" t="s">
        <v>32</v>
      </c>
      <c r="P511">
        <v>11.931093119938099</v>
      </c>
      <c r="Q511">
        <v>2.0134625792929701</v>
      </c>
      <c r="R511">
        <v>9.4979796634852391</v>
      </c>
      <c r="S511">
        <v>12</v>
      </c>
      <c r="T511">
        <v>68</v>
      </c>
      <c r="U511">
        <v>815.36322618046904</v>
      </c>
      <c r="V511">
        <v>1.05241001894338E-3</v>
      </c>
      <c r="W511">
        <v>4366459.1967278896</v>
      </c>
      <c r="X511" t="s">
        <v>44</v>
      </c>
      <c r="Y511">
        <f>1-989-685-9325</f>
        <v>-10998</v>
      </c>
    </row>
    <row r="512" spans="1:25" x14ac:dyDescent="0.35">
      <c r="A512">
        <v>41.0800113486751</v>
      </c>
      <c r="B512">
        <v>-116.234318002992</v>
      </c>
      <c r="C512" t="s">
        <v>25</v>
      </c>
      <c r="D512">
        <v>25.3614987191403</v>
      </c>
      <c r="E512">
        <v>4</v>
      </c>
      <c r="F512">
        <v>3590</v>
      </c>
      <c r="G512">
        <v>4</v>
      </c>
      <c r="H512">
        <v>1</v>
      </c>
      <c r="I512">
        <v>2019</v>
      </c>
      <c r="J512">
        <v>1</v>
      </c>
      <c r="K512">
        <v>0</v>
      </c>
      <c r="L512">
        <v>1</v>
      </c>
      <c r="M512">
        <v>9</v>
      </c>
      <c r="N512" t="s">
        <v>26</v>
      </c>
      <c r="O512" t="s">
        <v>27</v>
      </c>
      <c r="P512">
        <v>13.454817837276901</v>
      </c>
      <c r="Q512">
        <v>1.24010618973987</v>
      </c>
      <c r="R512">
        <v>6.3148399230814301</v>
      </c>
      <c r="S512">
        <v>15</v>
      </c>
      <c r="T512">
        <v>42</v>
      </c>
      <c r="U512">
        <v>729.14046197241805</v>
      </c>
      <c r="V512">
        <v>2.5069637883008301E-3</v>
      </c>
      <c r="W512">
        <v>2969485.7388430601</v>
      </c>
      <c r="X512" t="s">
        <v>42</v>
      </c>
      <c r="Y512">
        <f>1-589-237-4866</f>
        <v>-5691</v>
      </c>
    </row>
    <row r="513" spans="1:25" x14ac:dyDescent="0.35">
      <c r="A513">
        <v>32.817252714501798</v>
      </c>
      <c r="B513">
        <v>-122.09858243716801</v>
      </c>
      <c r="C513" t="s">
        <v>34</v>
      </c>
      <c r="D513">
        <v>18.078621324093799</v>
      </c>
      <c r="E513">
        <v>6</v>
      </c>
      <c r="F513">
        <v>1647</v>
      </c>
      <c r="G513">
        <v>5</v>
      </c>
      <c r="H513">
        <v>3</v>
      </c>
      <c r="I513">
        <v>2018</v>
      </c>
      <c r="J513">
        <v>1</v>
      </c>
      <c r="K513">
        <v>0</v>
      </c>
      <c r="L513">
        <v>1</v>
      </c>
      <c r="M513">
        <v>10</v>
      </c>
      <c r="N513" t="s">
        <v>41</v>
      </c>
      <c r="O513" t="s">
        <v>32</v>
      </c>
      <c r="P513">
        <v>14.2177290191579</v>
      </c>
      <c r="Q513">
        <v>1.8467179115055801</v>
      </c>
      <c r="R513">
        <v>7.0267436195886104</v>
      </c>
      <c r="S513">
        <v>23</v>
      </c>
      <c r="T513">
        <v>32</v>
      </c>
      <c r="U513">
        <v>561.65097032357596</v>
      </c>
      <c r="V513">
        <v>6.0716454159077098E-3</v>
      </c>
      <c r="W513">
        <v>1477771.55387619</v>
      </c>
      <c r="X513" t="s">
        <v>43</v>
      </c>
      <c r="Y513">
        <f>1-859-229-2420</f>
        <v>-3507</v>
      </c>
    </row>
    <row r="514" spans="1:25" x14ac:dyDescent="0.35">
      <c r="A514">
        <v>39.459564062911298</v>
      </c>
      <c r="B514">
        <v>-114.55844107447</v>
      </c>
      <c r="C514" t="s">
        <v>29</v>
      </c>
      <c r="D514">
        <v>4.9582225481457902</v>
      </c>
      <c r="E514">
        <v>1</v>
      </c>
      <c r="F514">
        <v>752</v>
      </c>
      <c r="G514">
        <v>4</v>
      </c>
      <c r="H514">
        <v>2</v>
      </c>
      <c r="I514">
        <v>1992</v>
      </c>
      <c r="J514">
        <v>0</v>
      </c>
      <c r="K514">
        <v>0</v>
      </c>
      <c r="L514">
        <v>0</v>
      </c>
      <c r="M514">
        <v>14</v>
      </c>
      <c r="N514" t="s">
        <v>26</v>
      </c>
      <c r="O514" t="s">
        <v>32</v>
      </c>
      <c r="P514">
        <v>9.4993750429954709</v>
      </c>
      <c r="Q514">
        <v>1.13311406421299</v>
      </c>
      <c r="R514">
        <v>2.8685236975683401</v>
      </c>
      <c r="S514">
        <v>163</v>
      </c>
      <c r="T514">
        <v>64</v>
      </c>
      <c r="U514">
        <v>315.39478308100502</v>
      </c>
      <c r="V514">
        <v>1.8617021276595699E-2</v>
      </c>
      <c r="W514">
        <v>439493.59732587798</v>
      </c>
      <c r="X514" t="s">
        <v>36</v>
      </c>
      <c r="Y514">
        <f>1-954-468-7146</f>
        <v>-8567</v>
      </c>
    </row>
    <row r="515" spans="1:25" x14ac:dyDescent="0.35">
      <c r="A515">
        <v>39.0194283014904</v>
      </c>
      <c r="B515">
        <v>-117.993183199917</v>
      </c>
      <c r="C515" t="s">
        <v>29</v>
      </c>
      <c r="D515">
        <v>6.0600246015227501</v>
      </c>
      <c r="E515">
        <v>1</v>
      </c>
      <c r="F515">
        <v>2927</v>
      </c>
      <c r="G515">
        <v>4</v>
      </c>
      <c r="H515">
        <v>1</v>
      </c>
      <c r="I515">
        <v>2012</v>
      </c>
      <c r="J515">
        <v>0</v>
      </c>
      <c r="K515">
        <v>1</v>
      </c>
      <c r="L515">
        <v>0</v>
      </c>
      <c r="M515">
        <v>3</v>
      </c>
      <c r="N515" t="s">
        <v>41</v>
      </c>
      <c r="O515" t="s">
        <v>32</v>
      </c>
      <c r="P515">
        <v>8.0885670369744496</v>
      </c>
      <c r="Q515">
        <v>1.71811491087165</v>
      </c>
      <c r="R515">
        <v>1.6629210251164099</v>
      </c>
      <c r="S515">
        <v>53</v>
      </c>
      <c r="T515">
        <v>32</v>
      </c>
      <c r="U515">
        <v>213.765928767497</v>
      </c>
      <c r="V515">
        <v>1.0249402118209701E-3</v>
      </c>
      <c r="W515">
        <v>982118.79348341702</v>
      </c>
      <c r="X515" t="s">
        <v>36</v>
      </c>
      <c r="Y515">
        <f>1-795-915-5955</f>
        <v>-7664</v>
      </c>
    </row>
    <row r="516" spans="1:25" x14ac:dyDescent="0.35">
      <c r="A516">
        <v>37.936670481241997</v>
      </c>
      <c r="B516">
        <v>-115.836514939487</v>
      </c>
      <c r="C516" t="s">
        <v>34</v>
      </c>
      <c r="D516">
        <v>42.813391279434498</v>
      </c>
      <c r="E516">
        <v>0</v>
      </c>
      <c r="F516">
        <v>1289</v>
      </c>
      <c r="G516">
        <v>2</v>
      </c>
      <c r="H516">
        <v>3</v>
      </c>
      <c r="I516">
        <v>1999</v>
      </c>
      <c r="J516">
        <v>0</v>
      </c>
      <c r="K516">
        <v>1</v>
      </c>
      <c r="L516">
        <v>1</v>
      </c>
      <c r="M516">
        <v>6</v>
      </c>
      <c r="N516" t="s">
        <v>35</v>
      </c>
      <c r="O516" t="s">
        <v>27</v>
      </c>
      <c r="P516">
        <v>6.8203193227935097</v>
      </c>
      <c r="Q516">
        <v>1.60478141513738</v>
      </c>
      <c r="R516">
        <v>6.8465234051341497</v>
      </c>
      <c r="S516">
        <v>150</v>
      </c>
      <c r="T516">
        <v>30</v>
      </c>
      <c r="U516">
        <v>214.04031015138199</v>
      </c>
      <c r="V516">
        <v>4.6547711404189198E-3</v>
      </c>
      <c r="W516">
        <v>543045.73419391504</v>
      </c>
      <c r="X516" t="s">
        <v>43</v>
      </c>
      <c r="Y516">
        <f>1-536-931-6153</f>
        <v>-7619</v>
      </c>
    </row>
    <row r="517" spans="1:25" x14ac:dyDescent="0.35">
      <c r="A517">
        <v>41.672031593653998</v>
      </c>
      <c r="B517">
        <v>-119.400689041623</v>
      </c>
      <c r="C517" t="s">
        <v>34</v>
      </c>
      <c r="D517">
        <v>47.8186986112255</v>
      </c>
      <c r="E517">
        <v>7</v>
      </c>
      <c r="F517">
        <v>4738</v>
      </c>
      <c r="G517">
        <v>3</v>
      </c>
      <c r="H517">
        <v>3</v>
      </c>
      <c r="I517">
        <v>1964</v>
      </c>
      <c r="J517">
        <v>0</v>
      </c>
      <c r="K517">
        <v>1</v>
      </c>
      <c r="L517">
        <v>1</v>
      </c>
      <c r="M517">
        <v>11</v>
      </c>
      <c r="N517" t="s">
        <v>26</v>
      </c>
      <c r="O517" t="s">
        <v>32</v>
      </c>
      <c r="P517">
        <v>7.7886011019921302</v>
      </c>
      <c r="Q517">
        <v>2.3364169719208601</v>
      </c>
      <c r="R517">
        <v>6.4785952841733101</v>
      </c>
      <c r="S517">
        <v>42</v>
      </c>
      <c r="T517">
        <v>50</v>
      </c>
      <c r="U517">
        <v>356.52366463262899</v>
      </c>
      <c r="V517">
        <v>2.32165470662726E-3</v>
      </c>
      <c r="W517">
        <v>2005546.0704145399</v>
      </c>
      <c r="X517" t="s">
        <v>36</v>
      </c>
      <c r="Y517">
        <f>1-869-920-8305</f>
        <v>-10093</v>
      </c>
    </row>
    <row r="518" spans="1:25" x14ac:dyDescent="0.35">
      <c r="A518">
        <v>36.139911012740299</v>
      </c>
      <c r="B518">
        <v>-116.72052092599399</v>
      </c>
      <c r="C518" t="s">
        <v>25</v>
      </c>
      <c r="D518">
        <v>3.36563655331824</v>
      </c>
      <c r="E518">
        <v>8</v>
      </c>
      <c r="F518">
        <v>4081</v>
      </c>
      <c r="G518">
        <v>5</v>
      </c>
      <c r="H518">
        <v>2</v>
      </c>
      <c r="I518">
        <v>1998</v>
      </c>
      <c r="J518">
        <v>0</v>
      </c>
      <c r="K518">
        <v>0</v>
      </c>
      <c r="L518">
        <v>1</v>
      </c>
      <c r="M518">
        <v>6</v>
      </c>
      <c r="N518" t="s">
        <v>37</v>
      </c>
      <c r="O518" t="s">
        <v>30</v>
      </c>
      <c r="P518">
        <v>12.217960922285901</v>
      </c>
      <c r="Q518">
        <v>1.1254537534725599</v>
      </c>
      <c r="R518">
        <v>9.6553227651973703</v>
      </c>
      <c r="S518">
        <v>41</v>
      </c>
      <c r="T518">
        <v>38</v>
      </c>
      <c r="U518">
        <v>232.899113393394</v>
      </c>
      <c r="V518">
        <v>1.47022788532222E-3</v>
      </c>
      <c r="W518">
        <v>1393555.2397354101</v>
      </c>
      <c r="X518" t="s">
        <v>38</v>
      </c>
      <c r="Y518">
        <f>1-625-975-3400</f>
        <v>-4999</v>
      </c>
    </row>
    <row r="519" spans="1:25" x14ac:dyDescent="0.35">
      <c r="A519">
        <v>33.689394396173398</v>
      </c>
      <c r="B519">
        <v>-116.815941974278</v>
      </c>
      <c r="C519" t="s">
        <v>29</v>
      </c>
      <c r="D519">
        <v>38.408683175055302</v>
      </c>
      <c r="E519">
        <v>4</v>
      </c>
      <c r="F519">
        <v>2695</v>
      </c>
      <c r="G519">
        <v>3</v>
      </c>
      <c r="H519">
        <v>1</v>
      </c>
      <c r="I519">
        <v>1956</v>
      </c>
      <c r="J519">
        <v>1</v>
      </c>
      <c r="K519">
        <v>1</v>
      </c>
      <c r="L519">
        <v>1</v>
      </c>
      <c r="M519">
        <v>13</v>
      </c>
      <c r="N519" t="s">
        <v>37</v>
      </c>
      <c r="O519" t="s">
        <v>30</v>
      </c>
      <c r="P519">
        <v>8.1270139374518795</v>
      </c>
      <c r="Q519">
        <v>0.83331267915060403</v>
      </c>
      <c r="R519">
        <v>2.36359136839841</v>
      </c>
      <c r="S519">
        <v>131</v>
      </c>
      <c r="T519">
        <v>62</v>
      </c>
      <c r="U519">
        <v>960.70649356548597</v>
      </c>
      <c r="V519">
        <v>4.8237476808905303E-3</v>
      </c>
      <c r="W519">
        <v>2857820.2132317298</v>
      </c>
      <c r="X519" t="s">
        <v>44</v>
      </c>
      <c r="Y519">
        <f>1-467-666-1258</f>
        <v>-2390</v>
      </c>
    </row>
    <row r="520" spans="1:25" x14ac:dyDescent="0.35">
      <c r="A520">
        <v>33.551952628533797</v>
      </c>
      <c r="B520">
        <v>-123.10390381832499</v>
      </c>
      <c r="C520" t="s">
        <v>29</v>
      </c>
      <c r="D520">
        <v>39.809922019532699</v>
      </c>
      <c r="E520">
        <v>1</v>
      </c>
      <c r="F520">
        <v>3005</v>
      </c>
      <c r="G520">
        <v>2</v>
      </c>
      <c r="H520">
        <v>3</v>
      </c>
      <c r="I520">
        <v>1979</v>
      </c>
      <c r="J520">
        <v>0</v>
      </c>
      <c r="K520">
        <v>1</v>
      </c>
      <c r="L520">
        <v>0</v>
      </c>
      <c r="M520">
        <v>12</v>
      </c>
      <c r="N520" t="s">
        <v>35</v>
      </c>
      <c r="O520" t="s">
        <v>27</v>
      </c>
      <c r="P520">
        <v>3.4933844095594502</v>
      </c>
      <c r="Q520">
        <v>1.90539885713229</v>
      </c>
      <c r="R520">
        <v>9.6689126939212997</v>
      </c>
      <c r="S520">
        <v>197</v>
      </c>
      <c r="T520">
        <v>38</v>
      </c>
      <c r="U520">
        <v>412.73998692377501</v>
      </c>
      <c r="V520">
        <v>3.9933444259567302E-3</v>
      </c>
      <c r="W520">
        <v>1321546.12748459</v>
      </c>
      <c r="X520" t="s">
        <v>36</v>
      </c>
      <c r="Y520">
        <f>1-893-161-4336</f>
        <v>-5389</v>
      </c>
    </row>
    <row r="521" spans="1:25" x14ac:dyDescent="0.35">
      <c r="A521">
        <v>37.057244487474499</v>
      </c>
      <c r="B521">
        <v>-114.601513088741</v>
      </c>
      <c r="C521" t="s">
        <v>25</v>
      </c>
      <c r="D521">
        <v>25.761312749575001</v>
      </c>
      <c r="E521">
        <v>3</v>
      </c>
      <c r="F521">
        <v>2453</v>
      </c>
      <c r="G521">
        <v>3</v>
      </c>
      <c r="H521">
        <v>3</v>
      </c>
      <c r="I521">
        <v>2002</v>
      </c>
      <c r="J521">
        <v>1</v>
      </c>
      <c r="K521">
        <v>1</v>
      </c>
      <c r="L521">
        <v>1</v>
      </c>
      <c r="M521">
        <v>12</v>
      </c>
      <c r="N521" t="s">
        <v>37</v>
      </c>
      <c r="O521" t="s">
        <v>30</v>
      </c>
      <c r="P521">
        <v>11.5234951413227</v>
      </c>
      <c r="Q521">
        <v>1.41122680172391</v>
      </c>
      <c r="R521">
        <v>6.8457798172700999</v>
      </c>
      <c r="S521">
        <v>139</v>
      </c>
      <c r="T521">
        <v>20</v>
      </c>
      <c r="U521">
        <v>427.90895121814202</v>
      </c>
      <c r="V521">
        <v>4.8919690175295502E-3</v>
      </c>
      <c r="W521">
        <v>1447263.30890845</v>
      </c>
      <c r="X521" t="s">
        <v>33</v>
      </c>
      <c r="Y521">
        <f>1-396-530-7193</f>
        <v>-8118</v>
      </c>
    </row>
    <row r="522" spans="1:25" x14ac:dyDescent="0.35">
      <c r="A522">
        <v>38.804349710822798</v>
      </c>
      <c r="B522">
        <v>-122.435687006889</v>
      </c>
      <c r="C522" t="s">
        <v>29</v>
      </c>
      <c r="D522">
        <v>43.009705144466899</v>
      </c>
      <c r="E522">
        <v>7</v>
      </c>
      <c r="F522">
        <v>2252</v>
      </c>
      <c r="G522">
        <v>1</v>
      </c>
      <c r="H522">
        <v>3</v>
      </c>
      <c r="I522">
        <v>2016</v>
      </c>
      <c r="J522">
        <v>1</v>
      </c>
      <c r="K522">
        <v>1</v>
      </c>
      <c r="L522">
        <v>0</v>
      </c>
      <c r="M522">
        <v>3</v>
      </c>
      <c r="N522" t="s">
        <v>37</v>
      </c>
      <c r="O522" t="s">
        <v>30</v>
      </c>
      <c r="P522">
        <v>8.2954531069844695</v>
      </c>
      <c r="Q522">
        <v>1.3443839735014</v>
      </c>
      <c r="R522">
        <v>3.7634131813438598</v>
      </c>
      <c r="S522">
        <v>96</v>
      </c>
      <c r="T522">
        <v>77</v>
      </c>
      <c r="U522">
        <v>925.741055813456</v>
      </c>
      <c r="V522">
        <v>1.3321492007104701E-3</v>
      </c>
      <c r="W522">
        <v>2476351.7310313601</v>
      </c>
      <c r="X522" t="s">
        <v>28</v>
      </c>
      <c r="Y522">
        <f>1-367-689-2212</f>
        <v>-3267</v>
      </c>
    </row>
    <row r="523" spans="1:25" x14ac:dyDescent="0.35">
      <c r="A523">
        <v>41.883477077975499</v>
      </c>
      <c r="B523">
        <v>-115.00370422314499</v>
      </c>
      <c r="C523" t="s">
        <v>29</v>
      </c>
      <c r="D523">
        <v>4.0657917710118001</v>
      </c>
      <c r="E523">
        <v>4</v>
      </c>
      <c r="F523">
        <v>1084</v>
      </c>
      <c r="G523">
        <v>5</v>
      </c>
      <c r="H523">
        <v>1</v>
      </c>
      <c r="I523">
        <v>1996</v>
      </c>
      <c r="J523">
        <v>1</v>
      </c>
      <c r="K523">
        <v>0</v>
      </c>
      <c r="L523">
        <v>0</v>
      </c>
      <c r="M523">
        <v>6</v>
      </c>
      <c r="N523" t="s">
        <v>37</v>
      </c>
      <c r="O523" t="s">
        <v>32</v>
      </c>
      <c r="P523">
        <v>3.6716967192786201</v>
      </c>
      <c r="Q523">
        <v>1.3250664316123699</v>
      </c>
      <c r="R523">
        <v>7.6475282411645003</v>
      </c>
      <c r="S523">
        <v>80</v>
      </c>
      <c r="T523">
        <v>58</v>
      </c>
      <c r="U523">
        <v>609.11682050827596</v>
      </c>
      <c r="V523">
        <v>5.5350553505535E-3</v>
      </c>
      <c r="W523">
        <v>836996.08168858499</v>
      </c>
      <c r="X523" t="s">
        <v>44</v>
      </c>
      <c r="Y523">
        <f>1-374-525-9228</f>
        <v>-10126</v>
      </c>
    </row>
    <row r="524" spans="1:25" x14ac:dyDescent="0.35">
      <c r="A524">
        <v>39.407826198365903</v>
      </c>
      <c r="B524">
        <v>-123.579225073082</v>
      </c>
      <c r="C524" t="s">
        <v>25</v>
      </c>
      <c r="D524">
        <v>16.955700356283199</v>
      </c>
      <c r="E524">
        <v>8</v>
      </c>
      <c r="F524">
        <v>990</v>
      </c>
      <c r="G524">
        <v>3</v>
      </c>
      <c r="H524">
        <v>2</v>
      </c>
      <c r="I524">
        <v>1955</v>
      </c>
      <c r="J524">
        <v>1</v>
      </c>
      <c r="K524">
        <v>1</v>
      </c>
      <c r="L524">
        <v>0</v>
      </c>
      <c r="M524">
        <v>5</v>
      </c>
      <c r="N524" t="s">
        <v>26</v>
      </c>
      <c r="O524" t="s">
        <v>32</v>
      </c>
      <c r="P524">
        <v>11.2286030619786</v>
      </c>
      <c r="Q524">
        <v>0.68236455895871995</v>
      </c>
      <c r="R524">
        <v>1.71617152811114</v>
      </c>
      <c r="S524">
        <v>8</v>
      </c>
      <c r="T524">
        <v>62</v>
      </c>
      <c r="U524">
        <v>833.32275248965198</v>
      </c>
      <c r="V524">
        <v>5.0505050505050501E-3</v>
      </c>
      <c r="W524">
        <v>1152492.89100813</v>
      </c>
      <c r="X524" t="s">
        <v>43</v>
      </c>
      <c r="Y524">
        <f>1-661-309-5689</f>
        <v>-6658</v>
      </c>
    </row>
    <row r="525" spans="1:25" x14ac:dyDescent="0.35">
      <c r="A525">
        <v>34.307627626606099</v>
      </c>
      <c r="B525">
        <v>-122.647867100433</v>
      </c>
      <c r="C525" t="s">
        <v>29</v>
      </c>
      <c r="D525">
        <v>8.3759633876654398</v>
      </c>
      <c r="E525">
        <v>0</v>
      </c>
      <c r="F525">
        <v>2576</v>
      </c>
      <c r="G525">
        <v>2</v>
      </c>
      <c r="H525">
        <v>2</v>
      </c>
      <c r="I525">
        <v>2021</v>
      </c>
      <c r="J525">
        <v>0</v>
      </c>
      <c r="K525">
        <v>0</v>
      </c>
      <c r="L525">
        <v>1</v>
      </c>
      <c r="M525">
        <v>13</v>
      </c>
      <c r="N525" t="s">
        <v>37</v>
      </c>
      <c r="O525" t="s">
        <v>27</v>
      </c>
      <c r="P525">
        <v>10.633449180555401</v>
      </c>
      <c r="Q525">
        <v>0.72784074920653996</v>
      </c>
      <c r="R525">
        <v>9.8208868814342196</v>
      </c>
      <c r="S525">
        <v>186</v>
      </c>
      <c r="T525">
        <v>72</v>
      </c>
      <c r="U525">
        <v>320.71848018204901</v>
      </c>
      <c r="V525">
        <v>5.0465838509316701E-3</v>
      </c>
      <c r="W525">
        <v>1023313.03103648</v>
      </c>
      <c r="X525" t="s">
        <v>38</v>
      </c>
      <c r="Y525">
        <f>1-492-657-5605</f>
        <v>-6753</v>
      </c>
    </row>
    <row r="526" spans="1:25" x14ac:dyDescent="0.35">
      <c r="A526">
        <v>32.838848367682502</v>
      </c>
      <c r="B526">
        <v>-118.81261731833</v>
      </c>
      <c r="C526" t="s">
        <v>29</v>
      </c>
      <c r="D526">
        <v>13.280612014334899</v>
      </c>
      <c r="E526">
        <v>8</v>
      </c>
      <c r="F526">
        <v>2451</v>
      </c>
      <c r="G526">
        <v>2</v>
      </c>
      <c r="H526">
        <v>3</v>
      </c>
      <c r="I526">
        <v>1978</v>
      </c>
      <c r="J526">
        <v>1</v>
      </c>
      <c r="K526">
        <v>1</v>
      </c>
      <c r="L526">
        <v>1</v>
      </c>
      <c r="M526">
        <v>5</v>
      </c>
      <c r="N526" t="s">
        <v>41</v>
      </c>
      <c r="O526" t="s">
        <v>27</v>
      </c>
      <c r="P526">
        <v>13.346441319858201</v>
      </c>
      <c r="Q526">
        <v>1.5563123498951099</v>
      </c>
      <c r="R526">
        <v>4.6865089810300198</v>
      </c>
      <c r="S526">
        <v>64</v>
      </c>
      <c r="T526">
        <v>62</v>
      </c>
      <c r="U526">
        <v>859.75623235828004</v>
      </c>
      <c r="V526">
        <v>2.03998368013055E-3</v>
      </c>
      <c r="W526">
        <v>2532983.4673525998</v>
      </c>
      <c r="X526" t="s">
        <v>38</v>
      </c>
      <c r="Y526">
        <f>1-329-596-2009</f>
        <v>-2933</v>
      </c>
    </row>
    <row r="527" spans="1:25" x14ac:dyDescent="0.35">
      <c r="A527">
        <v>35.922003244358002</v>
      </c>
      <c r="B527">
        <v>-119.98497968354199</v>
      </c>
      <c r="C527" t="s">
        <v>29</v>
      </c>
      <c r="D527">
        <v>19.702690186095499</v>
      </c>
      <c r="E527">
        <v>6</v>
      </c>
      <c r="F527">
        <v>3911</v>
      </c>
      <c r="G527">
        <v>3</v>
      </c>
      <c r="H527">
        <v>2</v>
      </c>
      <c r="I527">
        <v>1975</v>
      </c>
      <c r="J527">
        <v>1</v>
      </c>
      <c r="K527">
        <v>0</v>
      </c>
      <c r="L527">
        <v>0</v>
      </c>
      <c r="M527">
        <v>9</v>
      </c>
      <c r="N527" t="s">
        <v>37</v>
      </c>
      <c r="O527" t="s">
        <v>32</v>
      </c>
      <c r="P527">
        <v>7.91345478771653</v>
      </c>
      <c r="Q527">
        <v>1.80838525709786</v>
      </c>
      <c r="R527">
        <v>9.7988938840695301</v>
      </c>
      <c r="S527">
        <v>56</v>
      </c>
      <c r="T527">
        <v>25</v>
      </c>
      <c r="U527">
        <v>570.51099632993601</v>
      </c>
      <c r="V527">
        <v>2.3012017386857498E-3</v>
      </c>
      <c r="W527">
        <v>2410256.6398404599</v>
      </c>
      <c r="X527" t="s">
        <v>38</v>
      </c>
      <c r="Y527">
        <f>1-788-491-6899</f>
        <v>-8177</v>
      </c>
    </row>
    <row r="528" spans="1:25" x14ac:dyDescent="0.35">
      <c r="A528">
        <v>37.219563241164103</v>
      </c>
      <c r="B528">
        <v>-120.17801758521701</v>
      </c>
      <c r="C528" t="s">
        <v>34</v>
      </c>
      <c r="D528">
        <v>35.771900105724598</v>
      </c>
      <c r="E528">
        <v>0</v>
      </c>
      <c r="F528">
        <v>1707</v>
      </c>
      <c r="G528">
        <v>1</v>
      </c>
      <c r="H528">
        <v>3</v>
      </c>
      <c r="I528">
        <v>1969</v>
      </c>
      <c r="J528">
        <v>1</v>
      </c>
      <c r="K528">
        <v>1</v>
      </c>
      <c r="L528">
        <v>0</v>
      </c>
      <c r="M528">
        <v>11</v>
      </c>
      <c r="N528" t="s">
        <v>26</v>
      </c>
      <c r="O528" t="s">
        <v>27</v>
      </c>
      <c r="P528">
        <v>4.8680492112454301</v>
      </c>
      <c r="Q528">
        <v>0.60120811272247698</v>
      </c>
      <c r="R528">
        <v>3.4927456610198</v>
      </c>
      <c r="S528">
        <v>24</v>
      </c>
      <c r="T528">
        <v>31</v>
      </c>
      <c r="U528">
        <v>614.57468025455103</v>
      </c>
      <c r="V528">
        <v>6.4440538957234901E-3</v>
      </c>
      <c r="W528">
        <v>1236156.7942961</v>
      </c>
      <c r="X528" t="s">
        <v>31</v>
      </c>
      <c r="Y528">
        <f>1-859-683-1796</f>
        <v>-3337</v>
      </c>
    </row>
    <row r="529" spans="1:25" x14ac:dyDescent="0.35">
      <c r="A529">
        <v>35.084907966973503</v>
      </c>
      <c r="B529">
        <v>-117.551080401069</v>
      </c>
      <c r="C529" t="s">
        <v>34</v>
      </c>
      <c r="D529">
        <v>11.1511134750588</v>
      </c>
      <c r="E529">
        <v>8</v>
      </c>
      <c r="F529">
        <v>1693</v>
      </c>
      <c r="G529">
        <v>4</v>
      </c>
      <c r="H529">
        <v>1</v>
      </c>
      <c r="I529">
        <v>1977</v>
      </c>
      <c r="J529">
        <v>0</v>
      </c>
      <c r="K529">
        <v>0</v>
      </c>
      <c r="L529">
        <v>1</v>
      </c>
      <c r="M529">
        <v>9</v>
      </c>
      <c r="N529" t="s">
        <v>41</v>
      </c>
      <c r="O529" t="s">
        <v>30</v>
      </c>
      <c r="P529">
        <v>11.1851843740842</v>
      </c>
      <c r="Q529">
        <v>1.8200735098885099</v>
      </c>
      <c r="R529">
        <v>3.1830680571773802</v>
      </c>
      <c r="S529">
        <v>127</v>
      </c>
      <c r="T529">
        <v>21</v>
      </c>
      <c r="U529">
        <v>204.84953966108901</v>
      </c>
      <c r="V529">
        <v>5.3160070880094498E-3</v>
      </c>
      <c r="W529">
        <v>556836.489070329</v>
      </c>
      <c r="X529" t="s">
        <v>44</v>
      </c>
      <c r="Y529">
        <f>1-763-772-8343</f>
        <v>-9877</v>
      </c>
    </row>
    <row r="530" spans="1:25" x14ac:dyDescent="0.35">
      <c r="A530">
        <v>37.899138274498902</v>
      </c>
      <c r="B530">
        <v>-118.390520920707</v>
      </c>
      <c r="C530" t="s">
        <v>25</v>
      </c>
      <c r="D530">
        <v>44.057626424222804</v>
      </c>
      <c r="E530">
        <v>9</v>
      </c>
      <c r="F530">
        <v>1053</v>
      </c>
      <c r="G530">
        <v>2</v>
      </c>
      <c r="H530">
        <v>2</v>
      </c>
      <c r="I530">
        <v>2012</v>
      </c>
      <c r="J530">
        <v>1</v>
      </c>
      <c r="K530">
        <v>1</v>
      </c>
      <c r="L530">
        <v>1</v>
      </c>
      <c r="M530">
        <v>10</v>
      </c>
      <c r="N530" t="s">
        <v>41</v>
      </c>
      <c r="O530" t="s">
        <v>27</v>
      </c>
      <c r="P530">
        <v>4.1339010382935202</v>
      </c>
      <c r="Q530">
        <v>0.61986472061918396</v>
      </c>
      <c r="R530">
        <v>7.1564103322914701</v>
      </c>
      <c r="S530">
        <v>87</v>
      </c>
      <c r="T530">
        <v>65</v>
      </c>
      <c r="U530">
        <v>765.35985639403998</v>
      </c>
      <c r="V530">
        <v>9.4966761633428296E-3</v>
      </c>
      <c r="W530">
        <v>1166033.3421427701</v>
      </c>
      <c r="X530" t="s">
        <v>38</v>
      </c>
      <c r="Y530">
        <f>1-886-189-3802</f>
        <v>-4876</v>
      </c>
    </row>
    <row r="531" spans="1:25" x14ac:dyDescent="0.35">
      <c r="A531">
        <v>34.612269026077001</v>
      </c>
      <c r="B531">
        <v>-121.66836227086699</v>
      </c>
      <c r="C531" t="s">
        <v>34</v>
      </c>
      <c r="D531">
        <v>38.777336042420899</v>
      </c>
      <c r="E531">
        <v>0</v>
      </c>
      <c r="F531">
        <v>3586</v>
      </c>
      <c r="G531">
        <v>1</v>
      </c>
      <c r="H531">
        <v>2</v>
      </c>
      <c r="I531">
        <v>2000</v>
      </c>
      <c r="J531">
        <v>0</v>
      </c>
      <c r="K531">
        <v>0</v>
      </c>
      <c r="L531">
        <v>1</v>
      </c>
      <c r="M531">
        <v>14</v>
      </c>
      <c r="N531" t="s">
        <v>26</v>
      </c>
      <c r="O531" t="s">
        <v>27</v>
      </c>
      <c r="P531">
        <v>14.2342768009966</v>
      </c>
      <c r="Q531">
        <v>1.9224224237643399</v>
      </c>
      <c r="R531">
        <v>6.50881068163274</v>
      </c>
      <c r="S531">
        <v>161</v>
      </c>
      <c r="T531">
        <v>58</v>
      </c>
      <c r="U531">
        <v>370.26510200487098</v>
      </c>
      <c r="V531">
        <v>3.9040713887339598E-3</v>
      </c>
      <c r="W531">
        <v>1555951.0057885901</v>
      </c>
      <c r="X531" t="s">
        <v>44</v>
      </c>
      <c r="Y531">
        <f>1-337-711-9308</f>
        <v>-10355</v>
      </c>
    </row>
    <row r="532" spans="1:25" x14ac:dyDescent="0.35">
      <c r="A532">
        <v>33.785979962616203</v>
      </c>
      <c r="B532">
        <v>-120.03116473255101</v>
      </c>
      <c r="C532" t="s">
        <v>34</v>
      </c>
      <c r="D532">
        <v>22.060864310436202</v>
      </c>
      <c r="E532">
        <v>9</v>
      </c>
      <c r="F532">
        <v>3176</v>
      </c>
      <c r="G532">
        <v>3</v>
      </c>
      <c r="H532">
        <v>3</v>
      </c>
      <c r="I532">
        <v>1989</v>
      </c>
      <c r="J532">
        <v>0</v>
      </c>
      <c r="K532">
        <v>1</v>
      </c>
      <c r="L532">
        <v>1</v>
      </c>
      <c r="M532">
        <v>2</v>
      </c>
      <c r="N532" t="s">
        <v>41</v>
      </c>
      <c r="O532" t="s">
        <v>27</v>
      </c>
      <c r="P532">
        <v>14.676689754340201</v>
      </c>
      <c r="Q532">
        <v>2.3944716269610198</v>
      </c>
      <c r="R532">
        <v>4.0368681705367102</v>
      </c>
      <c r="S532">
        <v>177</v>
      </c>
      <c r="T532">
        <v>78</v>
      </c>
      <c r="U532">
        <v>627.70583201734701</v>
      </c>
      <c r="V532">
        <v>6.2972292191435702E-4</v>
      </c>
      <c r="W532">
        <v>2360964.2279790398</v>
      </c>
      <c r="X532" t="s">
        <v>28</v>
      </c>
      <c r="Y532">
        <f>1-949-439-4074</f>
        <v>-5461</v>
      </c>
    </row>
    <row r="533" spans="1:25" x14ac:dyDescent="0.35">
      <c r="A533">
        <v>39.598195320434598</v>
      </c>
      <c r="B533">
        <v>-119.27507296412</v>
      </c>
      <c r="C533" t="s">
        <v>29</v>
      </c>
      <c r="D533">
        <v>31.3529363257882</v>
      </c>
      <c r="E533">
        <v>7</v>
      </c>
      <c r="F533">
        <v>4862</v>
      </c>
      <c r="G533">
        <v>1</v>
      </c>
      <c r="H533">
        <v>3</v>
      </c>
      <c r="I533">
        <v>1986</v>
      </c>
      <c r="J533">
        <v>1</v>
      </c>
      <c r="K533">
        <v>0</v>
      </c>
      <c r="L533">
        <v>1</v>
      </c>
      <c r="M533">
        <v>11</v>
      </c>
      <c r="N533" t="s">
        <v>37</v>
      </c>
      <c r="O533" t="s">
        <v>30</v>
      </c>
      <c r="P533">
        <v>14.464496518015199</v>
      </c>
      <c r="Q533">
        <v>2.4903061802730702</v>
      </c>
      <c r="R533">
        <v>0.81275307189420398</v>
      </c>
      <c r="S533">
        <v>1</v>
      </c>
      <c r="T533">
        <v>61</v>
      </c>
      <c r="U533">
        <v>382.25431069977998</v>
      </c>
      <c r="V533">
        <v>2.26244343891402E-3</v>
      </c>
      <c r="W533">
        <v>2192664.3593609701</v>
      </c>
      <c r="X533" t="s">
        <v>39</v>
      </c>
      <c r="Y533">
        <f>1-439-640-3763</f>
        <v>-4841</v>
      </c>
    </row>
    <row r="534" spans="1:25" x14ac:dyDescent="0.35">
      <c r="A534">
        <v>41.328144834575802</v>
      </c>
      <c r="B534">
        <v>-118.864047055851</v>
      </c>
      <c r="C534" t="s">
        <v>25</v>
      </c>
      <c r="D534">
        <v>35.468450916528603</v>
      </c>
      <c r="E534">
        <v>9</v>
      </c>
      <c r="F534">
        <v>3578</v>
      </c>
      <c r="G534">
        <v>5</v>
      </c>
      <c r="H534">
        <v>1</v>
      </c>
      <c r="I534">
        <v>1964</v>
      </c>
      <c r="J534">
        <v>0</v>
      </c>
      <c r="K534">
        <v>1</v>
      </c>
      <c r="L534">
        <v>0</v>
      </c>
      <c r="M534">
        <v>6</v>
      </c>
      <c r="N534" t="s">
        <v>26</v>
      </c>
      <c r="O534" t="s">
        <v>32</v>
      </c>
      <c r="P534">
        <v>8.1832543192731109</v>
      </c>
      <c r="Q534">
        <v>1.1656938323194199</v>
      </c>
      <c r="R534">
        <v>1.28996581049423</v>
      </c>
      <c r="S534">
        <v>93</v>
      </c>
      <c r="T534">
        <v>21</v>
      </c>
      <c r="U534">
        <v>824.13007345297603</v>
      </c>
      <c r="V534">
        <v>1.67691447736165E-3</v>
      </c>
      <c r="W534">
        <v>3208768.8671492799</v>
      </c>
      <c r="X534" t="s">
        <v>33</v>
      </c>
      <c r="Y534">
        <f>1-565-616-6566</f>
        <v>-7746</v>
      </c>
    </row>
    <row r="535" spans="1:25" x14ac:dyDescent="0.35">
      <c r="A535">
        <v>38.4167301837266</v>
      </c>
      <c r="B535">
        <v>-120.502316134846</v>
      </c>
      <c r="C535" t="s">
        <v>29</v>
      </c>
      <c r="D535">
        <v>48.822363218431697</v>
      </c>
      <c r="E535">
        <v>4</v>
      </c>
      <c r="F535">
        <v>2595</v>
      </c>
      <c r="G535">
        <v>2</v>
      </c>
      <c r="H535">
        <v>3</v>
      </c>
      <c r="I535">
        <v>2021</v>
      </c>
      <c r="J535">
        <v>1</v>
      </c>
      <c r="K535">
        <v>1</v>
      </c>
      <c r="L535">
        <v>1</v>
      </c>
      <c r="M535">
        <v>14</v>
      </c>
      <c r="N535" t="s">
        <v>37</v>
      </c>
      <c r="O535" t="s">
        <v>32</v>
      </c>
      <c r="P535">
        <v>13.359754360453399</v>
      </c>
      <c r="Q535">
        <v>2.3788375078641502</v>
      </c>
      <c r="R535">
        <v>9.5426888933244793</v>
      </c>
      <c r="S535">
        <v>116</v>
      </c>
      <c r="T535">
        <v>41</v>
      </c>
      <c r="U535">
        <v>346.17011429938498</v>
      </c>
      <c r="V535">
        <v>5.3949903660886296E-3</v>
      </c>
      <c r="W535">
        <v>1332325.29558741</v>
      </c>
      <c r="X535" t="s">
        <v>40</v>
      </c>
      <c r="Y535">
        <f>1-774-341-8529</f>
        <v>-9643</v>
      </c>
    </row>
    <row r="536" spans="1:25" x14ac:dyDescent="0.35">
      <c r="A536">
        <v>32.779185551822003</v>
      </c>
      <c r="B536">
        <v>-115.458947584349</v>
      </c>
      <c r="C536" t="s">
        <v>29</v>
      </c>
      <c r="D536">
        <v>8.4746425780189902</v>
      </c>
      <c r="E536">
        <v>6</v>
      </c>
      <c r="F536">
        <v>1085</v>
      </c>
      <c r="G536">
        <v>3</v>
      </c>
      <c r="H536">
        <v>1</v>
      </c>
      <c r="I536">
        <v>2020</v>
      </c>
      <c r="J536">
        <v>1</v>
      </c>
      <c r="K536">
        <v>1</v>
      </c>
      <c r="L536">
        <v>0</v>
      </c>
      <c r="M536">
        <v>11</v>
      </c>
      <c r="N536" t="s">
        <v>26</v>
      </c>
      <c r="O536" t="s">
        <v>30</v>
      </c>
      <c r="P536">
        <v>12.4705018546749</v>
      </c>
      <c r="Q536">
        <v>0.63277368389190503</v>
      </c>
      <c r="R536">
        <v>3.6759016169607399</v>
      </c>
      <c r="S536">
        <v>5</v>
      </c>
      <c r="T536">
        <v>22</v>
      </c>
      <c r="U536">
        <v>413.40246873945898</v>
      </c>
      <c r="V536">
        <v>1.01382488479262E-2</v>
      </c>
      <c r="W536">
        <v>802478.67084548099</v>
      </c>
      <c r="X536" t="s">
        <v>43</v>
      </c>
      <c r="Y536">
        <f>1-857-868-3950</f>
        <v>-5674</v>
      </c>
    </row>
    <row r="537" spans="1:25" x14ac:dyDescent="0.35">
      <c r="A537">
        <v>36.739296348403897</v>
      </c>
      <c r="B537">
        <v>-115.276785343642</v>
      </c>
      <c r="C537" t="s">
        <v>34</v>
      </c>
      <c r="D537">
        <v>1.96310591014126</v>
      </c>
      <c r="E537">
        <v>9</v>
      </c>
      <c r="F537">
        <v>1378</v>
      </c>
      <c r="G537">
        <v>2</v>
      </c>
      <c r="H537">
        <v>1</v>
      </c>
      <c r="I537">
        <v>2001</v>
      </c>
      <c r="J537">
        <v>1</v>
      </c>
      <c r="K537">
        <v>1</v>
      </c>
      <c r="L537">
        <v>1</v>
      </c>
      <c r="M537">
        <v>10</v>
      </c>
      <c r="N537" t="s">
        <v>37</v>
      </c>
      <c r="O537" t="s">
        <v>32</v>
      </c>
      <c r="P537">
        <v>12.878926580725199</v>
      </c>
      <c r="Q537">
        <v>0.95953887137150295</v>
      </c>
      <c r="R537">
        <v>5.1011863902457497</v>
      </c>
      <c r="S537">
        <v>1</v>
      </c>
      <c r="T537">
        <v>60</v>
      </c>
      <c r="U537">
        <v>821.36153054166903</v>
      </c>
      <c r="V537">
        <v>7.2568940493468797E-3</v>
      </c>
      <c r="W537">
        <v>1542918.0304813599</v>
      </c>
      <c r="X537" t="s">
        <v>38</v>
      </c>
      <c r="Y537">
        <f>1-890-777-8575</f>
        <v>-10241</v>
      </c>
    </row>
    <row r="538" spans="1:25" x14ac:dyDescent="0.35">
      <c r="A538">
        <v>39.420502902016999</v>
      </c>
      <c r="B538">
        <v>-120.281593420435</v>
      </c>
      <c r="C538" t="s">
        <v>25</v>
      </c>
      <c r="D538">
        <v>15.469559760176899</v>
      </c>
      <c r="E538">
        <v>0</v>
      </c>
      <c r="F538">
        <v>2591</v>
      </c>
      <c r="G538">
        <v>2</v>
      </c>
      <c r="H538">
        <v>3</v>
      </c>
      <c r="I538">
        <v>2014</v>
      </c>
      <c r="J538">
        <v>0</v>
      </c>
      <c r="K538">
        <v>0</v>
      </c>
      <c r="L538">
        <v>1</v>
      </c>
      <c r="M538">
        <v>3</v>
      </c>
      <c r="N538" t="s">
        <v>37</v>
      </c>
      <c r="O538" t="s">
        <v>32</v>
      </c>
      <c r="P538">
        <v>8.5629709440361097</v>
      </c>
      <c r="Q538">
        <v>2.4733051551693301</v>
      </c>
      <c r="R538">
        <v>7.3158123233056704</v>
      </c>
      <c r="S538">
        <v>89</v>
      </c>
      <c r="T538">
        <v>54</v>
      </c>
      <c r="U538">
        <v>952.33275211501598</v>
      </c>
      <c r="V538">
        <v>1.15785411038209E-3</v>
      </c>
      <c r="W538">
        <v>2730924.0617773798</v>
      </c>
      <c r="X538" t="s">
        <v>39</v>
      </c>
      <c r="Y538">
        <f>1-843-848-3385</f>
        <v>-5075</v>
      </c>
    </row>
    <row r="539" spans="1:25" x14ac:dyDescent="0.35">
      <c r="A539">
        <v>34.258371708331303</v>
      </c>
      <c r="B539">
        <v>-121.089065237337</v>
      </c>
      <c r="C539" t="s">
        <v>25</v>
      </c>
      <c r="D539">
        <v>7.7565487229159604</v>
      </c>
      <c r="E539">
        <v>4</v>
      </c>
      <c r="F539">
        <v>3491</v>
      </c>
      <c r="G539">
        <v>2</v>
      </c>
      <c r="H539">
        <v>2</v>
      </c>
      <c r="I539">
        <v>2007</v>
      </c>
      <c r="J539">
        <v>1</v>
      </c>
      <c r="K539">
        <v>0</v>
      </c>
      <c r="L539">
        <v>1</v>
      </c>
      <c r="M539">
        <v>14</v>
      </c>
      <c r="N539" t="s">
        <v>35</v>
      </c>
      <c r="O539" t="s">
        <v>32</v>
      </c>
      <c r="P539">
        <v>6.8852705572464403</v>
      </c>
      <c r="Q539">
        <v>2.1755806574507401</v>
      </c>
      <c r="R539">
        <v>2.1499571649895399</v>
      </c>
      <c r="S539">
        <v>124</v>
      </c>
      <c r="T539">
        <v>32</v>
      </c>
      <c r="U539">
        <v>408.63050826377099</v>
      </c>
      <c r="V539">
        <v>4.0103122314523003E-3</v>
      </c>
      <c r="W539">
        <v>1635861.28817172</v>
      </c>
      <c r="X539" t="s">
        <v>28</v>
      </c>
      <c r="Y539">
        <f>1-381-630-1401</f>
        <v>-2411</v>
      </c>
    </row>
    <row r="540" spans="1:25" x14ac:dyDescent="0.35">
      <c r="A540">
        <v>33.463256131748402</v>
      </c>
      <c r="B540">
        <v>-123.842220948499</v>
      </c>
      <c r="C540" t="s">
        <v>25</v>
      </c>
      <c r="D540">
        <v>40.278773651212703</v>
      </c>
      <c r="E540">
        <v>4</v>
      </c>
      <c r="F540">
        <v>1721</v>
      </c>
      <c r="G540">
        <v>4</v>
      </c>
      <c r="H540">
        <v>1</v>
      </c>
      <c r="I540">
        <v>1957</v>
      </c>
      <c r="J540">
        <v>1</v>
      </c>
      <c r="K540">
        <v>1</v>
      </c>
      <c r="L540">
        <v>1</v>
      </c>
      <c r="M540">
        <v>11</v>
      </c>
      <c r="N540" t="s">
        <v>41</v>
      </c>
      <c r="O540" t="s">
        <v>32</v>
      </c>
      <c r="P540">
        <v>3.3161685100283198</v>
      </c>
      <c r="Q540">
        <v>1.9171613754896499</v>
      </c>
      <c r="R540">
        <v>9.6832925027160304</v>
      </c>
      <c r="S540">
        <v>73</v>
      </c>
      <c r="T540">
        <v>48</v>
      </c>
      <c r="U540">
        <v>465.52123381286202</v>
      </c>
      <c r="V540">
        <v>6.3916327716443903E-3</v>
      </c>
      <c r="W540">
        <v>1078445.5643112999</v>
      </c>
      <c r="X540" t="s">
        <v>42</v>
      </c>
      <c r="Y540">
        <f>1-547-214-7989</f>
        <v>-8749</v>
      </c>
    </row>
    <row r="541" spans="1:25" x14ac:dyDescent="0.35">
      <c r="A541">
        <v>33.480515299429499</v>
      </c>
      <c r="B541">
        <v>-124.403826658599</v>
      </c>
      <c r="C541" t="s">
        <v>25</v>
      </c>
      <c r="D541">
        <v>7.9679346034599901</v>
      </c>
      <c r="E541">
        <v>0</v>
      </c>
      <c r="F541">
        <v>1680</v>
      </c>
      <c r="G541">
        <v>5</v>
      </c>
      <c r="H541">
        <v>2</v>
      </c>
      <c r="I541">
        <v>2009</v>
      </c>
      <c r="J541">
        <v>1</v>
      </c>
      <c r="K541">
        <v>1</v>
      </c>
      <c r="L541">
        <v>0</v>
      </c>
      <c r="M541">
        <v>5</v>
      </c>
      <c r="N541" t="s">
        <v>41</v>
      </c>
      <c r="O541" t="s">
        <v>32</v>
      </c>
      <c r="P541">
        <v>8.0427720993800307</v>
      </c>
      <c r="Q541">
        <v>2.4848976586174998</v>
      </c>
      <c r="R541">
        <v>2.7228226919921301</v>
      </c>
      <c r="S541">
        <v>58</v>
      </c>
      <c r="T541">
        <v>39</v>
      </c>
      <c r="U541">
        <v>561.28928923602598</v>
      </c>
      <c r="V541">
        <v>2.97619047619047E-3</v>
      </c>
      <c r="W541">
        <v>1336881.4477995599</v>
      </c>
      <c r="X541" t="s">
        <v>43</v>
      </c>
      <c r="Y541">
        <f>1-774-215-7163</f>
        <v>-8151</v>
      </c>
    </row>
    <row r="542" spans="1:25" x14ac:dyDescent="0.35">
      <c r="A542">
        <v>35.0592882253951</v>
      </c>
      <c r="B542">
        <v>-120.994689974434</v>
      </c>
      <c r="C542" t="s">
        <v>34</v>
      </c>
      <c r="D542">
        <v>28.0309817541164</v>
      </c>
      <c r="E542">
        <v>8</v>
      </c>
      <c r="F542">
        <v>3674</v>
      </c>
      <c r="G542">
        <v>5</v>
      </c>
      <c r="H542">
        <v>1</v>
      </c>
      <c r="I542">
        <v>1995</v>
      </c>
      <c r="J542">
        <v>0</v>
      </c>
      <c r="K542">
        <v>1</v>
      </c>
      <c r="L542">
        <v>0</v>
      </c>
      <c r="M542">
        <v>13</v>
      </c>
      <c r="N542" t="s">
        <v>41</v>
      </c>
      <c r="O542" t="s">
        <v>27</v>
      </c>
      <c r="P542">
        <v>11.2934204957524</v>
      </c>
      <c r="Q542">
        <v>1.58974822512401</v>
      </c>
      <c r="R542">
        <v>2.7899864940133599</v>
      </c>
      <c r="S542">
        <v>20</v>
      </c>
      <c r="T542">
        <v>23</v>
      </c>
      <c r="U542">
        <v>728.96801618249299</v>
      </c>
      <c r="V542">
        <v>3.5383777898747898E-3</v>
      </c>
      <c r="W542">
        <v>3074163.9047494899</v>
      </c>
      <c r="X542" t="s">
        <v>33</v>
      </c>
      <c r="Y542">
        <f>1-661-749-3890</f>
        <v>-5299</v>
      </c>
    </row>
    <row r="543" spans="1:25" x14ac:dyDescent="0.35">
      <c r="A543">
        <v>34.912299808544901</v>
      </c>
      <c r="B543">
        <v>-119.104937020706</v>
      </c>
      <c r="C543" t="s">
        <v>34</v>
      </c>
      <c r="D543">
        <v>15.643259363356</v>
      </c>
      <c r="E543">
        <v>3</v>
      </c>
      <c r="F543">
        <v>4105</v>
      </c>
      <c r="G543">
        <v>5</v>
      </c>
      <c r="H543">
        <v>1</v>
      </c>
      <c r="I543">
        <v>1962</v>
      </c>
      <c r="J543">
        <v>1</v>
      </c>
      <c r="K543">
        <v>1</v>
      </c>
      <c r="L543">
        <v>1</v>
      </c>
      <c r="M543">
        <v>3</v>
      </c>
      <c r="N543" t="s">
        <v>35</v>
      </c>
      <c r="O543" t="s">
        <v>27</v>
      </c>
      <c r="P543">
        <v>14.924902418982599</v>
      </c>
      <c r="Q543">
        <v>2.3250609113801302</v>
      </c>
      <c r="R543">
        <v>7.6586714368612796</v>
      </c>
      <c r="S543">
        <v>177</v>
      </c>
      <c r="T543">
        <v>54</v>
      </c>
      <c r="U543">
        <v>547.620465083466</v>
      </c>
      <c r="V543">
        <v>7.3081607795371501E-4</v>
      </c>
      <c r="W543">
        <v>2777975.0654051802</v>
      </c>
      <c r="X543" t="s">
        <v>38</v>
      </c>
      <c r="Y543">
        <f>1-906-206-1336</f>
        <v>-2447</v>
      </c>
    </row>
    <row r="544" spans="1:25" x14ac:dyDescent="0.35">
      <c r="A544">
        <v>33.383472514050602</v>
      </c>
      <c r="B544">
        <v>-124.44213306633</v>
      </c>
      <c r="C544" t="s">
        <v>34</v>
      </c>
      <c r="D544">
        <v>39.341126335735801</v>
      </c>
      <c r="E544">
        <v>8</v>
      </c>
      <c r="F544">
        <v>4495</v>
      </c>
      <c r="G544">
        <v>3</v>
      </c>
      <c r="H544">
        <v>1</v>
      </c>
      <c r="I544">
        <v>1958</v>
      </c>
      <c r="J544">
        <v>0</v>
      </c>
      <c r="K544">
        <v>0</v>
      </c>
      <c r="L544">
        <v>0</v>
      </c>
      <c r="M544">
        <v>4</v>
      </c>
      <c r="N544" t="s">
        <v>41</v>
      </c>
      <c r="O544" t="s">
        <v>27</v>
      </c>
      <c r="P544">
        <v>6.7196693947401798</v>
      </c>
      <c r="Q544">
        <v>1.29319379892557</v>
      </c>
      <c r="R544">
        <v>5.4877651138420198</v>
      </c>
      <c r="S544">
        <v>23</v>
      </c>
      <c r="T544">
        <v>35</v>
      </c>
      <c r="U544">
        <v>992.780268491166</v>
      </c>
      <c r="V544">
        <v>8.8987764182424899E-4</v>
      </c>
      <c r="W544">
        <v>4605525.7819184698</v>
      </c>
      <c r="X544" t="s">
        <v>40</v>
      </c>
      <c r="Y544">
        <f>1-921-280-1013</f>
        <v>-2213</v>
      </c>
    </row>
    <row r="545" spans="1:25" x14ac:dyDescent="0.35">
      <c r="A545">
        <v>39.995857709559097</v>
      </c>
      <c r="B545">
        <v>-118.763683895018</v>
      </c>
      <c r="C545" t="s">
        <v>29</v>
      </c>
      <c r="D545">
        <v>47.990006738704203</v>
      </c>
      <c r="E545">
        <v>7</v>
      </c>
      <c r="F545">
        <v>867</v>
      </c>
      <c r="G545">
        <v>4</v>
      </c>
      <c r="H545">
        <v>2</v>
      </c>
      <c r="I545">
        <v>2009</v>
      </c>
      <c r="J545">
        <v>0</v>
      </c>
      <c r="K545">
        <v>0</v>
      </c>
      <c r="L545">
        <v>0</v>
      </c>
      <c r="M545">
        <v>8</v>
      </c>
      <c r="N545" t="s">
        <v>37</v>
      </c>
      <c r="O545" t="s">
        <v>32</v>
      </c>
      <c r="P545">
        <v>12.402024965448099</v>
      </c>
      <c r="Q545">
        <v>0.61109358999539798</v>
      </c>
      <c r="R545">
        <v>3.8252201833987698</v>
      </c>
      <c r="S545">
        <v>183</v>
      </c>
      <c r="T545">
        <v>28</v>
      </c>
      <c r="U545">
        <v>264.38798621711697</v>
      </c>
      <c r="V545">
        <v>9.22722029988466E-3</v>
      </c>
      <c r="W545">
        <v>463070.94238037203</v>
      </c>
      <c r="X545" t="s">
        <v>38</v>
      </c>
      <c r="Y545">
        <f>1-344-238-3784</f>
        <v>-4365</v>
      </c>
    </row>
    <row r="546" spans="1:25" x14ac:dyDescent="0.35">
      <c r="A546">
        <v>34.595964754790401</v>
      </c>
      <c r="B546">
        <v>-116.528867589342</v>
      </c>
      <c r="C546" t="s">
        <v>29</v>
      </c>
      <c r="D546">
        <v>16.703214257451499</v>
      </c>
      <c r="E546">
        <v>6</v>
      </c>
      <c r="F546">
        <v>1262</v>
      </c>
      <c r="G546">
        <v>4</v>
      </c>
      <c r="H546">
        <v>3</v>
      </c>
      <c r="I546">
        <v>1983</v>
      </c>
      <c r="J546">
        <v>1</v>
      </c>
      <c r="K546">
        <v>0</v>
      </c>
      <c r="L546">
        <v>0</v>
      </c>
      <c r="M546">
        <v>7</v>
      </c>
      <c r="N546" t="s">
        <v>35</v>
      </c>
      <c r="O546" t="s">
        <v>30</v>
      </c>
      <c r="P546">
        <v>12.751811919735401</v>
      </c>
      <c r="Q546">
        <v>0.97806485516258701</v>
      </c>
      <c r="R546">
        <v>1.9792827536306701</v>
      </c>
      <c r="S546">
        <v>185</v>
      </c>
      <c r="T546">
        <v>64</v>
      </c>
      <c r="U546">
        <v>735.47084806891598</v>
      </c>
      <c r="V546">
        <v>5.5467511885895398E-3</v>
      </c>
      <c r="W546">
        <v>1227937.1216575301</v>
      </c>
      <c r="X546" t="s">
        <v>44</v>
      </c>
      <c r="Y546">
        <f>1-240-955-5713</f>
        <v>-6907</v>
      </c>
    </row>
    <row r="547" spans="1:25" x14ac:dyDescent="0.35">
      <c r="A547">
        <v>37.7200263059229</v>
      </c>
      <c r="B547">
        <v>-119.558845324199</v>
      </c>
      <c r="C547" t="s">
        <v>25</v>
      </c>
      <c r="D547">
        <v>2.4275245129095202</v>
      </c>
      <c r="E547">
        <v>9</v>
      </c>
      <c r="F547">
        <v>3818</v>
      </c>
      <c r="G547">
        <v>3</v>
      </c>
      <c r="H547">
        <v>2</v>
      </c>
      <c r="I547">
        <v>2003</v>
      </c>
      <c r="J547">
        <v>0</v>
      </c>
      <c r="K547">
        <v>1</v>
      </c>
      <c r="L547">
        <v>0</v>
      </c>
      <c r="M547">
        <v>8</v>
      </c>
      <c r="N547" t="s">
        <v>26</v>
      </c>
      <c r="O547" t="s">
        <v>27</v>
      </c>
      <c r="P547">
        <v>14.7566295275023</v>
      </c>
      <c r="Q547">
        <v>1.6617719126247501</v>
      </c>
      <c r="R547">
        <v>3.4118584088367898</v>
      </c>
      <c r="S547">
        <v>88</v>
      </c>
      <c r="T547">
        <v>61</v>
      </c>
      <c r="U547">
        <v>236.616451335747</v>
      </c>
      <c r="V547">
        <v>2.0953378732320501E-3</v>
      </c>
      <c r="W547">
        <v>1312550.67649303</v>
      </c>
      <c r="X547" t="s">
        <v>36</v>
      </c>
      <c r="Y547">
        <f>1-350-580-9471</f>
        <v>-10400</v>
      </c>
    </row>
    <row r="548" spans="1:25" x14ac:dyDescent="0.35">
      <c r="A548">
        <v>33.081342917757702</v>
      </c>
      <c r="B548">
        <v>-118.764853647637</v>
      </c>
      <c r="C548" t="s">
        <v>29</v>
      </c>
      <c r="D548">
        <v>9.9413050721704508</v>
      </c>
      <c r="E548">
        <v>9</v>
      </c>
      <c r="F548">
        <v>611</v>
      </c>
      <c r="G548">
        <v>4</v>
      </c>
      <c r="H548">
        <v>2</v>
      </c>
      <c r="I548">
        <v>1996</v>
      </c>
      <c r="J548">
        <v>0</v>
      </c>
      <c r="K548">
        <v>1</v>
      </c>
      <c r="L548">
        <v>0</v>
      </c>
      <c r="M548">
        <v>14</v>
      </c>
      <c r="N548" t="s">
        <v>26</v>
      </c>
      <c r="O548" t="s">
        <v>32</v>
      </c>
      <c r="P548">
        <v>9.7464821774781694</v>
      </c>
      <c r="Q548">
        <v>0.77427129880617396</v>
      </c>
      <c r="R548">
        <v>6.0266767164466701</v>
      </c>
      <c r="S548">
        <v>160</v>
      </c>
      <c r="T548">
        <v>78</v>
      </c>
      <c r="U548">
        <v>799.28372064697498</v>
      </c>
      <c r="V548">
        <v>2.2913256955810101E-2</v>
      </c>
      <c r="W548">
        <v>902060.86661519704</v>
      </c>
      <c r="X548" t="s">
        <v>43</v>
      </c>
      <c r="Y548">
        <f>1-914-117-8349</f>
        <v>-9379</v>
      </c>
    </row>
    <row r="549" spans="1:25" x14ac:dyDescent="0.35">
      <c r="A549">
        <v>36.159715707981903</v>
      </c>
      <c r="B549">
        <v>-123.61843009854201</v>
      </c>
      <c r="C549" t="s">
        <v>25</v>
      </c>
      <c r="D549">
        <v>37.880046540397203</v>
      </c>
      <c r="E549">
        <v>4</v>
      </c>
      <c r="F549">
        <v>933</v>
      </c>
      <c r="G549">
        <v>5</v>
      </c>
      <c r="H549">
        <v>2</v>
      </c>
      <c r="I549">
        <v>2014</v>
      </c>
      <c r="J549">
        <v>0</v>
      </c>
      <c r="K549">
        <v>0</v>
      </c>
      <c r="L549">
        <v>0</v>
      </c>
      <c r="M549">
        <v>9</v>
      </c>
      <c r="N549" t="s">
        <v>37</v>
      </c>
      <c r="O549" t="s">
        <v>27</v>
      </c>
      <c r="P549">
        <v>6.06998024229663</v>
      </c>
      <c r="Q549">
        <v>1.1973435437332201</v>
      </c>
      <c r="R549">
        <v>4.2084288160506604</v>
      </c>
      <c r="S549">
        <v>130</v>
      </c>
      <c r="T549">
        <v>46</v>
      </c>
      <c r="U549">
        <v>890.30466824324901</v>
      </c>
      <c r="V549">
        <v>9.6463022508038593E-3</v>
      </c>
      <c r="W549">
        <v>1208592.46606056</v>
      </c>
      <c r="X549" t="s">
        <v>33</v>
      </c>
      <c r="Y549">
        <f>1-752-403-1869</f>
        <v>-3023</v>
      </c>
    </row>
    <row r="550" spans="1:25" x14ac:dyDescent="0.35">
      <c r="A550">
        <v>35.416597267503498</v>
      </c>
      <c r="B550">
        <v>-118.23817620710901</v>
      </c>
      <c r="C550" t="s">
        <v>29</v>
      </c>
      <c r="D550">
        <v>40.842496271408599</v>
      </c>
      <c r="E550">
        <v>9</v>
      </c>
      <c r="F550">
        <v>1459</v>
      </c>
      <c r="G550">
        <v>4</v>
      </c>
      <c r="H550">
        <v>2</v>
      </c>
      <c r="I550">
        <v>1997</v>
      </c>
      <c r="J550">
        <v>0</v>
      </c>
      <c r="K550">
        <v>0</v>
      </c>
      <c r="L550">
        <v>1</v>
      </c>
      <c r="M550">
        <v>5</v>
      </c>
      <c r="N550" t="s">
        <v>35</v>
      </c>
      <c r="O550" t="s">
        <v>30</v>
      </c>
      <c r="P550">
        <v>11.776182742283</v>
      </c>
      <c r="Q550">
        <v>1.9023419674587601</v>
      </c>
      <c r="R550">
        <v>7.1129850131312402</v>
      </c>
      <c r="S550">
        <v>111</v>
      </c>
      <c r="T550">
        <v>49</v>
      </c>
      <c r="U550">
        <v>879.39762250436297</v>
      </c>
      <c r="V550">
        <v>3.42700479780671E-3</v>
      </c>
      <c r="W550">
        <v>1580414.2072761699</v>
      </c>
      <c r="X550" t="s">
        <v>44</v>
      </c>
      <c r="Y550">
        <f>1-415-821-3373</f>
        <v>-4608</v>
      </c>
    </row>
    <row r="551" spans="1:25" x14ac:dyDescent="0.35">
      <c r="A551">
        <v>36.5339091810973</v>
      </c>
      <c r="B551">
        <v>-116.530074987026</v>
      </c>
      <c r="C551" t="s">
        <v>25</v>
      </c>
      <c r="D551">
        <v>10.3638764204062</v>
      </c>
      <c r="E551">
        <v>8</v>
      </c>
      <c r="F551">
        <v>1230</v>
      </c>
      <c r="G551">
        <v>2</v>
      </c>
      <c r="H551">
        <v>2</v>
      </c>
      <c r="I551">
        <v>2020</v>
      </c>
      <c r="J551">
        <v>0</v>
      </c>
      <c r="K551">
        <v>1</v>
      </c>
      <c r="L551">
        <v>0</v>
      </c>
      <c r="M551">
        <v>11</v>
      </c>
      <c r="N551" t="s">
        <v>35</v>
      </c>
      <c r="O551" t="s">
        <v>32</v>
      </c>
      <c r="P551">
        <v>14.428863696752201</v>
      </c>
      <c r="Q551">
        <v>0.75487918014772404</v>
      </c>
      <c r="R551">
        <v>8.2744338591123192</v>
      </c>
      <c r="S551">
        <v>126</v>
      </c>
      <c r="T551">
        <v>64</v>
      </c>
      <c r="U551">
        <v>514.71397167989699</v>
      </c>
      <c r="V551">
        <v>8.9430894308943094E-3</v>
      </c>
      <c r="W551">
        <v>993593.51826077199</v>
      </c>
      <c r="X551" t="s">
        <v>42</v>
      </c>
      <c r="Y551">
        <f>1-247-287-7083</f>
        <v>-7616</v>
      </c>
    </row>
    <row r="552" spans="1:25" x14ac:dyDescent="0.35">
      <c r="A552">
        <v>33.994354524872399</v>
      </c>
      <c r="B552">
        <v>-121.258732096419</v>
      </c>
      <c r="C552" t="s">
        <v>29</v>
      </c>
      <c r="D552">
        <v>32.467665310493203</v>
      </c>
      <c r="E552">
        <v>8</v>
      </c>
      <c r="F552">
        <v>1984</v>
      </c>
      <c r="G552">
        <v>4</v>
      </c>
      <c r="H552">
        <v>1</v>
      </c>
      <c r="I552">
        <v>1957</v>
      </c>
      <c r="J552">
        <v>0</v>
      </c>
      <c r="K552">
        <v>0</v>
      </c>
      <c r="L552">
        <v>0</v>
      </c>
      <c r="M552">
        <v>13</v>
      </c>
      <c r="N552" t="s">
        <v>41</v>
      </c>
      <c r="O552" t="s">
        <v>27</v>
      </c>
      <c r="P552">
        <v>7.6517315042082501</v>
      </c>
      <c r="Q552">
        <v>1.04393206133234</v>
      </c>
      <c r="R552">
        <v>6.4441286643194404</v>
      </c>
      <c r="S552">
        <v>143</v>
      </c>
      <c r="T552">
        <v>67</v>
      </c>
      <c r="U552">
        <v>909.60478792956098</v>
      </c>
      <c r="V552">
        <v>6.5524193548387099E-3</v>
      </c>
      <c r="W552">
        <v>1984448.7969823901</v>
      </c>
      <c r="X552" t="s">
        <v>43</v>
      </c>
      <c r="Y552">
        <f>1-522-459-9104</f>
        <v>-10084</v>
      </c>
    </row>
    <row r="553" spans="1:25" x14ac:dyDescent="0.35">
      <c r="A553">
        <v>36.682921374571201</v>
      </c>
      <c r="B553">
        <v>-122.04163956937199</v>
      </c>
      <c r="C553" t="s">
        <v>34</v>
      </c>
      <c r="D553">
        <v>3.66338678974458</v>
      </c>
      <c r="E553">
        <v>1</v>
      </c>
      <c r="F553">
        <v>3823</v>
      </c>
      <c r="G553">
        <v>4</v>
      </c>
      <c r="H553">
        <v>2</v>
      </c>
      <c r="I553">
        <v>1998</v>
      </c>
      <c r="J553">
        <v>0</v>
      </c>
      <c r="K553">
        <v>0</v>
      </c>
      <c r="L553">
        <v>1</v>
      </c>
      <c r="M553">
        <v>10</v>
      </c>
      <c r="N553" t="s">
        <v>37</v>
      </c>
      <c r="O553" t="s">
        <v>30</v>
      </c>
      <c r="P553">
        <v>11.0637132599841</v>
      </c>
      <c r="Q553">
        <v>2.0414957874594699</v>
      </c>
      <c r="R553">
        <v>0.233213931961364</v>
      </c>
      <c r="S553">
        <v>188</v>
      </c>
      <c r="T553">
        <v>71</v>
      </c>
      <c r="U553">
        <v>267.54787018032602</v>
      </c>
      <c r="V553">
        <v>2.61574679571017E-3</v>
      </c>
      <c r="W553">
        <v>1306433.9343971999</v>
      </c>
      <c r="X553" t="s">
        <v>43</v>
      </c>
      <c r="Y553">
        <f>1-434-407-2052</f>
        <v>-2892</v>
      </c>
    </row>
    <row r="554" spans="1:25" x14ac:dyDescent="0.35">
      <c r="A554">
        <v>35.033264417244297</v>
      </c>
      <c r="B554">
        <v>-123.337539264998</v>
      </c>
      <c r="C554" t="s">
        <v>25</v>
      </c>
      <c r="D554">
        <v>32.331073726272301</v>
      </c>
      <c r="E554">
        <v>6</v>
      </c>
      <c r="F554">
        <v>4000</v>
      </c>
      <c r="G554">
        <v>5</v>
      </c>
      <c r="H554">
        <v>2</v>
      </c>
      <c r="I554">
        <v>1969</v>
      </c>
      <c r="J554">
        <v>1</v>
      </c>
      <c r="K554">
        <v>0</v>
      </c>
      <c r="L554">
        <v>1</v>
      </c>
      <c r="M554">
        <v>12</v>
      </c>
      <c r="N554" t="s">
        <v>35</v>
      </c>
      <c r="O554" t="s">
        <v>32</v>
      </c>
      <c r="P554">
        <v>7.3634524626618703</v>
      </c>
      <c r="Q554">
        <v>0.86023420531405304</v>
      </c>
      <c r="R554">
        <v>2.7246792214129698</v>
      </c>
      <c r="S554">
        <v>184</v>
      </c>
      <c r="T554">
        <v>63</v>
      </c>
      <c r="U554">
        <v>578.49726700789699</v>
      </c>
      <c r="V554">
        <v>3.0000000000000001E-3</v>
      </c>
      <c r="W554">
        <v>2712644.9881914202</v>
      </c>
      <c r="X554" t="s">
        <v>42</v>
      </c>
      <c r="Y554">
        <f>1-505-751-5349</f>
        <v>-6604</v>
      </c>
    </row>
    <row r="555" spans="1:25" x14ac:dyDescent="0.35">
      <c r="A555">
        <v>37.242385310903799</v>
      </c>
      <c r="B555">
        <v>-121.33792159977899</v>
      </c>
      <c r="C555" t="s">
        <v>25</v>
      </c>
      <c r="D555">
        <v>19.1071883800522</v>
      </c>
      <c r="E555">
        <v>8</v>
      </c>
      <c r="F555">
        <v>1127</v>
      </c>
      <c r="G555">
        <v>4</v>
      </c>
      <c r="H555">
        <v>2</v>
      </c>
      <c r="I555">
        <v>1998</v>
      </c>
      <c r="J555">
        <v>0</v>
      </c>
      <c r="K555">
        <v>1</v>
      </c>
      <c r="L555">
        <v>0</v>
      </c>
      <c r="M555">
        <v>14</v>
      </c>
      <c r="N555" t="s">
        <v>35</v>
      </c>
      <c r="O555" t="s">
        <v>30</v>
      </c>
      <c r="P555">
        <v>11.8221197844925</v>
      </c>
      <c r="Q555">
        <v>0.74690758179662198</v>
      </c>
      <c r="R555">
        <v>3.19221922886834</v>
      </c>
      <c r="S555">
        <v>99</v>
      </c>
      <c r="T555">
        <v>50</v>
      </c>
      <c r="U555">
        <v>508.71585693414801</v>
      </c>
      <c r="V555">
        <v>1.2422360248447201E-2</v>
      </c>
      <c r="W555">
        <v>1022231.19205345</v>
      </c>
      <c r="X555" t="s">
        <v>31</v>
      </c>
      <c r="Y555">
        <f>1-752-868-3183</f>
        <v>-4802</v>
      </c>
    </row>
    <row r="556" spans="1:25" x14ac:dyDescent="0.35">
      <c r="A556">
        <v>39.4135655535216</v>
      </c>
      <c r="B556">
        <v>-118.100582779166</v>
      </c>
      <c r="C556" t="s">
        <v>25</v>
      </c>
      <c r="D556">
        <v>29.726465597888399</v>
      </c>
      <c r="E556">
        <v>2</v>
      </c>
      <c r="F556">
        <v>2981</v>
      </c>
      <c r="G556">
        <v>5</v>
      </c>
      <c r="H556">
        <v>1</v>
      </c>
      <c r="I556">
        <v>2002</v>
      </c>
      <c r="J556">
        <v>0</v>
      </c>
      <c r="K556">
        <v>1</v>
      </c>
      <c r="L556">
        <v>1</v>
      </c>
      <c r="M556">
        <v>14</v>
      </c>
      <c r="N556" t="s">
        <v>41</v>
      </c>
      <c r="O556" t="s">
        <v>32</v>
      </c>
      <c r="P556">
        <v>4.0604105552535597</v>
      </c>
      <c r="Q556">
        <v>2.3535649835444299</v>
      </c>
      <c r="R556">
        <v>6.3564443295694897</v>
      </c>
      <c r="S556">
        <v>147</v>
      </c>
      <c r="T556">
        <v>30</v>
      </c>
      <c r="U556">
        <v>931.94893879837002</v>
      </c>
      <c r="V556">
        <v>4.69641060046964E-3</v>
      </c>
      <c r="W556">
        <v>3167547.3806626098</v>
      </c>
      <c r="X556" t="s">
        <v>44</v>
      </c>
      <c r="Y556">
        <f>1-752-472-1322</f>
        <v>-2545</v>
      </c>
    </row>
    <row r="557" spans="1:25" x14ac:dyDescent="0.35">
      <c r="A557">
        <v>37.439923927162802</v>
      </c>
      <c r="B557">
        <v>-118.142585617235</v>
      </c>
      <c r="C557" t="s">
        <v>25</v>
      </c>
      <c r="D557">
        <v>43.095072821584402</v>
      </c>
      <c r="E557">
        <v>2</v>
      </c>
      <c r="F557">
        <v>555</v>
      </c>
      <c r="G557">
        <v>2</v>
      </c>
      <c r="H557">
        <v>1</v>
      </c>
      <c r="I557">
        <v>1976</v>
      </c>
      <c r="J557">
        <v>0</v>
      </c>
      <c r="K557">
        <v>1</v>
      </c>
      <c r="L557">
        <v>1</v>
      </c>
      <c r="M557">
        <v>8</v>
      </c>
      <c r="N557" t="s">
        <v>26</v>
      </c>
      <c r="O557" t="s">
        <v>27</v>
      </c>
      <c r="P557">
        <v>8.2624091778805102</v>
      </c>
      <c r="Q557">
        <v>1.6282879960723899</v>
      </c>
      <c r="R557">
        <v>8.8052449186074494E-2</v>
      </c>
      <c r="S557">
        <v>189</v>
      </c>
      <c r="T557">
        <v>46</v>
      </c>
      <c r="U557">
        <v>652.51975174189499</v>
      </c>
      <c r="V557">
        <v>1.4414414414414401E-2</v>
      </c>
      <c r="W557">
        <v>641854.78998873103</v>
      </c>
      <c r="X557" t="s">
        <v>36</v>
      </c>
      <c r="Y557">
        <f>1-748-959-9087</f>
        <v>-10793</v>
      </c>
    </row>
    <row r="558" spans="1:25" x14ac:dyDescent="0.35">
      <c r="A558">
        <v>38.908370847856403</v>
      </c>
      <c r="B558">
        <v>-124.16447307177999</v>
      </c>
      <c r="C558" t="s">
        <v>29</v>
      </c>
      <c r="D558">
        <v>14.0701159566866</v>
      </c>
      <c r="E558">
        <v>7</v>
      </c>
      <c r="F558">
        <v>2164</v>
      </c>
      <c r="G558">
        <v>4</v>
      </c>
      <c r="H558">
        <v>3</v>
      </c>
      <c r="I558">
        <v>1996</v>
      </c>
      <c r="J558">
        <v>0</v>
      </c>
      <c r="K558">
        <v>0</v>
      </c>
      <c r="L558">
        <v>1</v>
      </c>
      <c r="M558">
        <v>4</v>
      </c>
      <c r="N558" t="s">
        <v>35</v>
      </c>
      <c r="O558" t="s">
        <v>27</v>
      </c>
      <c r="P558">
        <v>12.3274677003958</v>
      </c>
      <c r="Q558">
        <v>2.36934003605981</v>
      </c>
      <c r="R558">
        <v>7.0883597829168599</v>
      </c>
      <c r="S558">
        <v>181</v>
      </c>
      <c r="T558">
        <v>56</v>
      </c>
      <c r="U558">
        <v>952.36575576846201</v>
      </c>
      <c r="V558">
        <v>1.8484288354898299E-3</v>
      </c>
      <c r="W558">
        <v>2373074.0129424599</v>
      </c>
      <c r="X558" t="s">
        <v>43</v>
      </c>
      <c r="Y558">
        <f>1-404-288-8030</f>
        <v>-8721</v>
      </c>
    </row>
    <row r="559" spans="1:25" x14ac:dyDescent="0.35">
      <c r="A559">
        <v>39.855939363786803</v>
      </c>
      <c r="B559">
        <v>-114.289578629985</v>
      </c>
      <c r="C559" t="s">
        <v>29</v>
      </c>
      <c r="D559">
        <v>42.306878237900698</v>
      </c>
      <c r="E559">
        <v>9</v>
      </c>
      <c r="F559">
        <v>3264</v>
      </c>
      <c r="G559">
        <v>3</v>
      </c>
      <c r="H559">
        <v>2</v>
      </c>
      <c r="I559">
        <v>1980</v>
      </c>
      <c r="J559">
        <v>0</v>
      </c>
      <c r="K559">
        <v>0</v>
      </c>
      <c r="L559">
        <v>0</v>
      </c>
      <c r="M559">
        <v>8</v>
      </c>
      <c r="N559" t="s">
        <v>35</v>
      </c>
      <c r="O559" t="s">
        <v>27</v>
      </c>
      <c r="P559">
        <v>11.9165624124481</v>
      </c>
      <c r="Q559">
        <v>1.6435582565984499</v>
      </c>
      <c r="R559">
        <v>6.8674040719127998</v>
      </c>
      <c r="S559">
        <v>155</v>
      </c>
      <c r="T559">
        <v>30</v>
      </c>
      <c r="U559">
        <v>286.28498538683601</v>
      </c>
      <c r="V559">
        <v>2.4509803921568601E-3</v>
      </c>
      <c r="W559">
        <v>1180154.46609181</v>
      </c>
      <c r="X559" t="s">
        <v>42</v>
      </c>
      <c r="Y559">
        <f>1-669-886-6681</f>
        <v>-8235</v>
      </c>
    </row>
    <row r="560" spans="1:25" x14ac:dyDescent="0.35">
      <c r="A560">
        <v>40.323400314089099</v>
      </c>
      <c r="B560">
        <v>-122.74475283380301</v>
      </c>
      <c r="C560" t="s">
        <v>34</v>
      </c>
      <c r="D560">
        <v>6.3273717887301197</v>
      </c>
      <c r="E560">
        <v>4</v>
      </c>
      <c r="F560">
        <v>649</v>
      </c>
      <c r="G560">
        <v>2</v>
      </c>
      <c r="H560">
        <v>1</v>
      </c>
      <c r="I560">
        <v>1972</v>
      </c>
      <c r="J560">
        <v>1</v>
      </c>
      <c r="K560">
        <v>0</v>
      </c>
      <c r="L560">
        <v>1</v>
      </c>
      <c r="M560">
        <v>9</v>
      </c>
      <c r="N560" t="s">
        <v>35</v>
      </c>
      <c r="O560" t="s">
        <v>30</v>
      </c>
      <c r="P560">
        <v>14.7632465517045</v>
      </c>
      <c r="Q560">
        <v>0.75198706973350005</v>
      </c>
      <c r="R560">
        <v>3.5981311423481399</v>
      </c>
      <c r="S560">
        <v>183</v>
      </c>
      <c r="T560">
        <v>35</v>
      </c>
      <c r="U560">
        <v>678.03348898331899</v>
      </c>
      <c r="V560">
        <v>1.3867488443759599E-2</v>
      </c>
      <c r="W560">
        <v>674291.67415573797</v>
      </c>
      <c r="X560" t="s">
        <v>39</v>
      </c>
      <c r="Y560">
        <f>1-209-548-5126</f>
        <v>-5882</v>
      </c>
    </row>
    <row r="561" spans="1:25" x14ac:dyDescent="0.35">
      <c r="A561">
        <v>41.199291240215899</v>
      </c>
      <c r="B561">
        <v>-121.703378695438</v>
      </c>
      <c r="C561" t="s">
        <v>29</v>
      </c>
      <c r="D561">
        <v>29.234617273867499</v>
      </c>
      <c r="E561">
        <v>2</v>
      </c>
      <c r="F561">
        <v>3560</v>
      </c>
      <c r="G561">
        <v>2</v>
      </c>
      <c r="H561">
        <v>3</v>
      </c>
      <c r="I561">
        <v>2007</v>
      </c>
      <c r="J561">
        <v>1</v>
      </c>
      <c r="K561">
        <v>1</v>
      </c>
      <c r="L561">
        <v>1</v>
      </c>
      <c r="M561">
        <v>9</v>
      </c>
      <c r="N561" t="s">
        <v>37</v>
      </c>
      <c r="O561" t="s">
        <v>32</v>
      </c>
      <c r="P561">
        <v>3.62406976811508</v>
      </c>
      <c r="Q561">
        <v>1.72818605567888</v>
      </c>
      <c r="R561">
        <v>3.6705596602220001</v>
      </c>
      <c r="S561">
        <v>86</v>
      </c>
      <c r="T561">
        <v>25</v>
      </c>
      <c r="U561">
        <v>934.92954400378403</v>
      </c>
      <c r="V561">
        <v>2.5280898876404402E-3</v>
      </c>
      <c r="W561">
        <v>3609614.0339751299</v>
      </c>
      <c r="X561" t="s">
        <v>36</v>
      </c>
      <c r="Y561">
        <f>1-294-609-4764</f>
        <v>-5666</v>
      </c>
    </row>
    <row r="562" spans="1:25" x14ac:dyDescent="0.35">
      <c r="A562">
        <v>41.587525452452397</v>
      </c>
      <c r="B562">
        <v>-121.231942910516</v>
      </c>
      <c r="C562" t="s">
        <v>29</v>
      </c>
      <c r="D562">
        <v>6.8824694813067602</v>
      </c>
      <c r="E562">
        <v>5</v>
      </c>
      <c r="F562">
        <v>2125</v>
      </c>
      <c r="G562">
        <v>4</v>
      </c>
      <c r="H562">
        <v>2</v>
      </c>
      <c r="I562">
        <v>1966</v>
      </c>
      <c r="J562">
        <v>1</v>
      </c>
      <c r="K562">
        <v>0</v>
      </c>
      <c r="L562">
        <v>1</v>
      </c>
      <c r="M562">
        <v>6</v>
      </c>
      <c r="N562" t="s">
        <v>26</v>
      </c>
      <c r="O562" t="s">
        <v>30</v>
      </c>
      <c r="P562">
        <v>5.6983254810067301</v>
      </c>
      <c r="Q562">
        <v>0.50377966747005698</v>
      </c>
      <c r="R562">
        <v>2.5527916301772602</v>
      </c>
      <c r="S562">
        <v>78</v>
      </c>
      <c r="T562">
        <v>35</v>
      </c>
      <c r="U562">
        <v>424.07466801347402</v>
      </c>
      <c r="V562">
        <v>2.8235294117647E-3</v>
      </c>
      <c r="W562">
        <v>1228467.2435441799</v>
      </c>
      <c r="X562" t="s">
        <v>40</v>
      </c>
      <c r="Y562">
        <f>1-535-403-5510</f>
        <v>-6447</v>
      </c>
    </row>
    <row r="563" spans="1:25" x14ac:dyDescent="0.35">
      <c r="A563">
        <v>39.828056695347001</v>
      </c>
      <c r="B563">
        <v>-119.285328639261</v>
      </c>
      <c r="C563" t="s">
        <v>25</v>
      </c>
      <c r="D563">
        <v>32.7472027019042</v>
      </c>
      <c r="E563">
        <v>5</v>
      </c>
      <c r="F563">
        <v>2729</v>
      </c>
      <c r="G563">
        <v>4</v>
      </c>
      <c r="H563">
        <v>2</v>
      </c>
      <c r="I563">
        <v>2007</v>
      </c>
      <c r="J563">
        <v>0</v>
      </c>
      <c r="K563">
        <v>1</v>
      </c>
      <c r="L563">
        <v>1</v>
      </c>
      <c r="M563">
        <v>8</v>
      </c>
      <c r="N563" t="s">
        <v>37</v>
      </c>
      <c r="O563" t="s">
        <v>30</v>
      </c>
      <c r="P563">
        <v>2.3917987820314499</v>
      </c>
      <c r="Q563">
        <v>0.65853005214668903</v>
      </c>
      <c r="R563">
        <v>6.0912566286435199</v>
      </c>
      <c r="S563">
        <v>91</v>
      </c>
      <c r="T563">
        <v>33</v>
      </c>
      <c r="U563">
        <v>239.38855893536001</v>
      </c>
      <c r="V563">
        <v>2.9314767314034401E-3</v>
      </c>
      <c r="W563">
        <v>1003681.2383221</v>
      </c>
      <c r="X563" t="s">
        <v>28</v>
      </c>
      <c r="Y563">
        <f>1-426-470-5500</f>
        <v>-6395</v>
      </c>
    </row>
    <row r="564" spans="1:25" x14ac:dyDescent="0.35">
      <c r="A564">
        <v>33.5279399360235</v>
      </c>
      <c r="B564">
        <v>-115.45296579714601</v>
      </c>
      <c r="C564" t="s">
        <v>29</v>
      </c>
      <c r="D564">
        <v>5.61155073980773</v>
      </c>
      <c r="E564">
        <v>4</v>
      </c>
      <c r="F564">
        <v>2401</v>
      </c>
      <c r="G564">
        <v>4</v>
      </c>
      <c r="H564">
        <v>2</v>
      </c>
      <c r="I564">
        <v>2010</v>
      </c>
      <c r="J564">
        <v>0</v>
      </c>
      <c r="K564">
        <v>1</v>
      </c>
      <c r="L564">
        <v>1</v>
      </c>
      <c r="M564">
        <v>3</v>
      </c>
      <c r="N564" t="s">
        <v>35</v>
      </c>
      <c r="O564" t="s">
        <v>27</v>
      </c>
      <c r="P564">
        <v>7.4542920245164197</v>
      </c>
      <c r="Q564">
        <v>0.819868415263593</v>
      </c>
      <c r="R564">
        <v>5.0338426324821004</v>
      </c>
      <c r="S564">
        <v>81</v>
      </c>
      <c r="T564">
        <v>26</v>
      </c>
      <c r="U564">
        <v>400.23600923981502</v>
      </c>
      <c r="V564">
        <v>1.24947938359017E-3</v>
      </c>
      <c r="W564">
        <v>1348701.2907288701</v>
      </c>
      <c r="X564" t="s">
        <v>28</v>
      </c>
      <c r="Y564">
        <f>1-438-362-8944</f>
        <v>-9743</v>
      </c>
    </row>
    <row r="565" spans="1:25" x14ac:dyDescent="0.35">
      <c r="A565">
        <v>37.639696174601802</v>
      </c>
      <c r="B565">
        <v>-116.44586482408999</v>
      </c>
      <c r="C565" t="s">
        <v>29</v>
      </c>
      <c r="D565">
        <v>36.183428663555198</v>
      </c>
      <c r="E565">
        <v>6</v>
      </c>
      <c r="F565">
        <v>2772</v>
      </c>
      <c r="G565">
        <v>1</v>
      </c>
      <c r="H565">
        <v>3</v>
      </c>
      <c r="I565">
        <v>1980</v>
      </c>
      <c r="J565">
        <v>1</v>
      </c>
      <c r="K565">
        <v>1</v>
      </c>
      <c r="L565">
        <v>0</v>
      </c>
      <c r="M565">
        <v>10</v>
      </c>
      <c r="N565" t="s">
        <v>41</v>
      </c>
      <c r="O565" t="s">
        <v>27</v>
      </c>
      <c r="P565">
        <v>13.8213471502137</v>
      </c>
      <c r="Q565">
        <v>2.30155067234235</v>
      </c>
      <c r="R565">
        <v>1.91570025819749</v>
      </c>
      <c r="S565">
        <v>36</v>
      </c>
      <c r="T565">
        <v>54</v>
      </c>
      <c r="U565">
        <v>527.51166326855298</v>
      </c>
      <c r="V565">
        <v>3.6075036075036001E-3</v>
      </c>
      <c r="W565">
        <v>1842657.3885669101</v>
      </c>
      <c r="X565" t="s">
        <v>31</v>
      </c>
      <c r="Y565">
        <f>1-282-687-9206</f>
        <v>-10174</v>
      </c>
    </row>
    <row r="566" spans="1:25" x14ac:dyDescent="0.35">
      <c r="A566">
        <v>40.766945190263002</v>
      </c>
      <c r="B566">
        <v>-123.43046411181101</v>
      </c>
      <c r="C566" t="s">
        <v>34</v>
      </c>
      <c r="D566">
        <v>34.804020659871803</v>
      </c>
      <c r="E566">
        <v>3</v>
      </c>
      <c r="F566">
        <v>559</v>
      </c>
      <c r="G566">
        <v>3</v>
      </c>
      <c r="H566">
        <v>2</v>
      </c>
      <c r="I566">
        <v>2003</v>
      </c>
      <c r="J566">
        <v>0</v>
      </c>
      <c r="K566">
        <v>0</v>
      </c>
      <c r="L566">
        <v>0</v>
      </c>
      <c r="M566">
        <v>11</v>
      </c>
      <c r="N566" t="s">
        <v>37</v>
      </c>
      <c r="O566" t="s">
        <v>30</v>
      </c>
      <c r="P566">
        <v>10.7228087762395</v>
      </c>
      <c r="Q566">
        <v>2.03922106654377</v>
      </c>
      <c r="R566">
        <v>8.8678878105097407</v>
      </c>
      <c r="S566">
        <v>82</v>
      </c>
      <c r="T566">
        <v>33</v>
      </c>
      <c r="U566">
        <v>981.63098164954897</v>
      </c>
      <c r="V566">
        <v>1.96779964221824E-2</v>
      </c>
      <c r="W566">
        <v>813919.87802967301</v>
      </c>
      <c r="X566" t="s">
        <v>33</v>
      </c>
      <c r="Y566">
        <f>1-475-171-8607</f>
        <v>-9252</v>
      </c>
    </row>
    <row r="567" spans="1:25" x14ac:dyDescent="0.35">
      <c r="A567">
        <v>41.344317433700297</v>
      </c>
      <c r="B567">
        <v>-118.183739466682</v>
      </c>
      <c r="C567" t="s">
        <v>25</v>
      </c>
      <c r="D567">
        <v>28.098331632741299</v>
      </c>
      <c r="E567">
        <v>7</v>
      </c>
      <c r="F567">
        <v>2829</v>
      </c>
      <c r="G567">
        <v>1</v>
      </c>
      <c r="H567">
        <v>2</v>
      </c>
      <c r="I567">
        <v>2008</v>
      </c>
      <c r="J567">
        <v>0</v>
      </c>
      <c r="K567">
        <v>1</v>
      </c>
      <c r="L567">
        <v>1</v>
      </c>
      <c r="M567">
        <v>8</v>
      </c>
      <c r="N567" t="s">
        <v>35</v>
      </c>
      <c r="O567" t="s">
        <v>27</v>
      </c>
      <c r="P567">
        <v>12.3338156942296</v>
      </c>
      <c r="Q567">
        <v>1.12974020397609</v>
      </c>
      <c r="R567">
        <v>6.4119609221868501</v>
      </c>
      <c r="S567">
        <v>60</v>
      </c>
      <c r="T567">
        <v>25</v>
      </c>
      <c r="U567">
        <v>335.55902665407899</v>
      </c>
      <c r="V567">
        <v>2.8278543655001699E-3</v>
      </c>
      <c r="W567">
        <v>1309126.80733953</v>
      </c>
      <c r="X567" t="s">
        <v>42</v>
      </c>
      <c r="Y567">
        <f>1-894-905-1903</f>
        <v>-3701</v>
      </c>
    </row>
    <row r="568" spans="1:25" x14ac:dyDescent="0.35">
      <c r="A568">
        <v>40.760258406922702</v>
      </c>
      <c r="B568">
        <v>-115.979716933896</v>
      </c>
      <c r="C568" t="s">
        <v>29</v>
      </c>
      <c r="D568">
        <v>1.02112923213254</v>
      </c>
      <c r="E568">
        <v>3</v>
      </c>
      <c r="F568">
        <v>4312</v>
      </c>
      <c r="G568">
        <v>3</v>
      </c>
      <c r="H568">
        <v>3</v>
      </c>
      <c r="I568">
        <v>1991</v>
      </c>
      <c r="J568">
        <v>0</v>
      </c>
      <c r="K568">
        <v>0</v>
      </c>
      <c r="L568">
        <v>1</v>
      </c>
      <c r="M568">
        <v>9</v>
      </c>
      <c r="N568" t="s">
        <v>35</v>
      </c>
      <c r="O568" t="s">
        <v>27</v>
      </c>
      <c r="P568">
        <v>14.027846331201101</v>
      </c>
      <c r="Q568">
        <v>2.4470831873105001</v>
      </c>
      <c r="R568">
        <v>8.2834738900206109</v>
      </c>
      <c r="S568">
        <v>162</v>
      </c>
      <c r="T568">
        <v>37</v>
      </c>
      <c r="U568">
        <v>221.720679480098</v>
      </c>
      <c r="V568">
        <v>2.08719851576994E-3</v>
      </c>
      <c r="W568">
        <v>1221136.9732325401</v>
      </c>
      <c r="X568" t="s">
        <v>38</v>
      </c>
      <c r="Y568">
        <f>1-809-328-6477</f>
        <v>-7613</v>
      </c>
    </row>
    <row r="569" spans="1:25" x14ac:dyDescent="0.35">
      <c r="A569">
        <v>36.533301361551402</v>
      </c>
      <c r="B569">
        <v>-115.13893760366599</v>
      </c>
      <c r="C569" t="s">
        <v>34</v>
      </c>
      <c r="D569">
        <v>37.4997074981165</v>
      </c>
      <c r="E569">
        <v>8</v>
      </c>
      <c r="F569">
        <v>1865</v>
      </c>
      <c r="G569">
        <v>5</v>
      </c>
      <c r="H569">
        <v>3</v>
      </c>
      <c r="I569">
        <v>1986</v>
      </c>
      <c r="J569">
        <v>0</v>
      </c>
      <c r="K569">
        <v>1</v>
      </c>
      <c r="L569">
        <v>1</v>
      </c>
      <c r="M569">
        <v>11</v>
      </c>
      <c r="N569" t="s">
        <v>35</v>
      </c>
      <c r="O569" t="s">
        <v>30</v>
      </c>
      <c r="P569">
        <v>10.056174664940899</v>
      </c>
      <c r="Q569">
        <v>0.84506767113798698</v>
      </c>
      <c r="R569">
        <v>5.8393942432733299</v>
      </c>
      <c r="S569">
        <v>23</v>
      </c>
      <c r="T569">
        <v>63</v>
      </c>
      <c r="U569">
        <v>908.31721430344601</v>
      </c>
      <c r="V569">
        <v>5.8981233243967802E-3</v>
      </c>
      <c r="W569">
        <v>2184202.8224514299</v>
      </c>
      <c r="X569" t="s">
        <v>33</v>
      </c>
      <c r="Y569">
        <f>1-852-776-6990</f>
        <v>-8617</v>
      </c>
    </row>
    <row r="570" spans="1:25" x14ac:dyDescent="0.35">
      <c r="A570">
        <v>39.884723578585003</v>
      </c>
      <c r="B570">
        <v>-123.657165119928</v>
      </c>
      <c r="C570" t="s">
        <v>25</v>
      </c>
      <c r="D570">
        <v>28.866921791038202</v>
      </c>
      <c r="E570">
        <v>2</v>
      </c>
      <c r="F570">
        <v>4098</v>
      </c>
      <c r="G570">
        <v>2</v>
      </c>
      <c r="H570">
        <v>3</v>
      </c>
      <c r="I570">
        <v>2013</v>
      </c>
      <c r="J570">
        <v>1</v>
      </c>
      <c r="K570">
        <v>1</v>
      </c>
      <c r="L570">
        <v>1</v>
      </c>
      <c r="M570">
        <v>2</v>
      </c>
      <c r="N570" t="s">
        <v>26</v>
      </c>
      <c r="O570" t="s">
        <v>27</v>
      </c>
      <c r="P570">
        <v>7.0463496085844302</v>
      </c>
      <c r="Q570">
        <v>0.71480839115281902</v>
      </c>
      <c r="R570">
        <v>6.89634737298773</v>
      </c>
      <c r="S570">
        <v>95</v>
      </c>
      <c r="T570">
        <v>76</v>
      </c>
      <c r="U570">
        <v>375.84833210900899</v>
      </c>
      <c r="V570">
        <v>4.88042947779404E-4</v>
      </c>
      <c r="W570">
        <v>1955070.6074806</v>
      </c>
      <c r="X570" t="s">
        <v>33</v>
      </c>
      <c r="Y570">
        <f>1-659-684-2988</f>
        <v>-4330</v>
      </c>
    </row>
    <row r="571" spans="1:25" x14ac:dyDescent="0.35">
      <c r="A571">
        <v>37.4758574065659</v>
      </c>
      <c r="B571">
        <v>-119.279574184558</v>
      </c>
      <c r="C571" t="s">
        <v>29</v>
      </c>
      <c r="D571">
        <v>27.841206260499799</v>
      </c>
      <c r="E571">
        <v>4</v>
      </c>
      <c r="F571">
        <v>3027</v>
      </c>
      <c r="G571">
        <v>3</v>
      </c>
      <c r="H571">
        <v>1</v>
      </c>
      <c r="I571">
        <v>2019</v>
      </c>
      <c r="J571">
        <v>0</v>
      </c>
      <c r="K571">
        <v>0</v>
      </c>
      <c r="L571">
        <v>1</v>
      </c>
      <c r="M571">
        <v>8</v>
      </c>
      <c r="N571" t="s">
        <v>41</v>
      </c>
      <c r="O571" t="s">
        <v>32</v>
      </c>
      <c r="P571">
        <v>11.1571155323656</v>
      </c>
      <c r="Q571">
        <v>1.5359434261771701</v>
      </c>
      <c r="R571">
        <v>8.4386097278236107</v>
      </c>
      <c r="S571">
        <v>148</v>
      </c>
      <c r="T571">
        <v>63</v>
      </c>
      <c r="U571">
        <v>934.70785887007196</v>
      </c>
      <c r="V571">
        <v>2.6428807400066001E-3</v>
      </c>
      <c r="W571">
        <v>3050365.2173657101</v>
      </c>
      <c r="X571" t="s">
        <v>39</v>
      </c>
      <c r="Y571">
        <f>1-798-726-5411</f>
        <v>-6934</v>
      </c>
    </row>
    <row r="572" spans="1:25" x14ac:dyDescent="0.35">
      <c r="A572">
        <v>40.373806535000803</v>
      </c>
      <c r="B572">
        <v>-120.47459286082599</v>
      </c>
      <c r="C572" t="s">
        <v>29</v>
      </c>
      <c r="D572">
        <v>3.2609227208709899</v>
      </c>
      <c r="E572">
        <v>4</v>
      </c>
      <c r="F572">
        <v>3908</v>
      </c>
      <c r="G572">
        <v>3</v>
      </c>
      <c r="H572">
        <v>3</v>
      </c>
      <c r="I572">
        <v>1993</v>
      </c>
      <c r="J572">
        <v>1</v>
      </c>
      <c r="K572">
        <v>0</v>
      </c>
      <c r="L572">
        <v>0</v>
      </c>
      <c r="M572">
        <v>10</v>
      </c>
      <c r="N572" t="s">
        <v>41</v>
      </c>
      <c r="O572" t="s">
        <v>30</v>
      </c>
      <c r="P572">
        <v>14.886500370966299</v>
      </c>
      <c r="Q572">
        <v>2.23540551106962</v>
      </c>
      <c r="R572">
        <v>2.8473659139184901</v>
      </c>
      <c r="S572">
        <v>159</v>
      </c>
      <c r="T572">
        <v>65</v>
      </c>
      <c r="U572">
        <v>556.43259403419097</v>
      </c>
      <c r="V572">
        <v>2.5588536335721598E-3</v>
      </c>
      <c r="W572">
        <v>2462990.8097858401</v>
      </c>
      <c r="X572" t="s">
        <v>38</v>
      </c>
      <c r="Y572">
        <f>1-535-420-2417</f>
        <v>-3371</v>
      </c>
    </row>
    <row r="573" spans="1:25" x14ac:dyDescent="0.35">
      <c r="A573">
        <v>34.610186805531796</v>
      </c>
      <c r="B573">
        <v>-122.147715577201</v>
      </c>
      <c r="C573" t="s">
        <v>25</v>
      </c>
      <c r="D573">
        <v>9.0943641338123005</v>
      </c>
      <c r="E573">
        <v>2</v>
      </c>
      <c r="F573">
        <v>1859</v>
      </c>
      <c r="G573">
        <v>1</v>
      </c>
      <c r="H573">
        <v>2</v>
      </c>
      <c r="I573">
        <v>1967</v>
      </c>
      <c r="J573">
        <v>1</v>
      </c>
      <c r="K573">
        <v>0</v>
      </c>
      <c r="L573">
        <v>1</v>
      </c>
      <c r="M573">
        <v>12</v>
      </c>
      <c r="N573" t="s">
        <v>26</v>
      </c>
      <c r="O573" t="s">
        <v>32</v>
      </c>
      <c r="P573">
        <v>14.6864186933027</v>
      </c>
      <c r="Q573">
        <v>2.2389385189126898</v>
      </c>
      <c r="R573">
        <v>8.6077646029842594</v>
      </c>
      <c r="S573">
        <v>184</v>
      </c>
      <c r="T573">
        <v>20</v>
      </c>
      <c r="U573">
        <v>908.18475056096599</v>
      </c>
      <c r="V573">
        <v>6.4550833781603003E-3</v>
      </c>
      <c r="W573">
        <v>1860983.2977626501</v>
      </c>
      <c r="X573" t="s">
        <v>43</v>
      </c>
      <c r="Y573">
        <f>1-272-232-2021</f>
        <v>-2524</v>
      </c>
    </row>
    <row r="574" spans="1:25" x14ac:dyDescent="0.35">
      <c r="A574">
        <v>38.8564561623282</v>
      </c>
      <c r="B574">
        <v>-115.845920376886</v>
      </c>
      <c r="C574" t="s">
        <v>34</v>
      </c>
      <c r="D574">
        <v>13.6021215811885</v>
      </c>
      <c r="E574">
        <v>5</v>
      </c>
      <c r="F574">
        <v>612</v>
      </c>
      <c r="G574">
        <v>1</v>
      </c>
      <c r="H574">
        <v>2</v>
      </c>
      <c r="I574">
        <v>2017</v>
      </c>
      <c r="J574">
        <v>1</v>
      </c>
      <c r="K574">
        <v>1</v>
      </c>
      <c r="L574">
        <v>0</v>
      </c>
      <c r="M574">
        <v>9</v>
      </c>
      <c r="N574" t="s">
        <v>35</v>
      </c>
      <c r="O574" t="s">
        <v>27</v>
      </c>
      <c r="P574">
        <v>7.83676373691286</v>
      </c>
      <c r="Q574">
        <v>1.65266063109197</v>
      </c>
      <c r="R574">
        <v>5.3672733555573204</v>
      </c>
      <c r="S574">
        <v>26</v>
      </c>
      <c r="T574">
        <v>54</v>
      </c>
      <c r="U574">
        <v>889.12148025957401</v>
      </c>
      <c r="V574">
        <v>1.47058823529411E-2</v>
      </c>
      <c r="W574">
        <v>954587.05010646</v>
      </c>
      <c r="X574" t="s">
        <v>38</v>
      </c>
      <c r="Y574">
        <f>1-322-928-1523</f>
        <v>-2772</v>
      </c>
    </row>
    <row r="575" spans="1:25" x14ac:dyDescent="0.35">
      <c r="A575">
        <v>40.070368717243497</v>
      </c>
      <c r="B575">
        <v>-123.194125167029</v>
      </c>
      <c r="C575" t="s">
        <v>25</v>
      </c>
      <c r="D575">
        <v>31.328629202525999</v>
      </c>
      <c r="E575">
        <v>0</v>
      </c>
      <c r="F575">
        <v>4267</v>
      </c>
      <c r="G575">
        <v>1</v>
      </c>
      <c r="H575">
        <v>1</v>
      </c>
      <c r="I575">
        <v>1979</v>
      </c>
      <c r="J575">
        <v>0</v>
      </c>
      <c r="K575">
        <v>0</v>
      </c>
      <c r="L575">
        <v>0</v>
      </c>
      <c r="M575">
        <v>8</v>
      </c>
      <c r="N575" t="s">
        <v>26</v>
      </c>
      <c r="O575" t="s">
        <v>27</v>
      </c>
      <c r="P575">
        <v>11.590376846740099</v>
      </c>
      <c r="Q575">
        <v>0.80653044112183703</v>
      </c>
      <c r="R575">
        <v>3.79321234430572</v>
      </c>
      <c r="S575">
        <v>140</v>
      </c>
      <c r="T575">
        <v>71</v>
      </c>
      <c r="U575">
        <v>666.30925487291597</v>
      </c>
      <c r="V575">
        <v>1.87485352706819E-3</v>
      </c>
      <c r="W575">
        <v>2866071.5164411901</v>
      </c>
      <c r="X575" t="s">
        <v>38</v>
      </c>
      <c r="Y575">
        <f>1-799-359-4422</f>
        <v>-5579</v>
      </c>
    </row>
    <row r="576" spans="1:25" x14ac:dyDescent="0.35">
      <c r="A576">
        <v>36.932809425279402</v>
      </c>
      <c r="B576">
        <v>-117.235877292827</v>
      </c>
      <c r="C576" t="s">
        <v>29</v>
      </c>
      <c r="D576">
        <v>21.2578492511993</v>
      </c>
      <c r="E576">
        <v>6</v>
      </c>
      <c r="F576">
        <v>1665</v>
      </c>
      <c r="G576">
        <v>4</v>
      </c>
      <c r="H576">
        <v>3</v>
      </c>
      <c r="I576">
        <v>1952</v>
      </c>
      <c r="J576">
        <v>0</v>
      </c>
      <c r="K576">
        <v>0</v>
      </c>
      <c r="L576">
        <v>1</v>
      </c>
      <c r="M576">
        <v>2</v>
      </c>
      <c r="N576" t="s">
        <v>37</v>
      </c>
      <c r="O576" t="s">
        <v>27</v>
      </c>
      <c r="P576">
        <v>5.8815530801776497</v>
      </c>
      <c r="Q576">
        <v>1.4961830044795801</v>
      </c>
      <c r="R576">
        <v>4.4435513492426599</v>
      </c>
      <c r="S576">
        <v>104</v>
      </c>
      <c r="T576">
        <v>57</v>
      </c>
      <c r="U576">
        <v>484.77015609206001</v>
      </c>
      <c r="V576">
        <v>1.2012012012012001E-3</v>
      </c>
      <c r="W576">
        <v>982300.05443355895</v>
      </c>
      <c r="X576" t="s">
        <v>39</v>
      </c>
      <c r="Y576">
        <f>1-435-297-9027</f>
        <v>-9758</v>
      </c>
    </row>
    <row r="577" spans="1:25" x14ac:dyDescent="0.35">
      <c r="A577">
        <v>35.829196247027802</v>
      </c>
      <c r="B577">
        <v>-121.225971649415</v>
      </c>
      <c r="C577" t="s">
        <v>25</v>
      </c>
      <c r="D577">
        <v>46.564179672064903</v>
      </c>
      <c r="E577">
        <v>0</v>
      </c>
      <c r="F577">
        <v>3639</v>
      </c>
      <c r="G577">
        <v>1</v>
      </c>
      <c r="H577">
        <v>3</v>
      </c>
      <c r="I577">
        <v>1996</v>
      </c>
      <c r="J577">
        <v>0</v>
      </c>
      <c r="K577">
        <v>1</v>
      </c>
      <c r="L577">
        <v>0</v>
      </c>
      <c r="M577">
        <v>3</v>
      </c>
      <c r="N577" t="s">
        <v>26</v>
      </c>
      <c r="O577" t="s">
        <v>27</v>
      </c>
      <c r="P577">
        <v>14.2281960654221</v>
      </c>
      <c r="Q577">
        <v>1.5260731742983</v>
      </c>
      <c r="R577">
        <v>5.59573023825281</v>
      </c>
      <c r="S577">
        <v>85</v>
      </c>
      <c r="T577">
        <v>29</v>
      </c>
      <c r="U577">
        <v>690.02382878175399</v>
      </c>
      <c r="V577">
        <v>8.2440230832646301E-4</v>
      </c>
      <c r="W577">
        <v>2823604.44501505</v>
      </c>
      <c r="X577" t="s">
        <v>42</v>
      </c>
      <c r="Y577">
        <f>1-490-796-1889</f>
        <v>-3174</v>
      </c>
    </row>
    <row r="578" spans="1:25" x14ac:dyDescent="0.35">
      <c r="A578">
        <v>33.421750329013101</v>
      </c>
      <c r="B578">
        <v>-114.582997670674</v>
      </c>
      <c r="C578" t="s">
        <v>25</v>
      </c>
      <c r="D578">
        <v>3.1629685762861399</v>
      </c>
      <c r="E578">
        <v>2</v>
      </c>
      <c r="F578">
        <v>713</v>
      </c>
      <c r="G578">
        <v>5</v>
      </c>
      <c r="H578">
        <v>1</v>
      </c>
      <c r="I578">
        <v>1978</v>
      </c>
      <c r="J578">
        <v>1</v>
      </c>
      <c r="K578">
        <v>0</v>
      </c>
      <c r="L578">
        <v>1</v>
      </c>
      <c r="M578">
        <v>12</v>
      </c>
      <c r="N578" t="s">
        <v>41</v>
      </c>
      <c r="O578" t="s">
        <v>32</v>
      </c>
      <c r="P578">
        <v>7.8990351374857299</v>
      </c>
      <c r="Q578">
        <v>1.47164388618347</v>
      </c>
      <c r="R578">
        <v>8.3767753636655407</v>
      </c>
      <c r="S578">
        <v>54</v>
      </c>
      <c r="T578">
        <v>48</v>
      </c>
      <c r="U578">
        <v>969.60408298008997</v>
      </c>
      <c r="V578">
        <v>1.6830294530154201E-2</v>
      </c>
      <c r="W578">
        <v>1057773.3979684301</v>
      </c>
      <c r="X578" t="s">
        <v>33</v>
      </c>
      <c r="Y578">
        <f>1-516-941-3581</f>
        <v>-5037</v>
      </c>
    </row>
    <row r="579" spans="1:25" x14ac:dyDescent="0.35">
      <c r="A579">
        <v>33.206293575367702</v>
      </c>
      <c r="B579">
        <v>-122.93352352845</v>
      </c>
      <c r="C579" t="s">
        <v>25</v>
      </c>
      <c r="D579">
        <v>8.6842674245332905</v>
      </c>
      <c r="E579">
        <v>6</v>
      </c>
      <c r="F579">
        <v>2311</v>
      </c>
      <c r="G579">
        <v>1</v>
      </c>
      <c r="H579">
        <v>1</v>
      </c>
      <c r="I579">
        <v>2016</v>
      </c>
      <c r="J579">
        <v>0</v>
      </c>
      <c r="K579">
        <v>0</v>
      </c>
      <c r="L579">
        <v>1</v>
      </c>
      <c r="M579">
        <v>3</v>
      </c>
      <c r="N579" t="s">
        <v>35</v>
      </c>
      <c r="O579" t="s">
        <v>32</v>
      </c>
      <c r="P579">
        <v>13.921604774148401</v>
      </c>
      <c r="Q579">
        <v>2.0457278859218402</v>
      </c>
      <c r="R579">
        <v>4.0883901002810896</v>
      </c>
      <c r="S579">
        <v>50</v>
      </c>
      <c r="T579">
        <v>68</v>
      </c>
      <c r="U579">
        <v>202.92817496550501</v>
      </c>
      <c r="V579">
        <v>1.2981393336217999E-3</v>
      </c>
      <c r="W579">
        <v>635207.40536150394</v>
      </c>
      <c r="X579" t="s">
        <v>28</v>
      </c>
      <c r="Y579">
        <f>1-237-521-5094</f>
        <v>-5851</v>
      </c>
    </row>
    <row r="580" spans="1:25" x14ac:dyDescent="0.35">
      <c r="A580">
        <v>34.627028204864402</v>
      </c>
      <c r="B580">
        <v>-116.48044293905301</v>
      </c>
      <c r="C580" t="s">
        <v>25</v>
      </c>
      <c r="D580">
        <v>48.365021316898797</v>
      </c>
      <c r="E580">
        <v>9</v>
      </c>
      <c r="F580">
        <v>991</v>
      </c>
      <c r="G580">
        <v>2</v>
      </c>
      <c r="H580">
        <v>1</v>
      </c>
      <c r="I580">
        <v>1992</v>
      </c>
      <c r="J580">
        <v>0</v>
      </c>
      <c r="K580">
        <v>1</v>
      </c>
      <c r="L580">
        <v>0</v>
      </c>
      <c r="M580">
        <v>8</v>
      </c>
      <c r="N580" t="s">
        <v>35</v>
      </c>
      <c r="O580" t="s">
        <v>32</v>
      </c>
      <c r="P580">
        <v>2.6557982649284901</v>
      </c>
      <c r="Q580">
        <v>0.84909845743146195</v>
      </c>
      <c r="R580">
        <v>6.2015770330581104</v>
      </c>
      <c r="S580">
        <v>149</v>
      </c>
      <c r="T580">
        <v>27</v>
      </c>
      <c r="U580">
        <v>857.48347956603902</v>
      </c>
      <c r="V580">
        <v>8.0726538849646805E-3</v>
      </c>
      <c r="W580">
        <v>938629.13911530399</v>
      </c>
      <c r="X580" t="s">
        <v>39</v>
      </c>
      <c r="Y580">
        <f>1-405-587-2052</f>
        <v>-3043</v>
      </c>
    </row>
    <row r="581" spans="1:25" x14ac:dyDescent="0.35">
      <c r="A581">
        <v>38.416582345010603</v>
      </c>
      <c r="B581">
        <v>-124.490913979007</v>
      </c>
      <c r="C581" t="s">
        <v>34</v>
      </c>
      <c r="D581">
        <v>35.038421659882601</v>
      </c>
      <c r="E581">
        <v>2</v>
      </c>
      <c r="F581">
        <v>1703</v>
      </c>
      <c r="G581">
        <v>2</v>
      </c>
      <c r="H581">
        <v>2</v>
      </c>
      <c r="I581">
        <v>1957</v>
      </c>
      <c r="J581">
        <v>1</v>
      </c>
      <c r="K581">
        <v>0</v>
      </c>
      <c r="L581">
        <v>0</v>
      </c>
      <c r="M581">
        <v>13</v>
      </c>
      <c r="N581" t="s">
        <v>37</v>
      </c>
      <c r="O581" t="s">
        <v>27</v>
      </c>
      <c r="P581">
        <v>7.7917863231379298</v>
      </c>
      <c r="Q581">
        <v>2.2334103060129098</v>
      </c>
      <c r="R581">
        <v>1.9071017361104801</v>
      </c>
      <c r="S581">
        <v>135</v>
      </c>
      <c r="T581">
        <v>21</v>
      </c>
      <c r="U581">
        <v>426.55821818075299</v>
      </c>
      <c r="V581">
        <v>7.63358778625954E-3</v>
      </c>
      <c r="W581">
        <v>820386.88784254401</v>
      </c>
      <c r="X581" t="s">
        <v>31</v>
      </c>
      <c r="Y581">
        <f>1-650-593-6396</f>
        <v>-7638</v>
      </c>
    </row>
    <row r="582" spans="1:25" x14ac:dyDescent="0.35">
      <c r="A582">
        <v>32.718663262670901</v>
      </c>
      <c r="B582">
        <v>-117.878460694155</v>
      </c>
      <c r="C582" t="s">
        <v>29</v>
      </c>
      <c r="D582">
        <v>10.923900190493001</v>
      </c>
      <c r="E582">
        <v>3</v>
      </c>
      <c r="F582">
        <v>3329</v>
      </c>
      <c r="G582">
        <v>2</v>
      </c>
      <c r="H582">
        <v>3</v>
      </c>
      <c r="I582">
        <v>1996</v>
      </c>
      <c r="J582">
        <v>1</v>
      </c>
      <c r="K582">
        <v>0</v>
      </c>
      <c r="L582">
        <v>0</v>
      </c>
      <c r="M582">
        <v>6</v>
      </c>
      <c r="N582" t="s">
        <v>35</v>
      </c>
      <c r="O582" t="s">
        <v>30</v>
      </c>
      <c r="P582">
        <v>14.755773975296901</v>
      </c>
      <c r="Q582">
        <v>2.1193491393885999</v>
      </c>
      <c r="R582">
        <v>8.2612958226557804</v>
      </c>
      <c r="S582">
        <v>124</v>
      </c>
      <c r="T582">
        <v>32</v>
      </c>
      <c r="U582">
        <v>320.69545038199999</v>
      </c>
      <c r="V582">
        <v>1.80234304595974E-3</v>
      </c>
      <c r="W582">
        <v>1355019.26468553</v>
      </c>
      <c r="X582" t="s">
        <v>40</v>
      </c>
      <c r="Y582">
        <f>1-351-169-2607</f>
        <v>-3126</v>
      </c>
    </row>
    <row r="583" spans="1:25" x14ac:dyDescent="0.35">
      <c r="A583">
        <v>32.912831331567197</v>
      </c>
      <c r="B583">
        <v>-116.88511023554599</v>
      </c>
      <c r="C583" t="s">
        <v>34</v>
      </c>
      <c r="D583">
        <v>12.572099852026099</v>
      </c>
      <c r="E583">
        <v>1</v>
      </c>
      <c r="F583">
        <v>2532</v>
      </c>
      <c r="G583">
        <v>1</v>
      </c>
      <c r="H583">
        <v>2</v>
      </c>
      <c r="I583">
        <v>1972</v>
      </c>
      <c r="J583">
        <v>1</v>
      </c>
      <c r="K583">
        <v>1</v>
      </c>
      <c r="L583">
        <v>1</v>
      </c>
      <c r="M583">
        <v>9</v>
      </c>
      <c r="N583" t="s">
        <v>26</v>
      </c>
      <c r="O583" t="s">
        <v>32</v>
      </c>
      <c r="P583">
        <v>6.64919056286368</v>
      </c>
      <c r="Q583">
        <v>1.7536520056007401</v>
      </c>
      <c r="R583">
        <v>2.9809486239395699</v>
      </c>
      <c r="S583">
        <v>42</v>
      </c>
      <c r="T583">
        <v>44</v>
      </c>
      <c r="U583">
        <v>628.60893742135795</v>
      </c>
      <c r="V583">
        <v>3.5545023696682402E-3</v>
      </c>
      <c r="W583">
        <v>1848024.1940136901</v>
      </c>
      <c r="X583" t="s">
        <v>36</v>
      </c>
      <c r="Y583">
        <f>1-814-798-1338</f>
        <v>-2949</v>
      </c>
    </row>
    <row r="584" spans="1:25" x14ac:dyDescent="0.35">
      <c r="A584">
        <v>37.2865166578719</v>
      </c>
      <c r="B584">
        <v>-115.81909458877099</v>
      </c>
      <c r="C584" t="s">
        <v>34</v>
      </c>
      <c r="D584">
        <v>34.088910772638997</v>
      </c>
      <c r="E584">
        <v>8</v>
      </c>
      <c r="F584">
        <v>3811</v>
      </c>
      <c r="G584">
        <v>4</v>
      </c>
      <c r="H584">
        <v>2</v>
      </c>
      <c r="I584">
        <v>1973</v>
      </c>
      <c r="J584">
        <v>0</v>
      </c>
      <c r="K584">
        <v>0</v>
      </c>
      <c r="L584">
        <v>1</v>
      </c>
      <c r="M584">
        <v>9</v>
      </c>
      <c r="N584" t="s">
        <v>26</v>
      </c>
      <c r="O584" t="s">
        <v>30</v>
      </c>
      <c r="P584">
        <v>13.2247628732084</v>
      </c>
      <c r="Q584">
        <v>2.4654084054552299</v>
      </c>
      <c r="R584">
        <v>1.05969149137582</v>
      </c>
      <c r="S584">
        <v>136</v>
      </c>
      <c r="T584">
        <v>55</v>
      </c>
      <c r="U584">
        <v>238.04606633972901</v>
      </c>
      <c r="V584">
        <v>2.3615848858567299E-3</v>
      </c>
      <c r="W584">
        <v>1140138.41158534</v>
      </c>
      <c r="X584" t="s">
        <v>38</v>
      </c>
      <c r="Y584">
        <f>1-299-235-9939</f>
        <v>-10472</v>
      </c>
    </row>
    <row r="585" spans="1:25" x14ac:dyDescent="0.35">
      <c r="A585">
        <v>39.461865693469797</v>
      </c>
      <c r="B585">
        <v>-119.910713060625</v>
      </c>
      <c r="C585" t="s">
        <v>34</v>
      </c>
      <c r="D585">
        <v>24.132395764993799</v>
      </c>
      <c r="E585">
        <v>3</v>
      </c>
      <c r="F585">
        <v>741</v>
      </c>
      <c r="G585">
        <v>3</v>
      </c>
      <c r="H585">
        <v>1</v>
      </c>
      <c r="I585">
        <v>1989</v>
      </c>
      <c r="J585">
        <v>1</v>
      </c>
      <c r="K585">
        <v>0</v>
      </c>
      <c r="L585">
        <v>0</v>
      </c>
      <c r="M585">
        <v>6</v>
      </c>
      <c r="N585" t="s">
        <v>26</v>
      </c>
      <c r="O585" t="s">
        <v>32</v>
      </c>
      <c r="P585">
        <v>6.8635823372188201</v>
      </c>
      <c r="Q585">
        <v>1.41847559308689</v>
      </c>
      <c r="R585">
        <v>3.7330376375539198</v>
      </c>
      <c r="S585">
        <v>95</v>
      </c>
      <c r="T585">
        <v>61</v>
      </c>
      <c r="U585">
        <v>209.44636710350801</v>
      </c>
      <c r="V585">
        <v>8.0971659919028306E-3</v>
      </c>
      <c r="W585">
        <v>394744.72244564199</v>
      </c>
      <c r="X585" t="s">
        <v>40</v>
      </c>
      <c r="Y585">
        <f>1-449-407-4839</f>
        <v>-5694</v>
      </c>
    </row>
    <row r="586" spans="1:25" x14ac:dyDescent="0.35">
      <c r="A586">
        <v>34.123583715752901</v>
      </c>
      <c r="B586">
        <v>-114.123249082163</v>
      </c>
      <c r="C586" t="s">
        <v>25</v>
      </c>
      <c r="D586">
        <v>45.833996378343102</v>
      </c>
      <c r="E586">
        <v>0</v>
      </c>
      <c r="F586">
        <v>2520</v>
      </c>
      <c r="G586">
        <v>5</v>
      </c>
      <c r="H586">
        <v>3</v>
      </c>
      <c r="I586">
        <v>2013</v>
      </c>
      <c r="J586">
        <v>1</v>
      </c>
      <c r="K586">
        <v>0</v>
      </c>
      <c r="L586">
        <v>1</v>
      </c>
      <c r="M586">
        <v>10</v>
      </c>
      <c r="N586" t="s">
        <v>26</v>
      </c>
      <c r="O586" t="s">
        <v>32</v>
      </c>
      <c r="P586">
        <v>5.5544670306946697</v>
      </c>
      <c r="Q586">
        <v>1.1135869816269299</v>
      </c>
      <c r="R586">
        <v>9.5283983501814191</v>
      </c>
      <c r="S586">
        <v>154</v>
      </c>
      <c r="T586">
        <v>31</v>
      </c>
      <c r="U586">
        <v>493.21837091137797</v>
      </c>
      <c r="V586">
        <v>3.9682539682539602E-3</v>
      </c>
      <c r="W586">
        <v>1677022.56641973</v>
      </c>
      <c r="X586" t="s">
        <v>43</v>
      </c>
      <c r="Y586">
        <f>1-776-613-5748</f>
        <v>-7136</v>
      </c>
    </row>
    <row r="587" spans="1:25" x14ac:dyDescent="0.35">
      <c r="A587">
        <v>35.828891666543697</v>
      </c>
      <c r="B587">
        <v>-120.995733355894</v>
      </c>
      <c r="C587" t="s">
        <v>34</v>
      </c>
      <c r="D587">
        <v>3.9761432711201299</v>
      </c>
      <c r="E587">
        <v>8</v>
      </c>
      <c r="F587">
        <v>861</v>
      </c>
      <c r="G587">
        <v>1</v>
      </c>
      <c r="H587">
        <v>1</v>
      </c>
      <c r="I587">
        <v>1967</v>
      </c>
      <c r="J587">
        <v>0</v>
      </c>
      <c r="K587">
        <v>0</v>
      </c>
      <c r="L587">
        <v>0</v>
      </c>
      <c r="M587">
        <v>4</v>
      </c>
      <c r="N587" t="s">
        <v>37</v>
      </c>
      <c r="O587" t="s">
        <v>32</v>
      </c>
      <c r="P587">
        <v>14.385391285609501</v>
      </c>
      <c r="Q587">
        <v>1.4461327941983799</v>
      </c>
      <c r="R587">
        <v>7.1945795222284996</v>
      </c>
      <c r="S587">
        <v>147</v>
      </c>
      <c r="T587">
        <v>67</v>
      </c>
      <c r="U587">
        <v>978.21500332141102</v>
      </c>
      <c r="V587">
        <v>4.6457607433217103E-3</v>
      </c>
      <c r="W587">
        <v>834395.44911029399</v>
      </c>
      <c r="X587" t="s">
        <v>38</v>
      </c>
      <c r="Y587">
        <f>1-653-501-7151</f>
        <v>-8304</v>
      </c>
    </row>
    <row r="588" spans="1:25" x14ac:dyDescent="0.35">
      <c r="A588">
        <v>37.162520143837703</v>
      </c>
      <c r="B588">
        <v>-121.43036750479899</v>
      </c>
      <c r="C588" t="s">
        <v>34</v>
      </c>
      <c r="D588">
        <v>1.67720475047006</v>
      </c>
      <c r="E588">
        <v>8</v>
      </c>
      <c r="F588">
        <v>3889</v>
      </c>
      <c r="G588">
        <v>4</v>
      </c>
      <c r="H588">
        <v>1</v>
      </c>
      <c r="I588">
        <v>2000</v>
      </c>
      <c r="J588">
        <v>1</v>
      </c>
      <c r="K588">
        <v>1</v>
      </c>
      <c r="L588">
        <v>1</v>
      </c>
      <c r="M588">
        <v>6</v>
      </c>
      <c r="N588" t="s">
        <v>41</v>
      </c>
      <c r="O588" t="s">
        <v>27</v>
      </c>
      <c r="P588">
        <v>7.4913606838732196</v>
      </c>
      <c r="Q588">
        <v>0.70991174335436702</v>
      </c>
      <c r="R588">
        <v>9.4412003987141695</v>
      </c>
      <c r="S588">
        <v>153</v>
      </c>
      <c r="T588">
        <v>41</v>
      </c>
      <c r="U588">
        <v>769.68902970354304</v>
      </c>
      <c r="V588">
        <v>1.54281306248392E-3</v>
      </c>
      <c r="W588">
        <v>3259497.6470388598</v>
      </c>
      <c r="X588" t="s">
        <v>39</v>
      </c>
      <c r="Y588">
        <f>1-279-545-4330</f>
        <v>-5153</v>
      </c>
    </row>
    <row r="589" spans="1:25" x14ac:dyDescent="0.35">
      <c r="A589">
        <v>34.342341097745503</v>
      </c>
      <c r="B589">
        <v>-116.110838397764</v>
      </c>
      <c r="C589" t="s">
        <v>34</v>
      </c>
      <c r="D589">
        <v>21.052843916249898</v>
      </c>
      <c r="E589">
        <v>8</v>
      </c>
      <c r="F589">
        <v>602</v>
      </c>
      <c r="G589">
        <v>1</v>
      </c>
      <c r="H589">
        <v>2</v>
      </c>
      <c r="I589">
        <v>2019</v>
      </c>
      <c r="J589">
        <v>1</v>
      </c>
      <c r="K589">
        <v>0</v>
      </c>
      <c r="L589">
        <v>1</v>
      </c>
      <c r="M589">
        <v>3</v>
      </c>
      <c r="N589" t="s">
        <v>26</v>
      </c>
      <c r="O589" t="s">
        <v>32</v>
      </c>
      <c r="P589">
        <v>8.7586122128554003</v>
      </c>
      <c r="Q589">
        <v>0.79443936998683296</v>
      </c>
      <c r="R589">
        <v>7.4869291890692899</v>
      </c>
      <c r="S589">
        <v>32</v>
      </c>
      <c r="T589">
        <v>75</v>
      </c>
      <c r="U589">
        <v>972.85205025267499</v>
      </c>
      <c r="V589">
        <v>4.9833887043189296E-3</v>
      </c>
      <c r="W589">
        <v>846593.17914145999</v>
      </c>
      <c r="X589" t="s">
        <v>31</v>
      </c>
      <c r="Y589">
        <f>1-259-859-9123</f>
        <v>-10240</v>
      </c>
    </row>
    <row r="590" spans="1:25" x14ac:dyDescent="0.35">
      <c r="A590">
        <v>32.547527081324098</v>
      </c>
      <c r="B590">
        <v>-122.49472575985899</v>
      </c>
      <c r="C590" t="s">
        <v>25</v>
      </c>
      <c r="D590">
        <v>37.531567864221003</v>
      </c>
      <c r="E590">
        <v>2</v>
      </c>
      <c r="F590">
        <v>2378</v>
      </c>
      <c r="G590">
        <v>2</v>
      </c>
      <c r="H590">
        <v>2</v>
      </c>
      <c r="I590">
        <v>1976</v>
      </c>
      <c r="J590">
        <v>1</v>
      </c>
      <c r="K590">
        <v>0</v>
      </c>
      <c r="L590">
        <v>0</v>
      </c>
      <c r="M590">
        <v>5</v>
      </c>
      <c r="N590" t="s">
        <v>26</v>
      </c>
      <c r="O590" t="s">
        <v>30</v>
      </c>
      <c r="P590">
        <v>13.1903729126426</v>
      </c>
      <c r="Q590">
        <v>2.3798820424935401</v>
      </c>
      <c r="R590">
        <v>7.95742645845763</v>
      </c>
      <c r="S590">
        <v>92</v>
      </c>
      <c r="T590">
        <v>29</v>
      </c>
      <c r="U590">
        <v>616.50861587576401</v>
      </c>
      <c r="V590">
        <v>2.1026072329688801E-3</v>
      </c>
      <c r="W590">
        <v>1695972.0760712</v>
      </c>
      <c r="X590" t="s">
        <v>31</v>
      </c>
      <c r="Y590">
        <f>1-664-955-9383</f>
        <v>-11001</v>
      </c>
    </row>
    <row r="591" spans="1:25" x14ac:dyDescent="0.35">
      <c r="A591">
        <v>35.470861666341598</v>
      </c>
      <c r="B591">
        <v>-116.368918724452</v>
      </c>
      <c r="C591" t="s">
        <v>34</v>
      </c>
      <c r="D591">
        <v>29.190901054993901</v>
      </c>
      <c r="E591">
        <v>5</v>
      </c>
      <c r="F591">
        <v>2160</v>
      </c>
      <c r="G591">
        <v>4</v>
      </c>
      <c r="H591">
        <v>1</v>
      </c>
      <c r="I591">
        <v>1961</v>
      </c>
      <c r="J591">
        <v>1</v>
      </c>
      <c r="K591">
        <v>0</v>
      </c>
      <c r="L591">
        <v>1</v>
      </c>
      <c r="M591">
        <v>8</v>
      </c>
      <c r="N591" t="s">
        <v>37</v>
      </c>
      <c r="O591" t="s">
        <v>27</v>
      </c>
      <c r="P591">
        <v>13.022840958731299</v>
      </c>
      <c r="Q591">
        <v>0.528916314629577</v>
      </c>
      <c r="R591">
        <v>4.6207647299838301</v>
      </c>
      <c r="S591">
        <v>174</v>
      </c>
      <c r="T591">
        <v>44</v>
      </c>
      <c r="U591">
        <v>720.07420393222003</v>
      </c>
      <c r="V591">
        <v>3.7037037037036999E-3</v>
      </c>
      <c r="W591">
        <v>1945635.3561388799</v>
      </c>
      <c r="X591" t="s">
        <v>42</v>
      </c>
      <c r="Y591">
        <f>1-281-820-3610</f>
        <v>-4710</v>
      </c>
    </row>
    <row r="592" spans="1:25" x14ac:dyDescent="0.35">
      <c r="A592">
        <v>38.346061102457597</v>
      </c>
      <c r="B592">
        <v>-115.550786513164</v>
      </c>
      <c r="C592" t="s">
        <v>29</v>
      </c>
      <c r="D592">
        <v>35.455461132186699</v>
      </c>
      <c r="E592">
        <v>8</v>
      </c>
      <c r="F592">
        <v>3017</v>
      </c>
      <c r="G592">
        <v>3</v>
      </c>
      <c r="H592">
        <v>3</v>
      </c>
      <c r="I592">
        <v>1964</v>
      </c>
      <c r="J592">
        <v>1</v>
      </c>
      <c r="K592">
        <v>1</v>
      </c>
      <c r="L592">
        <v>1</v>
      </c>
      <c r="M592">
        <v>13</v>
      </c>
      <c r="N592" t="s">
        <v>35</v>
      </c>
      <c r="O592" t="s">
        <v>32</v>
      </c>
      <c r="P592">
        <v>4.4954342781563401</v>
      </c>
      <c r="Q592">
        <v>1.2396501906146999</v>
      </c>
      <c r="R592">
        <v>9.3902140559378093</v>
      </c>
      <c r="S592">
        <v>85</v>
      </c>
      <c r="T592">
        <v>79</v>
      </c>
      <c r="U592">
        <v>665.21653736459598</v>
      </c>
      <c r="V592">
        <v>4.3089161418627701E-3</v>
      </c>
      <c r="W592">
        <v>2251443.0165939201</v>
      </c>
      <c r="X592" t="s">
        <v>44</v>
      </c>
      <c r="Y592">
        <f>1-961-402-7118</f>
        <v>-8480</v>
      </c>
    </row>
    <row r="593" spans="1:25" x14ac:dyDescent="0.35">
      <c r="A593">
        <v>41.219864055508701</v>
      </c>
      <c r="B593">
        <v>-123.383735685826</v>
      </c>
      <c r="C593" t="s">
        <v>34</v>
      </c>
      <c r="D593">
        <v>3.5082368215544499</v>
      </c>
      <c r="E593">
        <v>2</v>
      </c>
      <c r="F593">
        <v>2647</v>
      </c>
      <c r="G593">
        <v>2</v>
      </c>
      <c r="H593">
        <v>1</v>
      </c>
      <c r="I593">
        <v>1979</v>
      </c>
      <c r="J593">
        <v>0</v>
      </c>
      <c r="K593">
        <v>1</v>
      </c>
      <c r="L593">
        <v>1</v>
      </c>
      <c r="M593">
        <v>10</v>
      </c>
      <c r="N593" t="s">
        <v>41</v>
      </c>
      <c r="O593" t="s">
        <v>30</v>
      </c>
      <c r="P593">
        <v>4.96174969647487</v>
      </c>
      <c r="Q593">
        <v>1.5089464560968999</v>
      </c>
      <c r="R593">
        <v>1.81771003202263</v>
      </c>
      <c r="S593">
        <v>103</v>
      </c>
      <c r="T593">
        <v>75</v>
      </c>
      <c r="U593">
        <v>542.54959743776101</v>
      </c>
      <c r="V593">
        <v>3.7778617302606701E-3</v>
      </c>
      <c r="W593">
        <v>1653215.7211525801</v>
      </c>
      <c r="X593" t="s">
        <v>44</v>
      </c>
      <c r="Y593">
        <f>1-518-842-7404</f>
        <v>-8763</v>
      </c>
    </row>
    <row r="594" spans="1:25" x14ac:dyDescent="0.35">
      <c r="A594">
        <v>37.415875126429199</v>
      </c>
      <c r="B594">
        <v>-115.185287408919</v>
      </c>
      <c r="C594" t="s">
        <v>34</v>
      </c>
      <c r="D594">
        <v>36.659776317071497</v>
      </c>
      <c r="E594">
        <v>2</v>
      </c>
      <c r="F594">
        <v>1349</v>
      </c>
      <c r="G594">
        <v>3</v>
      </c>
      <c r="H594">
        <v>2</v>
      </c>
      <c r="I594">
        <v>1968</v>
      </c>
      <c r="J594">
        <v>0</v>
      </c>
      <c r="K594">
        <v>0</v>
      </c>
      <c r="L594">
        <v>0</v>
      </c>
      <c r="M594">
        <v>5</v>
      </c>
      <c r="N594" t="s">
        <v>37</v>
      </c>
      <c r="O594" t="s">
        <v>32</v>
      </c>
      <c r="P594">
        <v>3.6158340122727699</v>
      </c>
      <c r="Q594">
        <v>1.12049309953136</v>
      </c>
      <c r="R594">
        <v>6.9008755566576996</v>
      </c>
      <c r="S594">
        <v>15</v>
      </c>
      <c r="T594">
        <v>58</v>
      </c>
      <c r="U594">
        <v>410.799452936504</v>
      </c>
      <c r="V594">
        <v>3.7064492216456598E-3</v>
      </c>
      <c r="W594">
        <v>624156.26404816401</v>
      </c>
      <c r="X594" t="s">
        <v>38</v>
      </c>
      <c r="Y594">
        <f>1-340-176-7817</f>
        <v>-8332</v>
      </c>
    </row>
    <row r="595" spans="1:25" x14ac:dyDescent="0.35">
      <c r="A595">
        <v>33.220255497274998</v>
      </c>
      <c r="B595">
        <v>-117.167142765856</v>
      </c>
      <c r="C595" t="s">
        <v>25</v>
      </c>
      <c r="D595">
        <v>19.253211789458</v>
      </c>
      <c r="E595">
        <v>6</v>
      </c>
      <c r="F595">
        <v>1822</v>
      </c>
      <c r="G595">
        <v>2</v>
      </c>
      <c r="H595">
        <v>3</v>
      </c>
      <c r="I595">
        <v>1971</v>
      </c>
      <c r="J595">
        <v>0</v>
      </c>
      <c r="K595">
        <v>0</v>
      </c>
      <c r="L595">
        <v>0</v>
      </c>
      <c r="M595">
        <v>7</v>
      </c>
      <c r="N595" t="s">
        <v>37</v>
      </c>
      <c r="O595" t="s">
        <v>32</v>
      </c>
      <c r="P595">
        <v>11.413411758460301</v>
      </c>
      <c r="Q595">
        <v>1.72599330968555</v>
      </c>
      <c r="R595">
        <v>6.8763066275429203</v>
      </c>
      <c r="S595">
        <v>188</v>
      </c>
      <c r="T595">
        <v>57</v>
      </c>
      <c r="U595">
        <v>216.093437384297</v>
      </c>
      <c r="V595">
        <v>3.8419319429198601E-3</v>
      </c>
      <c r="W595">
        <v>481705.34613515198</v>
      </c>
      <c r="X595" t="s">
        <v>31</v>
      </c>
      <c r="Y595">
        <f>1-308-548-8404</f>
        <v>-9259</v>
      </c>
    </row>
    <row r="596" spans="1:25" x14ac:dyDescent="0.35">
      <c r="A596">
        <v>36.351777609423003</v>
      </c>
      <c r="B596">
        <v>-123.614494478474</v>
      </c>
      <c r="C596" t="s">
        <v>34</v>
      </c>
      <c r="D596">
        <v>6.9326467032146697</v>
      </c>
      <c r="E596">
        <v>1</v>
      </c>
      <c r="F596">
        <v>3983</v>
      </c>
      <c r="G596">
        <v>4</v>
      </c>
      <c r="H596">
        <v>3</v>
      </c>
      <c r="I596">
        <v>2012</v>
      </c>
      <c r="J596">
        <v>0</v>
      </c>
      <c r="K596">
        <v>1</v>
      </c>
      <c r="L596">
        <v>1</v>
      </c>
      <c r="M596">
        <v>9</v>
      </c>
      <c r="N596" t="s">
        <v>41</v>
      </c>
      <c r="O596" t="s">
        <v>32</v>
      </c>
      <c r="P596">
        <v>5.2276024016091398</v>
      </c>
      <c r="Q596">
        <v>1.6298248849123</v>
      </c>
      <c r="R596">
        <v>4.5874727076693498</v>
      </c>
      <c r="S596">
        <v>41</v>
      </c>
      <c r="T596">
        <v>24</v>
      </c>
      <c r="U596">
        <v>280.121330778703</v>
      </c>
      <c r="V596">
        <v>2.2596033140848599E-3</v>
      </c>
      <c r="W596">
        <v>1558050.6653859101</v>
      </c>
      <c r="X596" t="s">
        <v>39</v>
      </c>
      <c r="Y596">
        <f>1-695-642-1798</f>
        <v>-3134</v>
      </c>
    </row>
    <row r="597" spans="1:25" x14ac:dyDescent="0.35">
      <c r="A597">
        <v>37.074219365285103</v>
      </c>
      <c r="B597">
        <v>-117.057145996676</v>
      </c>
      <c r="C597" t="s">
        <v>34</v>
      </c>
      <c r="D597">
        <v>20.689476120984299</v>
      </c>
      <c r="E597">
        <v>4</v>
      </c>
      <c r="F597">
        <v>1343</v>
      </c>
      <c r="G597">
        <v>2</v>
      </c>
      <c r="H597">
        <v>3</v>
      </c>
      <c r="I597">
        <v>2016</v>
      </c>
      <c r="J597">
        <v>0</v>
      </c>
      <c r="K597">
        <v>0</v>
      </c>
      <c r="L597">
        <v>0</v>
      </c>
      <c r="M597">
        <v>12</v>
      </c>
      <c r="N597" t="s">
        <v>37</v>
      </c>
      <c r="O597" t="s">
        <v>27</v>
      </c>
      <c r="P597">
        <v>7.5756856830046901</v>
      </c>
      <c r="Q597">
        <v>1.63307635515112</v>
      </c>
      <c r="R597">
        <v>1.05902012256778</v>
      </c>
      <c r="S597">
        <v>150</v>
      </c>
      <c r="T597">
        <v>51</v>
      </c>
      <c r="U597">
        <v>211.950776909974</v>
      </c>
      <c r="V597">
        <v>8.9352196574832392E-3</v>
      </c>
      <c r="W597">
        <v>479247.77641631698</v>
      </c>
      <c r="X597" t="s">
        <v>43</v>
      </c>
      <c r="Y597">
        <f>1-378-594-6057</f>
        <v>-7028</v>
      </c>
    </row>
    <row r="598" spans="1:25" x14ac:dyDescent="0.35">
      <c r="A598">
        <v>41.615547969831901</v>
      </c>
      <c r="B598">
        <v>-115.810795833532</v>
      </c>
      <c r="C598" t="s">
        <v>34</v>
      </c>
      <c r="D598">
        <v>12.2827480286249</v>
      </c>
      <c r="E598">
        <v>8</v>
      </c>
      <c r="F598">
        <v>3045</v>
      </c>
      <c r="G598">
        <v>3</v>
      </c>
      <c r="H598">
        <v>3</v>
      </c>
      <c r="I598">
        <v>1964</v>
      </c>
      <c r="J598">
        <v>1</v>
      </c>
      <c r="K598">
        <v>1</v>
      </c>
      <c r="L598">
        <v>0</v>
      </c>
      <c r="M598">
        <v>11</v>
      </c>
      <c r="N598" t="s">
        <v>41</v>
      </c>
      <c r="O598" t="s">
        <v>27</v>
      </c>
      <c r="P598">
        <v>6.60402090246781</v>
      </c>
      <c r="Q598">
        <v>1.9819934264113901</v>
      </c>
      <c r="R598">
        <v>2.5029582029283901</v>
      </c>
      <c r="S598">
        <v>153</v>
      </c>
      <c r="T598">
        <v>26</v>
      </c>
      <c r="U598">
        <v>758.32871598174495</v>
      </c>
      <c r="V598">
        <v>3.6124794745484401E-3</v>
      </c>
      <c r="W598">
        <v>2679497.3676515399</v>
      </c>
      <c r="X598" t="s">
        <v>42</v>
      </c>
      <c r="Y598">
        <f>1-812-219-7381</f>
        <v>-8411</v>
      </c>
    </row>
    <row r="599" spans="1:25" x14ac:dyDescent="0.35">
      <c r="A599">
        <v>41.280654956501699</v>
      </c>
      <c r="B599">
        <v>-114.744644891275</v>
      </c>
      <c r="C599" t="s">
        <v>34</v>
      </c>
      <c r="D599">
        <v>29.004061162468599</v>
      </c>
      <c r="E599">
        <v>9</v>
      </c>
      <c r="F599">
        <v>705</v>
      </c>
      <c r="G599">
        <v>4</v>
      </c>
      <c r="H599">
        <v>3</v>
      </c>
      <c r="I599">
        <v>1960</v>
      </c>
      <c r="J599">
        <v>1</v>
      </c>
      <c r="K599">
        <v>1</v>
      </c>
      <c r="L599">
        <v>1</v>
      </c>
      <c r="M599">
        <v>4</v>
      </c>
      <c r="N599" t="s">
        <v>37</v>
      </c>
      <c r="O599" t="s">
        <v>30</v>
      </c>
      <c r="P599">
        <v>11.6696233595779</v>
      </c>
      <c r="Q599">
        <v>2.0465762170722299</v>
      </c>
      <c r="R599">
        <v>3.9690762002862199</v>
      </c>
      <c r="S599">
        <v>6</v>
      </c>
      <c r="T599">
        <v>65</v>
      </c>
      <c r="U599">
        <v>573.47777413621804</v>
      </c>
      <c r="V599">
        <v>5.6737588652482204E-3</v>
      </c>
      <c r="W599">
        <v>900886.40445633698</v>
      </c>
      <c r="X599" t="s">
        <v>28</v>
      </c>
      <c r="Y599">
        <f>1-643-465-8820</f>
        <v>-9927</v>
      </c>
    </row>
    <row r="600" spans="1:25" x14ac:dyDescent="0.35">
      <c r="A600">
        <v>38.893660600717901</v>
      </c>
      <c r="B600">
        <v>-120.13554561194999</v>
      </c>
      <c r="C600" t="s">
        <v>25</v>
      </c>
      <c r="D600">
        <v>47.747147587343697</v>
      </c>
      <c r="E600">
        <v>3</v>
      </c>
      <c r="F600">
        <v>4828</v>
      </c>
      <c r="G600">
        <v>1</v>
      </c>
      <c r="H600">
        <v>1</v>
      </c>
      <c r="I600">
        <v>1954</v>
      </c>
      <c r="J600">
        <v>1</v>
      </c>
      <c r="K600">
        <v>1</v>
      </c>
      <c r="L600">
        <v>1</v>
      </c>
      <c r="M600">
        <v>11</v>
      </c>
      <c r="N600" t="s">
        <v>35</v>
      </c>
      <c r="O600" t="s">
        <v>30</v>
      </c>
      <c r="P600">
        <v>5.5997573923867003</v>
      </c>
      <c r="Q600">
        <v>1.4970463756780501</v>
      </c>
      <c r="R600">
        <v>8.4452748377013407</v>
      </c>
      <c r="S600">
        <v>1</v>
      </c>
      <c r="T600">
        <v>44</v>
      </c>
      <c r="U600">
        <v>741.60973953358098</v>
      </c>
      <c r="V600">
        <v>2.2783761391880599E-3</v>
      </c>
      <c r="W600">
        <v>3833572.8156799302</v>
      </c>
      <c r="X600" t="s">
        <v>40</v>
      </c>
      <c r="Y600">
        <f>1-692-492-7388</f>
        <v>-8571</v>
      </c>
    </row>
    <row r="601" spans="1:25" x14ac:dyDescent="0.35">
      <c r="A601">
        <v>40.534502499787799</v>
      </c>
      <c r="B601">
        <v>-123.53746795426601</v>
      </c>
      <c r="C601" t="s">
        <v>25</v>
      </c>
      <c r="D601">
        <v>42.392932248695899</v>
      </c>
      <c r="E601">
        <v>5</v>
      </c>
      <c r="F601">
        <v>775</v>
      </c>
      <c r="G601">
        <v>1</v>
      </c>
      <c r="H601">
        <v>3</v>
      </c>
      <c r="I601">
        <v>1950</v>
      </c>
      <c r="J601">
        <v>1</v>
      </c>
      <c r="K601">
        <v>1</v>
      </c>
      <c r="L601">
        <v>0</v>
      </c>
      <c r="M601">
        <v>5</v>
      </c>
      <c r="N601" t="s">
        <v>37</v>
      </c>
      <c r="O601" t="s">
        <v>30</v>
      </c>
      <c r="P601">
        <v>6.7476947377532897</v>
      </c>
      <c r="Q601">
        <v>1.02291594351655</v>
      </c>
      <c r="R601">
        <v>9.3605194642749208</v>
      </c>
      <c r="S601">
        <v>131</v>
      </c>
      <c r="T601">
        <v>37</v>
      </c>
      <c r="U601">
        <v>307.38684061226297</v>
      </c>
      <c r="V601">
        <v>6.4516129032258004E-3</v>
      </c>
      <c r="W601">
        <v>322211.88474878302</v>
      </c>
      <c r="X601" t="s">
        <v>31</v>
      </c>
      <c r="Y601">
        <f>1-422-393-6872</f>
        <v>-7686</v>
      </c>
    </row>
    <row r="602" spans="1:25" x14ac:dyDescent="0.35">
      <c r="A602">
        <v>35.253178702329798</v>
      </c>
      <c r="B602">
        <v>-123.36776955265501</v>
      </c>
      <c r="C602" t="s">
        <v>25</v>
      </c>
      <c r="D602">
        <v>48.764623565010098</v>
      </c>
      <c r="E602">
        <v>2</v>
      </c>
      <c r="F602">
        <v>1640</v>
      </c>
      <c r="G602">
        <v>1</v>
      </c>
      <c r="H602">
        <v>1</v>
      </c>
      <c r="I602">
        <v>1970</v>
      </c>
      <c r="J602">
        <v>0</v>
      </c>
      <c r="K602">
        <v>1</v>
      </c>
      <c r="L602">
        <v>1</v>
      </c>
      <c r="M602">
        <v>13</v>
      </c>
      <c r="N602" t="s">
        <v>26</v>
      </c>
      <c r="O602" t="s">
        <v>30</v>
      </c>
      <c r="P602">
        <v>11.6267249855196</v>
      </c>
      <c r="Q602">
        <v>1.4176001211098901</v>
      </c>
      <c r="R602">
        <v>0.85564242282851799</v>
      </c>
      <c r="S602">
        <v>197</v>
      </c>
      <c r="T602">
        <v>60</v>
      </c>
      <c r="U602">
        <v>937.57204457395096</v>
      </c>
      <c r="V602">
        <v>7.9268292682926796E-3</v>
      </c>
      <c r="W602">
        <v>1700025.67730745</v>
      </c>
      <c r="X602" t="s">
        <v>44</v>
      </c>
      <c r="Y602">
        <f>1-691-575-3550</f>
        <v>-4815</v>
      </c>
    </row>
    <row r="603" spans="1:25" x14ac:dyDescent="0.35">
      <c r="A603">
        <v>39.812245389567998</v>
      </c>
      <c r="B603">
        <v>-123.714996801094</v>
      </c>
      <c r="C603" t="s">
        <v>29</v>
      </c>
      <c r="D603">
        <v>23.563577631086599</v>
      </c>
      <c r="E603">
        <v>9</v>
      </c>
      <c r="F603">
        <v>712</v>
      </c>
      <c r="G603">
        <v>2</v>
      </c>
      <c r="H603">
        <v>3</v>
      </c>
      <c r="I603">
        <v>2017</v>
      </c>
      <c r="J603">
        <v>0</v>
      </c>
      <c r="K603">
        <v>1</v>
      </c>
      <c r="L603">
        <v>0</v>
      </c>
      <c r="M603">
        <v>9</v>
      </c>
      <c r="N603" t="s">
        <v>37</v>
      </c>
      <c r="O603" t="s">
        <v>27</v>
      </c>
      <c r="P603">
        <v>14.480521324573999</v>
      </c>
      <c r="Q603">
        <v>1.9300934366287901</v>
      </c>
      <c r="R603">
        <v>3.9152694494857099</v>
      </c>
      <c r="S603">
        <v>148</v>
      </c>
      <c r="T603">
        <v>47</v>
      </c>
      <c r="U603">
        <v>735.16700846385095</v>
      </c>
      <c r="V603">
        <v>1.26404494382022E-2</v>
      </c>
      <c r="W603">
        <v>956049.29019784299</v>
      </c>
      <c r="X603" t="s">
        <v>43</v>
      </c>
      <c r="Y603">
        <f>1-638-904-3820</f>
        <v>-5361</v>
      </c>
    </row>
    <row r="604" spans="1:25" x14ac:dyDescent="0.35">
      <c r="A604">
        <v>40.511788430508297</v>
      </c>
      <c r="B604">
        <v>-115.705447093763</v>
      </c>
      <c r="C604" t="s">
        <v>29</v>
      </c>
      <c r="D604">
        <v>46.538442692401802</v>
      </c>
      <c r="E604">
        <v>6</v>
      </c>
      <c r="F604">
        <v>1148</v>
      </c>
      <c r="G604">
        <v>2</v>
      </c>
      <c r="H604">
        <v>2</v>
      </c>
      <c r="I604">
        <v>1978</v>
      </c>
      <c r="J604">
        <v>1</v>
      </c>
      <c r="K604">
        <v>0</v>
      </c>
      <c r="L604">
        <v>0</v>
      </c>
      <c r="M604">
        <v>10</v>
      </c>
      <c r="N604" t="s">
        <v>37</v>
      </c>
      <c r="O604" t="s">
        <v>30</v>
      </c>
      <c r="P604">
        <v>6.1203368431337504</v>
      </c>
      <c r="Q604">
        <v>1.6344373328245401</v>
      </c>
      <c r="R604">
        <v>0.77275191704917301</v>
      </c>
      <c r="S604">
        <v>72</v>
      </c>
      <c r="T604">
        <v>37</v>
      </c>
      <c r="U604">
        <v>708.93115666132303</v>
      </c>
      <c r="V604">
        <v>8.7108013937282208E-3</v>
      </c>
      <c r="W604">
        <v>923570.611500422</v>
      </c>
      <c r="X604" t="s">
        <v>38</v>
      </c>
      <c r="Y604">
        <f>1-372-525-4879</f>
        <v>-5775</v>
      </c>
    </row>
    <row r="605" spans="1:25" x14ac:dyDescent="0.35">
      <c r="A605">
        <v>33.215210136638902</v>
      </c>
      <c r="B605">
        <v>-122.146093798715</v>
      </c>
      <c r="C605" t="s">
        <v>29</v>
      </c>
      <c r="D605">
        <v>47.069081465573802</v>
      </c>
      <c r="E605">
        <v>2</v>
      </c>
      <c r="F605">
        <v>4634</v>
      </c>
      <c r="G605">
        <v>1</v>
      </c>
      <c r="H605">
        <v>1</v>
      </c>
      <c r="I605">
        <v>1981</v>
      </c>
      <c r="J605">
        <v>0</v>
      </c>
      <c r="K605">
        <v>0</v>
      </c>
      <c r="L605">
        <v>0</v>
      </c>
      <c r="M605">
        <v>11</v>
      </c>
      <c r="N605" t="s">
        <v>37</v>
      </c>
      <c r="O605" t="s">
        <v>27</v>
      </c>
      <c r="P605">
        <v>3.6406905262153999</v>
      </c>
      <c r="Q605">
        <v>1.70522247776973</v>
      </c>
      <c r="R605">
        <v>0.59471690380237296</v>
      </c>
      <c r="S605">
        <v>54</v>
      </c>
      <c r="T605">
        <v>40</v>
      </c>
      <c r="U605">
        <v>412.13051084940003</v>
      </c>
      <c r="V605">
        <v>2.3737591713422499E-3</v>
      </c>
      <c r="W605">
        <v>1995612.0992326599</v>
      </c>
      <c r="X605" t="s">
        <v>39</v>
      </c>
      <c r="Y605">
        <f>1-755-771-6126</f>
        <v>-7651</v>
      </c>
    </row>
    <row r="606" spans="1:25" x14ac:dyDescent="0.35">
      <c r="A606">
        <v>33.106586489161401</v>
      </c>
      <c r="B606">
        <v>-120.35906285426999</v>
      </c>
      <c r="C606" t="s">
        <v>25</v>
      </c>
      <c r="D606">
        <v>22.846829411869098</v>
      </c>
      <c r="E606">
        <v>5</v>
      </c>
      <c r="F606">
        <v>1789</v>
      </c>
      <c r="G606">
        <v>4</v>
      </c>
      <c r="H606">
        <v>2</v>
      </c>
      <c r="I606">
        <v>1966</v>
      </c>
      <c r="J606">
        <v>1</v>
      </c>
      <c r="K606">
        <v>0</v>
      </c>
      <c r="L606">
        <v>1</v>
      </c>
      <c r="M606">
        <v>12</v>
      </c>
      <c r="N606" t="s">
        <v>41</v>
      </c>
      <c r="O606" t="s">
        <v>32</v>
      </c>
      <c r="P606">
        <v>3.0407297420130801</v>
      </c>
      <c r="Q606">
        <v>0.77986140966469397</v>
      </c>
      <c r="R606">
        <v>4.4192757220858203</v>
      </c>
      <c r="S606">
        <v>48</v>
      </c>
      <c r="T606">
        <v>32</v>
      </c>
      <c r="U606">
        <v>429.11188509829998</v>
      </c>
      <c r="V606">
        <v>6.7076579094466097E-3</v>
      </c>
      <c r="W606">
        <v>1022751.28814238</v>
      </c>
      <c r="X606" t="s">
        <v>36</v>
      </c>
      <c r="Y606">
        <f>1-501-858-3978</f>
        <v>-5336</v>
      </c>
    </row>
    <row r="607" spans="1:25" x14ac:dyDescent="0.35">
      <c r="A607">
        <v>39.647883312612201</v>
      </c>
      <c r="B607">
        <v>-122.781396925759</v>
      </c>
      <c r="C607" t="s">
        <v>29</v>
      </c>
      <c r="D607">
        <v>6.5284938736809597</v>
      </c>
      <c r="E607">
        <v>3</v>
      </c>
      <c r="F607">
        <v>3818</v>
      </c>
      <c r="G607">
        <v>1</v>
      </c>
      <c r="H607">
        <v>2</v>
      </c>
      <c r="I607">
        <v>1996</v>
      </c>
      <c r="J607">
        <v>1</v>
      </c>
      <c r="K607">
        <v>1</v>
      </c>
      <c r="L607">
        <v>1</v>
      </c>
      <c r="M607">
        <v>12</v>
      </c>
      <c r="N607" t="s">
        <v>35</v>
      </c>
      <c r="O607" t="s">
        <v>27</v>
      </c>
      <c r="P607">
        <v>10.5045265347099</v>
      </c>
      <c r="Q607">
        <v>1.8437191572351099</v>
      </c>
      <c r="R607">
        <v>5.1095417977696096</v>
      </c>
      <c r="S607">
        <v>39</v>
      </c>
      <c r="T607">
        <v>61</v>
      </c>
      <c r="U607">
        <v>500.29248298616301</v>
      </c>
      <c r="V607">
        <v>3.1430068098480799E-3</v>
      </c>
      <c r="W607">
        <v>2178892.14364046</v>
      </c>
      <c r="X607" t="s">
        <v>33</v>
      </c>
      <c r="Y607">
        <f>1-874-147-8322</f>
        <v>-9342</v>
      </c>
    </row>
    <row r="608" spans="1:25" x14ac:dyDescent="0.35">
      <c r="A608">
        <v>37.039810073332198</v>
      </c>
      <c r="B608">
        <v>-114.74845013175999</v>
      </c>
      <c r="C608" t="s">
        <v>25</v>
      </c>
      <c r="D608">
        <v>23.3626805043993</v>
      </c>
      <c r="E608">
        <v>1</v>
      </c>
      <c r="F608">
        <v>4752</v>
      </c>
      <c r="G608">
        <v>2</v>
      </c>
      <c r="H608">
        <v>1</v>
      </c>
      <c r="I608">
        <v>2010</v>
      </c>
      <c r="J608">
        <v>0</v>
      </c>
      <c r="K608">
        <v>0</v>
      </c>
      <c r="L608">
        <v>1</v>
      </c>
      <c r="M608">
        <v>8</v>
      </c>
      <c r="N608" t="s">
        <v>35</v>
      </c>
      <c r="O608" t="s">
        <v>32</v>
      </c>
      <c r="P608">
        <v>4.7253726186152702</v>
      </c>
      <c r="Q608">
        <v>1.4681679275555599</v>
      </c>
      <c r="R608">
        <v>3.6791007082381002</v>
      </c>
      <c r="S608">
        <v>152</v>
      </c>
      <c r="T608">
        <v>35</v>
      </c>
      <c r="U608">
        <v>682.47955781891301</v>
      </c>
      <c r="V608">
        <v>1.68350168350168E-3</v>
      </c>
      <c r="W608">
        <v>3359509.5128081101</v>
      </c>
      <c r="X608" t="s">
        <v>31</v>
      </c>
      <c r="Y608">
        <f>1-477-808-5753</f>
        <v>-7037</v>
      </c>
    </row>
    <row r="609" spans="1:25" x14ac:dyDescent="0.35">
      <c r="A609">
        <v>40.633976895651799</v>
      </c>
      <c r="B609">
        <v>-116.828304268235</v>
      </c>
      <c r="C609" t="s">
        <v>29</v>
      </c>
      <c r="D609">
        <v>27.943998715871398</v>
      </c>
      <c r="E609">
        <v>7</v>
      </c>
      <c r="F609">
        <v>3619</v>
      </c>
      <c r="G609">
        <v>1</v>
      </c>
      <c r="H609">
        <v>1</v>
      </c>
      <c r="I609">
        <v>2007</v>
      </c>
      <c r="J609">
        <v>1</v>
      </c>
      <c r="K609">
        <v>0</v>
      </c>
      <c r="L609">
        <v>1</v>
      </c>
      <c r="M609">
        <v>2</v>
      </c>
      <c r="N609" t="s">
        <v>41</v>
      </c>
      <c r="O609" t="s">
        <v>27</v>
      </c>
      <c r="P609">
        <v>5.3884686142910203</v>
      </c>
      <c r="Q609">
        <v>1.41751133956534</v>
      </c>
      <c r="R609">
        <v>4.7059978879944797</v>
      </c>
      <c r="S609">
        <v>4</v>
      </c>
      <c r="T609">
        <v>24</v>
      </c>
      <c r="U609">
        <v>361.47743989429102</v>
      </c>
      <c r="V609">
        <v>5.5263885051118995E-4</v>
      </c>
      <c r="W609">
        <v>1530271.1608782499</v>
      </c>
      <c r="X609" t="s">
        <v>43</v>
      </c>
      <c r="Y609">
        <f>1-323-686-5745</f>
        <v>-6753</v>
      </c>
    </row>
    <row r="610" spans="1:25" x14ac:dyDescent="0.35">
      <c r="A610">
        <v>34.266306145258902</v>
      </c>
      <c r="B610">
        <v>-118.93431872638899</v>
      </c>
      <c r="C610" t="s">
        <v>34</v>
      </c>
      <c r="D610">
        <v>12.4080628325306</v>
      </c>
      <c r="E610">
        <v>1</v>
      </c>
      <c r="F610">
        <v>1338</v>
      </c>
      <c r="G610">
        <v>3</v>
      </c>
      <c r="H610">
        <v>1</v>
      </c>
      <c r="I610">
        <v>2015</v>
      </c>
      <c r="J610">
        <v>1</v>
      </c>
      <c r="K610">
        <v>0</v>
      </c>
      <c r="L610">
        <v>1</v>
      </c>
      <c r="M610">
        <v>14</v>
      </c>
      <c r="N610" t="s">
        <v>37</v>
      </c>
      <c r="O610" t="s">
        <v>32</v>
      </c>
      <c r="P610">
        <v>11.7132149925602</v>
      </c>
      <c r="Q610">
        <v>0.74115294345150395</v>
      </c>
      <c r="R610">
        <v>4.3840573537756802</v>
      </c>
      <c r="S610">
        <v>31</v>
      </c>
      <c r="T610">
        <v>43</v>
      </c>
      <c r="U610">
        <v>479.09849421627001</v>
      </c>
      <c r="V610">
        <v>1.04633781763826E-2</v>
      </c>
      <c r="W610">
        <v>979702.95479421399</v>
      </c>
      <c r="X610" t="s">
        <v>33</v>
      </c>
      <c r="Y610">
        <f>1-949-644-8806</f>
        <v>-10398</v>
      </c>
    </row>
    <row r="611" spans="1:25" x14ac:dyDescent="0.35">
      <c r="A611">
        <v>36.619707498632899</v>
      </c>
      <c r="B611">
        <v>-119.49629001362599</v>
      </c>
      <c r="C611" t="s">
        <v>29</v>
      </c>
      <c r="D611">
        <v>8.9883296010432403</v>
      </c>
      <c r="E611">
        <v>1</v>
      </c>
      <c r="F611">
        <v>4634</v>
      </c>
      <c r="G611">
        <v>1</v>
      </c>
      <c r="H611">
        <v>3</v>
      </c>
      <c r="I611">
        <v>1977</v>
      </c>
      <c r="J611">
        <v>1</v>
      </c>
      <c r="K611">
        <v>1</v>
      </c>
      <c r="L611">
        <v>1</v>
      </c>
      <c r="M611">
        <v>3</v>
      </c>
      <c r="N611" t="s">
        <v>26</v>
      </c>
      <c r="O611" t="s">
        <v>32</v>
      </c>
      <c r="P611">
        <v>9.1129814785304202</v>
      </c>
      <c r="Q611">
        <v>0.55720894129357401</v>
      </c>
      <c r="R611">
        <v>7.4116576915725201</v>
      </c>
      <c r="S611">
        <v>153</v>
      </c>
      <c r="T611">
        <v>52</v>
      </c>
      <c r="U611">
        <v>238.32687448342699</v>
      </c>
      <c r="V611">
        <v>6.4738886491152298E-4</v>
      </c>
      <c r="W611">
        <v>1385122.55466944</v>
      </c>
      <c r="X611" t="s">
        <v>36</v>
      </c>
      <c r="Y611">
        <f>1-311-591-2593</f>
        <v>-3494</v>
      </c>
    </row>
    <row r="612" spans="1:25" x14ac:dyDescent="0.35">
      <c r="A612">
        <v>35.852509900039799</v>
      </c>
      <c r="B612">
        <v>-120.683614799913</v>
      </c>
      <c r="C612" t="s">
        <v>29</v>
      </c>
      <c r="D612">
        <v>17.045417432778301</v>
      </c>
      <c r="E612">
        <v>3</v>
      </c>
      <c r="F612">
        <v>1951</v>
      </c>
      <c r="G612">
        <v>3</v>
      </c>
      <c r="H612">
        <v>2</v>
      </c>
      <c r="I612">
        <v>1999</v>
      </c>
      <c r="J612">
        <v>1</v>
      </c>
      <c r="K612">
        <v>1</v>
      </c>
      <c r="L612">
        <v>1</v>
      </c>
      <c r="M612">
        <v>8</v>
      </c>
      <c r="N612" t="s">
        <v>41</v>
      </c>
      <c r="O612" t="s">
        <v>27</v>
      </c>
      <c r="P612">
        <v>10.686981844068301</v>
      </c>
      <c r="Q612">
        <v>2.1757126105106601</v>
      </c>
      <c r="R612">
        <v>0.98177472952378597</v>
      </c>
      <c r="S612">
        <v>192</v>
      </c>
      <c r="T612">
        <v>37</v>
      </c>
      <c r="U612">
        <v>578.95583952634695</v>
      </c>
      <c r="V612">
        <v>4.1004613018964598E-3</v>
      </c>
      <c r="W612">
        <v>1501214.4751192799</v>
      </c>
      <c r="X612" t="s">
        <v>36</v>
      </c>
      <c r="Y612">
        <f>1-403-397-6598</f>
        <v>-7397</v>
      </c>
    </row>
    <row r="613" spans="1:25" x14ac:dyDescent="0.35">
      <c r="A613">
        <v>41.529296843721497</v>
      </c>
      <c r="B613">
        <v>-114.538020038855</v>
      </c>
      <c r="C613" t="s">
        <v>34</v>
      </c>
      <c r="D613">
        <v>46.538593425915501</v>
      </c>
      <c r="E613">
        <v>2</v>
      </c>
      <c r="F613">
        <v>3392</v>
      </c>
      <c r="G613">
        <v>4</v>
      </c>
      <c r="H613">
        <v>1</v>
      </c>
      <c r="I613">
        <v>1967</v>
      </c>
      <c r="J613">
        <v>0</v>
      </c>
      <c r="K613">
        <v>1</v>
      </c>
      <c r="L613">
        <v>0</v>
      </c>
      <c r="M613">
        <v>12</v>
      </c>
      <c r="N613" t="s">
        <v>37</v>
      </c>
      <c r="O613" t="s">
        <v>32</v>
      </c>
      <c r="P613">
        <v>13.668903479966399</v>
      </c>
      <c r="Q613">
        <v>0.62055646117279695</v>
      </c>
      <c r="R613">
        <v>4.2595886754565502</v>
      </c>
      <c r="S613">
        <v>43</v>
      </c>
      <c r="T613">
        <v>31</v>
      </c>
      <c r="U613">
        <v>240.297850324363</v>
      </c>
      <c r="V613">
        <v>3.5377358490566E-3</v>
      </c>
      <c r="W613">
        <v>1163357.3057671301</v>
      </c>
      <c r="X613" t="s">
        <v>28</v>
      </c>
      <c r="Y613">
        <f>1-602-588-1782</f>
        <v>-2971</v>
      </c>
    </row>
    <row r="614" spans="1:25" x14ac:dyDescent="0.35">
      <c r="A614">
        <v>38.290341901131903</v>
      </c>
      <c r="B614">
        <v>-114.396509184446</v>
      </c>
      <c r="C614" t="s">
        <v>29</v>
      </c>
      <c r="D614">
        <v>19.0352599855063</v>
      </c>
      <c r="E614">
        <v>8</v>
      </c>
      <c r="F614">
        <v>1343</v>
      </c>
      <c r="G614">
        <v>4</v>
      </c>
      <c r="H614">
        <v>1</v>
      </c>
      <c r="I614">
        <v>2010</v>
      </c>
      <c r="J614">
        <v>0</v>
      </c>
      <c r="K614">
        <v>1</v>
      </c>
      <c r="L614">
        <v>0</v>
      </c>
      <c r="M614">
        <v>12</v>
      </c>
      <c r="N614" t="s">
        <v>41</v>
      </c>
      <c r="O614" t="s">
        <v>27</v>
      </c>
      <c r="P614">
        <v>8.6082035398223091</v>
      </c>
      <c r="Q614">
        <v>1.3780561905239701</v>
      </c>
      <c r="R614">
        <v>6.65668432886247</v>
      </c>
      <c r="S614">
        <v>125</v>
      </c>
      <c r="T614">
        <v>38</v>
      </c>
      <c r="U614">
        <v>617.32606588392503</v>
      </c>
      <c r="V614">
        <v>8.9352196574832392E-3</v>
      </c>
      <c r="W614">
        <v>1193593.2904426099</v>
      </c>
      <c r="X614" t="s">
        <v>28</v>
      </c>
      <c r="Y614">
        <f>1-316-855-4156</f>
        <v>-5326</v>
      </c>
    </row>
    <row r="615" spans="1:25" x14ac:dyDescent="0.35">
      <c r="A615">
        <v>36.246322337759601</v>
      </c>
      <c r="B615">
        <v>-116.74121310321</v>
      </c>
      <c r="C615" t="s">
        <v>29</v>
      </c>
      <c r="D615">
        <v>8.59818445058192</v>
      </c>
      <c r="E615">
        <v>4</v>
      </c>
      <c r="F615">
        <v>2164</v>
      </c>
      <c r="G615">
        <v>2</v>
      </c>
      <c r="H615">
        <v>2</v>
      </c>
      <c r="I615">
        <v>1960</v>
      </c>
      <c r="J615">
        <v>1</v>
      </c>
      <c r="K615">
        <v>1</v>
      </c>
      <c r="L615">
        <v>1</v>
      </c>
      <c r="M615">
        <v>5</v>
      </c>
      <c r="N615" t="s">
        <v>26</v>
      </c>
      <c r="O615" t="s">
        <v>32</v>
      </c>
      <c r="P615">
        <v>3.7886879911851401</v>
      </c>
      <c r="Q615">
        <v>0.54336315233201204</v>
      </c>
      <c r="R615">
        <v>1.8757836707280401E-2</v>
      </c>
      <c r="S615">
        <v>34</v>
      </c>
      <c r="T615">
        <v>24</v>
      </c>
      <c r="U615">
        <v>281.98439617087001</v>
      </c>
      <c r="V615">
        <v>2.3105360443622901E-3</v>
      </c>
      <c r="W615">
        <v>945051.13043385802</v>
      </c>
      <c r="X615" t="s">
        <v>33</v>
      </c>
      <c r="Y615">
        <f>1-201-403-7743</f>
        <v>-8346</v>
      </c>
    </row>
    <row r="616" spans="1:25" x14ac:dyDescent="0.35">
      <c r="A616">
        <v>40.862260001513199</v>
      </c>
      <c r="B616">
        <v>-123.99101993129101</v>
      </c>
      <c r="C616" t="s">
        <v>29</v>
      </c>
      <c r="D616">
        <v>40.348322754395298</v>
      </c>
      <c r="E616">
        <v>5</v>
      </c>
      <c r="F616">
        <v>4679</v>
      </c>
      <c r="G616">
        <v>1</v>
      </c>
      <c r="H616">
        <v>2</v>
      </c>
      <c r="I616">
        <v>1976</v>
      </c>
      <c r="J616">
        <v>1</v>
      </c>
      <c r="K616">
        <v>0</v>
      </c>
      <c r="L616">
        <v>1</v>
      </c>
      <c r="M616">
        <v>11</v>
      </c>
      <c r="N616" t="s">
        <v>35</v>
      </c>
      <c r="O616" t="s">
        <v>30</v>
      </c>
      <c r="P616">
        <v>6.7077420844729403</v>
      </c>
      <c r="Q616">
        <v>1.21204731810971</v>
      </c>
      <c r="R616">
        <v>7.3153186363506002</v>
      </c>
      <c r="S616">
        <v>16</v>
      </c>
      <c r="T616">
        <v>72</v>
      </c>
      <c r="U616">
        <v>383.69552980195499</v>
      </c>
      <c r="V616">
        <v>2.3509296858303E-3</v>
      </c>
      <c r="W616">
        <v>1928226.33320859</v>
      </c>
      <c r="X616" t="s">
        <v>38</v>
      </c>
      <c r="Y616">
        <f>1-613-301-7143</f>
        <v>-8056</v>
      </c>
    </row>
    <row r="617" spans="1:25" x14ac:dyDescent="0.35">
      <c r="A617">
        <v>40.1798088317638</v>
      </c>
      <c r="B617">
        <v>-120.652421782633</v>
      </c>
      <c r="C617" t="s">
        <v>25</v>
      </c>
      <c r="D617">
        <v>41.799579465728698</v>
      </c>
      <c r="E617">
        <v>9</v>
      </c>
      <c r="F617">
        <v>1460</v>
      </c>
      <c r="G617">
        <v>4</v>
      </c>
      <c r="H617">
        <v>2</v>
      </c>
      <c r="I617">
        <v>1973</v>
      </c>
      <c r="J617">
        <v>0</v>
      </c>
      <c r="K617">
        <v>1</v>
      </c>
      <c r="L617">
        <v>0</v>
      </c>
      <c r="M617">
        <v>11</v>
      </c>
      <c r="N617" t="s">
        <v>26</v>
      </c>
      <c r="O617" t="s">
        <v>27</v>
      </c>
      <c r="P617">
        <v>8.5811229974304002</v>
      </c>
      <c r="Q617">
        <v>0.81521073187304904</v>
      </c>
      <c r="R617">
        <v>6.8420016683079101</v>
      </c>
      <c r="S617">
        <v>164</v>
      </c>
      <c r="T617">
        <v>69</v>
      </c>
      <c r="U617">
        <v>339.412980363099</v>
      </c>
      <c r="V617">
        <v>7.53424657534246E-3</v>
      </c>
      <c r="W617">
        <v>704416.30377758003</v>
      </c>
      <c r="X617" t="s">
        <v>39</v>
      </c>
      <c r="Y617">
        <f>1-960-225-2529</f>
        <v>-3713</v>
      </c>
    </row>
    <row r="618" spans="1:25" x14ac:dyDescent="0.35">
      <c r="A618">
        <v>35.055077760512702</v>
      </c>
      <c r="B618">
        <v>-119.546032499261</v>
      </c>
      <c r="C618" t="s">
        <v>25</v>
      </c>
      <c r="D618">
        <v>35.953159965442197</v>
      </c>
      <c r="E618">
        <v>4</v>
      </c>
      <c r="F618">
        <v>3751</v>
      </c>
      <c r="G618">
        <v>3</v>
      </c>
      <c r="H618">
        <v>2</v>
      </c>
      <c r="I618">
        <v>1974</v>
      </c>
      <c r="J618">
        <v>0</v>
      </c>
      <c r="K618">
        <v>0</v>
      </c>
      <c r="L618">
        <v>0</v>
      </c>
      <c r="M618">
        <v>9</v>
      </c>
      <c r="N618" t="s">
        <v>26</v>
      </c>
      <c r="O618" t="s">
        <v>32</v>
      </c>
      <c r="P618">
        <v>4.7840046378523002</v>
      </c>
      <c r="Q618">
        <v>2.4558594110660699</v>
      </c>
      <c r="R618">
        <v>1.87990387093885</v>
      </c>
      <c r="S618">
        <v>152</v>
      </c>
      <c r="T618">
        <v>73</v>
      </c>
      <c r="U618">
        <v>859.87452376077601</v>
      </c>
      <c r="V618">
        <v>2.3993601706211601E-3</v>
      </c>
      <c r="W618">
        <v>3327724.6182606202</v>
      </c>
      <c r="X618" t="s">
        <v>36</v>
      </c>
      <c r="Y618">
        <f>1-749-372-9847</f>
        <v>-10967</v>
      </c>
    </row>
    <row r="619" spans="1:25" x14ac:dyDescent="0.35">
      <c r="A619">
        <v>39.6827708200723</v>
      </c>
      <c r="B619">
        <v>-116.516343438631</v>
      </c>
      <c r="C619" t="s">
        <v>29</v>
      </c>
      <c r="D619">
        <v>45.295952508957697</v>
      </c>
      <c r="E619">
        <v>7</v>
      </c>
      <c r="F619">
        <v>4426</v>
      </c>
      <c r="G619">
        <v>2</v>
      </c>
      <c r="H619">
        <v>1</v>
      </c>
      <c r="I619">
        <v>1954</v>
      </c>
      <c r="J619">
        <v>1</v>
      </c>
      <c r="K619">
        <v>0</v>
      </c>
      <c r="L619">
        <v>0</v>
      </c>
      <c r="M619">
        <v>2</v>
      </c>
      <c r="N619" t="s">
        <v>35</v>
      </c>
      <c r="O619" t="s">
        <v>27</v>
      </c>
      <c r="P619">
        <v>7.1913000622171097</v>
      </c>
      <c r="Q619">
        <v>2.1564596869382102</v>
      </c>
      <c r="R619">
        <v>8.3194929625774492</v>
      </c>
      <c r="S619">
        <v>82</v>
      </c>
      <c r="T619">
        <v>43</v>
      </c>
      <c r="U619">
        <v>224.78349272723599</v>
      </c>
      <c r="V619">
        <v>4.5187528242205099E-4</v>
      </c>
      <c r="W619">
        <v>1004450.44343311</v>
      </c>
      <c r="X619" t="s">
        <v>31</v>
      </c>
      <c r="Y619">
        <f>1-300-529-9079</f>
        <v>-9907</v>
      </c>
    </row>
    <row r="620" spans="1:25" x14ac:dyDescent="0.35">
      <c r="A620">
        <v>33.597282415309699</v>
      </c>
      <c r="B620">
        <v>-114.44441736057701</v>
      </c>
      <c r="C620" t="s">
        <v>29</v>
      </c>
      <c r="D620">
        <v>32.021958197560799</v>
      </c>
      <c r="E620">
        <v>1</v>
      </c>
      <c r="F620">
        <v>937</v>
      </c>
      <c r="G620">
        <v>4</v>
      </c>
      <c r="H620">
        <v>1</v>
      </c>
      <c r="I620">
        <v>1959</v>
      </c>
      <c r="J620">
        <v>1</v>
      </c>
      <c r="K620">
        <v>0</v>
      </c>
      <c r="L620">
        <v>1</v>
      </c>
      <c r="M620">
        <v>10</v>
      </c>
      <c r="N620" t="s">
        <v>35</v>
      </c>
      <c r="O620" t="s">
        <v>32</v>
      </c>
      <c r="P620">
        <v>8.5301234571519799</v>
      </c>
      <c r="Q620">
        <v>1.9064161946695699</v>
      </c>
      <c r="R620">
        <v>4.1007229391947799</v>
      </c>
      <c r="S620">
        <v>134</v>
      </c>
      <c r="T620">
        <v>24</v>
      </c>
      <c r="U620">
        <v>885.606921511363</v>
      </c>
      <c r="V620">
        <v>1.06723585912486E-2</v>
      </c>
      <c r="W620">
        <v>1143518.86810489</v>
      </c>
      <c r="X620" t="s">
        <v>43</v>
      </c>
      <c r="Y620">
        <f>1-514-573-6890</f>
        <v>-7976</v>
      </c>
    </row>
    <row r="621" spans="1:25" x14ac:dyDescent="0.35">
      <c r="A621">
        <v>33.697992356297398</v>
      </c>
      <c r="B621">
        <v>-121.538046569917</v>
      </c>
      <c r="C621" t="s">
        <v>34</v>
      </c>
      <c r="D621">
        <v>19.170764115191002</v>
      </c>
      <c r="E621">
        <v>6</v>
      </c>
      <c r="F621">
        <v>3189</v>
      </c>
      <c r="G621">
        <v>3</v>
      </c>
      <c r="H621">
        <v>2</v>
      </c>
      <c r="I621">
        <v>1982</v>
      </c>
      <c r="J621">
        <v>1</v>
      </c>
      <c r="K621">
        <v>1</v>
      </c>
      <c r="L621">
        <v>1</v>
      </c>
      <c r="M621">
        <v>9</v>
      </c>
      <c r="N621" t="s">
        <v>26</v>
      </c>
      <c r="O621" t="s">
        <v>32</v>
      </c>
      <c r="P621">
        <v>6.2391553558830504</v>
      </c>
      <c r="Q621">
        <v>1.3388586585314199</v>
      </c>
      <c r="R621">
        <v>9.0695125820986</v>
      </c>
      <c r="S621">
        <v>120</v>
      </c>
      <c r="T621">
        <v>50</v>
      </c>
      <c r="U621">
        <v>864.49546016821205</v>
      </c>
      <c r="V621">
        <v>2.8222013170272802E-3</v>
      </c>
      <c r="W621">
        <v>3142369.13093522</v>
      </c>
      <c r="X621" t="s">
        <v>31</v>
      </c>
      <c r="Y621">
        <f>1-652-262-5471</f>
        <v>-6384</v>
      </c>
    </row>
    <row r="622" spans="1:25" x14ac:dyDescent="0.35">
      <c r="A622">
        <v>40.508771894568099</v>
      </c>
      <c r="B622">
        <v>-122.678441036769</v>
      </c>
      <c r="C622" t="s">
        <v>25</v>
      </c>
      <c r="D622">
        <v>36.078464181223502</v>
      </c>
      <c r="E622">
        <v>2</v>
      </c>
      <c r="F622">
        <v>1469</v>
      </c>
      <c r="G622">
        <v>5</v>
      </c>
      <c r="H622">
        <v>3</v>
      </c>
      <c r="I622">
        <v>1996</v>
      </c>
      <c r="J622">
        <v>1</v>
      </c>
      <c r="K622">
        <v>0</v>
      </c>
      <c r="L622">
        <v>0</v>
      </c>
      <c r="M622">
        <v>4</v>
      </c>
      <c r="N622" t="s">
        <v>37</v>
      </c>
      <c r="O622" t="s">
        <v>32</v>
      </c>
      <c r="P622">
        <v>7.9323398616737997</v>
      </c>
      <c r="Q622">
        <v>2.4073104217157102</v>
      </c>
      <c r="R622">
        <v>4.1647487224517796</v>
      </c>
      <c r="S622">
        <v>56</v>
      </c>
      <c r="T622">
        <v>69</v>
      </c>
      <c r="U622">
        <v>860.86419824191</v>
      </c>
      <c r="V622">
        <v>2.7229407760381201E-3</v>
      </c>
      <c r="W622">
        <v>1676451.8332229899</v>
      </c>
      <c r="X622" t="s">
        <v>28</v>
      </c>
      <c r="Y622">
        <f>1-267-547-5704</f>
        <v>-6517</v>
      </c>
    </row>
    <row r="623" spans="1:25" x14ac:dyDescent="0.35">
      <c r="A623">
        <v>36.5303485171194</v>
      </c>
      <c r="B623">
        <v>-115.50105016377501</v>
      </c>
      <c r="C623" t="s">
        <v>25</v>
      </c>
      <c r="D623">
        <v>7.0001563366533901</v>
      </c>
      <c r="E623">
        <v>5</v>
      </c>
      <c r="F623">
        <v>1684</v>
      </c>
      <c r="G623">
        <v>1</v>
      </c>
      <c r="H623">
        <v>3</v>
      </c>
      <c r="I623">
        <v>1992</v>
      </c>
      <c r="J623">
        <v>0</v>
      </c>
      <c r="K623">
        <v>0</v>
      </c>
      <c r="L623">
        <v>1</v>
      </c>
      <c r="M623">
        <v>2</v>
      </c>
      <c r="N623" t="s">
        <v>41</v>
      </c>
      <c r="O623" t="s">
        <v>27</v>
      </c>
      <c r="P623">
        <v>14.0168766216614</v>
      </c>
      <c r="Q623">
        <v>0.59176016532764097</v>
      </c>
      <c r="R623">
        <v>7.89944182100845</v>
      </c>
      <c r="S623">
        <v>85</v>
      </c>
      <c r="T623">
        <v>52</v>
      </c>
      <c r="U623">
        <v>573.75454278281097</v>
      </c>
      <c r="V623">
        <v>1.187648456057E-3</v>
      </c>
      <c r="W623">
        <v>1153230.9181850301</v>
      </c>
      <c r="X623" t="s">
        <v>38</v>
      </c>
      <c r="Y623">
        <f>1-360-690-3780</f>
        <v>-4829</v>
      </c>
    </row>
    <row r="624" spans="1:25" x14ac:dyDescent="0.35">
      <c r="A624">
        <v>36.747407883155702</v>
      </c>
      <c r="B624">
        <v>-115.91274960897999</v>
      </c>
      <c r="C624" t="s">
        <v>34</v>
      </c>
      <c r="D624">
        <v>28.038273102879401</v>
      </c>
      <c r="E624">
        <v>8</v>
      </c>
      <c r="F624">
        <v>2296</v>
      </c>
      <c r="G624">
        <v>1</v>
      </c>
      <c r="H624">
        <v>3</v>
      </c>
      <c r="I624">
        <v>1988</v>
      </c>
      <c r="J624">
        <v>1</v>
      </c>
      <c r="K624">
        <v>1</v>
      </c>
      <c r="L624">
        <v>0</v>
      </c>
      <c r="M624">
        <v>12</v>
      </c>
      <c r="N624" t="s">
        <v>37</v>
      </c>
      <c r="O624" t="s">
        <v>32</v>
      </c>
      <c r="P624">
        <v>11.6651235751382</v>
      </c>
      <c r="Q624">
        <v>2.2893708690264098</v>
      </c>
      <c r="R624">
        <v>4.1835667923776096</v>
      </c>
      <c r="S624">
        <v>82</v>
      </c>
      <c r="T624">
        <v>26</v>
      </c>
      <c r="U624">
        <v>365.56155541003199</v>
      </c>
      <c r="V624">
        <v>5.2264808362369299E-3</v>
      </c>
      <c r="W624">
        <v>1120554.83977438</v>
      </c>
      <c r="X624" t="s">
        <v>38</v>
      </c>
      <c r="Y624">
        <f>1-543-434-3383</f>
        <v>-4359</v>
      </c>
    </row>
    <row r="625" spans="1:25" x14ac:dyDescent="0.35">
      <c r="A625">
        <v>34.656335344152403</v>
      </c>
      <c r="B625">
        <v>-117.981091942452</v>
      </c>
      <c r="C625" t="s">
        <v>34</v>
      </c>
      <c r="D625">
        <v>34.840226968982797</v>
      </c>
      <c r="E625">
        <v>0</v>
      </c>
      <c r="F625">
        <v>1782</v>
      </c>
      <c r="G625">
        <v>3</v>
      </c>
      <c r="H625">
        <v>2</v>
      </c>
      <c r="I625">
        <v>1950</v>
      </c>
      <c r="J625">
        <v>1</v>
      </c>
      <c r="K625">
        <v>1</v>
      </c>
      <c r="L625">
        <v>0</v>
      </c>
      <c r="M625">
        <v>8</v>
      </c>
      <c r="N625" t="s">
        <v>37</v>
      </c>
      <c r="O625" t="s">
        <v>27</v>
      </c>
      <c r="P625">
        <v>8.5102722094080292</v>
      </c>
      <c r="Q625">
        <v>1.0048070775534601</v>
      </c>
      <c r="R625">
        <v>6.711411358176</v>
      </c>
      <c r="S625">
        <v>175</v>
      </c>
      <c r="T625">
        <v>20</v>
      </c>
      <c r="U625">
        <v>850.00836892601501</v>
      </c>
      <c r="V625">
        <v>4.4893378226711503E-3</v>
      </c>
      <c r="W625">
        <v>1734646.6801370599</v>
      </c>
      <c r="X625" t="s">
        <v>40</v>
      </c>
      <c r="Y625">
        <f>1-211-626-5082</f>
        <v>-5918</v>
      </c>
    </row>
    <row r="626" spans="1:25" x14ac:dyDescent="0.35">
      <c r="A626">
        <v>33.513181509543301</v>
      </c>
      <c r="B626">
        <v>-116.67378108505299</v>
      </c>
      <c r="C626" t="s">
        <v>34</v>
      </c>
      <c r="D626">
        <v>20.405627249155501</v>
      </c>
      <c r="E626">
        <v>8</v>
      </c>
      <c r="F626">
        <v>2624</v>
      </c>
      <c r="G626">
        <v>1</v>
      </c>
      <c r="H626">
        <v>1</v>
      </c>
      <c r="I626">
        <v>1995</v>
      </c>
      <c r="J626">
        <v>1</v>
      </c>
      <c r="K626">
        <v>1</v>
      </c>
      <c r="L626">
        <v>1</v>
      </c>
      <c r="M626">
        <v>9</v>
      </c>
      <c r="N626" t="s">
        <v>41</v>
      </c>
      <c r="O626" t="s">
        <v>32</v>
      </c>
      <c r="P626">
        <v>12.7867105575925</v>
      </c>
      <c r="Q626">
        <v>1.96690230191091</v>
      </c>
      <c r="R626">
        <v>4.3657886142198903</v>
      </c>
      <c r="S626">
        <v>115</v>
      </c>
      <c r="T626">
        <v>64</v>
      </c>
      <c r="U626">
        <v>276.52276380217398</v>
      </c>
      <c r="V626">
        <v>3.42987804878048E-3</v>
      </c>
      <c r="W626">
        <v>1042584.02489545</v>
      </c>
      <c r="X626" t="s">
        <v>44</v>
      </c>
      <c r="Y626">
        <f>1-812-467-3361</f>
        <v>-4639</v>
      </c>
    </row>
    <row r="627" spans="1:25" x14ac:dyDescent="0.35">
      <c r="A627">
        <v>33.284887205835503</v>
      </c>
      <c r="B627">
        <v>-117.44275304473101</v>
      </c>
      <c r="C627" t="s">
        <v>25</v>
      </c>
      <c r="D627">
        <v>24.2466283983814</v>
      </c>
      <c r="E627">
        <v>5</v>
      </c>
      <c r="F627">
        <v>3569</v>
      </c>
      <c r="G627">
        <v>4</v>
      </c>
      <c r="H627">
        <v>2</v>
      </c>
      <c r="I627">
        <v>1978</v>
      </c>
      <c r="J627">
        <v>1</v>
      </c>
      <c r="K627">
        <v>0</v>
      </c>
      <c r="L627">
        <v>1</v>
      </c>
      <c r="M627">
        <v>9</v>
      </c>
      <c r="N627" t="s">
        <v>26</v>
      </c>
      <c r="O627" t="s">
        <v>27</v>
      </c>
      <c r="P627">
        <v>5.3216686762624104</v>
      </c>
      <c r="Q627">
        <v>2.1809122583282901</v>
      </c>
      <c r="R627">
        <v>5.4348919096575399</v>
      </c>
      <c r="S627">
        <v>59</v>
      </c>
      <c r="T627">
        <v>24</v>
      </c>
      <c r="U627">
        <v>765.09978791738899</v>
      </c>
      <c r="V627">
        <v>2.5217147660409E-3</v>
      </c>
      <c r="W627">
        <v>2991714.1687260699</v>
      </c>
      <c r="X627" t="s">
        <v>28</v>
      </c>
      <c r="Y627">
        <f>1-590-485-4584</f>
        <v>-5658</v>
      </c>
    </row>
    <row r="628" spans="1:25" x14ac:dyDescent="0.35">
      <c r="A628">
        <v>34.811951625824697</v>
      </c>
      <c r="B628">
        <v>-115.22255492057801</v>
      </c>
      <c r="C628" t="s">
        <v>34</v>
      </c>
      <c r="D628">
        <v>39.4776644319534</v>
      </c>
      <c r="E628">
        <v>2</v>
      </c>
      <c r="F628">
        <v>3847</v>
      </c>
      <c r="G628">
        <v>5</v>
      </c>
      <c r="H628">
        <v>1</v>
      </c>
      <c r="I628">
        <v>1999</v>
      </c>
      <c r="J628">
        <v>0</v>
      </c>
      <c r="K628">
        <v>1</v>
      </c>
      <c r="L628">
        <v>0</v>
      </c>
      <c r="M628">
        <v>6</v>
      </c>
      <c r="N628" t="s">
        <v>26</v>
      </c>
      <c r="O628" t="s">
        <v>27</v>
      </c>
      <c r="P628">
        <v>10.6070251577659</v>
      </c>
      <c r="Q628">
        <v>0.82427607499294497</v>
      </c>
      <c r="R628">
        <v>6.9887853917095004</v>
      </c>
      <c r="S628">
        <v>16</v>
      </c>
      <c r="T628">
        <v>42</v>
      </c>
      <c r="U628">
        <v>780.80837142247105</v>
      </c>
      <c r="V628">
        <v>1.55965687548739E-3</v>
      </c>
      <c r="W628">
        <v>3368564.3528529899</v>
      </c>
      <c r="X628" t="s">
        <v>33</v>
      </c>
      <c r="Y628">
        <f>1-416-690-4766</f>
        <v>-5871</v>
      </c>
    </row>
    <row r="629" spans="1:25" x14ac:dyDescent="0.35">
      <c r="A629">
        <v>39.941388454742601</v>
      </c>
      <c r="B629">
        <v>-124.11234883805</v>
      </c>
      <c r="C629" t="s">
        <v>34</v>
      </c>
      <c r="D629">
        <v>16.820908124651499</v>
      </c>
      <c r="E629">
        <v>4</v>
      </c>
      <c r="F629">
        <v>4057</v>
      </c>
      <c r="G629">
        <v>4</v>
      </c>
      <c r="H629">
        <v>3</v>
      </c>
      <c r="I629">
        <v>1961</v>
      </c>
      <c r="J629">
        <v>1</v>
      </c>
      <c r="K629">
        <v>1</v>
      </c>
      <c r="L629">
        <v>0</v>
      </c>
      <c r="M629">
        <v>10</v>
      </c>
      <c r="N629" t="s">
        <v>41</v>
      </c>
      <c r="O629" t="s">
        <v>27</v>
      </c>
      <c r="P629">
        <v>4.26229085960383</v>
      </c>
      <c r="Q629">
        <v>2.46939102346114</v>
      </c>
      <c r="R629">
        <v>3.7176849267785701</v>
      </c>
      <c r="S629">
        <v>57</v>
      </c>
      <c r="T629">
        <v>20</v>
      </c>
      <c r="U629">
        <v>909.77240544944402</v>
      </c>
      <c r="V629">
        <v>2.4648755237860402E-3</v>
      </c>
      <c r="W629">
        <v>4015434.86261106</v>
      </c>
      <c r="X629" t="s">
        <v>40</v>
      </c>
      <c r="Y629">
        <f>1-666-590-7675</f>
        <v>-8930</v>
      </c>
    </row>
    <row r="630" spans="1:25" x14ac:dyDescent="0.35">
      <c r="A630">
        <v>38.701736112892803</v>
      </c>
      <c r="B630">
        <v>-120.84058922556</v>
      </c>
      <c r="C630" t="s">
        <v>25</v>
      </c>
      <c r="D630">
        <v>26.784285387375</v>
      </c>
      <c r="E630">
        <v>2</v>
      </c>
      <c r="F630">
        <v>4589</v>
      </c>
      <c r="G630">
        <v>3</v>
      </c>
      <c r="H630">
        <v>1</v>
      </c>
      <c r="I630">
        <v>1983</v>
      </c>
      <c r="J630">
        <v>0</v>
      </c>
      <c r="K630">
        <v>1</v>
      </c>
      <c r="L630">
        <v>1</v>
      </c>
      <c r="M630">
        <v>12</v>
      </c>
      <c r="N630" t="s">
        <v>35</v>
      </c>
      <c r="O630" t="s">
        <v>30</v>
      </c>
      <c r="P630">
        <v>4.6084924447268696</v>
      </c>
      <c r="Q630">
        <v>2.39783560911608</v>
      </c>
      <c r="R630">
        <v>2.3369041159869099</v>
      </c>
      <c r="S630">
        <v>48</v>
      </c>
      <c r="T630">
        <v>40</v>
      </c>
      <c r="U630">
        <v>748.00419404964805</v>
      </c>
      <c r="V630">
        <v>2.61494879058618E-3</v>
      </c>
      <c r="W630">
        <v>3658562.7494315798</v>
      </c>
      <c r="X630" t="s">
        <v>40</v>
      </c>
      <c r="Y630">
        <f>1-667-446-2506</f>
        <v>-3618</v>
      </c>
    </row>
    <row r="631" spans="1:25" x14ac:dyDescent="0.35">
      <c r="A631">
        <v>35.8582095102376</v>
      </c>
      <c r="B631">
        <v>-121.059825007767</v>
      </c>
      <c r="C631" t="s">
        <v>29</v>
      </c>
      <c r="D631">
        <v>16.152399971771999</v>
      </c>
      <c r="E631">
        <v>9</v>
      </c>
      <c r="F631">
        <v>4818</v>
      </c>
      <c r="G631">
        <v>4</v>
      </c>
      <c r="H631">
        <v>1</v>
      </c>
      <c r="I631">
        <v>1957</v>
      </c>
      <c r="J631">
        <v>0</v>
      </c>
      <c r="K631">
        <v>1</v>
      </c>
      <c r="L631">
        <v>0</v>
      </c>
      <c r="M631">
        <v>12</v>
      </c>
      <c r="N631" t="s">
        <v>37</v>
      </c>
      <c r="O631" t="s">
        <v>27</v>
      </c>
      <c r="P631">
        <v>7.3750407388977299</v>
      </c>
      <c r="Q631">
        <v>1.4381864298973699</v>
      </c>
      <c r="R631">
        <v>5.1036968599746402</v>
      </c>
      <c r="S631">
        <v>49</v>
      </c>
      <c r="T631">
        <v>58</v>
      </c>
      <c r="U631">
        <v>413.08777305771201</v>
      </c>
      <c r="V631">
        <v>2.4906600249065998E-3</v>
      </c>
      <c r="W631">
        <v>2370128.1951578702</v>
      </c>
      <c r="X631" t="s">
        <v>33</v>
      </c>
      <c r="Y631">
        <f>1-919-226-8857</f>
        <v>-10001</v>
      </c>
    </row>
    <row r="632" spans="1:25" x14ac:dyDescent="0.35">
      <c r="A632">
        <v>39.703462133094298</v>
      </c>
      <c r="B632">
        <v>-121.02113524194</v>
      </c>
      <c r="C632" t="s">
        <v>34</v>
      </c>
      <c r="D632">
        <v>2.3825955753016399</v>
      </c>
      <c r="E632">
        <v>0</v>
      </c>
      <c r="F632">
        <v>3163</v>
      </c>
      <c r="G632">
        <v>3</v>
      </c>
      <c r="H632">
        <v>1</v>
      </c>
      <c r="I632">
        <v>2000</v>
      </c>
      <c r="J632">
        <v>0</v>
      </c>
      <c r="K632">
        <v>1</v>
      </c>
      <c r="L632">
        <v>0</v>
      </c>
      <c r="M632">
        <v>3</v>
      </c>
      <c r="N632" t="s">
        <v>35</v>
      </c>
      <c r="O632" t="s">
        <v>30</v>
      </c>
      <c r="P632">
        <v>3.7768012641811</v>
      </c>
      <c r="Q632">
        <v>2.3548396087140802</v>
      </c>
      <c r="R632">
        <v>4.6809750676950701</v>
      </c>
      <c r="S632">
        <v>136</v>
      </c>
      <c r="T632">
        <v>42</v>
      </c>
      <c r="U632">
        <v>637.11119513662697</v>
      </c>
      <c r="V632">
        <v>9.4846664558962995E-4</v>
      </c>
      <c r="W632">
        <v>2313004.4577474301</v>
      </c>
      <c r="X632" t="s">
        <v>44</v>
      </c>
      <c r="Y632">
        <f>1-928-367-5170</f>
        <v>-6464</v>
      </c>
    </row>
    <row r="633" spans="1:25" x14ac:dyDescent="0.35">
      <c r="A633">
        <v>35.969624323677301</v>
      </c>
      <c r="B633">
        <v>-117.520217232834</v>
      </c>
      <c r="C633" t="s">
        <v>34</v>
      </c>
      <c r="D633">
        <v>27.2295686285572</v>
      </c>
      <c r="E633">
        <v>5</v>
      </c>
      <c r="F633">
        <v>1308</v>
      </c>
      <c r="G633">
        <v>4</v>
      </c>
      <c r="H633">
        <v>3</v>
      </c>
      <c r="I633">
        <v>1992</v>
      </c>
      <c r="J633">
        <v>1</v>
      </c>
      <c r="K633">
        <v>1</v>
      </c>
      <c r="L633">
        <v>1</v>
      </c>
      <c r="M633">
        <v>12</v>
      </c>
      <c r="N633" t="s">
        <v>35</v>
      </c>
      <c r="O633" t="s">
        <v>30</v>
      </c>
      <c r="P633">
        <v>9.3130260388741402</v>
      </c>
      <c r="Q633">
        <v>1.6637961085439801</v>
      </c>
      <c r="R633">
        <v>1.2792589621200701</v>
      </c>
      <c r="S633">
        <v>60</v>
      </c>
      <c r="T633">
        <v>35</v>
      </c>
      <c r="U633">
        <v>354.380018241806</v>
      </c>
      <c r="V633">
        <v>9.1743119266054999E-3</v>
      </c>
      <c r="W633">
        <v>1033497.9052469101</v>
      </c>
      <c r="X633" t="s">
        <v>31</v>
      </c>
      <c r="Y633">
        <f>1-473-983-2900</f>
        <v>-4355</v>
      </c>
    </row>
    <row r="634" spans="1:25" x14ac:dyDescent="0.35">
      <c r="A634">
        <v>36.140269644295202</v>
      </c>
      <c r="B634">
        <v>-123.377681837477</v>
      </c>
      <c r="C634" t="s">
        <v>25</v>
      </c>
      <c r="D634">
        <v>12.841623128785701</v>
      </c>
      <c r="E634">
        <v>3</v>
      </c>
      <c r="F634">
        <v>2113</v>
      </c>
      <c r="G634">
        <v>5</v>
      </c>
      <c r="H634">
        <v>2</v>
      </c>
      <c r="I634">
        <v>1961</v>
      </c>
      <c r="J634">
        <v>1</v>
      </c>
      <c r="K634">
        <v>0</v>
      </c>
      <c r="L634">
        <v>0</v>
      </c>
      <c r="M634">
        <v>4</v>
      </c>
      <c r="N634" t="s">
        <v>35</v>
      </c>
      <c r="O634" t="s">
        <v>27</v>
      </c>
      <c r="P634">
        <v>2.8970612229442598</v>
      </c>
      <c r="Q634">
        <v>0.65466227889089901</v>
      </c>
      <c r="R634">
        <v>8.0491758655388495</v>
      </c>
      <c r="S634">
        <v>147</v>
      </c>
      <c r="T634">
        <v>53</v>
      </c>
      <c r="U634">
        <v>858.52645253183698</v>
      </c>
      <c r="V634">
        <v>1.89304306672976E-3</v>
      </c>
      <c r="W634">
        <v>2047594.28175865</v>
      </c>
      <c r="X634" t="s">
        <v>31</v>
      </c>
      <c r="Y634">
        <f>1-918-739-8592</f>
        <v>-10248</v>
      </c>
    </row>
    <row r="635" spans="1:25" x14ac:dyDescent="0.35">
      <c r="A635">
        <v>36.626481302920801</v>
      </c>
      <c r="B635">
        <v>-120.38100680194999</v>
      </c>
      <c r="C635" t="s">
        <v>29</v>
      </c>
      <c r="D635">
        <v>40.346283753859197</v>
      </c>
      <c r="E635">
        <v>9</v>
      </c>
      <c r="F635">
        <v>1395</v>
      </c>
      <c r="G635">
        <v>4</v>
      </c>
      <c r="H635">
        <v>3</v>
      </c>
      <c r="I635">
        <v>1951</v>
      </c>
      <c r="J635">
        <v>1</v>
      </c>
      <c r="K635">
        <v>0</v>
      </c>
      <c r="L635">
        <v>1</v>
      </c>
      <c r="M635">
        <v>9</v>
      </c>
      <c r="N635" t="s">
        <v>37</v>
      </c>
      <c r="O635" t="s">
        <v>32</v>
      </c>
      <c r="P635">
        <v>6.2251669174280897</v>
      </c>
      <c r="Q635">
        <v>2.0005550892252399</v>
      </c>
      <c r="R635">
        <v>0.61707148932128997</v>
      </c>
      <c r="S635">
        <v>145</v>
      </c>
      <c r="T635">
        <v>69</v>
      </c>
      <c r="U635">
        <v>365.790404255525</v>
      </c>
      <c r="V635">
        <v>6.4516129032258004E-3</v>
      </c>
      <c r="W635">
        <v>832201.02069460205</v>
      </c>
      <c r="X635" t="s">
        <v>28</v>
      </c>
      <c r="Y635">
        <f>1-877-416-7373</f>
        <v>-8665</v>
      </c>
    </row>
    <row r="636" spans="1:25" x14ac:dyDescent="0.35">
      <c r="A636">
        <v>41.689447748467501</v>
      </c>
      <c r="B636">
        <v>-121.293619912073</v>
      </c>
      <c r="C636" t="s">
        <v>29</v>
      </c>
      <c r="D636">
        <v>36.607480098387903</v>
      </c>
      <c r="E636">
        <v>8</v>
      </c>
      <c r="F636">
        <v>1387</v>
      </c>
      <c r="G636">
        <v>1</v>
      </c>
      <c r="H636">
        <v>1</v>
      </c>
      <c r="I636">
        <v>1989</v>
      </c>
      <c r="J636">
        <v>1</v>
      </c>
      <c r="K636">
        <v>1</v>
      </c>
      <c r="L636">
        <v>1</v>
      </c>
      <c r="M636">
        <v>5</v>
      </c>
      <c r="N636" t="s">
        <v>35</v>
      </c>
      <c r="O636" t="s">
        <v>27</v>
      </c>
      <c r="P636">
        <v>11.060885904374601</v>
      </c>
      <c r="Q636">
        <v>1.8217007054526</v>
      </c>
      <c r="R636">
        <v>2.1123869620845199</v>
      </c>
      <c r="S636">
        <v>30</v>
      </c>
      <c r="T636">
        <v>20</v>
      </c>
      <c r="U636">
        <v>869.05066438809001</v>
      </c>
      <c r="V636">
        <v>3.6049026676279699E-3</v>
      </c>
      <c r="W636">
        <v>1444612.6420589499</v>
      </c>
      <c r="X636" t="s">
        <v>31</v>
      </c>
      <c r="Y636">
        <f>1-496-490-1817</f>
        <v>-2802</v>
      </c>
    </row>
    <row r="637" spans="1:25" x14ac:dyDescent="0.35">
      <c r="A637">
        <v>34.031584610764199</v>
      </c>
      <c r="B637">
        <v>-122.72402438721799</v>
      </c>
      <c r="C637" t="s">
        <v>29</v>
      </c>
      <c r="D637">
        <v>13.361311417261099</v>
      </c>
      <c r="E637">
        <v>2</v>
      </c>
      <c r="F637">
        <v>3876</v>
      </c>
      <c r="G637">
        <v>4</v>
      </c>
      <c r="H637">
        <v>2</v>
      </c>
      <c r="I637">
        <v>2016</v>
      </c>
      <c r="J637">
        <v>0</v>
      </c>
      <c r="K637">
        <v>1</v>
      </c>
      <c r="L637">
        <v>1</v>
      </c>
      <c r="M637">
        <v>6</v>
      </c>
      <c r="N637" t="s">
        <v>26</v>
      </c>
      <c r="O637" t="s">
        <v>30</v>
      </c>
      <c r="P637">
        <v>9.4568299788352306</v>
      </c>
      <c r="Q637">
        <v>1.9979684628782</v>
      </c>
      <c r="R637">
        <v>4.5741068237808102</v>
      </c>
      <c r="S637">
        <v>142</v>
      </c>
      <c r="T637">
        <v>27</v>
      </c>
      <c r="U637">
        <v>420.40636679600101</v>
      </c>
      <c r="V637">
        <v>1.54798761609907E-3</v>
      </c>
      <c r="W637">
        <v>2057208.0954680401</v>
      </c>
      <c r="X637" t="s">
        <v>31</v>
      </c>
      <c r="Y637">
        <f>1-684-194-1733</f>
        <v>-2610</v>
      </c>
    </row>
    <row r="638" spans="1:25" x14ac:dyDescent="0.35">
      <c r="A638">
        <v>35.258865709649399</v>
      </c>
      <c r="B638">
        <v>-120.399143527397</v>
      </c>
      <c r="C638" t="s">
        <v>29</v>
      </c>
      <c r="D638">
        <v>41.710762935117501</v>
      </c>
      <c r="E638">
        <v>2</v>
      </c>
      <c r="F638">
        <v>4074</v>
      </c>
      <c r="G638">
        <v>4</v>
      </c>
      <c r="H638">
        <v>3</v>
      </c>
      <c r="I638">
        <v>1959</v>
      </c>
      <c r="J638">
        <v>1</v>
      </c>
      <c r="K638">
        <v>1</v>
      </c>
      <c r="L638">
        <v>0</v>
      </c>
      <c r="M638">
        <v>13</v>
      </c>
      <c r="N638" t="s">
        <v>26</v>
      </c>
      <c r="O638" t="s">
        <v>27</v>
      </c>
      <c r="P638">
        <v>4.0226617385771002</v>
      </c>
      <c r="Q638">
        <v>1.8152737774173</v>
      </c>
      <c r="R638">
        <v>9.0791120383562092</v>
      </c>
      <c r="S638">
        <v>0</v>
      </c>
      <c r="T638">
        <v>74</v>
      </c>
      <c r="U638">
        <v>979.74237792733197</v>
      </c>
      <c r="V638">
        <v>3.1909671084928799E-3</v>
      </c>
      <c r="W638">
        <v>4311924.6803352702</v>
      </c>
      <c r="X638" t="s">
        <v>44</v>
      </c>
      <c r="Y638">
        <f>1-471-968-1330</f>
        <v>-2768</v>
      </c>
    </row>
    <row r="639" spans="1:25" x14ac:dyDescent="0.35">
      <c r="A639">
        <v>37.247330808688503</v>
      </c>
      <c r="B639">
        <v>-117.10370013386201</v>
      </c>
      <c r="C639" t="s">
        <v>25</v>
      </c>
      <c r="D639">
        <v>15.531096575749499</v>
      </c>
      <c r="E639">
        <v>6</v>
      </c>
      <c r="F639">
        <v>4007</v>
      </c>
      <c r="G639">
        <v>4</v>
      </c>
      <c r="H639">
        <v>2</v>
      </c>
      <c r="I639">
        <v>1976</v>
      </c>
      <c r="J639">
        <v>0</v>
      </c>
      <c r="K639">
        <v>1</v>
      </c>
      <c r="L639">
        <v>1</v>
      </c>
      <c r="M639">
        <v>4</v>
      </c>
      <c r="N639" t="s">
        <v>35</v>
      </c>
      <c r="O639" t="s">
        <v>27</v>
      </c>
      <c r="P639">
        <v>9.7244243486552797</v>
      </c>
      <c r="Q639">
        <v>2.4174891487510699</v>
      </c>
      <c r="R639">
        <v>0.33055980175241301</v>
      </c>
      <c r="S639">
        <v>85</v>
      </c>
      <c r="T639">
        <v>72</v>
      </c>
      <c r="U639">
        <v>368.48616506085199</v>
      </c>
      <c r="V639">
        <v>9.9825305714998694E-4</v>
      </c>
      <c r="W639">
        <v>1902608.41370088</v>
      </c>
      <c r="X639" t="s">
        <v>44</v>
      </c>
      <c r="Y639">
        <f>1-495-248-6158</f>
        <v>-6900</v>
      </c>
    </row>
    <row r="640" spans="1:25" x14ac:dyDescent="0.35">
      <c r="A640">
        <v>37.818132358004199</v>
      </c>
      <c r="B640">
        <v>-120.559203126426</v>
      </c>
      <c r="C640" t="s">
        <v>34</v>
      </c>
      <c r="D640">
        <v>13.971206202745099</v>
      </c>
      <c r="E640">
        <v>0</v>
      </c>
      <c r="F640">
        <v>3255</v>
      </c>
      <c r="G640">
        <v>4</v>
      </c>
      <c r="H640">
        <v>3</v>
      </c>
      <c r="I640">
        <v>1992</v>
      </c>
      <c r="J640">
        <v>0</v>
      </c>
      <c r="K640">
        <v>0</v>
      </c>
      <c r="L640">
        <v>0</v>
      </c>
      <c r="M640">
        <v>2</v>
      </c>
      <c r="N640" t="s">
        <v>41</v>
      </c>
      <c r="O640" t="s">
        <v>30</v>
      </c>
      <c r="P640">
        <v>6.5733913710343197</v>
      </c>
      <c r="Q640">
        <v>1.33736941866894</v>
      </c>
      <c r="R640">
        <v>7.1807770666404398</v>
      </c>
      <c r="S640">
        <v>29</v>
      </c>
      <c r="T640">
        <v>48</v>
      </c>
      <c r="U640">
        <v>505.627146471309</v>
      </c>
      <c r="V640">
        <v>6.1443932411674304E-4</v>
      </c>
      <c r="W640">
        <v>1859172.8989689499</v>
      </c>
      <c r="X640" t="s">
        <v>42</v>
      </c>
      <c r="Y640">
        <f>1-464-841-4946</f>
        <v>-6250</v>
      </c>
    </row>
    <row r="641" spans="1:25" x14ac:dyDescent="0.35">
      <c r="A641">
        <v>36.289411161323102</v>
      </c>
      <c r="B641">
        <v>-114.425310372506</v>
      </c>
      <c r="C641" t="s">
        <v>34</v>
      </c>
      <c r="D641">
        <v>8.6462963716593606</v>
      </c>
      <c r="E641">
        <v>4</v>
      </c>
      <c r="F641">
        <v>2778</v>
      </c>
      <c r="G641">
        <v>2</v>
      </c>
      <c r="H641">
        <v>3</v>
      </c>
      <c r="I641">
        <v>1969</v>
      </c>
      <c r="J641">
        <v>1</v>
      </c>
      <c r="K641">
        <v>1</v>
      </c>
      <c r="L641">
        <v>1</v>
      </c>
      <c r="M641">
        <v>13</v>
      </c>
      <c r="N641" t="s">
        <v>37</v>
      </c>
      <c r="O641" t="s">
        <v>32</v>
      </c>
      <c r="P641">
        <v>7.6292628425366802</v>
      </c>
      <c r="Q641">
        <v>0.84292475256181099</v>
      </c>
      <c r="R641">
        <v>9.0032806606055509</v>
      </c>
      <c r="S641">
        <v>59</v>
      </c>
      <c r="T641">
        <v>36</v>
      </c>
      <c r="U641">
        <v>405.59247184915199</v>
      </c>
      <c r="V641">
        <v>4.6796256299496001E-3</v>
      </c>
      <c r="W641">
        <v>1547701.70113307</v>
      </c>
      <c r="X641" t="s">
        <v>28</v>
      </c>
      <c r="Y641">
        <f>1-628-752-1416</f>
        <v>-2795</v>
      </c>
    </row>
    <row r="642" spans="1:25" x14ac:dyDescent="0.35">
      <c r="A642">
        <v>41.859550390323299</v>
      </c>
      <c r="B642">
        <v>-120.311388078726</v>
      </c>
      <c r="C642" t="s">
        <v>25</v>
      </c>
      <c r="D642">
        <v>42.849932771041502</v>
      </c>
      <c r="E642">
        <v>7</v>
      </c>
      <c r="F642">
        <v>647</v>
      </c>
      <c r="G642">
        <v>2</v>
      </c>
      <c r="H642">
        <v>1</v>
      </c>
      <c r="I642">
        <v>2021</v>
      </c>
      <c r="J642">
        <v>1</v>
      </c>
      <c r="K642">
        <v>0</v>
      </c>
      <c r="L642">
        <v>1</v>
      </c>
      <c r="M642">
        <v>4</v>
      </c>
      <c r="N642" t="s">
        <v>41</v>
      </c>
      <c r="O642" t="s">
        <v>30</v>
      </c>
      <c r="P642">
        <v>9.2408831011015806</v>
      </c>
      <c r="Q642">
        <v>2.02927393507697</v>
      </c>
      <c r="R642">
        <v>0.96532278677902505</v>
      </c>
      <c r="S642">
        <v>80</v>
      </c>
      <c r="T642">
        <v>45</v>
      </c>
      <c r="U642">
        <v>365.36235366308699</v>
      </c>
      <c r="V642">
        <v>6.1823802163832996E-3</v>
      </c>
      <c r="W642">
        <v>501303.02813672199</v>
      </c>
      <c r="X642" t="s">
        <v>43</v>
      </c>
      <c r="Y642">
        <f>1-585-807-8601</f>
        <v>-9992</v>
      </c>
    </row>
    <row r="643" spans="1:25" x14ac:dyDescent="0.35">
      <c r="A643">
        <v>41.310093177907603</v>
      </c>
      <c r="B643">
        <v>-116.674598293459</v>
      </c>
      <c r="C643" t="s">
        <v>25</v>
      </c>
      <c r="D643">
        <v>29.943769500152801</v>
      </c>
      <c r="E643">
        <v>8</v>
      </c>
      <c r="F643">
        <v>718</v>
      </c>
      <c r="G643">
        <v>4</v>
      </c>
      <c r="H643">
        <v>3</v>
      </c>
      <c r="I643">
        <v>1992</v>
      </c>
      <c r="J643">
        <v>0</v>
      </c>
      <c r="K643">
        <v>1</v>
      </c>
      <c r="L643">
        <v>1</v>
      </c>
      <c r="M643">
        <v>12</v>
      </c>
      <c r="N643" t="s">
        <v>26</v>
      </c>
      <c r="O643" t="s">
        <v>30</v>
      </c>
      <c r="P643">
        <v>12.719770362437099</v>
      </c>
      <c r="Q643">
        <v>0.76297837680139602</v>
      </c>
      <c r="R643">
        <v>4.6910123107882598</v>
      </c>
      <c r="S643">
        <v>14</v>
      </c>
      <c r="T643">
        <v>69</v>
      </c>
      <c r="U643">
        <v>481.71940785174098</v>
      </c>
      <c r="V643">
        <v>1.6713091922005499E-2</v>
      </c>
      <c r="W643">
        <v>871329.39933806402</v>
      </c>
      <c r="X643" t="s">
        <v>31</v>
      </c>
      <c r="Y643">
        <f>1-741-881-5495</f>
        <v>-7116</v>
      </c>
    </row>
    <row r="644" spans="1:25" x14ac:dyDescent="0.35">
      <c r="A644">
        <v>33.563752970236102</v>
      </c>
      <c r="B644">
        <v>-124.130274722801</v>
      </c>
      <c r="C644" t="s">
        <v>29</v>
      </c>
      <c r="D644">
        <v>27.976667036554101</v>
      </c>
      <c r="E644">
        <v>7</v>
      </c>
      <c r="F644">
        <v>1358</v>
      </c>
      <c r="G644">
        <v>3</v>
      </c>
      <c r="H644">
        <v>1</v>
      </c>
      <c r="I644">
        <v>1998</v>
      </c>
      <c r="J644">
        <v>0</v>
      </c>
      <c r="K644">
        <v>0</v>
      </c>
      <c r="L644">
        <v>0</v>
      </c>
      <c r="M644">
        <v>11</v>
      </c>
      <c r="N644" t="s">
        <v>37</v>
      </c>
      <c r="O644" t="s">
        <v>27</v>
      </c>
      <c r="P644">
        <v>13.5295425051108</v>
      </c>
      <c r="Q644">
        <v>0.82763609997838095</v>
      </c>
      <c r="R644">
        <v>7.9439655368970703</v>
      </c>
      <c r="S644">
        <v>4</v>
      </c>
      <c r="T644">
        <v>48</v>
      </c>
      <c r="U644">
        <v>790.679656174775</v>
      </c>
      <c r="V644">
        <v>8.1001472754049994E-3</v>
      </c>
      <c r="W644">
        <v>1397784.00097281</v>
      </c>
      <c r="X644" t="s">
        <v>44</v>
      </c>
      <c r="Y644">
        <f>1-508-304-5557</f>
        <v>-6368</v>
      </c>
    </row>
    <row r="645" spans="1:25" x14ac:dyDescent="0.35">
      <c r="A645">
        <v>34.380457874527899</v>
      </c>
      <c r="B645">
        <v>-116.717632234053</v>
      </c>
      <c r="C645" t="s">
        <v>29</v>
      </c>
      <c r="D645">
        <v>49.465647126013799</v>
      </c>
      <c r="E645">
        <v>1</v>
      </c>
      <c r="F645">
        <v>2231</v>
      </c>
      <c r="G645">
        <v>1</v>
      </c>
      <c r="H645">
        <v>2</v>
      </c>
      <c r="I645">
        <v>2007</v>
      </c>
      <c r="J645">
        <v>1</v>
      </c>
      <c r="K645">
        <v>1</v>
      </c>
      <c r="L645">
        <v>1</v>
      </c>
      <c r="M645">
        <v>12</v>
      </c>
      <c r="N645" t="s">
        <v>35</v>
      </c>
      <c r="O645" t="s">
        <v>32</v>
      </c>
      <c r="P645">
        <v>9.3584194323489704</v>
      </c>
      <c r="Q645">
        <v>1.4817043769220899</v>
      </c>
      <c r="R645">
        <v>1.9205988522986599</v>
      </c>
      <c r="S645">
        <v>175</v>
      </c>
      <c r="T645">
        <v>32</v>
      </c>
      <c r="U645">
        <v>252.182265165671</v>
      </c>
      <c r="V645">
        <v>5.3787539220080602E-3</v>
      </c>
      <c r="W645">
        <v>901637.08926929894</v>
      </c>
      <c r="X645" t="s">
        <v>40</v>
      </c>
      <c r="Y645">
        <f>1-296-955-2613</f>
        <v>-3863</v>
      </c>
    </row>
    <row r="646" spans="1:25" x14ac:dyDescent="0.35">
      <c r="A646">
        <v>38.404898030834303</v>
      </c>
      <c r="B646">
        <v>-123.366504973199</v>
      </c>
      <c r="C646" t="s">
        <v>25</v>
      </c>
      <c r="D646">
        <v>18.102297015820501</v>
      </c>
      <c r="E646">
        <v>3</v>
      </c>
      <c r="F646">
        <v>4958</v>
      </c>
      <c r="G646">
        <v>1</v>
      </c>
      <c r="H646">
        <v>1</v>
      </c>
      <c r="I646">
        <v>2004</v>
      </c>
      <c r="J646">
        <v>1</v>
      </c>
      <c r="K646">
        <v>0</v>
      </c>
      <c r="L646">
        <v>1</v>
      </c>
      <c r="M646">
        <v>11</v>
      </c>
      <c r="N646" t="s">
        <v>35</v>
      </c>
      <c r="O646" t="s">
        <v>32</v>
      </c>
      <c r="P646">
        <v>6.0599627946123196</v>
      </c>
      <c r="Q646">
        <v>2.1949810637668401</v>
      </c>
      <c r="R646">
        <v>9.1231674026451106</v>
      </c>
      <c r="S646">
        <v>85</v>
      </c>
      <c r="T646">
        <v>20</v>
      </c>
      <c r="U646">
        <v>451.48701582257399</v>
      </c>
      <c r="V646">
        <v>2.2186365469947498E-3</v>
      </c>
      <c r="W646">
        <v>2329652.9038397898</v>
      </c>
      <c r="X646" t="s">
        <v>44</v>
      </c>
      <c r="Y646">
        <f>1-415-317-1250</f>
        <v>-1981</v>
      </c>
    </row>
    <row r="647" spans="1:25" x14ac:dyDescent="0.35">
      <c r="A647">
        <v>35.955544847611201</v>
      </c>
      <c r="B647">
        <v>-122.15117152581399</v>
      </c>
      <c r="C647" t="s">
        <v>29</v>
      </c>
      <c r="D647">
        <v>22.1903391185419</v>
      </c>
      <c r="E647">
        <v>5</v>
      </c>
      <c r="F647">
        <v>1941</v>
      </c>
      <c r="G647">
        <v>3</v>
      </c>
      <c r="H647">
        <v>3</v>
      </c>
      <c r="I647">
        <v>1997</v>
      </c>
      <c r="J647">
        <v>1</v>
      </c>
      <c r="K647">
        <v>0</v>
      </c>
      <c r="L647">
        <v>1</v>
      </c>
      <c r="M647">
        <v>10</v>
      </c>
      <c r="N647" t="s">
        <v>35</v>
      </c>
      <c r="O647" t="s">
        <v>30</v>
      </c>
      <c r="P647">
        <v>11.8188826569399</v>
      </c>
      <c r="Q647">
        <v>1.9504355493097201</v>
      </c>
      <c r="R647">
        <v>2.5363113343936399</v>
      </c>
      <c r="S647">
        <v>184</v>
      </c>
      <c r="T647">
        <v>20</v>
      </c>
      <c r="U647">
        <v>869.78924061257499</v>
      </c>
      <c r="V647">
        <v>5.1519835136527503E-3</v>
      </c>
      <c r="W647">
        <v>2046351.4391073301</v>
      </c>
      <c r="X647" t="s">
        <v>31</v>
      </c>
      <c r="Y647">
        <f>1-213-556-8617</f>
        <v>-9385</v>
      </c>
    </row>
    <row r="648" spans="1:25" x14ac:dyDescent="0.35">
      <c r="A648">
        <v>34.659306089854901</v>
      </c>
      <c r="B648">
        <v>-114.509368256904</v>
      </c>
      <c r="C648" t="s">
        <v>25</v>
      </c>
      <c r="D648">
        <v>21.992871513299601</v>
      </c>
      <c r="E648">
        <v>7</v>
      </c>
      <c r="F648">
        <v>1794</v>
      </c>
      <c r="G648">
        <v>2</v>
      </c>
      <c r="H648">
        <v>2</v>
      </c>
      <c r="I648">
        <v>1985</v>
      </c>
      <c r="J648">
        <v>1</v>
      </c>
      <c r="K648">
        <v>0</v>
      </c>
      <c r="L648">
        <v>0</v>
      </c>
      <c r="M648">
        <v>4</v>
      </c>
      <c r="N648" t="s">
        <v>37</v>
      </c>
      <c r="O648" t="s">
        <v>30</v>
      </c>
      <c r="P648">
        <v>12.430187141011301</v>
      </c>
      <c r="Q648">
        <v>1.57561237218076</v>
      </c>
      <c r="R648">
        <v>5.5247329134807099</v>
      </c>
      <c r="S648">
        <v>35</v>
      </c>
      <c r="T648">
        <v>64</v>
      </c>
      <c r="U648">
        <v>724.88205417076097</v>
      </c>
      <c r="V648">
        <v>2.2296544035674401E-3</v>
      </c>
      <c r="W648">
        <v>1495059.50022635</v>
      </c>
      <c r="X648" t="s">
        <v>44</v>
      </c>
      <c r="Y648">
        <f>1-679-808-5079</f>
        <v>-6565</v>
      </c>
    </row>
    <row r="649" spans="1:25" x14ac:dyDescent="0.35">
      <c r="A649">
        <v>35.186703587397098</v>
      </c>
      <c r="B649">
        <v>-121.209963380427</v>
      </c>
      <c r="C649" t="s">
        <v>34</v>
      </c>
      <c r="D649">
        <v>2.56835028500601</v>
      </c>
      <c r="E649">
        <v>1</v>
      </c>
      <c r="F649">
        <v>2893</v>
      </c>
      <c r="G649">
        <v>4</v>
      </c>
      <c r="H649">
        <v>3</v>
      </c>
      <c r="I649">
        <v>1960</v>
      </c>
      <c r="J649">
        <v>0</v>
      </c>
      <c r="K649">
        <v>0</v>
      </c>
      <c r="L649">
        <v>0</v>
      </c>
      <c r="M649">
        <v>13</v>
      </c>
      <c r="N649" t="s">
        <v>37</v>
      </c>
      <c r="O649" t="s">
        <v>30</v>
      </c>
      <c r="P649">
        <v>4.90357562339591</v>
      </c>
      <c r="Q649">
        <v>1.1121001296841699</v>
      </c>
      <c r="R649">
        <v>5.5160667985504404</v>
      </c>
      <c r="S649">
        <v>71</v>
      </c>
      <c r="T649">
        <v>42</v>
      </c>
      <c r="U649">
        <v>560.40926729670502</v>
      </c>
      <c r="V649">
        <v>4.4936052540615204E-3</v>
      </c>
      <c r="W649">
        <v>1831361.2080778601</v>
      </c>
      <c r="X649" t="s">
        <v>40</v>
      </c>
      <c r="Y649">
        <f>1-760-589-1579</f>
        <v>-2927</v>
      </c>
    </row>
    <row r="650" spans="1:25" x14ac:dyDescent="0.35">
      <c r="A650">
        <v>34.900296960210703</v>
      </c>
      <c r="B650">
        <v>-114.437497506548</v>
      </c>
      <c r="C650" t="s">
        <v>34</v>
      </c>
      <c r="D650">
        <v>40.663657722448299</v>
      </c>
      <c r="E650">
        <v>8</v>
      </c>
      <c r="F650">
        <v>4462</v>
      </c>
      <c r="G650">
        <v>1</v>
      </c>
      <c r="H650">
        <v>1</v>
      </c>
      <c r="I650">
        <v>1978</v>
      </c>
      <c r="J650">
        <v>0</v>
      </c>
      <c r="K650">
        <v>1</v>
      </c>
      <c r="L650">
        <v>1</v>
      </c>
      <c r="M650">
        <v>11</v>
      </c>
      <c r="N650" t="s">
        <v>41</v>
      </c>
      <c r="O650" t="s">
        <v>30</v>
      </c>
      <c r="P650">
        <v>4.8028475042500798</v>
      </c>
      <c r="Q650">
        <v>0.67014380180035904</v>
      </c>
      <c r="R650">
        <v>7.3601342193913197</v>
      </c>
      <c r="S650">
        <v>84</v>
      </c>
      <c r="T650">
        <v>74</v>
      </c>
      <c r="U650">
        <v>528.79832726840903</v>
      </c>
      <c r="V650">
        <v>2.4652622142536901E-3</v>
      </c>
      <c r="W650">
        <v>2511078.11280195</v>
      </c>
      <c r="X650" t="s">
        <v>44</v>
      </c>
      <c r="Y650">
        <f>1-301-491-2390</f>
        <v>-3181</v>
      </c>
    </row>
    <row r="651" spans="1:25" x14ac:dyDescent="0.35">
      <c r="A651">
        <v>34.750453359515497</v>
      </c>
      <c r="B651">
        <v>-116.321728272822</v>
      </c>
      <c r="C651" t="s">
        <v>34</v>
      </c>
      <c r="D651">
        <v>47.072000133614402</v>
      </c>
      <c r="E651">
        <v>7</v>
      </c>
      <c r="F651">
        <v>3287</v>
      </c>
      <c r="G651">
        <v>4</v>
      </c>
      <c r="H651">
        <v>3</v>
      </c>
      <c r="I651">
        <v>1976</v>
      </c>
      <c r="J651">
        <v>1</v>
      </c>
      <c r="K651">
        <v>0</v>
      </c>
      <c r="L651">
        <v>0</v>
      </c>
      <c r="M651">
        <v>2</v>
      </c>
      <c r="N651" t="s">
        <v>41</v>
      </c>
      <c r="O651" t="s">
        <v>27</v>
      </c>
      <c r="P651">
        <v>7.2859919972332703</v>
      </c>
      <c r="Q651">
        <v>1.0761044306804</v>
      </c>
      <c r="R651">
        <v>1.0047812638984299</v>
      </c>
      <c r="S651">
        <v>172</v>
      </c>
      <c r="T651">
        <v>36</v>
      </c>
      <c r="U651">
        <v>218.84771790536001</v>
      </c>
      <c r="V651">
        <v>6.0845756008518403E-4</v>
      </c>
      <c r="W651">
        <v>1034831.32692051</v>
      </c>
      <c r="X651" t="s">
        <v>31</v>
      </c>
      <c r="Y651">
        <f>1-349-415-7886</f>
        <v>-8649</v>
      </c>
    </row>
    <row r="652" spans="1:25" x14ac:dyDescent="0.35">
      <c r="A652">
        <v>37.186317948908503</v>
      </c>
      <c r="B652">
        <v>-123.15324034400901</v>
      </c>
      <c r="C652" t="s">
        <v>29</v>
      </c>
      <c r="D652">
        <v>39.025623128559502</v>
      </c>
      <c r="E652">
        <v>7</v>
      </c>
      <c r="F652">
        <v>2401</v>
      </c>
      <c r="G652">
        <v>5</v>
      </c>
      <c r="H652">
        <v>3</v>
      </c>
      <c r="I652">
        <v>2003</v>
      </c>
      <c r="J652">
        <v>0</v>
      </c>
      <c r="K652">
        <v>1</v>
      </c>
      <c r="L652">
        <v>0</v>
      </c>
      <c r="M652">
        <v>6</v>
      </c>
      <c r="N652" t="s">
        <v>26</v>
      </c>
      <c r="O652" t="s">
        <v>30</v>
      </c>
      <c r="P652">
        <v>13.8400474097686</v>
      </c>
      <c r="Q652">
        <v>1.96022665275285</v>
      </c>
      <c r="R652">
        <v>0.98445396499008098</v>
      </c>
      <c r="S652">
        <v>0</v>
      </c>
      <c r="T652">
        <v>35</v>
      </c>
      <c r="U652">
        <v>588.25136892314504</v>
      </c>
      <c r="V652">
        <v>2.49895876718034E-3</v>
      </c>
      <c r="W652">
        <v>1960313.6979435999</v>
      </c>
      <c r="X652" t="s">
        <v>28</v>
      </c>
      <c r="Y652">
        <f>1-349-169-1866</f>
        <v>-2383</v>
      </c>
    </row>
    <row r="653" spans="1:25" x14ac:dyDescent="0.35">
      <c r="A653">
        <v>32.657353028737198</v>
      </c>
      <c r="B653">
        <v>-117.06277552287099</v>
      </c>
      <c r="C653" t="s">
        <v>29</v>
      </c>
      <c r="D653">
        <v>10.9120655518823</v>
      </c>
      <c r="E653">
        <v>4</v>
      </c>
      <c r="F653">
        <v>3070</v>
      </c>
      <c r="G653">
        <v>2</v>
      </c>
      <c r="H653">
        <v>2</v>
      </c>
      <c r="I653">
        <v>1952</v>
      </c>
      <c r="J653">
        <v>0</v>
      </c>
      <c r="K653">
        <v>0</v>
      </c>
      <c r="L653">
        <v>0</v>
      </c>
      <c r="M653">
        <v>7</v>
      </c>
      <c r="N653" t="s">
        <v>37</v>
      </c>
      <c r="O653" t="s">
        <v>32</v>
      </c>
      <c r="P653">
        <v>12.842638987200599</v>
      </c>
      <c r="Q653">
        <v>1.0064330677423901</v>
      </c>
      <c r="R653">
        <v>0.56805428499507804</v>
      </c>
      <c r="S653">
        <v>196</v>
      </c>
      <c r="T653">
        <v>43</v>
      </c>
      <c r="U653">
        <v>850.95515700311296</v>
      </c>
      <c r="V653">
        <v>2.2801302931595999E-3</v>
      </c>
      <c r="W653">
        <v>2738604.81436959</v>
      </c>
      <c r="X653" t="s">
        <v>28</v>
      </c>
      <c r="Y653">
        <f>1-248-236-6794</f>
        <v>-7277</v>
      </c>
    </row>
    <row r="654" spans="1:25" x14ac:dyDescent="0.35">
      <c r="A654">
        <v>36.337826065406801</v>
      </c>
      <c r="B654">
        <v>-118.562645911297</v>
      </c>
      <c r="C654" t="s">
        <v>34</v>
      </c>
      <c r="D654">
        <v>40.277966153541598</v>
      </c>
      <c r="E654">
        <v>4</v>
      </c>
      <c r="F654">
        <v>1644</v>
      </c>
      <c r="G654">
        <v>3</v>
      </c>
      <c r="H654">
        <v>2</v>
      </c>
      <c r="I654">
        <v>1961</v>
      </c>
      <c r="J654">
        <v>0</v>
      </c>
      <c r="K654">
        <v>1</v>
      </c>
      <c r="L654">
        <v>0</v>
      </c>
      <c r="M654">
        <v>5</v>
      </c>
      <c r="N654" t="s">
        <v>37</v>
      </c>
      <c r="O654" t="s">
        <v>27</v>
      </c>
      <c r="P654">
        <v>7.8263322930062698</v>
      </c>
      <c r="Q654">
        <v>2.0732952081348901</v>
      </c>
      <c r="R654">
        <v>4.4871056765892297</v>
      </c>
      <c r="S654">
        <v>28</v>
      </c>
      <c r="T654">
        <v>55</v>
      </c>
      <c r="U654">
        <v>889.06878962792996</v>
      </c>
      <c r="V654">
        <v>3.0413625304136199E-3</v>
      </c>
      <c r="W654">
        <v>1683358.3667703499</v>
      </c>
      <c r="X654" t="s">
        <v>28</v>
      </c>
      <c r="Y654">
        <f>1-479-635-7476</f>
        <v>-8589</v>
      </c>
    </row>
    <row r="655" spans="1:25" x14ac:dyDescent="0.35">
      <c r="A655">
        <v>39.8444869308546</v>
      </c>
      <c r="B655">
        <v>-114.219490673341</v>
      </c>
      <c r="C655" t="s">
        <v>29</v>
      </c>
      <c r="D655">
        <v>23.003600238924101</v>
      </c>
      <c r="E655">
        <v>0</v>
      </c>
      <c r="F655">
        <v>4916</v>
      </c>
      <c r="G655">
        <v>1</v>
      </c>
      <c r="H655">
        <v>2</v>
      </c>
      <c r="I655">
        <v>1951</v>
      </c>
      <c r="J655">
        <v>0</v>
      </c>
      <c r="K655">
        <v>1</v>
      </c>
      <c r="L655">
        <v>1</v>
      </c>
      <c r="M655">
        <v>2</v>
      </c>
      <c r="N655" t="s">
        <v>37</v>
      </c>
      <c r="O655" t="s">
        <v>27</v>
      </c>
      <c r="P655">
        <v>4.4130546837429696</v>
      </c>
      <c r="Q655">
        <v>1.9376586914856799</v>
      </c>
      <c r="R655">
        <v>3.4157042671839499</v>
      </c>
      <c r="S655">
        <v>126</v>
      </c>
      <c r="T655">
        <v>62</v>
      </c>
      <c r="U655">
        <v>882.50460527274197</v>
      </c>
      <c r="V655">
        <v>4.06834825061025E-4</v>
      </c>
      <c r="W655">
        <v>4456229.1561283702</v>
      </c>
      <c r="X655" t="s">
        <v>40</v>
      </c>
      <c r="Y655">
        <f>1-244-793-6843</f>
        <v>-7879</v>
      </c>
    </row>
    <row r="656" spans="1:25" x14ac:dyDescent="0.35">
      <c r="A656">
        <v>35.679915253850098</v>
      </c>
      <c r="B656">
        <v>-120.425216350542</v>
      </c>
      <c r="C656" t="s">
        <v>34</v>
      </c>
      <c r="D656">
        <v>36.796101913446797</v>
      </c>
      <c r="E656">
        <v>4</v>
      </c>
      <c r="F656">
        <v>4543</v>
      </c>
      <c r="G656">
        <v>2</v>
      </c>
      <c r="H656">
        <v>2</v>
      </c>
      <c r="I656">
        <v>2019</v>
      </c>
      <c r="J656">
        <v>1</v>
      </c>
      <c r="K656">
        <v>1</v>
      </c>
      <c r="L656">
        <v>0</v>
      </c>
      <c r="M656">
        <v>8</v>
      </c>
      <c r="N656" t="s">
        <v>26</v>
      </c>
      <c r="O656" t="s">
        <v>27</v>
      </c>
      <c r="P656">
        <v>7.3159143441475001</v>
      </c>
      <c r="Q656">
        <v>0.69157957920530999</v>
      </c>
      <c r="R656">
        <v>1.32775132779994</v>
      </c>
      <c r="S656">
        <v>172</v>
      </c>
      <c r="T656">
        <v>25</v>
      </c>
      <c r="U656">
        <v>229.51044060781899</v>
      </c>
      <c r="V656">
        <v>1.76095091349328E-3</v>
      </c>
      <c r="W656">
        <v>1320301.61220631</v>
      </c>
      <c r="X656" t="s">
        <v>28</v>
      </c>
      <c r="Y656">
        <f>1-272-781-8733</f>
        <v>-9785</v>
      </c>
    </row>
    <row r="657" spans="1:25" x14ac:dyDescent="0.35">
      <c r="A657">
        <v>34.373381921519901</v>
      </c>
      <c r="B657">
        <v>-119.732540511998</v>
      </c>
      <c r="C657" t="s">
        <v>29</v>
      </c>
      <c r="D657">
        <v>11.1710742591252</v>
      </c>
      <c r="E657">
        <v>4</v>
      </c>
      <c r="F657">
        <v>3309</v>
      </c>
      <c r="G657">
        <v>5</v>
      </c>
      <c r="H657">
        <v>1</v>
      </c>
      <c r="I657">
        <v>1997</v>
      </c>
      <c r="J657">
        <v>0</v>
      </c>
      <c r="K657">
        <v>1</v>
      </c>
      <c r="L657">
        <v>0</v>
      </c>
      <c r="M657">
        <v>8</v>
      </c>
      <c r="N657" t="s">
        <v>37</v>
      </c>
      <c r="O657" t="s">
        <v>27</v>
      </c>
      <c r="P657">
        <v>9.2309704989935302</v>
      </c>
      <c r="Q657">
        <v>2.0643518691806402</v>
      </c>
      <c r="R657">
        <v>5.0689137719456996</v>
      </c>
      <c r="S657">
        <v>4</v>
      </c>
      <c r="T657">
        <v>54</v>
      </c>
      <c r="U657">
        <v>232.676042988164</v>
      </c>
      <c r="V657">
        <v>2.4176488365064901E-3</v>
      </c>
      <c r="W657">
        <v>1149487.41875301</v>
      </c>
      <c r="X657" t="s">
        <v>40</v>
      </c>
      <c r="Y657">
        <f>1-293-216-7923</f>
        <v>-8431</v>
      </c>
    </row>
    <row r="658" spans="1:25" x14ac:dyDescent="0.35">
      <c r="A658">
        <v>39.602693757161703</v>
      </c>
      <c r="B658">
        <v>-122.07477424199899</v>
      </c>
      <c r="C658" t="s">
        <v>29</v>
      </c>
      <c r="D658">
        <v>25.3673435883411</v>
      </c>
      <c r="E658">
        <v>4</v>
      </c>
      <c r="F658">
        <v>533</v>
      </c>
      <c r="G658">
        <v>4</v>
      </c>
      <c r="H658">
        <v>1</v>
      </c>
      <c r="I658">
        <v>1982</v>
      </c>
      <c r="J658">
        <v>1</v>
      </c>
      <c r="K658">
        <v>0</v>
      </c>
      <c r="L658">
        <v>0</v>
      </c>
      <c r="M658">
        <v>12</v>
      </c>
      <c r="N658" t="s">
        <v>37</v>
      </c>
      <c r="O658" t="s">
        <v>32</v>
      </c>
      <c r="P658">
        <v>12.045779895531799</v>
      </c>
      <c r="Q658">
        <v>2.2591623259974898</v>
      </c>
      <c r="R658">
        <v>5.0865421299095903</v>
      </c>
      <c r="S658">
        <v>102</v>
      </c>
      <c r="T658">
        <v>24</v>
      </c>
      <c r="U658">
        <v>559.04209890822494</v>
      </c>
      <c r="V658">
        <v>2.2514071294559099E-2</v>
      </c>
      <c r="W658">
        <v>606733.65357669897</v>
      </c>
      <c r="X658" t="s">
        <v>40</v>
      </c>
      <c r="Y658">
        <f>1-298-155-3748</f>
        <v>-4200</v>
      </c>
    </row>
    <row r="659" spans="1:25" x14ac:dyDescent="0.35">
      <c r="A659">
        <v>36.689816935712898</v>
      </c>
      <c r="B659">
        <v>-118.200098081768</v>
      </c>
      <c r="C659" t="s">
        <v>29</v>
      </c>
      <c r="D659">
        <v>19.624237966783799</v>
      </c>
      <c r="E659">
        <v>3</v>
      </c>
      <c r="F659">
        <v>2890</v>
      </c>
      <c r="G659">
        <v>2</v>
      </c>
      <c r="H659">
        <v>3</v>
      </c>
      <c r="I659">
        <v>1995</v>
      </c>
      <c r="J659">
        <v>0</v>
      </c>
      <c r="K659">
        <v>0</v>
      </c>
      <c r="L659">
        <v>1</v>
      </c>
      <c r="M659">
        <v>7</v>
      </c>
      <c r="N659" t="s">
        <v>41</v>
      </c>
      <c r="O659" t="s">
        <v>32</v>
      </c>
      <c r="P659">
        <v>12.722770959295101</v>
      </c>
      <c r="Q659">
        <v>1.84364074619325</v>
      </c>
      <c r="R659">
        <v>9.1933967512988293</v>
      </c>
      <c r="S659">
        <v>19</v>
      </c>
      <c r="T659">
        <v>72</v>
      </c>
      <c r="U659">
        <v>704.09184934657299</v>
      </c>
      <c r="V659">
        <v>2.42214532871972E-3</v>
      </c>
      <c r="W659">
        <v>2321551.6908303499</v>
      </c>
      <c r="X659" t="s">
        <v>40</v>
      </c>
      <c r="Y659">
        <f>1-901-651-4756</f>
        <v>-6307</v>
      </c>
    </row>
    <row r="660" spans="1:25" x14ac:dyDescent="0.35">
      <c r="A660">
        <v>35.717592629701997</v>
      </c>
      <c r="B660">
        <v>-123.66828337197499</v>
      </c>
      <c r="C660" t="s">
        <v>29</v>
      </c>
      <c r="D660">
        <v>35.024981475119802</v>
      </c>
      <c r="E660">
        <v>6</v>
      </c>
      <c r="F660">
        <v>3261</v>
      </c>
      <c r="G660">
        <v>1</v>
      </c>
      <c r="H660">
        <v>1</v>
      </c>
      <c r="I660">
        <v>1977</v>
      </c>
      <c r="J660">
        <v>0</v>
      </c>
      <c r="K660">
        <v>0</v>
      </c>
      <c r="L660">
        <v>1</v>
      </c>
      <c r="M660">
        <v>8</v>
      </c>
      <c r="N660" t="s">
        <v>37</v>
      </c>
      <c r="O660" t="s">
        <v>27</v>
      </c>
      <c r="P660">
        <v>4.9960412823598599</v>
      </c>
      <c r="Q660">
        <v>1.4103565063236401</v>
      </c>
      <c r="R660">
        <v>8.2333144619301404</v>
      </c>
      <c r="S660">
        <v>12</v>
      </c>
      <c r="T660">
        <v>55</v>
      </c>
      <c r="U660">
        <v>781.54929542569801</v>
      </c>
      <c r="V660">
        <v>2.4532352039251699E-3</v>
      </c>
      <c r="W660">
        <v>2582389.8578064302</v>
      </c>
      <c r="X660" t="s">
        <v>33</v>
      </c>
      <c r="Y660">
        <f>1-693-718-2888</f>
        <v>-4298</v>
      </c>
    </row>
    <row r="661" spans="1:25" x14ac:dyDescent="0.35">
      <c r="A661">
        <v>35.707043135899397</v>
      </c>
      <c r="B661">
        <v>-117.334441328964</v>
      </c>
      <c r="C661" t="s">
        <v>25</v>
      </c>
      <c r="D661">
        <v>31.822985492501299</v>
      </c>
      <c r="E661">
        <v>3</v>
      </c>
      <c r="F661">
        <v>1947</v>
      </c>
      <c r="G661">
        <v>4</v>
      </c>
      <c r="H661">
        <v>3</v>
      </c>
      <c r="I661">
        <v>1976</v>
      </c>
      <c r="J661">
        <v>1</v>
      </c>
      <c r="K661">
        <v>1</v>
      </c>
      <c r="L661">
        <v>1</v>
      </c>
      <c r="M661">
        <v>9</v>
      </c>
      <c r="N661" t="s">
        <v>35</v>
      </c>
      <c r="O661" t="s">
        <v>32</v>
      </c>
      <c r="P661">
        <v>10.2726927296084</v>
      </c>
      <c r="Q661">
        <v>1.9534046340440401</v>
      </c>
      <c r="R661">
        <v>5.8405530620182002</v>
      </c>
      <c r="S661">
        <v>138</v>
      </c>
      <c r="T661">
        <v>27</v>
      </c>
      <c r="U661">
        <v>292.983830913703</v>
      </c>
      <c r="V661">
        <v>4.6224961479198702E-3</v>
      </c>
      <c r="W661">
        <v>1002002.61138165</v>
      </c>
      <c r="X661" t="s">
        <v>28</v>
      </c>
      <c r="Y661">
        <f>1-430-822-5739</f>
        <v>-6990</v>
      </c>
    </row>
    <row r="662" spans="1:25" x14ac:dyDescent="0.35">
      <c r="A662">
        <v>35.671021502653197</v>
      </c>
      <c r="B662">
        <v>-124.33506820692701</v>
      </c>
      <c r="C662" t="s">
        <v>25</v>
      </c>
      <c r="D662">
        <v>46.371330038486001</v>
      </c>
      <c r="E662">
        <v>6</v>
      </c>
      <c r="F662">
        <v>1223</v>
      </c>
      <c r="G662">
        <v>3</v>
      </c>
      <c r="H662">
        <v>1</v>
      </c>
      <c r="I662">
        <v>1960</v>
      </c>
      <c r="J662">
        <v>0</v>
      </c>
      <c r="K662">
        <v>0</v>
      </c>
      <c r="L662">
        <v>0</v>
      </c>
      <c r="M662">
        <v>9</v>
      </c>
      <c r="N662" t="s">
        <v>26</v>
      </c>
      <c r="O662" t="s">
        <v>30</v>
      </c>
      <c r="P662">
        <v>7.3123942634996597</v>
      </c>
      <c r="Q662">
        <v>2.21610365772466</v>
      </c>
      <c r="R662">
        <v>1.3120240341540399</v>
      </c>
      <c r="S662">
        <v>73</v>
      </c>
      <c r="T662">
        <v>61</v>
      </c>
      <c r="U662">
        <v>642.05138341736495</v>
      </c>
      <c r="V662">
        <v>7.3589533932951704E-3</v>
      </c>
      <c r="W662">
        <v>921542.11013727402</v>
      </c>
      <c r="X662" t="s">
        <v>38</v>
      </c>
      <c r="Y662">
        <f>1-300-467-2807</f>
        <v>-3573</v>
      </c>
    </row>
    <row r="663" spans="1:25" x14ac:dyDescent="0.35">
      <c r="A663">
        <v>36.4087976000963</v>
      </c>
      <c r="B663">
        <v>-122.096314778908</v>
      </c>
      <c r="C663" t="s">
        <v>29</v>
      </c>
      <c r="D663">
        <v>5.5778414414155097</v>
      </c>
      <c r="E663">
        <v>7</v>
      </c>
      <c r="F663">
        <v>3104</v>
      </c>
      <c r="G663">
        <v>1</v>
      </c>
      <c r="H663">
        <v>1</v>
      </c>
      <c r="I663">
        <v>2006</v>
      </c>
      <c r="J663">
        <v>0</v>
      </c>
      <c r="K663">
        <v>1</v>
      </c>
      <c r="L663">
        <v>1</v>
      </c>
      <c r="M663">
        <v>2</v>
      </c>
      <c r="N663" t="s">
        <v>35</v>
      </c>
      <c r="O663" t="s">
        <v>30</v>
      </c>
      <c r="P663">
        <v>14.4162645614681</v>
      </c>
      <c r="Q663">
        <v>1.5173354059772299</v>
      </c>
      <c r="R663">
        <v>7.4310776043802704</v>
      </c>
      <c r="S663">
        <v>12</v>
      </c>
      <c r="T663">
        <v>51</v>
      </c>
      <c r="U663">
        <v>965.82719466924402</v>
      </c>
      <c r="V663">
        <v>6.4432989690721605E-4</v>
      </c>
      <c r="W663">
        <v>3357444.3936210498</v>
      </c>
      <c r="X663" t="s">
        <v>40</v>
      </c>
      <c r="Y663">
        <f>1-316-634-9460</f>
        <v>-10409</v>
      </c>
    </row>
    <row r="664" spans="1:25" x14ac:dyDescent="0.35">
      <c r="A664">
        <v>37.626071628179901</v>
      </c>
      <c r="B664">
        <v>-119.22833547583301</v>
      </c>
      <c r="C664" t="s">
        <v>29</v>
      </c>
      <c r="D664">
        <v>18.2582350034881</v>
      </c>
      <c r="E664">
        <v>7</v>
      </c>
      <c r="F664">
        <v>2971</v>
      </c>
      <c r="G664">
        <v>5</v>
      </c>
      <c r="H664">
        <v>3</v>
      </c>
      <c r="I664">
        <v>1955</v>
      </c>
      <c r="J664">
        <v>0</v>
      </c>
      <c r="K664">
        <v>1</v>
      </c>
      <c r="L664">
        <v>0</v>
      </c>
      <c r="M664">
        <v>9</v>
      </c>
      <c r="N664" t="s">
        <v>26</v>
      </c>
      <c r="O664" t="s">
        <v>32</v>
      </c>
      <c r="P664">
        <v>8.1363151620660101</v>
      </c>
      <c r="Q664">
        <v>2.2358249335389</v>
      </c>
      <c r="R664">
        <v>0.91352922936343395</v>
      </c>
      <c r="S664">
        <v>117</v>
      </c>
      <c r="T664">
        <v>41</v>
      </c>
      <c r="U664">
        <v>983.40291655183205</v>
      </c>
      <c r="V664">
        <v>3.0292830696735098E-3</v>
      </c>
      <c r="W664">
        <v>3440924.7654289999</v>
      </c>
      <c r="X664" t="s">
        <v>33</v>
      </c>
      <c r="Y664">
        <f>1-784-696-3922</f>
        <v>-5401</v>
      </c>
    </row>
    <row r="665" spans="1:25" x14ac:dyDescent="0.35">
      <c r="A665">
        <v>41.285681490287402</v>
      </c>
      <c r="B665">
        <v>-123.361865104158</v>
      </c>
      <c r="C665" t="s">
        <v>25</v>
      </c>
      <c r="D665">
        <v>14.8099318800285</v>
      </c>
      <c r="E665">
        <v>2</v>
      </c>
      <c r="F665">
        <v>3742</v>
      </c>
      <c r="G665">
        <v>2</v>
      </c>
      <c r="H665">
        <v>3</v>
      </c>
      <c r="I665">
        <v>1992</v>
      </c>
      <c r="J665">
        <v>1</v>
      </c>
      <c r="K665">
        <v>1</v>
      </c>
      <c r="L665">
        <v>0</v>
      </c>
      <c r="M665">
        <v>3</v>
      </c>
      <c r="N665" t="s">
        <v>26</v>
      </c>
      <c r="O665" t="s">
        <v>32</v>
      </c>
      <c r="P665">
        <v>9.9715788633998308</v>
      </c>
      <c r="Q665">
        <v>0.95430750075820103</v>
      </c>
      <c r="R665">
        <v>6.12402443772526</v>
      </c>
      <c r="S665">
        <v>195</v>
      </c>
      <c r="T665">
        <v>77</v>
      </c>
      <c r="U665">
        <v>802.56458833420697</v>
      </c>
      <c r="V665">
        <v>8.0171031533938998E-4</v>
      </c>
      <c r="W665">
        <v>3327067.3076637601</v>
      </c>
      <c r="X665" t="s">
        <v>39</v>
      </c>
      <c r="Y665">
        <f>1-539-176-3848</f>
        <v>-4562</v>
      </c>
    </row>
    <row r="666" spans="1:25" x14ac:dyDescent="0.35">
      <c r="A666">
        <v>37.748634955044601</v>
      </c>
      <c r="B666">
        <v>-120.734867201946</v>
      </c>
      <c r="C666" t="s">
        <v>34</v>
      </c>
      <c r="D666">
        <v>24.866308141914701</v>
      </c>
      <c r="E666">
        <v>9</v>
      </c>
      <c r="F666">
        <v>1654</v>
      </c>
      <c r="G666">
        <v>1</v>
      </c>
      <c r="H666">
        <v>3</v>
      </c>
      <c r="I666">
        <v>1983</v>
      </c>
      <c r="J666">
        <v>1</v>
      </c>
      <c r="K666">
        <v>1</v>
      </c>
      <c r="L666">
        <v>1</v>
      </c>
      <c r="M666">
        <v>2</v>
      </c>
      <c r="N666" t="s">
        <v>26</v>
      </c>
      <c r="O666" t="s">
        <v>27</v>
      </c>
      <c r="P666">
        <v>5.0490759354292898</v>
      </c>
      <c r="Q666">
        <v>1.32393063715269</v>
      </c>
      <c r="R666">
        <v>1.8595127471659301</v>
      </c>
      <c r="S666">
        <v>55</v>
      </c>
      <c r="T666">
        <v>34</v>
      </c>
      <c r="U666">
        <v>768.70728169428696</v>
      </c>
      <c r="V666">
        <v>1.2091898428053199E-3</v>
      </c>
      <c r="W666">
        <v>1579917.98228328</v>
      </c>
      <c r="X666" t="s">
        <v>36</v>
      </c>
      <c r="Y666">
        <f>1-994-191-3822</f>
        <v>-5006</v>
      </c>
    </row>
    <row r="667" spans="1:25" x14ac:dyDescent="0.35">
      <c r="A667">
        <v>35.862493992626902</v>
      </c>
      <c r="B667">
        <v>-122.002377577689</v>
      </c>
      <c r="C667" t="s">
        <v>34</v>
      </c>
      <c r="D667">
        <v>1.1003590496059701</v>
      </c>
      <c r="E667">
        <v>1</v>
      </c>
      <c r="F667">
        <v>2395</v>
      </c>
      <c r="G667">
        <v>3</v>
      </c>
      <c r="H667">
        <v>2</v>
      </c>
      <c r="I667">
        <v>2022</v>
      </c>
      <c r="J667">
        <v>1</v>
      </c>
      <c r="K667">
        <v>0</v>
      </c>
      <c r="L667">
        <v>1</v>
      </c>
      <c r="M667">
        <v>4</v>
      </c>
      <c r="N667" t="s">
        <v>37</v>
      </c>
      <c r="O667" t="s">
        <v>30</v>
      </c>
      <c r="P667">
        <v>12.011351507013501</v>
      </c>
      <c r="Q667">
        <v>2.37893301862076</v>
      </c>
      <c r="R667">
        <v>8.6481791394958805</v>
      </c>
      <c r="S667">
        <v>1</v>
      </c>
      <c r="T667">
        <v>24</v>
      </c>
      <c r="U667">
        <v>639.61390372630399</v>
      </c>
      <c r="V667">
        <v>1.67014613778705E-3</v>
      </c>
      <c r="W667">
        <v>1858128.1200327601</v>
      </c>
      <c r="X667" t="s">
        <v>28</v>
      </c>
      <c r="Y667">
        <f>1-909-454-9525</f>
        <v>-10887</v>
      </c>
    </row>
    <row r="668" spans="1:25" x14ac:dyDescent="0.35">
      <c r="A668">
        <v>39.2935458664316</v>
      </c>
      <c r="B668">
        <v>-119.934302447709</v>
      </c>
      <c r="C668" t="s">
        <v>29</v>
      </c>
      <c r="D668">
        <v>8.7932513207002607</v>
      </c>
      <c r="E668">
        <v>4</v>
      </c>
      <c r="F668">
        <v>2689</v>
      </c>
      <c r="G668">
        <v>2</v>
      </c>
      <c r="H668">
        <v>2</v>
      </c>
      <c r="I668">
        <v>1950</v>
      </c>
      <c r="J668">
        <v>0</v>
      </c>
      <c r="K668">
        <v>1</v>
      </c>
      <c r="L668">
        <v>0</v>
      </c>
      <c r="M668">
        <v>6</v>
      </c>
      <c r="N668" t="s">
        <v>37</v>
      </c>
      <c r="O668" t="s">
        <v>27</v>
      </c>
      <c r="P668">
        <v>7.8884856186435801</v>
      </c>
      <c r="Q668">
        <v>2.1670505566889098</v>
      </c>
      <c r="R668">
        <v>1.5780622761441601</v>
      </c>
      <c r="S668">
        <v>69</v>
      </c>
      <c r="T668">
        <v>78</v>
      </c>
      <c r="U668">
        <v>694.116971556865</v>
      </c>
      <c r="V668">
        <v>2.23131275567125E-3</v>
      </c>
      <c r="W668">
        <v>2004279.9705844901</v>
      </c>
      <c r="X668" t="s">
        <v>40</v>
      </c>
      <c r="Y668">
        <f>1-233-217-4038</f>
        <v>-4487</v>
      </c>
    </row>
    <row r="669" spans="1:25" x14ac:dyDescent="0.35">
      <c r="A669">
        <v>39.532523000174201</v>
      </c>
      <c r="B669">
        <v>-118.44706473102799</v>
      </c>
      <c r="C669" t="s">
        <v>34</v>
      </c>
      <c r="D669">
        <v>9.0767759594739097</v>
      </c>
      <c r="E669">
        <v>2</v>
      </c>
      <c r="F669">
        <v>4151</v>
      </c>
      <c r="G669">
        <v>1</v>
      </c>
      <c r="H669">
        <v>3</v>
      </c>
      <c r="I669">
        <v>2015</v>
      </c>
      <c r="J669">
        <v>0</v>
      </c>
      <c r="K669">
        <v>1</v>
      </c>
      <c r="L669">
        <v>1</v>
      </c>
      <c r="M669">
        <v>8</v>
      </c>
      <c r="N669" t="s">
        <v>35</v>
      </c>
      <c r="O669" t="s">
        <v>30</v>
      </c>
      <c r="P669">
        <v>13.0220467869059</v>
      </c>
      <c r="Q669">
        <v>1.5708553772346501</v>
      </c>
      <c r="R669">
        <v>8.1962955073011106</v>
      </c>
      <c r="S669">
        <v>57</v>
      </c>
      <c r="T669">
        <v>55</v>
      </c>
      <c r="U669">
        <v>641.85066253726802</v>
      </c>
      <c r="V669">
        <v>1.9272464466393599E-3</v>
      </c>
      <c r="W669">
        <v>2899903.06627966</v>
      </c>
      <c r="X669" t="s">
        <v>43</v>
      </c>
      <c r="Y669">
        <f>1-771-989-1801</f>
        <v>-3560</v>
      </c>
    </row>
    <row r="670" spans="1:25" x14ac:dyDescent="0.35">
      <c r="A670">
        <v>38.2662372686381</v>
      </c>
      <c r="B670">
        <v>-117.97002595594699</v>
      </c>
      <c r="C670" t="s">
        <v>34</v>
      </c>
      <c r="D670">
        <v>22.867753179154999</v>
      </c>
      <c r="E670">
        <v>7</v>
      </c>
      <c r="F670">
        <v>1546</v>
      </c>
      <c r="G670">
        <v>3</v>
      </c>
      <c r="H670">
        <v>3</v>
      </c>
      <c r="I670">
        <v>2007</v>
      </c>
      <c r="J670">
        <v>1</v>
      </c>
      <c r="K670">
        <v>0</v>
      </c>
      <c r="L670">
        <v>1</v>
      </c>
      <c r="M670">
        <v>3</v>
      </c>
      <c r="N670" t="s">
        <v>26</v>
      </c>
      <c r="O670" t="s">
        <v>27</v>
      </c>
      <c r="P670">
        <v>12.938502797317399</v>
      </c>
      <c r="Q670">
        <v>0.624309503835355</v>
      </c>
      <c r="R670">
        <v>3.65571018608708</v>
      </c>
      <c r="S670">
        <v>92</v>
      </c>
      <c r="T670">
        <v>29</v>
      </c>
      <c r="U670">
        <v>536.64518769907397</v>
      </c>
      <c r="V670">
        <v>1.9404915912031001E-3</v>
      </c>
      <c r="W670">
        <v>1216973.1533425001</v>
      </c>
      <c r="X670" t="s">
        <v>44</v>
      </c>
      <c r="Y670">
        <f>1-684-798-2701</f>
        <v>-4182</v>
      </c>
    </row>
    <row r="671" spans="1:25" x14ac:dyDescent="0.35">
      <c r="A671">
        <v>35.480326686731203</v>
      </c>
      <c r="B671">
        <v>-117.205807855944</v>
      </c>
      <c r="C671" t="s">
        <v>25</v>
      </c>
      <c r="D671">
        <v>3.4961107603636599</v>
      </c>
      <c r="E671">
        <v>4</v>
      </c>
      <c r="F671">
        <v>2669</v>
      </c>
      <c r="G671">
        <v>4</v>
      </c>
      <c r="H671">
        <v>1</v>
      </c>
      <c r="I671">
        <v>1955</v>
      </c>
      <c r="J671">
        <v>0</v>
      </c>
      <c r="K671">
        <v>1</v>
      </c>
      <c r="L671">
        <v>1</v>
      </c>
      <c r="M671">
        <v>4</v>
      </c>
      <c r="N671" t="s">
        <v>35</v>
      </c>
      <c r="O671" t="s">
        <v>27</v>
      </c>
      <c r="P671">
        <v>10.1407545766795</v>
      </c>
      <c r="Q671">
        <v>0.94303115863618903</v>
      </c>
      <c r="R671">
        <v>9.0625325609643195</v>
      </c>
      <c r="S671">
        <v>24</v>
      </c>
      <c r="T671">
        <v>25</v>
      </c>
      <c r="U671">
        <v>791.86251447411996</v>
      </c>
      <c r="V671">
        <v>1.49868864743349E-3</v>
      </c>
      <c r="W671">
        <v>2390895.1833762401</v>
      </c>
      <c r="X671" t="s">
        <v>42</v>
      </c>
      <c r="Y671">
        <f>1-306-361-8647</f>
        <v>-9313</v>
      </c>
    </row>
    <row r="672" spans="1:25" x14ac:dyDescent="0.35">
      <c r="A672">
        <v>37.416622229041202</v>
      </c>
      <c r="B672">
        <v>-120.37319400139501</v>
      </c>
      <c r="C672" t="s">
        <v>34</v>
      </c>
      <c r="D672">
        <v>49.327055879368501</v>
      </c>
      <c r="E672">
        <v>9</v>
      </c>
      <c r="F672">
        <v>3569</v>
      </c>
      <c r="G672">
        <v>1</v>
      </c>
      <c r="H672">
        <v>2</v>
      </c>
      <c r="I672">
        <v>2020</v>
      </c>
      <c r="J672">
        <v>1</v>
      </c>
      <c r="K672">
        <v>0</v>
      </c>
      <c r="L672">
        <v>0</v>
      </c>
      <c r="M672">
        <v>8</v>
      </c>
      <c r="N672" t="s">
        <v>41</v>
      </c>
      <c r="O672" t="s">
        <v>32</v>
      </c>
      <c r="P672">
        <v>9.9658694667017098</v>
      </c>
      <c r="Q672">
        <v>0.78412727000207005</v>
      </c>
      <c r="R672">
        <v>0.51784782838422205</v>
      </c>
      <c r="S672">
        <v>17</v>
      </c>
      <c r="T672">
        <v>75</v>
      </c>
      <c r="U672">
        <v>429.381611701699</v>
      </c>
      <c r="V672">
        <v>2.2415242364808002E-3</v>
      </c>
      <c r="W672">
        <v>1782192.7190332799</v>
      </c>
      <c r="X672" t="s">
        <v>44</v>
      </c>
      <c r="Y672">
        <f>1-315-562-1443</f>
        <v>-2319</v>
      </c>
    </row>
    <row r="673" spans="1:25" x14ac:dyDescent="0.35">
      <c r="A673">
        <v>38.147986161355199</v>
      </c>
      <c r="B673">
        <v>-114.937346416783</v>
      </c>
      <c r="C673" t="s">
        <v>34</v>
      </c>
      <c r="D673">
        <v>29.277425942606602</v>
      </c>
      <c r="E673">
        <v>6</v>
      </c>
      <c r="F673">
        <v>754</v>
      </c>
      <c r="G673">
        <v>5</v>
      </c>
      <c r="H673">
        <v>1</v>
      </c>
      <c r="I673">
        <v>1960</v>
      </c>
      <c r="J673">
        <v>0</v>
      </c>
      <c r="K673">
        <v>1</v>
      </c>
      <c r="L673">
        <v>1</v>
      </c>
      <c r="M673">
        <v>3</v>
      </c>
      <c r="N673" t="s">
        <v>35</v>
      </c>
      <c r="O673" t="s">
        <v>30</v>
      </c>
      <c r="P673">
        <v>2.7837190674580898</v>
      </c>
      <c r="Q673">
        <v>2.2512723573272799</v>
      </c>
      <c r="R673">
        <v>2.0347783808071398</v>
      </c>
      <c r="S673">
        <v>174</v>
      </c>
      <c r="T673">
        <v>23</v>
      </c>
      <c r="U673">
        <v>958.74313179509602</v>
      </c>
      <c r="V673">
        <v>3.9787798408488003E-3</v>
      </c>
      <c r="W673">
        <v>1048292.6794944</v>
      </c>
      <c r="X673" t="s">
        <v>39</v>
      </c>
      <c r="Y673">
        <f>1-669-173-9232</f>
        <v>-10073</v>
      </c>
    </row>
    <row r="674" spans="1:25" x14ac:dyDescent="0.35">
      <c r="A674">
        <v>37.272571062021797</v>
      </c>
      <c r="B674">
        <v>-114.47225090081299</v>
      </c>
      <c r="C674" t="s">
        <v>34</v>
      </c>
      <c r="D674">
        <v>23.3526438426955</v>
      </c>
      <c r="E674">
        <v>4</v>
      </c>
      <c r="F674">
        <v>4853</v>
      </c>
      <c r="G674">
        <v>3</v>
      </c>
      <c r="H674">
        <v>3</v>
      </c>
      <c r="I674">
        <v>2011</v>
      </c>
      <c r="J674">
        <v>1</v>
      </c>
      <c r="K674">
        <v>0</v>
      </c>
      <c r="L674">
        <v>0</v>
      </c>
      <c r="M674">
        <v>7</v>
      </c>
      <c r="N674" t="s">
        <v>35</v>
      </c>
      <c r="O674" t="s">
        <v>30</v>
      </c>
      <c r="P674">
        <v>4.5584919965132702</v>
      </c>
      <c r="Q674">
        <v>2.0084547033795599</v>
      </c>
      <c r="R674">
        <v>5.3127621008191097</v>
      </c>
      <c r="S674">
        <v>60</v>
      </c>
      <c r="T674">
        <v>43</v>
      </c>
      <c r="U674">
        <v>671.45653725833597</v>
      </c>
      <c r="V674">
        <v>1.4424067587059501E-3</v>
      </c>
      <c r="W674">
        <v>3596047.0325575201</v>
      </c>
      <c r="X674" t="s">
        <v>42</v>
      </c>
      <c r="Y674">
        <f>1-461-140-8374</f>
        <v>-8974</v>
      </c>
    </row>
    <row r="675" spans="1:25" x14ac:dyDescent="0.35">
      <c r="A675">
        <v>39.771766049612403</v>
      </c>
      <c r="B675">
        <v>-120.664451329836</v>
      </c>
      <c r="C675" t="s">
        <v>34</v>
      </c>
      <c r="D675">
        <v>32.004814795105403</v>
      </c>
      <c r="E675">
        <v>1</v>
      </c>
      <c r="F675">
        <v>516</v>
      </c>
      <c r="G675">
        <v>1</v>
      </c>
      <c r="H675">
        <v>1</v>
      </c>
      <c r="I675">
        <v>1969</v>
      </c>
      <c r="J675">
        <v>1</v>
      </c>
      <c r="K675">
        <v>0</v>
      </c>
      <c r="L675">
        <v>1</v>
      </c>
      <c r="M675">
        <v>8</v>
      </c>
      <c r="N675" t="s">
        <v>26</v>
      </c>
      <c r="O675" t="s">
        <v>32</v>
      </c>
      <c r="P675">
        <v>6.6944333952416297</v>
      </c>
      <c r="Q675">
        <v>2.0171760986283398</v>
      </c>
      <c r="R675">
        <v>5.7321089212798499</v>
      </c>
      <c r="S675">
        <v>62</v>
      </c>
      <c r="T675">
        <v>36</v>
      </c>
      <c r="U675">
        <v>687.24228467709497</v>
      </c>
      <c r="V675">
        <v>1.5503875968992199E-2</v>
      </c>
      <c r="W675">
        <v>440517.84870253602</v>
      </c>
      <c r="X675" t="s">
        <v>31</v>
      </c>
      <c r="Y675">
        <f>1-721-116-7811</f>
        <v>-8647</v>
      </c>
    </row>
    <row r="676" spans="1:25" x14ac:dyDescent="0.35">
      <c r="A676">
        <v>32.699991436521799</v>
      </c>
      <c r="B676">
        <v>-116.044099394659</v>
      </c>
      <c r="C676" t="s">
        <v>25</v>
      </c>
      <c r="D676">
        <v>10.810182554441599</v>
      </c>
      <c r="E676">
        <v>2</v>
      </c>
      <c r="F676">
        <v>1813</v>
      </c>
      <c r="G676">
        <v>4</v>
      </c>
      <c r="H676">
        <v>2</v>
      </c>
      <c r="I676">
        <v>1976</v>
      </c>
      <c r="J676">
        <v>0</v>
      </c>
      <c r="K676">
        <v>1</v>
      </c>
      <c r="L676">
        <v>1</v>
      </c>
      <c r="M676">
        <v>8</v>
      </c>
      <c r="N676" t="s">
        <v>26</v>
      </c>
      <c r="O676" t="s">
        <v>32</v>
      </c>
      <c r="P676">
        <v>2.2418371405138502</v>
      </c>
      <c r="Q676">
        <v>1.07718838958424</v>
      </c>
      <c r="R676">
        <v>1.5557000753718999</v>
      </c>
      <c r="S676">
        <v>128</v>
      </c>
      <c r="T676">
        <v>69</v>
      </c>
      <c r="U676">
        <v>279.67002410183699</v>
      </c>
      <c r="V676">
        <v>4.4125758411472701E-3</v>
      </c>
      <c r="W676">
        <v>796800.48447576596</v>
      </c>
      <c r="X676" t="s">
        <v>43</v>
      </c>
      <c r="Y676">
        <f>1-430-404-8623</f>
        <v>-9456</v>
      </c>
    </row>
    <row r="677" spans="1:25" x14ac:dyDescent="0.35">
      <c r="A677">
        <v>39.932212549750602</v>
      </c>
      <c r="B677">
        <v>-121.92807180382</v>
      </c>
      <c r="C677" t="s">
        <v>25</v>
      </c>
      <c r="D677">
        <v>9.9817759577461196</v>
      </c>
      <c r="E677">
        <v>2</v>
      </c>
      <c r="F677">
        <v>4869</v>
      </c>
      <c r="G677">
        <v>5</v>
      </c>
      <c r="H677">
        <v>3</v>
      </c>
      <c r="I677">
        <v>1992</v>
      </c>
      <c r="J677">
        <v>0</v>
      </c>
      <c r="K677">
        <v>1</v>
      </c>
      <c r="L677">
        <v>0</v>
      </c>
      <c r="M677">
        <v>11</v>
      </c>
      <c r="N677" t="s">
        <v>37</v>
      </c>
      <c r="O677" t="s">
        <v>27</v>
      </c>
      <c r="P677">
        <v>12.791115512187201</v>
      </c>
      <c r="Q677">
        <v>1.1797381112863199</v>
      </c>
      <c r="R677">
        <v>2.47109243980842</v>
      </c>
      <c r="S677">
        <v>133</v>
      </c>
      <c r="T677">
        <v>51</v>
      </c>
      <c r="U677">
        <v>816.76705216525204</v>
      </c>
      <c r="V677">
        <v>2.2591907989320099E-3</v>
      </c>
      <c r="W677">
        <v>4446634.9013461899</v>
      </c>
      <c r="X677" t="s">
        <v>36</v>
      </c>
      <c r="Y677">
        <f>1-236-436-8134</f>
        <v>-8805</v>
      </c>
    </row>
    <row r="678" spans="1:25" x14ac:dyDescent="0.35">
      <c r="A678">
        <v>37.365360663204797</v>
      </c>
      <c r="B678">
        <v>-114.086452851114</v>
      </c>
      <c r="C678" t="s">
        <v>25</v>
      </c>
      <c r="D678">
        <v>5.0826690796704499</v>
      </c>
      <c r="E678">
        <v>3</v>
      </c>
      <c r="F678">
        <v>2563</v>
      </c>
      <c r="G678">
        <v>2</v>
      </c>
      <c r="H678">
        <v>2</v>
      </c>
      <c r="I678">
        <v>1994</v>
      </c>
      <c r="J678">
        <v>1</v>
      </c>
      <c r="K678">
        <v>1</v>
      </c>
      <c r="L678">
        <v>0</v>
      </c>
      <c r="M678">
        <v>14</v>
      </c>
      <c r="N678" t="s">
        <v>35</v>
      </c>
      <c r="O678" t="s">
        <v>30</v>
      </c>
      <c r="P678">
        <v>14.3906509585143</v>
      </c>
      <c r="Q678">
        <v>1.36286257720334</v>
      </c>
      <c r="R678">
        <v>8.9641849490163299</v>
      </c>
      <c r="S678">
        <v>158</v>
      </c>
      <c r="T678">
        <v>27</v>
      </c>
      <c r="U678">
        <v>836.01405677971798</v>
      </c>
      <c r="V678">
        <v>5.4623488099882897E-3</v>
      </c>
      <c r="W678">
        <v>2474881.9745078199</v>
      </c>
      <c r="X678" t="s">
        <v>36</v>
      </c>
      <c r="Y678">
        <f>1-958-267-7752</f>
        <v>-8976</v>
      </c>
    </row>
    <row r="679" spans="1:25" x14ac:dyDescent="0.35">
      <c r="A679">
        <v>37.727567899066898</v>
      </c>
      <c r="B679">
        <v>-121.71004695926599</v>
      </c>
      <c r="C679" t="s">
        <v>25</v>
      </c>
      <c r="D679">
        <v>11.757824542521501</v>
      </c>
      <c r="E679">
        <v>7</v>
      </c>
      <c r="F679">
        <v>516</v>
      </c>
      <c r="G679">
        <v>3</v>
      </c>
      <c r="H679">
        <v>3</v>
      </c>
      <c r="I679">
        <v>1996</v>
      </c>
      <c r="J679">
        <v>1</v>
      </c>
      <c r="K679">
        <v>0</v>
      </c>
      <c r="L679">
        <v>0</v>
      </c>
      <c r="M679">
        <v>6</v>
      </c>
      <c r="N679" t="s">
        <v>37</v>
      </c>
      <c r="O679" t="s">
        <v>32</v>
      </c>
      <c r="P679">
        <v>9.3315084441626599</v>
      </c>
      <c r="Q679">
        <v>1.0152254820598501</v>
      </c>
      <c r="R679">
        <v>3.5913120378224499</v>
      </c>
      <c r="S679">
        <v>189</v>
      </c>
      <c r="T679">
        <v>69</v>
      </c>
      <c r="U679">
        <v>641.71270503832602</v>
      </c>
      <c r="V679">
        <v>1.1627906976744099E-2</v>
      </c>
      <c r="W679">
        <v>533404.37823047396</v>
      </c>
      <c r="X679" t="s">
        <v>42</v>
      </c>
      <c r="Y679">
        <f>1-799-303-7520</f>
        <v>-8621</v>
      </c>
    </row>
    <row r="680" spans="1:25" x14ac:dyDescent="0.35">
      <c r="A680">
        <v>33.135988295137103</v>
      </c>
      <c r="B680">
        <v>-114.240263540119</v>
      </c>
      <c r="C680" t="s">
        <v>29</v>
      </c>
      <c r="D680">
        <v>18.309052866117</v>
      </c>
      <c r="E680">
        <v>8</v>
      </c>
      <c r="F680">
        <v>1336</v>
      </c>
      <c r="G680">
        <v>4</v>
      </c>
      <c r="H680">
        <v>2</v>
      </c>
      <c r="I680">
        <v>1981</v>
      </c>
      <c r="J680">
        <v>1</v>
      </c>
      <c r="K680">
        <v>1</v>
      </c>
      <c r="L680">
        <v>1</v>
      </c>
      <c r="M680">
        <v>2</v>
      </c>
      <c r="N680" t="s">
        <v>26</v>
      </c>
      <c r="O680" t="s">
        <v>27</v>
      </c>
      <c r="P680">
        <v>13.200320495325601</v>
      </c>
      <c r="Q680">
        <v>1.4545013727873</v>
      </c>
      <c r="R680">
        <v>9.7486630477415304</v>
      </c>
      <c r="S680">
        <v>37</v>
      </c>
      <c r="T680">
        <v>28</v>
      </c>
      <c r="U680">
        <v>836.66839367213197</v>
      </c>
      <c r="V680">
        <v>1.49700598802395E-3</v>
      </c>
      <c r="W680">
        <v>1551922.8448230899</v>
      </c>
      <c r="X680" t="s">
        <v>31</v>
      </c>
      <c r="Y680">
        <f>1-285-618-8829</f>
        <v>-9731</v>
      </c>
    </row>
    <row r="681" spans="1:25" x14ac:dyDescent="0.35">
      <c r="A681">
        <v>35.220392975878099</v>
      </c>
      <c r="B681">
        <v>-121.79856296531599</v>
      </c>
      <c r="C681" t="s">
        <v>34</v>
      </c>
      <c r="D681">
        <v>13.9937233025593</v>
      </c>
      <c r="E681">
        <v>8</v>
      </c>
      <c r="F681">
        <v>1332</v>
      </c>
      <c r="G681">
        <v>2</v>
      </c>
      <c r="H681">
        <v>3</v>
      </c>
      <c r="I681">
        <v>1951</v>
      </c>
      <c r="J681">
        <v>0</v>
      </c>
      <c r="K681">
        <v>0</v>
      </c>
      <c r="L681">
        <v>0</v>
      </c>
      <c r="M681">
        <v>11</v>
      </c>
      <c r="N681" t="s">
        <v>41</v>
      </c>
      <c r="O681" t="s">
        <v>30</v>
      </c>
      <c r="P681">
        <v>10.9016791642747</v>
      </c>
      <c r="Q681">
        <v>2.0991685278610102</v>
      </c>
      <c r="R681">
        <v>1.37640443058179</v>
      </c>
      <c r="S681">
        <v>27</v>
      </c>
      <c r="T681">
        <v>49</v>
      </c>
      <c r="U681">
        <v>540.44715120321496</v>
      </c>
      <c r="V681">
        <v>8.2582582582582508E-3</v>
      </c>
      <c r="W681">
        <v>940974.33939809795</v>
      </c>
      <c r="X681" t="s">
        <v>38</v>
      </c>
      <c r="Y681">
        <f>1-306-924-4623</f>
        <v>-5852</v>
      </c>
    </row>
    <row r="682" spans="1:25" x14ac:dyDescent="0.35">
      <c r="A682">
        <v>41.441306800760898</v>
      </c>
      <c r="B682">
        <v>-118.16187534242501</v>
      </c>
      <c r="C682" t="s">
        <v>34</v>
      </c>
      <c r="D682">
        <v>28.5968767111506</v>
      </c>
      <c r="E682">
        <v>9</v>
      </c>
      <c r="F682">
        <v>1248</v>
      </c>
      <c r="G682">
        <v>4</v>
      </c>
      <c r="H682">
        <v>2</v>
      </c>
      <c r="I682">
        <v>1995</v>
      </c>
      <c r="J682">
        <v>1</v>
      </c>
      <c r="K682">
        <v>0</v>
      </c>
      <c r="L682">
        <v>0</v>
      </c>
      <c r="M682">
        <v>11</v>
      </c>
      <c r="N682" t="s">
        <v>41</v>
      </c>
      <c r="O682" t="s">
        <v>30</v>
      </c>
      <c r="P682">
        <v>10.8120578867538</v>
      </c>
      <c r="Q682">
        <v>2.2493085328988398</v>
      </c>
      <c r="R682">
        <v>7.2462808435546302</v>
      </c>
      <c r="S682">
        <v>8</v>
      </c>
      <c r="T682">
        <v>28</v>
      </c>
      <c r="U682">
        <v>241.58020910382899</v>
      </c>
      <c r="V682">
        <v>8.8141025641025605E-3</v>
      </c>
      <c r="W682">
        <v>674754.65340119402</v>
      </c>
      <c r="X682" t="s">
        <v>40</v>
      </c>
      <c r="Y682">
        <f>1-442-114-1407</f>
        <v>-1962</v>
      </c>
    </row>
    <row r="683" spans="1:25" x14ac:dyDescent="0.35">
      <c r="A683">
        <v>33.247188161482597</v>
      </c>
      <c r="B683">
        <v>-123.56408344169</v>
      </c>
      <c r="C683" t="s">
        <v>29</v>
      </c>
      <c r="D683">
        <v>28.724886309180199</v>
      </c>
      <c r="E683">
        <v>4</v>
      </c>
      <c r="F683">
        <v>1457</v>
      </c>
      <c r="G683">
        <v>3</v>
      </c>
      <c r="H683">
        <v>1</v>
      </c>
      <c r="I683">
        <v>1958</v>
      </c>
      <c r="J683">
        <v>1</v>
      </c>
      <c r="K683">
        <v>0</v>
      </c>
      <c r="L683">
        <v>0</v>
      </c>
      <c r="M683">
        <v>9</v>
      </c>
      <c r="N683" t="s">
        <v>41</v>
      </c>
      <c r="O683" t="s">
        <v>32</v>
      </c>
      <c r="P683">
        <v>7.6053568063444397</v>
      </c>
      <c r="Q683">
        <v>2.2101549240648399</v>
      </c>
      <c r="R683">
        <v>4.0426321151547704</v>
      </c>
      <c r="S683">
        <v>89</v>
      </c>
      <c r="T683">
        <v>52</v>
      </c>
      <c r="U683">
        <v>643.31941572344499</v>
      </c>
      <c r="V683">
        <v>6.1770761839395998E-3</v>
      </c>
      <c r="W683">
        <v>1047400.97514892</v>
      </c>
      <c r="X683" t="s">
        <v>33</v>
      </c>
      <c r="Y683">
        <f>1-444-733-6316</f>
        <v>-7492</v>
      </c>
    </row>
    <row r="684" spans="1:25" x14ac:dyDescent="0.35">
      <c r="A684">
        <v>40.175111561166901</v>
      </c>
      <c r="B684">
        <v>-116.59206857701299</v>
      </c>
      <c r="C684" t="s">
        <v>29</v>
      </c>
      <c r="D684">
        <v>22.602271076058901</v>
      </c>
      <c r="E684">
        <v>9</v>
      </c>
      <c r="F684">
        <v>4621</v>
      </c>
      <c r="G684">
        <v>3</v>
      </c>
      <c r="H684">
        <v>3</v>
      </c>
      <c r="I684">
        <v>1980</v>
      </c>
      <c r="J684">
        <v>0</v>
      </c>
      <c r="K684">
        <v>0</v>
      </c>
      <c r="L684">
        <v>1</v>
      </c>
      <c r="M684">
        <v>10</v>
      </c>
      <c r="N684" t="s">
        <v>35</v>
      </c>
      <c r="O684" t="s">
        <v>32</v>
      </c>
      <c r="P684">
        <v>5.7311479896703004</v>
      </c>
      <c r="Q684">
        <v>1.0624315668494999</v>
      </c>
      <c r="R684">
        <v>6.04108861155615</v>
      </c>
      <c r="S684">
        <v>0</v>
      </c>
      <c r="T684">
        <v>59</v>
      </c>
      <c r="U684">
        <v>780.83145736906795</v>
      </c>
      <c r="V684">
        <v>2.16403375892663E-3</v>
      </c>
      <c r="W684">
        <v>3794705.9695748398</v>
      </c>
      <c r="X684" t="s">
        <v>42</v>
      </c>
      <c r="Y684">
        <f>1-521-575-1943</f>
        <v>-3038</v>
      </c>
    </row>
    <row r="685" spans="1:25" x14ac:dyDescent="0.35">
      <c r="A685">
        <v>34.430001381293302</v>
      </c>
      <c r="B685">
        <v>-115.13845333752801</v>
      </c>
      <c r="C685" t="s">
        <v>29</v>
      </c>
      <c r="D685">
        <v>5.1441618322045404</v>
      </c>
      <c r="E685">
        <v>3</v>
      </c>
      <c r="F685">
        <v>3316</v>
      </c>
      <c r="G685">
        <v>3</v>
      </c>
      <c r="H685">
        <v>1</v>
      </c>
      <c r="I685">
        <v>1989</v>
      </c>
      <c r="J685">
        <v>0</v>
      </c>
      <c r="K685">
        <v>0</v>
      </c>
      <c r="L685">
        <v>0</v>
      </c>
      <c r="M685">
        <v>7</v>
      </c>
      <c r="N685" t="s">
        <v>41</v>
      </c>
      <c r="O685" t="s">
        <v>32</v>
      </c>
      <c r="P685">
        <v>4.44626605177959</v>
      </c>
      <c r="Q685">
        <v>1.55582881729851</v>
      </c>
      <c r="R685">
        <v>4.9440980944748798</v>
      </c>
      <c r="S685">
        <v>44</v>
      </c>
      <c r="T685">
        <v>55</v>
      </c>
      <c r="U685">
        <v>345.11521225204399</v>
      </c>
      <c r="V685">
        <v>2.1109770808202602E-3</v>
      </c>
      <c r="W685">
        <v>1249130.93628075</v>
      </c>
      <c r="X685" t="s">
        <v>38</v>
      </c>
      <c r="Y685">
        <f>1-360-844-7518</f>
        <v>-8721</v>
      </c>
    </row>
    <row r="686" spans="1:25" x14ac:dyDescent="0.35">
      <c r="A686">
        <v>33.710877456017599</v>
      </c>
      <c r="B686">
        <v>-120.275912427047</v>
      </c>
      <c r="C686" t="s">
        <v>25</v>
      </c>
      <c r="D686">
        <v>12.803736230193399</v>
      </c>
      <c r="E686">
        <v>4</v>
      </c>
      <c r="F686">
        <v>1934</v>
      </c>
      <c r="G686">
        <v>4</v>
      </c>
      <c r="H686">
        <v>1</v>
      </c>
      <c r="I686">
        <v>1985</v>
      </c>
      <c r="J686">
        <v>0</v>
      </c>
      <c r="K686">
        <v>0</v>
      </c>
      <c r="L686">
        <v>1</v>
      </c>
      <c r="M686">
        <v>6</v>
      </c>
      <c r="N686" t="s">
        <v>26</v>
      </c>
      <c r="O686" t="s">
        <v>32</v>
      </c>
      <c r="P686">
        <v>11.4115739122192</v>
      </c>
      <c r="Q686">
        <v>1.6059503687255601</v>
      </c>
      <c r="R686">
        <v>2.2874267499513401</v>
      </c>
      <c r="S686">
        <v>96</v>
      </c>
      <c r="T686">
        <v>22</v>
      </c>
      <c r="U686">
        <v>778.90651976499396</v>
      </c>
      <c r="V686">
        <v>3.1023784901757999E-3</v>
      </c>
      <c r="W686">
        <v>1903387.94465477</v>
      </c>
      <c r="X686" t="s">
        <v>33</v>
      </c>
      <c r="Y686">
        <f>1-595-109-8058</f>
        <v>-8761</v>
      </c>
    </row>
    <row r="687" spans="1:25" x14ac:dyDescent="0.35">
      <c r="A687">
        <v>39.065189190813399</v>
      </c>
      <c r="B687">
        <v>-115.518433937548</v>
      </c>
      <c r="C687" t="s">
        <v>34</v>
      </c>
      <c r="D687">
        <v>43.942427213635</v>
      </c>
      <c r="E687">
        <v>0</v>
      </c>
      <c r="F687">
        <v>815</v>
      </c>
      <c r="G687">
        <v>2</v>
      </c>
      <c r="H687">
        <v>2</v>
      </c>
      <c r="I687">
        <v>1992</v>
      </c>
      <c r="J687">
        <v>0</v>
      </c>
      <c r="K687">
        <v>0</v>
      </c>
      <c r="L687">
        <v>0</v>
      </c>
      <c r="M687">
        <v>3</v>
      </c>
      <c r="N687" t="s">
        <v>35</v>
      </c>
      <c r="O687" t="s">
        <v>27</v>
      </c>
      <c r="P687">
        <v>4.2447272722465001</v>
      </c>
      <c r="Q687">
        <v>0.53985791064475896</v>
      </c>
      <c r="R687">
        <v>4.8107688095249301</v>
      </c>
      <c r="S687">
        <v>150</v>
      </c>
      <c r="T687">
        <v>37</v>
      </c>
      <c r="U687">
        <v>758.75376716498704</v>
      </c>
      <c r="V687">
        <v>3.6809815950920202E-3</v>
      </c>
      <c r="W687">
        <v>696351.95381835604</v>
      </c>
      <c r="X687" t="s">
        <v>28</v>
      </c>
      <c r="Y687">
        <f>1-294-612-1448</f>
        <v>-2353</v>
      </c>
    </row>
    <row r="688" spans="1:25" x14ac:dyDescent="0.35">
      <c r="A688">
        <v>41.252211072443501</v>
      </c>
      <c r="B688">
        <v>-117.76456843858401</v>
      </c>
      <c r="C688" t="s">
        <v>29</v>
      </c>
      <c r="D688">
        <v>44.949833458165699</v>
      </c>
      <c r="E688">
        <v>4</v>
      </c>
      <c r="F688">
        <v>1480</v>
      </c>
      <c r="G688">
        <v>1</v>
      </c>
      <c r="H688">
        <v>2</v>
      </c>
      <c r="I688">
        <v>1992</v>
      </c>
      <c r="J688">
        <v>1</v>
      </c>
      <c r="K688">
        <v>1</v>
      </c>
      <c r="L688">
        <v>0</v>
      </c>
      <c r="M688">
        <v>14</v>
      </c>
      <c r="N688" t="s">
        <v>35</v>
      </c>
      <c r="O688" t="s">
        <v>27</v>
      </c>
      <c r="P688">
        <v>11.007452694684201</v>
      </c>
      <c r="Q688">
        <v>1.07226616953608</v>
      </c>
      <c r="R688">
        <v>1.3696074882981399</v>
      </c>
      <c r="S688">
        <v>56</v>
      </c>
      <c r="T688">
        <v>57</v>
      </c>
      <c r="U688">
        <v>527.49322511670596</v>
      </c>
      <c r="V688">
        <v>9.45945945945946E-3</v>
      </c>
      <c r="W688">
        <v>1053167.0404932699</v>
      </c>
      <c r="X688" t="s">
        <v>36</v>
      </c>
      <c r="Y688">
        <f>1-452-106-6838</f>
        <v>-7395</v>
      </c>
    </row>
    <row r="689" spans="1:25" x14ac:dyDescent="0.35">
      <c r="A689">
        <v>38.443567066172101</v>
      </c>
      <c r="B689">
        <v>-120.27941968082899</v>
      </c>
      <c r="C689" t="s">
        <v>25</v>
      </c>
      <c r="D689">
        <v>41.602250282134399</v>
      </c>
      <c r="E689">
        <v>3</v>
      </c>
      <c r="F689">
        <v>897</v>
      </c>
      <c r="G689">
        <v>1</v>
      </c>
      <c r="H689">
        <v>3</v>
      </c>
      <c r="I689">
        <v>2007</v>
      </c>
      <c r="J689">
        <v>0</v>
      </c>
      <c r="K689">
        <v>1</v>
      </c>
      <c r="L689">
        <v>1</v>
      </c>
      <c r="M689">
        <v>10</v>
      </c>
      <c r="N689" t="s">
        <v>37</v>
      </c>
      <c r="O689" t="s">
        <v>27</v>
      </c>
      <c r="P689">
        <v>12.7293106454275</v>
      </c>
      <c r="Q689">
        <v>2.1942244162595301</v>
      </c>
      <c r="R689">
        <v>4.3703413307854104</v>
      </c>
      <c r="S689">
        <v>106</v>
      </c>
      <c r="T689">
        <v>74</v>
      </c>
      <c r="U689">
        <v>391.376761039977</v>
      </c>
      <c r="V689">
        <v>1.1148272017837199E-2</v>
      </c>
      <c r="W689">
        <v>615656.63335370598</v>
      </c>
      <c r="X689" t="s">
        <v>33</v>
      </c>
      <c r="Y689">
        <f>1-731-649-4862</f>
        <v>-6241</v>
      </c>
    </row>
    <row r="690" spans="1:25" x14ac:dyDescent="0.35">
      <c r="A690">
        <v>37.7500757369613</v>
      </c>
      <c r="B690">
        <v>-117.40854968745499</v>
      </c>
      <c r="C690" t="s">
        <v>29</v>
      </c>
      <c r="D690">
        <v>37.6694176098325</v>
      </c>
      <c r="E690">
        <v>3</v>
      </c>
      <c r="F690">
        <v>2154</v>
      </c>
      <c r="G690">
        <v>2</v>
      </c>
      <c r="H690">
        <v>2</v>
      </c>
      <c r="I690">
        <v>1984</v>
      </c>
      <c r="J690">
        <v>0</v>
      </c>
      <c r="K690">
        <v>1</v>
      </c>
      <c r="L690">
        <v>0</v>
      </c>
      <c r="M690">
        <v>4</v>
      </c>
      <c r="N690" t="s">
        <v>41</v>
      </c>
      <c r="O690" t="s">
        <v>32</v>
      </c>
      <c r="P690">
        <v>6.07960812006014</v>
      </c>
      <c r="Q690">
        <v>2.2856894681263999</v>
      </c>
      <c r="R690">
        <v>3.29601264244867</v>
      </c>
      <c r="S690">
        <v>72</v>
      </c>
      <c r="T690">
        <v>45</v>
      </c>
      <c r="U690">
        <v>532.90623525347405</v>
      </c>
      <c r="V690">
        <v>1.85701021355617E-3</v>
      </c>
      <c r="W690">
        <v>1403558.21851036</v>
      </c>
      <c r="X690" t="s">
        <v>43</v>
      </c>
      <c r="Y690">
        <f>1-697-895-1431</f>
        <v>-3022</v>
      </c>
    </row>
    <row r="691" spans="1:25" x14ac:dyDescent="0.35">
      <c r="A691">
        <v>34.251564069662003</v>
      </c>
      <c r="B691">
        <v>-120.15223809671301</v>
      </c>
      <c r="C691" t="s">
        <v>34</v>
      </c>
      <c r="D691">
        <v>6.0532958719243002</v>
      </c>
      <c r="E691">
        <v>0</v>
      </c>
      <c r="F691">
        <v>1843</v>
      </c>
      <c r="G691">
        <v>2</v>
      </c>
      <c r="H691">
        <v>2</v>
      </c>
      <c r="I691">
        <v>1965</v>
      </c>
      <c r="J691">
        <v>1</v>
      </c>
      <c r="K691">
        <v>1</v>
      </c>
      <c r="L691">
        <v>0</v>
      </c>
      <c r="M691">
        <v>6</v>
      </c>
      <c r="N691" t="s">
        <v>41</v>
      </c>
      <c r="O691" t="s">
        <v>30</v>
      </c>
      <c r="P691">
        <v>4.4983745566466196</v>
      </c>
      <c r="Q691">
        <v>0.52701428422445395</v>
      </c>
      <c r="R691">
        <v>1.0157138866284801</v>
      </c>
      <c r="S691">
        <v>183</v>
      </c>
      <c r="T691">
        <v>30</v>
      </c>
      <c r="U691">
        <v>893.98569429409201</v>
      </c>
      <c r="V691">
        <v>3.2555615843732999E-3</v>
      </c>
      <c r="W691">
        <v>1832428.5536710799</v>
      </c>
      <c r="X691" t="s">
        <v>36</v>
      </c>
      <c r="Y691">
        <f>1-441-464-5881</f>
        <v>-6785</v>
      </c>
    </row>
    <row r="692" spans="1:25" x14ac:dyDescent="0.35">
      <c r="A692">
        <v>36.014892637139504</v>
      </c>
      <c r="B692">
        <v>-116.24607029971899</v>
      </c>
      <c r="C692" t="s">
        <v>34</v>
      </c>
      <c r="D692">
        <v>49.971296378877</v>
      </c>
      <c r="E692">
        <v>9</v>
      </c>
      <c r="F692">
        <v>3067</v>
      </c>
      <c r="G692">
        <v>2</v>
      </c>
      <c r="H692">
        <v>3</v>
      </c>
      <c r="I692">
        <v>2014</v>
      </c>
      <c r="J692">
        <v>0</v>
      </c>
      <c r="K692">
        <v>1</v>
      </c>
      <c r="L692">
        <v>0</v>
      </c>
      <c r="M692">
        <v>7</v>
      </c>
      <c r="N692" t="s">
        <v>37</v>
      </c>
      <c r="O692" t="s">
        <v>32</v>
      </c>
      <c r="P692">
        <v>14.9381303635527</v>
      </c>
      <c r="Q692">
        <v>2.4955549929763401</v>
      </c>
      <c r="R692">
        <v>2.35288366394466</v>
      </c>
      <c r="S692">
        <v>187</v>
      </c>
      <c r="T692">
        <v>64</v>
      </c>
      <c r="U692">
        <v>413.36254039545099</v>
      </c>
      <c r="V692">
        <v>2.28236061297685E-3</v>
      </c>
      <c r="W692">
        <v>1658917.9181901701</v>
      </c>
      <c r="X692" t="s">
        <v>44</v>
      </c>
      <c r="Y692">
        <f>1-835-732-2311</f>
        <v>-3877</v>
      </c>
    </row>
    <row r="693" spans="1:25" x14ac:dyDescent="0.35">
      <c r="A693">
        <v>38.332389730244699</v>
      </c>
      <c r="B693">
        <v>-122.37917855153199</v>
      </c>
      <c r="C693" t="s">
        <v>25</v>
      </c>
      <c r="D693">
        <v>11.332342927033899</v>
      </c>
      <c r="E693">
        <v>4</v>
      </c>
      <c r="F693">
        <v>626</v>
      </c>
      <c r="G693">
        <v>3</v>
      </c>
      <c r="H693">
        <v>1</v>
      </c>
      <c r="I693">
        <v>1977</v>
      </c>
      <c r="J693">
        <v>0</v>
      </c>
      <c r="K693">
        <v>0</v>
      </c>
      <c r="L693">
        <v>0</v>
      </c>
      <c r="M693">
        <v>13</v>
      </c>
      <c r="N693" t="s">
        <v>26</v>
      </c>
      <c r="O693" t="s">
        <v>32</v>
      </c>
      <c r="P693">
        <v>13.883165045517901</v>
      </c>
      <c r="Q693">
        <v>1.37453119795241</v>
      </c>
      <c r="R693">
        <v>4.6843165979604704</v>
      </c>
      <c r="S693">
        <v>98</v>
      </c>
      <c r="T693">
        <v>44</v>
      </c>
      <c r="U693">
        <v>584.43272861911896</v>
      </c>
      <c r="V693">
        <v>2.0766773162939199E-2</v>
      </c>
      <c r="W693">
        <v>577372.48214046005</v>
      </c>
      <c r="X693" t="s">
        <v>33</v>
      </c>
      <c r="Y693">
        <f>1-389-209-1163</f>
        <v>-1760</v>
      </c>
    </row>
    <row r="694" spans="1:25" x14ac:dyDescent="0.35">
      <c r="A694">
        <v>35.941196819759597</v>
      </c>
      <c r="B694">
        <v>-116.541946254831</v>
      </c>
      <c r="C694" t="s">
        <v>29</v>
      </c>
      <c r="D694">
        <v>22.498717902490998</v>
      </c>
      <c r="E694">
        <v>1</v>
      </c>
      <c r="F694">
        <v>1603</v>
      </c>
      <c r="G694">
        <v>3</v>
      </c>
      <c r="H694">
        <v>3</v>
      </c>
      <c r="I694">
        <v>1953</v>
      </c>
      <c r="J694">
        <v>1</v>
      </c>
      <c r="K694">
        <v>0</v>
      </c>
      <c r="L694">
        <v>0</v>
      </c>
      <c r="M694">
        <v>14</v>
      </c>
      <c r="N694" t="s">
        <v>35</v>
      </c>
      <c r="O694" t="s">
        <v>30</v>
      </c>
      <c r="P694">
        <v>11.9903119194993</v>
      </c>
      <c r="Q694">
        <v>0.94877854118961102</v>
      </c>
      <c r="R694">
        <v>3.8937249357455901</v>
      </c>
      <c r="S694">
        <v>191</v>
      </c>
      <c r="T694">
        <v>39</v>
      </c>
      <c r="U694">
        <v>296.12223362769902</v>
      </c>
      <c r="V694">
        <v>8.7336244541484694E-3</v>
      </c>
      <c r="W694">
        <v>721057.85033375397</v>
      </c>
      <c r="X694" t="s">
        <v>38</v>
      </c>
      <c r="Y694">
        <f>1-989-520-7792</f>
        <v>-9300</v>
      </c>
    </row>
    <row r="695" spans="1:25" x14ac:dyDescent="0.35">
      <c r="A695">
        <v>37.0971109259157</v>
      </c>
      <c r="B695">
        <v>-122.431146132028</v>
      </c>
      <c r="C695" t="s">
        <v>25</v>
      </c>
      <c r="D695">
        <v>6.93508347013133</v>
      </c>
      <c r="E695">
        <v>7</v>
      </c>
      <c r="F695">
        <v>3437</v>
      </c>
      <c r="G695">
        <v>3</v>
      </c>
      <c r="H695">
        <v>1</v>
      </c>
      <c r="I695">
        <v>1952</v>
      </c>
      <c r="J695">
        <v>1</v>
      </c>
      <c r="K695">
        <v>0</v>
      </c>
      <c r="L695">
        <v>1</v>
      </c>
      <c r="M695">
        <v>2</v>
      </c>
      <c r="N695" t="s">
        <v>35</v>
      </c>
      <c r="O695" t="s">
        <v>27</v>
      </c>
      <c r="P695">
        <v>5.8599068361569602</v>
      </c>
      <c r="Q695">
        <v>0.99277605323491802</v>
      </c>
      <c r="R695">
        <v>1.8596515689169799</v>
      </c>
      <c r="S695">
        <v>53</v>
      </c>
      <c r="T695">
        <v>20</v>
      </c>
      <c r="U695">
        <v>836.58482279083398</v>
      </c>
      <c r="V695">
        <v>5.8190282222868696E-4</v>
      </c>
      <c r="W695">
        <v>3019812.7822655002</v>
      </c>
      <c r="X695" t="s">
        <v>44</v>
      </c>
      <c r="Y695">
        <f>1-388-457-2926</f>
        <v>-3770</v>
      </c>
    </row>
    <row r="696" spans="1:25" x14ac:dyDescent="0.35">
      <c r="A696">
        <v>37.061479138469601</v>
      </c>
      <c r="B696">
        <v>-119.21004460995999</v>
      </c>
      <c r="C696" t="s">
        <v>34</v>
      </c>
      <c r="D696">
        <v>38.255490513300799</v>
      </c>
      <c r="E696">
        <v>6</v>
      </c>
      <c r="F696">
        <v>2098</v>
      </c>
      <c r="G696">
        <v>4</v>
      </c>
      <c r="H696">
        <v>1</v>
      </c>
      <c r="I696">
        <v>1968</v>
      </c>
      <c r="J696">
        <v>0</v>
      </c>
      <c r="K696">
        <v>0</v>
      </c>
      <c r="L696">
        <v>0</v>
      </c>
      <c r="M696">
        <v>12</v>
      </c>
      <c r="N696" t="s">
        <v>41</v>
      </c>
      <c r="O696" t="s">
        <v>27</v>
      </c>
      <c r="P696">
        <v>7.4888322558936702</v>
      </c>
      <c r="Q696">
        <v>1.83936019237005</v>
      </c>
      <c r="R696">
        <v>9.0644881691581798</v>
      </c>
      <c r="S696">
        <v>63</v>
      </c>
      <c r="T696">
        <v>79</v>
      </c>
      <c r="U696">
        <v>698.58842588486095</v>
      </c>
      <c r="V696">
        <v>5.7197330791229697E-3</v>
      </c>
      <c r="W696">
        <v>1665555.6849952301</v>
      </c>
      <c r="X696" t="s">
        <v>36</v>
      </c>
      <c r="Y696">
        <f>1-411-127-4901</f>
        <v>-5438</v>
      </c>
    </row>
    <row r="697" spans="1:25" x14ac:dyDescent="0.35">
      <c r="A697">
        <v>40.233873629022</v>
      </c>
      <c r="B697">
        <v>-118.34096476788299</v>
      </c>
      <c r="C697" t="s">
        <v>34</v>
      </c>
      <c r="D697">
        <v>29.591064582871802</v>
      </c>
      <c r="E697">
        <v>2</v>
      </c>
      <c r="F697">
        <v>3424</v>
      </c>
      <c r="G697">
        <v>3</v>
      </c>
      <c r="H697">
        <v>2</v>
      </c>
      <c r="I697">
        <v>2011</v>
      </c>
      <c r="J697">
        <v>1</v>
      </c>
      <c r="K697">
        <v>0</v>
      </c>
      <c r="L697">
        <v>0</v>
      </c>
      <c r="M697">
        <v>2</v>
      </c>
      <c r="N697" t="s">
        <v>37</v>
      </c>
      <c r="O697" t="s">
        <v>27</v>
      </c>
      <c r="P697">
        <v>5.2252091476961002</v>
      </c>
      <c r="Q697">
        <v>2.34963153125699</v>
      </c>
      <c r="R697">
        <v>0.29322113611887801</v>
      </c>
      <c r="S697">
        <v>178</v>
      </c>
      <c r="T697">
        <v>61</v>
      </c>
      <c r="U697">
        <v>304.83206058865301</v>
      </c>
      <c r="V697">
        <v>5.8411214953271002E-4</v>
      </c>
      <c r="W697">
        <v>1272821.6123589899</v>
      </c>
      <c r="X697" t="s">
        <v>42</v>
      </c>
      <c r="Y697">
        <f>1-914-893-5013</f>
        <v>-6819</v>
      </c>
    </row>
    <row r="698" spans="1:25" x14ac:dyDescent="0.35">
      <c r="A698">
        <v>33.512454647902899</v>
      </c>
      <c r="B698">
        <v>-121.357902567053</v>
      </c>
      <c r="C698" t="s">
        <v>25</v>
      </c>
      <c r="D698">
        <v>21.884558902565001</v>
      </c>
      <c r="E698">
        <v>1</v>
      </c>
      <c r="F698">
        <v>3665</v>
      </c>
      <c r="G698">
        <v>5</v>
      </c>
      <c r="H698">
        <v>2</v>
      </c>
      <c r="I698">
        <v>2007</v>
      </c>
      <c r="J698">
        <v>0</v>
      </c>
      <c r="K698">
        <v>1</v>
      </c>
      <c r="L698">
        <v>0</v>
      </c>
      <c r="M698">
        <v>3</v>
      </c>
      <c r="N698" t="s">
        <v>41</v>
      </c>
      <c r="O698" t="s">
        <v>32</v>
      </c>
      <c r="P698">
        <v>9.2701539899974197</v>
      </c>
      <c r="Q698">
        <v>2.2873702279636099</v>
      </c>
      <c r="R698">
        <v>2.3032748330577899</v>
      </c>
      <c r="S698">
        <v>20</v>
      </c>
      <c r="T698">
        <v>60</v>
      </c>
      <c r="U698">
        <v>798.99143986559602</v>
      </c>
      <c r="V698">
        <v>8.1855388813096804E-4</v>
      </c>
      <c r="W698">
        <v>3315880.9799983702</v>
      </c>
      <c r="X698" t="s">
        <v>40</v>
      </c>
      <c r="Y698">
        <f>1-321-630-9146</f>
        <v>-10096</v>
      </c>
    </row>
    <row r="699" spans="1:25" x14ac:dyDescent="0.35">
      <c r="A699">
        <v>40.074494270225699</v>
      </c>
      <c r="B699">
        <v>-121.435191620477</v>
      </c>
      <c r="C699" t="s">
        <v>34</v>
      </c>
      <c r="D699">
        <v>7.6837726380317299</v>
      </c>
      <c r="E699">
        <v>0</v>
      </c>
      <c r="F699">
        <v>2270</v>
      </c>
      <c r="G699">
        <v>3</v>
      </c>
      <c r="H699">
        <v>1</v>
      </c>
      <c r="I699">
        <v>2011</v>
      </c>
      <c r="J699">
        <v>0</v>
      </c>
      <c r="K699">
        <v>0</v>
      </c>
      <c r="L699">
        <v>1</v>
      </c>
      <c r="M699">
        <v>7</v>
      </c>
      <c r="N699" t="s">
        <v>41</v>
      </c>
      <c r="O699" t="s">
        <v>27</v>
      </c>
      <c r="P699">
        <v>2.2273471753592098</v>
      </c>
      <c r="Q699">
        <v>2.1391553507414298</v>
      </c>
      <c r="R699">
        <v>6.9045008764742102</v>
      </c>
      <c r="S699">
        <v>81</v>
      </c>
      <c r="T699">
        <v>28</v>
      </c>
      <c r="U699">
        <v>307.31836633614301</v>
      </c>
      <c r="V699">
        <v>3.0837004405286301E-3</v>
      </c>
      <c r="W699">
        <v>926606.84912045998</v>
      </c>
      <c r="X699" t="s">
        <v>39</v>
      </c>
      <c r="Y699">
        <f>1-576-223-4702</f>
        <v>-5500</v>
      </c>
    </row>
    <row r="700" spans="1:25" x14ac:dyDescent="0.35">
      <c r="A700">
        <v>34.127144022893603</v>
      </c>
      <c r="B700">
        <v>-116.446754521274</v>
      </c>
      <c r="C700" t="s">
        <v>34</v>
      </c>
      <c r="D700">
        <v>44.347004477640198</v>
      </c>
      <c r="E700">
        <v>0</v>
      </c>
      <c r="F700">
        <v>2016</v>
      </c>
      <c r="G700">
        <v>2</v>
      </c>
      <c r="H700">
        <v>3</v>
      </c>
      <c r="I700">
        <v>2020</v>
      </c>
      <c r="J700">
        <v>0</v>
      </c>
      <c r="K700">
        <v>0</v>
      </c>
      <c r="L700">
        <v>0</v>
      </c>
      <c r="M700">
        <v>9</v>
      </c>
      <c r="N700" t="s">
        <v>26</v>
      </c>
      <c r="O700" t="s">
        <v>27</v>
      </c>
      <c r="P700">
        <v>7.6954163403158002</v>
      </c>
      <c r="Q700">
        <v>0.79343668568869696</v>
      </c>
      <c r="R700">
        <v>3.30894980810747</v>
      </c>
      <c r="S700">
        <v>123</v>
      </c>
      <c r="T700">
        <v>75</v>
      </c>
      <c r="U700">
        <v>266.71505002234301</v>
      </c>
      <c r="V700">
        <v>4.4642857142857097E-3</v>
      </c>
      <c r="W700">
        <v>774557.23892417003</v>
      </c>
      <c r="X700" t="s">
        <v>44</v>
      </c>
      <c r="Y700">
        <f>1-343-636-2351</f>
        <v>-3329</v>
      </c>
    </row>
    <row r="701" spans="1:25" x14ac:dyDescent="0.35">
      <c r="A701">
        <v>35.797393062070697</v>
      </c>
      <c r="B701">
        <v>-123.77463000796</v>
      </c>
      <c r="C701" t="s">
        <v>29</v>
      </c>
      <c r="D701">
        <v>16.533383151563701</v>
      </c>
      <c r="E701">
        <v>7</v>
      </c>
      <c r="F701">
        <v>4213</v>
      </c>
      <c r="G701">
        <v>5</v>
      </c>
      <c r="H701">
        <v>3</v>
      </c>
      <c r="I701">
        <v>2011</v>
      </c>
      <c r="J701">
        <v>1</v>
      </c>
      <c r="K701">
        <v>0</v>
      </c>
      <c r="L701">
        <v>0</v>
      </c>
      <c r="M701">
        <v>5</v>
      </c>
      <c r="N701" t="s">
        <v>37</v>
      </c>
      <c r="O701" t="s">
        <v>30</v>
      </c>
      <c r="P701">
        <v>6.3502877911535496</v>
      </c>
      <c r="Q701">
        <v>2.2303180872311801</v>
      </c>
      <c r="R701">
        <v>8.1632026145277692</v>
      </c>
      <c r="S701">
        <v>188</v>
      </c>
      <c r="T701">
        <v>36</v>
      </c>
      <c r="U701">
        <v>877.97312177385402</v>
      </c>
      <c r="V701">
        <v>1.18680275338238E-3</v>
      </c>
      <c r="W701">
        <v>4068424.1790815298</v>
      </c>
      <c r="X701" t="s">
        <v>38</v>
      </c>
      <c r="Y701">
        <f>1-729-930-1681</f>
        <v>-3339</v>
      </c>
    </row>
    <row r="702" spans="1:25" x14ac:dyDescent="0.35">
      <c r="A702">
        <v>32.627035757243398</v>
      </c>
      <c r="B702">
        <v>-114.392883954586</v>
      </c>
      <c r="C702" t="s">
        <v>25</v>
      </c>
      <c r="D702">
        <v>34.381538480181398</v>
      </c>
      <c r="E702">
        <v>6</v>
      </c>
      <c r="F702">
        <v>2392</v>
      </c>
      <c r="G702">
        <v>2</v>
      </c>
      <c r="H702">
        <v>1</v>
      </c>
      <c r="I702">
        <v>1997</v>
      </c>
      <c r="J702">
        <v>0</v>
      </c>
      <c r="K702">
        <v>1</v>
      </c>
      <c r="L702">
        <v>1</v>
      </c>
      <c r="M702">
        <v>2</v>
      </c>
      <c r="N702" t="s">
        <v>35</v>
      </c>
      <c r="O702" t="s">
        <v>30</v>
      </c>
      <c r="P702">
        <v>8.7437470220455005</v>
      </c>
      <c r="Q702">
        <v>2.0408268429295702</v>
      </c>
      <c r="R702">
        <v>1.1090462389377</v>
      </c>
      <c r="S702">
        <v>106</v>
      </c>
      <c r="T702">
        <v>45</v>
      </c>
      <c r="U702">
        <v>963.59215086098004</v>
      </c>
      <c r="V702">
        <v>8.3612040133779198E-4</v>
      </c>
      <c r="W702">
        <v>2637896.3644732502</v>
      </c>
      <c r="X702" t="s">
        <v>38</v>
      </c>
      <c r="Y702">
        <f>1-404-292-4022</f>
        <v>-4717</v>
      </c>
    </row>
    <row r="703" spans="1:25" x14ac:dyDescent="0.35">
      <c r="A703">
        <v>36.869779786321303</v>
      </c>
      <c r="B703">
        <v>-116.617574669731</v>
      </c>
      <c r="C703" t="s">
        <v>34</v>
      </c>
      <c r="D703">
        <v>31.937501535523801</v>
      </c>
      <c r="E703">
        <v>9</v>
      </c>
      <c r="F703">
        <v>1271</v>
      </c>
      <c r="G703">
        <v>2</v>
      </c>
      <c r="H703">
        <v>2</v>
      </c>
      <c r="I703">
        <v>2019</v>
      </c>
      <c r="J703">
        <v>0</v>
      </c>
      <c r="K703">
        <v>0</v>
      </c>
      <c r="L703">
        <v>0</v>
      </c>
      <c r="M703">
        <v>14</v>
      </c>
      <c r="N703" t="s">
        <v>37</v>
      </c>
      <c r="O703" t="s">
        <v>27</v>
      </c>
      <c r="P703">
        <v>13.284801360162399</v>
      </c>
      <c r="Q703">
        <v>0.53501448001772201</v>
      </c>
      <c r="R703">
        <v>2.81345111986679</v>
      </c>
      <c r="S703">
        <v>162</v>
      </c>
      <c r="T703">
        <v>56</v>
      </c>
      <c r="U703">
        <v>900.66308850811299</v>
      </c>
      <c r="V703">
        <v>1.1014948859166001E-2</v>
      </c>
      <c r="W703">
        <v>1325336.9340762501</v>
      </c>
      <c r="X703" t="s">
        <v>40</v>
      </c>
      <c r="Y703">
        <f>1-368-851-7803</f>
        <v>-9021</v>
      </c>
    </row>
    <row r="704" spans="1:25" x14ac:dyDescent="0.35">
      <c r="A704">
        <v>34.324993200938401</v>
      </c>
      <c r="B704">
        <v>-115.515363819877</v>
      </c>
      <c r="C704" t="s">
        <v>34</v>
      </c>
      <c r="D704">
        <v>47.791206475834798</v>
      </c>
      <c r="E704">
        <v>2</v>
      </c>
      <c r="F704">
        <v>2536</v>
      </c>
      <c r="G704">
        <v>5</v>
      </c>
      <c r="H704">
        <v>3</v>
      </c>
      <c r="I704">
        <v>1982</v>
      </c>
      <c r="J704">
        <v>1</v>
      </c>
      <c r="K704">
        <v>1</v>
      </c>
      <c r="L704">
        <v>1</v>
      </c>
      <c r="M704">
        <v>13</v>
      </c>
      <c r="N704" t="s">
        <v>37</v>
      </c>
      <c r="O704" t="s">
        <v>32</v>
      </c>
      <c r="P704">
        <v>12.7826819175501</v>
      </c>
      <c r="Q704">
        <v>1.8396541308643799</v>
      </c>
      <c r="R704">
        <v>0.93067720721984704</v>
      </c>
      <c r="S704">
        <v>147</v>
      </c>
      <c r="T704">
        <v>68</v>
      </c>
      <c r="U704">
        <v>576.37260928288003</v>
      </c>
      <c r="V704">
        <v>5.1261829652996804E-3</v>
      </c>
      <c r="W704">
        <v>1968186.7218591699</v>
      </c>
      <c r="X704" t="s">
        <v>28</v>
      </c>
      <c r="Y704">
        <f>1-400-328-7457</f>
        <v>-8184</v>
      </c>
    </row>
    <row r="705" spans="1:25" x14ac:dyDescent="0.35">
      <c r="A705">
        <v>33.301622868812899</v>
      </c>
      <c r="B705">
        <v>-114.948550447945</v>
      </c>
      <c r="C705" t="s">
        <v>29</v>
      </c>
      <c r="D705">
        <v>47.765186776858201</v>
      </c>
      <c r="E705">
        <v>0</v>
      </c>
      <c r="F705">
        <v>3050</v>
      </c>
      <c r="G705">
        <v>5</v>
      </c>
      <c r="H705">
        <v>1</v>
      </c>
      <c r="I705">
        <v>1987</v>
      </c>
      <c r="J705">
        <v>0</v>
      </c>
      <c r="K705">
        <v>0</v>
      </c>
      <c r="L705">
        <v>1</v>
      </c>
      <c r="M705">
        <v>7</v>
      </c>
      <c r="N705" t="s">
        <v>41</v>
      </c>
      <c r="O705" t="s">
        <v>30</v>
      </c>
      <c r="P705">
        <v>10.1394653433409</v>
      </c>
      <c r="Q705">
        <v>0.99854180037516704</v>
      </c>
      <c r="R705">
        <v>7.0543984601121101</v>
      </c>
      <c r="S705">
        <v>135</v>
      </c>
      <c r="T705">
        <v>42</v>
      </c>
      <c r="U705">
        <v>275.451843519394</v>
      </c>
      <c r="V705">
        <v>2.29508196721311E-3</v>
      </c>
      <c r="W705">
        <v>1125824.5736140199</v>
      </c>
      <c r="X705" t="s">
        <v>31</v>
      </c>
      <c r="Y705">
        <f>1-228-883-3828</f>
        <v>-4938</v>
      </c>
    </row>
    <row r="706" spans="1:25" x14ac:dyDescent="0.35">
      <c r="A706">
        <v>40.3503841117872</v>
      </c>
      <c r="B706">
        <v>-117.753373138116</v>
      </c>
      <c r="C706" t="s">
        <v>29</v>
      </c>
      <c r="D706">
        <v>21.920013567306999</v>
      </c>
      <c r="E706">
        <v>6</v>
      </c>
      <c r="F706">
        <v>2392</v>
      </c>
      <c r="G706">
        <v>3</v>
      </c>
      <c r="H706">
        <v>1</v>
      </c>
      <c r="I706">
        <v>2021</v>
      </c>
      <c r="J706">
        <v>1</v>
      </c>
      <c r="K706">
        <v>0</v>
      </c>
      <c r="L706">
        <v>0</v>
      </c>
      <c r="M706">
        <v>9</v>
      </c>
      <c r="N706" t="s">
        <v>26</v>
      </c>
      <c r="O706" t="s">
        <v>32</v>
      </c>
      <c r="P706">
        <v>7.6568088145493203</v>
      </c>
      <c r="Q706">
        <v>1.1628513537405001</v>
      </c>
      <c r="R706">
        <v>0.95542164766299198</v>
      </c>
      <c r="S706">
        <v>128</v>
      </c>
      <c r="T706">
        <v>57</v>
      </c>
      <c r="U706">
        <v>993.35433356075202</v>
      </c>
      <c r="V706">
        <v>3.76254180602006E-3</v>
      </c>
      <c r="W706">
        <v>2585356.8433249998</v>
      </c>
      <c r="X706" t="s">
        <v>44</v>
      </c>
      <c r="Y706">
        <f>1-757-265-6842</f>
        <v>-7863</v>
      </c>
    </row>
    <row r="707" spans="1:25" x14ac:dyDescent="0.35">
      <c r="A707">
        <v>38.801553874983</v>
      </c>
      <c r="B707">
        <v>-122.189016636509</v>
      </c>
      <c r="C707" t="s">
        <v>34</v>
      </c>
      <c r="D707">
        <v>43.8363530833035</v>
      </c>
      <c r="E707">
        <v>6</v>
      </c>
      <c r="F707">
        <v>3736</v>
      </c>
      <c r="G707">
        <v>4</v>
      </c>
      <c r="H707">
        <v>3</v>
      </c>
      <c r="I707">
        <v>1967</v>
      </c>
      <c r="J707">
        <v>0</v>
      </c>
      <c r="K707">
        <v>0</v>
      </c>
      <c r="L707">
        <v>0</v>
      </c>
      <c r="M707">
        <v>11</v>
      </c>
      <c r="N707" t="s">
        <v>37</v>
      </c>
      <c r="O707" t="s">
        <v>27</v>
      </c>
      <c r="P707">
        <v>13.1817806186161</v>
      </c>
      <c r="Q707">
        <v>2.47225060827909</v>
      </c>
      <c r="R707">
        <v>3.0101561242744399</v>
      </c>
      <c r="S707">
        <v>198</v>
      </c>
      <c r="T707">
        <v>77</v>
      </c>
      <c r="U707">
        <v>455.07508432760199</v>
      </c>
      <c r="V707">
        <v>2.9443254817987101E-3</v>
      </c>
      <c r="W707">
        <v>1868229.7511773801</v>
      </c>
      <c r="X707" t="s">
        <v>36</v>
      </c>
      <c r="Y707">
        <f>1-981-112-1105</f>
        <v>-2197</v>
      </c>
    </row>
    <row r="708" spans="1:25" x14ac:dyDescent="0.35">
      <c r="A708">
        <v>41.461816262305099</v>
      </c>
      <c r="B708">
        <v>-123.920468914899</v>
      </c>
      <c r="C708" t="s">
        <v>25</v>
      </c>
      <c r="D708">
        <v>20.6667286162611</v>
      </c>
      <c r="E708">
        <v>0</v>
      </c>
      <c r="F708">
        <v>2410</v>
      </c>
      <c r="G708">
        <v>5</v>
      </c>
      <c r="H708">
        <v>1</v>
      </c>
      <c r="I708">
        <v>1992</v>
      </c>
      <c r="J708">
        <v>0</v>
      </c>
      <c r="K708">
        <v>1</v>
      </c>
      <c r="L708">
        <v>0</v>
      </c>
      <c r="M708">
        <v>6</v>
      </c>
      <c r="N708" t="s">
        <v>41</v>
      </c>
      <c r="O708" t="s">
        <v>30</v>
      </c>
      <c r="P708">
        <v>7.15252954004134</v>
      </c>
      <c r="Q708">
        <v>2.0400859536531</v>
      </c>
      <c r="R708">
        <v>4.55486943945838</v>
      </c>
      <c r="S708">
        <v>79</v>
      </c>
      <c r="T708">
        <v>35</v>
      </c>
      <c r="U708">
        <v>745.79777286256797</v>
      </c>
      <c r="V708">
        <v>2.48962655601659E-3</v>
      </c>
      <c r="W708">
        <v>2077636.1590227699</v>
      </c>
      <c r="X708" t="s">
        <v>33</v>
      </c>
      <c r="Y708">
        <f>1-573-551-3367</f>
        <v>-4490</v>
      </c>
    </row>
    <row r="709" spans="1:25" x14ac:dyDescent="0.35">
      <c r="A709">
        <v>35.717663936718203</v>
      </c>
      <c r="B709">
        <v>-119.089929992745</v>
      </c>
      <c r="C709" t="s">
        <v>25</v>
      </c>
      <c r="D709">
        <v>4.5074731611170797</v>
      </c>
      <c r="E709">
        <v>4</v>
      </c>
      <c r="F709">
        <v>2623</v>
      </c>
      <c r="G709">
        <v>4</v>
      </c>
      <c r="H709">
        <v>2</v>
      </c>
      <c r="I709">
        <v>1974</v>
      </c>
      <c r="J709">
        <v>0</v>
      </c>
      <c r="K709">
        <v>1</v>
      </c>
      <c r="L709">
        <v>0</v>
      </c>
      <c r="M709">
        <v>13</v>
      </c>
      <c r="N709" t="s">
        <v>41</v>
      </c>
      <c r="O709" t="s">
        <v>30</v>
      </c>
      <c r="P709">
        <v>8.9711753732750399</v>
      </c>
      <c r="Q709">
        <v>1.38887207849413</v>
      </c>
      <c r="R709">
        <v>7.9532562711470103</v>
      </c>
      <c r="S709">
        <v>93</v>
      </c>
      <c r="T709">
        <v>56</v>
      </c>
      <c r="U709">
        <v>488.56753191856399</v>
      </c>
      <c r="V709">
        <v>4.9561570720548899E-3</v>
      </c>
      <c r="W709">
        <v>1546545.7591762</v>
      </c>
      <c r="X709" t="s">
        <v>33</v>
      </c>
      <c r="Y709">
        <f>1-804-688-1540</f>
        <v>-3031</v>
      </c>
    </row>
    <row r="710" spans="1:25" x14ac:dyDescent="0.35">
      <c r="A710">
        <v>39.717336313209302</v>
      </c>
      <c r="B710">
        <v>-123.742883637185</v>
      </c>
      <c r="C710" t="s">
        <v>34</v>
      </c>
      <c r="D710">
        <v>17.514551537192801</v>
      </c>
      <c r="E710">
        <v>4</v>
      </c>
      <c r="F710">
        <v>3837</v>
      </c>
      <c r="G710">
        <v>5</v>
      </c>
      <c r="H710">
        <v>1</v>
      </c>
      <c r="I710">
        <v>2008</v>
      </c>
      <c r="J710">
        <v>1</v>
      </c>
      <c r="K710">
        <v>1</v>
      </c>
      <c r="L710">
        <v>1</v>
      </c>
      <c r="M710">
        <v>6</v>
      </c>
      <c r="N710" t="s">
        <v>35</v>
      </c>
      <c r="O710" t="s">
        <v>32</v>
      </c>
      <c r="P710">
        <v>14.6157366017821</v>
      </c>
      <c r="Q710">
        <v>2.34099602330995</v>
      </c>
      <c r="R710">
        <v>2.8793551308377801</v>
      </c>
      <c r="S710">
        <v>174</v>
      </c>
      <c r="T710">
        <v>31</v>
      </c>
      <c r="U710">
        <v>447.18846264078201</v>
      </c>
      <c r="V710">
        <v>1.56372165754495E-3</v>
      </c>
      <c r="W710">
        <v>2283649.36132858</v>
      </c>
      <c r="X710" t="s">
        <v>31</v>
      </c>
      <c r="Y710">
        <f>1-595-219-6863</f>
        <v>-7676</v>
      </c>
    </row>
    <row r="711" spans="1:25" x14ac:dyDescent="0.35">
      <c r="A711">
        <v>41.818484636015299</v>
      </c>
      <c r="B711">
        <v>-117.89391399761099</v>
      </c>
      <c r="C711" t="s">
        <v>29</v>
      </c>
      <c r="D711">
        <v>19.6028937408107</v>
      </c>
      <c r="E711">
        <v>8</v>
      </c>
      <c r="F711">
        <v>3828</v>
      </c>
      <c r="G711">
        <v>3</v>
      </c>
      <c r="H711">
        <v>2</v>
      </c>
      <c r="I711">
        <v>1989</v>
      </c>
      <c r="J711">
        <v>1</v>
      </c>
      <c r="K711">
        <v>1</v>
      </c>
      <c r="L711">
        <v>1</v>
      </c>
      <c r="M711">
        <v>4</v>
      </c>
      <c r="N711" t="s">
        <v>37</v>
      </c>
      <c r="O711" t="s">
        <v>32</v>
      </c>
      <c r="P711">
        <v>9.7454707483522007</v>
      </c>
      <c r="Q711">
        <v>0.96354177194198598</v>
      </c>
      <c r="R711">
        <v>6.6036568659698602</v>
      </c>
      <c r="S711">
        <v>149</v>
      </c>
      <c r="T711">
        <v>64</v>
      </c>
      <c r="U711">
        <v>509.466853983406</v>
      </c>
      <c r="V711">
        <v>1.0449320794148299E-3</v>
      </c>
      <c r="W711">
        <v>2379883.16936266</v>
      </c>
      <c r="X711" t="s">
        <v>40</v>
      </c>
      <c r="Y711">
        <f>1-812-146-5982</f>
        <v>-6939</v>
      </c>
    </row>
    <row r="712" spans="1:25" x14ac:dyDescent="0.35">
      <c r="A712">
        <v>40.107180010280899</v>
      </c>
      <c r="B712">
        <v>-121.85116885166801</v>
      </c>
      <c r="C712" t="s">
        <v>34</v>
      </c>
      <c r="D712">
        <v>34.219702509646901</v>
      </c>
      <c r="E712">
        <v>6</v>
      </c>
      <c r="F712">
        <v>2466</v>
      </c>
      <c r="G712">
        <v>2</v>
      </c>
      <c r="H712">
        <v>1</v>
      </c>
      <c r="I712">
        <v>1995</v>
      </c>
      <c r="J712">
        <v>0</v>
      </c>
      <c r="K712">
        <v>0</v>
      </c>
      <c r="L712">
        <v>1</v>
      </c>
      <c r="M712">
        <v>8</v>
      </c>
      <c r="N712" t="s">
        <v>26</v>
      </c>
      <c r="O712" t="s">
        <v>32</v>
      </c>
      <c r="P712">
        <v>9.7142503140579706</v>
      </c>
      <c r="Q712">
        <v>1.27068388627061</v>
      </c>
      <c r="R712">
        <v>0.279479613049534</v>
      </c>
      <c r="S712">
        <v>27</v>
      </c>
      <c r="T712">
        <v>75</v>
      </c>
      <c r="U712">
        <v>977.93387555280196</v>
      </c>
      <c r="V712">
        <v>3.2441200324412E-3</v>
      </c>
      <c r="W712">
        <v>2616265.1620351202</v>
      </c>
      <c r="X712" t="s">
        <v>28</v>
      </c>
      <c r="Y712">
        <f>1-599-566-8119</f>
        <v>-9283</v>
      </c>
    </row>
    <row r="713" spans="1:25" x14ac:dyDescent="0.35">
      <c r="A713">
        <v>41.431071573715101</v>
      </c>
      <c r="B713">
        <v>-119.804352255685</v>
      </c>
      <c r="C713" t="s">
        <v>25</v>
      </c>
      <c r="D713">
        <v>32.139395986483102</v>
      </c>
      <c r="E713">
        <v>8</v>
      </c>
      <c r="F713">
        <v>2931</v>
      </c>
      <c r="G713">
        <v>2</v>
      </c>
      <c r="H713">
        <v>3</v>
      </c>
      <c r="I713">
        <v>1974</v>
      </c>
      <c r="J713">
        <v>0</v>
      </c>
      <c r="K713">
        <v>0</v>
      </c>
      <c r="L713">
        <v>0</v>
      </c>
      <c r="M713">
        <v>10</v>
      </c>
      <c r="N713" t="s">
        <v>26</v>
      </c>
      <c r="O713" t="s">
        <v>30</v>
      </c>
      <c r="P713">
        <v>4.7960437995572596</v>
      </c>
      <c r="Q713">
        <v>0.87845570750056901</v>
      </c>
      <c r="R713">
        <v>6.4563262669130497</v>
      </c>
      <c r="S713">
        <v>131</v>
      </c>
      <c r="T713">
        <v>49</v>
      </c>
      <c r="U713">
        <v>631.62020037865398</v>
      </c>
      <c r="V713">
        <v>3.41180484476287E-3</v>
      </c>
      <c r="W713">
        <v>1969464.64721886</v>
      </c>
      <c r="X713" t="s">
        <v>40</v>
      </c>
      <c r="Y713">
        <f>1-522-856-6534</f>
        <v>-7911</v>
      </c>
    </row>
    <row r="714" spans="1:25" x14ac:dyDescent="0.35">
      <c r="A714">
        <v>34.481425313130998</v>
      </c>
      <c r="B714">
        <v>-116.683142877051</v>
      </c>
      <c r="C714" t="s">
        <v>29</v>
      </c>
      <c r="D714">
        <v>8.2901646320509705</v>
      </c>
      <c r="E714">
        <v>5</v>
      </c>
      <c r="F714">
        <v>638</v>
      </c>
      <c r="G714">
        <v>4</v>
      </c>
      <c r="H714">
        <v>1</v>
      </c>
      <c r="I714">
        <v>2021</v>
      </c>
      <c r="J714">
        <v>0</v>
      </c>
      <c r="K714">
        <v>0</v>
      </c>
      <c r="L714">
        <v>1</v>
      </c>
      <c r="M714">
        <v>14</v>
      </c>
      <c r="N714" t="s">
        <v>41</v>
      </c>
      <c r="O714" t="s">
        <v>27</v>
      </c>
      <c r="P714">
        <v>3.97526657898963</v>
      </c>
      <c r="Q714">
        <v>2.1344885548538999</v>
      </c>
      <c r="R714">
        <v>6.6013530408170196</v>
      </c>
      <c r="S714">
        <v>168</v>
      </c>
      <c r="T714">
        <v>50</v>
      </c>
      <c r="U714">
        <v>512.33158832115305</v>
      </c>
      <c r="V714">
        <v>2.1943573667711599E-2</v>
      </c>
      <c r="W714">
        <v>636743.09796902305</v>
      </c>
      <c r="X714" t="s">
        <v>31</v>
      </c>
      <c r="Y714">
        <f>1-603-384-4153</f>
        <v>-5139</v>
      </c>
    </row>
    <row r="715" spans="1:25" x14ac:dyDescent="0.35">
      <c r="A715">
        <v>36.313332828973401</v>
      </c>
      <c r="B715">
        <v>-116.785735121418</v>
      </c>
      <c r="C715" t="s">
        <v>34</v>
      </c>
      <c r="D715">
        <v>21.270874622227499</v>
      </c>
      <c r="E715">
        <v>3</v>
      </c>
      <c r="F715">
        <v>1352</v>
      </c>
      <c r="G715">
        <v>2</v>
      </c>
      <c r="H715">
        <v>3</v>
      </c>
      <c r="I715">
        <v>1995</v>
      </c>
      <c r="J715">
        <v>1</v>
      </c>
      <c r="K715">
        <v>1</v>
      </c>
      <c r="L715">
        <v>0</v>
      </c>
      <c r="M715">
        <v>10</v>
      </c>
      <c r="N715" t="s">
        <v>26</v>
      </c>
      <c r="O715" t="s">
        <v>32</v>
      </c>
      <c r="P715">
        <v>10.5750315477058</v>
      </c>
      <c r="Q715">
        <v>2.0499903936744701</v>
      </c>
      <c r="R715">
        <v>6.7479999353305304</v>
      </c>
      <c r="S715">
        <v>181</v>
      </c>
      <c r="T715">
        <v>52</v>
      </c>
      <c r="U715">
        <v>659.77768667796499</v>
      </c>
      <c r="V715">
        <v>7.3964497041420097E-3</v>
      </c>
      <c r="W715">
        <v>1322696.9748098799</v>
      </c>
      <c r="X715" t="s">
        <v>40</v>
      </c>
      <c r="Y715">
        <f>1-938-704-5383</f>
        <v>-7024</v>
      </c>
    </row>
    <row r="716" spans="1:25" x14ac:dyDescent="0.35">
      <c r="A716">
        <v>40.313769907018902</v>
      </c>
      <c r="B716">
        <v>-115.292536529369</v>
      </c>
      <c r="C716" t="s">
        <v>34</v>
      </c>
      <c r="D716">
        <v>34.810752627032301</v>
      </c>
      <c r="E716">
        <v>6</v>
      </c>
      <c r="F716">
        <v>4516</v>
      </c>
      <c r="G716">
        <v>3</v>
      </c>
      <c r="H716">
        <v>2</v>
      </c>
      <c r="I716">
        <v>2010</v>
      </c>
      <c r="J716">
        <v>0</v>
      </c>
      <c r="K716">
        <v>0</v>
      </c>
      <c r="L716">
        <v>0</v>
      </c>
      <c r="M716">
        <v>6</v>
      </c>
      <c r="N716" t="s">
        <v>41</v>
      </c>
      <c r="O716" t="s">
        <v>27</v>
      </c>
      <c r="P716">
        <v>13.916031087938499</v>
      </c>
      <c r="Q716">
        <v>2.07932331463366</v>
      </c>
      <c r="R716">
        <v>6.1835866786840104</v>
      </c>
      <c r="S716">
        <v>163</v>
      </c>
      <c r="T716">
        <v>22</v>
      </c>
      <c r="U716">
        <v>282.26209293931601</v>
      </c>
      <c r="V716">
        <v>1.32860938883968E-3</v>
      </c>
      <c r="W716">
        <v>1482457.0187027301</v>
      </c>
      <c r="X716" t="s">
        <v>43</v>
      </c>
      <c r="Y716">
        <f>1-696-567-4046</f>
        <v>-5308</v>
      </c>
    </row>
    <row r="717" spans="1:25" x14ac:dyDescent="0.35">
      <c r="A717">
        <v>33.2758565459553</v>
      </c>
      <c r="B717">
        <v>-122.941569931137</v>
      </c>
      <c r="C717" t="s">
        <v>34</v>
      </c>
      <c r="D717">
        <v>12.634674162286901</v>
      </c>
      <c r="E717">
        <v>1</v>
      </c>
      <c r="F717">
        <v>3603</v>
      </c>
      <c r="G717">
        <v>1</v>
      </c>
      <c r="H717">
        <v>3</v>
      </c>
      <c r="I717">
        <v>2011</v>
      </c>
      <c r="J717">
        <v>1</v>
      </c>
      <c r="K717">
        <v>0</v>
      </c>
      <c r="L717">
        <v>0</v>
      </c>
      <c r="M717">
        <v>2</v>
      </c>
      <c r="N717" t="s">
        <v>37</v>
      </c>
      <c r="O717" t="s">
        <v>30</v>
      </c>
      <c r="P717">
        <v>14.238267615876801</v>
      </c>
      <c r="Q717">
        <v>0.64153382520691205</v>
      </c>
      <c r="R717">
        <v>7.0555293611951697</v>
      </c>
      <c r="S717">
        <v>29</v>
      </c>
      <c r="T717">
        <v>45</v>
      </c>
      <c r="U717">
        <v>716.58148129077597</v>
      </c>
      <c r="V717">
        <v>5.5509297807382698E-4</v>
      </c>
      <c r="W717">
        <v>2937485.1464693001</v>
      </c>
      <c r="X717" t="s">
        <v>28</v>
      </c>
      <c r="Y717">
        <f>1-509-502-1653</f>
        <v>-2663</v>
      </c>
    </row>
    <row r="718" spans="1:25" x14ac:dyDescent="0.35">
      <c r="A718">
        <v>37.773414325318797</v>
      </c>
      <c r="B718">
        <v>-120.57705899976</v>
      </c>
      <c r="C718" t="s">
        <v>34</v>
      </c>
      <c r="D718">
        <v>27.618522746118401</v>
      </c>
      <c r="E718">
        <v>5</v>
      </c>
      <c r="F718">
        <v>4711</v>
      </c>
      <c r="G718">
        <v>2</v>
      </c>
      <c r="H718">
        <v>1</v>
      </c>
      <c r="I718">
        <v>1955</v>
      </c>
      <c r="J718">
        <v>1</v>
      </c>
      <c r="K718">
        <v>0</v>
      </c>
      <c r="L718">
        <v>1</v>
      </c>
      <c r="M718">
        <v>2</v>
      </c>
      <c r="N718" t="s">
        <v>26</v>
      </c>
      <c r="O718" t="s">
        <v>27</v>
      </c>
      <c r="P718">
        <v>2.1117772462541899</v>
      </c>
      <c r="Q718">
        <v>0.55491284415486397</v>
      </c>
      <c r="R718">
        <v>0.71845979453792896</v>
      </c>
      <c r="S718">
        <v>100</v>
      </c>
      <c r="T718">
        <v>57</v>
      </c>
      <c r="U718">
        <v>277.365122912917</v>
      </c>
      <c r="V718">
        <v>4.2453831458289101E-4</v>
      </c>
      <c r="W718">
        <v>1402277.4650105301</v>
      </c>
      <c r="X718" t="s">
        <v>40</v>
      </c>
      <c r="Y718">
        <f>1-864-354-1251</f>
        <v>-2468</v>
      </c>
    </row>
    <row r="719" spans="1:25" x14ac:dyDescent="0.35">
      <c r="A719">
        <v>38.634409720011</v>
      </c>
      <c r="B719">
        <v>-117.41108026465299</v>
      </c>
      <c r="C719" t="s">
        <v>34</v>
      </c>
      <c r="D719">
        <v>45.705952666852902</v>
      </c>
      <c r="E719">
        <v>6</v>
      </c>
      <c r="F719">
        <v>648</v>
      </c>
      <c r="G719">
        <v>4</v>
      </c>
      <c r="H719">
        <v>2</v>
      </c>
      <c r="I719">
        <v>1991</v>
      </c>
      <c r="J719">
        <v>0</v>
      </c>
      <c r="K719">
        <v>1</v>
      </c>
      <c r="L719">
        <v>1</v>
      </c>
      <c r="M719">
        <v>5</v>
      </c>
      <c r="N719" t="s">
        <v>41</v>
      </c>
      <c r="O719" t="s">
        <v>32</v>
      </c>
      <c r="P719">
        <v>14.343118169174801</v>
      </c>
      <c r="Q719">
        <v>2.0756380073403999</v>
      </c>
      <c r="R719">
        <v>3.8099338637292099</v>
      </c>
      <c r="S719">
        <v>58</v>
      </c>
      <c r="T719">
        <v>28</v>
      </c>
      <c r="U719">
        <v>378.63640717219198</v>
      </c>
      <c r="V719">
        <v>7.7160493827160403E-3</v>
      </c>
      <c r="W719">
        <v>762672.92365633801</v>
      </c>
      <c r="X719" t="s">
        <v>40</v>
      </c>
      <c r="Y719">
        <f>1-503-776-8288</f>
        <v>-9566</v>
      </c>
    </row>
    <row r="720" spans="1:25" x14ac:dyDescent="0.35">
      <c r="A720">
        <v>38.895407236332801</v>
      </c>
      <c r="B720">
        <v>-117.064373071511</v>
      </c>
      <c r="C720" t="s">
        <v>25</v>
      </c>
      <c r="D720">
        <v>18.162620979168601</v>
      </c>
      <c r="E720">
        <v>9</v>
      </c>
      <c r="F720">
        <v>1257</v>
      </c>
      <c r="G720">
        <v>3</v>
      </c>
      <c r="H720">
        <v>1</v>
      </c>
      <c r="I720">
        <v>1957</v>
      </c>
      <c r="J720">
        <v>1</v>
      </c>
      <c r="K720">
        <v>0</v>
      </c>
      <c r="L720">
        <v>1</v>
      </c>
      <c r="M720">
        <v>3</v>
      </c>
      <c r="N720" t="s">
        <v>37</v>
      </c>
      <c r="O720" t="s">
        <v>30</v>
      </c>
      <c r="P720">
        <v>4.6578713610322904</v>
      </c>
      <c r="Q720">
        <v>0.56505119854640795</v>
      </c>
      <c r="R720">
        <v>7.0319117520087797</v>
      </c>
      <c r="S720">
        <v>64</v>
      </c>
      <c r="T720">
        <v>50</v>
      </c>
      <c r="U720">
        <v>683.35570412013703</v>
      </c>
      <c r="V720">
        <v>2.38663484486873E-3</v>
      </c>
      <c r="W720">
        <v>1029935.04440905</v>
      </c>
      <c r="X720" t="s">
        <v>43</v>
      </c>
      <c r="Y720">
        <f>1-996-650-6499</f>
        <v>-8144</v>
      </c>
    </row>
    <row r="721" spans="1:25" x14ac:dyDescent="0.35">
      <c r="A721">
        <v>35.338228288252502</v>
      </c>
      <c r="B721">
        <v>-118.64573525645299</v>
      </c>
      <c r="C721" t="s">
        <v>25</v>
      </c>
      <c r="D721">
        <v>19.7589011544596</v>
      </c>
      <c r="E721">
        <v>3</v>
      </c>
      <c r="F721">
        <v>1057</v>
      </c>
      <c r="G721">
        <v>5</v>
      </c>
      <c r="H721">
        <v>2</v>
      </c>
      <c r="I721">
        <v>1980</v>
      </c>
      <c r="J721">
        <v>0</v>
      </c>
      <c r="K721">
        <v>0</v>
      </c>
      <c r="L721">
        <v>0</v>
      </c>
      <c r="M721">
        <v>5</v>
      </c>
      <c r="N721" t="s">
        <v>41</v>
      </c>
      <c r="O721" t="s">
        <v>27</v>
      </c>
      <c r="P721">
        <v>14.627206923707799</v>
      </c>
      <c r="Q721">
        <v>0.52892685043629695</v>
      </c>
      <c r="R721">
        <v>2.0497363973104301</v>
      </c>
      <c r="S721">
        <v>109</v>
      </c>
      <c r="T721">
        <v>21</v>
      </c>
      <c r="U721">
        <v>548.37902956732103</v>
      </c>
      <c r="V721">
        <v>4.7303689687795596E-3</v>
      </c>
      <c r="W721">
        <v>947156.38002082705</v>
      </c>
      <c r="X721" t="s">
        <v>44</v>
      </c>
      <c r="Y721">
        <f>1-636-649-9111</f>
        <v>-10395</v>
      </c>
    </row>
    <row r="722" spans="1:25" x14ac:dyDescent="0.35">
      <c r="A722">
        <v>38.6100683820829</v>
      </c>
      <c r="B722">
        <v>-121.409736917985</v>
      </c>
      <c r="C722" t="s">
        <v>25</v>
      </c>
      <c r="D722">
        <v>26.011695676648099</v>
      </c>
      <c r="E722">
        <v>6</v>
      </c>
      <c r="F722">
        <v>1877</v>
      </c>
      <c r="G722">
        <v>2</v>
      </c>
      <c r="H722">
        <v>2</v>
      </c>
      <c r="I722">
        <v>2014</v>
      </c>
      <c r="J722">
        <v>0</v>
      </c>
      <c r="K722">
        <v>1</v>
      </c>
      <c r="L722">
        <v>1</v>
      </c>
      <c r="M722">
        <v>6</v>
      </c>
      <c r="N722" t="s">
        <v>35</v>
      </c>
      <c r="O722" t="s">
        <v>30</v>
      </c>
      <c r="P722">
        <v>8.3216852768231906</v>
      </c>
      <c r="Q722">
        <v>2.3461664679341698</v>
      </c>
      <c r="R722">
        <v>6.5982072629059498</v>
      </c>
      <c r="S722">
        <v>138</v>
      </c>
      <c r="T722">
        <v>50</v>
      </c>
      <c r="U722">
        <v>345.89216711696099</v>
      </c>
      <c r="V722">
        <v>3.19659030367607E-3</v>
      </c>
      <c r="W722">
        <v>884337.48075069103</v>
      </c>
      <c r="X722" t="s">
        <v>31</v>
      </c>
      <c r="Y722">
        <f>1-332-474-3073</f>
        <v>-3878</v>
      </c>
    </row>
    <row r="723" spans="1:25" x14ac:dyDescent="0.35">
      <c r="A723">
        <v>38.183231184935401</v>
      </c>
      <c r="B723">
        <v>-115.111960310681</v>
      </c>
      <c r="C723" t="s">
        <v>34</v>
      </c>
      <c r="D723">
        <v>25.084814998603001</v>
      </c>
      <c r="E723">
        <v>3</v>
      </c>
      <c r="F723">
        <v>3620</v>
      </c>
      <c r="G723">
        <v>3</v>
      </c>
      <c r="H723">
        <v>3</v>
      </c>
      <c r="I723">
        <v>2020</v>
      </c>
      <c r="J723">
        <v>0</v>
      </c>
      <c r="K723">
        <v>1</v>
      </c>
      <c r="L723">
        <v>0</v>
      </c>
      <c r="M723">
        <v>11</v>
      </c>
      <c r="N723" t="s">
        <v>37</v>
      </c>
      <c r="O723" t="s">
        <v>32</v>
      </c>
      <c r="P723">
        <v>3.3174036495364798</v>
      </c>
      <c r="Q723">
        <v>0.50015661378201304</v>
      </c>
      <c r="R723">
        <v>4.2150327303615702</v>
      </c>
      <c r="S723">
        <v>4</v>
      </c>
      <c r="T723">
        <v>59</v>
      </c>
      <c r="U723">
        <v>484.37069896827899</v>
      </c>
      <c r="V723">
        <v>3.0386740331491699E-3</v>
      </c>
      <c r="W723">
        <v>2114684.3329192498</v>
      </c>
      <c r="X723" t="s">
        <v>44</v>
      </c>
      <c r="Y723">
        <f>1-769-534-5229</f>
        <v>-6531</v>
      </c>
    </row>
    <row r="724" spans="1:25" x14ac:dyDescent="0.35">
      <c r="A724">
        <v>39.710189238188597</v>
      </c>
      <c r="B724">
        <v>-123.949630039384</v>
      </c>
      <c r="C724" t="s">
        <v>29</v>
      </c>
      <c r="D724">
        <v>24.5963475665963</v>
      </c>
      <c r="E724">
        <v>0</v>
      </c>
      <c r="F724">
        <v>2938</v>
      </c>
      <c r="G724">
        <v>3</v>
      </c>
      <c r="H724">
        <v>2</v>
      </c>
      <c r="I724">
        <v>1972</v>
      </c>
      <c r="J724">
        <v>0</v>
      </c>
      <c r="K724">
        <v>0</v>
      </c>
      <c r="L724">
        <v>0</v>
      </c>
      <c r="M724">
        <v>13</v>
      </c>
      <c r="N724" t="s">
        <v>41</v>
      </c>
      <c r="O724" t="s">
        <v>30</v>
      </c>
      <c r="P724">
        <v>7.69043441183657</v>
      </c>
      <c r="Q724">
        <v>1.8926022223308701</v>
      </c>
      <c r="R724">
        <v>0.85424298921340103</v>
      </c>
      <c r="S724">
        <v>19</v>
      </c>
      <c r="T724">
        <v>27</v>
      </c>
      <c r="U724">
        <v>756.63567168091197</v>
      </c>
      <c r="V724">
        <v>4.4247787610619399E-3</v>
      </c>
      <c r="W724">
        <v>2360133.48306217</v>
      </c>
      <c r="X724" t="s">
        <v>44</v>
      </c>
      <c r="Y724">
        <f>1-546-402-3030</f>
        <v>-3977</v>
      </c>
    </row>
    <row r="725" spans="1:25" x14ac:dyDescent="0.35">
      <c r="A725">
        <v>40.305372291438601</v>
      </c>
      <c r="B725">
        <v>-115.74676476265201</v>
      </c>
      <c r="C725" t="s">
        <v>25</v>
      </c>
      <c r="D725">
        <v>9.4097666093379608</v>
      </c>
      <c r="E725">
        <v>1</v>
      </c>
      <c r="F725">
        <v>2468</v>
      </c>
      <c r="G725">
        <v>1</v>
      </c>
      <c r="H725">
        <v>1</v>
      </c>
      <c r="I725">
        <v>1956</v>
      </c>
      <c r="J725">
        <v>0</v>
      </c>
      <c r="K725">
        <v>1</v>
      </c>
      <c r="L725">
        <v>1</v>
      </c>
      <c r="M725">
        <v>7</v>
      </c>
      <c r="N725" t="s">
        <v>37</v>
      </c>
      <c r="O725" t="s">
        <v>30</v>
      </c>
      <c r="P725">
        <v>14.956678727680201</v>
      </c>
      <c r="Q725">
        <v>0.76196574005583195</v>
      </c>
      <c r="R725">
        <v>5.48613700152214</v>
      </c>
      <c r="S725">
        <v>76</v>
      </c>
      <c r="T725">
        <v>27</v>
      </c>
      <c r="U725">
        <v>653.92980619415903</v>
      </c>
      <c r="V725">
        <v>2.8363047001620698E-3</v>
      </c>
      <c r="W725">
        <v>1822109.61364686</v>
      </c>
      <c r="X725" t="s">
        <v>40</v>
      </c>
      <c r="Y725">
        <f>1-783-211-8030</f>
        <v>-9023</v>
      </c>
    </row>
    <row r="726" spans="1:25" x14ac:dyDescent="0.35">
      <c r="A726">
        <v>41.784579796425803</v>
      </c>
      <c r="B726">
        <v>-120.02508052059299</v>
      </c>
      <c r="C726" t="s">
        <v>34</v>
      </c>
      <c r="D726">
        <v>22.617541117616401</v>
      </c>
      <c r="E726">
        <v>8</v>
      </c>
      <c r="F726">
        <v>2225</v>
      </c>
      <c r="G726">
        <v>2</v>
      </c>
      <c r="H726">
        <v>1</v>
      </c>
      <c r="I726">
        <v>2008</v>
      </c>
      <c r="J726">
        <v>1</v>
      </c>
      <c r="K726">
        <v>1</v>
      </c>
      <c r="L726">
        <v>0</v>
      </c>
      <c r="M726">
        <v>5</v>
      </c>
      <c r="N726" t="s">
        <v>26</v>
      </c>
      <c r="O726" t="s">
        <v>27</v>
      </c>
      <c r="P726">
        <v>11.952518387876699</v>
      </c>
      <c r="Q726">
        <v>1.8702625297734901</v>
      </c>
      <c r="R726">
        <v>0.76480933098358606</v>
      </c>
      <c r="S726">
        <v>37</v>
      </c>
      <c r="T726">
        <v>57</v>
      </c>
      <c r="U726">
        <v>841.49545875404397</v>
      </c>
      <c r="V726">
        <v>2.24719101123595E-3</v>
      </c>
      <c r="W726">
        <v>2212421.1014573099</v>
      </c>
      <c r="X726" t="s">
        <v>36</v>
      </c>
      <c r="Y726">
        <f>1-556-421-2941</f>
        <v>-3917</v>
      </c>
    </row>
    <row r="727" spans="1:25" x14ac:dyDescent="0.35">
      <c r="A727">
        <v>32.672264229841197</v>
      </c>
      <c r="B727">
        <v>-123.732548489728</v>
      </c>
      <c r="C727" t="s">
        <v>29</v>
      </c>
      <c r="D727">
        <v>37.541496991986797</v>
      </c>
      <c r="E727">
        <v>6</v>
      </c>
      <c r="F727">
        <v>3124</v>
      </c>
      <c r="G727">
        <v>3</v>
      </c>
      <c r="H727">
        <v>1</v>
      </c>
      <c r="I727">
        <v>1993</v>
      </c>
      <c r="J727">
        <v>0</v>
      </c>
      <c r="K727">
        <v>1</v>
      </c>
      <c r="L727">
        <v>1</v>
      </c>
      <c r="M727">
        <v>9</v>
      </c>
      <c r="N727" t="s">
        <v>26</v>
      </c>
      <c r="O727" t="s">
        <v>27</v>
      </c>
      <c r="P727">
        <v>10.1869733742602</v>
      </c>
      <c r="Q727">
        <v>1.5182324284278601</v>
      </c>
      <c r="R727">
        <v>1.12755825863186</v>
      </c>
      <c r="S727">
        <v>94</v>
      </c>
      <c r="T727">
        <v>63</v>
      </c>
      <c r="U727">
        <v>322.479563045703</v>
      </c>
      <c r="V727">
        <v>2.8809218950064E-3</v>
      </c>
      <c r="W727">
        <v>1305690.7188259501</v>
      </c>
      <c r="X727" t="s">
        <v>36</v>
      </c>
      <c r="Y727">
        <f>1-943-618-9347</f>
        <v>-10907</v>
      </c>
    </row>
    <row r="728" spans="1:25" x14ac:dyDescent="0.35">
      <c r="A728">
        <v>40.137731948417198</v>
      </c>
      <c r="B728">
        <v>-120.49264365702901</v>
      </c>
      <c r="C728" t="s">
        <v>25</v>
      </c>
      <c r="D728">
        <v>27.835298263326099</v>
      </c>
      <c r="E728">
        <v>2</v>
      </c>
      <c r="F728">
        <v>4983</v>
      </c>
      <c r="G728">
        <v>5</v>
      </c>
      <c r="H728">
        <v>1</v>
      </c>
      <c r="I728">
        <v>2012</v>
      </c>
      <c r="J728">
        <v>0</v>
      </c>
      <c r="K728">
        <v>0</v>
      </c>
      <c r="L728">
        <v>0</v>
      </c>
      <c r="M728">
        <v>7</v>
      </c>
      <c r="N728" t="s">
        <v>35</v>
      </c>
      <c r="O728" t="s">
        <v>27</v>
      </c>
      <c r="P728">
        <v>10.5282084179116</v>
      </c>
      <c r="Q728">
        <v>0.80226967229540702</v>
      </c>
      <c r="R728">
        <v>0.59236023748481803</v>
      </c>
      <c r="S728">
        <v>57</v>
      </c>
      <c r="T728">
        <v>42</v>
      </c>
      <c r="U728">
        <v>543.66008766436903</v>
      </c>
      <c r="V728">
        <v>1.4047762392133201E-3</v>
      </c>
      <c r="W728">
        <v>3075469.35812893</v>
      </c>
      <c r="X728" t="s">
        <v>39</v>
      </c>
      <c r="Y728">
        <f>1-832-562-1280</f>
        <v>-2673</v>
      </c>
    </row>
    <row r="729" spans="1:25" x14ac:dyDescent="0.35">
      <c r="A729">
        <v>37.844123444663502</v>
      </c>
      <c r="B729">
        <v>-116.564502861913</v>
      </c>
      <c r="C729" t="s">
        <v>25</v>
      </c>
      <c r="D729">
        <v>3.93687026175003</v>
      </c>
      <c r="E729">
        <v>1</v>
      </c>
      <c r="F729">
        <v>2213</v>
      </c>
      <c r="G729">
        <v>5</v>
      </c>
      <c r="H729">
        <v>3</v>
      </c>
      <c r="I729">
        <v>1984</v>
      </c>
      <c r="J729">
        <v>1</v>
      </c>
      <c r="K729">
        <v>0</v>
      </c>
      <c r="L729">
        <v>1</v>
      </c>
      <c r="M729">
        <v>12</v>
      </c>
      <c r="N729" t="s">
        <v>35</v>
      </c>
      <c r="O729" t="s">
        <v>32</v>
      </c>
      <c r="P729">
        <v>2.5186029779439898</v>
      </c>
      <c r="Q729">
        <v>1.15402073125073</v>
      </c>
      <c r="R729">
        <v>9.70721266255463</v>
      </c>
      <c r="S729">
        <v>98</v>
      </c>
      <c r="T729">
        <v>74</v>
      </c>
      <c r="U729">
        <v>763.99624642995104</v>
      </c>
      <c r="V729">
        <v>5.4225033890646099E-3</v>
      </c>
      <c r="W729">
        <v>1995489.9723942899</v>
      </c>
      <c r="X729" t="s">
        <v>36</v>
      </c>
      <c r="Y729">
        <f>1-211-574-3736</f>
        <v>-4520</v>
      </c>
    </row>
    <row r="730" spans="1:25" x14ac:dyDescent="0.35">
      <c r="A730">
        <v>33.684949547645097</v>
      </c>
      <c r="B730">
        <v>-119.319735041527</v>
      </c>
      <c r="C730" t="s">
        <v>29</v>
      </c>
      <c r="D730">
        <v>12.049526496433399</v>
      </c>
      <c r="E730">
        <v>3</v>
      </c>
      <c r="F730">
        <v>958</v>
      </c>
      <c r="G730">
        <v>2</v>
      </c>
      <c r="H730">
        <v>3</v>
      </c>
      <c r="I730">
        <v>2022</v>
      </c>
      <c r="J730">
        <v>1</v>
      </c>
      <c r="K730">
        <v>0</v>
      </c>
      <c r="L730">
        <v>1</v>
      </c>
      <c r="M730">
        <v>12</v>
      </c>
      <c r="N730" t="s">
        <v>41</v>
      </c>
      <c r="O730" t="s">
        <v>32</v>
      </c>
      <c r="P730">
        <v>9.7892384302914603</v>
      </c>
      <c r="Q730">
        <v>0.88872810307558203</v>
      </c>
      <c r="R730">
        <v>2.8688213177328001</v>
      </c>
      <c r="S730">
        <v>186</v>
      </c>
      <c r="T730">
        <v>44</v>
      </c>
      <c r="U730">
        <v>401.93633989965701</v>
      </c>
      <c r="V730">
        <v>1.2526096033402901E-2</v>
      </c>
      <c r="W730">
        <v>724824.75675509695</v>
      </c>
      <c r="X730" t="s">
        <v>38</v>
      </c>
      <c r="Y730">
        <f>1-395-163-4753</f>
        <v>-5310</v>
      </c>
    </row>
    <row r="731" spans="1:25" x14ac:dyDescent="0.35">
      <c r="A731">
        <v>39.519966659979197</v>
      </c>
      <c r="B731">
        <v>-121.851211346951</v>
      </c>
      <c r="C731" t="s">
        <v>29</v>
      </c>
      <c r="D731">
        <v>17.7383594905351</v>
      </c>
      <c r="E731">
        <v>6</v>
      </c>
      <c r="F731">
        <v>1391</v>
      </c>
      <c r="G731">
        <v>5</v>
      </c>
      <c r="H731">
        <v>1</v>
      </c>
      <c r="I731">
        <v>2013</v>
      </c>
      <c r="J731">
        <v>0</v>
      </c>
      <c r="K731">
        <v>0</v>
      </c>
      <c r="L731">
        <v>0</v>
      </c>
      <c r="M731">
        <v>14</v>
      </c>
      <c r="N731" t="s">
        <v>37</v>
      </c>
      <c r="O731" t="s">
        <v>30</v>
      </c>
      <c r="P731">
        <v>10.456970811200801</v>
      </c>
      <c r="Q731">
        <v>1.5122148454111399</v>
      </c>
      <c r="R731">
        <v>5.93774998228022</v>
      </c>
      <c r="S731">
        <v>189</v>
      </c>
      <c r="T731">
        <v>51</v>
      </c>
      <c r="U731">
        <v>857.27896446902196</v>
      </c>
      <c r="V731">
        <v>1.0064701653486699E-2</v>
      </c>
      <c r="W731">
        <v>1507728.9335362499</v>
      </c>
      <c r="X731" t="s">
        <v>36</v>
      </c>
      <c r="Y731">
        <f>1-321-428-5703</f>
        <v>-6451</v>
      </c>
    </row>
    <row r="732" spans="1:25" x14ac:dyDescent="0.35">
      <c r="A732">
        <v>36.358839067438304</v>
      </c>
      <c r="B732">
        <v>-118.137235619498</v>
      </c>
      <c r="C732" t="s">
        <v>25</v>
      </c>
      <c r="D732">
        <v>28.798398793199301</v>
      </c>
      <c r="E732">
        <v>2</v>
      </c>
      <c r="F732">
        <v>2624</v>
      </c>
      <c r="G732">
        <v>1</v>
      </c>
      <c r="H732">
        <v>2</v>
      </c>
      <c r="I732">
        <v>1952</v>
      </c>
      <c r="J732">
        <v>1</v>
      </c>
      <c r="K732">
        <v>1</v>
      </c>
      <c r="L732">
        <v>0</v>
      </c>
      <c r="M732">
        <v>9</v>
      </c>
      <c r="N732" t="s">
        <v>37</v>
      </c>
      <c r="O732" t="s">
        <v>30</v>
      </c>
      <c r="P732">
        <v>13.321308556803499</v>
      </c>
      <c r="Q732">
        <v>0.53737089540875804</v>
      </c>
      <c r="R732">
        <v>9.0366100130449301</v>
      </c>
      <c r="S732">
        <v>192</v>
      </c>
      <c r="T732">
        <v>53</v>
      </c>
      <c r="U732">
        <v>815.56595004440203</v>
      </c>
      <c r="V732">
        <v>3.42987804878048E-3</v>
      </c>
      <c r="W732">
        <v>2413738.1295082001</v>
      </c>
      <c r="X732" t="s">
        <v>40</v>
      </c>
      <c r="Y732">
        <f>1-546-144-6846</f>
        <v>-7535</v>
      </c>
    </row>
    <row r="733" spans="1:25" x14ac:dyDescent="0.35">
      <c r="A733">
        <v>40.215501745598601</v>
      </c>
      <c r="B733">
        <v>-118.09062980781501</v>
      </c>
      <c r="C733" t="s">
        <v>29</v>
      </c>
      <c r="D733">
        <v>9.5752410668403307</v>
      </c>
      <c r="E733">
        <v>2</v>
      </c>
      <c r="F733">
        <v>4042</v>
      </c>
      <c r="G733">
        <v>5</v>
      </c>
      <c r="H733">
        <v>3</v>
      </c>
      <c r="I733">
        <v>1954</v>
      </c>
      <c r="J733">
        <v>0</v>
      </c>
      <c r="K733">
        <v>1</v>
      </c>
      <c r="L733">
        <v>1</v>
      </c>
      <c r="M733">
        <v>13</v>
      </c>
      <c r="N733" t="s">
        <v>35</v>
      </c>
      <c r="O733" t="s">
        <v>27</v>
      </c>
      <c r="P733">
        <v>6.3279622375675997</v>
      </c>
      <c r="Q733">
        <v>1.6962571597999101</v>
      </c>
      <c r="R733">
        <v>8.3393441756063904</v>
      </c>
      <c r="S733">
        <v>65</v>
      </c>
      <c r="T733">
        <v>33</v>
      </c>
      <c r="U733">
        <v>546.94558896536</v>
      </c>
      <c r="V733">
        <v>3.2162295893122198E-3</v>
      </c>
      <c r="W733">
        <v>2497445.2167179701</v>
      </c>
      <c r="X733" t="s">
        <v>36</v>
      </c>
      <c r="Y733">
        <f>1-431-245-6040</f>
        <v>-6715</v>
      </c>
    </row>
    <row r="734" spans="1:25" x14ac:dyDescent="0.35">
      <c r="A734">
        <v>38.1961312565778</v>
      </c>
      <c r="B734">
        <v>-116.64546985659</v>
      </c>
      <c r="C734" t="s">
        <v>29</v>
      </c>
      <c r="D734">
        <v>3.7535511211475199</v>
      </c>
      <c r="E734">
        <v>3</v>
      </c>
      <c r="F734">
        <v>1830</v>
      </c>
      <c r="G734">
        <v>4</v>
      </c>
      <c r="H734">
        <v>1</v>
      </c>
      <c r="I734">
        <v>1986</v>
      </c>
      <c r="J734">
        <v>1</v>
      </c>
      <c r="K734">
        <v>0</v>
      </c>
      <c r="L734">
        <v>0</v>
      </c>
      <c r="M734">
        <v>3</v>
      </c>
      <c r="N734" t="s">
        <v>26</v>
      </c>
      <c r="O734" t="s">
        <v>30</v>
      </c>
      <c r="P734">
        <v>2.5990658549934298</v>
      </c>
      <c r="Q734">
        <v>2.4477609084487</v>
      </c>
      <c r="R734">
        <v>7.2399612811742298</v>
      </c>
      <c r="S734">
        <v>42</v>
      </c>
      <c r="T734">
        <v>70</v>
      </c>
      <c r="U734">
        <v>378.99508841506099</v>
      </c>
      <c r="V734">
        <v>1.63934426229508E-3</v>
      </c>
      <c r="W734">
        <v>895551.88295040897</v>
      </c>
      <c r="X734" t="s">
        <v>42</v>
      </c>
      <c r="Y734">
        <f>1-427-481-3979</f>
        <v>-4886</v>
      </c>
    </row>
    <row r="735" spans="1:25" x14ac:dyDescent="0.35">
      <c r="A735">
        <v>35.930744952874399</v>
      </c>
      <c r="B735">
        <v>-123.96714378799</v>
      </c>
      <c r="C735" t="s">
        <v>29</v>
      </c>
      <c r="D735">
        <v>38.457861242994703</v>
      </c>
      <c r="E735">
        <v>9</v>
      </c>
      <c r="F735">
        <v>1020</v>
      </c>
      <c r="G735">
        <v>4</v>
      </c>
      <c r="H735">
        <v>1</v>
      </c>
      <c r="I735">
        <v>1968</v>
      </c>
      <c r="J735">
        <v>0</v>
      </c>
      <c r="K735">
        <v>0</v>
      </c>
      <c r="L735">
        <v>0</v>
      </c>
      <c r="M735">
        <v>4</v>
      </c>
      <c r="N735" t="s">
        <v>37</v>
      </c>
      <c r="O735" t="s">
        <v>27</v>
      </c>
      <c r="P735">
        <v>2.80039165436225</v>
      </c>
      <c r="Q735">
        <v>0.87648567815464895</v>
      </c>
      <c r="R735">
        <v>7.7420711576075503</v>
      </c>
      <c r="S735">
        <v>30</v>
      </c>
      <c r="T735">
        <v>22</v>
      </c>
      <c r="U735">
        <v>797.45301892577299</v>
      </c>
      <c r="V735">
        <v>3.9215686274509803E-3</v>
      </c>
      <c r="W735">
        <v>970098.06671421602</v>
      </c>
      <c r="X735" t="s">
        <v>39</v>
      </c>
      <c r="Y735">
        <f>1-704-525-9456</f>
        <v>-10684</v>
      </c>
    </row>
    <row r="736" spans="1:25" x14ac:dyDescent="0.35">
      <c r="A736">
        <v>41.085864147446401</v>
      </c>
      <c r="B736">
        <v>-120.49003695610401</v>
      </c>
      <c r="C736" t="s">
        <v>29</v>
      </c>
      <c r="D736">
        <v>46.024784637962199</v>
      </c>
      <c r="E736">
        <v>2</v>
      </c>
      <c r="F736">
        <v>3716</v>
      </c>
      <c r="G736">
        <v>5</v>
      </c>
      <c r="H736">
        <v>3</v>
      </c>
      <c r="I736">
        <v>1969</v>
      </c>
      <c r="J736">
        <v>1</v>
      </c>
      <c r="K736">
        <v>1</v>
      </c>
      <c r="L736">
        <v>1</v>
      </c>
      <c r="M736">
        <v>8</v>
      </c>
      <c r="N736" t="s">
        <v>26</v>
      </c>
      <c r="O736" t="s">
        <v>30</v>
      </c>
      <c r="P736">
        <v>9.7068951717474494</v>
      </c>
      <c r="Q736">
        <v>1.8261268449607</v>
      </c>
      <c r="R736">
        <v>2.2952274024874599</v>
      </c>
      <c r="S736">
        <v>180</v>
      </c>
      <c r="T736">
        <v>39</v>
      </c>
      <c r="U736">
        <v>766.19415289718802</v>
      </c>
      <c r="V736">
        <v>2.1528525296017199E-3</v>
      </c>
      <c r="W736">
        <v>3354284.4615412098</v>
      </c>
      <c r="X736" t="s">
        <v>28</v>
      </c>
      <c r="Y736">
        <f>1-994-917-7429</f>
        <v>-9339</v>
      </c>
    </row>
    <row r="737" spans="1:25" x14ac:dyDescent="0.35">
      <c r="A737">
        <v>35.140378186484398</v>
      </c>
      <c r="B737">
        <v>-121.495155226904</v>
      </c>
      <c r="C737" t="s">
        <v>34</v>
      </c>
      <c r="D737">
        <v>42.358616208653203</v>
      </c>
      <c r="E737">
        <v>4</v>
      </c>
      <c r="F737">
        <v>1468</v>
      </c>
      <c r="G737">
        <v>2</v>
      </c>
      <c r="H737">
        <v>2</v>
      </c>
      <c r="I737">
        <v>1967</v>
      </c>
      <c r="J737">
        <v>1</v>
      </c>
      <c r="K737">
        <v>1</v>
      </c>
      <c r="L737">
        <v>1</v>
      </c>
      <c r="M737">
        <v>5</v>
      </c>
      <c r="N737" t="s">
        <v>26</v>
      </c>
      <c r="O737" t="s">
        <v>30</v>
      </c>
      <c r="P737">
        <v>14.187163963188301</v>
      </c>
      <c r="Q737">
        <v>0.77369811001646605</v>
      </c>
      <c r="R737">
        <v>5.8595880089351002</v>
      </c>
      <c r="S737">
        <v>87</v>
      </c>
      <c r="T737">
        <v>59</v>
      </c>
      <c r="U737">
        <v>893.26795908897702</v>
      </c>
      <c r="V737">
        <v>3.4059945504087098E-3</v>
      </c>
      <c r="W737">
        <v>1668523.44585815</v>
      </c>
      <c r="X737" t="s">
        <v>39</v>
      </c>
      <c r="Y737">
        <f>1-371-474-2837</f>
        <v>-3681</v>
      </c>
    </row>
    <row r="738" spans="1:25" x14ac:dyDescent="0.35">
      <c r="A738">
        <v>40.011090052756202</v>
      </c>
      <c r="B738">
        <v>-118.698422053333</v>
      </c>
      <c r="C738" t="s">
        <v>25</v>
      </c>
      <c r="D738">
        <v>32.628742993996703</v>
      </c>
      <c r="E738">
        <v>7</v>
      </c>
      <c r="F738">
        <v>543</v>
      </c>
      <c r="G738">
        <v>5</v>
      </c>
      <c r="H738">
        <v>2</v>
      </c>
      <c r="I738">
        <v>1964</v>
      </c>
      <c r="J738">
        <v>1</v>
      </c>
      <c r="K738">
        <v>1</v>
      </c>
      <c r="L738">
        <v>1</v>
      </c>
      <c r="M738">
        <v>2</v>
      </c>
      <c r="N738" t="s">
        <v>35</v>
      </c>
      <c r="O738" t="s">
        <v>32</v>
      </c>
      <c r="P738">
        <v>11.147531617372</v>
      </c>
      <c r="Q738">
        <v>2.0635622488412499</v>
      </c>
      <c r="R738">
        <v>3.4923557230919302</v>
      </c>
      <c r="S738">
        <v>127</v>
      </c>
      <c r="T738">
        <v>31</v>
      </c>
      <c r="U738">
        <v>909.13523556770997</v>
      </c>
      <c r="V738">
        <v>3.6832412523020198E-3</v>
      </c>
      <c r="W738">
        <v>952073.95542695699</v>
      </c>
      <c r="X738" t="s">
        <v>33</v>
      </c>
      <c r="Y738">
        <f>1-796-233-4346</f>
        <v>-5374</v>
      </c>
    </row>
    <row r="739" spans="1:25" x14ac:dyDescent="0.35">
      <c r="A739">
        <v>41.101394679379602</v>
      </c>
      <c r="B739">
        <v>-118.696963839009</v>
      </c>
      <c r="C739" t="s">
        <v>34</v>
      </c>
      <c r="D739">
        <v>47.963581226829803</v>
      </c>
      <c r="E739">
        <v>7</v>
      </c>
      <c r="F739">
        <v>4690</v>
      </c>
      <c r="G739">
        <v>3</v>
      </c>
      <c r="H739">
        <v>2</v>
      </c>
      <c r="I739">
        <v>2013</v>
      </c>
      <c r="J739">
        <v>0</v>
      </c>
      <c r="K739">
        <v>0</v>
      </c>
      <c r="L739">
        <v>1</v>
      </c>
      <c r="M739">
        <v>7</v>
      </c>
      <c r="N739" t="s">
        <v>26</v>
      </c>
      <c r="O739" t="s">
        <v>32</v>
      </c>
      <c r="P739">
        <v>14.625948190802401</v>
      </c>
      <c r="Q739">
        <v>1.74124585265711</v>
      </c>
      <c r="R739">
        <v>0.78898449280192995</v>
      </c>
      <c r="S739">
        <v>190</v>
      </c>
      <c r="T739">
        <v>20</v>
      </c>
      <c r="U739">
        <v>814.94929669719295</v>
      </c>
      <c r="V739">
        <v>1.49253731343283E-3</v>
      </c>
      <c r="W739">
        <v>4207462.4644143796</v>
      </c>
      <c r="X739" t="s">
        <v>40</v>
      </c>
      <c r="Y739">
        <f>1-465-212-1550</f>
        <v>-2226</v>
      </c>
    </row>
    <row r="740" spans="1:25" x14ac:dyDescent="0.35">
      <c r="A740">
        <v>39.835818913367703</v>
      </c>
      <c r="B740">
        <v>-117.934852128473</v>
      </c>
      <c r="C740" t="s">
        <v>25</v>
      </c>
      <c r="D740">
        <v>17.827116503670901</v>
      </c>
      <c r="E740">
        <v>9</v>
      </c>
      <c r="F740">
        <v>3956</v>
      </c>
      <c r="G740">
        <v>3</v>
      </c>
      <c r="H740">
        <v>2</v>
      </c>
      <c r="I740">
        <v>1975</v>
      </c>
      <c r="J740">
        <v>1</v>
      </c>
      <c r="K740">
        <v>1</v>
      </c>
      <c r="L740">
        <v>0</v>
      </c>
      <c r="M740">
        <v>3</v>
      </c>
      <c r="N740" t="s">
        <v>35</v>
      </c>
      <c r="O740" t="s">
        <v>27</v>
      </c>
      <c r="P740">
        <v>3.5164826300653602</v>
      </c>
      <c r="Q740">
        <v>1.1012390292104699</v>
      </c>
      <c r="R740">
        <v>6.9014641837442303</v>
      </c>
      <c r="S740">
        <v>11</v>
      </c>
      <c r="T740">
        <v>79</v>
      </c>
      <c r="U740">
        <v>294.358103612283</v>
      </c>
      <c r="V740">
        <v>7.5834175935288097E-4</v>
      </c>
      <c r="W740">
        <v>1464916.03448941</v>
      </c>
      <c r="X740" t="s">
        <v>43</v>
      </c>
      <c r="Y740">
        <f>1-315-676-6233</f>
        <v>-7223</v>
      </c>
    </row>
    <row r="741" spans="1:25" x14ac:dyDescent="0.35">
      <c r="A741">
        <v>39.507994598943903</v>
      </c>
      <c r="B741">
        <v>-120.66213464080801</v>
      </c>
      <c r="C741" t="s">
        <v>25</v>
      </c>
      <c r="D741">
        <v>28.037543161960599</v>
      </c>
      <c r="E741">
        <v>9</v>
      </c>
      <c r="F741">
        <v>3251</v>
      </c>
      <c r="G741">
        <v>3</v>
      </c>
      <c r="H741">
        <v>1</v>
      </c>
      <c r="I741">
        <v>2020</v>
      </c>
      <c r="J741">
        <v>1</v>
      </c>
      <c r="K741">
        <v>1</v>
      </c>
      <c r="L741">
        <v>0</v>
      </c>
      <c r="M741">
        <v>4</v>
      </c>
      <c r="N741" t="s">
        <v>37</v>
      </c>
      <c r="O741" t="s">
        <v>32</v>
      </c>
      <c r="P741">
        <v>12.827665829553199</v>
      </c>
      <c r="Q741">
        <v>1.54062484873146</v>
      </c>
      <c r="R741">
        <v>5.3092166333150104</v>
      </c>
      <c r="S741">
        <v>34</v>
      </c>
      <c r="T741">
        <v>31</v>
      </c>
      <c r="U741">
        <v>630.77641164565</v>
      </c>
      <c r="V741">
        <v>1.2303906490310601E-3</v>
      </c>
      <c r="W741">
        <v>2549108.4254066302</v>
      </c>
      <c r="X741" t="s">
        <v>43</v>
      </c>
      <c r="Y741">
        <f>1-929-969-4683</f>
        <v>-6580</v>
      </c>
    </row>
    <row r="742" spans="1:25" x14ac:dyDescent="0.35">
      <c r="A742">
        <v>40.699050970831799</v>
      </c>
      <c r="B742">
        <v>-124.291180332232</v>
      </c>
      <c r="C742" t="s">
        <v>29</v>
      </c>
      <c r="D742">
        <v>5.1148125127843098</v>
      </c>
      <c r="E742">
        <v>6</v>
      </c>
      <c r="F742">
        <v>2163</v>
      </c>
      <c r="G742">
        <v>2</v>
      </c>
      <c r="H742">
        <v>1</v>
      </c>
      <c r="I742">
        <v>1984</v>
      </c>
      <c r="J742">
        <v>1</v>
      </c>
      <c r="K742">
        <v>1</v>
      </c>
      <c r="L742">
        <v>0</v>
      </c>
      <c r="M742">
        <v>8</v>
      </c>
      <c r="N742" t="s">
        <v>26</v>
      </c>
      <c r="O742" t="s">
        <v>32</v>
      </c>
      <c r="P742">
        <v>7.9237864814242096</v>
      </c>
      <c r="Q742">
        <v>1.8277987042442501</v>
      </c>
      <c r="R742">
        <v>3.3682908182522602</v>
      </c>
      <c r="S742">
        <v>131</v>
      </c>
      <c r="T742">
        <v>44</v>
      </c>
      <c r="U742">
        <v>272.24782283066298</v>
      </c>
      <c r="V742">
        <v>3.6985668053629199E-3</v>
      </c>
      <c r="W742">
        <v>837263.63181099005</v>
      </c>
      <c r="X742" t="s">
        <v>38</v>
      </c>
      <c r="Y742">
        <f>1-310-590-1195</f>
        <v>-2094</v>
      </c>
    </row>
    <row r="743" spans="1:25" x14ac:dyDescent="0.35">
      <c r="A743">
        <v>41.639043813983001</v>
      </c>
      <c r="B743">
        <v>-119.610643622532</v>
      </c>
      <c r="C743" t="s">
        <v>34</v>
      </c>
      <c r="D743">
        <v>33.237807782599297</v>
      </c>
      <c r="E743">
        <v>7</v>
      </c>
      <c r="F743">
        <v>1192</v>
      </c>
      <c r="G743">
        <v>2</v>
      </c>
      <c r="H743">
        <v>2</v>
      </c>
      <c r="I743">
        <v>1973</v>
      </c>
      <c r="J743">
        <v>1</v>
      </c>
      <c r="K743">
        <v>1</v>
      </c>
      <c r="L743">
        <v>0</v>
      </c>
      <c r="M743">
        <v>14</v>
      </c>
      <c r="N743" t="s">
        <v>35</v>
      </c>
      <c r="O743" t="s">
        <v>30</v>
      </c>
      <c r="P743">
        <v>3.87947662247243</v>
      </c>
      <c r="Q743">
        <v>2.0481342584645201</v>
      </c>
      <c r="R743">
        <v>9.3999775945103305</v>
      </c>
      <c r="S743">
        <v>48</v>
      </c>
      <c r="T743">
        <v>70</v>
      </c>
      <c r="U743">
        <v>819.34676883784198</v>
      </c>
      <c r="V743">
        <v>1.1744966442953E-2</v>
      </c>
      <c r="W743">
        <v>1188866.6208688801</v>
      </c>
      <c r="X743" t="s">
        <v>39</v>
      </c>
      <c r="Y743">
        <f>1-912-978-3999</f>
        <v>-5888</v>
      </c>
    </row>
    <row r="744" spans="1:25" x14ac:dyDescent="0.35">
      <c r="A744">
        <v>38.009284652028803</v>
      </c>
      <c r="B744">
        <v>-122.736192188319</v>
      </c>
      <c r="C744" t="s">
        <v>34</v>
      </c>
      <c r="D744">
        <v>11.1793246947916</v>
      </c>
      <c r="E744">
        <v>8</v>
      </c>
      <c r="F744">
        <v>4426</v>
      </c>
      <c r="G744">
        <v>5</v>
      </c>
      <c r="H744">
        <v>3</v>
      </c>
      <c r="I744">
        <v>2003</v>
      </c>
      <c r="J744">
        <v>0</v>
      </c>
      <c r="K744">
        <v>0</v>
      </c>
      <c r="L744">
        <v>1</v>
      </c>
      <c r="M744">
        <v>3</v>
      </c>
      <c r="N744" t="s">
        <v>26</v>
      </c>
      <c r="O744" t="s">
        <v>30</v>
      </c>
      <c r="P744">
        <v>11.2258257492014</v>
      </c>
      <c r="Q744">
        <v>2.1683674198602998</v>
      </c>
      <c r="R744">
        <v>2.4744012303323801</v>
      </c>
      <c r="S744">
        <v>138</v>
      </c>
      <c r="T744">
        <v>61</v>
      </c>
      <c r="U744">
        <v>378.60740438414001</v>
      </c>
      <c r="V744">
        <v>6.77812923633077E-4</v>
      </c>
      <c r="W744">
        <v>2112603.0460755499</v>
      </c>
      <c r="X744" t="s">
        <v>33</v>
      </c>
      <c r="Y744">
        <f>1-277-163-7014</f>
        <v>-7453</v>
      </c>
    </row>
    <row r="745" spans="1:25" x14ac:dyDescent="0.35">
      <c r="A745">
        <v>37.818873878699499</v>
      </c>
      <c r="B745">
        <v>-115.773995501748</v>
      </c>
      <c r="C745" t="s">
        <v>29</v>
      </c>
      <c r="D745">
        <v>36.367112645609303</v>
      </c>
      <c r="E745">
        <v>7</v>
      </c>
      <c r="F745">
        <v>2078</v>
      </c>
      <c r="G745">
        <v>2</v>
      </c>
      <c r="H745">
        <v>3</v>
      </c>
      <c r="I745">
        <v>2013</v>
      </c>
      <c r="J745">
        <v>1</v>
      </c>
      <c r="K745">
        <v>0</v>
      </c>
      <c r="L745">
        <v>1</v>
      </c>
      <c r="M745">
        <v>9</v>
      </c>
      <c r="N745" t="s">
        <v>26</v>
      </c>
      <c r="O745" t="s">
        <v>27</v>
      </c>
      <c r="P745">
        <v>5.5958405683567296</v>
      </c>
      <c r="Q745">
        <v>0.54014797195811204</v>
      </c>
      <c r="R745">
        <v>4.5505031831773604</v>
      </c>
      <c r="S745">
        <v>60</v>
      </c>
      <c r="T745">
        <v>28</v>
      </c>
      <c r="U745">
        <v>333.15333708591203</v>
      </c>
      <c r="V745">
        <v>4.3310875842155899E-3</v>
      </c>
      <c r="W745">
        <v>967368.71955774399</v>
      </c>
      <c r="X745" t="s">
        <v>42</v>
      </c>
      <c r="Y745">
        <f>1-822-212-8985</f>
        <v>-10018</v>
      </c>
    </row>
    <row r="746" spans="1:25" x14ac:dyDescent="0.35">
      <c r="A746">
        <v>34.056950224091501</v>
      </c>
      <c r="B746">
        <v>-116.446230627834</v>
      </c>
      <c r="C746" t="s">
        <v>25</v>
      </c>
      <c r="D746">
        <v>16.397914714922202</v>
      </c>
      <c r="E746">
        <v>0</v>
      </c>
      <c r="F746">
        <v>4655</v>
      </c>
      <c r="G746">
        <v>1</v>
      </c>
      <c r="H746">
        <v>1</v>
      </c>
      <c r="I746">
        <v>2014</v>
      </c>
      <c r="J746">
        <v>1</v>
      </c>
      <c r="K746">
        <v>0</v>
      </c>
      <c r="L746">
        <v>0</v>
      </c>
      <c r="M746">
        <v>3</v>
      </c>
      <c r="N746" t="s">
        <v>35</v>
      </c>
      <c r="O746" t="s">
        <v>30</v>
      </c>
      <c r="P746">
        <v>7.27071481247365</v>
      </c>
      <c r="Q746">
        <v>2.3878436600683002</v>
      </c>
      <c r="R746">
        <v>6.2634414533986797</v>
      </c>
      <c r="S746">
        <v>131</v>
      </c>
      <c r="T746">
        <v>57</v>
      </c>
      <c r="U746">
        <v>417.345907163378</v>
      </c>
      <c r="V746">
        <v>6.4446831364124496E-4</v>
      </c>
      <c r="W746">
        <v>2009040.71941945</v>
      </c>
      <c r="X746" t="s">
        <v>43</v>
      </c>
      <c r="Y746">
        <f>1-863-962-5966</f>
        <v>-7790</v>
      </c>
    </row>
    <row r="747" spans="1:25" x14ac:dyDescent="0.35">
      <c r="A747">
        <v>33.095278831199799</v>
      </c>
      <c r="B747">
        <v>-121.407411998634</v>
      </c>
      <c r="C747" t="s">
        <v>25</v>
      </c>
      <c r="D747">
        <v>32.973723304972701</v>
      </c>
      <c r="E747">
        <v>6</v>
      </c>
      <c r="F747">
        <v>3643</v>
      </c>
      <c r="G747">
        <v>1</v>
      </c>
      <c r="H747">
        <v>2</v>
      </c>
      <c r="I747">
        <v>1961</v>
      </c>
      <c r="J747">
        <v>1</v>
      </c>
      <c r="K747">
        <v>0</v>
      </c>
      <c r="L747">
        <v>1</v>
      </c>
      <c r="M747">
        <v>6</v>
      </c>
      <c r="N747" t="s">
        <v>35</v>
      </c>
      <c r="O747" t="s">
        <v>32</v>
      </c>
      <c r="P747">
        <v>9.9576287590873296</v>
      </c>
      <c r="Q747">
        <v>2.49667432540071</v>
      </c>
      <c r="R747">
        <v>5.7340207545534403</v>
      </c>
      <c r="S747">
        <v>136</v>
      </c>
      <c r="T747">
        <v>51</v>
      </c>
      <c r="U747">
        <v>457.92606337112898</v>
      </c>
      <c r="V747">
        <v>1.6469942355201699E-3</v>
      </c>
      <c r="W747">
        <v>1760485.75787909</v>
      </c>
      <c r="X747" t="s">
        <v>39</v>
      </c>
      <c r="Y747">
        <f>1-501-480-2522</f>
        <v>-3502</v>
      </c>
    </row>
    <row r="748" spans="1:25" x14ac:dyDescent="0.35">
      <c r="A748">
        <v>36.157062967684098</v>
      </c>
      <c r="B748">
        <v>-119.39774420679301</v>
      </c>
      <c r="C748" t="s">
        <v>25</v>
      </c>
      <c r="D748">
        <v>40.809693095205901</v>
      </c>
      <c r="E748">
        <v>1</v>
      </c>
      <c r="F748">
        <v>1061</v>
      </c>
      <c r="G748">
        <v>1</v>
      </c>
      <c r="H748">
        <v>1</v>
      </c>
      <c r="I748">
        <v>1978</v>
      </c>
      <c r="J748">
        <v>1</v>
      </c>
      <c r="K748">
        <v>1</v>
      </c>
      <c r="L748">
        <v>1</v>
      </c>
      <c r="M748">
        <v>13</v>
      </c>
      <c r="N748" t="s">
        <v>26</v>
      </c>
      <c r="O748" t="s">
        <v>32</v>
      </c>
      <c r="P748">
        <v>8.1016291370894304</v>
      </c>
      <c r="Q748">
        <v>2.3779620124891601</v>
      </c>
      <c r="R748">
        <v>7.3875318028199501</v>
      </c>
      <c r="S748">
        <v>63</v>
      </c>
      <c r="T748">
        <v>52</v>
      </c>
      <c r="U748">
        <v>939.34147634165299</v>
      </c>
      <c r="V748">
        <v>1.22525918944392E-2</v>
      </c>
      <c r="W748">
        <v>1152105.7517913501</v>
      </c>
      <c r="X748" t="s">
        <v>44</v>
      </c>
      <c r="Y748">
        <f>1-757-157-4317</f>
        <v>-5230</v>
      </c>
    </row>
    <row r="749" spans="1:25" x14ac:dyDescent="0.35">
      <c r="A749">
        <v>37.046561671123399</v>
      </c>
      <c r="B749">
        <v>-119.593720211316</v>
      </c>
      <c r="C749" t="s">
        <v>34</v>
      </c>
      <c r="D749">
        <v>47.021097468486502</v>
      </c>
      <c r="E749">
        <v>9</v>
      </c>
      <c r="F749">
        <v>903</v>
      </c>
      <c r="G749">
        <v>1</v>
      </c>
      <c r="H749">
        <v>2</v>
      </c>
      <c r="I749">
        <v>1975</v>
      </c>
      <c r="J749">
        <v>0</v>
      </c>
      <c r="K749">
        <v>1</v>
      </c>
      <c r="L749">
        <v>1</v>
      </c>
      <c r="M749">
        <v>11</v>
      </c>
      <c r="N749" t="s">
        <v>37</v>
      </c>
      <c r="O749" t="s">
        <v>32</v>
      </c>
      <c r="P749">
        <v>8.8076152376041197</v>
      </c>
      <c r="Q749">
        <v>2.0814735486698202</v>
      </c>
      <c r="R749">
        <v>6.1789210335700497</v>
      </c>
      <c r="S749">
        <v>59</v>
      </c>
      <c r="T749">
        <v>24</v>
      </c>
      <c r="U749">
        <v>261.23292635912401</v>
      </c>
      <c r="V749">
        <v>1.21816168327796E-2</v>
      </c>
      <c r="W749">
        <v>522425.93931108603</v>
      </c>
      <c r="X749" t="s">
        <v>38</v>
      </c>
      <c r="Y749">
        <f>1-964-415-5308</f>
        <v>-6686</v>
      </c>
    </row>
    <row r="750" spans="1:25" x14ac:dyDescent="0.35">
      <c r="A750">
        <v>37.470348584049297</v>
      </c>
      <c r="B750">
        <v>-120.909466968594</v>
      </c>
      <c r="C750" t="s">
        <v>25</v>
      </c>
      <c r="D750">
        <v>27.333322830219299</v>
      </c>
      <c r="E750">
        <v>4</v>
      </c>
      <c r="F750">
        <v>3664</v>
      </c>
      <c r="G750">
        <v>1</v>
      </c>
      <c r="H750">
        <v>1</v>
      </c>
      <c r="I750">
        <v>1965</v>
      </c>
      <c r="J750">
        <v>0</v>
      </c>
      <c r="K750">
        <v>1</v>
      </c>
      <c r="L750">
        <v>1</v>
      </c>
      <c r="M750">
        <v>7</v>
      </c>
      <c r="N750" t="s">
        <v>35</v>
      </c>
      <c r="O750" t="s">
        <v>27</v>
      </c>
      <c r="P750">
        <v>8.2559245497915992</v>
      </c>
      <c r="Q750">
        <v>2.2497266384071199</v>
      </c>
      <c r="R750">
        <v>4.2339532108189504</v>
      </c>
      <c r="S750">
        <v>17</v>
      </c>
      <c r="T750">
        <v>38</v>
      </c>
      <c r="U750">
        <v>784.52676697440904</v>
      </c>
      <c r="V750">
        <v>1.91048034934497E-3</v>
      </c>
      <c r="W750">
        <v>3030080.65961695</v>
      </c>
      <c r="X750" t="s">
        <v>36</v>
      </c>
      <c r="Y750">
        <f>1-471-771-7897</f>
        <v>-9138</v>
      </c>
    </row>
    <row r="751" spans="1:25" x14ac:dyDescent="0.35">
      <c r="A751">
        <v>38.955094557945799</v>
      </c>
      <c r="B751">
        <v>-117.813293782456</v>
      </c>
      <c r="C751" t="s">
        <v>25</v>
      </c>
      <c r="D751">
        <v>48.3676601285296</v>
      </c>
      <c r="E751">
        <v>6</v>
      </c>
      <c r="F751">
        <v>3223</v>
      </c>
      <c r="G751">
        <v>3</v>
      </c>
      <c r="H751">
        <v>3</v>
      </c>
      <c r="I751">
        <v>1983</v>
      </c>
      <c r="J751">
        <v>0</v>
      </c>
      <c r="K751">
        <v>1</v>
      </c>
      <c r="L751">
        <v>0</v>
      </c>
      <c r="M751">
        <v>7</v>
      </c>
      <c r="N751" t="s">
        <v>26</v>
      </c>
      <c r="O751" t="s">
        <v>27</v>
      </c>
      <c r="P751">
        <v>6.0034259361026097</v>
      </c>
      <c r="Q751">
        <v>1.1139940603526901</v>
      </c>
      <c r="R751">
        <v>8.1129559787885892</v>
      </c>
      <c r="S751">
        <v>87</v>
      </c>
      <c r="T751">
        <v>52</v>
      </c>
      <c r="U751">
        <v>405.097448573311</v>
      </c>
      <c r="V751">
        <v>2.17188954390319E-3</v>
      </c>
      <c r="W751">
        <v>1682465.0547670701</v>
      </c>
      <c r="X751" t="s">
        <v>43</v>
      </c>
      <c r="Y751">
        <f>1-715-508-8103</f>
        <v>-9325</v>
      </c>
    </row>
    <row r="752" spans="1:25" x14ac:dyDescent="0.35">
      <c r="A752">
        <v>39.942702255475098</v>
      </c>
      <c r="B752">
        <v>-121.520956727591</v>
      </c>
      <c r="C752" t="s">
        <v>25</v>
      </c>
      <c r="D752">
        <v>29.579812389103999</v>
      </c>
      <c r="E752">
        <v>1</v>
      </c>
      <c r="F752">
        <v>3075</v>
      </c>
      <c r="G752">
        <v>5</v>
      </c>
      <c r="H752">
        <v>3</v>
      </c>
      <c r="I752">
        <v>2018</v>
      </c>
      <c r="J752">
        <v>0</v>
      </c>
      <c r="K752">
        <v>0</v>
      </c>
      <c r="L752">
        <v>0</v>
      </c>
      <c r="M752">
        <v>5</v>
      </c>
      <c r="N752" t="s">
        <v>37</v>
      </c>
      <c r="O752" t="s">
        <v>27</v>
      </c>
      <c r="P752">
        <v>9.1666278991332</v>
      </c>
      <c r="Q752">
        <v>0.73338905301357105</v>
      </c>
      <c r="R752">
        <v>3.7156198900494299</v>
      </c>
      <c r="S752">
        <v>96</v>
      </c>
      <c r="T752">
        <v>42</v>
      </c>
      <c r="U752">
        <v>358.636352553942</v>
      </c>
      <c r="V752">
        <v>1.6260162601626001E-3</v>
      </c>
      <c r="W752">
        <v>1529985.0703113901</v>
      </c>
      <c r="X752" t="s">
        <v>38</v>
      </c>
      <c r="Y752">
        <f>1-767-806-2455</f>
        <v>-4027</v>
      </c>
    </row>
    <row r="753" spans="1:25" x14ac:dyDescent="0.35">
      <c r="A753">
        <v>39.138586420171599</v>
      </c>
      <c r="B753">
        <v>-121.143163602351</v>
      </c>
      <c r="C753" t="s">
        <v>29</v>
      </c>
      <c r="D753">
        <v>47.549688147347901</v>
      </c>
      <c r="E753">
        <v>6</v>
      </c>
      <c r="F753">
        <v>4391</v>
      </c>
      <c r="G753">
        <v>5</v>
      </c>
      <c r="H753">
        <v>3</v>
      </c>
      <c r="I753">
        <v>2010</v>
      </c>
      <c r="J753">
        <v>1</v>
      </c>
      <c r="K753">
        <v>0</v>
      </c>
      <c r="L753">
        <v>0</v>
      </c>
      <c r="M753">
        <v>2</v>
      </c>
      <c r="N753" t="s">
        <v>35</v>
      </c>
      <c r="O753" t="s">
        <v>27</v>
      </c>
      <c r="P753">
        <v>4.5745764257423698</v>
      </c>
      <c r="Q753">
        <v>1.6072764649440201</v>
      </c>
      <c r="R753">
        <v>8.7107086765689292</v>
      </c>
      <c r="S753">
        <v>37</v>
      </c>
      <c r="T753">
        <v>52</v>
      </c>
      <c r="U753">
        <v>982.08474889663296</v>
      </c>
      <c r="V753">
        <v>4.5547711227510802E-4</v>
      </c>
      <c r="W753">
        <v>4696249.5354830399</v>
      </c>
      <c r="X753" t="s">
        <v>40</v>
      </c>
      <c r="Y753">
        <f>1-572-878-8322</f>
        <v>-9771</v>
      </c>
    </row>
    <row r="754" spans="1:25" x14ac:dyDescent="0.35">
      <c r="A754">
        <v>34.772484990704797</v>
      </c>
      <c r="B754">
        <v>-114.75754867555899</v>
      </c>
      <c r="C754" t="s">
        <v>29</v>
      </c>
      <c r="D754">
        <v>29.289236812801999</v>
      </c>
      <c r="E754">
        <v>3</v>
      </c>
      <c r="F754">
        <v>1008</v>
      </c>
      <c r="G754">
        <v>1</v>
      </c>
      <c r="H754">
        <v>1</v>
      </c>
      <c r="I754">
        <v>1983</v>
      </c>
      <c r="J754">
        <v>1</v>
      </c>
      <c r="K754">
        <v>0</v>
      </c>
      <c r="L754">
        <v>1</v>
      </c>
      <c r="M754">
        <v>12</v>
      </c>
      <c r="N754" t="s">
        <v>26</v>
      </c>
      <c r="O754" t="s">
        <v>27</v>
      </c>
      <c r="P754">
        <v>7.8459026417781699</v>
      </c>
      <c r="Q754">
        <v>1.9435173391596401</v>
      </c>
      <c r="R754">
        <v>0.50494299989930203</v>
      </c>
      <c r="S754">
        <v>28</v>
      </c>
      <c r="T754">
        <v>31</v>
      </c>
      <c r="U754">
        <v>893.71454925446596</v>
      </c>
      <c r="V754">
        <v>1.1904761904761901E-2</v>
      </c>
      <c r="W754">
        <v>1083052.6380405901</v>
      </c>
      <c r="X754" t="s">
        <v>33</v>
      </c>
      <c r="Y754">
        <f>1-225-200-9337</f>
        <v>-9761</v>
      </c>
    </row>
    <row r="755" spans="1:25" x14ac:dyDescent="0.35">
      <c r="A755">
        <v>33.012711040265401</v>
      </c>
      <c r="B755">
        <v>-117.254087048877</v>
      </c>
      <c r="C755" t="s">
        <v>34</v>
      </c>
      <c r="D755">
        <v>22.3327921894141</v>
      </c>
      <c r="E755">
        <v>4</v>
      </c>
      <c r="F755">
        <v>4540</v>
      </c>
      <c r="G755">
        <v>2</v>
      </c>
      <c r="H755">
        <v>1</v>
      </c>
      <c r="I755">
        <v>1960</v>
      </c>
      <c r="J755">
        <v>1</v>
      </c>
      <c r="K755">
        <v>0</v>
      </c>
      <c r="L755">
        <v>1</v>
      </c>
      <c r="M755">
        <v>2</v>
      </c>
      <c r="N755" t="s">
        <v>41</v>
      </c>
      <c r="O755" t="s">
        <v>27</v>
      </c>
      <c r="P755">
        <v>5.7098366974572103</v>
      </c>
      <c r="Q755">
        <v>0.51571712311347595</v>
      </c>
      <c r="R755">
        <v>4.6918524719438999</v>
      </c>
      <c r="S755">
        <v>188</v>
      </c>
      <c r="T755">
        <v>36</v>
      </c>
      <c r="U755">
        <v>443.68569724094101</v>
      </c>
      <c r="V755">
        <v>4.4052863436123301E-4</v>
      </c>
      <c r="W755">
        <v>2173021.2435640199</v>
      </c>
      <c r="X755" t="s">
        <v>42</v>
      </c>
      <c r="Y755">
        <f>1-445-483-6033</f>
        <v>-6960</v>
      </c>
    </row>
    <row r="756" spans="1:25" x14ac:dyDescent="0.35">
      <c r="A756">
        <v>37.705519324995599</v>
      </c>
      <c r="B756">
        <v>-124.190563762172</v>
      </c>
      <c r="C756" t="s">
        <v>34</v>
      </c>
      <c r="D756">
        <v>26.3438797185891</v>
      </c>
      <c r="E756">
        <v>3</v>
      </c>
      <c r="F756">
        <v>1702</v>
      </c>
      <c r="G756">
        <v>5</v>
      </c>
      <c r="H756">
        <v>2</v>
      </c>
      <c r="I756">
        <v>2005</v>
      </c>
      <c r="J756">
        <v>1</v>
      </c>
      <c r="K756">
        <v>0</v>
      </c>
      <c r="L756">
        <v>0</v>
      </c>
      <c r="M756">
        <v>10</v>
      </c>
      <c r="N756" t="s">
        <v>37</v>
      </c>
      <c r="O756" t="s">
        <v>27</v>
      </c>
      <c r="P756">
        <v>6.8877121972141904</v>
      </c>
      <c r="Q756">
        <v>2.37870046201787</v>
      </c>
      <c r="R756">
        <v>4.8439593611863696</v>
      </c>
      <c r="S756">
        <v>143</v>
      </c>
      <c r="T756">
        <v>67</v>
      </c>
      <c r="U756">
        <v>652.04156168058603</v>
      </c>
      <c r="V756">
        <v>5.8754406580493503E-3</v>
      </c>
      <c r="W756">
        <v>1496208.4368522801</v>
      </c>
      <c r="X756" t="s">
        <v>39</v>
      </c>
      <c r="Y756">
        <f>1-691-518-1807</f>
        <v>-3015</v>
      </c>
    </row>
    <row r="757" spans="1:25" x14ac:dyDescent="0.35">
      <c r="A757">
        <v>38.912618543360999</v>
      </c>
      <c r="B757">
        <v>-122.239938132367</v>
      </c>
      <c r="C757" t="s">
        <v>34</v>
      </c>
      <c r="D757">
        <v>6.7609656312970996</v>
      </c>
      <c r="E757">
        <v>0</v>
      </c>
      <c r="F757">
        <v>4738</v>
      </c>
      <c r="G757">
        <v>1</v>
      </c>
      <c r="H757">
        <v>3</v>
      </c>
      <c r="I757">
        <v>1993</v>
      </c>
      <c r="J757">
        <v>0</v>
      </c>
      <c r="K757">
        <v>1</v>
      </c>
      <c r="L757">
        <v>0</v>
      </c>
      <c r="M757">
        <v>13</v>
      </c>
      <c r="N757" t="s">
        <v>35</v>
      </c>
      <c r="O757" t="s">
        <v>27</v>
      </c>
      <c r="P757">
        <v>9.3256927869166493</v>
      </c>
      <c r="Q757">
        <v>1.76017419199</v>
      </c>
      <c r="R757">
        <v>0.202757642217965</v>
      </c>
      <c r="S757">
        <v>49</v>
      </c>
      <c r="T757">
        <v>43</v>
      </c>
      <c r="U757">
        <v>723.87279724143798</v>
      </c>
      <c r="V757">
        <v>2.74377374419586E-3</v>
      </c>
      <c r="W757">
        <v>3699799.81302142</v>
      </c>
      <c r="X757" t="s">
        <v>31</v>
      </c>
      <c r="Y757">
        <f>1-876-705-7445</f>
        <v>-9025</v>
      </c>
    </row>
    <row r="758" spans="1:25" x14ac:dyDescent="0.35">
      <c r="A758">
        <v>35.369519867469499</v>
      </c>
      <c r="B758">
        <v>-117.071458732514</v>
      </c>
      <c r="C758" t="s">
        <v>34</v>
      </c>
      <c r="D758">
        <v>6.6615838321235401</v>
      </c>
      <c r="E758">
        <v>2</v>
      </c>
      <c r="F758">
        <v>2082</v>
      </c>
      <c r="G758">
        <v>4</v>
      </c>
      <c r="H758">
        <v>3</v>
      </c>
      <c r="I758">
        <v>1961</v>
      </c>
      <c r="J758">
        <v>0</v>
      </c>
      <c r="K758">
        <v>0</v>
      </c>
      <c r="L758">
        <v>1</v>
      </c>
      <c r="M758">
        <v>10</v>
      </c>
      <c r="N758" t="s">
        <v>37</v>
      </c>
      <c r="O758" t="s">
        <v>32</v>
      </c>
      <c r="P758">
        <v>10.2427961648454</v>
      </c>
      <c r="Q758">
        <v>1.23736393471251</v>
      </c>
      <c r="R758">
        <v>0.62493858179008299</v>
      </c>
      <c r="S758">
        <v>177</v>
      </c>
      <c r="T758">
        <v>69</v>
      </c>
      <c r="U758">
        <v>896.95839660839795</v>
      </c>
      <c r="V758">
        <v>4.8030739673390896E-3</v>
      </c>
      <c r="W758">
        <v>2141890.4647367601</v>
      </c>
      <c r="X758" t="s">
        <v>40</v>
      </c>
      <c r="Y758">
        <f>1-411-335-1521</f>
        <v>-2266</v>
      </c>
    </row>
    <row r="759" spans="1:25" x14ac:dyDescent="0.35">
      <c r="A759">
        <v>35.265049165659299</v>
      </c>
      <c r="B759">
        <v>-119.995277969699</v>
      </c>
      <c r="C759" t="s">
        <v>25</v>
      </c>
      <c r="D759">
        <v>11.792517075723</v>
      </c>
      <c r="E759">
        <v>9</v>
      </c>
      <c r="F759">
        <v>2044</v>
      </c>
      <c r="G759">
        <v>1</v>
      </c>
      <c r="H759">
        <v>1</v>
      </c>
      <c r="I759">
        <v>2009</v>
      </c>
      <c r="J759">
        <v>0</v>
      </c>
      <c r="K759">
        <v>0</v>
      </c>
      <c r="L759">
        <v>1</v>
      </c>
      <c r="M759">
        <v>4</v>
      </c>
      <c r="N759" t="s">
        <v>35</v>
      </c>
      <c r="O759" t="s">
        <v>27</v>
      </c>
      <c r="P759">
        <v>13.907180198376601</v>
      </c>
      <c r="Q759">
        <v>2.17170402418681</v>
      </c>
      <c r="R759">
        <v>1.6782187518392599</v>
      </c>
      <c r="S759">
        <v>90</v>
      </c>
      <c r="T759">
        <v>61</v>
      </c>
      <c r="U759">
        <v>802.74866840380798</v>
      </c>
      <c r="V759">
        <v>1.95694716242661E-3</v>
      </c>
      <c r="W759">
        <v>1825130.33320396</v>
      </c>
      <c r="X759" t="s">
        <v>28</v>
      </c>
      <c r="Y759">
        <f>1-795-126-3341</f>
        <v>-4261</v>
      </c>
    </row>
    <row r="760" spans="1:25" x14ac:dyDescent="0.35">
      <c r="A760">
        <v>35.857603447326703</v>
      </c>
      <c r="B760">
        <v>-114.59856953241</v>
      </c>
      <c r="C760" t="s">
        <v>29</v>
      </c>
      <c r="D760">
        <v>25.815446182379599</v>
      </c>
      <c r="E760">
        <v>0</v>
      </c>
      <c r="F760">
        <v>1763</v>
      </c>
      <c r="G760">
        <v>4</v>
      </c>
      <c r="H760">
        <v>3</v>
      </c>
      <c r="I760">
        <v>1999</v>
      </c>
      <c r="J760">
        <v>0</v>
      </c>
      <c r="K760">
        <v>0</v>
      </c>
      <c r="L760">
        <v>1</v>
      </c>
      <c r="M760">
        <v>2</v>
      </c>
      <c r="N760" t="s">
        <v>26</v>
      </c>
      <c r="O760" t="s">
        <v>27</v>
      </c>
      <c r="P760">
        <v>12.0104318022103</v>
      </c>
      <c r="Q760">
        <v>1.34410822677028</v>
      </c>
      <c r="R760">
        <v>0.59310756120580899</v>
      </c>
      <c r="S760">
        <v>166</v>
      </c>
      <c r="T760">
        <v>26</v>
      </c>
      <c r="U760">
        <v>461.57942009679999</v>
      </c>
      <c r="V760">
        <v>1.13442994895065E-3</v>
      </c>
      <c r="W760">
        <v>1132446.5188390999</v>
      </c>
      <c r="X760" t="s">
        <v>31</v>
      </c>
      <c r="Y760">
        <f>1-905-586-9105</f>
        <v>-10595</v>
      </c>
    </row>
    <row r="761" spans="1:25" x14ac:dyDescent="0.35">
      <c r="A761">
        <v>34.592771335589603</v>
      </c>
      <c r="B761">
        <v>-122.984947492378</v>
      </c>
      <c r="C761" t="s">
        <v>29</v>
      </c>
      <c r="D761">
        <v>19.283746963275799</v>
      </c>
      <c r="E761">
        <v>7</v>
      </c>
      <c r="F761">
        <v>3119</v>
      </c>
      <c r="G761">
        <v>5</v>
      </c>
      <c r="H761">
        <v>3</v>
      </c>
      <c r="I761">
        <v>2014</v>
      </c>
      <c r="J761">
        <v>0</v>
      </c>
      <c r="K761">
        <v>1</v>
      </c>
      <c r="L761">
        <v>1</v>
      </c>
      <c r="M761">
        <v>3</v>
      </c>
      <c r="N761" t="s">
        <v>26</v>
      </c>
      <c r="O761" t="s">
        <v>32</v>
      </c>
      <c r="P761">
        <v>11.6251083918664</v>
      </c>
      <c r="Q761">
        <v>0.89930579723597903</v>
      </c>
      <c r="R761">
        <v>5.4401376904971004</v>
      </c>
      <c r="S761">
        <v>44</v>
      </c>
      <c r="T761">
        <v>41</v>
      </c>
      <c r="U761">
        <v>565.92815627182904</v>
      </c>
      <c r="V761">
        <v>9.6184674575184302E-4</v>
      </c>
      <c r="W761">
        <v>2320344.8072003899</v>
      </c>
      <c r="X761" t="s">
        <v>40</v>
      </c>
      <c r="Y761">
        <f>1-622-770-2918</f>
        <v>-4309</v>
      </c>
    </row>
    <row r="762" spans="1:25" x14ac:dyDescent="0.35">
      <c r="A762">
        <v>33.114061266022297</v>
      </c>
      <c r="B762">
        <v>-117.15861703800201</v>
      </c>
      <c r="C762" t="s">
        <v>34</v>
      </c>
      <c r="D762">
        <v>30.499558073558699</v>
      </c>
      <c r="E762">
        <v>3</v>
      </c>
      <c r="F762">
        <v>1698</v>
      </c>
      <c r="G762">
        <v>5</v>
      </c>
      <c r="H762">
        <v>1</v>
      </c>
      <c r="I762">
        <v>1984</v>
      </c>
      <c r="J762">
        <v>0</v>
      </c>
      <c r="K762">
        <v>1</v>
      </c>
      <c r="L762">
        <v>0</v>
      </c>
      <c r="M762">
        <v>14</v>
      </c>
      <c r="N762" t="s">
        <v>41</v>
      </c>
      <c r="O762" t="s">
        <v>27</v>
      </c>
      <c r="P762">
        <v>13.9877393739679</v>
      </c>
      <c r="Q762">
        <v>1.7842340142720901</v>
      </c>
      <c r="R762">
        <v>9.3908049740546193</v>
      </c>
      <c r="S762">
        <v>37</v>
      </c>
      <c r="T762">
        <v>55</v>
      </c>
      <c r="U762">
        <v>626.88915226272604</v>
      </c>
      <c r="V762">
        <v>8.2449941107184902E-3</v>
      </c>
      <c r="W762">
        <v>1487098.9760346401</v>
      </c>
      <c r="X762" t="s">
        <v>28</v>
      </c>
      <c r="Y762">
        <f>1-202-609-8513</f>
        <v>-9323</v>
      </c>
    </row>
    <row r="763" spans="1:25" x14ac:dyDescent="0.35">
      <c r="A763">
        <v>41.179537069668697</v>
      </c>
      <c r="B763">
        <v>-114.771864085698</v>
      </c>
      <c r="C763" t="s">
        <v>29</v>
      </c>
      <c r="D763">
        <v>42.637809300463097</v>
      </c>
      <c r="E763">
        <v>3</v>
      </c>
      <c r="F763">
        <v>3260</v>
      </c>
      <c r="G763">
        <v>5</v>
      </c>
      <c r="H763">
        <v>2</v>
      </c>
      <c r="I763">
        <v>1960</v>
      </c>
      <c r="J763">
        <v>1</v>
      </c>
      <c r="K763">
        <v>0</v>
      </c>
      <c r="L763">
        <v>0</v>
      </c>
      <c r="M763">
        <v>13</v>
      </c>
      <c r="N763" t="s">
        <v>26</v>
      </c>
      <c r="O763" t="s">
        <v>32</v>
      </c>
      <c r="P763">
        <v>4.7156970698850396</v>
      </c>
      <c r="Q763">
        <v>2.3843943741655602</v>
      </c>
      <c r="R763">
        <v>5.0687425165489604</v>
      </c>
      <c r="S763">
        <v>77</v>
      </c>
      <c r="T763">
        <v>23</v>
      </c>
      <c r="U763">
        <v>717.60394883235097</v>
      </c>
      <c r="V763">
        <v>3.9877300613496902E-3</v>
      </c>
      <c r="W763">
        <v>2562746.4655106198</v>
      </c>
      <c r="X763" t="s">
        <v>31</v>
      </c>
      <c r="Y763">
        <f>1-560-310-7096</f>
        <v>-7965</v>
      </c>
    </row>
    <row r="764" spans="1:25" x14ac:dyDescent="0.35">
      <c r="A764">
        <v>34.682735993120502</v>
      </c>
      <c r="B764">
        <v>-123.372224178533</v>
      </c>
      <c r="C764" t="s">
        <v>29</v>
      </c>
      <c r="D764">
        <v>17.791945984346899</v>
      </c>
      <c r="E764">
        <v>9</v>
      </c>
      <c r="F764">
        <v>2202</v>
      </c>
      <c r="G764">
        <v>1</v>
      </c>
      <c r="H764">
        <v>3</v>
      </c>
      <c r="I764">
        <v>2012</v>
      </c>
      <c r="J764">
        <v>1</v>
      </c>
      <c r="K764">
        <v>1</v>
      </c>
      <c r="L764">
        <v>1</v>
      </c>
      <c r="M764">
        <v>3</v>
      </c>
      <c r="N764" t="s">
        <v>41</v>
      </c>
      <c r="O764" t="s">
        <v>30</v>
      </c>
      <c r="P764">
        <v>7.3435808195332903</v>
      </c>
      <c r="Q764">
        <v>0.60767347216657897</v>
      </c>
      <c r="R764">
        <v>0.38400822744677698</v>
      </c>
      <c r="S764">
        <v>20</v>
      </c>
      <c r="T764">
        <v>47</v>
      </c>
      <c r="U764">
        <v>864.17809013091596</v>
      </c>
      <c r="V764">
        <v>1.3623978201634801E-3</v>
      </c>
      <c r="W764">
        <v>2188086.5747223301</v>
      </c>
      <c r="X764" t="s">
        <v>42</v>
      </c>
      <c r="Y764">
        <f>1-443-887-6588</f>
        <v>-7917</v>
      </c>
    </row>
    <row r="765" spans="1:25" x14ac:dyDescent="0.35">
      <c r="A765">
        <v>37.6061819405327</v>
      </c>
      <c r="B765">
        <v>-119.554212734948</v>
      </c>
      <c r="C765" t="s">
        <v>29</v>
      </c>
      <c r="D765">
        <v>9.7628418691600896</v>
      </c>
      <c r="E765">
        <v>0</v>
      </c>
      <c r="F765">
        <v>4261</v>
      </c>
      <c r="G765">
        <v>5</v>
      </c>
      <c r="H765">
        <v>1</v>
      </c>
      <c r="I765">
        <v>1998</v>
      </c>
      <c r="J765">
        <v>0</v>
      </c>
      <c r="K765">
        <v>1</v>
      </c>
      <c r="L765">
        <v>1</v>
      </c>
      <c r="M765">
        <v>8</v>
      </c>
      <c r="N765" t="s">
        <v>37</v>
      </c>
      <c r="O765" t="s">
        <v>32</v>
      </c>
      <c r="P765">
        <v>8.6627941053360207</v>
      </c>
      <c r="Q765">
        <v>1.08147741541269</v>
      </c>
      <c r="R765">
        <v>9.0542585729082994</v>
      </c>
      <c r="S765">
        <v>129</v>
      </c>
      <c r="T765">
        <v>38</v>
      </c>
      <c r="U765">
        <v>429.06639309102002</v>
      </c>
      <c r="V765">
        <v>1.8774935461159301E-3</v>
      </c>
      <c r="W765">
        <v>2201079.46692213</v>
      </c>
      <c r="X765" t="s">
        <v>31</v>
      </c>
      <c r="Y765">
        <f>1-954-166-7068</f>
        <v>-8187</v>
      </c>
    </row>
    <row r="766" spans="1:25" x14ac:dyDescent="0.35">
      <c r="A766">
        <v>36.475584898086701</v>
      </c>
      <c r="B766">
        <v>-115.52941865954701</v>
      </c>
      <c r="C766" t="s">
        <v>29</v>
      </c>
      <c r="D766">
        <v>10.0652962591302</v>
      </c>
      <c r="E766">
        <v>8</v>
      </c>
      <c r="F766">
        <v>2257</v>
      </c>
      <c r="G766">
        <v>3</v>
      </c>
      <c r="H766">
        <v>1</v>
      </c>
      <c r="I766">
        <v>1957</v>
      </c>
      <c r="J766">
        <v>0</v>
      </c>
      <c r="K766">
        <v>0</v>
      </c>
      <c r="L766">
        <v>1</v>
      </c>
      <c r="M766">
        <v>8</v>
      </c>
      <c r="N766" t="s">
        <v>26</v>
      </c>
      <c r="O766" t="s">
        <v>32</v>
      </c>
      <c r="P766">
        <v>14.9362250191706</v>
      </c>
      <c r="Q766">
        <v>1.8701746146635501</v>
      </c>
      <c r="R766">
        <v>9.2685481401967102</v>
      </c>
      <c r="S766">
        <v>50</v>
      </c>
      <c r="T766">
        <v>65</v>
      </c>
      <c r="U766">
        <v>223.293896699768</v>
      </c>
      <c r="V766">
        <v>3.5445281346920599E-3</v>
      </c>
      <c r="W766">
        <v>647748.56106312096</v>
      </c>
      <c r="X766" t="s">
        <v>33</v>
      </c>
      <c r="Y766">
        <f>1-763-134-8157</f>
        <v>-9053</v>
      </c>
    </row>
    <row r="767" spans="1:25" x14ac:dyDescent="0.35">
      <c r="A767">
        <v>41.716553581738097</v>
      </c>
      <c r="B767">
        <v>-115.864517427243</v>
      </c>
      <c r="C767" t="s">
        <v>29</v>
      </c>
      <c r="D767">
        <v>18.310982224849301</v>
      </c>
      <c r="E767">
        <v>5</v>
      </c>
      <c r="F767">
        <v>4222</v>
      </c>
      <c r="G767">
        <v>5</v>
      </c>
      <c r="H767">
        <v>3</v>
      </c>
      <c r="I767">
        <v>1983</v>
      </c>
      <c r="J767">
        <v>1</v>
      </c>
      <c r="K767">
        <v>1</v>
      </c>
      <c r="L767">
        <v>0</v>
      </c>
      <c r="M767">
        <v>5</v>
      </c>
      <c r="N767" t="s">
        <v>37</v>
      </c>
      <c r="O767" t="s">
        <v>32</v>
      </c>
      <c r="P767">
        <v>4.2001558314356098</v>
      </c>
      <c r="Q767">
        <v>2.0141884596160602</v>
      </c>
      <c r="R767">
        <v>0.12772611030874001</v>
      </c>
      <c r="S767">
        <v>97</v>
      </c>
      <c r="T767">
        <v>65</v>
      </c>
      <c r="U767">
        <v>344.90198425228601</v>
      </c>
      <c r="V767">
        <v>1.1842728564661199E-3</v>
      </c>
      <c r="W767">
        <v>1844894.2928166499</v>
      </c>
      <c r="X767" t="s">
        <v>40</v>
      </c>
      <c r="Y767">
        <f>1-588-859-9547</f>
        <v>-10993</v>
      </c>
    </row>
    <row r="768" spans="1:25" x14ac:dyDescent="0.35">
      <c r="A768">
        <v>34.558699260861303</v>
      </c>
      <c r="B768">
        <v>-115.069482039511</v>
      </c>
      <c r="C768" t="s">
        <v>29</v>
      </c>
      <c r="D768">
        <v>30.534527691475201</v>
      </c>
      <c r="E768">
        <v>0</v>
      </c>
      <c r="F768">
        <v>4791</v>
      </c>
      <c r="G768">
        <v>4</v>
      </c>
      <c r="H768">
        <v>2</v>
      </c>
      <c r="I768">
        <v>1987</v>
      </c>
      <c r="J768">
        <v>1</v>
      </c>
      <c r="K768">
        <v>1</v>
      </c>
      <c r="L768">
        <v>1</v>
      </c>
      <c r="M768">
        <v>14</v>
      </c>
      <c r="N768" t="s">
        <v>35</v>
      </c>
      <c r="O768" t="s">
        <v>32</v>
      </c>
      <c r="P768">
        <v>14.7350272237677</v>
      </c>
      <c r="Q768">
        <v>1.59552886343638</v>
      </c>
      <c r="R768">
        <v>8.2003246082414805</v>
      </c>
      <c r="S768">
        <v>54</v>
      </c>
      <c r="T768">
        <v>44</v>
      </c>
      <c r="U768">
        <v>573.06571693700096</v>
      </c>
      <c r="V768">
        <v>2.9221456898351002E-3</v>
      </c>
      <c r="W768">
        <v>3257925.3862773501</v>
      </c>
      <c r="X768" t="s">
        <v>33</v>
      </c>
      <c r="Y768">
        <f>1-615-964-3459</f>
        <v>-5037</v>
      </c>
    </row>
    <row r="769" spans="1:25" x14ac:dyDescent="0.35">
      <c r="A769">
        <v>32.500056890388898</v>
      </c>
      <c r="B769">
        <v>-115.705254422118</v>
      </c>
      <c r="C769" t="s">
        <v>34</v>
      </c>
      <c r="D769">
        <v>24.594856138832501</v>
      </c>
      <c r="E769">
        <v>7</v>
      </c>
      <c r="F769">
        <v>1548</v>
      </c>
      <c r="G769">
        <v>2</v>
      </c>
      <c r="H769">
        <v>3</v>
      </c>
      <c r="I769">
        <v>1988</v>
      </c>
      <c r="J769">
        <v>0</v>
      </c>
      <c r="K769">
        <v>1</v>
      </c>
      <c r="L769">
        <v>1</v>
      </c>
      <c r="M769">
        <v>12</v>
      </c>
      <c r="N769" t="s">
        <v>35</v>
      </c>
      <c r="O769" t="s">
        <v>30</v>
      </c>
      <c r="P769">
        <v>7.3854378552498803</v>
      </c>
      <c r="Q769">
        <v>2.29452551545273</v>
      </c>
      <c r="R769">
        <v>6.5303246589077002</v>
      </c>
      <c r="S769">
        <v>153</v>
      </c>
      <c r="T769">
        <v>70</v>
      </c>
      <c r="U769">
        <v>315.84653452788399</v>
      </c>
      <c r="V769">
        <v>7.7519379844961196E-3</v>
      </c>
      <c r="W769">
        <v>699846.49570202397</v>
      </c>
      <c r="X769" t="s">
        <v>36</v>
      </c>
      <c r="Y769">
        <f>1-895-364-8862</f>
        <v>-10120</v>
      </c>
    </row>
    <row r="770" spans="1:25" x14ac:dyDescent="0.35">
      <c r="A770">
        <v>40.1248765989682</v>
      </c>
      <c r="B770">
        <v>-114.414136288858</v>
      </c>
      <c r="C770" t="s">
        <v>25</v>
      </c>
      <c r="D770">
        <v>26.361510252051399</v>
      </c>
      <c r="E770">
        <v>4</v>
      </c>
      <c r="F770">
        <v>1662</v>
      </c>
      <c r="G770">
        <v>4</v>
      </c>
      <c r="H770">
        <v>2</v>
      </c>
      <c r="I770">
        <v>2015</v>
      </c>
      <c r="J770">
        <v>1</v>
      </c>
      <c r="K770">
        <v>1</v>
      </c>
      <c r="L770">
        <v>0</v>
      </c>
      <c r="M770">
        <v>13</v>
      </c>
      <c r="N770" t="s">
        <v>37</v>
      </c>
      <c r="O770" t="s">
        <v>30</v>
      </c>
      <c r="P770">
        <v>14.0880195569333</v>
      </c>
      <c r="Q770">
        <v>0.59954404004161199</v>
      </c>
      <c r="R770">
        <v>0.54603860546666605</v>
      </c>
      <c r="S770">
        <v>151</v>
      </c>
      <c r="T770">
        <v>71</v>
      </c>
      <c r="U770">
        <v>264.62911027475201</v>
      </c>
      <c r="V770">
        <v>7.8219013237063699E-3</v>
      </c>
      <c r="W770">
        <v>1014362.19931633</v>
      </c>
      <c r="X770" t="s">
        <v>43</v>
      </c>
      <c r="Y770">
        <f>1-558-774-1730</f>
        <v>-3061</v>
      </c>
    </row>
    <row r="771" spans="1:25" x14ac:dyDescent="0.35">
      <c r="A771">
        <v>39.490800733838597</v>
      </c>
      <c r="B771">
        <v>-117.441876144299</v>
      </c>
      <c r="C771" t="s">
        <v>34</v>
      </c>
      <c r="D771">
        <v>34.713605037505403</v>
      </c>
      <c r="E771">
        <v>9</v>
      </c>
      <c r="F771">
        <v>2802</v>
      </c>
      <c r="G771">
        <v>2</v>
      </c>
      <c r="H771">
        <v>2</v>
      </c>
      <c r="I771">
        <v>2014</v>
      </c>
      <c r="J771">
        <v>0</v>
      </c>
      <c r="K771">
        <v>0</v>
      </c>
      <c r="L771">
        <v>1</v>
      </c>
      <c r="M771">
        <v>4</v>
      </c>
      <c r="N771" t="s">
        <v>35</v>
      </c>
      <c r="O771" t="s">
        <v>30</v>
      </c>
      <c r="P771">
        <v>9.0553457467933907</v>
      </c>
      <c r="Q771">
        <v>2.3239182928784099</v>
      </c>
      <c r="R771">
        <v>1.6768958379751401E-2</v>
      </c>
      <c r="S771">
        <v>122</v>
      </c>
      <c r="T771">
        <v>37</v>
      </c>
      <c r="U771">
        <v>337.076674741266</v>
      </c>
      <c r="V771">
        <v>1.4275517487508901E-3</v>
      </c>
      <c r="W771">
        <v>1195443.6619462201</v>
      </c>
      <c r="X771" t="s">
        <v>43</v>
      </c>
      <c r="Y771">
        <f>1-473-608-3114</f>
        <v>-4194</v>
      </c>
    </row>
    <row r="772" spans="1:25" x14ac:dyDescent="0.35">
      <c r="A772">
        <v>34.744591650208299</v>
      </c>
      <c r="B772">
        <v>-119.077041756227</v>
      </c>
      <c r="C772" t="s">
        <v>29</v>
      </c>
      <c r="D772">
        <v>5.9837295960706403</v>
      </c>
      <c r="E772">
        <v>7</v>
      </c>
      <c r="F772">
        <v>3675</v>
      </c>
      <c r="G772">
        <v>3</v>
      </c>
      <c r="H772">
        <v>2</v>
      </c>
      <c r="I772">
        <v>2013</v>
      </c>
      <c r="J772">
        <v>1</v>
      </c>
      <c r="K772">
        <v>1</v>
      </c>
      <c r="L772">
        <v>1</v>
      </c>
      <c r="M772">
        <v>12</v>
      </c>
      <c r="N772" t="s">
        <v>37</v>
      </c>
      <c r="O772" t="s">
        <v>27</v>
      </c>
      <c r="P772">
        <v>6.1994775933454198</v>
      </c>
      <c r="Q772">
        <v>2.21774798962872</v>
      </c>
      <c r="R772">
        <v>3.90590016962132</v>
      </c>
      <c r="S772">
        <v>53</v>
      </c>
      <c r="T772">
        <v>60</v>
      </c>
      <c r="U772">
        <v>560.50110400438598</v>
      </c>
      <c r="V772">
        <v>3.2653061224489702E-3</v>
      </c>
      <c r="W772">
        <v>2446734.22807087</v>
      </c>
      <c r="X772" t="s">
        <v>42</v>
      </c>
      <c r="Y772">
        <f>1-329-775-9225</f>
        <v>-10328</v>
      </c>
    </row>
    <row r="773" spans="1:25" x14ac:dyDescent="0.35">
      <c r="A773">
        <v>40.408048600605099</v>
      </c>
      <c r="B773">
        <v>-118.01082298554</v>
      </c>
      <c r="C773" t="s">
        <v>25</v>
      </c>
      <c r="D773">
        <v>38.177614750303</v>
      </c>
      <c r="E773">
        <v>2</v>
      </c>
      <c r="F773">
        <v>4622</v>
      </c>
      <c r="G773">
        <v>1</v>
      </c>
      <c r="H773">
        <v>3</v>
      </c>
      <c r="I773">
        <v>1979</v>
      </c>
      <c r="J773">
        <v>0</v>
      </c>
      <c r="K773">
        <v>0</v>
      </c>
      <c r="L773">
        <v>1</v>
      </c>
      <c r="M773">
        <v>9</v>
      </c>
      <c r="N773" t="s">
        <v>41</v>
      </c>
      <c r="O773" t="s">
        <v>27</v>
      </c>
      <c r="P773">
        <v>11.9302218691316</v>
      </c>
      <c r="Q773">
        <v>1.9155984447147101</v>
      </c>
      <c r="R773">
        <v>1.48998925793617</v>
      </c>
      <c r="S773">
        <v>78</v>
      </c>
      <c r="T773">
        <v>39</v>
      </c>
      <c r="U773">
        <v>326.43590264181302</v>
      </c>
      <c r="V773">
        <v>1.94720900043271E-3</v>
      </c>
      <c r="W773">
        <v>1655789.2268966699</v>
      </c>
      <c r="X773" t="s">
        <v>44</v>
      </c>
      <c r="Y773">
        <f>1-948-890-4872</f>
        <v>-6709</v>
      </c>
    </row>
    <row r="774" spans="1:25" x14ac:dyDescent="0.35">
      <c r="A774">
        <v>38.865541032524803</v>
      </c>
      <c r="B774">
        <v>-120.602362784666</v>
      </c>
      <c r="C774" t="s">
        <v>29</v>
      </c>
      <c r="D774">
        <v>27.141800033947</v>
      </c>
      <c r="E774">
        <v>2</v>
      </c>
      <c r="F774">
        <v>1901</v>
      </c>
      <c r="G774">
        <v>4</v>
      </c>
      <c r="H774">
        <v>1</v>
      </c>
      <c r="I774">
        <v>1953</v>
      </c>
      <c r="J774">
        <v>1</v>
      </c>
      <c r="K774">
        <v>0</v>
      </c>
      <c r="L774">
        <v>1</v>
      </c>
      <c r="M774">
        <v>8</v>
      </c>
      <c r="N774" t="s">
        <v>37</v>
      </c>
      <c r="O774" t="s">
        <v>27</v>
      </c>
      <c r="P774">
        <v>8.4312221279555697</v>
      </c>
      <c r="Q774">
        <v>1.5495991841719601</v>
      </c>
      <c r="R774">
        <v>0.50438431963299402</v>
      </c>
      <c r="S774">
        <v>144</v>
      </c>
      <c r="T774">
        <v>61</v>
      </c>
      <c r="U774">
        <v>275.84885739293901</v>
      </c>
      <c r="V774">
        <v>4.2083114150447097E-3</v>
      </c>
      <c r="W774">
        <v>805901.19504275196</v>
      </c>
      <c r="X774" t="s">
        <v>43</v>
      </c>
      <c r="Y774">
        <f>1-842-386-8929</f>
        <v>-10156</v>
      </c>
    </row>
    <row r="775" spans="1:25" x14ac:dyDescent="0.35">
      <c r="A775">
        <v>37.222007359485502</v>
      </c>
      <c r="B775">
        <v>-114.93891696135699</v>
      </c>
      <c r="C775" t="s">
        <v>25</v>
      </c>
      <c r="D775">
        <v>20.496140967119299</v>
      </c>
      <c r="E775">
        <v>2</v>
      </c>
      <c r="F775">
        <v>1254</v>
      </c>
      <c r="G775">
        <v>3</v>
      </c>
      <c r="H775">
        <v>3</v>
      </c>
      <c r="I775">
        <v>1961</v>
      </c>
      <c r="J775">
        <v>1</v>
      </c>
      <c r="K775">
        <v>1</v>
      </c>
      <c r="L775">
        <v>1</v>
      </c>
      <c r="M775">
        <v>14</v>
      </c>
      <c r="N775" t="s">
        <v>37</v>
      </c>
      <c r="O775" t="s">
        <v>32</v>
      </c>
      <c r="P775">
        <v>7.9761159467562699</v>
      </c>
      <c r="Q775">
        <v>2.2074285210750899</v>
      </c>
      <c r="R775">
        <v>6.1328885770706298</v>
      </c>
      <c r="S775">
        <v>83</v>
      </c>
      <c r="T775">
        <v>33</v>
      </c>
      <c r="U775">
        <v>979.28782153511497</v>
      </c>
      <c r="V775">
        <v>1.1164274322169E-2</v>
      </c>
      <c r="W775">
        <v>1662743.06254014</v>
      </c>
      <c r="X775" t="s">
        <v>28</v>
      </c>
      <c r="Y775">
        <f>1-330-242-3691</f>
        <v>-4262</v>
      </c>
    </row>
    <row r="776" spans="1:25" x14ac:dyDescent="0.35">
      <c r="A776">
        <v>38.937423562094601</v>
      </c>
      <c r="B776">
        <v>-118.82984658157299</v>
      </c>
      <c r="C776" t="s">
        <v>34</v>
      </c>
      <c r="D776">
        <v>1.11115948586923</v>
      </c>
      <c r="E776">
        <v>9</v>
      </c>
      <c r="F776">
        <v>1782</v>
      </c>
      <c r="G776">
        <v>2</v>
      </c>
      <c r="H776">
        <v>1</v>
      </c>
      <c r="I776">
        <v>1990</v>
      </c>
      <c r="J776">
        <v>0</v>
      </c>
      <c r="K776">
        <v>0</v>
      </c>
      <c r="L776">
        <v>1</v>
      </c>
      <c r="M776">
        <v>13</v>
      </c>
      <c r="N776" t="s">
        <v>26</v>
      </c>
      <c r="O776" t="s">
        <v>27</v>
      </c>
      <c r="P776">
        <v>6.8932547802305697</v>
      </c>
      <c r="Q776">
        <v>1.6581409314483999</v>
      </c>
      <c r="R776">
        <v>6.8793995384274202</v>
      </c>
      <c r="S776">
        <v>53</v>
      </c>
      <c r="T776">
        <v>35</v>
      </c>
      <c r="U776">
        <v>211.66177992330901</v>
      </c>
      <c r="V776">
        <v>7.2951739618406196E-3</v>
      </c>
      <c r="W776">
        <v>476610.81351010298</v>
      </c>
      <c r="X776" t="s">
        <v>42</v>
      </c>
      <c r="Y776">
        <f>1-363-291-9687</f>
        <v>-10340</v>
      </c>
    </row>
    <row r="777" spans="1:25" x14ac:dyDescent="0.35">
      <c r="A777">
        <v>41.9659994079272</v>
      </c>
      <c r="B777">
        <v>-119.94599724503</v>
      </c>
      <c r="C777" t="s">
        <v>29</v>
      </c>
      <c r="D777">
        <v>24.1981091195236</v>
      </c>
      <c r="E777">
        <v>3</v>
      </c>
      <c r="F777">
        <v>2672</v>
      </c>
      <c r="G777">
        <v>3</v>
      </c>
      <c r="H777">
        <v>3</v>
      </c>
      <c r="I777">
        <v>1983</v>
      </c>
      <c r="J777">
        <v>1</v>
      </c>
      <c r="K777">
        <v>1</v>
      </c>
      <c r="L777">
        <v>0</v>
      </c>
      <c r="M777">
        <v>2</v>
      </c>
      <c r="N777" t="s">
        <v>41</v>
      </c>
      <c r="O777" t="s">
        <v>30</v>
      </c>
      <c r="P777">
        <v>9.3607680491481506</v>
      </c>
      <c r="Q777">
        <v>2.0453612111220001</v>
      </c>
      <c r="R777">
        <v>9.0941786434814809</v>
      </c>
      <c r="S777">
        <v>136</v>
      </c>
      <c r="T777">
        <v>66</v>
      </c>
      <c r="U777">
        <v>892.57323703050497</v>
      </c>
      <c r="V777">
        <v>7.4850299401197598E-4</v>
      </c>
      <c r="W777">
        <v>2697673.0113454298</v>
      </c>
      <c r="X777" t="s">
        <v>38</v>
      </c>
      <c r="Y777">
        <f>1-819-438-5084</f>
        <v>-6340</v>
      </c>
    </row>
    <row r="778" spans="1:25" x14ac:dyDescent="0.35">
      <c r="A778">
        <v>34.268557987000499</v>
      </c>
      <c r="B778">
        <v>-123.082275487896</v>
      </c>
      <c r="C778" t="s">
        <v>25</v>
      </c>
      <c r="D778">
        <v>17.5339356607874</v>
      </c>
      <c r="E778">
        <v>9</v>
      </c>
      <c r="F778">
        <v>4272</v>
      </c>
      <c r="G778">
        <v>1</v>
      </c>
      <c r="H778">
        <v>2</v>
      </c>
      <c r="I778">
        <v>1954</v>
      </c>
      <c r="J778">
        <v>1</v>
      </c>
      <c r="K778">
        <v>0</v>
      </c>
      <c r="L778">
        <v>0</v>
      </c>
      <c r="M778">
        <v>13</v>
      </c>
      <c r="N778" t="s">
        <v>35</v>
      </c>
      <c r="O778" t="s">
        <v>32</v>
      </c>
      <c r="P778">
        <v>10.641441729784001</v>
      </c>
      <c r="Q778">
        <v>2.0705127978950602</v>
      </c>
      <c r="R778">
        <v>1.58336980858849</v>
      </c>
      <c r="S778">
        <v>158</v>
      </c>
      <c r="T778">
        <v>46</v>
      </c>
      <c r="U778">
        <v>358.17774810443302</v>
      </c>
      <c r="V778">
        <v>3.0430711610486801E-3</v>
      </c>
      <c r="W778">
        <v>1536102.2850515901</v>
      </c>
      <c r="X778" t="s">
        <v>43</v>
      </c>
      <c r="Y778">
        <f>1-220-409-1117</f>
        <v>-1745</v>
      </c>
    </row>
    <row r="779" spans="1:25" x14ac:dyDescent="0.35">
      <c r="A779">
        <v>37.9491932269176</v>
      </c>
      <c r="B779">
        <v>-123.678923150627</v>
      </c>
      <c r="C779" t="s">
        <v>25</v>
      </c>
      <c r="D779">
        <v>8.96248382350886</v>
      </c>
      <c r="E779">
        <v>2</v>
      </c>
      <c r="F779">
        <v>2715</v>
      </c>
      <c r="G779">
        <v>5</v>
      </c>
      <c r="H779">
        <v>3</v>
      </c>
      <c r="I779">
        <v>1980</v>
      </c>
      <c r="J779">
        <v>0</v>
      </c>
      <c r="K779">
        <v>0</v>
      </c>
      <c r="L779">
        <v>0</v>
      </c>
      <c r="M779">
        <v>7</v>
      </c>
      <c r="N779" t="s">
        <v>37</v>
      </c>
      <c r="O779" t="s">
        <v>32</v>
      </c>
      <c r="P779">
        <v>14.9874112940253</v>
      </c>
      <c r="Q779">
        <v>1.0906004156743501</v>
      </c>
      <c r="R779">
        <v>1.98946339535234</v>
      </c>
      <c r="S779">
        <v>151</v>
      </c>
      <c r="T779">
        <v>35</v>
      </c>
      <c r="U779">
        <v>602.53844306397605</v>
      </c>
      <c r="V779">
        <v>2.5782688766114101E-3</v>
      </c>
      <c r="W779">
        <v>2030052.83370172</v>
      </c>
      <c r="X779" t="s">
        <v>43</v>
      </c>
      <c r="Y779">
        <f>1-585-944-2513</f>
        <v>-4041</v>
      </c>
    </row>
    <row r="780" spans="1:25" x14ac:dyDescent="0.35">
      <c r="A780">
        <v>35.004481320817703</v>
      </c>
      <c r="B780">
        <v>-124.26897081966899</v>
      </c>
      <c r="C780" t="s">
        <v>34</v>
      </c>
      <c r="D780">
        <v>36.935430044416101</v>
      </c>
      <c r="E780">
        <v>9</v>
      </c>
      <c r="F780">
        <v>1584</v>
      </c>
      <c r="G780">
        <v>4</v>
      </c>
      <c r="H780">
        <v>1</v>
      </c>
      <c r="I780">
        <v>2010</v>
      </c>
      <c r="J780">
        <v>1</v>
      </c>
      <c r="K780">
        <v>0</v>
      </c>
      <c r="L780">
        <v>0</v>
      </c>
      <c r="M780">
        <v>8</v>
      </c>
      <c r="N780" t="s">
        <v>37</v>
      </c>
      <c r="O780" t="s">
        <v>32</v>
      </c>
      <c r="P780">
        <v>5.1535381428620504</v>
      </c>
      <c r="Q780">
        <v>0.50178939596081995</v>
      </c>
      <c r="R780">
        <v>5.7931071209119001</v>
      </c>
      <c r="S780">
        <v>78</v>
      </c>
      <c r="T780">
        <v>56</v>
      </c>
      <c r="U780">
        <v>947.42584239525399</v>
      </c>
      <c r="V780">
        <v>5.0505050505050501E-3</v>
      </c>
      <c r="W780">
        <v>1774539.4697716599</v>
      </c>
      <c r="X780" t="s">
        <v>33</v>
      </c>
      <c r="Y780">
        <f>1-356-506-5404</f>
        <v>-6265</v>
      </c>
    </row>
    <row r="781" spans="1:25" x14ac:dyDescent="0.35">
      <c r="A781">
        <v>34.264901181231899</v>
      </c>
      <c r="B781">
        <v>-116.01797351162701</v>
      </c>
      <c r="C781" t="s">
        <v>25</v>
      </c>
      <c r="D781">
        <v>13.9596775078374</v>
      </c>
      <c r="E781">
        <v>7</v>
      </c>
      <c r="F781">
        <v>3666</v>
      </c>
      <c r="G781">
        <v>4</v>
      </c>
      <c r="H781">
        <v>3</v>
      </c>
      <c r="I781">
        <v>1984</v>
      </c>
      <c r="J781">
        <v>1</v>
      </c>
      <c r="K781">
        <v>0</v>
      </c>
      <c r="L781">
        <v>1</v>
      </c>
      <c r="M781">
        <v>11</v>
      </c>
      <c r="N781" t="s">
        <v>41</v>
      </c>
      <c r="O781" t="s">
        <v>30</v>
      </c>
      <c r="P781">
        <v>13.6461079367699</v>
      </c>
      <c r="Q781">
        <v>1.8927140062396799</v>
      </c>
      <c r="R781">
        <v>8.7218716317910197</v>
      </c>
      <c r="S781">
        <v>69</v>
      </c>
      <c r="T781">
        <v>70</v>
      </c>
      <c r="U781">
        <v>388.165189638698</v>
      </c>
      <c r="V781">
        <v>3.00054555373704E-3</v>
      </c>
      <c r="W781">
        <v>1840478.6174091401</v>
      </c>
      <c r="X781" t="s">
        <v>43</v>
      </c>
      <c r="Y781">
        <f>1-782-869-1966</f>
        <v>-3616</v>
      </c>
    </row>
    <row r="782" spans="1:25" x14ac:dyDescent="0.35">
      <c r="A782">
        <v>39.990114252169498</v>
      </c>
      <c r="B782">
        <v>-122.16945321961001</v>
      </c>
      <c r="C782" t="s">
        <v>34</v>
      </c>
      <c r="D782">
        <v>1.88557516285604</v>
      </c>
      <c r="E782">
        <v>7</v>
      </c>
      <c r="F782">
        <v>2436</v>
      </c>
      <c r="G782">
        <v>2</v>
      </c>
      <c r="H782">
        <v>3</v>
      </c>
      <c r="I782">
        <v>2008</v>
      </c>
      <c r="J782">
        <v>1</v>
      </c>
      <c r="K782">
        <v>1</v>
      </c>
      <c r="L782">
        <v>1</v>
      </c>
      <c r="M782">
        <v>9</v>
      </c>
      <c r="N782" t="s">
        <v>35</v>
      </c>
      <c r="O782" t="s">
        <v>30</v>
      </c>
      <c r="P782">
        <v>10.106764676049099</v>
      </c>
      <c r="Q782">
        <v>1.6450129091262899</v>
      </c>
      <c r="R782">
        <v>3.5592721406874199</v>
      </c>
      <c r="S782">
        <v>97</v>
      </c>
      <c r="T782">
        <v>29</v>
      </c>
      <c r="U782">
        <v>789.44585603643804</v>
      </c>
      <c r="V782">
        <v>3.6945812807881698E-3</v>
      </c>
      <c r="W782">
        <v>2368296.8504314902</v>
      </c>
      <c r="X782" t="s">
        <v>33</v>
      </c>
      <c r="Y782">
        <f>1-262-722-2705</f>
        <v>-3688</v>
      </c>
    </row>
    <row r="783" spans="1:25" x14ac:dyDescent="0.35">
      <c r="A783">
        <v>33.017158181918099</v>
      </c>
      <c r="B783">
        <v>-117.004547709406</v>
      </c>
      <c r="C783" t="s">
        <v>29</v>
      </c>
      <c r="D783">
        <v>36.376382968132802</v>
      </c>
      <c r="E783">
        <v>5</v>
      </c>
      <c r="F783">
        <v>1111</v>
      </c>
      <c r="G783">
        <v>3</v>
      </c>
      <c r="H783">
        <v>3</v>
      </c>
      <c r="I783">
        <v>2010</v>
      </c>
      <c r="J783">
        <v>0</v>
      </c>
      <c r="K783">
        <v>0</v>
      </c>
      <c r="L783">
        <v>0</v>
      </c>
      <c r="M783">
        <v>13</v>
      </c>
      <c r="N783" t="s">
        <v>26</v>
      </c>
      <c r="O783" t="s">
        <v>27</v>
      </c>
      <c r="P783">
        <v>12.943613141582899</v>
      </c>
      <c r="Q783">
        <v>0.98318667412382399</v>
      </c>
      <c r="R783">
        <v>3.1105822703597301</v>
      </c>
      <c r="S783">
        <v>88</v>
      </c>
      <c r="T783">
        <v>55</v>
      </c>
      <c r="U783">
        <v>628.36197033449298</v>
      </c>
      <c r="V783">
        <v>1.1701170117011699E-2</v>
      </c>
      <c r="W783">
        <v>1077264.9583348001</v>
      </c>
      <c r="X783" t="s">
        <v>42</v>
      </c>
      <c r="Y783">
        <f>1-547-164-7564</f>
        <v>-8274</v>
      </c>
    </row>
    <row r="784" spans="1:25" x14ac:dyDescent="0.35">
      <c r="A784">
        <v>37.908891650994498</v>
      </c>
      <c r="B784">
        <v>-119.06660361599999</v>
      </c>
      <c r="C784" t="s">
        <v>25</v>
      </c>
      <c r="D784">
        <v>20.337421892942</v>
      </c>
      <c r="E784">
        <v>7</v>
      </c>
      <c r="F784">
        <v>3408</v>
      </c>
      <c r="G784">
        <v>3</v>
      </c>
      <c r="H784">
        <v>2</v>
      </c>
      <c r="I784">
        <v>2001</v>
      </c>
      <c r="J784">
        <v>1</v>
      </c>
      <c r="K784">
        <v>1</v>
      </c>
      <c r="L784">
        <v>1</v>
      </c>
      <c r="M784">
        <v>10</v>
      </c>
      <c r="N784" t="s">
        <v>41</v>
      </c>
      <c r="O784" t="s">
        <v>30</v>
      </c>
      <c r="P784">
        <v>10.269920334759</v>
      </c>
      <c r="Q784">
        <v>1.6670781836459201</v>
      </c>
      <c r="R784">
        <v>5.7872640812715703</v>
      </c>
      <c r="S784">
        <v>140</v>
      </c>
      <c r="T784">
        <v>43</v>
      </c>
      <c r="U784">
        <v>713.28636763229099</v>
      </c>
      <c r="V784">
        <v>2.9342723004694799E-3</v>
      </c>
      <c r="W784">
        <v>2703766.2818121598</v>
      </c>
      <c r="X784" t="s">
        <v>31</v>
      </c>
      <c r="Y784">
        <f>1-779-188-2611</f>
        <v>-3577</v>
      </c>
    </row>
    <row r="785" spans="1:25" x14ac:dyDescent="0.35">
      <c r="A785">
        <v>36.868265708340999</v>
      </c>
      <c r="B785">
        <v>-122.87992992504699</v>
      </c>
      <c r="C785" t="s">
        <v>29</v>
      </c>
      <c r="D785">
        <v>2.8276350386171001</v>
      </c>
      <c r="E785">
        <v>1</v>
      </c>
      <c r="F785">
        <v>1729</v>
      </c>
      <c r="G785">
        <v>3</v>
      </c>
      <c r="H785">
        <v>1</v>
      </c>
      <c r="I785">
        <v>2001</v>
      </c>
      <c r="J785">
        <v>1</v>
      </c>
      <c r="K785">
        <v>0</v>
      </c>
      <c r="L785">
        <v>0</v>
      </c>
      <c r="M785">
        <v>3</v>
      </c>
      <c r="N785" t="s">
        <v>37</v>
      </c>
      <c r="O785" t="s">
        <v>32</v>
      </c>
      <c r="P785">
        <v>14.5151499089458</v>
      </c>
      <c r="Q785">
        <v>2.3172696457691</v>
      </c>
      <c r="R785">
        <v>0.93562000168922099</v>
      </c>
      <c r="S785">
        <v>26</v>
      </c>
      <c r="T785">
        <v>72</v>
      </c>
      <c r="U785">
        <v>568.69982818779397</v>
      </c>
      <c r="V785">
        <v>1.73510699826489E-3</v>
      </c>
      <c r="W785">
        <v>1280736.06874731</v>
      </c>
      <c r="X785" t="s">
        <v>40</v>
      </c>
      <c r="Y785">
        <f>1-825-386-5598</f>
        <v>-6808</v>
      </c>
    </row>
    <row r="786" spans="1:25" x14ac:dyDescent="0.35">
      <c r="A786">
        <v>40.449171299636198</v>
      </c>
      <c r="B786">
        <v>-123.09135155536499</v>
      </c>
      <c r="C786" t="s">
        <v>29</v>
      </c>
      <c r="D786">
        <v>36.460185184961801</v>
      </c>
      <c r="E786">
        <v>6</v>
      </c>
      <c r="F786">
        <v>4146</v>
      </c>
      <c r="G786">
        <v>4</v>
      </c>
      <c r="H786">
        <v>2</v>
      </c>
      <c r="I786">
        <v>1983</v>
      </c>
      <c r="J786">
        <v>0</v>
      </c>
      <c r="K786">
        <v>1</v>
      </c>
      <c r="L786">
        <v>1</v>
      </c>
      <c r="M786">
        <v>9</v>
      </c>
      <c r="N786" t="s">
        <v>41</v>
      </c>
      <c r="O786" t="s">
        <v>32</v>
      </c>
      <c r="P786">
        <v>4.03773414544278</v>
      </c>
      <c r="Q786">
        <v>1.68206723445561</v>
      </c>
      <c r="R786">
        <v>8.9526051211045594</v>
      </c>
      <c r="S786">
        <v>38</v>
      </c>
      <c r="T786">
        <v>55</v>
      </c>
      <c r="U786">
        <v>403.68228076408099</v>
      </c>
      <c r="V786">
        <v>2.1707670043415298E-3</v>
      </c>
      <c r="W786">
        <v>2002917.6788951301</v>
      </c>
      <c r="X786" t="s">
        <v>31</v>
      </c>
      <c r="Y786">
        <f>1-597-570-4316</f>
        <v>-5482</v>
      </c>
    </row>
    <row r="787" spans="1:25" x14ac:dyDescent="0.35">
      <c r="A787">
        <v>41.276978068839</v>
      </c>
      <c r="B787">
        <v>-117.576763260029</v>
      </c>
      <c r="C787" t="s">
        <v>34</v>
      </c>
      <c r="D787">
        <v>38.357806674717402</v>
      </c>
      <c r="E787">
        <v>3</v>
      </c>
      <c r="F787">
        <v>3721</v>
      </c>
      <c r="G787">
        <v>5</v>
      </c>
      <c r="H787">
        <v>3</v>
      </c>
      <c r="I787">
        <v>1957</v>
      </c>
      <c r="J787">
        <v>0</v>
      </c>
      <c r="K787">
        <v>0</v>
      </c>
      <c r="L787">
        <v>1</v>
      </c>
      <c r="M787">
        <v>13</v>
      </c>
      <c r="N787" t="s">
        <v>37</v>
      </c>
      <c r="O787" t="s">
        <v>27</v>
      </c>
      <c r="P787">
        <v>6.5765472601861799</v>
      </c>
      <c r="Q787">
        <v>1.93298949631002</v>
      </c>
      <c r="R787">
        <v>4.4070201959178501</v>
      </c>
      <c r="S787">
        <v>162</v>
      </c>
      <c r="T787">
        <v>36</v>
      </c>
      <c r="U787">
        <v>309.32949050115201</v>
      </c>
      <c r="V787">
        <v>3.4936844934157401E-3</v>
      </c>
      <c r="W787">
        <v>1417254.2157356599</v>
      </c>
      <c r="X787" t="s">
        <v>38</v>
      </c>
      <c r="Y787">
        <f>1-409-516-3773</f>
        <v>-4697</v>
      </c>
    </row>
    <row r="788" spans="1:25" x14ac:dyDescent="0.35">
      <c r="A788">
        <v>38.909897947221801</v>
      </c>
      <c r="B788">
        <v>-117.59595060245201</v>
      </c>
      <c r="C788" t="s">
        <v>25</v>
      </c>
      <c r="D788">
        <v>15.0307521475463</v>
      </c>
      <c r="E788">
        <v>2</v>
      </c>
      <c r="F788">
        <v>2136</v>
      </c>
      <c r="G788">
        <v>1</v>
      </c>
      <c r="H788">
        <v>3</v>
      </c>
      <c r="I788">
        <v>1983</v>
      </c>
      <c r="J788">
        <v>1</v>
      </c>
      <c r="K788">
        <v>1</v>
      </c>
      <c r="L788">
        <v>1</v>
      </c>
      <c r="M788">
        <v>10</v>
      </c>
      <c r="N788" t="s">
        <v>41</v>
      </c>
      <c r="O788" t="s">
        <v>32</v>
      </c>
      <c r="P788">
        <v>9.7965086324208706</v>
      </c>
      <c r="Q788">
        <v>1.76943176762771</v>
      </c>
      <c r="R788">
        <v>2.0845816073259402E-2</v>
      </c>
      <c r="S788">
        <v>195</v>
      </c>
      <c r="T788">
        <v>74</v>
      </c>
      <c r="U788">
        <v>840.71687455954498</v>
      </c>
      <c r="V788">
        <v>4.6816479400748996E-3</v>
      </c>
      <c r="W788">
        <v>2026180.4740074701</v>
      </c>
      <c r="X788" t="s">
        <v>40</v>
      </c>
      <c r="Y788">
        <f>1-528-981-8980</f>
        <v>-10488</v>
      </c>
    </row>
    <row r="789" spans="1:25" x14ac:dyDescent="0.35">
      <c r="A789">
        <v>40.834189797154202</v>
      </c>
      <c r="B789">
        <v>-121.93694210040501</v>
      </c>
      <c r="C789" t="s">
        <v>25</v>
      </c>
      <c r="D789">
        <v>35.7053372601722</v>
      </c>
      <c r="E789">
        <v>6</v>
      </c>
      <c r="F789">
        <v>1883</v>
      </c>
      <c r="G789">
        <v>3</v>
      </c>
      <c r="H789">
        <v>3</v>
      </c>
      <c r="I789">
        <v>2003</v>
      </c>
      <c r="J789">
        <v>0</v>
      </c>
      <c r="K789">
        <v>1</v>
      </c>
      <c r="L789">
        <v>1</v>
      </c>
      <c r="M789">
        <v>7</v>
      </c>
      <c r="N789" t="s">
        <v>35</v>
      </c>
      <c r="O789" t="s">
        <v>32</v>
      </c>
      <c r="P789">
        <v>10.9079313056055</v>
      </c>
      <c r="Q789">
        <v>1.83744267833493</v>
      </c>
      <c r="R789">
        <v>4.8663957833370599</v>
      </c>
      <c r="S789">
        <v>18</v>
      </c>
      <c r="T789">
        <v>73</v>
      </c>
      <c r="U789">
        <v>380.30737991239801</v>
      </c>
      <c r="V789">
        <v>3.7174721189590998E-3</v>
      </c>
      <c r="W789">
        <v>1079063.3246903401</v>
      </c>
      <c r="X789" t="s">
        <v>42</v>
      </c>
      <c r="Y789">
        <f>1-487-483-3300</f>
        <v>-4269</v>
      </c>
    </row>
    <row r="790" spans="1:25" x14ac:dyDescent="0.35">
      <c r="A790">
        <v>32.545406501609101</v>
      </c>
      <c r="B790">
        <v>-120.12239202100599</v>
      </c>
      <c r="C790" t="s">
        <v>29</v>
      </c>
      <c r="D790">
        <v>48.565435968330199</v>
      </c>
      <c r="E790">
        <v>8</v>
      </c>
      <c r="F790">
        <v>3947</v>
      </c>
      <c r="G790">
        <v>3</v>
      </c>
      <c r="H790">
        <v>2</v>
      </c>
      <c r="I790">
        <v>1965</v>
      </c>
      <c r="J790">
        <v>0</v>
      </c>
      <c r="K790">
        <v>1</v>
      </c>
      <c r="L790">
        <v>0</v>
      </c>
      <c r="M790">
        <v>9</v>
      </c>
      <c r="N790" t="s">
        <v>37</v>
      </c>
      <c r="O790" t="s">
        <v>27</v>
      </c>
      <c r="P790">
        <v>13.6064043891619</v>
      </c>
      <c r="Q790">
        <v>1.56121542781064</v>
      </c>
      <c r="R790">
        <v>4.2609173812076797</v>
      </c>
      <c r="S790">
        <v>40</v>
      </c>
      <c r="T790">
        <v>56</v>
      </c>
      <c r="U790">
        <v>412.890693717538</v>
      </c>
      <c r="V790">
        <v>2.2802128198631802E-3</v>
      </c>
      <c r="W790">
        <v>2012307.0103023199</v>
      </c>
      <c r="X790" t="s">
        <v>36</v>
      </c>
      <c r="Y790">
        <f>1-257-968-2740</f>
        <v>-3964</v>
      </c>
    </row>
    <row r="791" spans="1:25" x14ac:dyDescent="0.35">
      <c r="A791">
        <v>36.241849490901203</v>
      </c>
      <c r="B791">
        <v>-121.199604247238</v>
      </c>
      <c r="C791" t="s">
        <v>34</v>
      </c>
      <c r="D791">
        <v>3.83270589707266</v>
      </c>
      <c r="E791">
        <v>9</v>
      </c>
      <c r="F791">
        <v>3061</v>
      </c>
      <c r="G791">
        <v>3</v>
      </c>
      <c r="H791">
        <v>3</v>
      </c>
      <c r="I791">
        <v>2002</v>
      </c>
      <c r="J791">
        <v>0</v>
      </c>
      <c r="K791">
        <v>0</v>
      </c>
      <c r="L791">
        <v>1</v>
      </c>
      <c r="M791">
        <v>5</v>
      </c>
      <c r="N791" t="s">
        <v>26</v>
      </c>
      <c r="O791" t="s">
        <v>30</v>
      </c>
      <c r="P791">
        <v>5.8457854513777701</v>
      </c>
      <c r="Q791">
        <v>2.0748871751316802</v>
      </c>
      <c r="R791">
        <v>0.34283385353506102</v>
      </c>
      <c r="S791">
        <v>148</v>
      </c>
      <c r="T791">
        <v>62</v>
      </c>
      <c r="U791">
        <v>202.09318467826</v>
      </c>
      <c r="V791">
        <v>1.6334531198954499E-3</v>
      </c>
      <c r="W791">
        <v>851378.76171840797</v>
      </c>
      <c r="X791" t="s">
        <v>38</v>
      </c>
      <c r="Y791">
        <f>1-640-121-7892</f>
        <v>-8652</v>
      </c>
    </row>
    <row r="792" spans="1:25" x14ac:dyDescent="0.35">
      <c r="A792">
        <v>32.970351715303103</v>
      </c>
      <c r="B792">
        <v>-122.02280629306701</v>
      </c>
      <c r="C792" t="s">
        <v>34</v>
      </c>
      <c r="D792">
        <v>14.411888734402799</v>
      </c>
      <c r="E792">
        <v>9</v>
      </c>
      <c r="F792">
        <v>2944</v>
      </c>
      <c r="G792">
        <v>3</v>
      </c>
      <c r="H792">
        <v>2</v>
      </c>
      <c r="I792">
        <v>1994</v>
      </c>
      <c r="J792">
        <v>0</v>
      </c>
      <c r="K792">
        <v>1</v>
      </c>
      <c r="L792">
        <v>0</v>
      </c>
      <c r="M792">
        <v>11</v>
      </c>
      <c r="N792" t="s">
        <v>37</v>
      </c>
      <c r="O792" t="s">
        <v>30</v>
      </c>
      <c r="P792">
        <v>4.78454091279281</v>
      </c>
      <c r="Q792">
        <v>0.608043553034051</v>
      </c>
      <c r="R792">
        <v>3.23350537479828</v>
      </c>
      <c r="S792">
        <v>91</v>
      </c>
      <c r="T792">
        <v>62</v>
      </c>
      <c r="U792">
        <v>422.655216116112</v>
      </c>
      <c r="V792">
        <v>3.7364130434782601E-3</v>
      </c>
      <c r="W792">
        <v>1500351.58466123</v>
      </c>
      <c r="X792" t="s">
        <v>39</v>
      </c>
      <c r="Y792">
        <f>1-575-194-7690</f>
        <v>-8458</v>
      </c>
    </row>
    <row r="793" spans="1:25" x14ac:dyDescent="0.35">
      <c r="A793">
        <v>34.325318264565702</v>
      </c>
      <c r="B793">
        <v>-120.061265823212</v>
      </c>
      <c r="C793" t="s">
        <v>34</v>
      </c>
      <c r="D793">
        <v>28.415186626635901</v>
      </c>
      <c r="E793">
        <v>6</v>
      </c>
      <c r="F793">
        <v>1213</v>
      </c>
      <c r="G793">
        <v>1</v>
      </c>
      <c r="H793">
        <v>2</v>
      </c>
      <c r="I793">
        <v>2002</v>
      </c>
      <c r="J793">
        <v>0</v>
      </c>
      <c r="K793">
        <v>0</v>
      </c>
      <c r="L793">
        <v>1</v>
      </c>
      <c r="M793">
        <v>10</v>
      </c>
      <c r="N793" t="s">
        <v>35</v>
      </c>
      <c r="O793" t="s">
        <v>32</v>
      </c>
      <c r="P793">
        <v>8.1096344049736704</v>
      </c>
      <c r="Q793">
        <v>2.4705106352439601</v>
      </c>
      <c r="R793">
        <v>3.09977779559464</v>
      </c>
      <c r="S793">
        <v>5</v>
      </c>
      <c r="T793">
        <v>68</v>
      </c>
      <c r="U793">
        <v>448.884552661165</v>
      </c>
      <c r="V793">
        <v>8.2440230832646292E-3</v>
      </c>
      <c r="W793">
        <v>739189.98379922705</v>
      </c>
      <c r="X793" t="s">
        <v>31</v>
      </c>
      <c r="Y793">
        <f>1-851-680-9559</f>
        <v>-11089</v>
      </c>
    </row>
    <row r="794" spans="1:25" x14ac:dyDescent="0.35">
      <c r="A794">
        <v>39.797366020307003</v>
      </c>
      <c r="B794">
        <v>-118.205825182943</v>
      </c>
      <c r="C794" t="s">
        <v>34</v>
      </c>
      <c r="D794">
        <v>40.252904899110703</v>
      </c>
      <c r="E794">
        <v>9</v>
      </c>
      <c r="F794">
        <v>2191</v>
      </c>
      <c r="G794">
        <v>2</v>
      </c>
      <c r="H794">
        <v>3</v>
      </c>
      <c r="I794">
        <v>1992</v>
      </c>
      <c r="J794">
        <v>0</v>
      </c>
      <c r="K794">
        <v>0</v>
      </c>
      <c r="L794">
        <v>0</v>
      </c>
      <c r="M794">
        <v>11</v>
      </c>
      <c r="N794" t="s">
        <v>26</v>
      </c>
      <c r="O794" t="s">
        <v>27</v>
      </c>
      <c r="P794">
        <v>7.5258522725519201</v>
      </c>
      <c r="Q794">
        <v>0.55761364456404405</v>
      </c>
      <c r="R794">
        <v>0.26551369103157402</v>
      </c>
      <c r="S794">
        <v>121</v>
      </c>
      <c r="T794">
        <v>46</v>
      </c>
      <c r="U794">
        <v>643.31313464794698</v>
      </c>
      <c r="V794">
        <v>5.0205385668644397E-3</v>
      </c>
      <c r="W794">
        <v>1608364.6215816201</v>
      </c>
      <c r="X794" t="s">
        <v>28</v>
      </c>
      <c r="Y794">
        <f>1-801-110-5711</f>
        <v>-6621</v>
      </c>
    </row>
    <row r="795" spans="1:25" x14ac:dyDescent="0.35">
      <c r="A795">
        <v>33.6259127682344</v>
      </c>
      <c r="B795">
        <v>-114.24726080742499</v>
      </c>
      <c r="C795" t="s">
        <v>34</v>
      </c>
      <c r="D795">
        <v>46.384383696943999</v>
      </c>
      <c r="E795">
        <v>0</v>
      </c>
      <c r="F795">
        <v>4920</v>
      </c>
      <c r="G795">
        <v>1</v>
      </c>
      <c r="H795">
        <v>2</v>
      </c>
      <c r="I795">
        <v>2014</v>
      </c>
      <c r="J795">
        <v>0</v>
      </c>
      <c r="K795">
        <v>1</v>
      </c>
      <c r="L795">
        <v>0</v>
      </c>
      <c r="M795">
        <v>14</v>
      </c>
      <c r="N795" t="s">
        <v>41</v>
      </c>
      <c r="O795" t="s">
        <v>30</v>
      </c>
      <c r="P795">
        <v>8.1614779663063501</v>
      </c>
      <c r="Q795">
        <v>1.73952106506301</v>
      </c>
      <c r="R795">
        <v>7.1264896592023996</v>
      </c>
      <c r="S795">
        <v>70</v>
      </c>
      <c r="T795">
        <v>21</v>
      </c>
      <c r="U795">
        <v>236.16280789927501</v>
      </c>
      <c r="V795">
        <v>2.84552845528455E-3</v>
      </c>
      <c r="W795">
        <v>1350492.4308123</v>
      </c>
      <c r="X795" t="s">
        <v>44</v>
      </c>
      <c r="Y795">
        <f>1-568-223-1733</f>
        <v>-2523</v>
      </c>
    </row>
    <row r="796" spans="1:25" x14ac:dyDescent="0.35">
      <c r="A796">
        <v>34.957838176671601</v>
      </c>
      <c r="B796">
        <v>-120.59760086826699</v>
      </c>
      <c r="C796" t="s">
        <v>25</v>
      </c>
      <c r="D796">
        <v>10.9422829365288</v>
      </c>
      <c r="E796">
        <v>5</v>
      </c>
      <c r="F796">
        <v>700</v>
      </c>
      <c r="G796">
        <v>5</v>
      </c>
      <c r="H796">
        <v>3</v>
      </c>
      <c r="I796">
        <v>1951</v>
      </c>
      <c r="J796">
        <v>0</v>
      </c>
      <c r="K796">
        <v>1</v>
      </c>
      <c r="L796">
        <v>1</v>
      </c>
      <c r="M796">
        <v>7</v>
      </c>
      <c r="N796" t="s">
        <v>35</v>
      </c>
      <c r="O796" t="s">
        <v>27</v>
      </c>
      <c r="P796">
        <v>5.9903668417098999</v>
      </c>
      <c r="Q796">
        <v>2.30121317693053</v>
      </c>
      <c r="R796">
        <v>5.5161736348036703</v>
      </c>
      <c r="S796">
        <v>6</v>
      </c>
      <c r="T796">
        <v>63</v>
      </c>
      <c r="U796">
        <v>411.51692675264297</v>
      </c>
      <c r="V796">
        <v>0.01</v>
      </c>
      <c r="W796">
        <v>613668.08286622597</v>
      </c>
      <c r="X796" t="s">
        <v>40</v>
      </c>
      <c r="Y796">
        <f>1-328-849-1512</f>
        <v>-2688</v>
      </c>
    </row>
    <row r="797" spans="1:25" x14ac:dyDescent="0.35">
      <c r="A797">
        <v>39.000730793161601</v>
      </c>
      <c r="B797">
        <v>-123.35919849089299</v>
      </c>
      <c r="C797" t="s">
        <v>34</v>
      </c>
      <c r="D797">
        <v>35.2683109712207</v>
      </c>
      <c r="E797">
        <v>4</v>
      </c>
      <c r="F797">
        <v>2848</v>
      </c>
      <c r="G797">
        <v>5</v>
      </c>
      <c r="H797">
        <v>2</v>
      </c>
      <c r="I797">
        <v>1957</v>
      </c>
      <c r="J797">
        <v>1</v>
      </c>
      <c r="K797">
        <v>0</v>
      </c>
      <c r="L797">
        <v>1</v>
      </c>
      <c r="M797">
        <v>2</v>
      </c>
      <c r="N797" t="s">
        <v>26</v>
      </c>
      <c r="O797" t="s">
        <v>27</v>
      </c>
      <c r="P797">
        <v>7.6722423499527297</v>
      </c>
      <c r="Q797">
        <v>2.1923808644245901</v>
      </c>
      <c r="R797">
        <v>0.92255018117183696</v>
      </c>
      <c r="S797">
        <v>133</v>
      </c>
      <c r="T797">
        <v>43</v>
      </c>
      <c r="U797">
        <v>963.00561185506297</v>
      </c>
      <c r="V797">
        <v>7.0224719101123496E-4</v>
      </c>
      <c r="W797">
        <v>3055922.7500997498</v>
      </c>
      <c r="X797" t="s">
        <v>40</v>
      </c>
      <c r="Y797">
        <f>1-486-457-7368</f>
        <v>-8310</v>
      </c>
    </row>
    <row r="798" spans="1:25" x14ac:dyDescent="0.35">
      <c r="A798">
        <v>35.923481708937203</v>
      </c>
      <c r="B798">
        <v>-121.421767880611</v>
      </c>
      <c r="C798" t="s">
        <v>25</v>
      </c>
      <c r="D798">
        <v>6.2318008778191896</v>
      </c>
      <c r="E798">
        <v>7</v>
      </c>
      <c r="F798">
        <v>3164</v>
      </c>
      <c r="G798">
        <v>4</v>
      </c>
      <c r="H798">
        <v>1</v>
      </c>
      <c r="I798">
        <v>1955</v>
      </c>
      <c r="J798">
        <v>1</v>
      </c>
      <c r="K798">
        <v>0</v>
      </c>
      <c r="L798">
        <v>0</v>
      </c>
      <c r="M798">
        <v>7</v>
      </c>
      <c r="N798" t="s">
        <v>41</v>
      </c>
      <c r="O798" t="s">
        <v>32</v>
      </c>
      <c r="P798">
        <v>3.6622651325390798</v>
      </c>
      <c r="Q798">
        <v>0.83304670765285804</v>
      </c>
      <c r="R798">
        <v>5.4941397456977397</v>
      </c>
      <c r="S798">
        <v>94</v>
      </c>
      <c r="T798">
        <v>58</v>
      </c>
      <c r="U798">
        <v>536.04614327040895</v>
      </c>
      <c r="V798">
        <v>2.21238938053097E-3</v>
      </c>
      <c r="W798">
        <v>1916825.46104319</v>
      </c>
      <c r="X798" t="s">
        <v>43</v>
      </c>
      <c r="Y798">
        <f>1-507-793-5163</f>
        <v>-6462</v>
      </c>
    </row>
    <row r="799" spans="1:25" x14ac:dyDescent="0.35">
      <c r="A799">
        <v>38.306094452366999</v>
      </c>
      <c r="B799">
        <v>-124.440569882773</v>
      </c>
      <c r="C799" t="s">
        <v>29</v>
      </c>
      <c r="D799">
        <v>23.227428219040899</v>
      </c>
      <c r="E799">
        <v>4</v>
      </c>
      <c r="F799">
        <v>1056</v>
      </c>
      <c r="G799">
        <v>5</v>
      </c>
      <c r="H799">
        <v>2</v>
      </c>
      <c r="I799">
        <v>1967</v>
      </c>
      <c r="J799">
        <v>1</v>
      </c>
      <c r="K799">
        <v>0</v>
      </c>
      <c r="L799">
        <v>0</v>
      </c>
      <c r="M799">
        <v>10</v>
      </c>
      <c r="N799" t="s">
        <v>35</v>
      </c>
      <c r="O799" t="s">
        <v>27</v>
      </c>
      <c r="P799">
        <v>14.519969831980999</v>
      </c>
      <c r="Q799">
        <v>0.73273676218336703</v>
      </c>
      <c r="R799">
        <v>9.8239478613908702</v>
      </c>
      <c r="S799">
        <v>11</v>
      </c>
      <c r="T799">
        <v>35</v>
      </c>
      <c r="U799">
        <v>607.70396875105803</v>
      </c>
      <c r="V799">
        <v>9.46969696969697E-3</v>
      </c>
      <c r="W799">
        <v>997188.25396908005</v>
      </c>
      <c r="X799" t="s">
        <v>39</v>
      </c>
      <c r="Y799">
        <f>1-240-442-9133</f>
        <v>-9814</v>
      </c>
    </row>
    <row r="800" spans="1:25" x14ac:dyDescent="0.35">
      <c r="A800">
        <v>33.381635924661403</v>
      </c>
      <c r="B800">
        <v>-121.36428545013101</v>
      </c>
      <c r="C800" t="s">
        <v>34</v>
      </c>
      <c r="D800">
        <v>18.044610377602101</v>
      </c>
      <c r="E800">
        <v>7</v>
      </c>
      <c r="F800">
        <v>987</v>
      </c>
      <c r="G800">
        <v>2</v>
      </c>
      <c r="H800">
        <v>1</v>
      </c>
      <c r="I800">
        <v>1998</v>
      </c>
      <c r="J800">
        <v>0</v>
      </c>
      <c r="K800">
        <v>0</v>
      </c>
      <c r="L800">
        <v>0</v>
      </c>
      <c r="M800">
        <v>6</v>
      </c>
      <c r="N800" t="s">
        <v>37</v>
      </c>
      <c r="O800" t="s">
        <v>30</v>
      </c>
      <c r="P800">
        <v>11.499119763325499</v>
      </c>
      <c r="Q800">
        <v>1.93660321438011</v>
      </c>
      <c r="R800">
        <v>0.37960764709342798</v>
      </c>
      <c r="S800">
        <v>171</v>
      </c>
      <c r="T800">
        <v>71</v>
      </c>
      <c r="U800">
        <v>838.40546499296795</v>
      </c>
      <c r="V800">
        <v>6.0790273556231003E-3</v>
      </c>
      <c r="W800">
        <v>1029447.23162248</v>
      </c>
      <c r="X800" t="s">
        <v>31</v>
      </c>
      <c r="Y800">
        <f>1-337-556-4830</f>
        <v>-5722</v>
      </c>
    </row>
    <row r="801" spans="1:25" x14ac:dyDescent="0.35">
      <c r="A801">
        <v>38.169776832789502</v>
      </c>
      <c r="B801">
        <v>-119.49316827443</v>
      </c>
      <c r="C801" t="s">
        <v>34</v>
      </c>
      <c r="D801">
        <v>35.476152080053801</v>
      </c>
      <c r="E801">
        <v>4</v>
      </c>
      <c r="F801">
        <v>4749</v>
      </c>
      <c r="G801">
        <v>3</v>
      </c>
      <c r="H801">
        <v>3</v>
      </c>
      <c r="I801">
        <v>1998</v>
      </c>
      <c r="J801">
        <v>0</v>
      </c>
      <c r="K801">
        <v>0</v>
      </c>
      <c r="L801">
        <v>0</v>
      </c>
      <c r="M801">
        <v>12</v>
      </c>
      <c r="N801" t="s">
        <v>41</v>
      </c>
      <c r="O801" t="s">
        <v>32</v>
      </c>
      <c r="P801">
        <v>11.5964791311008</v>
      </c>
      <c r="Q801">
        <v>1.0919329821239701</v>
      </c>
      <c r="R801">
        <v>4.3489678273249401</v>
      </c>
      <c r="S801">
        <v>118</v>
      </c>
      <c r="T801">
        <v>74</v>
      </c>
      <c r="U801">
        <v>372.14521239225701</v>
      </c>
      <c r="V801">
        <v>2.5268477574226099E-3</v>
      </c>
      <c r="W801">
        <v>2089036.89847243</v>
      </c>
      <c r="X801" t="s">
        <v>36</v>
      </c>
      <c r="Y801">
        <f>1-922-883-4931</f>
        <v>-6735</v>
      </c>
    </row>
    <row r="802" spans="1:25" x14ac:dyDescent="0.35">
      <c r="A802">
        <v>38.763167652379302</v>
      </c>
      <c r="B802">
        <v>-124.297662205883</v>
      </c>
      <c r="C802" t="s">
        <v>29</v>
      </c>
      <c r="D802">
        <v>3.76963093446868</v>
      </c>
      <c r="E802">
        <v>5</v>
      </c>
      <c r="F802">
        <v>4802</v>
      </c>
      <c r="G802">
        <v>3</v>
      </c>
      <c r="H802">
        <v>3</v>
      </c>
      <c r="I802">
        <v>2006</v>
      </c>
      <c r="J802">
        <v>1</v>
      </c>
      <c r="K802">
        <v>1</v>
      </c>
      <c r="L802">
        <v>0</v>
      </c>
      <c r="M802">
        <v>2</v>
      </c>
      <c r="N802" t="s">
        <v>41</v>
      </c>
      <c r="O802" t="s">
        <v>27</v>
      </c>
      <c r="P802">
        <v>9.2419485238972499</v>
      </c>
      <c r="Q802">
        <v>1.13473020349694</v>
      </c>
      <c r="R802">
        <v>9.5587022575828904</v>
      </c>
      <c r="S802">
        <v>112</v>
      </c>
      <c r="T802">
        <v>33</v>
      </c>
      <c r="U802">
        <v>387.31846894913201</v>
      </c>
      <c r="V802">
        <v>4.1649312786339E-4</v>
      </c>
      <c r="W802">
        <v>2180426.08545462</v>
      </c>
      <c r="X802" t="s">
        <v>44</v>
      </c>
      <c r="Y802">
        <f>1-322-234-8154</f>
        <v>-8709</v>
      </c>
    </row>
    <row r="803" spans="1:25" x14ac:dyDescent="0.35">
      <c r="A803">
        <v>34.468508286995302</v>
      </c>
      <c r="B803">
        <v>-119.06690494216301</v>
      </c>
      <c r="C803" t="s">
        <v>29</v>
      </c>
      <c r="D803">
        <v>22.962292142146701</v>
      </c>
      <c r="E803">
        <v>2</v>
      </c>
      <c r="F803">
        <v>918</v>
      </c>
      <c r="G803">
        <v>3</v>
      </c>
      <c r="H803">
        <v>2</v>
      </c>
      <c r="I803">
        <v>1986</v>
      </c>
      <c r="J803">
        <v>0</v>
      </c>
      <c r="K803">
        <v>1</v>
      </c>
      <c r="L803">
        <v>1</v>
      </c>
      <c r="M803">
        <v>10</v>
      </c>
      <c r="N803" t="s">
        <v>26</v>
      </c>
      <c r="O803" t="s">
        <v>30</v>
      </c>
      <c r="P803">
        <v>13.1675533464874</v>
      </c>
      <c r="Q803">
        <v>1.2387060794039899</v>
      </c>
      <c r="R803">
        <v>6.1880134021771296</v>
      </c>
      <c r="S803">
        <v>93</v>
      </c>
      <c r="T803">
        <v>53</v>
      </c>
      <c r="U803">
        <v>473.590778299026</v>
      </c>
      <c r="V803">
        <v>1.08932461873638E-2</v>
      </c>
      <c r="W803">
        <v>784273.65865296102</v>
      </c>
      <c r="X803" t="s">
        <v>39</v>
      </c>
      <c r="Y803">
        <f>1-513-663-4703</f>
        <v>-5878</v>
      </c>
    </row>
    <row r="804" spans="1:25" x14ac:dyDescent="0.35">
      <c r="A804">
        <v>38.7330307287464</v>
      </c>
      <c r="B804">
        <v>-117.733460490607</v>
      </c>
      <c r="C804" t="s">
        <v>34</v>
      </c>
      <c r="D804">
        <v>49.442479910583799</v>
      </c>
      <c r="E804">
        <v>3</v>
      </c>
      <c r="F804">
        <v>1487</v>
      </c>
      <c r="G804">
        <v>5</v>
      </c>
      <c r="H804">
        <v>2</v>
      </c>
      <c r="I804">
        <v>2016</v>
      </c>
      <c r="J804">
        <v>1</v>
      </c>
      <c r="K804">
        <v>1</v>
      </c>
      <c r="L804">
        <v>0</v>
      </c>
      <c r="M804">
        <v>7</v>
      </c>
      <c r="N804" t="s">
        <v>35</v>
      </c>
      <c r="O804" t="s">
        <v>27</v>
      </c>
      <c r="P804">
        <v>6.0122700749766498</v>
      </c>
      <c r="Q804">
        <v>2.3230358947543799</v>
      </c>
      <c r="R804">
        <v>1.2930977684091001</v>
      </c>
      <c r="S804">
        <v>48</v>
      </c>
      <c r="T804">
        <v>41</v>
      </c>
      <c r="U804">
        <v>438.72432234386099</v>
      </c>
      <c r="V804">
        <v>4.7074646940147898E-3</v>
      </c>
      <c r="W804">
        <v>1178340.9600007699</v>
      </c>
      <c r="X804" t="s">
        <v>31</v>
      </c>
      <c r="Y804">
        <f>1-444-334-6253</f>
        <v>-7030</v>
      </c>
    </row>
    <row r="805" spans="1:25" x14ac:dyDescent="0.35">
      <c r="A805">
        <v>41.9872704890618</v>
      </c>
      <c r="B805">
        <v>-119.65746642145101</v>
      </c>
      <c r="C805" t="s">
        <v>29</v>
      </c>
      <c r="D805">
        <v>48.897741299355097</v>
      </c>
      <c r="E805">
        <v>7</v>
      </c>
      <c r="F805">
        <v>1584</v>
      </c>
      <c r="G805">
        <v>2</v>
      </c>
      <c r="H805">
        <v>2</v>
      </c>
      <c r="I805">
        <v>1951</v>
      </c>
      <c r="J805">
        <v>1</v>
      </c>
      <c r="K805">
        <v>1</v>
      </c>
      <c r="L805">
        <v>1</v>
      </c>
      <c r="M805">
        <v>4</v>
      </c>
      <c r="N805" t="s">
        <v>37</v>
      </c>
      <c r="O805" t="s">
        <v>32</v>
      </c>
      <c r="P805">
        <v>9.2569962183321994</v>
      </c>
      <c r="Q805">
        <v>1.2282844199388101</v>
      </c>
      <c r="R805">
        <v>0.96399864301666405</v>
      </c>
      <c r="S805">
        <v>138</v>
      </c>
      <c r="T805">
        <v>64</v>
      </c>
      <c r="U805">
        <v>309.64458362245801</v>
      </c>
      <c r="V805">
        <v>2.5252525252525198E-3</v>
      </c>
      <c r="W805">
        <v>813921.20314569003</v>
      </c>
      <c r="X805" t="s">
        <v>36</v>
      </c>
      <c r="Y805">
        <f>1-983-375-7397</f>
        <v>-8754</v>
      </c>
    </row>
    <row r="806" spans="1:25" x14ac:dyDescent="0.35">
      <c r="A806">
        <v>40.362888051799601</v>
      </c>
      <c r="B806">
        <v>-123.601939579689</v>
      </c>
      <c r="C806" t="s">
        <v>25</v>
      </c>
      <c r="D806">
        <v>33.067111237591803</v>
      </c>
      <c r="E806">
        <v>5</v>
      </c>
      <c r="F806">
        <v>3622</v>
      </c>
      <c r="G806">
        <v>5</v>
      </c>
      <c r="H806">
        <v>3</v>
      </c>
      <c r="I806">
        <v>2021</v>
      </c>
      <c r="J806">
        <v>1</v>
      </c>
      <c r="K806">
        <v>1</v>
      </c>
      <c r="L806">
        <v>0</v>
      </c>
      <c r="M806">
        <v>4</v>
      </c>
      <c r="N806" t="s">
        <v>41</v>
      </c>
      <c r="O806" t="s">
        <v>27</v>
      </c>
      <c r="P806">
        <v>13.8378687803503</v>
      </c>
      <c r="Q806">
        <v>1.2716722544268</v>
      </c>
      <c r="R806">
        <v>4.9433888505381196</v>
      </c>
      <c r="S806">
        <v>40</v>
      </c>
      <c r="T806">
        <v>43</v>
      </c>
      <c r="U806">
        <v>762.29450690296198</v>
      </c>
      <c r="V806">
        <v>1.1043622308117001E-3</v>
      </c>
      <c r="W806">
        <v>3339517.9887406202</v>
      </c>
      <c r="X806" t="s">
        <v>36</v>
      </c>
      <c r="Y806">
        <f>1-755-199-8903</f>
        <v>-9856</v>
      </c>
    </row>
    <row r="807" spans="1:25" x14ac:dyDescent="0.35">
      <c r="A807">
        <v>41.888771189335699</v>
      </c>
      <c r="B807">
        <v>-114.650870521466</v>
      </c>
      <c r="C807" t="s">
        <v>29</v>
      </c>
      <c r="D807">
        <v>28.1500519105658</v>
      </c>
      <c r="E807">
        <v>8</v>
      </c>
      <c r="F807">
        <v>1454</v>
      </c>
      <c r="G807">
        <v>5</v>
      </c>
      <c r="H807">
        <v>1</v>
      </c>
      <c r="I807">
        <v>2010</v>
      </c>
      <c r="J807">
        <v>1</v>
      </c>
      <c r="K807">
        <v>0</v>
      </c>
      <c r="L807">
        <v>1</v>
      </c>
      <c r="M807">
        <v>13</v>
      </c>
      <c r="N807" t="s">
        <v>35</v>
      </c>
      <c r="O807" t="s">
        <v>27</v>
      </c>
      <c r="P807">
        <v>5.9521611499672398</v>
      </c>
      <c r="Q807">
        <v>2.4754543321219602</v>
      </c>
      <c r="R807">
        <v>4.8524416253734302</v>
      </c>
      <c r="S807">
        <v>57</v>
      </c>
      <c r="T807">
        <v>21</v>
      </c>
      <c r="U807">
        <v>932.87400095500595</v>
      </c>
      <c r="V807">
        <v>8.9408528198074207E-3</v>
      </c>
      <c r="W807">
        <v>1677421.6366030599</v>
      </c>
      <c r="X807" t="s">
        <v>44</v>
      </c>
      <c r="Y807">
        <f>1-982-309-6149</f>
        <v>-7439</v>
      </c>
    </row>
    <row r="808" spans="1:25" x14ac:dyDescent="0.35">
      <c r="A808">
        <v>34.529952199286797</v>
      </c>
      <c r="B808">
        <v>-119.554445020678</v>
      </c>
      <c r="C808" t="s">
        <v>29</v>
      </c>
      <c r="D808">
        <v>15.7956582814477</v>
      </c>
      <c r="E808">
        <v>4</v>
      </c>
      <c r="F808">
        <v>1144</v>
      </c>
      <c r="G808">
        <v>3</v>
      </c>
      <c r="H808">
        <v>2</v>
      </c>
      <c r="I808">
        <v>1989</v>
      </c>
      <c r="J808">
        <v>1</v>
      </c>
      <c r="K808">
        <v>1</v>
      </c>
      <c r="L808">
        <v>0</v>
      </c>
      <c r="M808">
        <v>9</v>
      </c>
      <c r="N808" t="s">
        <v>26</v>
      </c>
      <c r="O808" t="s">
        <v>30</v>
      </c>
      <c r="P808">
        <v>12.1801967075354</v>
      </c>
      <c r="Q808">
        <v>1.3194562476349001</v>
      </c>
      <c r="R808">
        <v>1.1775267649602801</v>
      </c>
      <c r="S808">
        <v>102</v>
      </c>
      <c r="T808">
        <v>38</v>
      </c>
      <c r="U808">
        <v>267.81165626347803</v>
      </c>
      <c r="V808">
        <v>7.8671328671328592E-3</v>
      </c>
      <c r="W808">
        <v>704753.88246873405</v>
      </c>
      <c r="X808" t="s">
        <v>44</v>
      </c>
      <c r="Y808">
        <f>1-684-579-4813</f>
        <v>-6075</v>
      </c>
    </row>
    <row r="809" spans="1:25" x14ac:dyDescent="0.35">
      <c r="A809">
        <v>34.320223415609597</v>
      </c>
      <c r="B809">
        <v>-117.92213389621701</v>
      </c>
      <c r="C809" t="s">
        <v>29</v>
      </c>
      <c r="D809">
        <v>11.099335891529901</v>
      </c>
      <c r="E809">
        <v>0</v>
      </c>
      <c r="F809">
        <v>3253</v>
      </c>
      <c r="G809">
        <v>2</v>
      </c>
      <c r="H809">
        <v>1</v>
      </c>
      <c r="I809">
        <v>1956</v>
      </c>
      <c r="J809">
        <v>1</v>
      </c>
      <c r="K809">
        <v>1</v>
      </c>
      <c r="L809">
        <v>1</v>
      </c>
      <c r="M809">
        <v>13</v>
      </c>
      <c r="N809" t="s">
        <v>41</v>
      </c>
      <c r="O809" t="s">
        <v>30</v>
      </c>
      <c r="P809">
        <v>13.9487040190195</v>
      </c>
      <c r="Q809">
        <v>1.41280068081336</v>
      </c>
      <c r="R809">
        <v>5.8664924821358202</v>
      </c>
      <c r="S809">
        <v>12</v>
      </c>
      <c r="T809">
        <v>35</v>
      </c>
      <c r="U809">
        <v>741.47926901046503</v>
      </c>
      <c r="V809">
        <v>3.9963110974484996E-3</v>
      </c>
      <c r="W809">
        <v>2744714.7977089901</v>
      </c>
      <c r="X809" t="s">
        <v>38</v>
      </c>
      <c r="Y809">
        <f>1-450-977-7649</f>
        <v>-9075</v>
      </c>
    </row>
    <row r="810" spans="1:25" x14ac:dyDescent="0.35">
      <c r="A810">
        <v>33.145633759521303</v>
      </c>
      <c r="B810">
        <v>-117.219116461594</v>
      </c>
      <c r="C810" t="s">
        <v>25</v>
      </c>
      <c r="D810">
        <v>38.371097271363702</v>
      </c>
      <c r="E810">
        <v>6</v>
      </c>
      <c r="F810">
        <v>2636</v>
      </c>
      <c r="G810">
        <v>1</v>
      </c>
      <c r="H810">
        <v>1</v>
      </c>
      <c r="I810">
        <v>1987</v>
      </c>
      <c r="J810">
        <v>1</v>
      </c>
      <c r="K810">
        <v>1</v>
      </c>
      <c r="L810">
        <v>0</v>
      </c>
      <c r="M810">
        <v>14</v>
      </c>
      <c r="N810" t="s">
        <v>35</v>
      </c>
      <c r="O810" t="s">
        <v>32</v>
      </c>
      <c r="P810">
        <v>14.808496656369501</v>
      </c>
      <c r="Q810">
        <v>1.94107387957223</v>
      </c>
      <c r="R810">
        <v>2.5761959237621501</v>
      </c>
      <c r="S810">
        <v>152</v>
      </c>
      <c r="T810">
        <v>26</v>
      </c>
      <c r="U810">
        <v>466.76897677630899</v>
      </c>
      <c r="V810">
        <v>5.3110773899848196E-3</v>
      </c>
      <c r="W810">
        <v>1452891.61729006</v>
      </c>
      <c r="X810" t="s">
        <v>36</v>
      </c>
      <c r="Y810">
        <f>1-862-500-6848</f>
        <v>-8209</v>
      </c>
    </row>
    <row r="811" spans="1:25" x14ac:dyDescent="0.35">
      <c r="A811">
        <v>34.8005074553027</v>
      </c>
      <c r="B811">
        <v>-120.979967899051</v>
      </c>
      <c r="C811" t="s">
        <v>34</v>
      </c>
      <c r="D811">
        <v>45.832895033238103</v>
      </c>
      <c r="E811">
        <v>0</v>
      </c>
      <c r="F811">
        <v>1689</v>
      </c>
      <c r="G811">
        <v>1</v>
      </c>
      <c r="H811">
        <v>2</v>
      </c>
      <c r="I811">
        <v>1966</v>
      </c>
      <c r="J811">
        <v>0</v>
      </c>
      <c r="K811">
        <v>1</v>
      </c>
      <c r="L811">
        <v>0</v>
      </c>
      <c r="M811">
        <v>12</v>
      </c>
      <c r="N811" t="s">
        <v>35</v>
      </c>
      <c r="O811" t="s">
        <v>30</v>
      </c>
      <c r="P811">
        <v>6.2672781399099904</v>
      </c>
      <c r="Q811">
        <v>1.8516447519857699</v>
      </c>
      <c r="R811">
        <v>6.6431719262268096</v>
      </c>
      <c r="S811">
        <v>36</v>
      </c>
      <c r="T811">
        <v>29</v>
      </c>
      <c r="U811">
        <v>585.47951478993502</v>
      </c>
      <c r="V811">
        <v>7.1047957371225502E-3</v>
      </c>
      <c r="W811">
        <v>1153337.0351140599</v>
      </c>
      <c r="X811" t="s">
        <v>40</v>
      </c>
      <c r="Y811">
        <f>1-538-835-3052</f>
        <v>-4424</v>
      </c>
    </row>
    <row r="812" spans="1:25" x14ac:dyDescent="0.35">
      <c r="A812">
        <v>41.803594074321502</v>
      </c>
      <c r="B812">
        <v>-118.033270412516</v>
      </c>
      <c r="C812" t="s">
        <v>29</v>
      </c>
      <c r="D812">
        <v>2.4759736156451702</v>
      </c>
      <c r="E812">
        <v>0</v>
      </c>
      <c r="F812">
        <v>3989</v>
      </c>
      <c r="G812">
        <v>3</v>
      </c>
      <c r="H812">
        <v>1</v>
      </c>
      <c r="I812">
        <v>2003</v>
      </c>
      <c r="J812">
        <v>1</v>
      </c>
      <c r="K812">
        <v>0</v>
      </c>
      <c r="L812">
        <v>1</v>
      </c>
      <c r="M812">
        <v>11</v>
      </c>
      <c r="N812" t="s">
        <v>37</v>
      </c>
      <c r="O812" t="s">
        <v>27</v>
      </c>
      <c r="P812">
        <v>7.1963447284730497</v>
      </c>
      <c r="Q812">
        <v>2.1594992794805199</v>
      </c>
      <c r="R812">
        <v>7.2220051813581696</v>
      </c>
      <c r="S812">
        <v>120</v>
      </c>
      <c r="T812">
        <v>21</v>
      </c>
      <c r="U812">
        <v>278.60940876299998</v>
      </c>
      <c r="V812">
        <v>2.7575833542241102E-3</v>
      </c>
      <c r="W812">
        <v>1438842.3134958199</v>
      </c>
      <c r="X812" t="s">
        <v>43</v>
      </c>
      <c r="Y812">
        <f>1-848-940-6871</f>
        <v>-8658</v>
      </c>
    </row>
    <row r="813" spans="1:25" x14ac:dyDescent="0.35">
      <c r="A813">
        <v>36.720144821999298</v>
      </c>
      <c r="B813">
        <v>-115.660718147004</v>
      </c>
      <c r="C813" t="s">
        <v>25</v>
      </c>
      <c r="D813">
        <v>9.2251096496044998</v>
      </c>
      <c r="E813">
        <v>3</v>
      </c>
      <c r="F813">
        <v>3412</v>
      </c>
      <c r="G813">
        <v>2</v>
      </c>
      <c r="H813">
        <v>1</v>
      </c>
      <c r="I813">
        <v>1987</v>
      </c>
      <c r="J813">
        <v>0</v>
      </c>
      <c r="K813">
        <v>1</v>
      </c>
      <c r="L813">
        <v>1</v>
      </c>
      <c r="M813">
        <v>2</v>
      </c>
      <c r="N813" t="s">
        <v>35</v>
      </c>
      <c r="O813" t="s">
        <v>32</v>
      </c>
      <c r="P813">
        <v>2.3837577430420001</v>
      </c>
      <c r="Q813">
        <v>1.69631239362991</v>
      </c>
      <c r="R813">
        <v>7.9522049220928803</v>
      </c>
      <c r="S813">
        <v>107</v>
      </c>
      <c r="T813">
        <v>64</v>
      </c>
      <c r="U813">
        <v>424.41437484734399</v>
      </c>
      <c r="V813">
        <v>5.86166471277842E-4</v>
      </c>
      <c r="W813">
        <v>1681824.8711667201</v>
      </c>
      <c r="X813" t="s">
        <v>40</v>
      </c>
      <c r="Y813">
        <f>1-438-585-5696</f>
        <v>-6718</v>
      </c>
    </row>
    <row r="814" spans="1:25" x14ac:dyDescent="0.35">
      <c r="A814">
        <v>35.874246975242102</v>
      </c>
      <c r="B814">
        <v>-116.59830241277</v>
      </c>
      <c r="C814" t="s">
        <v>29</v>
      </c>
      <c r="D814">
        <v>18.552125632119399</v>
      </c>
      <c r="E814">
        <v>9</v>
      </c>
      <c r="F814">
        <v>2098</v>
      </c>
      <c r="G814">
        <v>5</v>
      </c>
      <c r="H814">
        <v>3</v>
      </c>
      <c r="I814">
        <v>1999</v>
      </c>
      <c r="J814">
        <v>1</v>
      </c>
      <c r="K814">
        <v>1</v>
      </c>
      <c r="L814">
        <v>0</v>
      </c>
      <c r="M814">
        <v>9</v>
      </c>
      <c r="N814" t="s">
        <v>37</v>
      </c>
      <c r="O814" t="s">
        <v>30</v>
      </c>
      <c r="P814">
        <v>14.4179707658176</v>
      </c>
      <c r="Q814">
        <v>1.53508667635745</v>
      </c>
      <c r="R814">
        <v>7.8030053920709799</v>
      </c>
      <c r="S814">
        <v>195</v>
      </c>
      <c r="T814">
        <v>79</v>
      </c>
      <c r="U814">
        <v>731.97489292481805</v>
      </c>
      <c r="V814">
        <v>4.2897998093422299E-3</v>
      </c>
      <c r="W814">
        <v>2057944.92760413</v>
      </c>
      <c r="X814" t="s">
        <v>38</v>
      </c>
      <c r="Y814">
        <f>1-416-677-2692</f>
        <v>-3784</v>
      </c>
    </row>
    <row r="815" spans="1:25" x14ac:dyDescent="0.35">
      <c r="A815">
        <v>41.795449701432801</v>
      </c>
      <c r="B815">
        <v>-120.720616715624</v>
      </c>
      <c r="C815" t="s">
        <v>34</v>
      </c>
      <c r="D815">
        <v>20.826065188944199</v>
      </c>
      <c r="E815">
        <v>5</v>
      </c>
      <c r="F815">
        <v>3805</v>
      </c>
      <c r="G815">
        <v>3</v>
      </c>
      <c r="H815">
        <v>1</v>
      </c>
      <c r="I815">
        <v>1966</v>
      </c>
      <c r="J815">
        <v>1</v>
      </c>
      <c r="K815">
        <v>1</v>
      </c>
      <c r="L815">
        <v>1</v>
      </c>
      <c r="M815">
        <v>13</v>
      </c>
      <c r="N815" t="s">
        <v>26</v>
      </c>
      <c r="O815" t="s">
        <v>27</v>
      </c>
      <c r="P815">
        <v>6.70814119493755</v>
      </c>
      <c r="Q815">
        <v>1.26622600637327</v>
      </c>
      <c r="R815">
        <v>0.85362623555623396</v>
      </c>
      <c r="S815">
        <v>67</v>
      </c>
      <c r="T815">
        <v>72</v>
      </c>
      <c r="U815">
        <v>788.41548278902997</v>
      </c>
      <c r="V815">
        <v>3.4165571616294301E-3</v>
      </c>
      <c r="W815">
        <v>3275088.9815378399</v>
      </c>
      <c r="X815" t="s">
        <v>33</v>
      </c>
      <c r="Y815">
        <f>1-253-932-8725</f>
        <v>-9909</v>
      </c>
    </row>
    <row r="816" spans="1:25" x14ac:dyDescent="0.35">
      <c r="A816">
        <v>34.846149119837797</v>
      </c>
      <c r="B816">
        <v>-124.039189269527</v>
      </c>
      <c r="C816" t="s">
        <v>29</v>
      </c>
      <c r="D816">
        <v>16.881099910179898</v>
      </c>
      <c r="E816">
        <v>8</v>
      </c>
      <c r="F816">
        <v>3056</v>
      </c>
      <c r="G816">
        <v>1</v>
      </c>
      <c r="H816">
        <v>3</v>
      </c>
      <c r="I816">
        <v>2010</v>
      </c>
      <c r="J816">
        <v>1</v>
      </c>
      <c r="K816">
        <v>1</v>
      </c>
      <c r="L816">
        <v>1</v>
      </c>
      <c r="M816">
        <v>12</v>
      </c>
      <c r="N816" t="s">
        <v>35</v>
      </c>
      <c r="O816" t="s">
        <v>30</v>
      </c>
      <c r="P816">
        <v>5.4317937162032797</v>
      </c>
      <c r="Q816">
        <v>2.1373371455475501</v>
      </c>
      <c r="R816">
        <v>5.0710264382556103</v>
      </c>
      <c r="S816">
        <v>66</v>
      </c>
      <c r="T816">
        <v>70</v>
      </c>
      <c r="U816">
        <v>547.24563266898201</v>
      </c>
      <c r="V816">
        <v>3.9267015706806203E-3</v>
      </c>
      <c r="W816">
        <v>1926699.6789301699</v>
      </c>
      <c r="X816" t="s">
        <v>38</v>
      </c>
      <c r="Y816">
        <f>1-439-992-3169</f>
        <v>-4599</v>
      </c>
    </row>
    <row r="817" spans="1:25" x14ac:dyDescent="0.35">
      <c r="A817">
        <v>36.845115280208603</v>
      </c>
      <c r="B817">
        <v>-116.22522735788201</v>
      </c>
      <c r="C817" t="s">
        <v>34</v>
      </c>
      <c r="D817">
        <v>46.407157115270998</v>
      </c>
      <c r="E817">
        <v>5</v>
      </c>
      <c r="F817">
        <v>1780</v>
      </c>
      <c r="G817">
        <v>5</v>
      </c>
      <c r="H817">
        <v>3</v>
      </c>
      <c r="I817">
        <v>1991</v>
      </c>
      <c r="J817">
        <v>0</v>
      </c>
      <c r="K817">
        <v>1</v>
      </c>
      <c r="L817">
        <v>1</v>
      </c>
      <c r="M817">
        <v>11</v>
      </c>
      <c r="N817" t="s">
        <v>37</v>
      </c>
      <c r="O817" t="s">
        <v>32</v>
      </c>
      <c r="P817">
        <v>13.2004680495562</v>
      </c>
      <c r="Q817">
        <v>0.87102622067262703</v>
      </c>
      <c r="R817">
        <v>8.97756789961959</v>
      </c>
      <c r="S817">
        <v>73</v>
      </c>
      <c r="T817">
        <v>77</v>
      </c>
      <c r="U817">
        <v>908.40428452227297</v>
      </c>
      <c r="V817">
        <v>6.1797752808988703E-3</v>
      </c>
      <c r="W817">
        <v>2138969.5864713802</v>
      </c>
      <c r="X817" t="s">
        <v>40</v>
      </c>
      <c r="Y817">
        <f>1-529-781-4138</f>
        <v>-5447</v>
      </c>
    </row>
    <row r="818" spans="1:25" x14ac:dyDescent="0.35">
      <c r="A818">
        <v>41.474194222400698</v>
      </c>
      <c r="B818">
        <v>-117.20670877641599</v>
      </c>
      <c r="C818" t="s">
        <v>25</v>
      </c>
      <c r="D818">
        <v>44.4687145071712</v>
      </c>
      <c r="E818">
        <v>0</v>
      </c>
      <c r="F818">
        <v>1609</v>
      </c>
      <c r="G818">
        <v>2</v>
      </c>
      <c r="H818">
        <v>2</v>
      </c>
      <c r="I818">
        <v>1958</v>
      </c>
      <c r="J818">
        <v>1</v>
      </c>
      <c r="K818">
        <v>0</v>
      </c>
      <c r="L818">
        <v>1</v>
      </c>
      <c r="M818">
        <v>14</v>
      </c>
      <c r="N818" t="s">
        <v>41</v>
      </c>
      <c r="O818" t="s">
        <v>32</v>
      </c>
      <c r="P818">
        <v>10.0016086929199</v>
      </c>
      <c r="Q818">
        <v>1.30790489920082</v>
      </c>
      <c r="R818">
        <v>8.8369487780874199</v>
      </c>
      <c r="S818">
        <v>105</v>
      </c>
      <c r="T818">
        <v>35</v>
      </c>
      <c r="U818">
        <v>313.510485865281</v>
      </c>
      <c r="V818">
        <v>8.7010565568676201E-3</v>
      </c>
      <c r="W818">
        <v>627413.44015662</v>
      </c>
      <c r="X818" t="s">
        <v>28</v>
      </c>
      <c r="Y818">
        <f>1-866-237-8140</f>
        <v>-9242</v>
      </c>
    </row>
    <row r="819" spans="1:25" x14ac:dyDescent="0.35">
      <c r="A819">
        <v>41.943783016251501</v>
      </c>
      <c r="B819">
        <v>-118.232758955717</v>
      </c>
      <c r="C819" t="s">
        <v>29</v>
      </c>
      <c r="D819">
        <v>33.5752990193469</v>
      </c>
      <c r="E819">
        <v>1</v>
      </c>
      <c r="F819">
        <v>2824</v>
      </c>
      <c r="G819">
        <v>1</v>
      </c>
      <c r="H819">
        <v>1</v>
      </c>
      <c r="I819">
        <v>2019</v>
      </c>
      <c r="J819">
        <v>1</v>
      </c>
      <c r="K819">
        <v>1</v>
      </c>
      <c r="L819">
        <v>1</v>
      </c>
      <c r="M819">
        <v>10</v>
      </c>
      <c r="N819" t="s">
        <v>41</v>
      </c>
      <c r="O819" t="s">
        <v>32</v>
      </c>
      <c r="P819">
        <v>3.9095267713431299</v>
      </c>
      <c r="Q819">
        <v>0.72774900077292504</v>
      </c>
      <c r="R819">
        <v>2.5989959912451699</v>
      </c>
      <c r="S819">
        <v>82</v>
      </c>
      <c r="T819">
        <v>48</v>
      </c>
      <c r="U819">
        <v>999.23590395349402</v>
      </c>
      <c r="V819">
        <v>3.5410764872521199E-3</v>
      </c>
      <c r="W819">
        <v>3119276.86578805</v>
      </c>
      <c r="X819" t="s">
        <v>42</v>
      </c>
      <c r="Y819">
        <f>1-880-464-1217</f>
        <v>-2560</v>
      </c>
    </row>
    <row r="820" spans="1:25" x14ac:dyDescent="0.35">
      <c r="A820">
        <v>40.349021142046801</v>
      </c>
      <c r="B820">
        <v>-116.336738260826</v>
      </c>
      <c r="C820" t="s">
        <v>34</v>
      </c>
      <c r="D820">
        <v>34.542007780186303</v>
      </c>
      <c r="E820">
        <v>9</v>
      </c>
      <c r="F820">
        <v>2984</v>
      </c>
      <c r="G820">
        <v>3</v>
      </c>
      <c r="H820">
        <v>2</v>
      </c>
      <c r="I820">
        <v>1995</v>
      </c>
      <c r="J820">
        <v>1</v>
      </c>
      <c r="K820">
        <v>0</v>
      </c>
      <c r="L820">
        <v>1</v>
      </c>
      <c r="M820">
        <v>10</v>
      </c>
      <c r="N820" t="s">
        <v>41</v>
      </c>
      <c r="O820" t="s">
        <v>32</v>
      </c>
      <c r="P820">
        <v>6.6250434165383298</v>
      </c>
      <c r="Q820">
        <v>2.2604227783105499</v>
      </c>
      <c r="R820">
        <v>5.3219733926335699</v>
      </c>
      <c r="S820">
        <v>146</v>
      </c>
      <c r="T820">
        <v>22</v>
      </c>
      <c r="U820">
        <v>627.56174373065005</v>
      </c>
      <c r="V820">
        <v>3.35120643431635E-3</v>
      </c>
      <c r="W820">
        <v>2119191.2883676798</v>
      </c>
      <c r="X820" t="s">
        <v>42</v>
      </c>
      <c r="Y820">
        <f>1-911-170-3843</f>
        <v>-4923</v>
      </c>
    </row>
    <row r="821" spans="1:25" x14ac:dyDescent="0.35">
      <c r="A821">
        <v>39.156961286388999</v>
      </c>
      <c r="B821">
        <v>-121.87169626364999</v>
      </c>
      <c r="C821" t="s">
        <v>25</v>
      </c>
      <c r="D821">
        <v>47.288799534501401</v>
      </c>
      <c r="E821">
        <v>0</v>
      </c>
      <c r="F821">
        <v>2172</v>
      </c>
      <c r="G821">
        <v>3</v>
      </c>
      <c r="H821">
        <v>2</v>
      </c>
      <c r="I821">
        <v>2014</v>
      </c>
      <c r="J821">
        <v>0</v>
      </c>
      <c r="K821">
        <v>1</v>
      </c>
      <c r="L821">
        <v>0</v>
      </c>
      <c r="M821">
        <v>7</v>
      </c>
      <c r="N821" t="s">
        <v>37</v>
      </c>
      <c r="O821" t="s">
        <v>27</v>
      </c>
      <c r="P821">
        <v>2.1426977838807</v>
      </c>
      <c r="Q821">
        <v>0.91494575848387305</v>
      </c>
      <c r="R821">
        <v>7.1749264571127602</v>
      </c>
      <c r="S821">
        <v>59</v>
      </c>
      <c r="T821">
        <v>48</v>
      </c>
      <c r="U821">
        <v>758.11594042704701</v>
      </c>
      <c r="V821">
        <v>3.22283609576427E-3</v>
      </c>
      <c r="W821">
        <v>1862099.15716819</v>
      </c>
      <c r="X821" t="s">
        <v>33</v>
      </c>
      <c r="Y821">
        <f>1-753-278-1662</f>
        <v>-2692</v>
      </c>
    </row>
    <row r="822" spans="1:25" x14ac:dyDescent="0.35">
      <c r="A822">
        <v>39.688788927897001</v>
      </c>
      <c r="B822">
        <v>-123.524840260071</v>
      </c>
      <c r="C822" t="s">
        <v>25</v>
      </c>
      <c r="D822">
        <v>35.564968168467502</v>
      </c>
      <c r="E822">
        <v>4</v>
      </c>
      <c r="F822">
        <v>3034</v>
      </c>
      <c r="G822">
        <v>2</v>
      </c>
      <c r="H822">
        <v>2</v>
      </c>
      <c r="I822">
        <v>2010</v>
      </c>
      <c r="J822">
        <v>1</v>
      </c>
      <c r="K822">
        <v>0</v>
      </c>
      <c r="L822">
        <v>1</v>
      </c>
      <c r="M822">
        <v>9</v>
      </c>
      <c r="N822" t="s">
        <v>37</v>
      </c>
      <c r="O822" t="s">
        <v>30</v>
      </c>
      <c r="P822">
        <v>2.1713307070438299</v>
      </c>
      <c r="Q822">
        <v>2.25280310864445</v>
      </c>
      <c r="R822">
        <v>9.6239690644553395</v>
      </c>
      <c r="S822">
        <v>113</v>
      </c>
      <c r="T822">
        <v>46</v>
      </c>
      <c r="U822">
        <v>214.60074339451501</v>
      </c>
      <c r="V822">
        <v>2.9663810151614998E-3</v>
      </c>
      <c r="W822">
        <v>742362.98950639099</v>
      </c>
      <c r="X822" t="s">
        <v>28</v>
      </c>
      <c r="Y822">
        <f>1-726-135-8828</f>
        <v>-9688</v>
      </c>
    </row>
    <row r="823" spans="1:25" x14ac:dyDescent="0.35">
      <c r="A823">
        <v>33.494817157371699</v>
      </c>
      <c r="B823">
        <v>-120.15609248829099</v>
      </c>
      <c r="C823" t="s">
        <v>25</v>
      </c>
      <c r="D823">
        <v>18.1444670991119</v>
      </c>
      <c r="E823">
        <v>0</v>
      </c>
      <c r="F823">
        <v>2454</v>
      </c>
      <c r="G823">
        <v>5</v>
      </c>
      <c r="H823">
        <v>2</v>
      </c>
      <c r="I823">
        <v>2019</v>
      </c>
      <c r="J823">
        <v>0</v>
      </c>
      <c r="K823">
        <v>1</v>
      </c>
      <c r="L823">
        <v>0</v>
      </c>
      <c r="M823">
        <v>8</v>
      </c>
      <c r="N823" t="s">
        <v>26</v>
      </c>
      <c r="O823" t="s">
        <v>30</v>
      </c>
      <c r="P823">
        <v>11.253530607126899</v>
      </c>
      <c r="Q823">
        <v>0.850365809227564</v>
      </c>
      <c r="R823">
        <v>5.5729480148442097</v>
      </c>
      <c r="S823">
        <v>140</v>
      </c>
      <c r="T823">
        <v>69</v>
      </c>
      <c r="U823">
        <v>855.41841374373598</v>
      </c>
      <c r="V823">
        <v>3.2599837000814899E-3</v>
      </c>
      <c r="W823">
        <v>2548042.8754890398</v>
      </c>
      <c r="X823" t="s">
        <v>40</v>
      </c>
      <c r="Y823">
        <f>1-351-925-4098</f>
        <v>-5373</v>
      </c>
    </row>
    <row r="824" spans="1:25" x14ac:dyDescent="0.35">
      <c r="A824">
        <v>38.544652195005902</v>
      </c>
      <c r="B824">
        <v>-116.716572684254</v>
      </c>
      <c r="C824" t="s">
        <v>29</v>
      </c>
      <c r="D824">
        <v>30.656590635440001</v>
      </c>
      <c r="E824">
        <v>1</v>
      </c>
      <c r="F824">
        <v>1513</v>
      </c>
      <c r="G824">
        <v>3</v>
      </c>
      <c r="H824">
        <v>1</v>
      </c>
      <c r="I824">
        <v>1957</v>
      </c>
      <c r="J824">
        <v>0</v>
      </c>
      <c r="K824">
        <v>1</v>
      </c>
      <c r="L824">
        <v>0</v>
      </c>
      <c r="M824">
        <v>10</v>
      </c>
      <c r="N824" t="s">
        <v>26</v>
      </c>
      <c r="O824" t="s">
        <v>32</v>
      </c>
      <c r="P824">
        <v>7.0732633126834497</v>
      </c>
      <c r="Q824">
        <v>0.960545542451962</v>
      </c>
      <c r="R824">
        <v>9.1670155799283197</v>
      </c>
      <c r="S824">
        <v>69</v>
      </c>
      <c r="T824">
        <v>44</v>
      </c>
      <c r="U824">
        <v>789.90823443948796</v>
      </c>
      <c r="V824">
        <v>6.6093853271645703E-3</v>
      </c>
      <c r="W824">
        <v>1436311.53401429</v>
      </c>
      <c r="X824" t="s">
        <v>31</v>
      </c>
      <c r="Y824">
        <f>1-356-527-6792</f>
        <v>-7674</v>
      </c>
    </row>
    <row r="825" spans="1:25" x14ac:dyDescent="0.35">
      <c r="A825">
        <v>35.926639275960703</v>
      </c>
      <c r="B825">
        <v>-121.271464348591</v>
      </c>
      <c r="C825" t="s">
        <v>25</v>
      </c>
      <c r="D825">
        <v>34.229639584666799</v>
      </c>
      <c r="E825">
        <v>0</v>
      </c>
      <c r="F825">
        <v>978</v>
      </c>
      <c r="G825">
        <v>3</v>
      </c>
      <c r="H825">
        <v>2</v>
      </c>
      <c r="I825">
        <v>2001</v>
      </c>
      <c r="J825">
        <v>0</v>
      </c>
      <c r="K825">
        <v>1</v>
      </c>
      <c r="L825">
        <v>0</v>
      </c>
      <c r="M825">
        <v>14</v>
      </c>
      <c r="N825" t="s">
        <v>26</v>
      </c>
      <c r="O825" t="s">
        <v>32</v>
      </c>
      <c r="P825">
        <v>2.0901601486349102</v>
      </c>
      <c r="Q825">
        <v>0.69616728380689596</v>
      </c>
      <c r="R825">
        <v>5.1466016496418998</v>
      </c>
      <c r="S825">
        <v>81</v>
      </c>
      <c r="T825">
        <v>28</v>
      </c>
      <c r="U825">
        <v>485.94851003165599</v>
      </c>
      <c r="V825">
        <v>1.43149284253578E-2</v>
      </c>
      <c r="W825">
        <v>697681.79022802995</v>
      </c>
      <c r="X825" t="s">
        <v>28</v>
      </c>
      <c r="Y825">
        <f>1-522-139-6163</f>
        <v>-6823</v>
      </c>
    </row>
    <row r="826" spans="1:25" x14ac:dyDescent="0.35">
      <c r="A826">
        <v>41.115305265037499</v>
      </c>
      <c r="B826">
        <v>-117.844654957629</v>
      </c>
      <c r="C826" t="s">
        <v>25</v>
      </c>
      <c r="D826">
        <v>29.196871263123199</v>
      </c>
      <c r="E826">
        <v>6</v>
      </c>
      <c r="F826">
        <v>1385</v>
      </c>
      <c r="G826">
        <v>4</v>
      </c>
      <c r="H826">
        <v>1</v>
      </c>
      <c r="I826">
        <v>1989</v>
      </c>
      <c r="J826">
        <v>1</v>
      </c>
      <c r="K826">
        <v>1</v>
      </c>
      <c r="L826">
        <v>0</v>
      </c>
      <c r="M826">
        <v>5</v>
      </c>
      <c r="N826" t="s">
        <v>35</v>
      </c>
      <c r="O826" t="s">
        <v>32</v>
      </c>
      <c r="P826">
        <v>9.4688951391889606</v>
      </c>
      <c r="Q826">
        <v>0.80374898740899803</v>
      </c>
      <c r="R826">
        <v>2.09449821720801</v>
      </c>
      <c r="S826">
        <v>100</v>
      </c>
      <c r="T826">
        <v>60</v>
      </c>
      <c r="U826">
        <v>293.48842649641</v>
      </c>
      <c r="V826">
        <v>3.6101083032490898E-3</v>
      </c>
      <c r="W826">
        <v>813837.39268194605</v>
      </c>
      <c r="X826" t="s">
        <v>43</v>
      </c>
      <c r="Y826">
        <f>1-744-475-3182</f>
        <v>-4400</v>
      </c>
    </row>
    <row r="827" spans="1:25" x14ac:dyDescent="0.35">
      <c r="A827">
        <v>37.626595012727797</v>
      </c>
      <c r="B827">
        <v>-117.860336898329</v>
      </c>
      <c r="C827" t="s">
        <v>34</v>
      </c>
      <c r="D827">
        <v>41.6369020389496</v>
      </c>
      <c r="E827">
        <v>9</v>
      </c>
      <c r="F827">
        <v>4758</v>
      </c>
      <c r="G827">
        <v>1</v>
      </c>
      <c r="H827">
        <v>3</v>
      </c>
      <c r="I827">
        <v>2005</v>
      </c>
      <c r="J827">
        <v>1</v>
      </c>
      <c r="K827">
        <v>1</v>
      </c>
      <c r="L827">
        <v>0</v>
      </c>
      <c r="M827">
        <v>14</v>
      </c>
      <c r="N827" t="s">
        <v>41</v>
      </c>
      <c r="O827" t="s">
        <v>27</v>
      </c>
      <c r="P827">
        <v>10.6165431238877</v>
      </c>
      <c r="Q827">
        <v>1.21169989952316</v>
      </c>
      <c r="R827">
        <v>6.1019064503880598</v>
      </c>
      <c r="S827">
        <v>172</v>
      </c>
      <c r="T827">
        <v>60</v>
      </c>
      <c r="U827">
        <v>492.04931526634101</v>
      </c>
      <c r="V827">
        <v>2.9424127784783501E-3</v>
      </c>
      <c r="W827">
        <v>2659022.3161686999</v>
      </c>
      <c r="X827" t="s">
        <v>44</v>
      </c>
      <c r="Y827">
        <f>1-773-345-1327</f>
        <v>-2444</v>
      </c>
    </row>
    <row r="828" spans="1:25" x14ac:dyDescent="0.35">
      <c r="A828">
        <v>39.765971278825901</v>
      </c>
      <c r="B828">
        <v>-116.57412422738101</v>
      </c>
      <c r="C828" t="s">
        <v>25</v>
      </c>
      <c r="D828">
        <v>35.728906290319998</v>
      </c>
      <c r="E828">
        <v>5</v>
      </c>
      <c r="F828">
        <v>594</v>
      </c>
      <c r="G828">
        <v>5</v>
      </c>
      <c r="H828">
        <v>2</v>
      </c>
      <c r="I828">
        <v>1968</v>
      </c>
      <c r="J828">
        <v>1</v>
      </c>
      <c r="K828">
        <v>1</v>
      </c>
      <c r="L828">
        <v>0</v>
      </c>
      <c r="M828">
        <v>9</v>
      </c>
      <c r="N828" t="s">
        <v>35</v>
      </c>
      <c r="O828" t="s">
        <v>30</v>
      </c>
      <c r="P828">
        <v>11.032527854084501</v>
      </c>
      <c r="Q828">
        <v>0.97445104380222103</v>
      </c>
      <c r="R828">
        <v>4.0218569574213996</v>
      </c>
      <c r="S828">
        <v>107</v>
      </c>
      <c r="T828">
        <v>65</v>
      </c>
      <c r="U828">
        <v>214.50548079595899</v>
      </c>
      <c r="V828">
        <v>1.51515151515151E-2</v>
      </c>
      <c r="W828">
        <v>481023.11471931997</v>
      </c>
      <c r="X828" t="s">
        <v>31</v>
      </c>
      <c r="Y828">
        <f>1-657-604-8783</f>
        <v>-10043</v>
      </c>
    </row>
    <row r="829" spans="1:25" x14ac:dyDescent="0.35">
      <c r="A829">
        <v>36.535409239970797</v>
      </c>
      <c r="B829">
        <v>-120.349950839548</v>
      </c>
      <c r="C829" t="s">
        <v>29</v>
      </c>
      <c r="D829">
        <v>27.031190564075601</v>
      </c>
      <c r="E829">
        <v>3</v>
      </c>
      <c r="F829">
        <v>4364</v>
      </c>
      <c r="G829">
        <v>4</v>
      </c>
      <c r="H829">
        <v>1</v>
      </c>
      <c r="I829">
        <v>1956</v>
      </c>
      <c r="J829">
        <v>0</v>
      </c>
      <c r="K829">
        <v>0</v>
      </c>
      <c r="L829">
        <v>0</v>
      </c>
      <c r="M829">
        <v>5</v>
      </c>
      <c r="N829" t="s">
        <v>41</v>
      </c>
      <c r="O829" t="s">
        <v>30</v>
      </c>
      <c r="P829">
        <v>6.69211598696159</v>
      </c>
      <c r="Q829">
        <v>2.1676363533938798</v>
      </c>
      <c r="R829">
        <v>5.8003100264846896</v>
      </c>
      <c r="S829">
        <v>169</v>
      </c>
      <c r="T829">
        <v>27</v>
      </c>
      <c r="U829">
        <v>213.76345742360999</v>
      </c>
      <c r="V829">
        <v>1.1457378551787301E-3</v>
      </c>
      <c r="W829">
        <v>1073766.53505613</v>
      </c>
      <c r="X829" t="s">
        <v>38</v>
      </c>
      <c r="Y829">
        <f>1-237-111-8928</f>
        <v>-9275</v>
      </c>
    </row>
    <row r="830" spans="1:25" x14ac:dyDescent="0.35">
      <c r="A830">
        <v>36.264403725485899</v>
      </c>
      <c r="B830">
        <v>-114.00144859874599</v>
      </c>
      <c r="C830" t="s">
        <v>25</v>
      </c>
      <c r="D830">
        <v>6.4315155064218104</v>
      </c>
      <c r="E830">
        <v>1</v>
      </c>
      <c r="F830">
        <v>747</v>
      </c>
      <c r="G830">
        <v>2</v>
      </c>
      <c r="H830">
        <v>1</v>
      </c>
      <c r="I830">
        <v>1998</v>
      </c>
      <c r="J830">
        <v>1</v>
      </c>
      <c r="K830">
        <v>0</v>
      </c>
      <c r="L830">
        <v>0</v>
      </c>
      <c r="M830">
        <v>13</v>
      </c>
      <c r="N830" t="s">
        <v>41</v>
      </c>
      <c r="O830" t="s">
        <v>32</v>
      </c>
      <c r="P830">
        <v>12.2062793583617</v>
      </c>
      <c r="Q830">
        <v>1.7814503551678</v>
      </c>
      <c r="R830">
        <v>0.82279564742473998</v>
      </c>
      <c r="S830">
        <v>125</v>
      </c>
      <c r="T830">
        <v>49</v>
      </c>
      <c r="U830">
        <v>332.26644675302799</v>
      </c>
      <c r="V830">
        <v>1.7402945113788398E-2</v>
      </c>
      <c r="W830">
        <v>455923.44876899099</v>
      </c>
      <c r="X830" t="s">
        <v>44</v>
      </c>
      <c r="Y830">
        <f>1-896-614-7724</f>
        <v>-9233</v>
      </c>
    </row>
    <row r="831" spans="1:25" x14ac:dyDescent="0.35">
      <c r="A831">
        <v>40.105242038280799</v>
      </c>
      <c r="B831">
        <v>-122.52297068492901</v>
      </c>
      <c r="C831" t="s">
        <v>29</v>
      </c>
      <c r="D831">
        <v>42.665552782196997</v>
      </c>
      <c r="E831">
        <v>1</v>
      </c>
      <c r="F831">
        <v>3866</v>
      </c>
      <c r="G831">
        <v>3</v>
      </c>
      <c r="H831">
        <v>3</v>
      </c>
      <c r="I831">
        <v>1954</v>
      </c>
      <c r="J831">
        <v>1</v>
      </c>
      <c r="K831">
        <v>0</v>
      </c>
      <c r="L831">
        <v>1</v>
      </c>
      <c r="M831">
        <v>13</v>
      </c>
      <c r="N831" t="s">
        <v>37</v>
      </c>
      <c r="O831" t="s">
        <v>30</v>
      </c>
      <c r="P831">
        <v>13.1349372069292</v>
      </c>
      <c r="Q831">
        <v>1.5792644043255499</v>
      </c>
      <c r="R831">
        <v>9.9018794782549406</v>
      </c>
      <c r="S831">
        <v>127</v>
      </c>
      <c r="T831">
        <v>60</v>
      </c>
      <c r="U831">
        <v>502.35934370626597</v>
      </c>
      <c r="V831">
        <v>3.36264873254009E-3</v>
      </c>
      <c r="W831">
        <v>2310022.0474409</v>
      </c>
      <c r="X831" t="s">
        <v>42</v>
      </c>
      <c r="Y831">
        <f>1-948-978-2945</f>
        <v>-4870</v>
      </c>
    </row>
    <row r="832" spans="1:25" x14ac:dyDescent="0.35">
      <c r="A832">
        <v>33.489092241452298</v>
      </c>
      <c r="B832">
        <v>-124.142949912372</v>
      </c>
      <c r="C832" t="s">
        <v>29</v>
      </c>
      <c r="D832">
        <v>10.1930165929765</v>
      </c>
      <c r="E832">
        <v>5</v>
      </c>
      <c r="F832">
        <v>4001</v>
      </c>
      <c r="G832">
        <v>3</v>
      </c>
      <c r="H832">
        <v>1</v>
      </c>
      <c r="I832">
        <v>1978</v>
      </c>
      <c r="J832">
        <v>0</v>
      </c>
      <c r="K832">
        <v>1</v>
      </c>
      <c r="L832">
        <v>0</v>
      </c>
      <c r="M832">
        <v>5</v>
      </c>
      <c r="N832" t="s">
        <v>41</v>
      </c>
      <c r="O832" t="s">
        <v>27</v>
      </c>
      <c r="P832">
        <v>7.6520698068494601</v>
      </c>
      <c r="Q832">
        <v>1.0277955921556801</v>
      </c>
      <c r="R832">
        <v>6.08883263580059</v>
      </c>
      <c r="S832">
        <v>153</v>
      </c>
      <c r="T832">
        <v>64</v>
      </c>
      <c r="U832">
        <v>512.58268075210401</v>
      </c>
      <c r="V832">
        <v>1.2496875781054699E-3</v>
      </c>
      <c r="W832">
        <v>2197444.0597189199</v>
      </c>
      <c r="X832" t="s">
        <v>38</v>
      </c>
      <c r="Y832">
        <f>1-287-899-8842</f>
        <v>-10027</v>
      </c>
    </row>
    <row r="833" spans="1:25" x14ac:dyDescent="0.35">
      <c r="A833">
        <v>32.846570069021297</v>
      </c>
      <c r="B833">
        <v>-114.380721927739</v>
      </c>
      <c r="C833" t="s">
        <v>29</v>
      </c>
      <c r="D833">
        <v>30.440834380862601</v>
      </c>
      <c r="E833">
        <v>5</v>
      </c>
      <c r="F833">
        <v>2302</v>
      </c>
      <c r="G833">
        <v>2</v>
      </c>
      <c r="H833">
        <v>1</v>
      </c>
      <c r="I833">
        <v>1950</v>
      </c>
      <c r="J833">
        <v>0</v>
      </c>
      <c r="K833">
        <v>1</v>
      </c>
      <c r="L833">
        <v>1</v>
      </c>
      <c r="M833">
        <v>8</v>
      </c>
      <c r="N833" t="s">
        <v>26</v>
      </c>
      <c r="O833" t="s">
        <v>30</v>
      </c>
      <c r="P833">
        <v>5.8563461951926197</v>
      </c>
      <c r="Q833">
        <v>1.2787586967298099</v>
      </c>
      <c r="R833">
        <v>0.82672201256421896</v>
      </c>
      <c r="S833">
        <v>142</v>
      </c>
      <c r="T833">
        <v>50</v>
      </c>
      <c r="U833">
        <v>206.299880369021</v>
      </c>
      <c r="V833">
        <v>3.4752389226759299E-3</v>
      </c>
      <c r="W833">
        <v>651638.59807892295</v>
      </c>
      <c r="X833" t="s">
        <v>36</v>
      </c>
      <c r="Y833">
        <f>1-674-910-7820</f>
        <v>-9403</v>
      </c>
    </row>
    <row r="834" spans="1:25" x14ac:dyDescent="0.35">
      <c r="A834">
        <v>40.172474157381899</v>
      </c>
      <c r="B834">
        <v>-122.58195800899099</v>
      </c>
      <c r="C834" t="s">
        <v>29</v>
      </c>
      <c r="D834">
        <v>22.5455951957703</v>
      </c>
      <c r="E834">
        <v>1</v>
      </c>
      <c r="F834">
        <v>1498</v>
      </c>
      <c r="G834">
        <v>3</v>
      </c>
      <c r="H834">
        <v>3</v>
      </c>
      <c r="I834">
        <v>1997</v>
      </c>
      <c r="J834">
        <v>0</v>
      </c>
      <c r="K834">
        <v>1</v>
      </c>
      <c r="L834">
        <v>0</v>
      </c>
      <c r="M834">
        <v>10</v>
      </c>
      <c r="N834" t="s">
        <v>37</v>
      </c>
      <c r="O834" t="s">
        <v>32</v>
      </c>
      <c r="P834">
        <v>6.6947183002483399</v>
      </c>
      <c r="Q834">
        <v>0.52576517260973699</v>
      </c>
      <c r="R834">
        <v>6.5247564627826904</v>
      </c>
      <c r="S834">
        <v>49</v>
      </c>
      <c r="T834">
        <v>41</v>
      </c>
      <c r="U834">
        <v>203.636104048211</v>
      </c>
      <c r="V834">
        <v>6.6755674232309697E-3</v>
      </c>
      <c r="W834">
        <v>670444.25474231294</v>
      </c>
      <c r="X834" t="s">
        <v>31</v>
      </c>
      <c r="Y834">
        <f>1-343-634-3162</f>
        <v>-4138</v>
      </c>
    </row>
    <row r="835" spans="1:25" x14ac:dyDescent="0.35">
      <c r="A835">
        <v>38.086670077438797</v>
      </c>
      <c r="B835">
        <v>-122.64319159145499</v>
      </c>
      <c r="C835" t="s">
        <v>25</v>
      </c>
      <c r="D835">
        <v>45.8338213617522</v>
      </c>
      <c r="E835">
        <v>3</v>
      </c>
      <c r="F835">
        <v>3684</v>
      </c>
      <c r="G835">
        <v>3</v>
      </c>
      <c r="H835">
        <v>3</v>
      </c>
      <c r="I835">
        <v>1992</v>
      </c>
      <c r="J835">
        <v>1</v>
      </c>
      <c r="K835">
        <v>0</v>
      </c>
      <c r="L835">
        <v>0</v>
      </c>
      <c r="M835">
        <v>9</v>
      </c>
      <c r="N835" t="s">
        <v>41</v>
      </c>
      <c r="O835" t="s">
        <v>32</v>
      </c>
      <c r="P835">
        <v>9.4933245269821001</v>
      </c>
      <c r="Q835">
        <v>1.10395955128669</v>
      </c>
      <c r="R835">
        <v>8.2534417285725095</v>
      </c>
      <c r="S835">
        <v>3</v>
      </c>
      <c r="T835">
        <v>39</v>
      </c>
      <c r="U835">
        <v>927.59751610778801</v>
      </c>
      <c r="V835">
        <v>2.442996742671E-3</v>
      </c>
      <c r="W835">
        <v>3701898.8825635901</v>
      </c>
      <c r="X835" t="s">
        <v>28</v>
      </c>
      <c r="Y835">
        <f>1-846-941-8280</f>
        <v>-10066</v>
      </c>
    </row>
    <row r="836" spans="1:25" x14ac:dyDescent="0.35">
      <c r="A836">
        <v>35.306644725208798</v>
      </c>
      <c r="B836">
        <v>-122.889843047759</v>
      </c>
      <c r="C836" t="s">
        <v>34</v>
      </c>
      <c r="D836">
        <v>8.4193388442909498</v>
      </c>
      <c r="E836">
        <v>9</v>
      </c>
      <c r="F836">
        <v>2845</v>
      </c>
      <c r="G836">
        <v>4</v>
      </c>
      <c r="H836">
        <v>3</v>
      </c>
      <c r="I836">
        <v>1968</v>
      </c>
      <c r="J836">
        <v>0</v>
      </c>
      <c r="K836">
        <v>0</v>
      </c>
      <c r="L836">
        <v>0</v>
      </c>
      <c r="M836">
        <v>5</v>
      </c>
      <c r="N836" t="s">
        <v>35</v>
      </c>
      <c r="O836" t="s">
        <v>30</v>
      </c>
      <c r="P836">
        <v>8.2433402277010597</v>
      </c>
      <c r="Q836">
        <v>1.00079398507672</v>
      </c>
      <c r="R836">
        <v>7.4981624350432803</v>
      </c>
      <c r="S836">
        <v>57</v>
      </c>
      <c r="T836">
        <v>22</v>
      </c>
      <c r="U836">
        <v>374.47262659628598</v>
      </c>
      <c r="V836">
        <v>1.7574692442882201E-3</v>
      </c>
      <c r="W836">
        <v>1382592.2483691201</v>
      </c>
      <c r="X836" t="s">
        <v>36</v>
      </c>
      <c r="Y836">
        <f>1-749-108-8835</f>
        <v>-9691</v>
      </c>
    </row>
    <row r="837" spans="1:25" x14ac:dyDescent="0.35">
      <c r="A837">
        <v>34.233190928379898</v>
      </c>
      <c r="B837">
        <v>-117.746301349001</v>
      </c>
      <c r="C837" t="s">
        <v>29</v>
      </c>
      <c r="D837">
        <v>32.423135087484098</v>
      </c>
      <c r="E837">
        <v>0</v>
      </c>
      <c r="F837">
        <v>522</v>
      </c>
      <c r="G837">
        <v>3</v>
      </c>
      <c r="H837">
        <v>2</v>
      </c>
      <c r="I837">
        <v>1960</v>
      </c>
      <c r="J837">
        <v>1</v>
      </c>
      <c r="K837">
        <v>1</v>
      </c>
      <c r="L837">
        <v>0</v>
      </c>
      <c r="M837">
        <v>2</v>
      </c>
      <c r="N837" t="s">
        <v>37</v>
      </c>
      <c r="O837" t="s">
        <v>32</v>
      </c>
      <c r="P837">
        <v>8.5207371688219506</v>
      </c>
      <c r="Q837">
        <v>1.1053685167662399</v>
      </c>
      <c r="R837">
        <v>5.1757498776460498</v>
      </c>
      <c r="S837">
        <v>57</v>
      </c>
      <c r="T837">
        <v>33</v>
      </c>
      <c r="U837">
        <v>921.35646869787604</v>
      </c>
      <c r="V837">
        <v>3.83141762452107E-3</v>
      </c>
      <c r="W837">
        <v>814067.18466138304</v>
      </c>
      <c r="X837" t="s">
        <v>42</v>
      </c>
      <c r="Y837">
        <f>1-379-653-1474</f>
        <v>-2505</v>
      </c>
    </row>
    <row r="838" spans="1:25" x14ac:dyDescent="0.35">
      <c r="A838">
        <v>40.822036275701699</v>
      </c>
      <c r="B838">
        <v>-114.570631385103</v>
      </c>
      <c r="C838" t="s">
        <v>34</v>
      </c>
      <c r="D838">
        <v>31.092952066785401</v>
      </c>
      <c r="E838">
        <v>9</v>
      </c>
      <c r="F838">
        <v>2340</v>
      </c>
      <c r="G838">
        <v>2</v>
      </c>
      <c r="H838">
        <v>2</v>
      </c>
      <c r="I838">
        <v>1955</v>
      </c>
      <c r="J838">
        <v>0</v>
      </c>
      <c r="K838">
        <v>0</v>
      </c>
      <c r="L838">
        <v>1</v>
      </c>
      <c r="M838">
        <v>14</v>
      </c>
      <c r="N838" t="s">
        <v>26</v>
      </c>
      <c r="O838" t="s">
        <v>32</v>
      </c>
      <c r="P838">
        <v>13.360469897786</v>
      </c>
      <c r="Q838">
        <v>2.4305393138664102</v>
      </c>
      <c r="R838">
        <v>9.8284267998922701</v>
      </c>
      <c r="S838">
        <v>137</v>
      </c>
      <c r="T838">
        <v>66</v>
      </c>
      <c r="U838">
        <v>617.60768942282004</v>
      </c>
      <c r="V838">
        <v>5.9829059829059799E-3</v>
      </c>
      <c r="W838">
        <v>1579686.00348082</v>
      </c>
      <c r="X838" t="s">
        <v>44</v>
      </c>
      <c r="Y838">
        <f>1-264-166-1877</f>
        <v>-2306</v>
      </c>
    </row>
    <row r="839" spans="1:25" x14ac:dyDescent="0.35">
      <c r="A839">
        <v>33.664337467333297</v>
      </c>
      <c r="B839">
        <v>-117.44705483359201</v>
      </c>
      <c r="C839" t="s">
        <v>29</v>
      </c>
      <c r="D839">
        <v>11.9275879629431</v>
      </c>
      <c r="E839">
        <v>6</v>
      </c>
      <c r="F839">
        <v>3380</v>
      </c>
      <c r="G839">
        <v>4</v>
      </c>
      <c r="H839">
        <v>2</v>
      </c>
      <c r="I839">
        <v>1979</v>
      </c>
      <c r="J839">
        <v>0</v>
      </c>
      <c r="K839">
        <v>0</v>
      </c>
      <c r="L839">
        <v>0</v>
      </c>
      <c r="M839">
        <v>7</v>
      </c>
      <c r="N839" t="s">
        <v>37</v>
      </c>
      <c r="O839" t="s">
        <v>30</v>
      </c>
      <c r="P839">
        <v>10.302666984110999</v>
      </c>
      <c r="Q839">
        <v>0.628517264373882</v>
      </c>
      <c r="R839">
        <v>2.4596146512439199</v>
      </c>
      <c r="S839">
        <v>8</v>
      </c>
      <c r="T839">
        <v>35</v>
      </c>
      <c r="U839">
        <v>494.93976157124303</v>
      </c>
      <c r="V839">
        <v>2.0710059171597599E-3</v>
      </c>
      <c r="W839">
        <v>1930106.0740092699</v>
      </c>
      <c r="X839" t="s">
        <v>31</v>
      </c>
      <c r="Y839">
        <f>1-693-789-2003</f>
        <v>-3484</v>
      </c>
    </row>
    <row r="840" spans="1:25" x14ac:dyDescent="0.35">
      <c r="A840">
        <v>34.687041045471297</v>
      </c>
      <c r="B840">
        <v>-119.009885189404</v>
      </c>
      <c r="C840" t="s">
        <v>34</v>
      </c>
      <c r="D840">
        <v>48.117407747120303</v>
      </c>
      <c r="E840">
        <v>0</v>
      </c>
      <c r="F840">
        <v>3212</v>
      </c>
      <c r="G840">
        <v>3</v>
      </c>
      <c r="H840">
        <v>3</v>
      </c>
      <c r="I840">
        <v>1960</v>
      </c>
      <c r="J840">
        <v>1</v>
      </c>
      <c r="K840">
        <v>0</v>
      </c>
      <c r="L840">
        <v>1</v>
      </c>
      <c r="M840">
        <v>10</v>
      </c>
      <c r="N840" t="s">
        <v>37</v>
      </c>
      <c r="O840" t="s">
        <v>30</v>
      </c>
      <c r="P840">
        <v>12.5093697385878</v>
      </c>
      <c r="Q840">
        <v>1.89683732534349</v>
      </c>
      <c r="R840">
        <v>1.9093684714631001</v>
      </c>
      <c r="S840">
        <v>106</v>
      </c>
      <c r="T840">
        <v>45</v>
      </c>
      <c r="U840">
        <v>655.66661375130695</v>
      </c>
      <c r="V840">
        <v>3.1133250311332502E-3</v>
      </c>
      <c r="W840">
        <v>2456156.6440583402</v>
      </c>
      <c r="X840" t="s">
        <v>39</v>
      </c>
      <c r="Y840">
        <f>1-468-786-2295</f>
        <v>-3548</v>
      </c>
    </row>
    <row r="841" spans="1:25" x14ac:dyDescent="0.35">
      <c r="A841">
        <v>33.472485801319699</v>
      </c>
      <c r="B841">
        <v>-121.484326656243</v>
      </c>
      <c r="C841" t="s">
        <v>29</v>
      </c>
      <c r="D841">
        <v>18.221615036654601</v>
      </c>
      <c r="E841">
        <v>3</v>
      </c>
      <c r="F841">
        <v>4701</v>
      </c>
      <c r="G841">
        <v>1</v>
      </c>
      <c r="H841">
        <v>3</v>
      </c>
      <c r="I841">
        <v>1962</v>
      </c>
      <c r="J841">
        <v>1</v>
      </c>
      <c r="K841">
        <v>1</v>
      </c>
      <c r="L841">
        <v>1</v>
      </c>
      <c r="M841">
        <v>7</v>
      </c>
      <c r="N841" t="s">
        <v>37</v>
      </c>
      <c r="O841" t="s">
        <v>30</v>
      </c>
      <c r="P841">
        <v>6.51994062793311</v>
      </c>
      <c r="Q841">
        <v>2.1282172505501098</v>
      </c>
      <c r="R841">
        <v>1.5681374031912401</v>
      </c>
      <c r="S841">
        <v>149</v>
      </c>
      <c r="T841">
        <v>55</v>
      </c>
      <c r="U841">
        <v>943.36440606825295</v>
      </c>
      <c r="V841">
        <v>1.48904488406721E-3</v>
      </c>
      <c r="W841">
        <v>4661377.7063726503</v>
      </c>
      <c r="X841" t="s">
        <v>42</v>
      </c>
      <c r="Y841">
        <f>1-505-787-9633</f>
        <v>-10924</v>
      </c>
    </row>
    <row r="842" spans="1:25" x14ac:dyDescent="0.35">
      <c r="A842">
        <v>39.091210402624597</v>
      </c>
      <c r="B842">
        <v>-124.373759146776</v>
      </c>
      <c r="C842" t="s">
        <v>29</v>
      </c>
      <c r="D842">
        <v>10.351198388341899</v>
      </c>
      <c r="E842">
        <v>0</v>
      </c>
      <c r="F842">
        <v>1568</v>
      </c>
      <c r="G842">
        <v>2</v>
      </c>
      <c r="H842">
        <v>1</v>
      </c>
      <c r="I842">
        <v>1966</v>
      </c>
      <c r="J842">
        <v>1</v>
      </c>
      <c r="K842">
        <v>0</v>
      </c>
      <c r="L842">
        <v>0</v>
      </c>
      <c r="M842">
        <v>12</v>
      </c>
      <c r="N842" t="s">
        <v>26</v>
      </c>
      <c r="O842" t="s">
        <v>27</v>
      </c>
      <c r="P842">
        <v>14.085847058782299</v>
      </c>
      <c r="Q842">
        <v>0.61780218312680102</v>
      </c>
      <c r="R842">
        <v>3.7637763158674402</v>
      </c>
      <c r="S842">
        <v>95</v>
      </c>
      <c r="T842">
        <v>47</v>
      </c>
      <c r="U842">
        <v>211.18505324369301</v>
      </c>
      <c r="V842">
        <v>7.6530612244897897E-3</v>
      </c>
      <c r="W842">
        <v>552433.93154897599</v>
      </c>
      <c r="X842" t="s">
        <v>33</v>
      </c>
      <c r="Y842">
        <f>1-953-359-2655</f>
        <v>-3966</v>
      </c>
    </row>
    <row r="843" spans="1:25" x14ac:dyDescent="0.35">
      <c r="A843">
        <v>35.661416513411098</v>
      </c>
      <c r="B843">
        <v>-117.44339536863301</v>
      </c>
      <c r="C843" t="s">
        <v>29</v>
      </c>
      <c r="D843">
        <v>4.7254966857858696</v>
      </c>
      <c r="E843">
        <v>3</v>
      </c>
      <c r="F843">
        <v>3233</v>
      </c>
      <c r="G843">
        <v>3</v>
      </c>
      <c r="H843">
        <v>3</v>
      </c>
      <c r="I843">
        <v>1961</v>
      </c>
      <c r="J843">
        <v>0</v>
      </c>
      <c r="K843">
        <v>1</v>
      </c>
      <c r="L843">
        <v>1</v>
      </c>
      <c r="M843">
        <v>9</v>
      </c>
      <c r="N843" t="s">
        <v>41</v>
      </c>
      <c r="O843" t="s">
        <v>32</v>
      </c>
      <c r="P843">
        <v>13.657745713857601</v>
      </c>
      <c r="Q843">
        <v>0.87425435735450296</v>
      </c>
      <c r="R843">
        <v>4.1003697023761596</v>
      </c>
      <c r="S843">
        <v>192</v>
      </c>
      <c r="T843">
        <v>37</v>
      </c>
      <c r="U843">
        <v>234.33605569535499</v>
      </c>
      <c r="V843">
        <v>2.78379214351995E-3</v>
      </c>
      <c r="W843">
        <v>1217549.5807675701</v>
      </c>
      <c r="X843" t="s">
        <v>42</v>
      </c>
      <c r="Y843">
        <f>1-210-168-2481</f>
        <v>-2858</v>
      </c>
    </row>
    <row r="844" spans="1:25" x14ac:dyDescent="0.35">
      <c r="A844">
        <v>38.433429214822901</v>
      </c>
      <c r="B844">
        <v>-117.825312823823</v>
      </c>
      <c r="C844" t="s">
        <v>25</v>
      </c>
      <c r="D844">
        <v>20.8583083314684</v>
      </c>
      <c r="E844">
        <v>9</v>
      </c>
      <c r="F844">
        <v>1902</v>
      </c>
      <c r="G844">
        <v>5</v>
      </c>
      <c r="H844">
        <v>3</v>
      </c>
      <c r="I844">
        <v>1974</v>
      </c>
      <c r="J844">
        <v>1</v>
      </c>
      <c r="K844">
        <v>0</v>
      </c>
      <c r="L844">
        <v>0</v>
      </c>
      <c r="M844">
        <v>4</v>
      </c>
      <c r="N844" t="s">
        <v>41</v>
      </c>
      <c r="O844" t="s">
        <v>32</v>
      </c>
      <c r="P844">
        <v>5.5693062720864903</v>
      </c>
      <c r="Q844">
        <v>0.57068351224639502</v>
      </c>
      <c r="R844">
        <v>7.5473110882482199</v>
      </c>
      <c r="S844">
        <v>20</v>
      </c>
      <c r="T844">
        <v>28</v>
      </c>
      <c r="U844">
        <v>572.43981121917602</v>
      </c>
      <c r="V844">
        <v>2.1030494216613999E-3</v>
      </c>
      <c r="W844">
        <v>1320860.1046663099</v>
      </c>
      <c r="X844" t="s">
        <v>33</v>
      </c>
      <c r="Y844">
        <f>1-243-668-7251</f>
        <v>-8161</v>
      </c>
    </row>
    <row r="845" spans="1:25" x14ac:dyDescent="0.35">
      <c r="A845">
        <v>37.044083180800897</v>
      </c>
      <c r="B845">
        <v>-114.565400641775</v>
      </c>
      <c r="C845" t="s">
        <v>34</v>
      </c>
      <c r="D845">
        <v>18.1582400178659</v>
      </c>
      <c r="E845">
        <v>9</v>
      </c>
      <c r="F845">
        <v>4533</v>
      </c>
      <c r="G845">
        <v>4</v>
      </c>
      <c r="H845">
        <v>1</v>
      </c>
      <c r="I845">
        <v>1995</v>
      </c>
      <c r="J845">
        <v>1</v>
      </c>
      <c r="K845">
        <v>1</v>
      </c>
      <c r="L845">
        <v>1</v>
      </c>
      <c r="M845">
        <v>7</v>
      </c>
      <c r="N845" t="s">
        <v>37</v>
      </c>
      <c r="O845" t="s">
        <v>27</v>
      </c>
      <c r="P845">
        <v>5.0794231825298004</v>
      </c>
      <c r="Q845">
        <v>0.727459556592432</v>
      </c>
      <c r="R845">
        <v>0.19297152118952601</v>
      </c>
      <c r="S845">
        <v>69</v>
      </c>
      <c r="T845">
        <v>77</v>
      </c>
      <c r="U845">
        <v>352.63789184837299</v>
      </c>
      <c r="V845">
        <v>1.5442311934701E-3</v>
      </c>
      <c r="W845">
        <v>1964278.69243355</v>
      </c>
      <c r="X845" t="s">
        <v>44</v>
      </c>
      <c r="Y845">
        <f>1-281-288-1259</f>
        <v>-1827</v>
      </c>
    </row>
    <row r="846" spans="1:25" x14ac:dyDescent="0.35">
      <c r="A846">
        <v>34.443141148215197</v>
      </c>
      <c r="B846">
        <v>-123.044669500586</v>
      </c>
      <c r="C846" t="s">
        <v>34</v>
      </c>
      <c r="D846">
        <v>27.806413801599799</v>
      </c>
      <c r="E846">
        <v>5</v>
      </c>
      <c r="F846">
        <v>4032</v>
      </c>
      <c r="G846">
        <v>3</v>
      </c>
      <c r="H846">
        <v>2</v>
      </c>
      <c r="I846">
        <v>1961</v>
      </c>
      <c r="J846">
        <v>1</v>
      </c>
      <c r="K846">
        <v>1</v>
      </c>
      <c r="L846">
        <v>1</v>
      </c>
      <c r="M846">
        <v>9</v>
      </c>
      <c r="N846" t="s">
        <v>41</v>
      </c>
      <c r="O846" t="s">
        <v>30</v>
      </c>
      <c r="P846">
        <v>13.165865973883999</v>
      </c>
      <c r="Q846">
        <v>1.51533371038992</v>
      </c>
      <c r="R846">
        <v>4.8128682454774196</v>
      </c>
      <c r="S846">
        <v>140</v>
      </c>
      <c r="T846">
        <v>78</v>
      </c>
      <c r="U846">
        <v>881.44196782624397</v>
      </c>
      <c r="V846">
        <v>2.2321428571428501E-3</v>
      </c>
      <c r="W846">
        <v>3868018.1179019501</v>
      </c>
      <c r="X846" t="s">
        <v>40</v>
      </c>
      <c r="Y846">
        <f>1-940-985-7305</f>
        <v>-9229</v>
      </c>
    </row>
    <row r="847" spans="1:25" x14ac:dyDescent="0.35">
      <c r="A847">
        <v>36.2332623836149</v>
      </c>
      <c r="B847">
        <v>-115.480973189914</v>
      </c>
      <c r="C847" t="s">
        <v>34</v>
      </c>
      <c r="D847">
        <v>3.1153654873662302</v>
      </c>
      <c r="E847">
        <v>5</v>
      </c>
      <c r="F847">
        <v>4108</v>
      </c>
      <c r="G847">
        <v>4</v>
      </c>
      <c r="H847">
        <v>2</v>
      </c>
      <c r="I847">
        <v>1978</v>
      </c>
      <c r="J847">
        <v>0</v>
      </c>
      <c r="K847">
        <v>1</v>
      </c>
      <c r="L847">
        <v>0</v>
      </c>
      <c r="M847">
        <v>5</v>
      </c>
      <c r="N847" t="s">
        <v>41</v>
      </c>
      <c r="O847" t="s">
        <v>32</v>
      </c>
      <c r="P847">
        <v>14.9898336822266</v>
      </c>
      <c r="Q847">
        <v>0.52988880359257495</v>
      </c>
      <c r="R847">
        <v>8.1259202240640391</v>
      </c>
      <c r="S847">
        <v>40</v>
      </c>
      <c r="T847">
        <v>34</v>
      </c>
      <c r="U847">
        <v>345.46782039259398</v>
      </c>
      <c r="V847">
        <v>1.2171372930866601E-3</v>
      </c>
      <c r="W847">
        <v>1739903.6527914801</v>
      </c>
      <c r="X847" t="s">
        <v>43</v>
      </c>
      <c r="Y847">
        <f>1-289-592-4013</f>
        <v>-4893</v>
      </c>
    </row>
    <row r="848" spans="1:25" x14ac:dyDescent="0.35">
      <c r="A848">
        <v>33.336170531806196</v>
      </c>
      <c r="B848">
        <v>-123.365217327181</v>
      </c>
      <c r="C848" t="s">
        <v>25</v>
      </c>
      <c r="D848">
        <v>30.573456754447399</v>
      </c>
      <c r="E848">
        <v>1</v>
      </c>
      <c r="F848">
        <v>673</v>
      </c>
      <c r="G848">
        <v>4</v>
      </c>
      <c r="H848">
        <v>3</v>
      </c>
      <c r="I848">
        <v>1951</v>
      </c>
      <c r="J848">
        <v>0</v>
      </c>
      <c r="K848">
        <v>1</v>
      </c>
      <c r="L848">
        <v>1</v>
      </c>
      <c r="M848">
        <v>14</v>
      </c>
      <c r="N848" t="s">
        <v>26</v>
      </c>
      <c r="O848" t="s">
        <v>27</v>
      </c>
      <c r="P848">
        <v>3.8340475636206102</v>
      </c>
      <c r="Q848">
        <v>0.85446785315594498</v>
      </c>
      <c r="R848">
        <v>5.5034406319350504</v>
      </c>
      <c r="S848">
        <v>161</v>
      </c>
      <c r="T848">
        <v>68</v>
      </c>
      <c r="U848">
        <v>295.44855403933201</v>
      </c>
      <c r="V848">
        <v>2.0802377414561601E-2</v>
      </c>
      <c r="W848">
        <v>419488.14965311502</v>
      </c>
      <c r="X848" t="s">
        <v>40</v>
      </c>
      <c r="Y848">
        <f>1-904-241-9324</f>
        <v>-10468</v>
      </c>
    </row>
    <row r="849" spans="1:25" x14ac:dyDescent="0.35">
      <c r="A849">
        <v>35.984409540400399</v>
      </c>
      <c r="B849">
        <v>-115.614780577275</v>
      </c>
      <c r="C849" t="s">
        <v>29</v>
      </c>
      <c r="D849">
        <v>41.266913358722398</v>
      </c>
      <c r="E849">
        <v>4</v>
      </c>
      <c r="F849">
        <v>3318</v>
      </c>
      <c r="G849">
        <v>2</v>
      </c>
      <c r="H849">
        <v>3</v>
      </c>
      <c r="I849">
        <v>2001</v>
      </c>
      <c r="J849">
        <v>1</v>
      </c>
      <c r="K849">
        <v>0</v>
      </c>
      <c r="L849">
        <v>1</v>
      </c>
      <c r="M849">
        <v>12</v>
      </c>
      <c r="N849" t="s">
        <v>37</v>
      </c>
      <c r="O849" t="s">
        <v>30</v>
      </c>
      <c r="P849">
        <v>12.621866863085501</v>
      </c>
      <c r="Q849">
        <v>2.2690463024332499</v>
      </c>
      <c r="R849">
        <v>1.41914522709333</v>
      </c>
      <c r="S849">
        <v>178</v>
      </c>
      <c r="T849">
        <v>79</v>
      </c>
      <c r="U849">
        <v>265.68706237000202</v>
      </c>
      <c r="V849">
        <v>3.6166365280289299E-3</v>
      </c>
      <c r="W849">
        <v>1208118.68699886</v>
      </c>
      <c r="X849" t="s">
        <v>33</v>
      </c>
      <c r="Y849">
        <f>1-498-136-5911</f>
        <v>-6544</v>
      </c>
    </row>
    <row r="850" spans="1:25" x14ac:dyDescent="0.35">
      <c r="A850">
        <v>35.618085065546097</v>
      </c>
      <c r="B850">
        <v>-121.880887076649</v>
      </c>
      <c r="C850" t="s">
        <v>29</v>
      </c>
      <c r="D850">
        <v>12.542091384923999</v>
      </c>
      <c r="E850">
        <v>6</v>
      </c>
      <c r="F850">
        <v>1127</v>
      </c>
      <c r="G850">
        <v>2</v>
      </c>
      <c r="H850">
        <v>2</v>
      </c>
      <c r="I850">
        <v>1970</v>
      </c>
      <c r="J850">
        <v>1</v>
      </c>
      <c r="K850">
        <v>0</v>
      </c>
      <c r="L850">
        <v>1</v>
      </c>
      <c r="M850">
        <v>2</v>
      </c>
      <c r="N850" t="s">
        <v>35</v>
      </c>
      <c r="O850" t="s">
        <v>30</v>
      </c>
      <c r="P850">
        <v>5.4582434019003303</v>
      </c>
      <c r="Q850">
        <v>2.27796867984924</v>
      </c>
      <c r="R850">
        <v>9.2761819529308394</v>
      </c>
      <c r="S850">
        <v>59</v>
      </c>
      <c r="T850">
        <v>34</v>
      </c>
      <c r="U850">
        <v>874.25886025594798</v>
      </c>
      <c r="V850">
        <v>1.7746228926353101E-3</v>
      </c>
      <c r="W850">
        <v>1197024.1469636799</v>
      </c>
      <c r="X850" t="s">
        <v>31</v>
      </c>
      <c r="Y850">
        <f>1-742-308-7211</f>
        <v>-8260</v>
      </c>
    </row>
    <row r="851" spans="1:25" x14ac:dyDescent="0.35">
      <c r="A851">
        <v>38.494027560206597</v>
      </c>
      <c r="B851">
        <v>-123.73888279212601</v>
      </c>
      <c r="C851" t="s">
        <v>34</v>
      </c>
      <c r="D851">
        <v>13.6173354097782</v>
      </c>
      <c r="E851">
        <v>5</v>
      </c>
      <c r="F851">
        <v>1459</v>
      </c>
      <c r="G851">
        <v>4</v>
      </c>
      <c r="H851">
        <v>1</v>
      </c>
      <c r="I851">
        <v>1989</v>
      </c>
      <c r="J851">
        <v>1</v>
      </c>
      <c r="K851">
        <v>0</v>
      </c>
      <c r="L851">
        <v>0</v>
      </c>
      <c r="M851">
        <v>6</v>
      </c>
      <c r="N851" t="s">
        <v>37</v>
      </c>
      <c r="O851" t="s">
        <v>30</v>
      </c>
      <c r="P851">
        <v>11.4193058034676</v>
      </c>
      <c r="Q851">
        <v>2.3224646629630401</v>
      </c>
      <c r="R851">
        <v>7.9998993487540702</v>
      </c>
      <c r="S851">
        <v>93</v>
      </c>
      <c r="T851">
        <v>70</v>
      </c>
      <c r="U851">
        <v>721.70552381802895</v>
      </c>
      <c r="V851">
        <v>4.1124057573680602E-3</v>
      </c>
      <c r="W851">
        <v>1325687.8128237701</v>
      </c>
      <c r="X851" t="s">
        <v>39</v>
      </c>
      <c r="Y851">
        <f>1-700-163-7824</f>
        <v>-8686</v>
      </c>
    </row>
    <row r="852" spans="1:25" x14ac:dyDescent="0.35">
      <c r="A852">
        <v>39.342754671188302</v>
      </c>
      <c r="B852">
        <v>-114.81225428291</v>
      </c>
      <c r="C852" t="s">
        <v>29</v>
      </c>
      <c r="D852">
        <v>38.516890711961302</v>
      </c>
      <c r="E852">
        <v>6</v>
      </c>
      <c r="F852">
        <v>3836</v>
      </c>
      <c r="G852">
        <v>5</v>
      </c>
      <c r="H852">
        <v>2</v>
      </c>
      <c r="I852">
        <v>1950</v>
      </c>
      <c r="J852">
        <v>1</v>
      </c>
      <c r="K852">
        <v>1</v>
      </c>
      <c r="L852">
        <v>1</v>
      </c>
      <c r="M852">
        <v>7</v>
      </c>
      <c r="N852" t="s">
        <v>26</v>
      </c>
      <c r="O852" t="s">
        <v>27</v>
      </c>
      <c r="P852">
        <v>12.1657498949572</v>
      </c>
      <c r="Q852">
        <v>2.0481188801996</v>
      </c>
      <c r="R852">
        <v>2.2734000155879501</v>
      </c>
      <c r="S852">
        <v>94</v>
      </c>
      <c r="T852">
        <v>72</v>
      </c>
      <c r="U852">
        <v>380.75731841111599</v>
      </c>
      <c r="V852">
        <v>1.8248175182481699E-3</v>
      </c>
      <c r="W852">
        <v>1996248.3287096</v>
      </c>
      <c r="X852" t="s">
        <v>40</v>
      </c>
      <c r="Y852">
        <f>1-869-959-4050</f>
        <v>-5877</v>
      </c>
    </row>
    <row r="853" spans="1:25" x14ac:dyDescent="0.35">
      <c r="A853">
        <v>34.6173021118775</v>
      </c>
      <c r="B853">
        <v>-122.33335185324501</v>
      </c>
      <c r="C853" t="s">
        <v>29</v>
      </c>
      <c r="D853">
        <v>35.403081135925603</v>
      </c>
      <c r="E853">
        <v>5</v>
      </c>
      <c r="F853">
        <v>2402</v>
      </c>
      <c r="G853">
        <v>1</v>
      </c>
      <c r="H853">
        <v>1</v>
      </c>
      <c r="I853">
        <v>1997</v>
      </c>
      <c r="J853">
        <v>0</v>
      </c>
      <c r="K853">
        <v>0</v>
      </c>
      <c r="L853">
        <v>1</v>
      </c>
      <c r="M853">
        <v>11</v>
      </c>
      <c r="N853" t="s">
        <v>41</v>
      </c>
      <c r="O853" t="s">
        <v>32</v>
      </c>
      <c r="P853">
        <v>2.8568016240067502</v>
      </c>
      <c r="Q853">
        <v>1.6995338494732199</v>
      </c>
      <c r="R853">
        <v>2.8846296711219099</v>
      </c>
      <c r="S853">
        <v>0</v>
      </c>
      <c r="T853">
        <v>21</v>
      </c>
      <c r="U853">
        <v>361.10560716579403</v>
      </c>
      <c r="V853">
        <v>4.57951706910907E-3</v>
      </c>
      <c r="W853">
        <v>839482.75663163397</v>
      </c>
      <c r="X853" t="s">
        <v>36</v>
      </c>
      <c r="Y853">
        <f>1-602-630-4279</f>
        <v>-5510</v>
      </c>
    </row>
    <row r="854" spans="1:25" x14ac:dyDescent="0.35">
      <c r="A854">
        <v>33.173919801921599</v>
      </c>
      <c r="B854">
        <v>-118.211564763672</v>
      </c>
      <c r="C854" t="s">
        <v>34</v>
      </c>
      <c r="D854">
        <v>11.3878202547243</v>
      </c>
      <c r="E854">
        <v>1</v>
      </c>
      <c r="F854">
        <v>1741</v>
      </c>
      <c r="G854">
        <v>1</v>
      </c>
      <c r="H854">
        <v>1</v>
      </c>
      <c r="I854">
        <v>1952</v>
      </c>
      <c r="J854">
        <v>0</v>
      </c>
      <c r="K854">
        <v>0</v>
      </c>
      <c r="L854">
        <v>0</v>
      </c>
      <c r="M854">
        <v>7</v>
      </c>
      <c r="N854" t="s">
        <v>26</v>
      </c>
      <c r="O854" t="s">
        <v>27</v>
      </c>
      <c r="P854">
        <v>12.0687193513194</v>
      </c>
      <c r="Q854">
        <v>1.5125909355262399</v>
      </c>
      <c r="R854">
        <v>1.4661196118854101</v>
      </c>
      <c r="S854">
        <v>90</v>
      </c>
      <c r="T854">
        <v>36</v>
      </c>
      <c r="U854">
        <v>845.65681482470097</v>
      </c>
      <c r="V854">
        <v>4.0206777713957496E-3</v>
      </c>
      <c r="W854">
        <v>1550701.59308253</v>
      </c>
      <c r="X854" t="s">
        <v>43</v>
      </c>
      <c r="Y854">
        <f>1-489-289-1560</f>
        <v>-2337</v>
      </c>
    </row>
    <row r="855" spans="1:25" x14ac:dyDescent="0.35">
      <c r="A855">
        <v>37.818041127155198</v>
      </c>
      <c r="B855">
        <v>-118.460245925002</v>
      </c>
      <c r="C855" t="s">
        <v>34</v>
      </c>
      <c r="D855">
        <v>45.993701951139002</v>
      </c>
      <c r="E855">
        <v>2</v>
      </c>
      <c r="F855">
        <v>1869</v>
      </c>
      <c r="G855">
        <v>3</v>
      </c>
      <c r="H855">
        <v>1</v>
      </c>
      <c r="I855">
        <v>1957</v>
      </c>
      <c r="J855">
        <v>0</v>
      </c>
      <c r="K855">
        <v>0</v>
      </c>
      <c r="L855">
        <v>0</v>
      </c>
      <c r="M855">
        <v>10</v>
      </c>
      <c r="N855" t="s">
        <v>35</v>
      </c>
      <c r="O855" t="s">
        <v>30</v>
      </c>
      <c r="P855">
        <v>12.4040609896681</v>
      </c>
      <c r="Q855">
        <v>1.34692894445102</v>
      </c>
      <c r="R855">
        <v>3.1087726105514402</v>
      </c>
      <c r="S855">
        <v>196</v>
      </c>
      <c r="T855">
        <v>62</v>
      </c>
      <c r="U855">
        <v>554.35069422530705</v>
      </c>
      <c r="V855">
        <v>5.3504547886570296E-3</v>
      </c>
      <c r="W855">
        <v>1118527.4265698199</v>
      </c>
      <c r="X855" t="s">
        <v>44</v>
      </c>
      <c r="Y855">
        <f>1-665-960-9572</f>
        <v>-11196</v>
      </c>
    </row>
    <row r="856" spans="1:25" x14ac:dyDescent="0.35">
      <c r="A856">
        <v>37.604827199486202</v>
      </c>
      <c r="B856">
        <v>-114.142765743852</v>
      </c>
      <c r="C856" t="s">
        <v>29</v>
      </c>
      <c r="D856">
        <v>23.432645739192399</v>
      </c>
      <c r="E856">
        <v>5</v>
      </c>
      <c r="F856">
        <v>695</v>
      </c>
      <c r="G856">
        <v>5</v>
      </c>
      <c r="H856">
        <v>3</v>
      </c>
      <c r="I856">
        <v>1978</v>
      </c>
      <c r="J856">
        <v>0</v>
      </c>
      <c r="K856">
        <v>0</v>
      </c>
      <c r="L856">
        <v>0</v>
      </c>
      <c r="M856">
        <v>5</v>
      </c>
      <c r="N856" t="s">
        <v>41</v>
      </c>
      <c r="O856" t="s">
        <v>32</v>
      </c>
      <c r="P856">
        <v>10.3316436409908</v>
      </c>
      <c r="Q856">
        <v>1.83830118872924</v>
      </c>
      <c r="R856">
        <v>7.7387315339877096</v>
      </c>
      <c r="S856">
        <v>174</v>
      </c>
      <c r="T856">
        <v>42</v>
      </c>
      <c r="U856">
        <v>232.49789536737001</v>
      </c>
      <c r="V856">
        <v>7.1942446043165402E-3</v>
      </c>
      <c r="W856">
        <v>369348.845148616</v>
      </c>
      <c r="X856" t="s">
        <v>28</v>
      </c>
      <c r="Y856">
        <f>1-373-994-4471</f>
        <v>-5837</v>
      </c>
    </row>
    <row r="857" spans="1:25" x14ac:dyDescent="0.35">
      <c r="A857">
        <v>33.382152232613898</v>
      </c>
      <c r="B857">
        <v>-115.2108664676</v>
      </c>
      <c r="C857" t="s">
        <v>29</v>
      </c>
      <c r="D857">
        <v>17.279619869804701</v>
      </c>
      <c r="E857">
        <v>9</v>
      </c>
      <c r="F857">
        <v>2615</v>
      </c>
      <c r="G857">
        <v>4</v>
      </c>
      <c r="H857">
        <v>1</v>
      </c>
      <c r="I857">
        <v>1981</v>
      </c>
      <c r="J857">
        <v>0</v>
      </c>
      <c r="K857">
        <v>1</v>
      </c>
      <c r="L857">
        <v>1</v>
      </c>
      <c r="M857">
        <v>3</v>
      </c>
      <c r="N857" t="s">
        <v>35</v>
      </c>
      <c r="O857" t="s">
        <v>32</v>
      </c>
      <c r="P857">
        <v>10.2817311490351</v>
      </c>
      <c r="Q857">
        <v>1.6391673868915599</v>
      </c>
      <c r="R857">
        <v>9.1131815664894393</v>
      </c>
      <c r="S857">
        <v>49</v>
      </c>
      <c r="T857">
        <v>64</v>
      </c>
      <c r="U857">
        <v>848.87392851415302</v>
      </c>
      <c r="V857">
        <v>1.1472275334608001E-3</v>
      </c>
      <c r="W857">
        <v>2612407.4953075801</v>
      </c>
      <c r="X857" t="s">
        <v>33</v>
      </c>
      <c r="Y857">
        <f>1-721-732-8087</f>
        <v>-9539</v>
      </c>
    </row>
    <row r="858" spans="1:25" x14ac:dyDescent="0.35">
      <c r="A858">
        <v>33.156219761430798</v>
      </c>
      <c r="B858">
        <v>-120.74772568474</v>
      </c>
      <c r="C858" t="s">
        <v>25</v>
      </c>
      <c r="D858">
        <v>8.4666752117921593</v>
      </c>
      <c r="E858">
        <v>5</v>
      </c>
      <c r="F858">
        <v>1070</v>
      </c>
      <c r="G858">
        <v>5</v>
      </c>
      <c r="H858">
        <v>2</v>
      </c>
      <c r="I858">
        <v>2020</v>
      </c>
      <c r="J858">
        <v>1</v>
      </c>
      <c r="K858">
        <v>1</v>
      </c>
      <c r="L858">
        <v>1</v>
      </c>
      <c r="M858">
        <v>2</v>
      </c>
      <c r="N858" t="s">
        <v>41</v>
      </c>
      <c r="O858" t="s">
        <v>30</v>
      </c>
      <c r="P858">
        <v>8.6210831893625492</v>
      </c>
      <c r="Q858">
        <v>1.0648026633018499</v>
      </c>
      <c r="R858">
        <v>0.57815872305954197</v>
      </c>
      <c r="S858">
        <v>50</v>
      </c>
      <c r="T858">
        <v>69</v>
      </c>
      <c r="U858">
        <v>508.56440587639202</v>
      </c>
      <c r="V858">
        <v>1.8691588785046699E-3</v>
      </c>
      <c r="W858">
        <v>1167997.3931402699</v>
      </c>
      <c r="X858" t="s">
        <v>44</v>
      </c>
      <c r="Y858">
        <f>1-344-683-8229</f>
        <v>-9255</v>
      </c>
    </row>
    <row r="859" spans="1:25" x14ac:dyDescent="0.35">
      <c r="A859">
        <v>32.623702022352802</v>
      </c>
      <c r="B859">
        <v>-122.33506757852901</v>
      </c>
      <c r="C859" t="s">
        <v>25</v>
      </c>
      <c r="D859">
        <v>14.9802863354588</v>
      </c>
      <c r="E859">
        <v>4</v>
      </c>
      <c r="F859">
        <v>2157</v>
      </c>
      <c r="G859">
        <v>2</v>
      </c>
      <c r="H859">
        <v>2</v>
      </c>
      <c r="I859">
        <v>1962</v>
      </c>
      <c r="J859">
        <v>0</v>
      </c>
      <c r="K859">
        <v>0</v>
      </c>
      <c r="L859">
        <v>0</v>
      </c>
      <c r="M859">
        <v>2</v>
      </c>
      <c r="N859" t="s">
        <v>35</v>
      </c>
      <c r="O859" t="s">
        <v>27</v>
      </c>
      <c r="P859">
        <v>13.0760806379818</v>
      </c>
      <c r="Q859">
        <v>1.6974790225080201</v>
      </c>
      <c r="R859">
        <v>9.8436053124695597</v>
      </c>
      <c r="S859">
        <v>126</v>
      </c>
      <c r="T859">
        <v>77</v>
      </c>
      <c r="U859">
        <v>613.91154238880097</v>
      </c>
      <c r="V859">
        <v>9.2721372276309598E-4</v>
      </c>
      <c r="W859">
        <v>1436478.00803309</v>
      </c>
      <c r="X859" t="s">
        <v>38</v>
      </c>
      <c r="Y859">
        <f>1-487-540-8441</f>
        <v>-9467</v>
      </c>
    </row>
    <row r="860" spans="1:25" x14ac:dyDescent="0.35">
      <c r="A860">
        <v>41.112820868286299</v>
      </c>
      <c r="B860">
        <v>-118.31731294660599</v>
      </c>
      <c r="C860" t="s">
        <v>25</v>
      </c>
      <c r="D860">
        <v>30.5736395843183</v>
      </c>
      <c r="E860">
        <v>8</v>
      </c>
      <c r="F860">
        <v>1822</v>
      </c>
      <c r="G860">
        <v>4</v>
      </c>
      <c r="H860">
        <v>1</v>
      </c>
      <c r="I860">
        <v>1964</v>
      </c>
      <c r="J860">
        <v>0</v>
      </c>
      <c r="K860">
        <v>0</v>
      </c>
      <c r="L860">
        <v>0</v>
      </c>
      <c r="M860">
        <v>14</v>
      </c>
      <c r="N860" t="s">
        <v>37</v>
      </c>
      <c r="O860" t="s">
        <v>30</v>
      </c>
      <c r="P860">
        <v>10.1315113399727</v>
      </c>
      <c r="Q860">
        <v>1.8056739272112401</v>
      </c>
      <c r="R860">
        <v>2.4778618913844399</v>
      </c>
      <c r="S860">
        <v>61</v>
      </c>
      <c r="T860">
        <v>59</v>
      </c>
      <c r="U860">
        <v>442.852388784737</v>
      </c>
      <c r="V860">
        <v>7.6838638858397297E-3</v>
      </c>
      <c r="W860">
        <v>1022523.84253899</v>
      </c>
      <c r="X860" t="s">
        <v>31</v>
      </c>
      <c r="Y860">
        <f>1-535-518-7939</f>
        <v>-8991</v>
      </c>
    </row>
    <row r="861" spans="1:25" x14ac:dyDescent="0.35">
      <c r="A861">
        <v>34.903825832474503</v>
      </c>
      <c r="B861">
        <v>-119.778252073564</v>
      </c>
      <c r="C861" t="s">
        <v>34</v>
      </c>
      <c r="D861">
        <v>19.914111388019201</v>
      </c>
      <c r="E861">
        <v>3</v>
      </c>
      <c r="F861">
        <v>3015</v>
      </c>
      <c r="G861">
        <v>1</v>
      </c>
      <c r="H861">
        <v>2</v>
      </c>
      <c r="I861">
        <v>1954</v>
      </c>
      <c r="J861">
        <v>0</v>
      </c>
      <c r="K861">
        <v>0</v>
      </c>
      <c r="L861">
        <v>1</v>
      </c>
      <c r="M861">
        <v>6</v>
      </c>
      <c r="N861" t="s">
        <v>26</v>
      </c>
      <c r="O861" t="s">
        <v>32</v>
      </c>
      <c r="P861">
        <v>2.5259524882591098</v>
      </c>
      <c r="Q861">
        <v>1.5496957388835699</v>
      </c>
      <c r="R861">
        <v>7.8650783556061201</v>
      </c>
      <c r="S861">
        <v>74</v>
      </c>
      <c r="T861">
        <v>23</v>
      </c>
      <c r="U861">
        <v>311.90941868782699</v>
      </c>
      <c r="V861">
        <v>1.9900497512437801E-3</v>
      </c>
      <c r="W861">
        <v>958501.31925093697</v>
      </c>
      <c r="X861" t="s">
        <v>42</v>
      </c>
      <c r="Y861">
        <f>1-672-155-1270</f>
        <v>-2096</v>
      </c>
    </row>
    <row r="862" spans="1:25" x14ac:dyDescent="0.35">
      <c r="A862">
        <v>33.987089523050599</v>
      </c>
      <c r="B862">
        <v>-114.784557720406</v>
      </c>
      <c r="C862" t="s">
        <v>25</v>
      </c>
      <c r="D862">
        <v>38.625780794348401</v>
      </c>
      <c r="E862">
        <v>9</v>
      </c>
      <c r="F862">
        <v>4830</v>
      </c>
      <c r="G862">
        <v>5</v>
      </c>
      <c r="H862">
        <v>1</v>
      </c>
      <c r="I862">
        <v>2022</v>
      </c>
      <c r="J862">
        <v>1</v>
      </c>
      <c r="K862">
        <v>0</v>
      </c>
      <c r="L862">
        <v>0</v>
      </c>
      <c r="M862">
        <v>14</v>
      </c>
      <c r="N862" t="s">
        <v>41</v>
      </c>
      <c r="O862" t="s">
        <v>30</v>
      </c>
      <c r="P862">
        <v>7.3639644122590902</v>
      </c>
      <c r="Q862">
        <v>2.0305276518008299</v>
      </c>
      <c r="R862">
        <v>9.1266832244988301</v>
      </c>
      <c r="S862">
        <v>144</v>
      </c>
      <c r="T862">
        <v>61</v>
      </c>
      <c r="U862">
        <v>207.30507762856001</v>
      </c>
      <c r="V862">
        <v>2.8985507246376799E-3</v>
      </c>
      <c r="W862">
        <v>1326405.68265806</v>
      </c>
      <c r="X862" t="s">
        <v>33</v>
      </c>
      <c r="Y862">
        <f>1-626-296-2853</f>
        <v>-3774</v>
      </c>
    </row>
    <row r="863" spans="1:25" x14ac:dyDescent="0.35">
      <c r="A863">
        <v>41.038373195330898</v>
      </c>
      <c r="B863">
        <v>-122.74754171175999</v>
      </c>
      <c r="C863" t="s">
        <v>34</v>
      </c>
      <c r="D863">
        <v>35.832527065584202</v>
      </c>
      <c r="E863">
        <v>9</v>
      </c>
      <c r="F863">
        <v>2561</v>
      </c>
      <c r="G863">
        <v>4</v>
      </c>
      <c r="H863">
        <v>2</v>
      </c>
      <c r="I863">
        <v>1971</v>
      </c>
      <c r="J863">
        <v>1</v>
      </c>
      <c r="K863">
        <v>0</v>
      </c>
      <c r="L863">
        <v>0</v>
      </c>
      <c r="M863">
        <v>10</v>
      </c>
      <c r="N863" t="s">
        <v>26</v>
      </c>
      <c r="O863" t="s">
        <v>32</v>
      </c>
      <c r="P863">
        <v>5.2636953133823603</v>
      </c>
      <c r="Q863">
        <v>2.0473465392420498</v>
      </c>
      <c r="R863">
        <v>7.1321358692904502</v>
      </c>
      <c r="S863">
        <v>7</v>
      </c>
      <c r="T863">
        <v>54</v>
      </c>
      <c r="U863">
        <v>266.53184047405102</v>
      </c>
      <c r="V863">
        <v>3.9047247169074501E-3</v>
      </c>
      <c r="W863">
        <v>893628.60178441601</v>
      </c>
      <c r="X863" t="s">
        <v>43</v>
      </c>
      <c r="Y863">
        <f>1-232-969-5272</f>
        <v>-6472</v>
      </c>
    </row>
    <row r="864" spans="1:25" x14ac:dyDescent="0.35">
      <c r="A864">
        <v>41.604439742302702</v>
      </c>
      <c r="B864">
        <v>-114.478204133212</v>
      </c>
      <c r="C864" t="s">
        <v>25</v>
      </c>
      <c r="D864">
        <v>45.192446694421498</v>
      </c>
      <c r="E864">
        <v>3</v>
      </c>
      <c r="F864">
        <v>511</v>
      </c>
      <c r="G864">
        <v>2</v>
      </c>
      <c r="H864">
        <v>1</v>
      </c>
      <c r="I864">
        <v>2013</v>
      </c>
      <c r="J864">
        <v>0</v>
      </c>
      <c r="K864">
        <v>0</v>
      </c>
      <c r="L864">
        <v>0</v>
      </c>
      <c r="M864">
        <v>4</v>
      </c>
      <c r="N864" t="s">
        <v>35</v>
      </c>
      <c r="O864" t="s">
        <v>30</v>
      </c>
      <c r="P864">
        <v>7.42117555313619</v>
      </c>
      <c r="Q864">
        <v>0.64032307031181201</v>
      </c>
      <c r="R864">
        <v>5.7564839290142196</v>
      </c>
      <c r="S864">
        <v>173</v>
      </c>
      <c r="T864">
        <v>21</v>
      </c>
      <c r="U864">
        <v>512.82217311386398</v>
      </c>
      <c r="V864">
        <v>7.8277886497064506E-3</v>
      </c>
      <c r="W864">
        <v>316703.45995460602</v>
      </c>
      <c r="X864" t="s">
        <v>43</v>
      </c>
      <c r="Y864">
        <f>1-877-711-9642</f>
        <v>-11229</v>
      </c>
    </row>
    <row r="865" spans="1:25" x14ac:dyDescent="0.35">
      <c r="A865">
        <v>35.170892184745497</v>
      </c>
      <c r="B865">
        <v>-114.15051916092099</v>
      </c>
      <c r="C865" t="s">
        <v>34</v>
      </c>
      <c r="D865">
        <v>46.663299810355298</v>
      </c>
      <c r="E865">
        <v>2</v>
      </c>
      <c r="F865">
        <v>640</v>
      </c>
      <c r="G865">
        <v>3</v>
      </c>
      <c r="H865">
        <v>2</v>
      </c>
      <c r="I865">
        <v>2001</v>
      </c>
      <c r="J865">
        <v>0</v>
      </c>
      <c r="K865">
        <v>1</v>
      </c>
      <c r="L865">
        <v>1</v>
      </c>
      <c r="M865">
        <v>4</v>
      </c>
      <c r="N865" t="s">
        <v>26</v>
      </c>
      <c r="O865" t="s">
        <v>27</v>
      </c>
      <c r="P865">
        <v>4.6076565999985997</v>
      </c>
      <c r="Q865">
        <v>1.77991412947028</v>
      </c>
      <c r="R865">
        <v>9.4506538107650293</v>
      </c>
      <c r="S865">
        <v>155</v>
      </c>
      <c r="T865">
        <v>72</v>
      </c>
      <c r="U865">
        <v>862.43013293350805</v>
      </c>
      <c r="V865">
        <v>6.2500000000000003E-3</v>
      </c>
      <c r="W865">
        <v>829437.11657394504</v>
      </c>
      <c r="X865" t="s">
        <v>31</v>
      </c>
      <c r="Y865">
        <f>1-595-218-9155</f>
        <v>-9967</v>
      </c>
    </row>
    <row r="866" spans="1:25" x14ac:dyDescent="0.35">
      <c r="A866">
        <v>33.906439179819202</v>
      </c>
      <c r="B866">
        <v>-117.592976055158</v>
      </c>
      <c r="C866" t="s">
        <v>25</v>
      </c>
      <c r="D866">
        <v>30.004286281711099</v>
      </c>
      <c r="E866">
        <v>9</v>
      </c>
      <c r="F866">
        <v>3734</v>
      </c>
      <c r="G866">
        <v>5</v>
      </c>
      <c r="H866">
        <v>2</v>
      </c>
      <c r="I866">
        <v>2002</v>
      </c>
      <c r="J866">
        <v>0</v>
      </c>
      <c r="K866">
        <v>0</v>
      </c>
      <c r="L866">
        <v>1</v>
      </c>
      <c r="M866">
        <v>13</v>
      </c>
      <c r="N866" t="s">
        <v>26</v>
      </c>
      <c r="O866" t="s">
        <v>27</v>
      </c>
      <c r="P866">
        <v>3.4785394434142001</v>
      </c>
      <c r="Q866">
        <v>1.0002261263032</v>
      </c>
      <c r="R866">
        <v>5.4417919282427603</v>
      </c>
      <c r="S866">
        <v>22</v>
      </c>
      <c r="T866">
        <v>61</v>
      </c>
      <c r="U866">
        <v>635.50121828286899</v>
      </c>
      <c r="V866">
        <v>3.48152115693626E-3</v>
      </c>
      <c r="W866">
        <v>2725540.3410710399</v>
      </c>
      <c r="X866" t="s">
        <v>44</v>
      </c>
      <c r="Y866">
        <f>1-871-427-3128</f>
        <v>-4425</v>
      </c>
    </row>
    <row r="867" spans="1:25" x14ac:dyDescent="0.35">
      <c r="A867">
        <v>36.3569587855321</v>
      </c>
      <c r="B867">
        <v>-123.380583704112</v>
      </c>
      <c r="C867" t="s">
        <v>34</v>
      </c>
      <c r="D867">
        <v>23.541954892721101</v>
      </c>
      <c r="E867">
        <v>5</v>
      </c>
      <c r="F867">
        <v>4300</v>
      </c>
      <c r="G867">
        <v>1</v>
      </c>
      <c r="H867">
        <v>1</v>
      </c>
      <c r="I867">
        <v>1960</v>
      </c>
      <c r="J867">
        <v>1</v>
      </c>
      <c r="K867">
        <v>1</v>
      </c>
      <c r="L867">
        <v>0</v>
      </c>
      <c r="M867">
        <v>8</v>
      </c>
      <c r="N867" t="s">
        <v>26</v>
      </c>
      <c r="O867" t="s">
        <v>30</v>
      </c>
      <c r="P867">
        <v>7.2219741537925897</v>
      </c>
      <c r="Q867">
        <v>2.2972025949617101</v>
      </c>
      <c r="R867">
        <v>2.0720556579197802</v>
      </c>
      <c r="S867">
        <v>175</v>
      </c>
      <c r="T867">
        <v>43</v>
      </c>
      <c r="U867">
        <v>923.506592904125</v>
      </c>
      <c r="V867">
        <v>1.8604651162790599E-3</v>
      </c>
      <c r="W867">
        <v>4121405.72099909</v>
      </c>
      <c r="X867" t="s">
        <v>31</v>
      </c>
      <c r="Y867">
        <f>1-295-242-7769</f>
        <v>-8305</v>
      </c>
    </row>
    <row r="868" spans="1:25" x14ac:dyDescent="0.35">
      <c r="A868">
        <v>35.901768767012904</v>
      </c>
      <c r="B868">
        <v>-115.08583221725</v>
      </c>
      <c r="C868" t="s">
        <v>29</v>
      </c>
      <c r="D868">
        <v>17.4880605603696</v>
      </c>
      <c r="E868">
        <v>6</v>
      </c>
      <c r="F868">
        <v>1176</v>
      </c>
      <c r="G868">
        <v>1</v>
      </c>
      <c r="H868">
        <v>3</v>
      </c>
      <c r="I868">
        <v>1970</v>
      </c>
      <c r="J868">
        <v>0</v>
      </c>
      <c r="K868">
        <v>0</v>
      </c>
      <c r="L868">
        <v>0</v>
      </c>
      <c r="M868">
        <v>14</v>
      </c>
      <c r="N868" t="s">
        <v>35</v>
      </c>
      <c r="O868" t="s">
        <v>30</v>
      </c>
      <c r="P868">
        <v>3.52040181882963</v>
      </c>
      <c r="Q868">
        <v>1.22033551472019</v>
      </c>
      <c r="R868">
        <v>9.4611188833712898</v>
      </c>
      <c r="S868">
        <v>106</v>
      </c>
      <c r="T868">
        <v>68</v>
      </c>
      <c r="U868">
        <v>659.05007959844102</v>
      </c>
      <c r="V868">
        <v>1.1904761904761901E-2</v>
      </c>
      <c r="W868">
        <v>783187.39341438096</v>
      </c>
      <c r="X868" t="s">
        <v>31</v>
      </c>
      <c r="Y868">
        <f>1-370-906-5573</f>
        <v>-6848</v>
      </c>
    </row>
    <row r="869" spans="1:25" x14ac:dyDescent="0.35">
      <c r="A869">
        <v>34.128843043794198</v>
      </c>
      <c r="B869">
        <v>-120.306303473984</v>
      </c>
      <c r="C869" t="s">
        <v>29</v>
      </c>
      <c r="D869">
        <v>39.676551147350601</v>
      </c>
      <c r="E869">
        <v>9</v>
      </c>
      <c r="F869">
        <v>4339</v>
      </c>
      <c r="G869">
        <v>2</v>
      </c>
      <c r="H869">
        <v>3</v>
      </c>
      <c r="I869">
        <v>1967</v>
      </c>
      <c r="J869">
        <v>0</v>
      </c>
      <c r="K869">
        <v>1</v>
      </c>
      <c r="L869">
        <v>0</v>
      </c>
      <c r="M869">
        <v>13</v>
      </c>
      <c r="N869" t="s">
        <v>41</v>
      </c>
      <c r="O869" t="s">
        <v>30</v>
      </c>
      <c r="P869">
        <v>9.5945224027731992</v>
      </c>
      <c r="Q869">
        <v>1.56923588698064</v>
      </c>
      <c r="R869">
        <v>6.1148240198769104</v>
      </c>
      <c r="S869">
        <v>171</v>
      </c>
      <c r="T869">
        <v>33</v>
      </c>
      <c r="U869">
        <v>667.87353133343902</v>
      </c>
      <c r="V869">
        <v>2.9960820465545E-3</v>
      </c>
      <c r="W869">
        <v>3152460.3650872898</v>
      </c>
      <c r="X869" t="s">
        <v>43</v>
      </c>
      <c r="Y869">
        <f>1-890-898-2024</f>
        <v>-3811</v>
      </c>
    </row>
    <row r="870" spans="1:25" x14ac:dyDescent="0.35">
      <c r="A870">
        <v>37.529876015488803</v>
      </c>
      <c r="B870">
        <v>-123.549107576827</v>
      </c>
      <c r="C870" t="s">
        <v>25</v>
      </c>
      <c r="D870">
        <v>42.507656828397003</v>
      </c>
      <c r="E870">
        <v>4</v>
      </c>
      <c r="F870">
        <v>4744</v>
      </c>
      <c r="G870">
        <v>5</v>
      </c>
      <c r="H870">
        <v>1</v>
      </c>
      <c r="I870">
        <v>1954</v>
      </c>
      <c r="J870">
        <v>0</v>
      </c>
      <c r="K870">
        <v>1</v>
      </c>
      <c r="L870">
        <v>0</v>
      </c>
      <c r="M870">
        <v>4</v>
      </c>
      <c r="N870" t="s">
        <v>35</v>
      </c>
      <c r="O870" t="s">
        <v>32</v>
      </c>
      <c r="P870">
        <v>4.6404158344315896</v>
      </c>
      <c r="Q870">
        <v>0.79726029369025497</v>
      </c>
      <c r="R870">
        <v>7.6971434788430901</v>
      </c>
      <c r="S870">
        <v>85</v>
      </c>
      <c r="T870">
        <v>24</v>
      </c>
      <c r="U870">
        <v>744.03717520453404</v>
      </c>
      <c r="V870">
        <v>8.4317032040472095E-4</v>
      </c>
      <c r="W870">
        <v>3812240.5688064699</v>
      </c>
      <c r="X870" t="s">
        <v>40</v>
      </c>
      <c r="Y870">
        <f>1-727-979-4891</f>
        <v>-6596</v>
      </c>
    </row>
    <row r="871" spans="1:25" x14ac:dyDescent="0.35">
      <c r="A871">
        <v>36.614791792987901</v>
      </c>
      <c r="B871">
        <v>-118.567270566974</v>
      </c>
      <c r="C871" t="s">
        <v>29</v>
      </c>
      <c r="D871">
        <v>40.116123042536302</v>
      </c>
      <c r="E871">
        <v>7</v>
      </c>
      <c r="F871">
        <v>4236</v>
      </c>
      <c r="G871">
        <v>3</v>
      </c>
      <c r="H871">
        <v>2</v>
      </c>
      <c r="I871">
        <v>1992</v>
      </c>
      <c r="J871">
        <v>0</v>
      </c>
      <c r="K871">
        <v>0</v>
      </c>
      <c r="L871">
        <v>0</v>
      </c>
      <c r="M871">
        <v>14</v>
      </c>
      <c r="N871" t="s">
        <v>35</v>
      </c>
      <c r="O871" t="s">
        <v>32</v>
      </c>
      <c r="P871">
        <v>11.5863413332928</v>
      </c>
      <c r="Q871">
        <v>0.68271261009694895</v>
      </c>
      <c r="R871">
        <v>6.3520687084674199</v>
      </c>
      <c r="S871">
        <v>104</v>
      </c>
      <c r="T871">
        <v>24</v>
      </c>
      <c r="U871">
        <v>864.89215538408996</v>
      </c>
      <c r="V871">
        <v>3.3050047214353102E-3</v>
      </c>
      <c r="W871">
        <v>3862881.0005706102</v>
      </c>
      <c r="X871" t="s">
        <v>33</v>
      </c>
      <c r="Y871">
        <f>1-635-530-9712</f>
        <v>-10876</v>
      </c>
    </row>
    <row r="872" spans="1:25" x14ac:dyDescent="0.35">
      <c r="A872">
        <v>41.6383625729597</v>
      </c>
      <c r="B872">
        <v>-117.54603665326199</v>
      </c>
      <c r="C872" t="s">
        <v>25</v>
      </c>
      <c r="D872">
        <v>20.170234977147299</v>
      </c>
      <c r="E872">
        <v>1</v>
      </c>
      <c r="F872">
        <v>1389</v>
      </c>
      <c r="G872">
        <v>2</v>
      </c>
      <c r="H872">
        <v>3</v>
      </c>
      <c r="I872">
        <v>2018</v>
      </c>
      <c r="J872">
        <v>0</v>
      </c>
      <c r="K872">
        <v>0</v>
      </c>
      <c r="L872">
        <v>1</v>
      </c>
      <c r="M872">
        <v>9</v>
      </c>
      <c r="N872" t="s">
        <v>41</v>
      </c>
      <c r="O872" t="s">
        <v>32</v>
      </c>
      <c r="P872">
        <v>8.1287904155371908</v>
      </c>
      <c r="Q872">
        <v>1.9723560273346701</v>
      </c>
      <c r="R872">
        <v>5.9608460225147901</v>
      </c>
      <c r="S872">
        <v>87</v>
      </c>
      <c r="T872">
        <v>48</v>
      </c>
      <c r="U872">
        <v>817.52064195253502</v>
      </c>
      <c r="V872">
        <v>6.4794816414686799E-3</v>
      </c>
      <c r="W872">
        <v>1424636.8934739099</v>
      </c>
      <c r="X872" t="s">
        <v>39</v>
      </c>
      <c r="Y872">
        <f>1-561-884-7368</f>
        <v>-8812</v>
      </c>
    </row>
    <row r="873" spans="1:25" x14ac:dyDescent="0.35">
      <c r="A873">
        <v>33.403718302334397</v>
      </c>
      <c r="B873">
        <v>-124.23173490217999</v>
      </c>
      <c r="C873" t="s">
        <v>25</v>
      </c>
      <c r="D873">
        <v>33.641712088741599</v>
      </c>
      <c r="E873">
        <v>9</v>
      </c>
      <c r="F873">
        <v>4337</v>
      </c>
      <c r="G873">
        <v>3</v>
      </c>
      <c r="H873">
        <v>3</v>
      </c>
      <c r="I873">
        <v>2008</v>
      </c>
      <c r="J873">
        <v>1</v>
      </c>
      <c r="K873">
        <v>1</v>
      </c>
      <c r="L873">
        <v>0</v>
      </c>
      <c r="M873">
        <v>12</v>
      </c>
      <c r="N873" t="s">
        <v>41</v>
      </c>
      <c r="O873" t="s">
        <v>32</v>
      </c>
      <c r="P873">
        <v>13.786455575287301</v>
      </c>
      <c r="Q873">
        <v>2.4294122692259799</v>
      </c>
      <c r="R873">
        <v>3.7059178306147502</v>
      </c>
      <c r="S873">
        <v>134</v>
      </c>
      <c r="T873">
        <v>75</v>
      </c>
      <c r="U873">
        <v>913.28025337451402</v>
      </c>
      <c r="V873">
        <v>2.7668895549919298E-3</v>
      </c>
      <c r="W873">
        <v>4446757.4488965701</v>
      </c>
      <c r="X873" t="s">
        <v>38</v>
      </c>
      <c r="Y873">
        <f>1-350-149-2403</f>
        <v>-2901</v>
      </c>
    </row>
    <row r="874" spans="1:25" x14ac:dyDescent="0.35">
      <c r="A874">
        <v>40.840518738371003</v>
      </c>
      <c r="B874">
        <v>-120.380518401624</v>
      </c>
      <c r="C874" t="s">
        <v>25</v>
      </c>
      <c r="D874">
        <v>42.727633291155399</v>
      </c>
      <c r="E874">
        <v>7</v>
      </c>
      <c r="F874">
        <v>4410</v>
      </c>
      <c r="G874">
        <v>1</v>
      </c>
      <c r="H874">
        <v>3</v>
      </c>
      <c r="I874">
        <v>1996</v>
      </c>
      <c r="J874">
        <v>0</v>
      </c>
      <c r="K874">
        <v>1</v>
      </c>
      <c r="L874">
        <v>0</v>
      </c>
      <c r="M874">
        <v>2</v>
      </c>
      <c r="N874" t="s">
        <v>26</v>
      </c>
      <c r="O874" t="s">
        <v>30</v>
      </c>
      <c r="P874">
        <v>3.4484196623838299</v>
      </c>
      <c r="Q874">
        <v>1.12654832074085</v>
      </c>
      <c r="R874">
        <v>6.2423772675850602</v>
      </c>
      <c r="S874">
        <v>45</v>
      </c>
      <c r="T874">
        <v>51</v>
      </c>
      <c r="U874">
        <v>489.40463293343902</v>
      </c>
      <c r="V874">
        <v>4.5351473922902399E-4</v>
      </c>
      <c r="W874">
        <v>2410622.7713002302</v>
      </c>
      <c r="X874" t="s">
        <v>40</v>
      </c>
      <c r="Y874">
        <f>1-721-295-7871</f>
        <v>-8886</v>
      </c>
    </row>
    <row r="875" spans="1:25" x14ac:dyDescent="0.35">
      <c r="A875">
        <v>36.074757184002898</v>
      </c>
      <c r="B875">
        <v>-120.696218462025</v>
      </c>
      <c r="C875" t="s">
        <v>34</v>
      </c>
      <c r="D875">
        <v>40.209560840521398</v>
      </c>
      <c r="E875">
        <v>3</v>
      </c>
      <c r="F875">
        <v>2538</v>
      </c>
      <c r="G875">
        <v>2</v>
      </c>
      <c r="H875">
        <v>1</v>
      </c>
      <c r="I875">
        <v>1963</v>
      </c>
      <c r="J875">
        <v>1</v>
      </c>
      <c r="K875">
        <v>1</v>
      </c>
      <c r="L875">
        <v>0</v>
      </c>
      <c r="M875">
        <v>7</v>
      </c>
      <c r="N875" t="s">
        <v>37</v>
      </c>
      <c r="O875" t="s">
        <v>27</v>
      </c>
      <c r="P875">
        <v>3.94338688182641</v>
      </c>
      <c r="Q875">
        <v>1.7668809233513201</v>
      </c>
      <c r="R875">
        <v>6.5445135476550496</v>
      </c>
      <c r="S875">
        <v>63</v>
      </c>
      <c r="T875">
        <v>35</v>
      </c>
      <c r="U875">
        <v>267.19002673651698</v>
      </c>
      <c r="V875">
        <v>2.75807722616233E-3</v>
      </c>
      <c r="W875">
        <v>937606.20388636505</v>
      </c>
      <c r="X875" t="s">
        <v>31</v>
      </c>
      <c r="Y875">
        <f>1-957-722-5630</f>
        <v>-7308</v>
      </c>
    </row>
    <row r="876" spans="1:25" x14ac:dyDescent="0.35">
      <c r="A876">
        <v>40.406387530938197</v>
      </c>
      <c r="B876">
        <v>-121.99684888365201</v>
      </c>
      <c r="C876" t="s">
        <v>29</v>
      </c>
      <c r="D876">
        <v>44.686028526453597</v>
      </c>
      <c r="E876">
        <v>1</v>
      </c>
      <c r="F876">
        <v>3360</v>
      </c>
      <c r="G876">
        <v>5</v>
      </c>
      <c r="H876">
        <v>3</v>
      </c>
      <c r="I876">
        <v>1963</v>
      </c>
      <c r="J876">
        <v>0</v>
      </c>
      <c r="K876">
        <v>1</v>
      </c>
      <c r="L876">
        <v>1</v>
      </c>
      <c r="M876">
        <v>7</v>
      </c>
      <c r="N876" t="s">
        <v>35</v>
      </c>
      <c r="O876" t="s">
        <v>30</v>
      </c>
      <c r="P876">
        <v>7.6911890024331599</v>
      </c>
      <c r="Q876">
        <v>2.0653739985891302</v>
      </c>
      <c r="R876">
        <v>1.9723330874756499</v>
      </c>
      <c r="S876">
        <v>122</v>
      </c>
      <c r="T876">
        <v>58</v>
      </c>
      <c r="U876">
        <v>431.142503167347</v>
      </c>
      <c r="V876">
        <v>2.0833333333333298E-3</v>
      </c>
      <c r="W876">
        <v>1948769.4127760499</v>
      </c>
      <c r="X876" t="s">
        <v>31</v>
      </c>
      <c r="Y876">
        <f>1-875-226-7761</f>
        <v>-8861</v>
      </c>
    </row>
    <row r="877" spans="1:25" x14ac:dyDescent="0.35">
      <c r="A877">
        <v>37.144573106341497</v>
      </c>
      <c r="B877">
        <v>-124.43651117564001</v>
      </c>
      <c r="C877" t="s">
        <v>25</v>
      </c>
      <c r="D877">
        <v>1.82244158180436</v>
      </c>
      <c r="E877">
        <v>8</v>
      </c>
      <c r="F877">
        <v>1079</v>
      </c>
      <c r="G877">
        <v>4</v>
      </c>
      <c r="H877">
        <v>2</v>
      </c>
      <c r="I877">
        <v>1954</v>
      </c>
      <c r="J877">
        <v>1</v>
      </c>
      <c r="K877">
        <v>0</v>
      </c>
      <c r="L877">
        <v>0</v>
      </c>
      <c r="M877">
        <v>5</v>
      </c>
      <c r="N877" t="s">
        <v>35</v>
      </c>
      <c r="O877" t="s">
        <v>32</v>
      </c>
      <c r="P877">
        <v>11.800528492037399</v>
      </c>
      <c r="Q877">
        <v>1.24780083811793</v>
      </c>
      <c r="R877">
        <v>2.8783851074352902</v>
      </c>
      <c r="S877">
        <v>147</v>
      </c>
      <c r="T877">
        <v>37</v>
      </c>
      <c r="U877">
        <v>761.86625066480701</v>
      </c>
      <c r="V877">
        <v>4.6339202965708899E-3</v>
      </c>
      <c r="W877">
        <v>1098916.78075567</v>
      </c>
      <c r="X877" t="s">
        <v>38</v>
      </c>
      <c r="Y877">
        <f>1-996-408-7026</f>
        <v>-8429</v>
      </c>
    </row>
    <row r="878" spans="1:25" x14ac:dyDescent="0.35">
      <c r="A878">
        <v>37.710554159699797</v>
      </c>
      <c r="B878">
        <v>-121.453190487325</v>
      </c>
      <c r="C878" t="s">
        <v>29</v>
      </c>
      <c r="D878">
        <v>22.0159367182615</v>
      </c>
      <c r="E878">
        <v>3</v>
      </c>
      <c r="F878">
        <v>2348</v>
      </c>
      <c r="G878">
        <v>3</v>
      </c>
      <c r="H878">
        <v>1</v>
      </c>
      <c r="I878">
        <v>1967</v>
      </c>
      <c r="J878">
        <v>0</v>
      </c>
      <c r="K878">
        <v>1</v>
      </c>
      <c r="L878">
        <v>0</v>
      </c>
      <c r="M878">
        <v>10</v>
      </c>
      <c r="N878" t="s">
        <v>41</v>
      </c>
      <c r="O878" t="s">
        <v>32</v>
      </c>
      <c r="P878">
        <v>14.0808051041253</v>
      </c>
      <c r="Q878">
        <v>1.6514592544892901</v>
      </c>
      <c r="R878">
        <v>9.1247663593211392</v>
      </c>
      <c r="S878">
        <v>39</v>
      </c>
      <c r="T878">
        <v>75</v>
      </c>
      <c r="U878">
        <v>445.73856928841099</v>
      </c>
      <c r="V878">
        <v>4.2589437819420704E-3</v>
      </c>
      <c r="W878">
        <v>1312879.8141838601</v>
      </c>
      <c r="X878" t="s">
        <v>43</v>
      </c>
      <c r="Y878">
        <f>1-780-138-4270</f>
        <v>-5187</v>
      </c>
    </row>
    <row r="879" spans="1:25" x14ac:dyDescent="0.35">
      <c r="A879">
        <v>39.052447173678701</v>
      </c>
      <c r="B879">
        <v>-121.01698201776701</v>
      </c>
      <c r="C879" t="s">
        <v>25</v>
      </c>
      <c r="D879">
        <v>2.9572308191264098</v>
      </c>
      <c r="E879">
        <v>9</v>
      </c>
      <c r="F879">
        <v>4473</v>
      </c>
      <c r="G879">
        <v>1</v>
      </c>
      <c r="H879">
        <v>3</v>
      </c>
      <c r="I879">
        <v>1979</v>
      </c>
      <c r="J879">
        <v>1</v>
      </c>
      <c r="K879">
        <v>1</v>
      </c>
      <c r="L879">
        <v>0</v>
      </c>
      <c r="M879">
        <v>13</v>
      </c>
      <c r="N879" t="s">
        <v>35</v>
      </c>
      <c r="O879" t="s">
        <v>30</v>
      </c>
      <c r="P879">
        <v>6.44038509463536</v>
      </c>
      <c r="Q879">
        <v>2.1561274139846098</v>
      </c>
      <c r="R879">
        <v>5.9743581683596503</v>
      </c>
      <c r="S879">
        <v>116</v>
      </c>
      <c r="T879">
        <v>38</v>
      </c>
      <c r="U879">
        <v>326.15830007877798</v>
      </c>
      <c r="V879">
        <v>2.9063268499888201E-3</v>
      </c>
      <c r="W879">
        <v>1790763.3308300001</v>
      </c>
      <c r="X879" t="s">
        <v>33</v>
      </c>
      <c r="Y879">
        <f>1-799-549-5715</f>
        <v>-7062</v>
      </c>
    </row>
    <row r="880" spans="1:25" x14ac:dyDescent="0.35">
      <c r="A880">
        <v>33.877770428834403</v>
      </c>
      <c r="B880">
        <v>-117.90953784060601</v>
      </c>
      <c r="C880" t="s">
        <v>29</v>
      </c>
      <c r="D880">
        <v>42.8150515998637</v>
      </c>
      <c r="E880">
        <v>0</v>
      </c>
      <c r="F880">
        <v>3226</v>
      </c>
      <c r="G880">
        <v>5</v>
      </c>
      <c r="H880">
        <v>2</v>
      </c>
      <c r="I880">
        <v>1983</v>
      </c>
      <c r="J880">
        <v>1</v>
      </c>
      <c r="K880">
        <v>0</v>
      </c>
      <c r="L880">
        <v>0</v>
      </c>
      <c r="M880">
        <v>9</v>
      </c>
      <c r="N880" t="s">
        <v>35</v>
      </c>
      <c r="O880" t="s">
        <v>32</v>
      </c>
      <c r="P880">
        <v>13.0956723734677</v>
      </c>
      <c r="Q880">
        <v>1.18103747329102</v>
      </c>
      <c r="R880">
        <v>0.518469885811916</v>
      </c>
      <c r="S880">
        <v>198</v>
      </c>
      <c r="T880">
        <v>61</v>
      </c>
      <c r="U880">
        <v>863.84405483442401</v>
      </c>
      <c r="V880">
        <v>2.7898326100433898E-3</v>
      </c>
      <c r="W880">
        <v>3134004.6051284899</v>
      </c>
      <c r="X880" t="s">
        <v>38</v>
      </c>
      <c r="Y880">
        <f>1-873-621-6189</f>
        <v>-7682</v>
      </c>
    </row>
    <row r="881" spans="1:25" x14ac:dyDescent="0.35">
      <c r="A881">
        <v>34.926460691901298</v>
      </c>
      <c r="B881">
        <v>-120.584786539671</v>
      </c>
      <c r="C881" t="s">
        <v>29</v>
      </c>
      <c r="D881">
        <v>30.730800005261901</v>
      </c>
      <c r="E881">
        <v>2</v>
      </c>
      <c r="F881">
        <v>4738</v>
      </c>
      <c r="G881">
        <v>3</v>
      </c>
      <c r="H881">
        <v>2</v>
      </c>
      <c r="I881">
        <v>1966</v>
      </c>
      <c r="J881">
        <v>1</v>
      </c>
      <c r="K881">
        <v>0</v>
      </c>
      <c r="L881">
        <v>0</v>
      </c>
      <c r="M881">
        <v>3</v>
      </c>
      <c r="N881" t="s">
        <v>41</v>
      </c>
      <c r="O881" t="s">
        <v>32</v>
      </c>
      <c r="P881">
        <v>10.487542152369899</v>
      </c>
      <c r="Q881">
        <v>2.425191178106</v>
      </c>
      <c r="R881">
        <v>0.84673851718609905</v>
      </c>
      <c r="S881">
        <v>58</v>
      </c>
      <c r="T881">
        <v>79</v>
      </c>
      <c r="U881">
        <v>769.643425927473</v>
      </c>
      <c r="V881">
        <v>6.3317855635289103E-4</v>
      </c>
      <c r="W881">
        <v>3854040.9178025899</v>
      </c>
      <c r="X881" t="s">
        <v>42</v>
      </c>
      <c r="Y881">
        <f>1-791-521-4252</f>
        <v>-5563</v>
      </c>
    </row>
    <row r="882" spans="1:25" x14ac:dyDescent="0.35">
      <c r="A882">
        <v>41.555245309890097</v>
      </c>
      <c r="B882">
        <v>-122.78890211640901</v>
      </c>
      <c r="C882" t="s">
        <v>25</v>
      </c>
      <c r="D882">
        <v>39.913930249441201</v>
      </c>
      <c r="E882">
        <v>3</v>
      </c>
      <c r="F882">
        <v>4177</v>
      </c>
      <c r="G882">
        <v>3</v>
      </c>
      <c r="H882">
        <v>2</v>
      </c>
      <c r="I882">
        <v>2013</v>
      </c>
      <c r="J882">
        <v>1</v>
      </c>
      <c r="K882">
        <v>0</v>
      </c>
      <c r="L882">
        <v>1</v>
      </c>
      <c r="M882">
        <v>9</v>
      </c>
      <c r="N882" t="s">
        <v>26</v>
      </c>
      <c r="O882" t="s">
        <v>27</v>
      </c>
      <c r="P882">
        <v>10.285314470711301</v>
      </c>
      <c r="Q882">
        <v>0.55030133131844605</v>
      </c>
      <c r="R882">
        <v>8.9566666877590499</v>
      </c>
      <c r="S882">
        <v>99</v>
      </c>
      <c r="T882">
        <v>50</v>
      </c>
      <c r="U882">
        <v>411.92017490596299</v>
      </c>
      <c r="V882">
        <v>2.1546564519990402E-3</v>
      </c>
      <c r="W882">
        <v>2024316.2954720799</v>
      </c>
      <c r="X882" t="s">
        <v>28</v>
      </c>
      <c r="Y882">
        <f>1-646-295-8190</f>
        <v>-9130</v>
      </c>
    </row>
    <row r="883" spans="1:25" x14ac:dyDescent="0.35">
      <c r="A883">
        <v>34.768622542162397</v>
      </c>
      <c r="B883">
        <v>-121.066821744565</v>
      </c>
      <c r="C883" t="s">
        <v>29</v>
      </c>
      <c r="D883">
        <v>33.759162297467199</v>
      </c>
      <c r="E883">
        <v>0</v>
      </c>
      <c r="F883">
        <v>774</v>
      </c>
      <c r="G883">
        <v>3</v>
      </c>
      <c r="H883">
        <v>1</v>
      </c>
      <c r="I883">
        <v>1975</v>
      </c>
      <c r="J883">
        <v>1</v>
      </c>
      <c r="K883">
        <v>0</v>
      </c>
      <c r="L883">
        <v>1</v>
      </c>
      <c r="M883">
        <v>4</v>
      </c>
      <c r="N883" t="s">
        <v>35</v>
      </c>
      <c r="O883" t="s">
        <v>32</v>
      </c>
      <c r="P883">
        <v>14.5288359478918</v>
      </c>
      <c r="Q883">
        <v>1.69489417007217</v>
      </c>
      <c r="R883">
        <v>0.90058172488169896</v>
      </c>
      <c r="S883">
        <v>58</v>
      </c>
      <c r="T883">
        <v>45</v>
      </c>
      <c r="U883">
        <v>896.58398806127298</v>
      </c>
      <c r="V883">
        <v>5.1679586563307496E-3</v>
      </c>
      <c r="W883">
        <v>999487.48507307004</v>
      </c>
      <c r="X883" t="s">
        <v>36</v>
      </c>
      <c r="Y883">
        <f>1-780-900-4048</f>
        <v>-5727</v>
      </c>
    </row>
    <row r="884" spans="1:25" x14ac:dyDescent="0.35">
      <c r="A884">
        <v>35.177473650366501</v>
      </c>
      <c r="B884">
        <v>-119.39315865468301</v>
      </c>
      <c r="C884" t="s">
        <v>25</v>
      </c>
      <c r="D884">
        <v>12.701813486768399</v>
      </c>
      <c r="E884">
        <v>3</v>
      </c>
      <c r="F884">
        <v>1406</v>
      </c>
      <c r="G884">
        <v>1</v>
      </c>
      <c r="H884">
        <v>3</v>
      </c>
      <c r="I884">
        <v>2002</v>
      </c>
      <c r="J884">
        <v>0</v>
      </c>
      <c r="K884">
        <v>0</v>
      </c>
      <c r="L884">
        <v>1</v>
      </c>
      <c r="M884">
        <v>13</v>
      </c>
      <c r="N884" t="s">
        <v>37</v>
      </c>
      <c r="O884" t="s">
        <v>30</v>
      </c>
      <c r="P884">
        <v>14.255321634040801</v>
      </c>
      <c r="Q884">
        <v>0.73704842405573501</v>
      </c>
      <c r="R884">
        <v>8.3426323397945907</v>
      </c>
      <c r="S884">
        <v>195</v>
      </c>
      <c r="T884">
        <v>68</v>
      </c>
      <c r="U884">
        <v>921.75270342336103</v>
      </c>
      <c r="V884">
        <v>9.2460881934566096E-3</v>
      </c>
      <c r="W884">
        <v>1578829.76000792</v>
      </c>
      <c r="X884" t="s">
        <v>42</v>
      </c>
      <c r="Y884">
        <f>1-726-974-3127</f>
        <v>-4826</v>
      </c>
    </row>
    <row r="885" spans="1:25" x14ac:dyDescent="0.35">
      <c r="A885">
        <v>37.562345701678197</v>
      </c>
      <c r="B885">
        <v>-117.00779982933901</v>
      </c>
      <c r="C885" t="s">
        <v>29</v>
      </c>
      <c r="D885">
        <v>45.933571883930902</v>
      </c>
      <c r="E885">
        <v>5</v>
      </c>
      <c r="F885">
        <v>2638</v>
      </c>
      <c r="G885">
        <v>1</v>
      </c>
      <c r="H885">
        <v>3</v>
      </c>
      <c r="I885">
        <v>1984</v>
      </c>
      <c r="J885">
        <v>0</v>
      </c>
      <c r="K885">
        <v>0</v>
      </c>
      <c r="L885">
        <v>0</v>
      </c>
      <c r="M885">
        <v>13</v>
      </c>
      <c r="N885" t="s">
        <v>41</v>
      </c>
      <c r="O885" t="s">
        <v>32</v>
      </c>
      <c r="P885">
        <v>2.3243528824205102</v>
      </c>
      <c r="Q885">
        <v>1.3366287857308501</v>
      </c>
      <c r="R885">
        <v>4.0599699620804097</v>
      </c>
      <c r="S885">
        <v>49</v>
      </c>
      <c r="T885">
        <v>21</v>
      </c>
      <c r="U885">
        <v>554.87021817357697</v>
      </c>
      <c r="V885">
        <v>4.9279757391963597E-3</v>
      </c>
      <c r="W885">
        <v>1604183.62887009</v>
      </c>
      <c r="X885" t="s">
        <v>33</v>
      </c>
      <c r="Y885">
        <f>1-630-977-8781</f>
        <v>-10387</v>
      </c>
    </row>
    <row r="886" spans="1:25" x14ac:dyDescent="0.35">
      <c r="A886">
        <v>40.389890557284303</v>
      </c>
      <c r="B886">
        <v>-114.53770233713</v>
      </c>
      <c r="C886" t="s">
        <v>25</v>
      </c>
      <c r="D886">
        <v>6.2846980269647901</v>
      </c>
      <c r="E886">
        <v>5</v>
      </c>
      <c r="F886">
        <v>2779</v>
      </c>
      <c r="G886">
        <v>1</v>
      </c>
      <c r="H886">
        <v>2</v>
      </c>
      <c r="I886">
        <v>1975</v>
      </c>
      <c r="J886">
        <v>1</v>
      </c>
      <c r="K886">
        <v>1</v>
      </c>
      <c r="L886">
        <v>0</v>
      </c>
      <c r="M886">
        <v>13</v>
      </c>
      <c r="N886" t="s">
        <v>37</v>
      </c>
      <c r="O886" t="s">
        <v>32</v>
      </c>
      <c r="P886">
        <v>12.5760021620753</v>
      </c>
      <c r="Q886">
        <v>1.7358518758361301</v>
      </c>
      <c r="R886">
        <v>7.9069442564632304</v>
      </c>
      <c r="S886">
        <v>144</v>
      </c>
      <c r="T886">
        <v>42</v>
      </c>
      <c r="U886">
        <v>261.3690272055</v>
      </c>
      <c r="V886">
        <v>4.6779417056495099E-3</v>
      </c>
      <c r="W886">
        <v>1031328.30832861</v>
      </c>
      <c r="X886" t="s">
        <v>44</v>
      </c>
      <c r="Y886">
        <f>1-536-320-7245</f>
        <v>-8100</v>
      </c>
    </row>
    <row r="887" spans="1:25" x14ac:dyDescent="0.35">
      <c r="A887">
        <v>36.295955051885002</v>
      </c>
      <c r="B887">
        <v>-122.323731947505</v>
      </c>
      <c r="C887" t="s">
        <v>25</v>
      </c>
      <c r="D887">
        <v>41.235861975895503</v>
      </c>
      <c r="E887">
        <v>9</v>
      </c>
      <c r="F887">
        <v>4810</v>
      </c>
      <c r="G887">
        <v>5</v>
      </c>
      <c r="H887">
        <v>3</v>
      </c>
      <c r="I887">
        <v>1967</v>
      </c>
      <c r="J887">
        <v>1</v>
      </c>
      <c r="K887">
        <v>1</v>
      </c>
      <c r="L887">
        <v>0</v>
      </c>
      <c r="M887">
        <v>2</v>
      </c>
      <c r="N887" t="s">
        <v>35</v>
      </c>
      <c r="O887" t="s">
        <v>32</v>
      </c>
      <c r="P887">
        <v>12.0337431956006</v>
      </c>
      <c r="Q887">
        <v>1.1035000317161601</v>
      </c>
      <c r="R887">
        <v>0.41729872911569799</v>
      </c>
      <c r="S887">
        <v>50</v>
      </c>
      <c r="T887">
        <v>44</v>
      </c>
      <c r="U887">
        <v>915.597190835633</v>
      </c>
      <c r="V887">
        <v>4.1580041580041501E-4</v>
      </c>
      <c r="W887">
        <v>4956526.8195540998</v>
      </c>
      <c r="X887" t="s">
        <v>28</v>
      </c>
      <c r="Y887">
        <f>1-689-467-8672</f>
        <v>-9827</v>
      </c>
    </row>
    <row r="888" spans="1:25" x14ac:dyDescent="0.35">
      <c r="A888">
        <v>34.666578608019698</v>
      </c>
      <c r="B888">
        <v>-123.228043194845</v>
      </c>
      <c r="C888" t="s">
        <v>34</v>
      </c>
      <c r="D888">
        <v>7.1020206415704497</v>
      </c>
      <c r="E888">
        <v>5</v>
      </c>
      <c r="F888">
        <v>1527</v>
      </c>
      <c r="G888">
        <v>2</v>
      </c>
      <c r="H888">
        <v>3</v>
      </c>
      <c r="I888">
        <v>1987</v>
      </c>
      <c r="J888">
        <v>1</v>
      </c>
      <c r="K888">
        <v>0</v>
      </c>
      <c r="L888">
        <v>1</v>
      </c>
      <c r="M888">
        <v>4</v>
      </c>
      <c r="N888" t="s">
        <v>37</v>
      </c>
      <c r="O888" t="s">
        <v>27</v>
      </c>
      <c r="P888">
        <v>6.7209978610045003</v>
      </c>
      <c r="Q888">
        <v>0.88046681883739097</v>
      </c>
      <c r="R888">
        <v>2.5157926532275798</v>
      </c>
      <c r="S888">
        <v>22</v>
      </c>
      <c r="T888">
        <v>58</v>
      </c>
      <c r="U888">
        <v>614.76334296737002</v>
      </c>
      <c r="V888">
        <v>2.61951538965291E-3</v>
      </c>
      <c r="W888">
        <v>1307230.9084934001</v>
      </c>
      <c r="X888" t="s">
        <v>40</v>
      </c>
      <c r="Y888">
        <f>1-883-881-4774</f>
        <v>-6537</v>
      </c>
    </row>
    <row r="889" spans="1:25" x14ac:dyDescent="0.35">
      <c r="A889">
        <v>33.757523906511302</v>
      </c>
      <c r="B889">
        <v>-120.765004925398</v>
      </c>
      <c r="C889" t="s">
        <v>34</v>
      </c>
      <c r="D889">
        <v>8.8526036013056597</v>
      </c>
      <c r="E889">
        <v>2</v>
      </c>
      <c r="F889">
        <v>4845</v>
      </c>
      <c r="G889">
        <v>3</v>
      </c>
      <c r="H889">
        <v>2</v>
      </c>
      <c r="I889">
        <v>1971</v>
      </c>
      <c r="J889">
        <v>1</v>
      </c>
      <c r="K889">
        <v>1</v>
      </c>
      <c r="L889">
        <v>0</v>
      </c>
      <c r="M889">
        <v>11</v>
      </c>
      <c r="N889" t="s">
        <v>41</v>
      </c>
      <c r="O889" t="s">
        <v>27</v>
      </c>
      <c r="P889">
        <v>3.53896885773535</v>
      </c>
      <c r="Q889">
        <v>2.43554043414826</v>
      </c>
      <c r="R889">
        <v>3.1720474413047</v>
      </c>
      <c r="S889">
        <v>44</v>
      </c>
      <c r="T889">
        <v>64</v>
      </c>
      <c r="U889">
        <v>435.86717460496499</v>
      </c>
      <c r="V889">
        <v>2.2703818369453001E-3</v>
      </c>
      <c r="W889">
        <v>2411763.9229983701</v>
      </c>
      <c r="X889" t="s">
        <v>39</v>
      </c>
      <c r="Y889">
        <f>1-459-557-5129</f>
        <v>-6144</v>
      </c>
    </row>
    <row r="890" spans="1:25" x14ac:dyDescent="0.35">
      <c r="A890">
        <v>34.521781967251798</v>
      </c>
      <c r="B890">
        <v>-114.02646701808</v>
      </c>
      <c r="C890" t="s">
        <v>29</v>
      </c>
      <c r="D890">
        <v>24.9779874976252</v>
      </c>
      <c r="E890">
        <v>2</v>
      </c>
      <c r="F890">
        <v>3149</v>
      </c>
      <c r="G890">
        <v>5</v>
      </c>
      <c r="H890">
        <v>2</v>
      </c>
      <c r="I890">
        <v>1984</v>
      </c>
      <c r="J890">
        <v>1</v>
      </c>
      <c r="K890">
        <v>0</v>
      </c>
      <c r="L890">
        <v>0</v>
      </c>
      <c r="M890">
        <v>10</v>
      </c>
      <c r="N890" t="s">
        <v>35</v>
      </c>
      <c r="O890" t="s">
        <v>32</v>
      </c>
      <c r="P890">
        <v>11.214013346246</v>
      </c>
      <c r="Q890">
        <v>1.10587959189103</v>
      </c>
      <c r="R890">
        <v>9.1200754140863491</v>
      </c>
      <c r="S890">
        <v>101</v>
      </c>
      <c r="T890">
        <v>64</v>
      </c>
      <c r="U890">
        <v>514.40448074147901</v>
      </c>
      <c r="V890">
        <v>3.1756113051762398E-3</v>
      </c>
      <c r="W890">
        <v>1999995.89873374</v>
      </c>
      <c r="X890" t="s">
        <v>42</v>
      </c>
      <c r="Y890">
        <f>1-788-342-6093</f>
        <v>-7222</v>
      </c>
    </row>
    <row r="891" spans="1:25" x14ac:dyDescent="0.35">
      <c r="A891">
        <v>37.411915455434801</v>
      </c>
      <c r="B891">
        <v>-119.494197542731</v>
      </c>
      <c r="C891" t="s">
        <v>34</v>
      </c>
      <c r="D891">
        <v>39.259403851652102</v>
      </c>
      <c r="E891">
        <v>6</v>
      </c>
      <c r="F891">
        <v>4041</v>
      </c>
      <c r="G891">
        <v>4</v>
      </c>
      <c r="H891">
        <v>3</v>
      </c>
      <c r="I891">
        <v>2000</v>
      </c>
      <c r="J891">
        <v>1</v>
      </c>
      <c r="K891">
        <v>1</v>
      </c>
      <c r="L891">
        <v>0</v>
      </c>
      <c r="M891">
        <v>11</v>
      </c>
      <c r="N891" t="s">
        <v>26</v>
      </c>
      <c r="O891" t="s">
        <v>27</v>
      </c>
      <c r="P891">
        <v>4.5116759703467002</v>
      </c>
      <c r="Q891">
        <v>0.62981040125958898</v>
      </c>
      <c r="R891">
        <v>5.6226791406840997</v>
      </c>
      <c r="S891">
        <v>0</v>
      </c>
      <c r="T891">
        <v>24</v>
      </c>
      <c r="U891">
        <v>487.92558355269898</v>
      </c>
      <c r="V891">
        <v>2.72209849047265E-3</v>
      </c>
      <c r="W891">
        <v>2317286.6884489502</v>
      </c>
      <c r="X891" t="s">
        <v>28</v>
      </c>
      <c r="Y891">
        <f>1-740-709-1572</f>
        <v>-3020</v>
      </c>
    </row>
    <row r="892" spans="1:25" x14ac:dyDescent="0.35">
      <c r="A892">
        <v>41.77563952061</v>
      </c>
      <c r="B892">
        <v>-116.54282751252001</v>
      </c>
      <c r="C892" t="s">
        <v>29</v>
      </c>
      <c r="D892">
        <v>46.121523806802301</v>
      </c>
      <c r="E892">
        <v>6</v>
      </c>
      <c r="F892">
        <v>3896</v>
      </c>
      <c r="G892">
        <v>4</v>
      </c>
      <c r="H892">
        <v>3</v>
      </c>
      <c r="I892">
        <v>1961</v>
      </c>
      <c r="J892">
        <v>0</v>
      </c>
      <c r="K892">
        <v>1</v>
      </c>
      <c r="L892">
        <v>1</v>
      </c>
      <c r="M892">
        <v>8</v>
      </c>
      <c r="N892" t="s">
        <v>37</v>
      </c>
      <c r="O892" t="s">
        <v>30</v>
      </c>
      <c r="P892">
        <v>11.811117791877599</v>
      </c>
      <c r="Q892">
        <v>1.2621675690317899</v>
      </c>
      <c r="R892">
        <v>4.4462384204127297</v>
      </c>
      <c r="S892">
        <v>41</v>
      </c>
      <c r="T892">
        <v>34</v>
      </c>
      <c r="U892">
        <v>846.12323947975995</v>
      </c>
      <c r="V892">
        <v>2.05338809034907E-3</v>
      </c>
      <c r="W892">
        <v>3751475.6653365698</v>
      </c>
      <c r="X892" t="s">
        <v>33</v>
      </c>
      <c r="Y892">
        <f>1-869-990-5303</f>
        <v>-7161</v>
      </c>
    </row>
    <row r="893" spans="1:25" x14ac:dyDescent="0.35">
      <c r="A893">
        <v>41.247051036765797</v>
      </c>
      <c r="B893">
        <v>-124.10114000539799</v>
      </c>
      <c r="C893" t="s">
        <v>25</v>
      </c>
      <c r="D893">
        <v>46.156029401246499</v>
      </c>
      <c r="E893">
        <v>0</v>
      </c>
      <c r="F893">
        <v>4907</v>
      </c>
      <c r="G893">
        <v>2</v>
      </c>
      <c r="H893">
        <v>2</v>
      </c>
      <c r="I893">
        <v>2006</v>
      </c>
      <c r="J893">
        <v>0</v>
      </c>
      <c r="K893">
        <v>1</v>
      </c>
      <c r="L893">
        <v>1</v>
      </c>
      <c r="M893">
        <v>10</v>
      </c>
      <c r="N893" t="s">
        <v>26</v>
      </c>
      <c r="O893" t="s">
        <v>32</v>
      </c>
      <c r="P893">
        <v>9.2783306036547</v>
      </c>
      <c r="Q893">
        <v>1.49075719403462</v>
      </c>
      <c r="R893">
        <v>8.8404147699791409</v>
      </c>
      <c r="S893">
        <v>4</v>
      </c>
      <c r="T893">
        <v>58</v>
      </c>
      <c r="U893">
        <v>798.23428553830695</v>
      </c>
      <c r="V893">
        <v>2.0379050336254301E-3</v>
      </c>
      <c r="W893">
        <v>4307236.7915467704</v>
      </c>
      <c r="X893" t="s">
        <v>43</v>
      </c>
      <c r="Y893">
        <f>1-960-374-6508</f>
        <v>-7841</v>
      </c>
    </row>
    <row r="894" spans="1:25" x14ac:dyDescent="0.35">
      <c r="A894">
        <v>40.712481033357498</v>
      </c>
      <c r="B894">
        <v>-116.855336547516</v>
      </c>
      <c r="C894" t="s">
        <v>34</v>
      </c>
      <c r="D894">
        <v>15.7158823916596</v>
      </c>
      <c r="E894">
        <v>7</v>
      </c>
      <c r="F894">
        <v>719</v>
      </c>
      <c r="G894">
        <v>2</v>
      </c>
      <c r="H894">
        <v>3</v>
      </c>
      <c r="I894">
        <v>1985</v>
      </c>
      <c r="J894">
        <v>1</v>
      </c>
      <c r="K894">
        <v>1</v>
      </c>
      <c r="L894">
        <v>1</v>
      </c>
      <c r="M894">
        <v>9</v>
      </c>
      <c r="N894" t="s">
        <v>35</v>
      </c>
      <c r="O894" t="s">
        <v>27</v>
      </c>
      <c r="P894">
        <v>5.7478917839747297</v>
      </c>
      <c r="Q894">
        <v>1.79901303234606</v>
      </c>
      <c r="R894">
        <v>2.6032915200388498</v>
      </c>
      <c r="S894">
        <v>137</v>
      </c>
      <c r="T894">
        <v>65</v>
      </c>
      <c r="U894">
        <v>951.49485271363699</v>
      </c>
      <c r="V894">
        <v>1.25173852573018E-2</v>
      </c>
      <c r="W894">
        <v>1034275.27099256</v>
      </c>
      <c r="X894" t="s">
        <v>44</v>
      </c>
      <c r="Y894">
        <f>1-932-588-3883</f>
        <v>-5402</v>
      </c>
    </row>
    <row r="895" spans="1:25" x14ac:dyDescent="0.35">
      <c r="A895">
        <v>41.345587199633997</v>
      </c>
      <c r="B895">
        <v>-117.190183646474</v>
      </c>
      <c r="C895" t="s">
        <v>34</v>
      </c>
      <c r="D895">
        <v>18.7859979386131</v>
      </c>
      <c r="E895">
        <v>2</v>
      </c>
      <c r="F895">
        <v>3055</v>
      </c>
      <c r="G895">
        <v>3</v>
      </c>
      <c r="H895">
        <v>1</v>
      </c>
      <c r="I895">
        <v>2007</v>
      </c>
      <c r="J895">
        <v>1</v>
      </c>
      <c r="K895">
        <v>0</v>
      </c>
      <c r="L895">
        <v>0</v>
      </c>
      <c r="M895">
        <v>14</v>
      </c>
      <c r="N895" t="s">
        <v>37</v>
      </c>
      <c r="O895" t="s">
        <v>32</v>
      </c>
      <c r="P895">
        <v>3.1260789525039598</v>
      </c>
      <c r="Q895">
        <v>2.34525601677761</v>
      </c>
      <c r="R895">
        <v>4.4869058605524099</v>
      </c>
      <c r="S895">
        <v>82</v>
      </c>
      <c r="T895">
        <v>43</v>
      </c>
      <c r="U895">
        <v>373.47347034027501</v>
      </c>
      <c r="V895">
        <v>4.5826513911620204E-3</v>
      </c>
      <c r="W895">
        <v>1227147.7006432901</v>
      </c>
      <c r="X895" t="s">
        <v>42</v>
      </c>
      <c r="Y895">
        <f>1-520-312-9876</f>
        <v>-10707</v>
      </c>
    </row>
    <row r="896" spans="1:25" x14ac:dyDescent="0.35">
      <c r="A896">
        <v>33.597297441379702</v>
      </c>
      <c r="B896">
        <v>-123.808302784429</v>
      </c>
      <c r="C896" t="s">
        <v>29</v>
      </c>
      <c r="D896">
        <v>2.7655886040923701</v>
      </c>
      <c r="E896">
        <v>1</v>
      </c>
      <c r="F896">
        <v>3415</v>
      </c>
      <c r="G896">
        <v>5</v>
      </c>
      <c r="H896">
        <v>1</v>
      </c>
      <c r="I896">
        <v>2021</v>
      </c>
      <c r="J896">
        <v>0</v>
      </c>
      <c r="K896">
        <v>1</v>
      </c>
      <c r="L896">
        <v>1</v>
      </c>
      <c r="M896">
        <v>14</v>
      </c>
      <c r="N896" t="s">
        <v>26</v>
      </c>
      <c r="O896" t="s">
        <v>32</v>
      </c>
      <c r="P896">
        <v>6.3767935016288702</v>
      </c>
      <c r="Q896">
        <v>0.57798305734893995</v>
      </c>
      <c r="R896">
        <v>5.5133790929803004</v>
      </c>
      <c r="S896">
        <v>132</v>
      </c>
      <c r="T896">
        <v>59</v>
      </c>
      <c r="U896">
        <v>542.75809771365402</v>
      </c>
      <c r="V896">
        <v>4.0995607613469901E-3</v>
      </c>
      <c r="W896">
        <v>2219761.8211644199</v>
      </c>
      <c r="X896" t="s">
        <v>36</v>
      </c>
      <c r="Y896">
        <f>1-786-178-7859</f>
        <v>-8822</v>
      </c>
    </row>
    <row r="897" spans="1:25" x14ac:dyDescent="0.35">
      <c r="A897">
        <v>37.512015339507002</v>
      </c>
      <c r="B897">
        <v>-121.230140315811</v>
      </c>
      <c r="C897" t="s">
        <v>34</v>
      </c>
      <c r="D897">
        <v>19.7496502318116</v>
      </c>
      <c r="E897">
        <v>5</v>
      </c>
      <c r="F897">
        <v>2319</v>
      </c>
      <c r="G897">
        <v>3</v>
      </c>
      <c r="H897">
        <v>3</v>
      </c>
      <c r="I897">
        <v>1977</v>
      </c>
      <c r="J897">
        <v>1</v>
      </c>
      <c r="K897">
        <v>0</v>
      </c>
      <c r="L897">
        <v>1</v>
      </c>
      <c r="M897">
        <v>10</v>
      </c>
      <c r="N897" t="s">
        <v>37</v>
      </c>
      <c r="O897" t="s">
        <v>27</v>
      </c>
      <c r="P897">
        <v>2.7831471956893599</v>
      </c>
      <c r="Q897">
        <v>1.3642380746562801</v>
      </c>
      <c r="R897">
        <v>5.4993197290813001</v>
      </c>
      <c r="S897">
        <v>95</v>
      </c>
      <c r="T897">
        <v>70</v>
      </c>
      <c r="U897">
        <v>336.27571333325602</v>
      </c>
      <c r="V897">
        <v>4.3122035360068896E-3</v>
      </c>
      <c r="W897">
        <v>1065061.25021101</v>
      </c>
      <c r="X897" t="s">
        <v>40</v>
      </c>
      <c r="Y897">
        <f>1-877-996-8085</f>
        <v>-9957</v>
      </c>
    </row>
    <row r="898" spans="1:25" x14ac:dyDescent="0.35">
      <c r="A898">
        <v>40.976995475242902</v>
      </c>
      <c r="B898">
        <v>-117.426055661235</v>
      </c>
      <c r="C898" t="s">
        <v>29</v>
      </c>
      <c r="D898">
        <v>17.6765573211697</v>
      </c>
      <c r="E898">
        <v>6</v>
      </c>
      <c r="F898">
        <v>4783</v>
      </c>
      <c r="G898">
        <v>4</v>
      </c>
      <c r="H898">
        <v>3</v>
      </c>
      <c r="I898">
        <v>1990</v>
      </c>
      <c r="J898">
        <v>0</v>
      </c>
      <c r="K898">
        <v>0</v>
      </c>
      <c r="L898">
        <v>1</v>
      </c>
      <c r="M898">
        <v>6</v>
      </c>
      <c r="N898" t="s">
        <v>35</v>
      </c>
      <c r="O898" t="s">
        <v>32</v>
      </c>
      <c r="P898">
        <v>7.8460802407421397</v>
      </c>
      <c r="Q898">
        <v>2.0940480254763498</v>
      </c>
      <c r="R898">
        <v>1.2591231095314801</v>
      </c>
      <c r="S898">
        <v>101</v>
      </c>
      <c r="T898">
        <v>74</v>
      </c>
      <c r="U898">
        <v>547.69733153006996</v>
      </c>
      <c r="V898">
        <v>1.25444281831486E-3</v>
      </c>
      <c r="W898">
        <v>2975236.5645096698</v>
      </c>
      <c r="X898" t="s">
        <v>43</v>
      </c>
      <c r="Y898">
        <f>1-327-911-4244</f>
        <v>-5481</v>
      </c>
    </row>
    <row r="899" spans="1:25" x14ac:dyDescent="0.35">
      <c r="A899">
        <v>35.169407833493203</v>
      </c>
      <c r="B899">
        <v>-118.33682908060599</v>
      </c>
      <c r="C899" t="s">
        <v>34</v>
      </c>
      <c r="D899">
        <v>24.4545417667603</v>
      </c>
      <c r="E899">
        <v>8</v>
      </c>
      <c r="F899">
        <v>4901</v>
      </c>
      <c r="G899">
        <v>5</v>
      </c>
      <c r="H899">
        <v>2</v>
      </c>
      <c r="I899">
        <v>1955</v>
      </c>
      <c r="J899">
        <v>0</v>
      </c>
      <c r="K899">
        <v>0</v>
      </c>
      <c r="L899">
        <v>1</v>
      </c>
      <c r="M899">
        <v>2</v>
      </c>
      <c r="N899" t="s">
        <v>37</v>
      </c>
      <c r="O899" t="s">
        <v>30</v>
      </c>
      <c r="P899">
        <v>11.6546057413236</v>
      </c>
      <c r="Q899">
        <v>1.0931865398318501</v>
      </c>
      <c r="R899">
        <v>6.5172532428342302</v>
      </c>
      <c r="S899">
        <v>13</v>
      </c>
      <c r="T899">
        <v>71</v>
      </c>
      <c r="U899">
        <v>900.57470238829001</v>
      </c>
      <c r="V899">
        <v>4.080799836768E-4</v>
      </c>
      <c r="W899">
        <v>4696457.8140631104</v>
      </c>
      <c r="X899" t="s">
        <v>38</v>
      </c>
      <c r="Y899">
        <f>1-992-210-3673</f>
        <v>-4874</v>
      </c>
    </row>
    <row r="900" spans="1:25" x14ac:dyDescent="0.35">
      <c r="A900">
        <v>38.069948962619797</v>
      </c>
      <c r="B900">
        <v>-117.38882391488001</v>
      </c>
      <c r="C900" t="s">
        <v>34</v>
      </c>
      <c r="D900">
        <v>4.2645307771524097</v>
      </c>
      <c r="E900">
        <v>7</v>
      </c>
      <c r="F900">
        <v>2589</v>
      </c>
      <c r="G900">
        <v>4</v>
      </c>
      <c r="H900">
        <v>1</v>
      </c>
      <c r="I900">
        <v>1999</v>
      </c>
      <c r="J900">
        <v>1</v>
      </c>
      <c r="K900">
        <v>1</v>
      </c>
      <c r="L900">
        <v>1</v>
      </c>
      <c r="M900">
        <v>10</v>
      </c>
      <c r="N900" t="s">
        <v>35</v>
      </c>
      <c r="O900" t="s">
        <v>32</v>
      </c>
      <c r="P900">
        <v>5.3993660707667797</v>
      </c>
      <c r="Q900">
        <v>0.95659077461041697</v>
      </c>
      <c r="R900">
        <v>4.7482922056365302</v>
      </c>
      <c r="S900">
        <v>123</v>
      </c>
      <c r="T900">
        <v>72</v>
      </c>
      <c r="U900">
        <v>431.58408109884402</v>
      </c>
      <c r="V900">
        <v>3.8624951718810299E-3</v>
      </c>
      <c r="W900">
        <v>1586313.3906479201</v>
      </c>
      <c r="X900" t="s">
        <v>43</v>
      </c>
      <c r="Y900">
        <f>1-947-932-6806</f>
        <v>-8684</v>
      </c>
    </row>
    <row r="901" spans="1:25" x14ac:dyDescent="0.35">
      <c r="A901">
        <v>36.130407402729801</v>
      </c>
      <c r="B901">
        <v>-123.365884106444</v>
      </c>
      <c r="C901" t="s">
        <v>29</v>
      </c>
      <c r="D901">
        <v>30.480305642989801</v>
      </c>
      <c r="E901">
        <v>8</v>
      </c>
      <c r="F901">
        <v>4898</v>
      </c>
      <c r="G901">
        <v>1</v>
      </c>
      <c r="H901">
        <v>1</v>
      </c>
      <c r="I901">
        <v>1993</v>
      </c>
      <c r="J901">
        <v>0</v>
      </c>
      <c r="K901">
        <v>0</v>
      </c>
      <c r="L901">
        <v>0</v>
      </c>
      <c r="M901">
        <v>4</v>
      </c>
      <c r="N901" t="s">
        <v>35</v>
      </c>
      <c r="O901" t="s">
        <v>30</v>
      </c>
      <c r="P901">
        <v>8.3571556701558496</v>
      </c>
      <c r="Q901">
        <v>1.8724876270511901</v>
      </c>
      <c r="R901">
        <v>3.9853395425081799</v>
      </c>
      <c r="S901">
        <v>97</v>
      </c>
      <c r="T901">
        <v>65</v>
      </c>
      <c r="U901">
        <v>530.57628857930501</v>
      </c>
      <c r="V901">
        <v>8.1665986116782299E-4</v>
      </c>
      <c r="W901">
        <v>2690597.3157709502</v>
      </c>
      <c r="X901" t="s">
        <v>39</v>
      </c>
      <c r="Y901">
        <f>1-948-473-9515</f>
        <v>-10935</v>
      </c>
    </row>
    <row r="902" spans="1:25" x14ac:dyDescent="0.35">
      <c r="A902">
        <v>38.2307664006332</v>
      </c>
      <c r="B902">
        <v>-116.934031449146</v>
      </c>
      <c r="C902" t="s">
        <v>34</v>
      </c>
      <c r="D902">
        <v>28.582192358253501</v>
      </c>
      <c r="E902">
        <v>8</v>
      </c>
      <c r="F902">
        <v>3619</v>
      </c>
      <c r="G902">
        <v>1</v>
      </c>
      <c r="H902">
        <v>3</v>
      </c>
      <c r="I902">
        <v>1977</v>
      </c>
      <c r="J902">
        <v>1</v>
      </c>
      <c r="K902">
        <v>0</v>
      </c>
      <c r="L902">
        <v>1</v>
      </c>
      <c r="M902">
        <v>7</v>
      </c>
      <c r="N902" t="s">
        <v>41</v>
      </c>
      <c r="O902" t="s">
        <v>27</v>
      </c>
      <c r="P902">
        <v>10.7129792796409</v>
      </c>
      <c r="Q902">
        <v>2.3133239117018598</v>
      </c>
      <c r="R902">
        <v>3.0391257231102302</v>
      </c>
      <c r="S902">
        <v>17</v>
      </c>
      <c r="T902">
        <v>46</v>
      </c>
      <c r="U902">
        <v>448.21180070960298</v>
      </c>
      <c r="V902">
        <v>1.9342359767891601E-3</v>
      </c>
      <c r="W902">
        <v>1748771.1681498301</v>
      </c>
      <c r="X902" t="s">
        <v>40</v>
      </c>
      <c r="Y902">
        <f>1-645-791-3225</f>
        <v>-4660</v>
      </c>
    </row>
    <row r="903" spans="1:25" x14ac:dyDescent="0.35">
      <c r="A903">
        <v>40.421259232622198</v>
      </c>
      <c r="B903">
        <v>-116.552164637636</v>
      </c>
      <c r="C903" t="s">
        <v>29</v>
      </c>
      <c r="D903">
        <v>41.808556111720399</v>
      </c>
      <c r="E903">
        <v>3</v>
      </c>
      <c r="F903">
        <v>1776</v>
      </c>
      <c r="G903">
        <v>5</v>
      </c>
      <c r="H903">
        <v>2</v>
      </c>
      <c r="I903">
        <v>1970</v>
      </c>
      <c r="J903">
        <v>0</v>
      </c>
      <c r="K903">
        <v>0</v>
      </c>
      <c r="L903">
        <v>0</v>
      </c>
      <c r="M903">
        <v>4</v>
      </c>
      <c r="N903" t="s">
        <v>26</v>
      </c>
      <c r="O903" t="s">
        <v>30</v>
      </c>
      <c r="P903">
        <v>5.6641096624750897</v>
      </c>
      <c r="Q903">
        <v>1.7528580205633499</v>
      </c>
      <c r="R903">
        <v>1.26222324555751</v>
      </c>
      <c r="S903">
        <v>167</v>
      </c>
      <c r="T903">
        <v>76</v>
      </c>
      <c r="U903">
        <v>515.33704729558394</v>
      </c>
      <c r="V903">
        <v>2.2522522522522501E-3</v>
      </c>
      <c r="W903">
        <v>1119708.5122345299</v>
      </c>
      <c r="X903" t="s">
        <v>43</v>
      </c>
      <c r="Y903">
        <f>1-260-585-3495</f>
        <v>-4339</v>
      </c>
    </row>
    <row r="904" spans="1:25" x14ac:dyDescent="0.35">
      <c r="A904">
        <v>37.402946567991002</v>
      </c>
      <c r="B904">
        <v>-122.16299384548</v>
      </c>
      <c r="C904" t="s">
        <v>34</v>
      </c>
      <c r="D904">
        <v>8.9505892895042791</v>
      </c>
      <c r="E904">
        <v>9</v>
      </c>
      <c r="F904">
        <v>2364</v>
      </c>
      <c r="G904">
        <v>3</v>
      </c>
      <c r="H904">
        <v>1</v>
      </c>
      <c r="I904">
        <v>1969</v>
      </c>
      <c r="J904">
        <v>1</v>
      </c>
      <c r="K904">
        <v>1</v>
      </c>
      <c r="L904">
        <v>0</v>
      </c>
      <c r="M904">
        <v>8</v>
      </c>
      <c r="N904" t="s">
        <v>26</v>
      </c>
      <c r="O904" t="s">
        <v>32</v>
      </c>
      <c r="P904">
        <v>2.0592580397787201</v>
      </c>
      <c r="Q904">
        <v>0.60978682031083697</v>
      </c>
      <c r="R904">
        <v>9.2107845305958396</v>
      </c>
      <c r="S904">
        <v>83</v>
      </c>
      <c r="T904">
        <v>60</v>
      </c>
      <c r="U904">
        <v>714.04614388998505</v>
      </c>
      <c r="V904">
        <v>3.3840947546531302E-3</v>
      </c>
      <c r="W904">
        <v>1900687.4813615801</v>
      </c>
      <c r="X904" t="s">
        <v>38</v>
      </c>
      <c r="Y904">
        <f>1-612-829-9719</f>
        <v>-11159</v>
      </c>
    </row>
    <row r="905" spans="1:25" x14ac:dyDescent="0.35">
      <c r="A905">
        <v>35.420926187188499</v>
      </c>
      <c r="B905">
        <v>-116.81453572998601</v>
      </c>
      <c r="C905" t="s">
        <v>25</v>
      </c>
      <c r="D905">
        <v>31.338293404693101</v>
      </c>
      <c r="E905">
        <v>8</v>
      </c>
      <c r="F905">
        <v>4731</v>
      </c>
      <c r="G905">
        <v>3</v>
      </c>
      <c r="H905">
        <v>3</v>
      </c>
      <c r="I905">
        <v>2014</v>
      </c>
      <c r="J905">
        <v>1</v>
      </c>
      <c r="K905">
        <v>0</v>
      </c>
      <c r="L905">
        <v>0</v>
      </c>
      <c r="M905">
        <v>9</v>
      </c>
      <c r="N905" t="s">
        <v>35</v>
      </c>
      <c r="O905" t="s">
        <v>32</v>
      </c>
      <c r="P905">
        <v>8.2390043681126208</v>
      </c>
      <c r="Q905">
        <v>2.0501623787871899</v>
      </c>
      <c r="R905">
        <v>3.1710126800379999</v>
      </c>
      <c r="S905">
        <v>50</v>
      </c>
      <c r="T905">
        <v>65</v>
      </c>
      <c r="U905">
        <v>687.95440051392302</v>
      </c>
      <c r="V905">
        <v>1.9023462270133099E-3</v>
      </c>
      <c r="W905">
        <v>3503473.7925378098</v>
      </c>
      <c r="X905" t="s">
        <v>44</v>
      </c>
      <c r="Y905">
        <f>1-761-522-4605</f>
        <v>-5887</v>
      </c>
    </row>
    <row r="906" spans="1:25" x14ac:dyDescent="0.35">
      <c r="A906">
        <v>40.667860526684201</v>
      </c>
      <c r="B906">
        <v>-124.279216869474</v>
      </c>
      <c r="C906" t="s">
        <v>25</v>
      </c>
      <c r="D906">
        <v>1.32941807920738</v>
      </c>
      <c r="E906">
        <v>2</v>
      </c>
      <c r="F906">
        <v>3712</v>
      </c>
      <c r="G906">
        <v>1</v>
      </c>
      <c r="H906">
        <v>1</v>
      </c>
      <c r="I906">
        <v>2010</v>
      </c>
      <c r="J906">
        <v>0</v>
      </c>
      <c r="K906">
        <v>0</v>
      </c>
      <c r="L906">
        <v>1</v>
      </c>
      <c r="M906">
        <v>4</v>
      </c>
      <c r="N906" t="s">
        <v>35</v>
      </c>
      <c r="O906" t="s">
        <v>27</v>
      </c>
      <c r="P906">
        <v>12.274197742448299</v>
      </c>
      <c r="Q906">
        <v>1.86907804452216</v>
      </c>
      <c r="R906">
        <v>8.2693691103204596</v>
      </c>
      <c r="S906">
        <v>97</v>
      </c>
      <c r="T906">
        <v>45</v>
      </c>
      <c r="U906">
        <v>433.16502401415801</v>
      </c>
      <c r="V906">
        <v>1.07758620689655E-3</v>
      </c>
      <c r="W906">
        <v>1787777.70237332</v>
      </c>
      <c r="X906" t="s">
        <v>38</v>
      </c>
      <c r="Y906">
        <f>1-857-796-8279</f>
        <v>-9931</v>
      </c>
    </row>
    <row r="907" spans="1:25" x14ac:dyDescent="0.35">
      <c r="A907">
        <v>32.6228173232046</v>
      </c>
      <c r="B907">
        <v>-117.623981719279</v>
      </c>
      <c r="C907" t="s">
        <v>34</v>
      </c>
      <c r="D907">
        <v>17.493896552168302</v>
      </c>
      <c r="E907">
        <v>4</v>
      </c>
      <c r="F907">
        <v>4834</v>
      </c>
      <c r="G907">
        <v>4</v>
      </c>
      <c r="H907">
        <v>2</v>
      </c>
      <c r="I907">
        <v>2003</v>
      </c>
      <c r="J907">
        <v>0</v>
      </c>
      <c r="K907">
        <v>0</v>
      </c>
      <c r="L907">
        <v>0</v>
      </c>
      <c r="M907">
        <v>4</v>
      </c>
      <c r="N907" t="s">
        <v>26</v>
      </c>
      <c r="O907" t="s">
        <v>27</v>
      </c>
      <c r="P907">
        <v>7.9140681962896604</v>
      </c>
      <c r="Q907">
        <v>2.0622414979298198</v>
      </c>
      <c r="R907">
        <v>8.5751945079762297</v>
      </c>
      <c r="S907">
        <v>14</v>
      </c>
      <c r="T907">
        <v>59</v>
      </c>
      <c r="U907">
        <v>906.16692327193198</v>
      </c>
      <c r="V907">
        <v>8.2747207281754203E-4</v>
      </c>
      <c r="W907">
        <v>4608681.6151934303</v>
      </c>
      <c r="X907" t="s">
        <v>38</v>
      </c>
      <c r="Y907">
        <f>1-648-211-2193</f>
        <v>-3051</v>
      </c>
    </row>
    <row r="908" spans="1:25" x14ac:dyDescent="0.35">
      <c r="A908">
        <v>38.466954768053299</v>
      </c>
      <c r="B908">
        <v>-120.441275558651</v>
      </c>
      <c r="C908" t="s">
        <v>34</v>
      </c>
      <c r="D908">
        <v>15.312282357234601</v>
      </c>
      <c r="E908">
        <v>0</v>
      </c>
      <c r="F908">
        <v>3765</v>
      </c>
      <c r="G908">
        <v>2</v>
      </c>
      <c r="H908">
        <v>3</v>
      </c>
      <c r="I908">
        <v>1988</v>
      </c>
      <c r="J908">
        <v>0</v>
      </c>
      <c r="K908">
        <v>0</v>
      </c>
      <c r="L908">
        <v>0</v>
      </c>
      <c r="M908">
        <v>14</v>
      </c>
      <c r="N908" t="s">
        <v>35</v>
      </c>
      <c r="O908" t="s">
        <v>32</v>
      </c>
      <c r="P908">
        <v>5.6852778739805396</v>
      </c>
      <c r="Q908">
        <v>1.60356302248108</v>
      </c>
      <c r="R908">
        <v>0.20728155174197699</v>
      </c>
      <c r="S908">
        <v>175</v>
      </c>
      <c r="T908">
        <v>68</v>
      </c>
      <c r="U908">
        <v>509.24872299470701</v>
      </c>
      <c r="V908">
        <v>3.71845949535192E-3</v>
      </c>
      <c r="W908">
        <v>1966708.9813818899</v>
      </c>
      <c r="X908" t="s">
        <v>31</v>
      </c>
      <c r="Y908">
        <f>1-833-846-9325</f>
        <v>-11003</v>
      </c>
    </row>
    <row r="909" spans="1:25" x14ac:dyDescent="0.35">
      <c r="A909">
        <v>35.342592195309301</v>
      </c>
      <c r="B909">
        <v>-120.28943599308001</v>
      </c>
      <c r="C909" t="s">
        <v>29</v>
      </c>
      <c r="D909">
        <v>17.700532759902501</v>
      </c>
      <c r="E909">
        <v>4</v>
      </c>
      <c r="F909">
        <v>756</v>
      </c>
      <c r="G909">
        <v>3</v>
      </c>
      <c r="H909">
        <v>3</v>
      </c>
      <c r="I909">
        <v>1984</v>
      </c>
      <c r="J909">
        <v>0</v>
      </c>
      <c r="K909">
        <v>1</v>
      </c>
      <c r="L909">
        <v>0</v>
      </c>
      <c r="M909">
        <v>10</v>
      </c>
      <c r="N909" t="s">
        <v>37</v>
      </c>
      <c r="O909" t="s">
        <v>27</v>
      </c>
      <c r="P909">
        <v>2.0112420353256302</v>
      </c>
      <c r="Q909">
        <v>1.4091279913165999</v>
      </c>
      <c r="R909">
        <v>3.8762942197888801</v>
      </c>
      <c r="S909">
        <v>76</v>
      </c>
      <c r="T909">
        <v>32</v>
      </c>
      <c r="U909">
        <v>465.84928237515697</v>
      </c>
      <c r="V909">
        <v>1.3227513227513201E-2</v>
      </c>
      <c r="W909">
        <v>586753.81499413005</v>
      </c>
      <c r="X909" t="s">
        <v>38</v>
      </c>
      <c r="Y909">
        <f>1-459-874-5527</f>
        <v>-6859</v>
      </c>
    </row>
    <row r="910" spans="1:25" x14ac:dyDescent="0.35">
      <c r="A910">
        <v>37.989707279147702</v>
      </c>
      <c r="B910">
        <v>-119.66743778858201</v>
      </c>
      <c r="C910" t="s">
        <v>29</v>
      </c>
      <c r="D910">
        <v>31.386621049647001</v>
      </c>
      <c r="E910">
        <v>7</v>
      </c>
      <c r="F910">
        <v>1528</v>
      </c>
      <c r="G910">
        <v>3</v>
      </c>
      <c r="H910">
        <v>3</v>
      </c>
      <c r="I910">
        <v>1988</v>
      </c>
      <c r="J910">
        <v>0</v>
      </c>
      <c r="K910">
        <v>0</v>
      </c>
      <c r="L910">
        <v>0</v>
      </c>
      <c r="M910">
        <v>4</v>
      </c>
      <c r="N910" t="s">
        <v>26</v>
      </c>
      <c r="O910" t="s">
        <v>30</v>
      </c>
      <c r="P910">
        <v>9.1724708635867103</v>
      </c>
      <c r="Q910">
        <v>2.4566778473859401</v>
      </c>
      <c r="R910">
        <v>6.6182274290171303</v>
      </c>
      <c r="S910">
        <v>2</v>
      </c>
      <c r="T910">
        <v>58</v>
      </c>
      <c r="U910">
        <v>992.72567806649602</v>
      </c>
      <c r="V910">
        <v>2.6178010471204099E-3</v>
      </c>
      <c r="W910">
        <v>1724874.3320542099</v>
      </c>
      <c r="X910" t="s">
        <v>33</v>
      </c>
      <c r="Y910">
        <f>1-775-515-2967</f>
        <v>-4256</v>
      </c>
    </row>
    <row r="911" spans="1:25" x14ac:dyDescent="0.35">
      <c r="A911">
        <v>35.556158832491498</v>
      </c>
      <c r="B911">
        <v>-122.15225493389001</v>
      </c>
      <c r="C911" t="s">
        <v>29</v>
      </c>
      <c r="D911">
        <v>4.9881615919487503</v>
      </c>
      <c r="E911">
        <v>0</v>
      </c>
      <c r="F911">
        <v>2687</v>
      </c>
      <c r="G911">
        <v>3</v>
      </c>
      <c r="H911">
        <v>1</v>
      </c>
      <c r="I911">
        <v>1956</v>
      </c>
      <c r="J911">
        <v>1</v>
      </c>
      <c r="K911">
        <v>0</v>
      </c>
      <c r="L911">
        <v>1</v>
      </c>
      <c r="M911">
        <v>2</v>
      </c>
      <c r="N911" t="s">
        <v>35</v>
      </c>
      <c r="O911" t="s">
        <v>32</v>
      </c>
      <c r="P911">
        <v>14.3380901879768</v>
      </c>
      <c r="Q911">
        <v>1.6822585318925301</v>
      </c>
      <c r="R911">
        <v>2.57336827389482</v>
      </c>
      <c r="S911">
        <v>149</v>
      </c>
      <c r="T911">
        <v>54</v>
      </c>
      <c r="U911">
        <v>934.79730736731199</v>
      </c>
      <c r="V911">
        <v>7.4432452549311504E-4</v>
      </c>
      <c r="W911">
        <v>2720941.31036918</v>
      </c>
      <c r="X911" t="s">
        <v>42</v>
      </c>
      <c r="Y911">
        <f>1-707-526-1877</f>
        <v>-3109</v>
      </c>
    </row>
    <row r="912" spans="1:25" x14ac:dyDescent="0.35">
      <c r="A912">
        <v>38.382564390632503</v>
      </c>
      <c r="B912">
        <v>-119.28990904495301</v>
      </c>
      <c r="C912" t="s">
        <v>34</v>
      </c>
      <c r="D912">
        <v>41.278266307686799</v>
      </c>
      <c r="E912">
        <v>8</v>
      </c>
      <c r="F912">
        <v>4316</v>
      </c>
      <c r="G912">
        <v>5</v>
      </c>
      <c r="H912">
        <v>3</v>
      </c>
      <c r="I912">
        <v>2008</v>
      </c>
      <c r="J912">
        <v>1</v>
      </c>
      <c r="K912">
        <v>0</v>
      </c>
      <c r="L912">
        <v>1</v>
      </c>
      <c r="M912">
        <v>8</v>
      </c>
      <c r="N912" t="s">
        <v>26</v>
      </c>
      <c r="O912" t="s">
        <v>27</v>
      </c>
      <c r="P912">
        <v>14.4348354917012</v>
      </c>
      <c r="Q912">
        <v>0.67196130388969399</v>
      </c>
      <c r="R912">
        <v>7.5583972638238297</v>
      </c>
      <c r="S912">
        <v>9</v>
      </c>
      <c r="T912">
        <v>51</v>
      </c>
      <c r="U912">
        <v>845.42867116916602</v>
      </c>
      <c r="V912">
        <v>1.8535681186283501E-3</v>
      </c>
      <c r="W912">
        <v>4092273.8084436101</v>
      </c>
      <c r="X912" t="s">
        <v>44</v>
      </c>
      <c r="Y912">
        <f>1-612-727-7362</f>
        <v>-8700</v>
      </c>
    </row>
    <row r="913" spans="1:25" x14ac:dyDescent="0.35">
      <c r="A913">
        <v>38.371544416871501</v>
      </c>
      <c r="B913">
        <v>-123.506126823017</v>
      </c>
      <c r="C913" t="s">
        <v>25</v>
      </c>
      <c r="D913">
        <v>49.949175586576203</v>
      </c>
      <c r="E913">
        <v>5</v>
      </c>
      <c r="F913">
        <v>1066</v>
      </c>
      <c r="G913">
        <v>1</v>
      </c>
      <c r="H913">
        <v>1</v>
      </c>
      <c r="I913">
        <v>1981</v>
      </c>
      <c r="J913">
        <v>1</v>
      </c>
      <c r="K913">
        <v>0</v>
      </c>
      <c r="L913">
        <v>1</v>
      </c>
      <c r="M913">
        <v>2</v>
      </c>
      <c r="N913" t="s">
        <v>37</v>
      </c>
      <c r="O913" t="s">
        <v>30</v>
      </c>
      <c r="P913">
        <v>12.924485482837699</v>
      </c>
      <c r="Q913">
        <v>2.1193367485597401</v>
      </c>
      <c r="R913">
        <v>6.0684925506371696</v>
      </c>
      <c r="S913">
        <v>13</v>
      </c>
      <c r="T913">
        <v>65</v>
      </c>
      <c r="U913">
        <v>647.11880489533905</v>
      </c>
      <c r="V913">
        <v>1.87617260787992E-3</v>
      </c>
      <c r="W913">
        <v>871092.53541883896</v>
      </c>
      <c r="X913" t="s">
        <v>42</v>
      </c>
      <c r="Y913">
        <f>1-386-840-6432</f>
        <v>-7657</v>
      </c>
    </row>
    <row r="914" spans="1:25" x14ac:dyDescent="0.35">
      <c r="A914">
        <v>33.1791218589116</v>
      </c>
      <c r="B914">
        <v>-120.334991191217</v>
      </c>
      <c r="C914" t="s">
        <v>29</v>
      </c>
      <c r="D914">
        <v>7.8595063732050496</v>
      </c>
      <c r="E914">
        <v>2</v>
      </c>
      <c r="F914">
        <v>1277</v>
      </c>
      <c r="G914">
        <v>3</v>
      </c>
      <c r="H914">
        <v>1</v>
      </c>
      <c r="I914">
        <v>1991</v>
      </c>
      <c r="J914">
        <v>1</v>
      </c>
      <c r="K914">
        <v>0</v>
      </c>
      <c r="L914">
        <v>1</v>
      </c>
      <c r="M914">
        <v>6</v>
      </c>
      <c r="N914" t="s">
        <v>37</v>
      </c>
      <c r="O914" t="s">
        <v>27</v>
      </c>
      <c r="P914">
        <v>13.2560209621985</v>
      </c>
      <c r="Q914">
        <v>0.67195286867719894</v>
      </c>
      <c r="R914">
        <v>9.2322642737501308</v>
      </c>
      <c r="S914">
        <v>142</v>
      </c>
      <c r="T914">
        <v>68</v>
      </c>
      <c r="U914">
        <v>636.64363748465701</v>
      </c>
      <c r="V914">
        <v>4.6985121378230197E-3</v>
      </c>
      <c r="W914">
        <v>1094781.01662924</v>
      </c>
      <c r="X914" t="s">
        <v>38</v>
      </c>
      <c r="Y914">
        <f>1-216-767-2676</f>
        <v>-3658</v>
      </c>
    </row>
    <row r="915" spans="1:25" x14ac:dyDescent="0.35">
      <c r="A915">
        <v>33.517994995637203</v>
      </c>
      <c r="B915">
        <v>-117.506886340584</v>
      </c>
      <c r="C915" t="s">
        <v>29</v>
      </c>
      <c r="D915">
        <v>31.066916942324099</v>
      </c>
      <c r="E915">
        <v>9</v>
      </c>
      <c r="F915">
        <v>2619</v>
      </c>
      <c r="G915">
        <v>2</v>
      </c>
      <c r="H915">
        <v>1</v>
      </c>
      <c r="I915">
        <v>1995</v>
      </c>
      <c r="J915">
        <v>1</v>
      </c>
      <c r="K915">
        <v>0</v>
      </c>
      <c r="L915">
        <v>0</v>
      </c>
      <c r="M915">
        <v>8</v>
      </c>
      <c r="N915" t="s">
        <v>26</v>
      </c>
      <c r="O915" t="s">
        <v>27</v>
      </c>
      <c r="P915">
        <v>2.7819375826250998</v>
      </c>
      <c r="Q915">
        <v>0.73203894392411395</v>
      </c>
      <c r="R915">
        <v>0.33457493002145999</v>
      </c>
      <c r="S915">
        <v>38</v>
      </c>
      <c r="T915">
        <v>64</v>
      </c>
      <c r="U915">
        <v>799.45201090826095</v>
      </c>
      <c r="V915">
        <v>3.0546009927453202E-3</v>
      </c>
      <c r="W915">
        <v>2286728.2793411198</v>
      </c>
      <c r="X915" t="s">
        <v>44</v>
      </c>
      <c r="Y915">
        <f>1-594-715-4110</f>
        <v>-5418</v>
      </c>
    </row>
    <row r="916" spans="1:25" x14ac:dyDescent="0.35">
      <c r="A916">
        <v>40.0811813280637</v>
      </c>
      <c r="B916">
        <v>-117.242516854409</v>
      </c>
      <c r="C916" t="s">
        <v>34</v>
      </c>
      <c r="D916">
        <v>31.561730231353199</v>
      </c>
      <c r="E916">
        <v>6</v>
      </c>
      <c r="F916">
        <v>2175</v>
      </c>
      <c r="G916">
        <v>1</v>
      </c>
      <c r="H916">
        <v>2</v>
      </c>
      <c r="I916">
        <v>2019</v>
      </c>
      <c r="J916">
        <v>1</v>
      </c>
      <c r="K916">
        <v>1</v>
      </c>
      <c r="L916">
        <v>1</v>
      </c>
      <c r="M916">
        <v>11</v>
      </c>
      <c r="N916" t="s">
        <v>37</v>
      </c>
      <c r="O916" t="s">
        <v>27</v>
      </c>
      <c r="P916">
        <v>6.2033805579620003</v>
      </c>
      <c r="Q916">
        <v>2.0680362800502001</v>
      </c>
      <c r="R916">
        <v>5.4636746687572799</v>
      </c>
      <c r="S916">
        <v>172</v>
      </c>
      <c r="T916">
        <v>30</v>
      </c>
      <c r="U916">
        <v>497.156507340605</v>
      </c>
      <c r="V916">
        <v>5.0574712643678098E-3</v>
      </c>
      <c r="W916">
        <v>1379323.0801278299</v>
      </c>
      <c r="X916" t="s">
        <v>38</v>
      </c>
      <c r="Y916">
        <f>1-567-632-9104</f>
        <v>-10302</v>
      </c>
    </row>
    <row r="917" spans="1:25" x14ac:dyDescent="0.35">
      <c r="A917">
        <v>36.638766277989298</v>
      </c>
      <c r="B917">
        <v>-122.00967886568699</v>
      </c>
      <c r="C917" t="s">
        <v>29</v>
      </c>
      <c r="D917">
        <v>41.218700218256302</v>
      </c>
      <c r="E917">
        <v>4</v>
      </c>
      <c r="F917">
        <v>2925</v>
      </c>
      <c r="G917">
        <v>4</v>
      </c>
      <c r="H917">
        <v>1</v>
      </c>
      <c r="I917">
        <v>2003</v>
      </c>
      <c r="J917">
        <v>1</v>
      </c>
      <c r="K917">
        <v>1</v>
      </c>
      <c r="L917">
        <v>0</v>
      </c>
      <c r="M917">
        <v>13</v>
      </c>
      <c r="N917" t="s">
        <v>35</v>
      </c>
      <c r="O917" t="s">
        <v>30</v>
      </c>
      <c r="P917">
        <v>14.1533977574679</v>
      </c>
      <c r="Q917">
        <v>0.692809852231836</v>
      </c>
      <c r="R917">
        <v>0.74856739964872399</v>
      </c>
      <c r="S917">
        <v>85</v>
      </c>
      <c r="T917">
        <v>30</v>
      </c>
      <c r="U917">
        <v>669.55972214800101</v>
      </c>
      <c r="V917">
        <v>4.4444444444444401E-3</v>
      </c>
      <c r="W917">
        <v>2396487.9868947598</v>
      </c>
      <c r="X917" t="s">
        <v>44</v>
      </c>
      <c r="Y917">
        <f>1-657-154-4828</f>
        <v>-5638</v>
      </c>
    </row>
    <row r="918" spans="1:25" x14ac:dyDescent="0.35">
      <c r="A918">
        <v>41.811653646123297</v>
      </c>
      <c r="B918">
        <v>-117.54068944859701</v>
      </c>
      <c r="C918" t="s">
        <v>29</v>
      </c>
      <c r="D918">
        <v>49.668251869756503</v>
      </c>
      <c r="E918">
        <v>1</v>
      </c>
      <c r="F918">
        <v>3384</v>
      </c>
      <c r="G918">
        <v>5</v>
      </c>
      <c r="H918">
        <v>1</v>
      </c>
      <c r="I918">
        <v>2009</v>
      </c>
      <c r="J918">
        <v>1</v>
      </c>
      <c r="K918">
        <v>1</v>
      </c>
      <c r="L918">
        <v>0</v>
      </c>
      <c r="M918">
        <v>2</v>
      </c>
      <c r="N918" t="s">
        <v>26</v>
      </c>
      <c r="O918" t="s">
        <v>27</v>
      </c>
      <c r="P918">
        <v>2.9593788215649699</v>
      </c>
      <c r="Q918">
        <v>1.0741235692725299</v>
      </c>
      <c r="R918">
        <v>8.3691135349107704</v>
      </c>
      <c r="S918">
        <v>65</v>
      </c>
      <c r="T918">
        <v>25</v>
      </c>
      <c r="U918">
        <v>688.84880956199504</v>
      </c>
      <c r="V918">
        <v>5.9101654846335696E-4</v>
      </c>
      <c r="W918">
        <v>2683691.5358132599</v>
      </c>
      <c r="X918" t="s">
        <v>33</v>
      </c>
      <c r="Y918">
        <f>1-447-203-2916</f>
        <v>-3565</v>
      </c>
    </row>
    <row r="919" spans="1:25" x14ac:dyDescent="0.35">
      <c r="A919">
        <v>33.098100927827403</v>
      </c>
      <c r="B919">
        <v>-123.82242354329399</v>
      </c>
      <c r="C919" t="s">
        <v>29</v>
      </c>
      <c r="D919">
        <v>43.071989099848302</v>
      </c>
      <c r="E919">
        <v>1</v>
      </c>
      <c r="F919">
        <v>3332</v>
      </c>
      <c r="G919">
        <v>5</v>
      </c>
      <c r="H919">
        <v>2</v>
      </c>
      <c r="I919">
        <v>1974</v>
      </c>
      <c r="J919">
        <v>1</v>
      </c>
      <c r="K919">
        <v>1</v>
      </c>
      <c r="L919">
        <v>0</v>
      </c>
      <c r="M919">
        <v>12</v>
      </c>
      <c r="N919" t="s">
        <v>35</v>
      </c>
      <c r="O919" t="s">
        <v>30</v>
      </c>
      <c r="P919">
        <v>4.7543148630342102</v>
      </c>
      <c r="Q919">
        <v>1.54613182217717</v>
      </c>
      <c r="R919">
        <v>9.30302458665982</v>
      </c>
      <c r="S919">
        <v>96</v>
      </c>
      <c r="T919">
        <v>32</v>
      </c>
      <c r="U919">
        <v>666.03282866399798</v>
      </c>
      <c r="V919">
        <v>3.60144057623049E-3</v>
      </c>
      <c r="W919">
        <v>2643033.6881338698</v>
      </c>
      <c r="X919" t="s">
        <v>38</v>
      </c>
      <c r="Y919">
        <f>1-957-569-5080</f>
        <v>-6605</v>
      </c>
    </row>
    <row r="920" spans="1:25" x14ac:dyDescent="0.35">
      <c r="A920">
        <v>37.659390581135597</v>
      </c>
      <c r="B920">
        <v>-118.603062242174</v>
      </c>
      <c r="C920" t="s">
        <v>29</v>
      </c>
      <c r="D920">
        <v>26.3593016188962</v>
      </c>
      <c r="E920">
        <v>3</v>
      </c>
      <c r="F920">
        <v>3963</v>
      </c>
      <c r="G920">
        <v>4</v>
      </c>
      <c r="H920">
        <v>3</v>
      </c>
      <c r="I920">
        <v>1955</v>
      </c>
      <c r="J920">
        <v>0</v>
      </c>
      <c r="K920">
        <v>0</v>
      </c>
      <c r="L920">
        <v>1</v>
      </c>
      <c r="M920">
        <v>11</v>
      </c>
      <c r="N920" t="s">
        <v>41</v>
      </c>
      <c r="O920" t="s">
        <v>27</v>
      </c>
      <c r="P920">
        <v>6.4489657144056496</v>
      </c>
      <c r="Q920">
        <v>1.06869752927951</v>
      </c>
      <c r="R920">
        <v>4.0520103521172999</v>
      </c>
      <c r="S920">
        <v>197</v>
      </c>
      <c r="T920">
        <v>73</v>
      </c>
      <c r="U920">
        <v>914.18973087523398</v>
      </c>
      <c r="V920">
        <v>2.7756749936916399E-3</v>
      </c>
      <c r="W920">
        <v>3907768.8718643598</v>
      </c>
      <c r="X920" t="s">
        <v>42</v>
      </c>
      <c r="Y920">
        <f>1-602-628-2709</f>
        <v>-3938</v>
      </c>
    </row>
    <row r="921" spans="1:25" x14ac:dyDescent="0.35">
      <c r="A921">
        <v>36.140610502673098</v>
      </c>
      <c r="B921">
        <v>-116.823702426888</v>
      </c>
      <c r="C921" t="s">
        <v>34</v>
      </c>
      <c r="D921">
        <v>43.993606767617798</v>
      </c>
      <c r="E921">
        <v>2</v>
      </c>
      <c r="F921">
        <v>1110</v>
      </c>
      <c r="G921">
        <v>4</v>
      </c>
      <c r="H921">
        <v>3</v>
      </c>
      <c r="I921">
        <v>1975</v>
      </c>
      <c r="J921">
        <v>1</v>
      </c>
      <c r="K921">
        <v>0</v>
      </c>
      <c r="L921">
        <v>0</v>
      </c>
      <c r="M921">
        <v>10</v>
      </c>
      <c r="N921" t="s">
        <v>41</v>
      </c>
      <c r="O921" t="s">
        <v>30</v>
      </c>
      <c r="P921">
        <v>12.866109418508399</v>
      </c>
      <c r="Q921">
        <v>2.4647309452148298</v>
      </c>
      <c r="R921">
        <v>9.6522943105970995</v>
      </c>
      <c r="S921">
        <v>39</v>
      </c>
      <c r="T921">
        <v>41</v>
      </c>
      <c r="U921">
        <v>880.97676577311995</v>
      </c>
      <c r="V921">
        <v>9.0090090090090003E-3</v>
      </c>
      <c r="W921">
        <v>1277170.04848684</v>
      </c>
      <c r="X921" t="s">
        <v>31</v>
      </c>
      <c r="Y921">
        <f>1-574-552-6921</f>
        <v>-8046</v>
      </c>
    </row>
    <row r="922" spans="1:25" x14ac:dyDescent="0.35">
      <c r="A922">
        <v>40.6611286809677</v>
      </c>
      <c r="B922">
        <v>-114.746709351826</v>
      </c>
      <c r="C922" t="s">
        <v>29</v>
      </c>
      <c r="D922">
        <v>23.7917737334785</v>
      </c>
      <c r="E922">
        <v>5</v>
      </c>
      <c r="F922">
        <v>3330</v>
      </c>
      <c r="G922">
        <v>4</v>
      </c>
      <c r="H922">
        <v>1</v>
      </c>
      <c r="I922">
        <v>1980</v>
      </c>
      <c r="J922">
        <v>1</v>
      </c>
      <c r="K922">
        <v>0</v>
      </c>
      <c r="L922">
        <v>0</v>
      </c>
      <c r="M922">
        <v>9</v>
      </c>
      <c r="N922" t="s">
        <v>26</v>
      </c>
      <c r="O922" t="s">
        <v>30</v>
      </c>
      <c r="P922">
        <v>12.537968163060899</v>
      </c>
      <c r="Q922">
        <v>1.71161735117267</v>
      </c>
      <c r="R922">
        <v>6.8520026594995596</v>
      </c>
      <c r="S922">
        <v>34</v>
      </c>
      <c r="T922">
        <v>42</v>
      </c>
      <c r="U922">
        <v>533.59258945377201</v>
      </c>
      <c r="V922">
        <v>2.7027027027026998E-3</v>
      </c>
      <c r="W922">
        <v>2104096.3623621701</v>
      </c>
      <c r="X922" t="s">
        <v>43</v>
      </c>
      <c r="Y922">
        <f>1-825-102-9761</f>
        <v>-10687</v>
      </c>
    </row>
    <row r="923" spans="1:25" x14ac:dyDescent="0.35">
      <c r="A923">
        <v>38.288563624004702</v>
      </c>
      <c r="B923">
        <v>-117.674883680707</v>
      </c>
      <c r="C923" t="s">
        <v>29</v>
      </c>
      <c r="D923">
        <v>47.340738115799901</v>
      </c>
      <c r="E923">
        <v>8</v>
      </c>
      <c r="F923">
        <v>4522</v>
      </c>
      <c r="G923">
        <v>1</v>
      </c>
      <c r="H923">
        <v>3</v>
      </c>
      <c r="I923">
        <v>2008</v>
      </c>
      <c r="J923">
        <v>0</v>
      </c>
      <c r="K923">
        <v>0</v>
      </c>
      <c r="L923">
        <v>0</v>
      </c>
      <c r="M923">
        <v>3</v>
      </c>
      <c r="N923" t="s">
        <v>35</v>
      </c>
      <c r="O923" t="s">
        <v>32</v>
      </c>
      <c r="P923">
        <v>2.7575096757425399</v>
      </c>
      <c r="Q923">
        <v>1.1633564690565199</v>
      </c>
      <c r="R923">
        <v>8.3694060068588101</v>
      </c>
      <c r="S923">
        <v>131</v>
      </c>
      <c r="T923">
        <v>58</v>
      </c>
      <c r="U923">
        <v>426.00344389866598</v>
      </c>
      <c r="V923">
        <v>6.6342326404245902E-4</v>
      </c>
      <c r="W923">
        <v>2027376.78256622</v>
      </c>
      <c r="X923" t="s">
        <v>38</v>
      </c>
      <c r="Y923">
        <f>1-588-763-3230</f>
        <v>-4580</v>
      </c>
    </row>
    <row r="924" spans="1:25" x14ac:dyDescent="0.35">
      <c r="A924">
        <v>36.356620672631102</v>
      </c>
      <c r="B924">
        <v>-123.392319995793</v>
      </c>
      <c r="C924" t="s">
        <v>34</v>
      </c>
      <c r="D924">
        <v>23.4796391612071</v>
      </c>
      <c r="E924">
        <v>6</v>
      </c>
      <c r="F924">
        <v>3667</v>
      </c>
      <c r="G924">
        <v>2</v>
      </c>
      <c r="H924">
        <v>3</v>
      </c>
      <c r="I924">
        <v>1967</v>
      </c>
      <c r="J924">
        <v>1</v>
      </c>
      <c r="K924">
        <v>0</v>
      </c>
      <c r="L924">
        <v>1</v>
      </c>
      <c r="M924">
        <v>3</v>
      </c>
      <c r="N924" t="s">
        <v>35</v>
      </c>
      <c r="O924" t="s">
        <v>30</v>
      </c>
      <c r="P924">
        <v>7.1396926998824304</v>
      </c>
      <c r="Q924">
        <v>1.1197401731601599</v>
      </c>
      <c r="R924">
        <v>2.7682667960569298</v>
      </c>
      <c r="S924">
        <v>28</v>
      </c>
      <c r="T924">
        <v>41</v>
      </c>
      <c r="U924">
        <v>906.93374206838496</v>
      </c>
      <c r="V924">
        <v>8.1810744477774696E-4</v>
      </c>
      <c r="W924">
        <v>3530089.6234083101</v>
      </c>
      <c r="X924" t="s">
        <v>33</v>
      </c>
      <c r="Y924">
        <f>1-462-811-3622</f>
        <v>-4894</v>
      </c>
    </row>
    <row r="925" spans="1:25" x14ac:dyDescent="0.35">
      <c r="A925">
        <v>34.265684968538601</v>
      </c>
      <c r="B925">
        <v>-117.75489256000201</v>
      </c>
      <c r="C925" t="s">
        <v>25</v>
      </c>
      <c r="D925">
        <v>28.3050206352105</v>
      </c>
      <c r="E925">
        <v>8</v>
      </c>
      <c r="F925">
        <v>4631</v>
      </c>
      <c r="G925">
        <v>3</v>
      </c>
      <c r="H925">
        <v>1</v>
      </c>
      <c r="I925">
        <v>2021</v>
      </c>
      <c r="J925">
        <v>0</v>
      </c>
      <c r="K925">
        <v>1</v>
      </c>
      <c r="L925">
        <v>0</v>
      </c>
      <c r="M925">
        <v>6</v>
      </c>
      <c r="N925" t="s">
        <v>41</v>
      </c>
      <c r="O925" t="s">
        <v>27</v>
      </c>
      <c r="P925">
        <v>12.9815868999848</v>
      </c>
      <c r="Q925">
        <v>0.69915994018789096</v>
      </c>
      <c r="R925">
        <v>4.4501947565415296</v>
      </c>
      <c r="S925">
        <v>104</v>
      </c>
      <c r="T925">
        <v>59</v>
      </c>
      <c r="U925">
        <v>595.28720274756699</v>
      </c>
      <c r="V925">
        <v>1.2956164975167299E-3</v>
      </c>
      <c r="W925">
        <v>3253054.6035268302</v>
      </c>
      <c r="X925" t="s">
        <v>38</v>
      </c>
      <c r="Y925">
        <f>1-549-683-4698</f>
        <v>-5929</v>
      </c>
    </row>
    <row r="926" spans="1:25" x14ac:dyDescent="0.35">
      <c r="A926">
        <v>37.806055820431197</v>
      </c>
      <c r="B926">
        <v>-119.854998091471</v>
      </c>
      <c r="C926" t="s">
        <v>29</v>
      </c>
      <c r="D926">
        <v>26.8278603923501</v>
      </c>
      <c r="E926">
        <v>9</v>
      </c>
      <c r="F926">
        <v>1691</v>
      </c>
      <c r="G926">
        <v>2</v>
      </c>
      <c r="H926">
        <v>3</v>
      </c>
      <c r="I926">
        <v>1952</v>
      </c>
      <c r="J926">
        <v>1</v>
      </c>
      <c r="K926">
        <v>0</v>
      </c>
      <c r="L926">
        <v>1</v>
      </c>
      <c r="M926">
        <v>2</v>
      </c>
      <c r="N926" t="s">
        <v>35</v>
      </c>
      <c r="O926" t="s">
        <v>30</v>
      </c>
      <c r="P926">
        <v>13.8838320913703</v>
      </c>
      <c r="Q926">
        <v>1.36853189541016</v>
      </c>
      <c r="R926">
        <v>3.28282036238509</v>
      </c>
      <c r="S926">
        <v>79</v>
      </c>
      <c r="T926">
        <v>30</v>
      </c>
      <c r="U926">
        <v>552.54418701986106</v>
      </c>
      <c r="V926">
        <v>1.1827321111768101E-3</v>
      </c>
      <c r="W926">
        <v>1176917.27636895</v>
      </c>
      <c r="X926" t="s">
        <v>43</v>
      </c>
      <c r="Y926">
        <f>1-202-681-4115</f>
        <v>-4997</v>
      </c>
    </row>
    <row r="927" spans="1:25" x14ac:dyDescent="0.35">
      <c r="A927">
        <v>40.582843432955201</v>
      </c>
      <c r="B927">
        <v>-115.793096872284</v>
      </c>
      <c r="C927" t="s">
        <v>34</v>
      </c>
      <c r="D927">
        <v>14.8375045765876</v>
      </c>
      <c r="E927">
        <v>2</v>
      </c>
      <c r="F927">
        <v>3691</v>
      </c>
      <c r="G927">
        <v>4</v>
      </c>
      <c r="H927">
        <v>2</v>
      </c>
      <c r="I927">
        <v>1962</v>
      </c>
      <c r="J927">
        <v>1</v>
      </c>
      <c r="K927">
        <v>0</v>
      </c>
      <c r="L927">
        <v>1</v>
      </c>
      <c r="M927">
        <v>2</v>
      </c>
      <c r="N927" t="s">
        <v>37</v>
      </c>
      <c r="O927" t="s">
        <v>30</v>
      </c>
      <c r="P927">
        <v>12.3335523273139</v>
      </c>
      <c r="Q927">
        <v>1.1526035574723099</v>
      </c>
      <c r="R927">
        <v>0.749717881684557</v>
      </c>
      <c r="S927">
        <v>86</v>
      </c>
      <c r="T927">
        <v>35</v>
      </c>
      <c r="U927">
        <v>368.03234568530002</v>
      </c>
      <c r="V927">
        <v>5.4185857491194801E-4</v>
      </c>
      <c r="W927">
        <v>1681914.88816009</v>
      </c>
      <c r="X927" t="s">
        <v>33</v>
      </c>
      <c r="Y927">
        <f>1-322-990-8564</f>
        <v>-9875</v>
      </c>
    </row>
    <row r="928" spans="1:25" x14ac:dyDescent="0.35">
      <c r="A928">
        <v>36.948012698146002</v>
      </c>
      <c r="B928">
        <v>-116.343863281742</v>
      </c>
      <c r="C928" t="s">
        <v>25</v>
      </c>
      <c r="D928">
        <v>41.390301966483499</v>
      </c>
      <c r="E928">
        <v>0</v>
      </c>
      <c r="F928">
        <v>509</v>
      </c>
      <c r="G928">
        <v>1</v>
      </c>
      <c r="H928">
        <v>1</v>
      </c>
      <c r="I928">
        <v>1955</v>
      </c>
      <c r="J928">
        <v>1</v>
      </c>
      <c r="K928">
        <v>0</v>
      </c>
      <c r="L928">
        <v>1</v>
      </c>
      <c r="M928">
        <v>12</v>
      </c>
      <c r="N928" t="s">
        <v>26</v>
      </c>
      <c r="O928" t="s">
        <v>30</v>
      </c>
      <c r="P928">
        <v>10.6187464796015</v>
      </c>
      <c r="Q928">
        <v>2.1578671351902701</v>
      </c>
      <c r="R928">
        <v>9.5410642778421799</v>
      </c>
      <c r="S928">
        <v>166</v>
      </c>
      <c r="T928">
        <v>45</v>
      </c>
      <c r="U928">
        <v>444.667913076677</v>
      </c>
      <c r="V928">
        <v>2.35756385068762E-2</v>
      </c>
      <c r="W928">
        <v>323889.04167648603</v>
      </c>
      <c r="X928" t="s">
        <v>43</v>
      </c>
      <c r="Y928">
        <f>1-671-390-4869</f>
        <v>-5929</v>
      </c>
    </row>
    <row r="929" spans="1:25" x14ac:dyDescent="0.35">
      <c r="A929">
        <v>34.192515747619197</v>
      </c>
      <c r="B929">
        <v>-123.518717923967</v>
      </c>
      <c r="C929" t="s">
        <v>34</v>
      </c>
      <c r="D929">
        <v>34.054150812915204</v>
      </c>
      <c r="E929">
        <v>3</v>
      </c>
      <c r="F929">
        <v>884</v>
      </c>
      <c r="G929">
        <v>2</v>
      </c>
      <c r="H929">
        <v>3</v>
      </c>
      <c r="I929">
        <v>1972</v>
      </c>
      <c r="J929">
        <v>1</v>
      </c>
      <c r="K929">
        <v>0</v>
      </c>
      <c r="L929">
        <v>1</v>
      </c>
      <c r="M929">
        <v>6</v>
      </c>
      <c r="N929" t="s">
        <v>41</v>
      </c>
      <c r="O929" t="s">
        <v>27</v>
      </c>
      <c r="P929">
        <v>2.1091877077560599</v>
      </c>
      <c r="Q929">
        <v>1.3168340866272901</v>
      </c>
      <c r="R929">
        <v>9.7242611106387802</v>
      </c>
      <c r="S929">
        <v>33</v>
      </c>
      <c r="T929">
        <v>51</v>
      </c>
      <c r="U929">
        <v>594.20465250575398</v>
      </c>
      <c r="V929">
        <v>6.7873303167420799E-3</v>
      </c>
      <c r="W929">
        <v>743073.572084427</v>
      </c>
      <c r="X929" t="s">
        <v>43</v>
      </c>
      <c r="Y929">
        <f>1-506-583-7124</f>
        <v>-8212</v>
      </c>
    </row>
    <row r="930" spans="1:25" x14ac:dyDescent="0.35">
      <c r="A930">
        <v>36.205868925329199</v>
      </c>
      <c r="B930">
        <v>-117.962374804097</v>
      </c>
      <c r="C930" t="s">
        <v>25</v>
      </c>
      <c r="D930">
        <v>26.453862287649201</v>
      </c>
      <c r="E930">
        <v>8</v>
      </c>
      <c r="F930">
        <v>4124</v>
      </c>
      <c r="G930">
        <v>4</v>
      </c>
      <c r="H930">
        <v>3</v>
      </c>
      <c r="I930">
        <v>1966</v>
      </c>
      <c r="J930">
        <v>1</v>
      </c>
      <c r="K930">
        <v>1</v>
      </c>
      <c r="L930">
        <v>0</v>
      </c>
      <c r="M930">
        <v>9</v>
      </c>
      <c r="N930" t="s">
        <v>41</v>
      </c>
      <c r="O930" t="s">
        <v>30</v>
      </c>
      <c r="P930">
        <v>5.7798638434408698</v>
      </c>
      <c r="Q930">
        <v>1.56872532743657</v>
      </c>
      <c r="R930">
        <v>8.5635902162389796E-2</v>
      </c>
      <c r="S930">
        <v>75</v>
      </c>
      <c r="T930">
        <v>75</v>
      </c>
      <c r="U930">
        <v>504.10800912118702</v>
      </c>
      <c r="V930">
        <v>2.1823472356935002E-3</v>
      </c>
      <c r="W930">
        <v>2504030.49568982</v>
      </c>
      <c r="X930" t="s">
        <v>38</v>
      </c>
      <c r="Y930">
        <f>1-304-334-3382</f>
        <v>-4019</v>
      </c>
    </row>
    <row r="931" spans="1:25" x14ac:dyDescent="0.35">
      <c r="A931">
        <v>39.037180438563297</v>
      </c>
      <c r="B931">
        <v>-122.11441371742499</v>
      </c>
      <c r="C931" t="s">
        <v>25</v>
      </c>
      <c r="D931">
        <v>13.3861282981067</v>
      </c>
      <c r="E931">
        <v>8</v>
      </c>
      <c r="F931">
        <v>3111</v>
      </c>
      <c r="G931">
        <v>1</v>
      </c>
      <c r="H931">
        <v>2</v>
      </c>
      <c r="I931">
        <v>1982</v>
      </c>
      <c r="J931">
        <v>0</v>
      </c>
      <c r="K931">
        <v>1</v>
      </c>
      <c r="L931">
        <v>1</v>
      </c>
      <c r="M931">
        <v>5</v>
      </c>
      <c r="N931" t="s">
        <v>26</v>
      </c>
      <c r="O931" t="s">
        <v>27</v>
      </c>
      <c r="P931">
        <v>3.11451471345914</v>
      </c>
      <c r="Q931">
        <v>0.98463528685660495</v>
      </c>
      <c r="R931">
        <v>3.6228650852755999</v>
      </c>
      <c r="S931">
        <v>41</v>
      </c>
      <c r="T931">
        <v>65</v>
      </c>
      <c r="U931">
        <v>364.41840822799099</v>
      </c>
      <c r="V931">
        <v>1.6072002571520399E-3</v>
      </c>
      <c r="W931">
        <v>1314537.76777239</v>
      </c>
      <c r="X931" t="s">
        <v>44</v>
      </c>
      <c r="Y931">
        <f>1-869-475-9054</f>
        <v>-10397</v>
      </c>
    </row>
    <row r="932" spans="1:25" x14ac:dyDescent="0.35">
      <c r="A932">
        <v>33.1453780030511</v>
      </c>
      <c r="B932">
        <v>-118.885513201262</v>
      </c>
      <c r="C932" t="s">
        <v>34</v>
      </c>
      <c r="D932">
        <v>4.5563968614274302</v>
      </c>
      <c r="E932">
        <v>0</v>
      </c>
      <c r="F932">
        <v>606</v>
      </c>
      <c r="G932">
        <v>4</v>
      </c>
      <c r="H932">
        <v>2</v>
      </c>
      <c r="I932">
        <v>2006</v>
      </c>
      <c r="J932">
        <v>1</v>
      </c>
      <c r="K932">
        <v>0</v>
      </c>
      <c r="L932">
        <v>1</v>
      </c>
      <c r="M932">
        <v>3</v>
      </c>
      <c r="N932" t="s">
        <v>37</v>
      </c>
      <c r="O932" t="s">
        <v>27</v>
      </c>
      <c r="P932">
        <v>11.102093718849</v>
      </c>
      <c r="Q932">
        <v>0.95686927636349395</v>
      </c>
      <c r="R932">
        <v>8.3534937738119002</v>
      </c>
      <c r="S932">
        <v>141</v>
      </c>
      <c r="T932">
        <v>36</v>
      </c>
      <c r="U932">
        <v>967.34025263387696</v>
      </c>
      <c r="V932">
        <v>4.9504950495049497E-3</v>
      </c>
      <c r="W932">
        <v>969344.06753938703</v>
      </c>
      <c r="X932" t="s">
        <v>31</v>
      </c>
      <c r="Y932">
        <f>1-436-456-5610</f>
        <v>-6501</v>
      </c>
    </row>
    <row r="933" spans="1:25" x14ac:dyDescent="0.35">
      <c r="A933">
        <v>34.341043771286202</v>
      </c>
      <c r="B933">
        <v>-123.105158974841</v>
      </c>
      <c r="C933" t="s">
        <v>29</v>
      </c>
      <c r="D933">
        <v>24.6425720458294</v>
      </c>
      <c r="E933">
        <v>5</v>
      </c>
      <c r="F933">
        <v>3710</v>
      </c>
      <c r="G933">
        <v>3</v>
      </c>
      <c r="H933">
        <v>1</v>
      </c>
      <c r="I933">
        <v>1995</v>
      </c>
      <c r="J933">
        <v>1</v>
      </c>
      <c r="K933">
        <v>1</v>
      </c>
      <c r="L933">
        <v>1</v>
      </c>
      <c r="M933">
        <v>7</v>
      </c>
      <c r="N933" t="s">
        <v>26</v>
      </c>
      <c r="O933" t="s">
        <v>27</v>
      </c>
      <c r="P933">
        <v>5.5401207366913203</v>
      </c>
      <c r="Q933">
        <v>1.82623038935113</v>
      </c>
      <c r="R933">
        <v>1.70674286403607</v>
      </c>
      <c r="S933">
        <v>195</v>
      </c>
      <c r="T933">
        <v>42</v>
      </c>
      <c r="U933">
        <v>592.92534211654095</v>
      </c>
      <c r="V933">
        <v>1.88679245283018E-3</v>
      </c>
      <c r="W933">
        <v>2527671.2129192399</v>
      </c>
      <c r="X933" t="s">
        <v>33</v>
      </c>
      <c r="Y933">
        <f>1-572-753-6884</f>
        <v>-8208</v>
      </c>
    </row>
    <row r="934" spans="1:25" x14ac:dyDescent="0.35">
      <c r="A934">
        <v>35.472280435124901</v>
      </c>
      <c r="B934">
        <v>-117.498416940802</v>
      </c>
      <c r="C934" t="s">
        <v>34</v>
      </c>
      <c r="D934">
        <v>14.422999521576999</v>
      </c>
      <c r="E934">
        <v>1</v>
      </c>
      <c r="F934">
        <v>2036</v>
      </c>
      <c r="G934">
        <v>5</v>
      </c>
      <c r="H934">
        <v>3</v>
      </c>
      <c r="I934">
        <v>2019</v>
      </c>
      <c r="J934">
        <v>0</v>
      </c>
      <c r="K934">
        <v>0</v>
      </c>
      <c r="L934">
        <v>0</v>
      </c>
      <c r="M934">
        <v>3</v>
      </c>
      <c r="N934" t="s">
        <v>37</v>
      </c>
      <c r="O934" t="s">
        <v>27</v>
      </c>
      <c r="P934">
        <v>5.3002913267002203</v>
      </c>
      <c r="Q934">
        <v>1.02892757956631</v>
      </c>
      <c r="R934">
        <v>6.9394452392492099</v>
      </c>
      <c r="S934">
        <v>28</v>
      </c>
      <c r="T934">
        <v>56</v>
      </c>
      <c r="U934">
        <v>508.30961795642099</v>
      </c>
      <c r="V934">
        <v>1.4734774066797599E-3</v>
      </c>
      <c r="W934">
        <v>1383076.89462167</v>
      </c>
      <c r="X934" t="s">
        <v>40</v>
      </c>
      <c r="Y934">
        <f>1-603-982-9663</f>
        <v>-11247</v>
      </c>
    </row>
    <row r="935" spans="1:25" x14ac:dyDescent="0.35">
      <c r="A935">
        <v>34.273037252551298</v>
      </c>
      <c r="B935">
        <v>-123.021657021488</v>
      </c>
      <c r="C935" t="s">
        <v>25</v>
      </c>
      <c r="D935">
        <v>38.029026338734297</v>
      </c>
      <c r="E935">
        <v>7</v>
      </c>
      <c r="F935">
        <v>4393</v>
      </c>
      <c r="G935">
        <v>5</v>
      </c>
      <c r="H935">
        <v>1</v>
      </c>
      <c r="I935">
        <v>1959</v>
      </c>
      <c r="J935">
        <v>1</v>
      </c>
      <c r="K935">
        <v>0</v>
      </c>
      <c r="L935">
        <v>1</v>
      </c>
      <c r="M935">
        <v>8</v>
      </c>
      <c r="N935" t="s">
        <v>41</v>
      </c>
      <c r="O935" t="s">
        <v>30</v>
      </c>
      <c r="P935">
        <v>10.7840794839053</v>
      </c>
      <c r="Q935">
        <v>0.888773175727401</v>
      </c>
      <c r="R935">
        <v>1.43379290119242</v>
      </c>
      <c r="S935">
        <v>154</v>
      </c>
      <c r="T935">
        <v>76</v>
      </c>
      <c r="U935">
        <v>710.16844771790204</v>
      </c>
      <c r="V935">
        <v>1.8210789893011599E-3</v>
      </c>
      <c r="W935">
        <v>3368728.7165161502</v>
      </c>
      <c r="X935" t="s">
        <v>33</v>
      </c>
      <c r="Y935">
        <f>1-578-700-4893</f>
        <v>-6170</v>
      </c>
    </row>
    <row r="936" spans="1:25" x14ac:dyDescent="0.35">
      <c r="A936">
        <v>35.837287992634899</v>
      </c>
      <c r="B936">
        <v>-118.75604027375201</v>
      </c>
      <c r="C936" t="s">
        <v>25</v>
      </c>
      <c r="D936">
        <v>9.2054660348138704</v>
      </c>
      <c r="E936">
        <v>5</v>
      </c>
      <c r="F936">
        <v>3193</v>
      </c>
      <c r="G936">
        <v>2</v>
      </c>
      <c r="H936">
        <v>3</v>
      </c>
      <c r="I936">
        <v>1955</v>
      </c>
      <c r="J936">
        <v>1</v>
      </c>
      <c r="K936">
        <v>0</v>
      </c>
      <c r="L936">
        <v>1</v>
      </c>
      <c r="M936">
        <v>9</v>
      </c>
      <c r="N936" t="s">
        <v>35</v>
      </c>
      <c r="O936" t="s">
        <v>27</v>
      </c>
      <c r="P936">
        <v>7.0338975625787796</v>
      </c>
      <c r="Q936">
        <v>2.49423184065878</v>
      </c>
      <c r="R936">
        <v>2.8482213806929702</v>
      </c>
      <c r="S936">
        <v>28</v>
      </c>
      <c r="T936">
        <v>20</v>
      </c>
      <c r="U936">
        <v>955.07509580182204</v>
      </c>
      <c r="V936">
        <v>2.8186658315064199E-3</v>
      </c>
      <c r="W936">
        <v>3300770.1271864302</v>
      </c>
      <c r="X936" t="s">
        <v>33</v>
      </c>
      <c r="Y936">
        <f>1-748-100-8275</f>
        <v>-9122</v>
      </c>
    </row>
    <row r="937" spans="1:25" x14ac:dyDescent="0.35">
      <c r="A937">
        <v>33.009155726303199</v>
      </c>
      <c r="B937">
        <v>-122.919485608047</v>
      </c>
      <c r="C937" t="s">
        <v>25</v>
      </c>
      <c r="D937">
        <v>33.003530891344603</v>
      </c>
      <c r="E937">
        <v>9</v>
      </c>
      <c r="F937">
        <v>2737</v>
      </c>
      <c r="G937">
        <v>1</v>
      </c>
      <c r="H937">
        <v>3</v>
      </c>
      <c r="I937">
        <v>1962</v>
      </c>
      <c r="J937">
        <v>1</v>
      </c>
      <c r="K937">
        <v>0</v>
      </c>
      <c r="L937">
        <v>0</v>
      </c>
      <c r="M937">
        <v>6</v>
      </c>
      <c r="N937" t="s">
        <v>35</v>
      </c>
      <c r="O937" t="s">
        <v>27</v>
      </c>
      <c r="P937">
        <v>6.5566048956960197</v>
      </c>
      <c r="Q937">
        <v>1.0153439161593401</v>
      </c>
      <c r="R937">
        <v>4.4257507637449702</v>
      </c>
      <c r="S937">
        <v>162</v>
      </c>
      <c r="T937">
        <v>75</v>
      </c>
      <c r="U937">
        <v>700.46036256233197</v>
      </c>
      <c r="V937">
        <v>2.1921812203142101E-3</v>
      </c>
      <c r="W937">
        <v>2044750.8186418901</v>
      </c>
      <c r="X937" t="s">
        <v>31</v>
      </c>
      <c r="Y937">
        <f>1-322-637-5395</f>
        <v>-6353</v>
      </c>
    </row>
    <row r="938" spans="1:25" x14ac:dyDescent="0.35">
      <c r="A938">
        <v>40.641782710217697</v>
      </c>
      <c r="B938">
        <v>-116.571945970649</v>
      </c>
      <c r="C938" t="s">
        <v>29</v>
      </c>
      <c r="D938">
        <v>17.4865315375493</v>
      </c>
      <c r="E938">
        <v>2</v>
      </c>
      <c r="F938">
        <v>3053</v>
      </c>
      <c r="G938">
        <v>2</v>
      </c>
      <c r="H938">
        <v>1</v>
      </c>
      <c r="I938">
        <v>1980</v>
      </c>
      <c r="J938">
        <v>1</v>
      </c>
      <c r="K938">
        <v>1</v>
      </c>
      <c r="L938">
        <v>1</v>
      </c>
      <c r="M938">
        <v>7</v>
      </c>
      <c r="N938" t="s">
        <v>35</v>
      </c>
      <c r="O938" t="s">
        <v>32</v>
      </c>
      <c r="P938">
        <v>13.754488128325599</v>
      </c>
      <c r="Q938">
        <v>0.76293151368159895</v>
      </c>
      <c r="R938">
        <v>1.5092879802255399</v>
      </c>
      <c r="S938">
        <v>93</v>
      </c>
      <c r="T938">
        <v>30</v>
      </c>
      <c r="U938">
        <v>709.49946250035498</v>
      </c>
      <c r="V938">
        <v>2.29282672780871E-3</v>
      </c>
      <c r="W938">
        <v>2573437.4248649501</v>
      </c>
      <c r="X938" t="s">
        <v>39</v>
      </c>
      <c r="Y938">
        <f>1-631-504-3394</f>
        <v>-4528</v>
      </c>
    </row>
    <row r="939" spans="1:25" x14ac:dyDescent="0.35">
      <c r="A939">
        <v>33.283148523375502</v>
      </c>
      <c r="B939">
        <v>-121.344851528381</v>
      </c>
      <c r="C939" t="s">
        <v>29</v>
      </c>
      <c r="D939">
        <v>9.5361544528996802</v>
      </c>
      <c r="E939">
        <v>5</v>
      </c>
      <c r="F939">
        <v>2051</v>
      </c>
      <c r="G939">
        <v>3</v>
      </c>
      <c r="H939">
        <v>1</v>
      </c>
      <c r="I939">
        <v>1959</v>
      </c>
      <c r="J939">
        <v>0</v>
      </c>
      <c r="K939">
        <v>1</v>
      </c>
      <c r="L939">
        <v>1</v>
      </c>
      <c r="M939">
        <v>11</v>
      </c>
      <c r="N939" t="s">
        <v>41</v>
      </c>
      <c r="O939" t="s">
        <v>30</v>
      </c>
      <c r="P939">
        <v>12.2970051395514</v>
      </c>
      <c r="Q939">
        <v>1.09327391135864</v>
      </c>
      <c r="R939">
        <v>8.9135585970184792</v>
      </c>
      <c r="S939">
        <v>15</v>
      </c>
      <c r="T939">
        <v>38</v>
      </c>
      <c r="U939">
        <v>904.23323548615599</v>
      </c>
      <c r="V939">
        <v>5.3632374451486999E-3</v>
      </c>
      <c r="W939">
        <v>2143043.4278909499</v>
      </c>
      <c r="X939" t="s">
        <v>31</v>
      </c>
      <c r="Y939">
        <f>1-311-321-7950</f>
        <v>-8581</v>
      </c>
    </row>
    <row r="940" spans="1:25" x14ac:dyDescent="0.35">
      <c r="A940">
        <v>33.314119456744699</v>
      </c>
      <c r="B940">
        <v>-122.381975341049</v>
      </c>
      <c r="C940" t="s">
        <v>29</v>
      </c>
      <c r="D940">
        <v>40.1458470969703</v>
      </c>
      <c r="E940">
        <v>8</v>
      </c>
      <c r="F940">
        <v>4925</v>
      </c>
      <c r="G940">
        <v>3</v>
      </c>
      <c r="H940">
        <v>2</v>
      </c>
      <c r="I940">
        <v>1989</v>
      </c>
      <c r="J940">
        <v>0</v>
      </c>
      <c r="K940">
        <v>0</v>
      </c>
      <c r="L940">
        <v>0</v>
      </c>
      <c r="M940">
        <v>12</v>
      </c>
      <c r="N940" t="s">
        <v>35</v>
      </c>
      <c r="O940" t="s">
        <v>30</v>
      </c>
      <c r="P940">
        <v>5.58612540619594</v>
      </c>
      <c r="Q940">
        <v>2.2179985736157501</v>
      </c>
      <c r="R940">
        <v>8.9501733189048007</v>
      </c>
      <c r="S940">
        <v>45</v>
      </c>
      <c r="T940">
        <v>51</v>
      </c>
      <c r="U940">
        <v>851.14866482706498</v>
      </c>
      <c r="V940">
        <v>2.4365482233502499E-3</v>
      </c>
      <c r="W940">
        <v>4301650.3058004901</v>
      </c>
      <c r="X940" t="s">
        <v>38</v>
      </c>
      <c r="Y940">
        <f>1-985-879-8005</f>
        <v>-9868</v>
      </c>
    </row>
    <row r="941" spans="1:25" x14ac:dyDescent="0.35">
      <c r="A941">
        <v>36.154041514139202</v>
      </c>
      <c r="B941">
        <v>-116.595376630866</v>
      </c>
      <c r="C941" t="s">
        <v>34</v>
      </c>
      <c r="D941">
        <v>22.396118935242502</v>
      </c>
      <c r="E941">
        <v>8</v>
      </c>
      <c r="F941">
        <v>2856</v>
      </c>
      <c r="G941">
        <v>3</v>
      </c>
      <c r="H941">
        <v>3</v>
      </c>
      <c r="I941">
        <v>1969</v>
      </c>
      <c r="J941">
        <v>0</v>
      </c>
      <c r="K941">
        <v>1</v>
      </c>
      <c r="L941">
        <v>0</v>
      </c>
      <c r="M941">
        <v>6</v>
      </c>
      <c r="N941" t="s">
        <v>35</v>
      </c>
      <c r="O941" t="s">
        <v>30</v>
      </c>
      <c r="P941">
        <v>7.6719667623415404</v>
      </c>
      <c r="Q941">
        <v>1.5200731903823701</v>
      </c>
      <c r="R941">
        <v>5.2725373344074304</v>
      </c>
      <c r="S941">
        <v>80</v>
      </c>
      <c r="T941">
        <v>24</v>
      </c>
      <c r="U941">
        <v>742.90925904384699</v>
      </c>
      <c r="V941">
        <v>2.1008403361344498E-3</v>
      </c>
      <c r="W941">
        <v>2451666.4378468702</v>
      </c>
      <c r="X941" t="s">
        <v>28</v>
      </c>
      <c r="Y941">
        <f>1-921-763-1263</f>
        <v>-2946</v>
      </c>
    </row>
    <row r="942" spans="1:25" x14ac:dyDescent="0.35">
      <c r="A942">
        <v>37.410031420651499</v>
      </c>
      <c r="B942">
        <v>-115.210641627459</v>
      </c>
      <c r="C942" t="s">
        <v>34</v>
      </c>
      <c r="D942">
        <v>26.893190140565601</v>
      </c>
      <c r="E942">
        <v>9</v>
      </c>
      <c r="F942">
        <v>2675</v>
      </c>
      <c r="G942">
        <v>5</v>
      </c>
      <c r="H942">
        <v>1</v>
      </c>
      <c r="I942">
        <v>1980</v>
      </c>
      <c r="J942">
        <v>1</v>
      </c>
      <c r="K942">
        <v>1</v>
      </c>
      <c r="L942">
        <v>1</v>
      </c>
      <c r="M942">
        <v>9</v>
      </c>
      <c r="N942" t="s">
        <v>35</v>
      </c>
      <c r="O942" t="s">
        <v>30</v>
      </c>
      <c r="P942">
        <v>8.3835921294661606</v>
      </c>
      <c r="Q942">
        <v>2.3046410613564499</v>
      </c>
      <c r="R942">
        <v>8.8533038084801401</v>
      </c>
      <c r="S942">
        <v>39</v>
      </c>
      <c r="T942">
        <v>58</v>
      </c>
      <c r="U942">
        <v>566.35480215738198</v>
      </c>
      <c r="V942">
        <v>3.3644859813084099E-3</v>
      </c>
      <c r="W942">
        <v>1945133.6100184801</v>
      </c>
      <c r="X942" t="s">
        <v>42</v>
      </c>
      <c r="Y942">
        <f>1-656-435-9694</f>
        <v>-10784</v>
      </c>
    </row>
    <row r="943" spans="1:25" x14ac:dyDescent="0.35">
      <c r="A943">
        <v>36.575655185942203</v>
      </c>
      <c r="B943">
        <v>-121.131458187438</v>
      </c>
      <c r="C943" t="s">
        <v>25</v>
      </c>
      <c r="D943">
        <v>20.844610676778299</v>
      </c>
      <c r="E943">
        <v>6</v>
      </c>
      <c r="F943">
        <v>4325</v>
      </c>
      <c r="G943">
        <v>4</v>
      </c>
      <c r="H943">
        <v>2</v>
      </c>
      <c r="I943">
        <v>1951</v>
      </c>
      <c r="J943">
        <v>1</v>
      </c>
      <c r="K943">
        <v>1</v>
      </c>
      <c r="L943">
        <v>1</v>
      </c>
      <c r="M943">
        <v>2</v>
      </c>
      <c r="N943" t="s">
        <v>41</v>
      </c>
      <c r="O943" t="s">
        <v>32</v>
      </c>
      <c r="P943">
        <v>4.9975364484973896</v>
      </c>
      <c r="Q943">
        <v>1.9367865799816399</v>
      </c>
      <c r="R943">
        <v>7.2159783032653104</v>
      </c>
      <c r="S943">
        <v>57</v>
      </c>
      <c r="T943">
        <v>78</v>
      </c>
      <c r="U943">
        <v>733.12979999623496</v>
      </c>
      <c r="V943">
        <v>4.62427745664739E-4</v>
      </c>
      <c r="W943">
        <v>3477751.8982747002</v>
      </c>
      <c r="X943" t="s">
        <v>39</v>
      </c>
      <c r="Y943">
        <f>1-742-933-7544</f>
        <v>-9218</v>
      </c>
    </row>
    <row r="944" spans="1:25" x14ac:dyDescent="0.35">
      <c r="A944">
        <v>34.2717187410531</v>
      </c>
      <c r="B944">
        <v>-117.879947515121</v>
      </c>
      <c r="C944" t="s">
        <v>34</v>
      </c>
      <c r="D944">
        <v>36.261171744413602</v>
      </c>
      <c r="E944">
        <v>1</v>
      </c>
      <c r="F944">
        <v>1759</v>
      </c>
      <c r="G944">
        <v>5</v>
      </c>
      <c r="H944">
        <v>2</v>
      </c>
      <c r="I944">
        <v>1953</v>
      </c>
      <c r="J944">
        <v>1</v>
      </c>
      <c r="K944">
        <v>1</v>
      </c>
      <c r="L944">
        <v>1</v>
      </c>
      <c r="M944">
        <v>13</v>
      </c>
      <c r="N944" t="s">
        <v>37</v>
      </c>
      <c r="O944" t="s">
        <v>30</v>
      </c>
      <c r="P944">
        <v>3.2550892370619402</v>
      </c>
      <c r="Q944">
        <v>0.52999177229225602</v>
      </c>
      <c r="R944">
        <v>1.4675064975777601</v>
      </c>
      <c r="S944">
        <v>15</v>
      </c>
      <c r="T944">
        <v>51</v>
      </c>
      <c r="U944">
        <v>877.38600827237497</v>
      </c>
      <c r="V944">
        <v>7.3905628197839602E-3</v>
      </c>
      <c r="W944">
        <v>1931503.3172262099</v>
      </c>
      <c r="X944" t="s">
        <v>38</v>
      </c>
      <c r="Y944">
        <f>1-805-551-5510</f>
        <v>-6865</v>
      </c>
    </row>
    <row r="945" spans="1:25" x14ac:dyDescent="0.35">
      <c r="A945">
        <v>40.913227254381098</v>
      </c>
      <c r="B945">
        <v>-118.40863941364999</v>
      </c>
      <c r="C945" t="s">
        <v>29</v>
      </c>
      <c r="D945">
        <v>17.955880332402899</v>
      </c>
      <c r="E945">
        <v>0</v>
      </c>
      <c r="F945">
        <v>2539</v>
      </c>
      <c r="G945">
        <v>3</v>
      </c>
      <c r="H945">
        <v>2</v>
      </c>
      <c r="I945">
        <v>1990</v>
      </c>
      <c r="J945">
        <v>1</v>
      </c>
      <c r="K945">
        <v>1</v>
      </c>
      <c r="L945">
        <v>0</v>
      </c>
      <c r="M945">
        <v>7</v>
      </c>
      <c r="N945" t="s">
        <v>26</v>
      </c>
      <c r="O945" t="s">
        <v>32</v>
      </c>
      <c r="P945">
        <v>4.0074482114485299</v>
      </c>
      <c r="Q945">
        <v>2.2636801008162499</v>
      </c>
      <c r="R945">
        <v>4.1163267207505498</v>
      </c>
      <c r="S945">
        <v>108</v>
      </c>
      <c r="T945">
        <v>50</v>
      </c>
      <c r="U945">
        <v>602.34700818782596</v>
      </c>
      <c r="V945">
        <v>2.75699094131547E-3</v>
      </c>
      <c r="W945">
        <v>1779954.9351514101</v>
      </c>
      <c r="X945" t="s">
        <v>33</v>
      </c>
      <c r="Y945">
        <f>1-708-157-8922</f>
        <v>-9786</v>
      </c>
    </row>
    <row r="946" spans="1:25" x14ac:dyDescent="0.35">
      <c r="A946">
        <v>38.453588000963997</v>
      </c>
      <c r="B946">
        <v>-116.97475218691299</v>
      </c>
      <c r="C946" t="s">
        <v>34</v>
      </c>
      <c r="D946">
        <v>18.366843746963699</v>
      </c>
      <c r="E946">
        <v>4</v>
      </c>
      <c r="F946">
        <v>1116</v>
      </c>
      <c r="G946">
        <v>2</v>
      </c>
      <c r="H946">
        <v>2</v>
      </c>
      <c r="I946">
        <v>1988</v>
      </c>
      <c r="J946">
        <v>1</v>
      </c>
      <c r="K946">
        <v>1</v>
      </c>
      <c r="L946">
        <v>1</v>
      </c>
      <c r="M946">
        <v>12</v>
      </c>
      <c r="N946" t="s">
        <v>41</v>
      </c>
      <c r="O946" t="s">
        <v>32</v>
      </c>
      <c r="P946">
        <v>14.784765062166301</v>
      </c>
      <c r="Q946">
        <v>1.01963676943939</v>
      </c>
      <c r="R946">
        <v>5.2010175033884698</v>
      </c>
      <c r="S946">
        <v>68</v>
      </c>
      <c r="T946">
        <v>56</v>
      </c>
      <c r="U946">
        <v>755.77864251103597</v>
      </c>
      <c r="V946">
        <v>1.0752688172042999E-2</v>
      </c>
      <c r="W946">
        <v>1187763.3204617801</v>
      </c>
      <c r="X946" t="s">
        <v>40</v>
      </c>
      <c r="Y946">
        <f>1-771-976-5143</f>
        <v>-6889</v>
      </c>
    </row>
    <row r="947" spans="1:25" x14ac:dyDescent="0.35">
      <c r="A947">
        <v>33.515298314464502</v>
      </c>
      <c r="B947">
        <v>-116.780591998189</v>
      </c>
      <c r="C947" t="s">
        <v>25</v>
      </c>
      <c r="D947">
        <v>2.6527097158559498</v>
      </c>
      <c r="E947">
        <v>6</v>
      </c>
      <c r="F947">
        <v>2079</v>
      </c>
      <c r="G947">
        <v>2</v>
      </c>
      <c r="H947">
        <v>2</v>
      </c>
      <c r="I947">
        <v>2005</v>
      </c>
      <c r="J947">
        <v>1</v>
      </c>
      <c r="K947">
        <v>0</v>
      </c>
      <c r="L947">
        <v>1</v>
      </c>
      <c r="M947">
        <v>13</v>
      </c>
      <c r="N947" t="s">
        <v>26</v>
      </c>
      <c r="O947" t="s">
        <v>27</v>
      </c>
      <c r="P947">
        <v>8.2269045256522801</v>
      </c>
      <c r="Q947">
        <v>0.65220396331489905</v>
      </c>
      <c r="R947">
        <v>3.6696292947515698</v>
      </c>
      <c r="S947">
        <v>141</v>
      </c>
      <c r="T947">
        <v>43</v>
      </c>
      <c r="U947">
        <v>913.47691536443699</v>
      </c>
      <c r="V947">
        <v>6.2530062530062498E-3</v>
      </c>
      <c r="W947">
        <v>2206383.4702972402</v>
      </c>
      <c r="X947" t="s">
        <v>36</v>
      </c>
      <c r="Y947">
        <f>1-885-835-9338</f>
        <v>-11057</v>
      </c>
    </row>
    <row r="948" spans="1:25" x14ac:dyDescent="0.35">
      <c r="A948">
        <v>35.077212079562798</v>
      </c>
      <c r="B948">
        <v>-116.74022999943899</v>
      </c>
      <c r="C948" t="s">
        <v>25</v>
      </c>
      <c r="D948">
        <v>42.738910333776403</v>
      </c>
      <c r="E948">
        <v>0</v>
      </c>
      <c r="F948">
        <v>3725</v>
      </c>
      <c r="G948">
        <v>4</v>
      </c>
      <c r="H948">
        <v>1</v>
      </c>
      <c r="I948">
        <v>2017</v>
      </c>
      <c r="J948">
        <v>0</v>
      </c>
      <c r="K948">
        <v>0</v>
      </c>
      <c r="L948">
        <v>0</v>
      </c>
      <c r="M948">
        <v>4</v>
      </c>
      <c r="N948" t="s">
        <v>35</v>
      </c>
      <c r="O948" t="s">
        <v>30</v>
      </c>
      <c r="P948">
        <v>12.821491384871999</v>
      </c>
      <c r="Q948">
        <v>0.65798652931306001</v>
      </c>
      <c r="R948">
        <v>7.5373357400887002</v>
      </c>
      <c r="S948">
        <v>172</v>
      </c>
      <c r="T948">
        <v>62</v>
      </c>
      <c r="U948">
        <v>557.21686871795703</v>
      </c>
      <c r="V948">
        <v>1.0738255033557E-3</v>
      </c>
      <c r="W948">
        <v>2365135.9210802899</v>
      </c>
      <c r="X948" t="s">
        <v>44</v>
      </c>
      <c r="Y948">
        <f>1-730-988-3437</f>
        <v>-5154</v>
      </c>
    </row>
    <row r="949" spans="1:25" x14ac:dyDescent="0.35">
      <c r="A949">
        <v>32.740551783582703</v>
      </c>
      <c r="B949">
        <v>-121.788932502732</v>
      </c>
      <c r="C949" t="s">
        <v>34</v>
      </c>
      <c r="D949">
        <v>43.903146277815701</v>
      </c>
      <c r="E949">
        <v>0</v>
      </c>
      <c r="F949">
        <v>3475</v>
      </c>
      <c r="G949">
        <v>2</v>
      </c>
      <c r="H949">
        <v>1</v>
      </c>
      <c r="I949">
        <v>1993</v>
      </c>
      <c r="J949">
        <v>1</v>
      </c>
      <c r="K949">
        <v>0</v>
      </c>
      <c r="L949">
        <v>0</v>
      </c>
      <c r="M949">
        <v>4</v>
      </c>
      <c r="N949" t="s">
        <v>35</v>
      </c>
      <c r="O949" t="s">
        <v>32</v>
      </c>
      <c r="P949">
        <v>7.3888646899786599</v>
      </c>
      <c r="Q949">
        <v>0.51320715753750201</v>
      </c>
      <c r="R949">
        <v>1.0467206842115599</v>
      </c>
      <c r="S949">
        <v>130</v>
      </c>
      <c r="T949">
        <v>74</v>
      </c>
      <c r="U949">
        <v>582.54532643852099</v>
      </c>
      <c r="V949">
        <v>1.1510791366906401E-3</v>
      </c>
      <c r="W949">
        <v>2163471.8441531798</v>
      </c>
      <c r="X949" t="s">
        <v>42</v>
      </c>
      <c r="Y949">
        <f>1-319-283-3478</f>
        <v>-4079</v>
      </c>
    </row>
    <row r="950" spans="1:25" x14ac:dyDescent="0.35">
      <c r="A950">
        <v>40.770768251387402</v>
      </c>
      <c r="B950">
        <v>-122.050358749815</v>
      </c>
      <c r="C950" t="s">
        <v>29</v>
      </c>
      <c r="D950">
        <v>18.431333305054299</v>
      </c>
      <c r="E950">
        <v>4</v>
      </c>
      <c r="F950">
        <v>2183</v>
      </c>
      <c r="G950">
        <v>5</v>
      </c>
      <c r="H950">
        <v>3</v>
      </c>
      <c r="I950">
        <v>1990</v>
      </c>
      <c r="J950">
        <v>1</v>
      </c>
      <c r="K950">
        <v>0</v>
      </c>
      <c r="L950">
        <v>0</v>
      </c>
      <c r="M950">
        <v>5</v>
      </c>
      <c r="N950" t="s">
        <v>26</v>
      </c>
      <c r="O950" t="s">
        <v>30</v>
      </c>
      <c r="P950">
        <v>11.395170766847301</v>
      </c>
      <c r="Q950">
        <v>2.4590294281449698</v>
      </c>
      <c r="R950">
        <v>5.6617728570195904</v>
      </c>
      <c r="S950">
        <v>66</v>
      </c>
      <c r="T950">
        <v>20</v>
      </c>
      <c r="U950">
        <v>468.86487315923</v>
      </c>
      <c r="V950">
        <v>2.2904260192395699E-3</v>
      </c>
      <c r="W950">
        <v>1407296.08743389</v>
      </c>
      <c r="X950" t="s">
        <v>39</v>
      </c>
      <c r="Y950">
        <f>1-231-115-3982</f>
        <v>-4327</v>
      </c>
    </row>
    <row r="951" spans="1:25" x14ac:dyDescent="0.35">
      <c r="A951">
        <v>41.917497188967197</v>
      </c>
      <c r="B951">
        <v>-124.229696129619</v>
      </c>
      <c r="C951" t="s">
        <v>34</v>
      </c>
      <c r="D951">
        <v>1.1823310842996599</v>
      </c>
      <c r="E951">
        <v>7</v>
      </c>
      <c r="F951">
        <v>683</v>
      </c>
      <c r="G951">
        <v>3</v>
      </c>
      <c r="H951">
        <v>1</v>
      </c>
      <c r="I951">
        <v>1971</v>
      </c>
      <c r="J951">
        <v>0</v>
      </c>
      <c r="K951">
        <v>1</v>
      </c>
      <c r="L951">
        <v>0</v>
      </c>
      <c r="M951">
        <v>5</v>
      </c>
      <c r="N951" t="s">
        <v>41</v>
      </c>
      <c r="O951" t="s">
        <v>27</v>
      </c>
      <c r="P951">
        <v>6.3387761095034296</v>
      </c>
      <c r="Q951">
        <v>0.53128107648677003</v>
      </c>
      <c r="R951">
        <v>2.8760736067592498</v>
      </c>
      <c r="S951">
        <v>85</v>
      </c>
      <c r="T951">
        <v>60</v>
      </c>
      <c r="U951">
        <v>449.71554855679699</v>
      </c>
      <c r="V951">
        <v>7.3206442166910603E-3</v>
      </c>
      <c r="W951">
        <v>663237.33875159605</v>
      </c>
      <c r="X951" t="s">
        <v>28</v>
      </c>
      <c r="Y951">
        <f>1-227-125-9110</f>
        <v>-9461</v>
      </c>
    </row>
    <row r="952" spans="1:25" x14ac:dyDescent="0.35">
      <c r="A952">
        <v>37.643080141652803</v>
      </c>
      <c r="B952">
        <v>-115.680833777448</v>
      </c>
      <c r="C952" t="s">
        <v>34</v>
      </c>
      <c r="D952">
        <v>10.0070191565875</v>
      </c>
      <c r="E952">
        <v>1</v>
      </c>
      <c r="F952">
        <v>2757</v>
      </c>
      <c r="G952">
        <v>4</v>
      </c>
      <c r="H952">
        <v>2</v>
      </c>
      <c r="I952">
        <v>2010</v>
      </c>
      <c r="J952">
        <v>1</v>
      </c>
      <c r="K952">
        <v>0</v>
      </c>
      <c r="L952">
        <v>0</v>
      </c>
      <c r="M952">
        <v>13</v>
      </c>
      <c r="N952" t="s">
        <v>26</v>
      </c>
      <c r="O952" t="s">
        <v>27</v>
      </c>
      <c r="P952">
        <v>2.5849052828824202</v>
      </c>
      <c r="Q952">
        <v>1.0729585960415</v>
      </c>
      <c r="R952">
        <v>3.4903745696851001</v>
      </c>
      <c r="S952">
        <v>115</v>
      </c>
      <c r="T952">
        <v>68</v>
      </c>
      <c r="U952">
        <v>404.83425106471202</v>
      </c>
      <c r="V952">
        <v>4.7152702212549802E-3</v>
      </c>
      <c r="W952">
        <v>1394581.7164098399</v>
      </c>
      <c r="X952" t="s">
        <v>40</v>
      </c>
      <c r="Y952">
        <f>1-775-815-5085</f>
        <v>-6674</v>
      </c>
    </row>
    <row r="953" spans="1:25" x14ac:dyDescent="0.35">
      <c r="A953">
        <v>33.987420263565603</v>
      </c>
      <c r="B953">
        <v>-117.190773364804</v>
      </c>
      <c r="C953" t="s">
        <v>25</v>
      </c>
      <c r="D953">
        <v>49.4204013186541</v>
      </c>
      <c r="E953">
        <v>2</v>
      </c>
      <c r="F953">
        <v>1549</v>
      </c>
      <c r="G953">
        <v>2</v>
      </c>
      <c r="H953">
        <v>1</v>
      </c>
      <c r="I953">
        <v>1993</v>
      </c>
      <c r="J953">
        <v>0</v>
      </c>
      <c r="K953">
        <v>0</v>
      </c>
      <c r="L953">
        <v>0</v>
      </c>
      <c r="M953">
        <v>8</v>
      </c>
      <c r="N953" t="s">
        <v>26</v>
      </c>
      <c r="O953" t="s">
        <v>27</v>
      </c>
      <c r="P953">
        <v>9.7647467405063608</v>
      </c>
      <c r="Q953">
        <v>1.00982200745909</v>
      </c>
      <c r="R953">
        <v>9.2753123523402596</v>
      </c>
      <c r="S953">
        <v>192</v>
      </c>
      <c r="T953">
        <v>40</v>
      </c>
      <c r="U953">
        <v>711.11734297117198</v>
      </c>
      <c r="V953">
        <v>5.1646223369916002E-3</v>
      </c>
      <c r="W953">
        <v>1162130.86589496</v>
      </c>
      <c r="X953" t="s">
        <v>38</v>
      </c>
      <c r="Y953">
        <f>1-575-815-9010</f>
        <v>-10399</v>
      </c>
    </row>
    <row r="954" spans="1:25" x14ac:dyDescent="0.35">
      <c r="A954">
        <v>39.541042490445001</v>
      </c>
      <c r="B954">
        <v>-117.897258692926</v>
      </c>
      <c r="C954" t="s">
        <v>25</v>
      </c>
      <c r="D954">
        <v>18.4929896306488</v>
      </c>
      <c r="E954">
        <v>3</v>
      </c>
      <c r="F954">
        <v>1294</v>
      </c>
      <c r="G954">
        <v>5</v>
      </c>
      <c r="H954">
        <v>1</v>
      </c>
      <c r="I954">
        <v>1986</v>
      </c>
      <c r="J954">
        <v>1</v>
      </c>
      <c r="K954">
        <v>1</v>
      </c>
      <c r="L954">
        <v>0</v>
      </c>
      <c r="M954">
        <v>5</v>
      </c>
      <c r="N954" t="s">
        <v>35</v>
      </c>
      <c r="O954" t="s">
        <v>27</v>
      </c>
      <c r="P954">
        <v>12.625454820433299</v>
      </c>
      <c r="Q954">
        <v>2.0399034140188901</v>
      </c>
      <c r="R954">
        <v>0.277316979803236</v>
      </c>
      <c r="S954">
        <v>44</v>
      </c>
      <c r="T954">
        <v>58</v>
      </c>
      <c r="U954">
        <v>317.99511481717502</v>
      </c>
      <c r="V954">
        <v>3.8639876352395599E-3</v>
      </c>
      <c r="W954">
        <v>855620.17325188103</v>
      </c>
      <c r="X954" t="s">
        <v>43</v>
      </c>
      <c r="Y954">
        <f>1-649-957-9179</f>
        <v>-10784</v>
      </c>
    </row>
    <row r="955" spans="1:25" x14ac:dyDescent="0.35">
      <c r="A955">
        <v>34.590082851145503</v>
      </c>
      <c r="B955">
        <v>-114.126078076425</v>
      </c>
      <c r="C955" t="s">
        <v>34</v>
      </c>
      <c r="D955">
        <v>36.4577038906193</v>
      </c>
      <c r="E955">
        <v>9</v>
      </c>
      <c r="F955">
        <v>1826</v>
      </c>
      <c r="G955">
        <v>1</v>
      </c>
      <c r="H955">
        <v>1</v>
      </c>
      <c r="I955">
        <v>1988</v>
      </c>
      <c r="J955">
        <v>0</v>
      </c>
      <c r="K955">
        <v>1</v>
      </c>
      <c r="L955">
        <v>0</v>
      </c>
      <c r="M955">
        <v>6</v>
      </c>
      <c r="N955" t="s">
        <v>41</v>
      </c>
      <c r="O955" t="s">
        <v>30</v>
      </c>
      <c r="P955">
        <v>8.4983965935479393</v>
      </c>
      <c r="Q955">
        <v>1.2107848036487501</v>
      </c>
      <c r="R955">
        <v>2.4179720202092798</v>
      </c>
      <c r="S955">
        <v>53</v>
      </c>
      <c r="T955">
        <v>55</v>
      </c>
      <c r="U955">
        <v>938.50466517150801</v>
      </c>
      <c r="V955">
        <v>3.2858707557502699E-3</v>
      </c>
      <c r="W955">
        <v>1958512.3400845099</v>
      </c>
      <c r="X955" t="s">
        <v>28</v>
      </c>
      <c r="Y955">
        <f>1-511-466-8890</f>
        <v>-9866</v>
      </c>
    </row>
    <row r="956" spans="1:25" x14ac:dyDescent="0.35">
      <c r="A956">
        <v>38.338638954587601</v>
      </c>
      <c r="B956">
        <v>-122.46242813631299</v>
      </c>
      <c r="C956" t="s">
        <v>34</v>
      </c>
      <c r="D956">
        <v>20.504749898598501</v>
      </c>
      <c r="E956">
        <v>9</v>
      </c>
      <c r="F956">
        <v>2937</v>
      </c>
      <c r="G956">
        <v>5</v>
      </c>
      <c r="H956">
        <v>2</v>
      </c>
      <c r="I956">
        <v>1962</v>
      </c>
      <c r="J956">
        <v>0</v>
      </c>
      <c r="K956">
        <v>1</v>
      </c>
      <c r="L956">
        <v>0</v>
      </c>
      <c r="M956">
        <v>13</v>
      </c>
      <c r="N956" t="s">
        <v>41</v>
      </c>
      <c r="O956" t="s">
        <v>27</v>
      </c>
      <c r="P956">
        <v>3.69767695232132</v>
      </c>
      <c r="Q956">
        <v>0.90363842615108003</v>
      </c>
      <c r="R956">
        <v>3.78581571023064</v>
      </c>
      <c r="S956">
        <v>76</v>
      </c>
      <c r="T956">
        <v>47</v>
      </c>
      <c r="U956">
        <v>228.79475937422799</v>
      </c>
      <c r="V956">
        <v>4.4262853251617199E-3</v>
      </c>
      <c r="W956">
        <v>1038109.92738736</v>
      </c>
      <c r="X956" t="s">
        <v>38</v>
      </c>
      <c r="Y956">
        <f>1-603-100-1166</f>
        <v>-1868</v>
      </c>
    </row>
    <row r="957" spans="1:25" x14ac:dyDescent="0.35">
      <c r="A957">
        <v>40.225618622758901</v>
      </c>
      <c r="B957">
        <v>-116.77047379149499</v>
      </c>
      <c r="C957" t="s">
        <v>25</v>
      </c>
      <c r="D957">
        <v>39.452042020382997</v>
      </c>
      <c r="E957">
        <v>3</v>
      </c>
      <c r="F957">
        <v>4576</v>
      </c>
      <c r="G957">
        <v>2</v>
      </c>
      <c r="H957">
        <v>3</v>
      </c>
      <c r="I957">
        <v>1960</v>
      </c>
      <c r="J957">
        <v>1</v>
      </c>
      <c r="K957">
        <v>1</v>
      </c>
      <c r="L957">
        <v>0</v>
      </c>
      <c r="M957">
        <v>6</v>
      </c>
      <c r="N957" t="s">
        <v>26</v>
      </c>
      <c r="O957" t="s">
        <v>27</v>
      </c>
      <c r="P957">
        <v>4.4465335111784299</v>
      </c>
      <c r="Q957">
        <v>1.3406601510096401</v>
      </c>
      <c r="R957">
        <v>3.1312620569967198</v>
      </c>
      <c r="S957">
        <v>66</v>
      </c>
      <c r="T957">
        <v>30</v>
      </c>
      <c r="U957">
        <v>867.55552887482702</v>
      </c>
      <c r="V957">
        <v>1.3111888111888099E-3</v>
      </c>
      <c r="W957">
        <v>4116930.14389027</v>
      </c>
      <c r="X957" t="s">
        <v>31</v>
      </c>
      <c r="Y957">
        <f>1-475-799-8954</f>
        <v>-10227</v>
      </c>
    </row>
    <row r="958" spans="1:25" x14ac:dyDescent="0.35">
      <c r="A958">
        <v>38.413949824033303</v>
      </c>
      <c r="B958">
        <v>-122.580123741693</v>
      </c>
      <c r="C958" t="s">
        <v>34</v>
      </c>
      <c r="D958">
        <v>8.9910828781036507</v>
      </c>
      <c r="E958">
        <v>1</v>
      </c>
      <c r="F958">
        <v>4693</v>
      </c>
      <c r="G958">
        <v>1</v>
      </c>
      <c r="H958">
        <v>3</v>
      </c>
      <c r="I958">
        <v>2019</v>
      </c>
      <c r="J958">
        <v>0</v>
      </c>
      <c r="K958">
        <v>1</v>
      </c>
      <c r="L958">
        <v>0</v>
      </c>
      <c r="M958">
        <v>4</v>
      </c>
      <c r="N958" t="s">
        <v>37</v>
      </c>
      <c r="O958" t="s">
        <v>30</v>
      </c>
      <c r="P958">
        <v>3.90221056555021</v>
      </c>
      <c r="Q958">
        <v>1.0208614802376901</v>
      </c>
      <c r="R958">
        <v>9.6513804702379797</v>
      </c>
      <c r="S958">
        <v>36</v>
      </c>
      <c r="T958">
        <v>48</v>
      </c>
      <c r="U958">
        <v>364.69512170370001</v>
      </c>
      <c r="V958">
        <v>8.5233326230556099E-4</v>
      </c>
      <c r="W958">
        <v>1961725.6087896</v>
      </c>
      <c r="X958" t="s">
        <v>31</v>
      </c>
      <c r="Y958">
        <f>1-951-152-2878</f>
        <v>-3980</v>
      </c>
    </row>
    <row r="959" spans="1:25" x14ac:dyDescent="0.35">
      <c r="A959">
        <v>41.043729183531198</v>
      </c>
      <c r="B959">
        <v>-116.932528130721</v>
      </c>
      <c r="C959" t="s">
        <v>34</v>
      </c>
      <c r="D959">
        <v>30.4371637506684</v>
      </c>
      <c r="E959">
        <v>8</v>
      </c>
      <c r="F959">
        <v>2786</v>
      </c>
      <c r="G959">
        <v>5</v>
      </c>
      <c r="H959">
        <v>1</v>
      </c>
      <c r="I959">
        <v>1957</v>
      </c>
      <c r="J959">
        <v>1</v>
      </c>
      <c r="K959">
        <v>0</v>
      </c>
      <c r="L959">
        <v>1</v>
      </c>
      <c r="M959">
        <v>10</v>
      </c>
      <c r="N959" t="s">
        <v>41</v>
      </c>
      <c r="O959" t="s">
        <v>32</v>
      </c>
      <c r="P959">
        <v>6.1541439995704099</v>
      </c>
      <c r="Q959">
        <v>1.08365316870905</v>
      </c>
      <c r="R959">
        <v>7.4933832408001297</v>
      </c>
      <c r="S959">
        <v>131</v>
      </c>
      <c r="T959">
        <v>31</v>
      </c>
      <c r="U959">
        <v>885.81979998916597</v>
      </c>
      <c r="V959">
        <v>3.58937544867193E-3</v>
      </c>
      <c r="W959">
        <v>2711728.0957564302</v>
      </c>
      <c r="X959" t="s">
        <v>31</v>
      </c>
      <c r="Y959">
        <f>1-818-217-2502</f>
        <v>-3536</v>
      </c>
    </row>
    <row r="960" spans="1:25" x14ac:dyDescent="0.35">
      <c r="A960">
        <v>33.227503052209897</v>
      </c>
      <c r="B960">
        <v>-118.511093884335</v>
      </c>
      <c r="C960" t="s">
        <v>34</v>
      </c>
      <c r="D960">
        <v>49.803976210394303</v>
      </c>
      <c r="E960">
        <v>6</v>
      </c>
      <c r="F960">
        <v>3784</v>
      </c>
      <c r="G960">
        <v>3</v>
      </c>
      <c r="H960">
        <v>3</v>
      </c>
      <c r="I960">
        <v>2017</v>
      </c>
      <c r="J960">
        <v>1</v>
      </c>
      <c r="K960">
        <v>1</v>
      </c>
      <c r="L960">
        <v>0</v>
      </c>
      <c r="M960">
        <v>7</v>
      </c>
      <c r="N960" t="s">
        <v>37</v>
      </c>
      <c r="O960" t="s">
        <v>32</v>
      </c>
      <c r="P960">
        <v>10.2044661580648</v>
      </c>
      <c r="Q960">
        <v>1.6315758947604799</v>
      </c>
      <c r="R960">
        <v>9.1035555313439005</v>
      </c>
      <c r="S960">
        <v>58</v>
      </c>
      <c r="T960">
        <v>73</v>
      </c>
      <c r="U960">
        <v>975.85573594415303</v>
      </c>
      <c r="V960">
        <v>1.8498942917547501E-3</v>
      </c>
      <c r="W960">
        <v>4101956.63445359</v>
      </c>
      <c r="X960" t="s">
        <v>38</v>
      </c>
      <c r="Y960">
        <f>1-519-566-9960</f>
        <v>-11044</v>
      </c>
    </row>
    <row r="961" spans="1:25" x14ac:dyDescent="0.35">
      <c r="A961">
        <v>38.029811950469998</v>
      </c>
      <c r="B961">
        <v>-115.41872327200799</v>
      </c>
      <c r="C961" t="s">
        <v>34</v>
      </c>
      <c r="D961">
        <v>28.8978091695373</v>
      </c>
      <c r="E961">
        <v>1</v>
      </c>
      <c r="F961">
        <v>1505</v>
      </c>
      <c r="G961">
        <v>4</v>
      </c>
      <c r="H961">
        <v>2</v>
      </c>
      <c r="I961">
        <v>1953</v>
      </c>
      <c r="J961">
        <v>0</v>
      </c>
      <c r="K961">
        <v>1</v>
      </c>
      <c r="L961">
        <v>1</v>
      </c>
      <c r="M961">
        <v>3</v>
      </c>
      <c r="N961" t="s">
        <v>37</v>
      </c>
      <c r="O961" t="s">
        <v>30</v>
      </c>
      <c r="P961">
        <v>8.5973548432043501</v>
      </c>
      <c r="Q961">
        <v>1.18762570237516</v>
      </c>
      <c r="R961">
        <v>5.5296373779973003</v>
      </c>
      <c r="S961">
        <v>27</v>
      </c>
      <c r="T961">
        <v>61</v>
      </c>
      <c r="U961">
        <v>527.85439058673205</v>
      </c>
      <c r="V961">
        <v>1.9933554817275702E-3</v>
      </c>
      <c r="W961">
        <v>1115904.4893499101</v>
      </c>
      <c r="X961" t="s">
        <v>44</v>
      </c>
      <c r="Y961">
        <f>1-562-756-5997</f>
        <v>-7314</v>
      </c>
    </row>
    <row r="962" spans="1:25" x14ac:dyDescent="0.35">
      <c r="A962">
        <v>38.781394552390999</v>
      </c>
      <c r="B962">
        <v>-117.564538229292</v>
      </c>
      <c r="C962" t="s">
        <v>25</v>
      </c>
      <c r="D962">
        <v>3.85860696651193</v>
      </c>
      <c r="E962">
        <v>9</v>
      </c>
      <c r="F962">
        <v>1012</v>
      </c>
      <c r="G962">
        <v>3</v>
      </c>
      <c r="H962">
        <v>2</v>
      </c>
      <c r="I962">
        <v>1980</v>
      </c>
      <c r="J962">
        <v>0</v>
      </c>
      <c r="K962">
        <v>1</v>
      </c>
      <c r="L962">
        <v>1</v>
      </c>
      <c r="M962">
        <v>14</v>
      </c>
      <c r="N962" t="s">
        <v>26</v>
      </c>
      <c r="O962" t="s">
        <v>32</v>
      </c>
      <c r="P962">
        <v>6.8479328214272002</v>
      </c>
      <c r="Q962">
        <v>1.62680253242574</v>
      </c>
      <c r="R962">
        <v>4.1536414175429801</v>
      </c>
      <c r="S962">
        <v>99</v>
      </c>
      <c r="T962">
        <v>48</v>
      </c>
      <c r="U962">
        <v>458.47367624953898</v>
      </c>
      <c r="V962">
        <v>1.3833992094861599E-2</v>
      </c>
      <c r="W962">
        <v>757420.47888770304</v>
      </c>
      <c r="X962" t="s">
        <v>44</v>
      </c>
      <c r="Y962">
        <f>1-898-884-3096</f>
        <v>-4877</v>
      </c>
    </row>
    <row r="963" spans="1:25" x14ac:dyDescent="0.35">
      <c r="A963">
        <v>39.702080405673897</v>
      </c>
      <c r="B963">
        <v>-114.794424426577</v>
      </c>
      <c r="C963" t="s">
        <v>34</v>
      </c>
      <c r="D963">
        <v>5.1609009218453599</v>
      </c>
      <c r="E963">
        <v>2</v>
      </c>
      <c r="F963">
        <v>3988</v>
      </c>
      <c r="G963">
        <v>5</v>
      </c>
      <c r="H963">
        <v>3</v>
      </c>
      <c r="I963">
        <v>1971</v>
      </c>
      <c r="J963">
        <v>1</v>
      </c>
      <c r="K963">
        <v>0</v>
      </c>
      <c r="L963">
        <v>0</v>
      </c>
      <c r="M963">
        <v>5</v>
      </c>
      <c r="N963" t="s">
        <v>41</v>
      </c>
      <c r="O963" t="s">
        <v>30</v>
      </c>
      <c r="P963">
        <v>13.987160402623299</v>
      </c>
      <c r="Q963">
        <v>2.1721144407651498</v>
      </c>
      <c r="R963">
        <v>1.86814195931912</v>
      </c>
      <c r="S963">
        <v>126</v>
      </c>
      <c r="T963">
        <v>42</v>
      </c>
      <c r="U963">
        <v>918.21694005600204</v>
      </c>
      <c r="V963">
        <v>1.2537612838515501E-3</v>
      </c>
      <c r="W963">
        <v>4013657.1217394802</v>
      </c>
      <c r="X963" t="s">
        <v>40</v>
      </c>
      <c r="Y963">
        <f>1-728-463-6776</f>
        <v>-7966</v>
      </c>
    </row>
    <row r="964" spans="1:25" x14ac:dyDescent="0.35">
      <c r="A964">
        <v>35.456774971215602</v>
      </c>
      <c r="B964">
        <v>-119.220706843915</v>
      </c>
      <c r="C964" t="s">
        <v>29</v>
      </c>
      <c r="D964">
        <v>32.209515107798801</v>
      </c>
      <c r="E964">
        <v>5</v>
      </c>
      <c r="F964">
        <v>1018</v>
      </c>
      <c r="G964">
        <v>2</v>
      </c>
      <c r="H964">
        <v>2</v>
      </c>
      <c r="I964">
        <v>2011</v>
      </c>
      <c r="J964">
        <v>0</v>
      </c>
      <c r="K964">
        <v>1</v>
      </c>
      <c r="L964">
        <v>1</v>
      </c>
      <c r="M964">
        <v>14</v>
      </c>
      <c r="N964" t="s">
        <v>37</v>
      </c>
      <c r="O964" t="s">
        <v>32</v>
      </c>
      <c r="P964">
        <v>10.8971382380648</v>
      </c>
      <c r="Q964">
        <v>1.4133756492715801</v>
      </c>
      <c r="R964">
        <v>4.90456008938399</v>
      </c>
      <c r="S964">
        <v>129</v>
      </c>
      <c r="T964">
        <v>55</v>
      </c>
      <c r="U964">
        <v>920.48326265935395</v>
      </c>
      <c r="V964">
        <v>1.37524557956778E-2</v>
      </c>
      <c r="W964">
        <v>1325212.07966952</v>
      </c>
      <c r="X964" t="s">
        <v>36</v>
      </c>
      <c r="Y964">
        <f>1-530-422-6713</f>
        <v>-7664</v>
      </c>
    </row>
    <row r="965" spans="1:25" x14ac:dyDescent="0.35">
      <c r="A965">
        <v>37.791027890705401</v>
      </c>
      <c r="B965">
        <v>-114.916753794546</v>
      </c>
      <c r="C965" t="s">
        <v>25</v>
      </c>
      <c r="D965">
        <v>21.7023357663669</v>
      </c>
      <c r="E965">
        <v>0</v>
      </c>
      <c r="F965">
        <v>3641</v>
      </c>
      <c r="G965">
        <v>2</v>
      </c>
      <c r="H965">
        <v>1</v>
      </c>
      <c r="I965">
        <v>1969</v>
      </c>
      <c r="J965">
        <v>0</v>
      </c>
      <c r="K965">
        <v>1</v>
      </c>
      <c r="L965">
        <v>1</v>
      </c>
      <c r="M965">
        <v>7</v>
      </c>
      <c r="N965" t="s">
        <v>37</v>
      </c>
      <c r="O965" t="s">
        <v>27</v>
      </c>
      <c r="P965">
        <v>4.1407778644229198</v>
      </c>
      <c r="Q965">
        <v>0.64512299531288997</v>
      </c>
      <c r="R965">
        <v>6.9333822124822202</v>
      </c>
      <c r="S965">
        <v>179</v>
      </c>
      <c r="T965">
        <v>62</v>
      </c>
      <c r="U965">
        <v>982.36998777427596</v>
      </c>
      <c r="V965">
        <v>1.9225487503433101E-3</v>
      </c>
      <c r="W965">
        <v>3759692.3398167798</v>
      </c>
      <c r="X965" t="s">
        <v>39</v>
      </c>
      <c r="Y965">
        <f>1-245-957-1731</f>
        <v>-2932</v>
      </c>
    </row>
    <row r="966" spans="1:25" x14ac:dyDescent="0.35">
      <c r="A966">
        <v>34.844080187983401</v>
      </c>
      <c r="B966">
        <v>-116.160612093434</v>
      </c>
      <c r="C966" t="s">
        <v>25</v>
      </c>
      <c r="D966">
        <v>27.318998604783602</v>
      </c>
      <c r="E966">
        <v>9</v>
      </c>
      <c r="F966">
        <v>4568</v>
      </c>
      <c r="G966">
        <v>4</v>
      </c>
      <c r="H966">
        <v>3</v>
      </c>
      <c r="I966">
        <v>1966</v>
      </c>
      <c r="J966">
        <v>1</v>
      </c>
      <c r="K966">
        <v>0</v>
      </c>
      <c r="L966">
        <v>0</v>
      </c>
      <c r="M966">
        <v>10</v>
      </c>
      <c r="N966" t="s">
        <v>35</v>
      </c>
      <c r="O966" t="s">
        <v>27</v>
      </c>
      <c r="P966">
        <v>11.0471986144039</v>
      </c>
      <c r="Q966">
        <v>1.9335673614587801</v>
      </c>
      <c r="R966">
        <v>6.0708239964567099</v>
      </c>
      <c r="S966">
        <v>81</v>
      </c>
      <c r="T966">
        <v>54</v>
      </c>
      <c r="U966">
        <v>313.683783148712</v>
      </c>
      <c r="V966">
        <v>2.1891418563922899E-3</v>
      </c>
      <c r="W966">
        <v>1817588.68277255</v>
      </c>
      <c r="X966" t="s">
        <v>40</v>
      </c>
      <c r="Y966">
        <f>1-451-985-9436</f>
        <v>-10871</v>
      </c>
    </row>
    <row r="967" spans="1:25" x14ac:dyDescent="0.35">
      <c r="A967">
        <v>39.6748947226029</v>
      </c>
      <c r="B967">
        <v>-119.76510656644599</v>
      </c>
      <c r="C967" t="s">
        <v>25</v>
      </c>
      <c r="D967">
        <v>28.779669404585398</v>
      </c>
      <c r="E967">
        <v>3</v>
      </c>
      <c r="F967">
        <v>3413</v>
      </c>
      <c r="G967">
        <v>2</v>
      </c>
      <c r="H967">
        <v>3</v>
      </c>
      <c r="I967">
        <v>1953</v>
      </c>
      <c r="J967">
        <v>1</v>
      </c>
      <c r="K967">
        <v>1</v>
      </c>
      <c r="L967">
        <v>1</v>
      </c>
      <c r="M967">
        <v>7</v>
      </c>
      <c r="N967" t="s">
        <v>41</v>
      </c>
      <c r="O967" t="s">
        <v>32</v>
      </c>
      <c r="P967">
        <v>3.2519335539047902</v>
      </c>
      <c r="Q967">
        <v>1.61813113112382</v>
      </c>
      <c r="R967">
        <v>7.2978515339503804</v>
      </c>
      <c r="S967">
        <v>123</v>
      </c>
      <c r="T967">
        <v>74</v>
      </c>
      <c r="U967">
        <v>864.64852134511</v>
      </c>
      <c r="V967">
        <v>2.0509815411661201E-3</v>
      </c>
      <c r="W967">
        <v>3155015.5577704501</v>
      </c>
      <c r="X967" t="s">
        <v>36</v>
      </c>
      <c r="Y967">
        <f>1-585-797-8852</f>
        <v>-10233</v>
      </c>
    </row>
    <row r="968" spans="1:25" x14ac:dyDescent="0.35">
      <c r="A968">
        <v>37.218560193239099</v>
      </c>
      <c r="B968">
        <v>-120.055016836495</v>
      </c>
      <c r="C968" t="s">
        <v>25</v>
      </c>
      <c r="D968">
        <v>9.9600278745745907</v>
      </c>
      <c r="E968">
        <v>8</v>
      </c>
      <c r="F968">
        <v>4660</v>
      </c>
      <c r="G968">
        <v>5</v>
      </c>
      <c r="H968">
        <v>2</v>
      </c>
      <c r="I968">
        <v>1998</v>
      </c>
      <c r="J968">
        <v>0</v>
      </c>
      <c r="K968">
        <v>1</v>
      </c>
      <c r="L968">
        <v>1</v>
      </c>
      <c r="M968">
        <v>13</v>
      </c>
      <c r="N968" t="s">
        <v>41</v>
      </c>
      <c r="O968" t="s">
        <v>30</v>
      </c>
      <c r="P968">
        <v>14.5388034197831</v>
      </c>
      <c r="Q968">
        <v>1.9608235526341899</v>
      </c>
      <c r="R968">
        <v>2.0544921173264301</v>
      </c>
      <c r="S968">
        <v>122</v>
      </c>
      <c r="T968">
        <v>73</v>
      </c>
      <c r="U968">
        <v>642.54675016519502</v>
      </c>
      <c r="V968">
        <v>2.7896995708154501E-3</v>
      </c>
      <c r="W968">
        <v>3515871.2508143</v>
      </c>
      <c r="X968" t="s">
        <v>33</v>
      </c>
      <c r="Y968">
        <f>1-247-773-5635</f>
        <v>-6654</v>
      </c>
    </row>
    <row r="969" spans="1:25" x14ac:dyDescent="0.35">
      <c r="A969">
        <v>40.328172367671897</v>
      </c>
      <c r="B969">
        <v>-121.38486893520999</v>
      </c>
      <c r="C969" t="s">
        <v>29</v>
      </c>
      <c r="D969">
        <v>43.818975596831599</v>
      </c>
      <c r="E969">
        <v>6</v>
      </c>
      <c r="F969">
        <v>3079</v>
      </c>
      <c r="G969">
        <v>3</v>
      </c>
      <c r="H969">
        <v>2</v>
      </c>
      <c r="I969">
        <v>1997</v>
      </c>
      <c r="J969">
        <v>1</v>
      </c>
      <c r="K969">
        <v>1</v>
      </c>
      <c r="L969">
        <v>0</v>
      </c>
      <c r="M969">
        <v>2</v>
      </c>
      <c r="N969" t="s">
        <v>35</v>
      </c>
      <c r="O969" t="s">
        <v>27</v>
      </c>
      <c r="P969">
        <v>13.5762616596935</v>
      </c>
      <c r="Q969">
        <v>1.5158173226704601</v>
      </c>
      <c r="R969">
        <v>4.6225732283705296</v>
      </c>
      <c r="S969">
        <v>195</v>
      </c>
      <c r="T969">
        <v>53</v>
      </c>
      <c r="U969">
        <v>328.03054259106</v>
      </c>
      <c r="V969">
        <v>6.4956154595647902E-4</v>
      </c>
      <c r="W969">
        <v>1545182.7013022699</v>
      </c>
      <c r="X969" t="s">
        <v>38</v>
      </c>
      <c r="Y969">
        <f>1-677-595-2602</f>
        <v>-3873</v>
      </c>
    </row>
    <row r="970" spans="1:25" x14ac:dyDescent="0.35">
      <c r="A970">
        <v>38.180391175615902</v>
      </c>
      <c r="B970">
        <v>-120.962036150104</v>
      </c>
      <c r="C970" t="s">
        <v>29</v>
      </c>
      <c r="D970">
        <v>14.3284858389642</v>
      </c>
      <c r="E970">
        <v>1</v>
      </c>
      <c r="F970">
        <v>1205</v>
      </c>
      <c r="G970">
        <v>2</v>
      </c>
      <c r="H970">
        <v>3</v>
      </c>
      <c r="I970">
        <v>1970</v>
      </c>
      <c r="J970">
        <v>1</v>
      </c>
      <c r="K970">
        <v>0</v>
      </c>
      <c r="L970">
        <v>1</v>
      </c>
      <c r="M970">
        <v>8</v>
      </c>
      <c r="N970" t="s">
        <v>35</v>
      </c>
      <c r="O970" t="s">
        <v>32</v>
      </c>
      <c r="P970">
        <v>8.7347537188963393</v>
      </c>
      <c r="Q970">
        <v>0.90712206199002399</v>
      </c>
      <c r="R970">
        <v>3.1292882578199999</v>
      </c>
      <c r="S970">
        <v>147</v>
      </c>
      <c r="T970">
        <v>38</v>
      </c>
      <c r="U970">
        <v>723.07103745500103</v>
      </c>
      <c r="V970">
        <v>6.6390041493775897E-3</v>
      </c>
      <c r="W970">
        <v>1082108.6904463</v>
      </c>
      <c r="X970" t="s">
        <v>44</v>
      </c>
      <c r="Y970">
        <f>1-967-799-9335</f>
        <v>-11100</v>
      </c>
    </row>
    <row r="971" spans="1:25" x14ac:dyDescent="0.35">
      <c r="A971">
        <v>36.238366060360804</v>
      </c>
      <c r="B971">
        <v>-124.456971736504</v>
      </c>
      <c r="C971" t="s">
        <v>29</v>
      </c>
      <c r="D971">
        <v>33.124721607869098</v>
      </c>
      <c r="E971">
        <v>3</v>
      </c>
      <c r="F971">
        <v>4540</v>
      </c>
      <c r="G971">
        <v>3</v>
      </c>
      <c r="H971">
        <v>3</v>
      </c>
      <c r="I971">
        <v>1950</v>
      </c>
      <c r="J971">
        <v>1</v>
      </c>
      <c r="K971">
        <v>1</v>
      </c>
      <c r="L971">
        <v>1</v>
      </c>
      <c r="M971">
        <v>13</v>
      </c>
      <c r="N971" t="s">
        <v>26</v>
      </c>
      <c r="O971" t="s">
        <v>32</v>
      </c>
      <c r="P971">
        <v>5.1550874605873904</v>
      </c>
      <c r="Q971">
        <v>0.68103033397705304</v>
      </c>
      <c r="R971">
        <v>3.9898834721899599</v>
      </c>
      <c r="S971">
        <v>39</v>
      </c>
      <c r="T971">
        <v>33</v>
      </c>
      <c r="U971">
        <v>654.10438501286797</v>
      </c>
      <c r="V971">
        <v>2.8634361233480102E-3</v>
      </c>
      <c r="W971">
        <v>3319552.9816648099</v>
      </c>
      <c r="X971" t="s">
        <v>28</v>
      </c>
      <c r="Y971">
        <f>1-332-255-5284</f>
        <v>-5870</v>
      </c>
    </row>
    <row r="972" spans="1:25" x14ac:dyDescent="0.35">
      <c r="A972">
        <v>35.658067620278104</v>
      </c>
      <c r="B972">
        <v>-115.961947654109</v>
      </c>
      <c r="C972" t="s">
        <v>29</v>
      </c>
      <c r="D972">
        <v>30.929188733801201</v>
      </c>
      <c r="E972">
        <v>9</v>
      </c>
      <c r="F972">
        <v>4140</v>
      </c>
      <c r="G972">
        <v>3</v>
      </c>
      <c r="H972">
        <v>3</v>
      </c>
      <c r="I972">
        <v>1983</v>
      </c>
      <c r="J972">
        <v>1</v>
      </c>
      <c r="K972">
        <v>0</v>
      </c>
      <c r="L972">
        <v>1</v>
      </c>
      <c r="M972">
        <v>10</v>
      </c>
      <c r="N972" t="s">
        <v>26</v>
      </c>
      <c r="O972" t="s">
        <v>30</v>
      </c>
      <c r="P972">
        <v>4.5087567944066498</v>
      </c>
      <c r="Q972">
        <v>0.98555388106750397</v>
      </c>
      <c r="R972">
        <v>0.64157134986533304</v>
      </c>
      <c r="S972">
        <v>184</v>
      </c>
      <c r="T972">
        <v>32</v>
      </c>
      <c r="U972">
        <v>429.09267868631201</v>
      </c>
      <c r="V972">
        <v>2.4154589371980601E-3</v>
      </c>
      <c r="W972">
        <v>1920579.1450420599</v>
      </c>
      <c r="X972" t="s">
        <v>43</v>
      </c>
      <c r="Y972">
        <f>1-986-563-1118</f>
        <v>-2666</v>
      </c>
    </row>
    <row r="973" spans="1:25" x14ac:dyDescent="0.35">
      <c r="A973">
        <v>35.706793004461197</v>
      </c>
      <c r="B973">
        <v>-123.432895620108</v>
      </c>
      <c r="C973" t="s">
        <v>29</v>
      </c>
      <c r="D973">
        <v>29.159300916768601</v>
      </c>
      <c r="E973">
        <v>5</v>
      </c>
      <c r="F973">
        <v>1259</v>
      </c>
      <c r="G973">
        <v>2</v>
      </c>
      <c r="H973">
        <v>3</v>
      </c>
      <c r="I973">
        <v>2021</v>
      </c>
      <c r="J973">
        <v>1</v>
      </c>
      <c r="K973">
        <v>1</v>
      </c>
      <c r="L973">
        <v>0</v>
      </c>
      <c r="M973">
        <v>11</v>
      </c>
      <c r="N973" t="s">
        <v>35</v>
      </c>
      <c r="O973" t="s">
        <v>27</v>
      </c>
      <c r="P973">
        <v>8.8353787048919106</v>
      </c>
      <c r="Q973">
        <v>1.30146716780861</v>
      </c>
      <c r="R973">
        <v>5.3238385642036299</v>
      </c>
      <c r="S973">
        <v>124</v>
      </c>
      <c r="T973">
        <v>47</v>
      </c>
      <c r="U973">
        <v>323.63218802392402</v>
      </c>
      <c r="V973">
        <v>8.7370929308975293E-3</v>
      </c>
      <c r="W973">
        <v>840925.26558865001</v>
      </c>
      <c r="X973" t="s">
        <v>44</v>
      </c>
      <c r="Y973">
        <f>1-702-721-2703</f>
        <v>-4125</v>
      </c>
    </row>
    <row r="974" spans="1:25" x14ac:dyDescent="0.35">
      <c r="A974">
        <v>35.7123577360288</v>
      </c>
      <c r="B974">
        <v>-117.76174514927099</v>
      </c>
      <c r="C974" t="s">
        <v>29</v>
      </c>
      <c r="D974">
        <v>33.966008390591597</v>
      </c>
      <c r="E974">
        <v>1</v>
      </c>
      <c r="F974">
        <v>2657</v>
      </c>
      <c r="G974">
        <v>5</v>
      </c>
      <c r="H974">
        <v>1</v>
      </c>
      <c r="I974">
        <v>1971</v>
      </c>
      <c r="J974">
        <v>0</v>
      </c>
      <c r="K974">
        <v>0</v>
      </c>
      <c r="L974">
        <v>1</v>
      </c>
      <c r="M974">
        <v>3</v>
      </c>
      <c r="N974" t="s">
        <v>35</v>
      </c>
      <c r="O974" t="s">
        <v>32</v>
      </c>
      <c r="P974">
        <v>8.7829459238482599</v>
      </c>
      <c r="Q974">
        <v>1.5353062284046</v>
      </c>
      <c r="R974">
        <v>0.53726168973593802</v>
      </c>
      <c r="S974">
        <v>30</v>
      </c>
      <c r="T974">
        <v>49</v>
      </c>
      <c r="U974">
        <v>634.393209468029</v>
      </c>
      <c r="V974">
        <v>1.1290929619871999E-3</v>
      </c>
      <c r="W974">
        <v>1998653.85558497</v>
      </c>
      <c r="X974" t="s">
        <v>31</v>
      </c>
      <c r="Y974">
        <f>1-421-993-7823</f>
        <v>-9236</v>
      </c>
    </row>
    <row r="975" spans="1:25" x14ac:dyDescent="0.35">
      <c r="A975">
        <v>41.786107864428203</v>
      </c>
      <c r="B975">
        <v>-115.224342251067</v>
      </c>
      <c r="C975" t="s">
        <v>34</v>
      </c>
      <c r="D975">
        <v>47.984031915946503</v>
      </c>
      <c r="E975">
        <v>4</v>
      </c>
      <c r="F975">
        <v>1078</v>
      </c>
      <c r="G975">
        <v>4</v>
      </c>
      <c r="H975">
        <v>1</v>
      </c>
      <c r="I975">
        <v>2012</v>
      </c>
      <c r="J975">
        <v>0</v>
      </c>
      <c r="K975">
        <v>0</v>
      </c>
      <c r="L975">
        <v>0</v>
      </c>
      <c r="M975">
        <v>9</v>
      </c>
      <c r="N975" t="s">
        <v>35</v>
      </c>
      <c r="O975" t="s">
        <v>30</v>
      </c>
      <c r="P975">
        <v>9.2455121891831809</v>
      </c>
      <c r="Q975">
        <v>2.3360231450839701</v>
      </c>
      <c r="R975">
        <v>1.2854248029111599</v>
      </c>
      <c r="S975">
        <v>198</v>
      </c>
      <c r="T975">
        <v>64</v>
      </c>
      <c r="U975">
        <v>259.65309164267001</v>
      </c>
      <c r="V975">
        <v>8.3487940630797702E-3</v>
      </c>
      <c r="W975">
        <v>475040.95152335498</v>
      </c>
      <c r="X975" t="s">
        <v>39</v>
      </c>
      <c r="Y975">
        <f>1-624-783-2847</f>
        <v>-4253</v>
      </c>
    </row>
    <row r="976" spans="1:25" x14ac:dyDescent="0.35">
      <c r="A976">
        <v>33.326919356697204</v>
      </c>
      <c r="B976">
        <v>-115.04132207860501</v>
      </c>
      <c r="C976" t="s">
        <v>29</v>
      </c>
      <c r="D976">
        <v>23.7413079353135</v>
      </c>
      <c r="E976">
        <v>7</v>
      </c>
      <c r="F976">
        <v>1104</v>
      </c>
      <c r="G976">
        <v>4</v>
      </c>
      <c r="H976">
        <v>1</v>
      </c>
      <c r="I976">
        <v>1961</v>
      </c>
      <c r="J976">
        <v>1</v>
      </c>
      <c r="K976">
        <v>1</v>
      </c>
      <c r="L976">
        <v>0</v>
      </c>
      <c r="M976">
        <v>8</v>
      </c>
      <c r="N976" t="s">
        <v>26</v>
      </c>
      <c r="O976" t="s">
        <v>27</v>
      </c>
      <c r="P976">
        <v>9.8222671561356893</v>
      </c>
      <c r="Q976">
        <v>1.21948875805385</v>
      </c>
      <c r="R976">
        <v>5.5727329010237199</v>
      </c>
      <c r="S976">
        <v>125</v>
      </c>
      <c r="T976">
        <v>61</v>
      </c>
      <c r="U976">
        <v>666.36679188697099</v>
      </c>
      <c r="V976">
        <v>7.2463768115942004E-3</v>
      </c>
      <c r="W976">
        <v>1079671.8771092701</v>
      </c>
      <c r="X976" t="s">
        <v>39</v>
      </c>
      <c r="Y976">
        <f>1-413-772-1382</f>
        <v>-2566</v>
      </c>
    </row>
    <row r="977" spans="1:25" x14ac:dyDescent="0.35">
      <c r="A977">
        <v>34.314529336922902</v>
      </c>
      <c r="B977">
        <v>-117.4490344097</v>
      </c>
      <c r="C977" t="s">
        <v>29</v>
      </c>
      <c r="D977">
        <v>3.4169315087712402</v>
      </c>
      <c r="E977">
        <v>6</v>
      </c>
      <c r="F977">
        <v>1633</v>
      </c>
      <c r="G977">
        <v>5</v>
      </c>
      <c r="H977">
        <v>3</v>
      </c>
      <c r="I977">
        <v>1969</v>
      </c>
      <c r="J977">
        <v>0</v>
      </c>
      <c r="K977">
        <v>0</v>
      </c>
      <c r="L977">
        <v>1</v>
      </c>
      <c r="M977">
        <v>12</v>
      </c>
      <c r="N977" t="s">
        <v>41</v>
      </c>
      <c r="O977" t="s">
        <v>32</v>
      </c>
      <c r="P977">
        <v>5.1363915781062399</v>
      </c>
      <c r="Q977">
        <v>1.5414599760258301</v>
      </c>
      <c r="R977">
        <v>0.25590584173792102</v>
      </c>
      <c r="S977">
        <v>74</v>
      </c>
      <c r="T977">
        <v>74</v>
      </c>
      <c r="U977">
        <v>933.92332907074206</v>
      </c>
      <c r="V977">
        <v>7.3484384568279198E-3</v>
      </c>
      <c r="W977">
        <v>1830005.00930273</v>
      </c>
      <c r="X977" t="s">
        <v>40</v>
      </c>
      <c r="Y977">
        <f>1-406-959-9204</f>
        <v>-10568</v>
      </c>
    </row>
    <row r="978" spans="1:25" x14ac:dyDescent="0.35">
      <c r="A978">
        <v>34.315856449787702</v>
      </c>
      <c r="B978">
        <v>-115.91050839548301</v>
      </c>
      <c r="C978" t="s">
        <v>25</v>
      </c>
      <c r="D978">
        <v>1.36564829075899</v>
      </c>
      <c r="E978">
        <v>6</v>
      </c>
      <c r="F978">
        <v>1789</v>
      </c>
      <c r="G978">
        <v>5</v>
      </c>
      <c r="H978">
        <v>3</v>
      </c>
      <c r="I978">
        <v>2021</v>
      </c>
      <c r="J978">
        <v>1</v>
      </c>
      <c r="K978">
        <v>1</v>
      </c>
      <c r="L978">
        <v>0</v>
      </c>
      <c r="M978">
        <v>2</v>
      </c>
      <c r="N978" t="s">
        <v>26</v>
      </c>
      <c r="O978" t="s">
        <v>30</v>
      </c>
      <c r="P978">
        <v>8.5812367888005294</v>
      </c>
      <c r="Q978">
        <v>2.0775579228998802</v>
      </c>
      <c r="R978">
        <v>6.8265309534908303</v>
      </c>
      <c r="S978">
        <v>140</v>
      </c>
      <c r="T978">
        <v>32</v>
      </c>
      <c r="U978">
        <v>726.48841463077702</v>
      </c>
      <c r="V978">
        <v>1.11794298490776E-3</v>
      </c>
      <c r="W978">
        <v>1817797.70772335</v>
      </c>
      <c r="X978" t="s">
        <v>38</v>
      </c>
      <c r="Y978">
        <f>1-483-452-1400</f>
        <v>-2334</v>
      </c>
    </row>
    <row r="979" spans="1:25" x14ac:dyDescent="0.35">
      <c r="A979">
        <v>37.818335062472002</v>
      </c>
      <c r="B979">
        <v>-119.32600635603001</v>
      </c>
      <c r="C979" t="s">
        <v>34</v>
      </c>
      <c r="D979">
        <v>30.153268177123401</v>
      </c>
      <c r="E979">
        <v>1</v>
      </c>
      <c r="F979">
        <v>4633</v>
      </c>
      <c r="G979">
        <v>1</v>
      </c>
      <c r="H979">
        <v>1</v>
      </c>
      <c r="I979">
        <v>2002</v>
      </c>
      <c r="J979">
        <v>0</v>
      </c>
      <c r="K979">
        <v>0</v>
      </c>
      <c r="L979">
        <v>1</v>
      </c>
      <c r="M979">
        <v>8</v>
      </c>
      <c r="N979" t="s">
        <v>37</v>
      </c>
      <c r="O979" t="s">
        <v>27</v>
      </c>
      <c r="P979">
        <v>6.9017767786392401</v>
      </c>
      <c r="Q979">
        <v>1.4827021776671401</v>
      </c>
      <c r="R979">
        <v>4.8336866720853999</v>
      </c>
      <c r="S979">
        <v>131</v>
      </c>
      <c r="T979">
        <v>34</v>
      </c>
      <c r="U979">
        <v>482.709982922336</v>
      </c>
      <c r="V979">
        <v>1.7267429311461199E-3</v>
      </c>
      <c r="W979">
        <v>2354143.73190737</v>
      </c>
      <c r="X979" t="s">
        <v>33</v>
      </c>
      <c r="Y979">
        <f>1-590-683-1512</f>
        <v>-2784</v>
      </c>
    </row>
    <row r="980" spans="1:25" x14ac:dyDescent="0.35">
      <c r="A980">
        <v>35.632027797059898</v>
      </c>
      <c r="B980">
        <v>-121.41964422716001</v>
      </c>
      <c r="C980" t="s">
        <v>34</v>
      </c>
      <c r="D980">
        <v>33.7968157119968</v>
      </c>
      <c r="E980">
        <v>6</v>
      </c>
      <c r="F980">
        <v>4212</v>
      </c>
      <c r="G980">
        <v>4</v>
      </c>
      <c r="H980">
        <v>1</v>
      </c>
      <c r="I980">
        <v>1965</v>
      </c>
      <c r="J980">
        <v>1</v>
      </c>
      <c r="K980">
        <v>0</v>
      </c>
      <c r="L980">
        <v>1</v>
      </c>
      <c r="M980">
        <v>9</v>
      </c>
      <c r="N980" t="s">
        <v>41</v>
      </c>
      <c r="O980" t="s">
        <v>32</v>
      </c>
      <c r="P980">
        <v>12.470049886897</v>
      </c>
      <c r="Q980">
        <v>0.55461285692585205</v>
      </c>
      <c r="R980">
        <v>3.3444132641059099</v>
      </c>
      <c r="S980">
        <v>141</v>
      </c>
      <c r="T980">
        <v>43</v>
      </c>
      <c r="U980">
        <v>939.30327575381398</v>
      </c>
      <c r="V980">
        <v>2.13675213675213E-3</v>
      </c>
      <c r="W980">
        <v>4288101.4683930902</v>
      </c>
      <c r="X980" t="s">
        <v>43</v>
      </c>
      <c r="Y980">
        <f>1-864-595-8799</f>
        <v>-10257</v>
      </c>
    </row>
    <row r="981" spans="1:25" x14ac:dyDescent="0.35">
      <c r="A981">
        <v>35.658152992822203</v>
      </c>
      <c r="B981">
        <v>-123.570579556288</v>
      </c>
      <c r="C981" t="s">
        <v>25</v>
      </c>
      <c r="D981">
        <v>12.6436773675577</v>
      </c>
      <c r="E981">
        <v>4</v>
      </c>
      <c r="F981">
        <v>1749</v>
      </c>
      <c r="G981">
        <v>5</v>
      </c>
      <c r="H981">
        <v>3</v>
      </c>
      <c r="I981">
        <v>2014</v>
      </c>
      <c r="J981">
        <v>1</v>
      </c>
      <c r="K981">
        <v>0</v>
      </c>
      <c r="L981">
        <v>1</v>
      </c>
      <c r="M981">
        <v>3</v>
      </c>
      <c r="N981" t="s">
        <v>26</v>
      </c>
      <c r="O981" t="s">
        <v>27</v>
      </c>
      <c r="P981">
        <v>13.3343056741992</v>
      </c>
      <c r="Q981">
        <v>2.1464225897421998</v>
      </c>
      <c r="R981">
        <v>3.6232371399940599</v>
      </c>
      <c r="S981">
        <v>149</v>
      </c>
      <c r="T981">
        <v>47</v>
      </c>
      <c r="U981">
        <v>693.13536468343295</v>
      </c>
      <c r="V981">
        <v>1.71526586620926E-3</v>
      </c>
      <c r="W981">
        <v>1631719.2434350499</v>
      </c>
      <c r="X981" t="s">
        <v>36</v>
      </c>
      <c r="Y981">
        <f>1-233-233-1081</f>
        <v>-1546</v>
      </c>
    </row>
    <row r="982" spans="1:25" x14ac:dyDescent="0.35">
      <c r="A982">
        <v>41.9484623482792</v>
      </c>
      <c r="B982">
        <v>-123.578232716109</v>
      </c>
      <c r="C982" t="s">
        <v>29</v>
      </c>
      <c r="D982">
        <v>4.6440322281543702</v>
      </c>
      <c r="E982">
        <v>2</v>
      </c>
      <c r="F982">
        <v>1640</v>
      </c>
      <c r="G982">
        <v>2</v>
      </c>
      <c r="H982">
        <v>3</v>
      </c>
      <c r="I982">
        <v>1998</v>
      </c>
      <c r="J982">
        <v>1</v>
      </c>
      <c r="K982">
        <v>1</v>
      </c>
      <c r="L982">
        <v>1</v>
      </c>
      <c r="M982">
        <v>13</v>
      </c>
      <c r="N982" t="s">
        <v>35</v>
      </c>
      <c r="O982" t="s">
        <v>30</v>
      </c>
      <c r="P982">
        <v>8.3498350361994902</v>
      </c>
      <c r="Q982">
        <v>1.4669355796465999</v>
      </c>
      <c r="R982">
        <v>2.7871125360117301</v>
      </c>
      <c r="S982">
        <v>135</v>
      </c>
      <c r="T982">
        <v>67</v>
      </c>
      <c r="U982">
        <v>550.933596148113</v>
      </c>
      <c r="V982">
        <v>7.9268292682926796E-3</v>
      </c>
      <c r="W982">
        <v>1261533.40329296</v>
      </c>
      <c r="X982" t="s">
        <v>43</v>
      </c>
      <c r="Y982">
        <f>1-415-930-1947</f>
        <v>-3291</v>
      </c>
    </row>
    <row r="983" spans="1:25" x14ac:dyDescent="0.35">
      <c r="A983">
        <v>38.562250219358504</v>
      </c>
      <c r="B983">
        <v>-123.741081140834</v>
      </c>
      <c r="C983" t="s">
        <v>29</v>
      </c>
      <c r="D983">
        <v>4.3630421214912696</v>
      </c>
      <c r="E983">
        <v>9</v>
      </c>
      <c r="F983">
        <v>2677</v>
      </c>
      <c r="G983">
        <v>3</v>
      </c>
      <c r="H983">
        <v>2</v>
      </c>
      <c r="I983">
        <v>1959</v>
      </c>
      <c r="J983">
        <v>0</v>
      </c>
      <c r="K983">
        <v>0</v>
      </c>
      <c r="L983">
        <v>1</v>
      </c>
      <c r="M983">
        <v>6</v>
      </c>
      <c r="N983" t="s">
        <v>37</v>
      </c>
      <c r="O983" t="s">
        <v>30</v>
      </c>
      <c r="P983">
        <v>9.6007622275133606</v>
      </c>
      <c r="Q983">
        <v>0.64872228144188904</v>
      </c>
      <c r="R983">
        <v>8.5396807375337005</v>
      </c>
      <c r="S983">
        <v>158</v>
      </c>
      <c r="T983">
        <v>68</v>
      </c>
      <c r="U983">
        <v>383.96664511062301</v>
      </c>
      <c r="V983">
        <v>2.2413149047441098E-3</v>
      </c>
      <c r="W983">
        <v>1240989.7900139701</v>
      </c>
      <c r="X983" t="s">
        <v>44</v>
      </c>
      <c r="Y983">
        <f>1-566-583-3295</f>
        <v>-4443</v>
      </c>
    </row>
    <row r="984" spans="1:25" x14ac:dyDescent="0.35">
      <c r="A984">
        <v>33.054097517340097</v>
      </c>
      <c r="B984">
        <v>-122.318007820218</v>
      </c>
      <c r="C984" t="s">
        <v>25</v>
      </c>
      <c r="D984">
        <v>13.862755054415301</v>
      </c>
      <c r="E984">
        <v>2</v>
      </c>
      <c r="F984">
        <v>4077</v>
      </c>
      <c r="G984">
        <v>1</v>
      </c>
      <c r="H984">
        <v>3</v>
      </c>
      <c r="I984">
        <v>2019</v>
      </c>
      <c r="J984">
        <v>1</v>
      </c>
      <c r="K984">
        <v>1</v>
      </c>
      <c r="L984">
        <v>1</v>
      </c>
      <c r="M984">
        <v>4</v>
      </c>
      <c r="N984" t="s">
        <v>37</v>
      </c>
      <c r="O984" t="s">
        <v>30</v>
      </c>
      <c r="P984">
        <v>12.009855347199601</v>
      </c>
      <c r="Q984">
        <v>2.17278907158504</v>
      </c>
      <c r="R984">
        <v>2.9492055567862598</v>
      </c>
      <c r="S984">
        <v>17</v>
      </c>
      <c r="T984">
        <v>77</v>
      </c>
      <c r="U984">
        <v>514.47737697037496</v>
      </c>
      <c r="V984">
        <v>9.8111356389501991E-4</v>
      </c>
      <c r="W984">
        <v>2601698.9604287501</v>
      </c>
      <c r="X984" t="s">
        <v>38</v>
      </c>
      <c r="Y984">
        <f>1-712-585-3996</f>
        <v>-5292</v>
      </c>
    </row>
    <row r="985" spans="1:25" x14ac:dyDescent="0.35">
      <c r="A985">
        <v>40.681575321989499</v>
      </c>
      <c r="B985">
        <v>-118.616270865156</v>
      </c>
      <c r="C985" t="s">
        <v>34</v>
      </c>
      <c r="D985">
        <v>36.150904630831398</v>
      </c>
      <c r="E985">
        <v>8</v>
      </c>
      <c r="F985">
        <v>4756</v>
      </c>
      <c r="G985">
        <v>2</v>
      </c>
      <c r="H985">
        <v>3</v>
      </c>
      <c r="I985">
        <v>1985</v>
      </c>
      <c r="J985">
        <v>1</v>
      </c>
      <c r="K985">
        <v>1</v>
      </c>
      <c r="L985">
        <v>1</v>
      </c>
      <c r="M985">
        <v>12</v>
      </c>
      <c r="N985" t="s">
        <v>26</v>
      </c>
      <c r="O985" t="s">
        <v>27</v>
      </c>
      <c r="P985">
        <v>7.5402837083809899</v>
      </c>
      <c r="Q985">
        <v>1.37827681738053</v>
      </c>
      <c r="R985">
        <v>8.7910680717632808</v>
      </c>
      <c r="S985">
        <v>16</v>
      </c>
      <c r="T985">
        <v>41</v>
      </c>
      <c r="U985">
        <v>553.80255923274694</v>
      </c>
      <c r="V985">
        <v>2.52312867956265E-3</v>
      </c>
      <c r="W985">
        <v>3039386.4165660599</v>
      </c>
      <c r="X985" t="s">
        <v>33</v>
      </c>
      <c r="Y985">
        <f>1-239-163-5691</f>
        <v>-6092</v>
      </c>
    </row>
    <row r="986" spans="1:25" x14ac:dyDescent="0.35">
      <c r="A986">
        <v>38.088149376913798</v>
      </c>
      <c r="B986">
        <v>-120.241659709258</v>
      </c>
      <c r="C986" t="s">
        <v>29</v>
      </c>
      <c r="D986">
        <v>3.7730103954610801</v>
      </c>
      <c r="E986">
        <v>9</v>
      </c>
      <c r="F986">
        <v>3677</v>
      </c>
      <c r="G986">
        <v>3</v>
      </c>
      <c r="H986">
        <v>1</v>
      </c>
      <c r="I986">
        <v>1961</v>
      </c>
      <c r="J986">
        <v>0</v>
      </c>
      <c r="K986">
        <v>0</v>
      </c>
      <c r="L986">
        <v>1</v>
      </c>
      <c r="M986">
        <v>7</v>
      </c>
      <c r="N986" t="s">
        <v>26</v>
      </c>
      <c r="O986" t="s">
        <v>27</v>
      </c>
      <c r="P986">
        <v>9.1520452915668393</v>
      </c>
      <c r="Q986">
        <v>1.1262700941199699</v>
      </c>
      <c r="R986">
        <v>6.2303886144844798</v>
      </c>
      <c r="S986">
        <v>67</v>
      </c>
      <c r="T986">
        <v>20</v>
      </c>
      <c r="U986">
        <v>509.12611560271398</v>
      </c>
      <c r="V986">
        <v>1.9037258634756499E-3</v>
      </c>
      <c r="W986">
        <v>2100388.6306716502</v>
      </c>
      <c r="X986" t="s">
        <v>36</v>
      </c>
      <c r="Y986">
        <f>1-209-261-6713</f>
        <v>-7182</v>
      </c>
    </row>
    <row r="987" spans="1:25" x14ac:dyDescent="0.35">
      <c r="A987">
        <v>35.746573396444099</v>
      </c>
      <c r="B987">
        <v>-122.217550577336</v>
      </c>
      <c r="C987" t="s">
        <v>25</v>
      </c>
      <c r="D987">
        <v>23.767898280760299</v>
      </c>
      <c r="E987">
        <v>5</v>
      </c>
      <c r="F987">
        <v>1080</v>
      </c>
      <c r="G987">
        <v>5</v>
      </c>
      <c r="H987">
        <v>2</v>
      </c>
      <c r="I987">
        <v>1953</v>
      </c>
      <c r="J987">
        <v>0</v>
      </c>
      <c r="K987">
        <v>1</v>
      </c>
      <c r="L987">
        <v>0</v>
      </c>
      <c r="M987">
        <v>10</v>
      </c>
      <c r="N987" t="s">
        <v>41</v>
      </c>
      <c r="O987" t="s">
        <v>32</v>
      </c>
      <c r="P987">
        <v>3.3631865552433902</v>
      </c>
      <c r="Q987">
        <v>1.3101650383071599</v>
      </c>
      <c r="R987">
        <v>9.4595992965815903</v>
      </c>
      <c r="S987">
        <v>134</v>
      </c>
      <c r="T987">
        <v>53</v>
      </c>
      <c r="U987">
        <v>327.808763092052</v>
      </c>
      <c r="V987">
        <v>9.2592592592592501E-3</v>
      </c>
      <c r="W987">
        <v>628805.49364388303</v>
      </c>
      <c r="X987" t="s">
        <v>31</v>
      </c>
      <c r="Y987">
        <f>1-977-552-6227</f>
        <v>-7755</v>
      </c>
    </row>
    <row r="988" spans="1:25" x14ac:dyDescent="0.35">
      <c r="A988">
        <v>35.885171771393502</v>
      </c>
      <c r="B988">
        <v>-115.16542866271701</v>
      </c>
      <c r="C988" t="s">
        <v>34</v>
      </c>
      <c r="D988">
        <v>37.255612168427</v>
      </c>
      <c r="E988">
        <v>5</v>
      </c>
      <c r="F988">
        <v>4588</v>
      </c>
      <c r="G988">
        <v>5</v>
      </c>
      <c r="H988">
        <v>1</v>
      </c>
      <c r="I988">
        <v>2019</v>
      </c>
      <c r="J988">
        <v>0</v>
      </c>
      <c r="K988">
        <v>0</v>
      </c>
      <c r="L988">
        <v>1</v>
      </c>
      <c r="M988">
        <v>10</v>
      </c>
      <c r="N988" t="s">
        <v>41</v>
      </c>
      <c r="O988" t="s">
        <v>27</v>
      </c>
      <c r="P988">
        <v>5.59324263893678</v>
      </c>
      <c r="Q988">
        <v>1.13452785190662</v>
      </c>
      <c r="R988">
        <v>2.96701694327643</v>
      </c>
      <c r="S988">
        <v>134</v>
      </c>
      <c r="T988">
        <v>52</v>
      </c>
      <c r="U988">
        <v>897.49309614250399</v>
      </c>
      <c r="V988">
        <v>2.1795989537924999E-3</v>
      </c>
      <c r="W988">
        <v>4440321.6229312504</v>
      </c>
      <c r="X988" t="s">
        <v>44</v>
      </c>
      <c r="Y988">
        <f>1-678-970-1142</f>
        <v>-2789</v>
      </c>
    </row>
    <row r="989" spans="1:25" x14ac:dyDescent="0.35">
      <c r="A989">
        <v>33.066042018715798</v>
      </c>
      <c r="B989">
        <v>-118.800957277214</v>
      </c>
      <c r="C989" t="s">
        <v>25</v>
      </c>
      <c r="D989">
        <v>40.045438220519003</v>
      </c>
      <c r="E989">
        <v>1</v>
      </c>
      <c r="F989">
        <v>2326</v>
      </c>
      <c r="G989">
        <v>1</v>
      </c>
      <c r="H989">
        <v>2</v>
      </c>
      <c r="I989">
        <v>1980</v>
      </c>
      <c r="J989">
        <v>1</v>
      </c>
      <c r="K989">
        <v>1</v>
      </c>
      <c r="L989">
        <v>1</v>
      </c>
      <c r="M989">
        <v>4</v>
      </c>
      <c r="N989" t="s">
        <v>41</v>
      </c>
      <c r="O989" t="s">
        <v>30</v>
      </c>
      <c r="P989">
        <v>3.7614466563825899</v>
      </c>
      <c r="Q989">
        <v>0.547545235079273</v>
      </c>
      <c r="R989">
        <v>3.8172710244864998</v>
      </c>
      <c r="S989">
        <v>198</v>
      </c>
      <c r="T989">
        <v>53</v>
      </c>
      <c r="U989">
        <v>958.63553343054002</v>
      </c>
      <c r="V989">
        <v>1.7196904557179699E-3</v>
      </c>
      <c r="W989">
        <v>2451914.8132006298</v>
      </c>
      <c r="X989" t="s">
        <v>42</v>
      </c>
      <c r="Y989">
        <f>1-280-391-5563</f>
        <v>-6233</v>
      </c>
    </row>
    <row r="990" spans="1:25" x14ac:dyDescent="0.35">
      <c r="A990">
        <v>36.630614551526001</v>
      </c>
      <c r="B990">
        <v>-121.23665372380501</v>
      </c>
      <c r="C990" t="s">
        <v>29</v>
      </c>
      <c r="D990">
        <v>49.666439899142397</v>
      </c>
      <c r="E990">
        <v>4</v>
      </c>
      <c r="F990">
        <v>4509</v>
      </c>
      <c r="G990">
        <v>3</v>
      </c>
      <c r="H990">
        <v>1</v>
      </c>
      <c r="I990">
        <v>1987</v>
      </c>
      <c r="J990">
        <v>0</v>
      </c>
      <c r="K990">
        <v>0</v>
      </c>
      <c r="L990">
        <v>1</v>
      </c>
      <c r="M990">
        <v>4</v>
      </c>
      <c r="N990" t="s">
        <v>37</v>
      </c>
      <c r="O990" t="s">
        <v>32</v>
      </c>
      <c r="P990">
        <v>4.2346519075726299</v>
      </c>
      <c r="Q990">
        <v>1.19493701804145</v>
      </c>
      <c r="R990">
        <v>2.0957408150647301</v>
      </c>
      <c r="S990">
        <v>125</v>
      </c>
      <c r="T990">
        <v>51</v>
      </c>
      <c r="U990">
        <v>218.878699228036</v>
      </c>
      <c r="V990">
        <v>8.8711465956974901E-4</v>
      </c>
      <c r="W990">
        <v>1068560.63895254</v>
      </c>
      <c r="X990" t="s">
        <v>28</v>
      </c>
      <c r="Y990">
        <f>1-462-374-5328</f>
        <v>-6163</v>
      </c>
    </row>
    <row r="991" spans="1:25" x14ac:dyDescent="0.35">
      <c r="A991">
        <v>33.803141087759599</v>
      </c>
      <c r="B991">
        <v>-116.47747201193999</v>
      </c>
      <c r="C991" t="s">
        <v>29</v>
      </c>
      <c r="D991">
        <v>5.4040804586167699</v>
      </c>
      <c r="E991">
        <v>3</v>
      </c>
      <c r="F991">
        <v>3258</v>
      </c>
      <c r="G991">
        <v>1</v>
      </c>
      <c r="H991">
        <v>2</v>
      </c>
      <c r="I991">
        <v>1981</v>
      </c>
      <c r="J991">
        <v>0</v>
      </c>
      <c r="K991">
        <v>0</v>
      </c>
      <c r="L991">
        <v>0</v>
      </c>
      <c r="M991">
        <v>11</v>
      </c>
      <c r="N991" t="s">
        <v>35</v>
      </c>
      <c r="O991" t="s">
        <v>27</v>
      </c>
      <c r="P991">
        <v>4.3861043363068299</v>
      </c>
      <c r="Q991">
        <v>2.4879884382678799</v>
      </c>
      <c r="R991">
        <v>2.5728136440302598</v>
      </c>
      <c r="S991">
        <v>33</v>
      </c>
      <c r="T991">
        <v>76</v>
      </c>
      <c r="U991">
        <v>375.41938082636301</v>
      </c>
      <c r="V991">
        <v>3.3763044812768501E-3</v>
      </c>
      <c r="W991">
        <v>1364341.1227931001</v>
      </c>
      <c r="X991" t="s">
        <v>40</v>
      </c>
      <c r="Y991">
        <f>1-838-316-6398</f>
        <v>-7551</v>
      </c>
    </row>
    <row r="992" spans="1:25" x14ac:dyDescent="0.35">
      <c r="A992">
        <v>34.8218140873349</v>
      </c>
      <c r="B992">
        <v>-120.46302233349699</v>
      </c>
      <c r="C992" t="s">
        <v>25</v>
      </c>
      <c r="D992">
        <v>39.292946824883799</v>
      </c>
      <c r="E992">
        <v>6</v>
      </c>
      <c r="F992">
        <v>4495</v>
      </c>
      <c r="G992">
        <v>5</v>
      </c>
      <c r="H992">
        <v>1</v>
      </c>
      <c r="I992">
        <v>1986</v>
      </c>
      <c r="J992">
        <v>1</v>
      </c>
      <c r="K992">
        <v>1</v>
      </c>
      <c r="L992">
        <v>0</v>
      </c>
      <c r="M992">
        <v>2</v>
      </c>
      <c r="N992" t="s">
        <v>41</v>
      </c>
      <c r="O992" t="s">
        <v>32</v>
      </c>
      <c r="P992">
        <v>5.6623922849470398</v>
      </c>
      <c r="Q992">
        <v>1.3970081747090599</v>
      </c>
      <c r="R992">
        <v>1.8894285624375899</v>
      </c>
      <c r="S992">
        <v>8</v>
      </c>
      <c r="T992">
        <v>41</v>
      </c>
      <c r="U992">
        <v>481.53897845012398</v>
      </c>
      <c r="V992">
        <v>4.44938820912124E-4</v>
      </c>
      <c r="W992">
        <v>2582421.5461639198</v>
      </c>
      <c r="X992" t="s">
        <v>40</v>
      </c>
      <c r="Y992">
        <f>1-320-840-8461</f>
        <v>-9620</v>
      </c>
    </row>
    <row r="993" spans="1:25" x14ac:dyDescent="0.35">
      <c r="A993">
        <v>35.972967847601602</v>
      </c>
      <c r="B993">
        <v>-123.595454044869</v>
      </c>
      <c r="C993" t="s">
        <v>25</v>
      </c>
      <c r="D993">
        <v>38.151473467160102</v>
      </c>
      <c r="E993">
        <v>7</v>
      </c>
      <c r="F993">
        <v>4826</v>
      </c>
      <c r="G993">
        <v>2</v>
      </c>
      <c r="H993">
        <v>2</v>
      </c>
      <c r="I993">
        <v>2008</v>
      </c>
      <c r="J993">
        <v>1</v>
      </c>
      <c r="K993">
        <v>1</v>
      </c>
      <c r="L993">
        <v>0</v>
      </c>
      <c r="M993">
        <v>14</v>
      </c>
      <c r="N993" t="s">
        <v>26</v>
      </c>
      <c r="O993" t="s">
        <v>32</v>
      </c>
      <c r="P993">
        <v>10.090072859873301</v>
      </c>
      <c r="Q993">
        <v>1.97004771219886</v>
      </c>
      <c r="R993">
        <v>1.81184624486518</v>
      </c>
      <c r="S993">
        <v>177</v>
      </c>
      <c r="T993">
        <v>26</v>
      </c>
      <c r="U993">
        <v>922.13297934637899</v>
      </c>
      <c r="V993">
        <v>2.9009531703273902E-3</v>
      </c>
      <c r="W993">
        <v>4781074.6204446303</v>
      </c>
      <c r="X993" t="s">
        <v>44</v>
      </c>
      <c r="Y993">
        <f>1-464-469-5951</f>
        <v>-6883</v>
      </c>
    </row>
    <row r="994" spans="1:25" x14ac:dyDescent="0.35">
      <c r="A994">
        <v>40.0176909485415</v>
      </c>
      <c r="B994">
        <v>-115.27464712141</v>
      </c>
      <c r="C994" t="s">
        <v>34</v>
      </c>
      <c r="D994">
        <v>49.414243300834201</v>
      </c>
      <c r="E994">
        <v>5</v>
      </c>
      <c r="F994">
        <v>972</v>
      </c>
      <c r="G994">
        <v>5</v>
      </c>
      <c r="H994">
        <v>3</v>
      </c>
      <c r="I994">
        <v>1951</v>
      </c>
      <c r="J994">
        <v>1</v>
      </c>
      <c r="K994">
        <v>1</v>
      </c>
      <c r="L994">
        <v>1</v>
      </c>
      <c r="M994">
        <v>10</v>
      </c>
      <c r="N994" t="s">
        <v>35</v>
      </c>
      <c r="O994" t="s">
        <v>30</v>
      </c>
      <c r="P994">
        <v>4.3311160399245896</v>
      </c>
      <c r="Q994">
        <v>0.66955852024803397</v>
      </c>
      <c r="R994">
        <v>2.7427849526644499</v>
      </c>
      <c r="S994">
        <v>51</v>
      </c>
      <c r="T994">
        <v>52</v>
      </c>
      <c r="U994">
        <v>297.53466215092101</v>
      </c>
      <c r="V994">
        <v>1.0288065843621399E-2</v>
      </c>
      <c r="W994">
        <v>722038.816684547</v>
      </c>
      <c r="X994" t="s">
        <v>33</v>
      </c>
      <c r="Y994">
        <f>1-476-965-7606</f>
        <v>-9046</v>
      </c>
    </row>
    <row r="995" spans="1:25" x14ac:dyDescent="0.35">
      <c r="A995">
        <v>33.647529557532103</v>
      </c>
      <c r="B995">
        <v>-115.810801145784</v>
      </c>
      <c r="C995" t="s">
        <v>25</v>
      </c>
      <c r="D995">
        <v>43.613147953936398</v>
      </c>
      <c r="E995">
        <v>6</v>
      </c>
      <c r="F995">
        <v>1903</v>
      </c>
      <c r="G995">
        <v>1</v>
      </c>
      <c r="H995">
        <v>2</v>
      </c>
      <c r="I995">
        <v>1972</v>
      </c>
      <c r="J995">
        <v>1</v>
      </c>
      <c r="K995">
        <v>1</v>
      </c>
      <c r="L995">
        <v>0</v>
      </c>
      <c r="M995">
        <v>3</v>
      </c>
      <c r="N995" t="s">
        <v>35</v>
      </c>
      <c r="O995" t="s">
        <v>27</v>
      </c>
      <c r="P995">
        <v>5.4052365833189899</v>
      </c>
      <c r="Q995">
        <v>2.1000666455317201</v>
      </c>
      <c r="R995">
        <v>5.6325406995562997</v>
      </c>
      <c r="S995">
        <v>29</v>
      </c>
      <c r="T995">
        <v>61</v>
      </c>
      <c r="U995">
        <v>279.41033195125198</v>
      </c>
      <c r="V995">
        <v>1.57645822385706E-3</v>
      </c>
      <c r="W995">
        <v>638025.065970166</v>
      </c>
      <c r="X995" t="s">
        <v>38</v>
      </c>
      <c r="Y995">
        <f>1-733-202-8598</f>
        <v>-9532</v>
      </c>
    </row>
    <row r="996" spans="1:25" x14ac:dyDescent="0.35">
      <c r="A996">
        <v>38.744403326934403</v>
      </c>
      <c r="B996">
        <v>-121.487060366317</v>
      </c>
      <c r="C996" t="s">
        <v>29</v>
      </c>
      <c r="D996">
        <v>30.5261342454247</v>
      </c>
      <c r="E996">
        <v>5</v>
      </c>
      <c r="F996">
        <v>1548</v>
      </c>
      <c r="G996">
        <v>2</v>
      </c>
      <c r="H996">
        <v>1</v>
      </c>
      <c r="I996">
        <v>2020</v>
      </c>
      <c r="J996">
        <v>0</v>
      </c>
      <c r="K996">
        <v>0</v>
      </c>
      <c r="L996">
        <v>1</v>
      </c>
      <c r="M996">
        <v>7</v>
      </c>
      <c r="N996" t="s">
        <v>35</v>
      </c>
      <c r="O996" t="s">
        <v>30</v>
      </c>
      <c r="P996">
        <v>13.433180681313701</v>
      </c>
      <c r="Q996">
        <v>1.55879966101873</v>
      </c>
      <c r="R996">
        <v>6.3658861321410196</v>
      </c>
      <c r="S996">
        <v>81</v>
      </c>
      <c r="T996">
        <v>31</v>
      </c>
      <c r="U996">
        <v>923.83625600902894</v>
      </c>
      <c r="V996">
        <v>4.5219638242894001E-3</v>
      </c>
      <c r="W996">
        <v>1676761.4126816799</v>
      </c>
      <c r="X996" t="s">
        <v>43</v>
      </c>
      <c r="Y996">
        <f>1-637-635-4902</f>
        <v>-6173</v>
      </c>
    </row>
    <row r="997" spans="1:25" x14ac:dyDescent="0.35">
      <c r="A997">
        <v>34.811996859678899</v>
      </c>
      <c r="B997">
        <v>-122.93878000225</v>
      </c>
      <c r="C997" t="s">
        <v>25</v>
      </c>
      <c r="D997">
        <v>31.2487658917894</v>
      </c>
      <c r="E997">
        <v>3</v>
      </c>
      <c r="F997">
        <v>4162</v>
      </c>
      <c r="G997">
        <v>5</v>
      </c>
      <c r="H997">
        <v>1</v>
      </c>
      <c r="I997">
        <v>2010</v>
      </c>
      <c r="J997">
        <v>1</v>
      </c>
      <c r="K997">
        <v>1</v>
      </c>
      <c r="L997">
        <v>0</v>
      </c>
      <c r="M997">
        <v>5</v>
      </c>
      <c r="N997" t="s">
        <v>41</v>
      </c>
      <c r="O997" t="s">
        <v>27</v>
      </c>
      <c r="P997">
        <v>8.4504711003349406</v>
      </c>
      <c r="Q997">
        <v>1.2817959721416501</v>
      </c>
      <c r="R997">
        <v>3.0075334437022501</v>
      </c>
      <c r="S997">
        <v>130</v>
      </c>
      <c r="T997">
        <v>25</v>
      </c>
      <c r="U997">
        <v>436.77236657191401</v>
      </c>
      <c r="V997">
        <v>1.2013455069677999E-3</v>
      </c>
      <c r="W997">
        <v>2188874.6903708</v>
      </c>
      <c r="X997" t="s">
        <v>44</v>
      </c>
      <c r="Y997">
        <f>1-731-913-5662</f>
        <v>-7305</v>
      </c>
    </row>
    <row r="998" spans="1:25" x14ac:dyDescent="0.35">
      <c r="A998">
        <v>35.982291178130097</v>
      </c>
      <c r="B998">
        <v>-120.474903387216</v>
      </c>
      <c r="C998" t="s">
        <v>29</v>
      </c>
      <c r="D998">
        <v>38.717670774147798</v>
      </c>
      <c r="E998">
        <v>2</v>
      </c>
      <c r="F998">
        <v>1394</v>
      </c>
      <c r="G998">
        <v>5</v>
      </c>
      <c r="H998">
        <v>3</v>
      </c>
      <c r="I998">
        <v>1972</v>
      </c>
      <c r="J998">
        <v>0</v>
      </c>
      <c r="K998">
        <v>1</v>
      </c>
      <c r="L998">
        <v>0</v>
      </c>
      <c r="M998">
        <v>10</v>
      </c>
      <c r="N998" t="s">
        <v>35</v>
      </c>
      <c r="O998" t="s">
        <v>32</v>
      </c>
      <c r="P998">
        <v>9.2863496722201102</v>
      </c>
      <c r="Q998">
        <v>2.4521550803983199</v>
      </c>
      <c r="R998">
        <v>1.3224750389106801</v>
      </c>
      <c r="S998">
        <v>91</v>
      </c>
      <c r="T998">
        <v>78</v>
      </c>
      <c r="U998">
        <v>563.59640866842096</v>
      </c>
      <c r="V998">
        <v>7.1736011477761801E-3</v>
      </c>
      <c r="W998">
        <v>1254977.9785553201</v>
      </c>
      <c r="X998" t="s">
        <v>39</v>
      </c>
      <c r="Y998">
        <f>1-459-833-9729</f>
        <v>-11020</v>
      </c>
    </row>
    <row r="999" spans="1:25" x14ac:dyDescent="0.35">
      <c r="A999">
        <v>40.937415721642097</v>
      </c>
      <c r="B999">
        <v>-119.95070714479399</v>
      </c>
      <c r="C999" t="s">
        <v>34</v>
      </c>
      <c r="D999">
        <v>25.1659780872079</v>
      </c>
      <c r="E999">
        <v>4</v>
      </c>
      <c r="F999">
        <v>4169</v>
      </c>
      <c r="G999">
        <v>2</v>
      </c>
      <c r="H999">
        <v>3</v>
      </c>
      <c r="I999">
        <v>2014</v>
      </c>
      <c r="J999">
        <v>1</v>
      </c>
      <c r="K999">
        <v>1</v>
      </c>
      <c r="L999">
        <v>1</v>
      </c>
      <c r="M999">
        <v>14</v>
      </c>
      <c r="N999" t="s">
        <v>26</v>
      </c>
      <c r="O999" t="s">
        <v>32</v>
      </c>
      <c r="P999">
        <v>14.149714642580699</v>
      </c>
      <c r="Q999">
        <v>2.1658547899095701</v>
      </c>
      <c r="R999">
        <v>4.5070296206496501</v>
      </c>
      <c r="S999">
        <v>130</v>
      </c>
      <c r="T999">
        <v>41</v>
      </c>
      <c r="U999">
        <v>267.54001636804202</v>
      </c>
      <c r="V999">
        <v>3.3581194531062601E-3</v>
      </c>
      <c r="W999">
        <v>1525667.39895314</v>
      </c>
      <c r="X999" t="s">
        <v>43</v>
      </c>
      <c r="Y999">
        <f>1-595-766-7566</f>
        <v>-8926</v>
      </c>
    </row>
    <row r="1000" spans="1:25" x14ac:dyDescent="0.35">
      <c r="A1000">
        <v>38.2628087685639</v>
      </c>
      <c r="B1000">
        <v>-114.45885979968899</v>
      </c>
      <c r="C1000" t="s">
        <v>34</v>
      </c>
      <c r="D1000">
        <v>42.452836514037799</v>
      </c>
      <c r="E1000">
        <v>6</v>
      </c>
      <c r="F1000">
        <v>984</v>
      </c>
      <c r="G1000">
        <v>2</v>
      </c>
      <c r="H1000">
        <v>2</v>
      </c>
      <c r="I1000">
        <v>1963</v>
      </c>
      <c r="J1000">
        <v>0</v>
      </c>
      <c r="K1000">
        <v>1</v>
      </c>
      <c r="L1000">
        <v>0</v>
      </c>
      <c r="M1000">
        <v>5</v>
      </c>
      <c r="N1000" t="s">
        <v>35</v>
      </c>
      <c r="O1000" t="s">
        <v>27</v>
      </c>
      <c r="P1000">
        <v>13.3633366583884</v>
      </c>
      <c r="Q1000">
        <v>0.63027188380016197</v>
      </c>
      <c r="R1000">
        <v>6.4467875879098404</v>
      </c>
      <c r="S1000">
        <v>31</v>
      </c>
      <c r="T1000">
        <v>28</v>
      </c>
      <c r="U1000">
        <v>255.86447048019599</v>
      </c>
      <c r="V1000">
        <v>5.08130081300813E-3</v>
      </c>
      <c r="W1000">
        <v>466719.20860918699</v>
      </c>
      <c r="X1000" t="s">
        <v>36</v>
      </c>
      <c r="Y1000">
        <f>1-545-436-3374</f>
        <v>-4354</v>
      </c>
    </row>
    <row r="1001" spans="1:25" x14ac:dyDescent="0.35">
      <c r="A1001">
        <v>32.985784004566</v>
      </c>
      <c r="B1001">
        <v>-123.904762178326</v>
      </c>
      <c r="C1001" t="s">
        <v>34</v>
      </c>
      <c r="D1001">
        <v>24.590530950114001</v>
      </c>
      <c r="E1001">
        <v>4</v>
      </c>
      <c r="F1001">
        <v>4533</v>
      </c>
      <c r="G1001">
        <v>2</v>
      </c>
      <c r="H1001">
        <v>1</v>
      </c>
      <c r="I1001">
        <v>2004</v>
      </c>
      <c r="J1001">
        <v>1</v>
      </c>
      <c r="K1001">
        <v>0</v>
      </c>
      <c r="L1001">
        <v>0</v>
      </c>
      <c r="M1001">
        <v>10</v>
      </c>
      <c r="N1001" t="s">
        <v>35</v>
      </c>
      <c r="O1001" t="s">
        <v>27</v>
      </c>
      <c r="P1001">
        <v>12.8175573111353</v>
      </c>
      <c r="Q1001">
        <v>1.5287967820216199</v>
      </c>
      <c r="R1001">
        <v>1.01491435433675</v>
      </c>
      <c r="S1001">
        <v>194</v>
      </c>
      <c r="T1001">
        <v>62</v>
      </c>
      <c r="U1001">
        <v>839.10764642886204</v>
      </c>
      <c r="V1001">
        <v>2.2060445621001502E-3</v>
      </c>
      <c r="W1001">
        <v>3982678.2492334801</v>
      </c>
      <c r="X1001" t="s">
        <v>28</v>
      </c>
      <c r="Y1001">
        <f>1-313-262-6153</f>
        <v>-6727</v>
      </c>
    </row>
    <row r="1002" spans="1:25" x14ac:dyDescent="0.35">
      <c r="A1002">
        <v>35.7438732293611</v>
      </c>
      <c r="B1002">
        <v>-114.914492556659</v>
      </c>
      <c r="C1002" t="s">
        <v>25</v>
      </c>
      <c r="D1002">
        <v>46.582395330402797</v>
      </c>
      <c r="E1002">
        <v>9</v>
      </c>
      <c r="F1002">
        <v>3277</v>
      </c>
      <c r="G1002">
        <v>5</v>
      </c>
      <c r="H1002">
        <v>3</v>
      </c>
      <c r="I1002">
        <v>2017</v>
      </c>
      <c r="J1002">
        <v>1</v>
      </c>
      <c r="K1002">
        <v>1</v>
      </c>
      <c r="L1002">
        <v>1</v>
      </c>
      <c r="M1002">
        <v>7</v>
      </c>
      <c r="N1002" t="s">
        <v>26</v>
      </c>
      <c r="O1002" t="s">
        <v>30</v>
      </c>
      <c r="P1002">
        <v>7.62277706563163</v>
      </c>
      <c r="Q1002">
        <v>2.3515589319857702</v>
      </c>
      <c r="R1002">
        <v>1.02404385266308</v>
      </c>
      <c r="S1002">
        <v>105</v>
      </c>
      <c r="T1002">
        <v>39</v>
      </c>
      <c r="U1002">
        <v>288.52282659361998</v>
      </c>
      <c r="V1002">
        <v>2.1361000915471398E-3</v>
      </c>
      <c r="W1002">
        <v>1481635.38954887</v>
      </c>
      <c r="X1002" t="s">
        <v>33</v>
      </c>
      <c r="Y1002">
        <f>1-622-727-8370</f>
        <v>-9718</v>
      </c>
    </row>
    <row r="1003" spans="1:25" x14ac:dyDescent="0.35">
      <c r="A1003">
        <v>34.958734879612003</v>
      </c>
      <c r="B1003">
        <v>-118.87769717918</v>
      </c>
      <c r="C1003" t="s">
        <v>29</v>
      </c>
      <c r="D1003">
        <v>38.2427431417807</v>
      </c>
      <c r="E1003">
        <v>6</v>
      </c>
      <c r="F1003">
        <v>3370</v>
      </c>
      <c r="G1003">
        <v>4</v>
      </c>
      <c r="H1003">
        <v>2</v>
      </c>
      <c r="I1003">
        <v>1960</v>
      </c>
      <c r="J1003">
        <v>1</v>
      </c>
      <c r="K1003">
        <v>1</v>
      </c>
      <c r="L1003">
        <v>1</v>
      </c>
      <c r="M1003">
        <v>9</v>
      </c>
      <c r="N1003" t="s">
        <v>41</v>
      </c>
      <c r="O1003" t="s">
        <v>27</v>
      </c>
      <c r="P1003">
        <v>11.8690761228921</v>
      </c>
      <c r="Q1003">
        <v>2.28326269100803</v>
      </c>
      <c r="R1003">
        <v>2.2762633339782599</v>
      </c>
      <c r="S1003">
        <v>54</v>
      </c>
      <c r="T1003">
        <v>64</v>
      </c>
      <c r="U1003">
        <v>418.28945352998602</v>
      </c>
      <c r="V1003">
        <v>2.67062314540059E-3</v>
      </c>
      <c r="W1003">
        <v>1857733.60174215</v>
      </c>
      <c r="X1003" t="s">
        <v>42</v>
      </c>
      <c r="Y1003">
        <f>1-346-448-1207</f>
        <v>-2000</v>
      </c>
    </row>
    <row r="1004" spans="1:25" x14ac:dyDescent="0.35">
      <c r="A1004">
        <v>40.280898925188602</v>
      </c>
      <c r="B1004">
        <v>-115.973918925419</v>
      </c>
      <c r="C1004" t="s">
        <v>34</v>
      </c>
      <c r="D1004">
        <v>12.715049795829399</v>
      </c>
      <c r="E1004">
        <v>3</v>
      </c>
      <c r="F1004">
        <v>2244</v>
      </c>
      <c r="G1004">
        <v>1</v>
      </c>
      <c r="H1004">
        <v>1</v>
      </c>
      <c r="I1004">
        <v>2011</v>
      </c>
      <c r="J1004">
        <v>0</v>
      </c>
      <c r="K1004">
        <v>1</v>
      </c>
      <c r="L1004">
        <v>1</v>
      </c>
      <c r="M1004">
        <v>2</v>
      </c>
      <c r="N1004" t="s">
        <v>35</v>
      </c>
      <c r="O1004" t="s">
        <v>30</v>
      </c>
      <c r="P1004">
        <v>6.7945892094221003</v>
      </c>
      <c r="Q1004">
        <v>1.0791001073012201</v>
      </c>
      <c r="R1004">
        <v>7.1035475499701297</v>
      </c>
      <c r="S1004">
        <v>102</v>
      </c>
      <c r="T1004">
        <v>26</v>
      </c>
      <c r="U1004">
        <v>273.33030012225697</v>
      </c>
      <c r="V1004">
        <v>8.9126559714795004E-4</v>
      </c>
      <c r="W1004">
        <v>895206.22188969096</v>
      </c>
      <c r="X1004" t="s">
        <v>44</v>
      </c>
      <c r="Y1004">
        <f>1-975-625-8341</f>
        <v>-9940</v>
      </c>
    </row>
    <row r="1005" spans="1:25" x14ac:dyDescent="0.35">
      <c r="A1005">
        <v>39.7994004836237</v>
      </c>
      <c r="B1005">
        <v>-123.644260908923</v>
      </c>
      <c r="C1005" t="s">
        <v>25</v>
      </c>
      <c r="D1005">
        <v>37.247110664610602</v>
      </c>
      <c r="E1005">
        <v>0</v>
      </c>
      <c r="F1005">
        <v>620</v>
      </c>
      <c r="G1005">
        <v>4</v>
      </c>
      <c r="H1005">
        <v>3</v>
      </c>
      <c r="I1005">
        <v>2012</v>
      </c>
      <c r="J1005">
        <v>0</v>
      </c>
      <c r="K1005">
        <v>1</v>
      </c>
      <c r="L1005">
        <v>0</v>
      </c>
      <c r="M1005">
        <v>4</v>
      </c>
      <c r="N1005" t="s">
        <v>37</v>
      </c>
      <c r="O1005" t="s">
        <v>32</v>
      </c>
      <c r="P1005">
        <v>4.6649355249067499</v>
      </c>
      <c r="Q1005">
        <v>1.20082582983404</v>
      </c>
      <c r="R1005">
        <v>9.3275586737094702</v>
      </c>
      <c r="S1005">
        <v>89</v>
      </c>
      <c r="T1005">
        <v>35</v>
      </c>
      <c r="U1005">
        <v>203.17832758933099</v>
      </c>
      <c r="V1005">
        <v>6.4516129032258004E-3</v>
      </c>
      <c r="W1005">
        <v>476793.01289732801</v>
      </c>
      <c r="X1005" t="s">
        <v>38</v>
      </c>
      <c r="Y1005">
        <f>1-972-825-2944</f>
        <v>-4740</v>
      </c>
    </row>
    <row r="1006" spans="1:25" x14ac:dyDescent="0.35">
      <c r="A1006">
        <v>34.905835265653202</v>
      </c>
      <c r="B1006">
        <v>-122.621386864055</v>
      </c>
      <c r="C1006" t="s">
        <v>34</v>
      </c>
      <c r="D1006">
        <v>3.8538012583278598</v>
      </c>
      <c r="E1006">
        <v>7</v>
      </c>
      <c r="F1006">
        <v>728</v>
      </c>
      <c r="G1006">
        <v>2</v>
      </c>
      <c r="H1006">
        <v>3</v>
      </c>
      <c r="I1006">
        <v>1981</v>
      </c>
      <c r="J1006">
        <v>1</v>
      </c>
      <c r="K1006">
        <v>1</v>
      </c>
      <c r="L1006">
        <v>1</v>
      </c>
      <c r="M1006">
        <v>7</v>
      </c>
      <c r="N1006" t="s">
        <v>37</v>
      </c>
      <c r="O1006" t="s">
        <v>27</v>
      </c>
      <c r="P1006">
        <v>14.9017781212348</v>
      </c>
      <c r="Q1006">
        <v>2.4259944361212198</v>
      </c>
      <c r="R1006">
        <v>0.30827677933886599</v>
      </c>
      <c r="S1006">
        <v>74</v>
      </c>
      <c r="T1006">
        <v>31</v>
      </c>
      <c r="U1006">
        <v>841.18435311989799</v>
      </c>
      <c r="V1006">
        <v>9.6153846153846107E-3</v>
      </c>
      <c r="W1006">
        <v>1036686.14738634</v>
      </c>
      <c r="X1006" t="s">
        <v>31</v>
      </c>
      <c r="Y1006">
        <f>1-245-939-5945</f>
        <v>-7128</v>
      </c>
    </row>
    <row r="1007" spans="1:25" x14ac:dyDescent="0.35">
      <c r="A1007">
        <v>32.835821731844199</v>
      </c>
      <c r="B1007">
        <v>-123.628603335438</v>
      </c>
      <c r="C1007" t="s">
        <v>34</v>
      </c>
      <c r="D1007">
        <v>29.776579866481001</v>
      </c>
      <c r="E1007">
        <v>3</v>
      </c>
      <c r="F1007">
        <v>3805</v>
      </c>
      <c r="G1007">
        <v>4</v>
      </c>
      <c r="H1007">
        <v>1</v>
      </c>
      <c r="I1007">
        <v>1976</v>
      </c>
      <c r="J1007">
        <v>1</v>
      </c>
      <c r="K1007">
        <v>0</v>
      </c>
      <c r="L1007">
        <v>1</v>
      </c>
      <c r="M1007">
        <v>7</v>
      </c>
      <c r="N1007" t="s">
        <v>37</v>
      </c>
      <c r="O1007" t="s">
        <v>27</v>
      </c>
      <c r="P1007">
        <v>6.5037012451678198</v>
      </c>
      <c r="Q1007">
        <v>1.41035014109826</v>
      </c>
      <c r="R1007">
        <v>8.70520958366793</v>
      </c>
      <c r="S1007">
        <v>19</v>
      </c>
      <c r="T1007">
        <v>63</v>
      </c>
      <c r="U1007">
        <v>978.27889638406998</v>
      </c>
      <c r="V1007">
        <v>1.8396846254927701E-3</v>
      </c>
      <c r="W1007">
        <v>3993420.3677608101</v>
      </c>
      <c r="X1007" t="s">
        <v>44</v>
      </c>
      <c r="Y1007">
        <f>1-422-896-4166</f>
        <v>-5483</v>
      </c>
    </row>
    <row r="1008" spans="1:25" x14ac:dyDescent="0.35">
      <c r="A1008">
        <v>37.283753255415803</v>
      </c>
      <c r="B1008">
        <v>-119.65905164071199</v>
      </c>
      <c r="C1008" t="s">
        <v>25</v>
      </c>
      <c r="D1008">
        <v>24.8268145477792</v>
      </c>
      <c r="E1008">
        <v>7</v>
      </c>
      <c r="F1008">
        <v>3777</v>
      </c>
      <c r="G1008">
        <v>5</v>
      </c>
      <c r="H1008">
        <v>3</v>
      </c>
      <c r="I1008">
        <v>1963</v>
      </c>
      <c r="J1008">
        <v>1</v>
      </c>
      <c r="K1008">
        <v>1</v>
      </c>
      <c r="L1008">
        <v>1</v>
      </c>
      <c r="M1008">
        <v>5</v>
      </c>
      <c r="N1008" t="s">
        <v>37</v>
      </c>
      <c r="O1008" t="s">
        <v>27</v>
      </c>
      <c r="P1008">
        <v>5.2486944864621501</v>
      </c>
      <c r="Q1008">
        <v>2.4035668607860301</v>
      </c>
      <c r="R1008">
        <v>7.25500006914727</v>
      </c>
      <c r="S1008">
        <v>7</v>
      </c>
      <c r="T1008">
        <v>33</v>
      </c>
      <c r="U1008">
        <v>843.93070156827105</v>
      </c>
      <c r="V1008">
        <v>1.3238019592268901E-3</v>
      </c>
      <c r="W1008">
        <v>3649960.31069321</v>
      </c>
      <c r="X1008" t="s">
        <v>40</v>
      </c>
      <c r="Y1008">
        <f>1-961-106-9235</f>
        <v>-10301</v>
      </c>
    </row>
    <row r="1009" spans="1:25" x14ac:dyDescent="0.35">
      <c r="A1009">
        <v>39.344230661872501</v>
      </c>
      <c r="B1009">
        <v>-118.76214091334</v>
      </c>
      <c r="C1009" t="s">
        <v>25</v>
      </c>
      <c r="D1009">
        <v>25.031654495461201</v>
      </c>
      <c r="E1009">
        <v>8</v>
      </c>
      <c r="F1009">
        <v>2258</v>
      </c>
      <c r="G1009">
        <v>1</v>
      </c>
      <c r="H1009">
        <v>2</v>
      </c>
      <c r="I1009">
        <v>2005</v>
      </c>
      <c r="J1009">
        <v>1</v>
      </c>
      <c r="K1009">
        <v>1</v>
      </c>
      <c r="L1009">
        <v>0</v>
      </c>
      <c r="M1009">
        <v>4</v>
      </c>
      <c r="N1009" t="s">
        <v>35</v>
      </c>
      <c r="O1009" t="s">
        <v>32</v>
      </c>
      <c r="P1009">
        <v>8.0406285361727097</v>
      </c>
      <c r="Q1009">
        <v>0.74100903456093503</v>
      </c>
      <c r="R1009">
        <v>7.0358520675464202</v>
      </c>
      <c r="S1009">
        <v>160</v>
      </c>
      <c r="T1009">
        <v>73</v>
      </c>
      <c r="U1009">
        <v>514.19214169604402</v>
      </c>
      <c r="V1009">
        <v>1.7714791851195699E-3</v>
      </c>
      <c r="W1009">
        <v>1377978.5762890801</v>
      </c>
      <c r="X1009" t="s">
        <v>36</v>
      </c>
      <c r="Y1009">
        <f>1-534-415-7193</f>
        <v>-8141</v>
      </c>
    </row>
    <row r="1010" spans="1:25" x14ac:dyDescent="0.35">
      <c r="A1010">
        <v>34.878742822492796</v>
      </c>
      <c r="B1010">
        <v>-114.228255661741</v>
      </c>
      <c r="C1010" t="s">
        <v>29</v>
      </c>
      <c r="D1010">
        <v>14.520216183883299</v>
      </c>
      <c r="E1010">
        <v>9</v>
      </c>
      <c r="F1010">
        <v>4481</v>
      </c>
      <c r="G1010">
        <v>4</v>
      </c>
      <c r="H1010">
        <v>2</v>
      </c>
      <c r="I1010">
        <v>1968</v>
      </c>
      <c r="J1010">
        <v>0</v>
      </c>
      <c r="K1010">
        <v>0</v>
      </c>
      <c r="L1010">
        <v>0</v>
      </c>
      <c r="M1010">
        <v>7</v>
      </c>
      <c r="N1010" t="s">
        <v>37</v>
      </c>
      <c r="O1010" t="s">
        <v>30</v>
      </c>
      <c r="P1010">
        <v>2.2079408298562702</v>
      </c>
      <c r="Q1010">
        <v>0.74644678157212097</v>
      </c>
      <c r="R1010">
        <v>6.0948653204001602</v>
      </c>
      <c r="S1010">
        <v>84</v>
      </c>
      <c r="T1010">
        <v>55</v>
      </c>
      <c r="U1010">
        <v>577.72586594744598</v>
      </c>
      <c r="V1010">
        <v>1.56215130551216E-3</v>
      </c>
      <c r="W1010">
        <v>2702282.4791240799</v>
      </c>
      <c r="X1010" t="s">
        <v>42</v>
      </c>
      <c r="Y1010">
        <f>1-806-673-6972</f>
        <v>-8450</v>
      </c>
    </row>
    <row r="1011" spans="1:25" x14ac:dyDescent="0.35">
      <c r="A1011">
        <v>36.032548078719898</v>
      </c>
      <c r="B1011">
        <v>-119.669399041777</v>
      </c>
      <c r="C1011" t="s">
        <v>34</v>
      </c>
      <c r="D1011">
        <v>28.899283979710901</v>
      </c>
      <c r="E1011">
        <v>0</v>
      </c>
      <c r="F1011">
        <v>1987</v>
      </c>
      <c r="G1011">
        <v>4</v>
      </c>
      <c r="H1011">
        <v>1</v>
      </c>
      <c r="I1011">
        <v>1968</v>
      </c>
      <c r="J1011">
        <v>1</v>
      </c>
      <c r="K1011">
        <v>0</v>
      </c>
      <c r="L1011">
        <v>0</v>
      </c>
      <c r="M1011">
        <v>6</v>
      </c>
      <c r="N1011" t="s">
        <v>41</v>
      </c>
      <c r="O1011" t="s">
        <v>30</v>
      </c>
      <c r="P1011">
        <v>3.4496977761861798</v>
      </c>
      <c r="Q1011">
        <v>2.1910809246065202</v>
      </c>
      <c r="R1011">
        <v>1.22894933650246</v>
      </c>
      <c r="S1011">
        <v>142</v>
      </c>
      <c r="T1011">
        <v>20</v>
      </c>
      <c r="U1011">
        <v>420.445269025958</v>
      </c>
      <c r="V1011">
        <v>3.01962757926522E-3</v>
      </c>
      <c r="W1011">
        <v>1032225.36775749</v>
      </c>
      <c r="X1011" t="s">
        <v>44</v>
      </c>
      <c r="Y1011">
        <f>1-876-150-3612</f>
        <v>-4637</v>
      </c>
    </row>
    <row r="1012" spans="1:25" x14ac:dyDescent="0.35">
      <c r="A1012">
        <v>37.432032697897299</v>
      </c>
      <c r="B1012">
        <v>-121.97049701531699</v>
      </c>
      <c r="C1012" t="s">
        <v>34</v>
      </c>
      <c r="D1012">
        <v>13.9609198813828</v>
      </c>
      <c r="E1012">
        <v>9</v>
      </c>
      <c r="F1012">
        <v>4682</v>
      </c>
      <c r="G1012">
        <v>4</v>
      </c>
      <c r="H1012">
        <v>3</v>
      </c>
      <c r="I1012">
        <v>1994</v>
      </c>
      <c r="J1012">
        <v>1</v>
      </c>
      <c r="K1012">
        <v>1</v>
      </c>
      <c r="L1012">
        <v>1</v>
      </c>
      <c r="M1012">
        <v>10</v>
      </c>
      <c r="N1012" t="s">
        <v>37</v>
      </c>
      <c r="O1012" t="s">
        <v>32</v>
      </c>
      <c r="P1012">
        <v>9.47987634732368</v>
      </c>
      <c r="Q1012">
        <v>1.0640933052645101</v>
      </c>
      <c r="R1012">
        <v>3.5891862634888598</v>
      </c>
      <c r="S1012">
        <v>128</v>
      </c>
      <c r="T1012">
        <v>53</v>
      </c>
      <c r="U1012">
        <v>360.82789038462198</v>
      </c>
      <c r="V1012">
        <v>2.13583938487825E-3</v>
      </c>
      <c r="W1012">
        <v>2203911.9757790002</v>
      </c>
      <c r="X1012" t="s">
        <v>40</v>
      </c>
      <c r="Y1012">
        <f>1-599-660-4185</f>
        <v>-5443</v>
      </c>
    </row>
    <row r="1013" spans="1:25" x14ac:dyDescent="0.35">
      <c r="A1013">
        <v>38.666722827693697</v>
      </c>
      <c r="B1013">
        <v>-123.03441765933199</v>
      </c>
      <c r="C1013" t="s">
        <v>25</v>
      </c>
      <c r="D1013">
        <v>43.516736520764297</v>
      </c>
      <c r="E1013">
        <v>4</v>
      </c>
      <c r="F1013">
        <v>3006</v>
      </c>
      <c r="G1013">
        <v>3</v>
      </c>
      <c r="H1013">
        <v>3</v>
      </c>
      <c r="I1013">
        <v>2014</v>
      </c>
      <c r="J1013">
        <v>1</v>
      </c>
      <c r="K1013">
        <v>0</v>
      </c>
      <c r="L1013">
        <v>1</v>
      </c>
      <c r="M1013">
        <v>4</v>
      </c>
      <c r="N1013" t="s">
        <v>41</v>
      </c>
      <c r="O1013" t="s">
        <v>32</v>
      </c>
      <c r="P1013">
        <v>11.310066436316101</v>
      </c>
      <c r="Q1013">
        <v>1.1601186152905101</v>
      </c>
      <c r="R1013">
        <v>2.50130352289841</v>
      </c>
      <c r="S1013">
        <v>143</v>
      </c>
      <c r="T1013">
        <v>69</v>
      </c>
      <c r="U1013">
        <v>548.72591235213599</v>
      </c>
      <c r="V1013">
        <v>1.33067198935462E-3</v>
      </c>
      <c r="W1013">
        <v>1944619.7519450199</v>
      </c>
      <c r="X1013" t="s">
        <v>33</v>
      </c>
      <c r="Y1013">
        <f>1-718-725-7439</f>
        <v>-8881</v>
      </c>
    </row>
    <row r="1014" spans="1:25" x14ac:dyDescent="0.35">
      <c r="A1014">
        <v>35.1848341218478</v>
      </c>
      <c r="B1014">
        <v>-121.082858765306</v>
      </c>
      <c r="C1014" t="s">
        <v>34</v>
      </c>
      <c r="D1014">
        <v>11.346464753798299</v>
      </c>
      <c r="E1014">
        <v>6</v>
      </c>
      <c r="F1014">
        <v>2665</v>
      </c>
      <c r="G1014">
        <v>4</v>
      </c>
      <c r="H1014">
        <v>3</v>
      </c>
      <c r="I1014">
        <v>2004</v>
      </c>
      <c r="J1014">
        <v>0</v>
      </c>
      <c r="K1014">
        <v>0</v>
      </c>
      <c r="L1014">
        <v>1</v>
      </c>
      <c r="M1014">
        <v>2</v>
      </c>
      <c r="N1014" t="s">
        <v>35</v>
      </c>
      <c r="O1014" t="s">
        <v>32</v>
      </c>
      <c r="P1014">
        <v>2.15515514065945</v>
      </c>
      <c r="Q1014">
        <v>2.4418631887332798</v>
      </c>
      <c r="R1014">
        <v>2.5610740318210699</v>
      </c>
      <c r="S1014">
        <v>71</v>
      </c>
      <c r="T1014">
        <v>46</v>
      </c>
      <c r="U1014">
        <v>421.243338379585</v>
      </c>
      <c r="V1014">
        <v>7.5046904315196998E-4</v>
      </c>
      <c r="W1014">
        <v>1433474.8805549899</v>
      </c>
      <c r="X1014" t="s">
        <v>44</v>
      </c>
      <c r="Y1014">
        <f>1-376-752-6732</f>
        <v>-7859</v>
      </c>
    </row>
    <row r="1015" spans="1:25" x14ac:dyDescent="0.35">
      <c r="A1015">
        <v>37.0628837057534</v>
      </c>
      <c r="B1015">
        <v>-119.053316802468</v>
      </c>
      <c r="C1015" t="s">
        <v>34</v>
      </c>
      <c r="D1015">
        <v>35.975099307336698</v>
      </c>
      <c r="E1015">
        <v>1</v>
      </c>
      <c r="F1015">
        <v>2744</v>
      </c>
      <c r="G1015">
        <v>2</v>
      </c>
      <c r="H1015">
        <v>1</v>
      </c>
      <c r="I1015">
        <v>2010</v>
      </c>
      <c r="J1015">
        <v>0</v>
      </c>
      <c r="K1015">
        <v>1</v>
      </c>
      <c r="L1015">
        <v>0</v>
      </c>
      <c r="M1015">
        <v>11</v>
      </c>
      <c r="N1015" t="s">
        <v>26</v>
      </c>
      <c r="O1015" t="s">
        <v>27</v>
      </c>
      <c r="P1015">
        <v>2.96232203797579</v>
      </c>
      <c r="Q1015">
        <v>2.3438715185860901</v>
      </c>
      <c r="R1015">
        <v>7.3407728362706797</v>
      </c>
      <c r="S1015">
        <v>14</v>
      </c>
      <c r="T1015">
        <v>60</v>
      </c>
      <c r="U1015">
        <v>412.36980578750399</v>
      </c>
      <c r="V1015">
        <v>4.0087463556851303E-3</v>
      </c>
      <c r="W1015">
        <v>1341132.5752107301</v>
      </c>
      <c r="X1015" t="s">
        <v>38</v>
      </c>
      <c r="Y1015">
        <f>1-203-540-1312</f>
        <v>-2054</v>
      </c>
    </row>
    <row r="1016" spans="1:25" x14ac:dyDescent="0.35">
      <c r="A1016">
        <v>39.335679950076099</v>
      </c>
      <c r="B1016">
        <v>-123.16994557580701</v>
      </c>
      <c r="C1016" t="s">
        <v>34</v>
      </c>
      <c r="D1016">
        <v>39.681770721586297</v>
      </c>
      <c r="E1016">
        <v>6</v>
      </c>
      <c r="F1016">
        <v>4745</v>
      </c>
      <c r="G1016">
        <v>5</v>
      </c>
      <c r="H1016">
        <v>3</v>
      </c>
      <c r="I1016">
        <v>1979</v>
      </c>
      <c r="J1016">
        <v>0</v>
      </c>
      <c r="K1016">
        <v>1</v>
      </c>
      <c r="L1016">
        <v>1</v>
      </c>
      <c r="M1016">
        <v>7</v>
      </c>
      <c r="N1016" t="s">
        <v>35</v>
      </c>
      <c r="O1016" t="s">
        <v>32</v>
      </c>
      <c r="P1016">
        <v>3.49617835485921</v>
      </c>
      <c r="Q1016">
        <v>2.0307487611998098</v>
      </c>
      <c r="R1016">
        <v>3.5808701592161301</v>
      </c>
      <c r="S1016">
        <v>173</v>
      </c>
      <c r="T1016">
        <v>65</v>
      </c>
      <c r="U1016">
        <v>398.78932482254498</v>
      </c>
      <c r="V1016">
        <v>1.4752370916754399E-3</v>
      </c>
      <c r="W1016">
        <v>2265522.40294777</v>
      </c>
      <c r="X1016" t="s">
        <v>28</v>
      </c>
      <c r="Y1016">
        <f>1-421-327-8402</f>
        <v>-9149</v>
      </c>
    </row>
    <row r="1017" spans="1:25" x14ac:dyDescent="0.35">
      <c r="A1017">
        <v>34.849959456511399</v>
      </c>
      <c r="B1017">
        <v>-115.94137810980401</v>
      </c>
      <c r="C1017" t="s">
        <v>34</v>
      </c>
      <c r="D1017">
        <v>30.3648922710892</v>
      </c>
      <c r="E1017">
        <v>7</v>
      </c>
      <c r="F1017">
        <v>987</v>
      </c>
      <c r="G1017">
        <v>5</v>
      </c>
      <c r="H1017">
        <v>3</v>
      </c>
      <c r="I1017">
        <v>2010</v>
      </c>
      <c r="J1017">
        <v>0</v>
      </c>
      <c r="K1017">
        <v>0</v>
      </c>
      <c r="L1017">
        <v>0</v>
      </c>
      <c r="M1017">
        <v>10</v>
      </c>
      <c r="N1017" t="s">
        <v>26</v>
      </c>
      <c r="O1017" t="s">
        <v>32</v>
      </c>
      <c r="P1017">
        <v>9.7993041554617406</v>
      </c>
      <c r="Q1017">
        <v>1.6350698024280499</v>
      </c>
      <c r="R1017">
        <v>9.9008872646297093</v>
      </c>
      <c r="S1017">
        <v>143</v>
      </c>
      <c r="T1017">
        <v>70</v>
      </c>
      <c r="U1017">
        <v>274.72712787514001</v>
      </c>
      <c r="V1017">
        <v>1.0131712259371799E-2</v>
      </c>
      <c r="W1017">
        <v>614461.19991744298</v>
      </c>
      <c r="X1017" t="s">
        <v>31</v>
      </c>
      <c r="Y1017">
        <f>1-730-721-4382</f>
        <v>-5832</v>
      </c>
    </row>
    <row r="1018" spans="1:25" x14ac:dyDescent="0.35">
      <c r="A1018">
        <v>38.513426453211203</v>
      </c>
      <c r="B1018">
        <v>-119.506233100337</v>
      </c>
      <c r="C1018" t="s">
        <v>29</v>
      </c>
      <c r="D1018">
        <v>9.8657667901816097</v>
      </c>
      <c r="E1018">
        <v>1</v>
      </c>
      <c r="F1018">
        <v>4669</v>
      </c>
      <c r="G1018">
        <v>3</v>
      </c>
      <c r="H1018">
        <v>1</v>
      </c>
      <c r="I1018">
        <v>2005</v>
      </c>
      <c r="J1018">
        <v>0</v>
      </c>
      <c r="K1018">
        <v>0</v>
      </c>
      <c r="L1018">
        <v>0</v>
      </c>
      <c r="M1018">
        <v>5</v>
      </c>
      <c r="N1018" t="s">
        <v>41</v>
      </c>
      <c r="O1018" t="s">
        <v>32</v>
      </c>
      <c r="P1018">
        <v>10.0837100471905</v>
      </c>
      <c r="Q1018">
        <v>1.53342698792057</v>
      </c>
      <c r="R1018">
        <v>1.73403577472652</v>
      </c>
      <c r="S1018">
        <v>58</v>
      </c>
      <c r="T1018">
        <v>42</v>
      </c>
      <c r="U1018">
        <v>279.54013842537501</v>
      </c>
      <c r="V1018">
        <v>1.0708931248661301E-3</v>
      </c>
      <c r="W1018">
        <v>1535621.1186569899</v>
      </c>
      <c r="X1018" t="s">
        <v>38</v>
      </c>
      <c r="Y1018">
        <f>1-746-261-8606</f>
        <v>-9612</v>
      </c>
    </row>
    <row r="1019" spans="1:25" x14ac:dyDescent="0.35">
      <c r="A1019">
        <v>41.274894107623098</v>
      </c>
      <c r="B1019">
        <v>-123.217789380699</v>
      </c>
      <c r="C1019" t="s">
        <v>34</v>
      </c>
      <c r="D1019">
        <v>49.833979128607901</v>
      </c>
      <c r="E1019">
        <v>5</v>
      </c>
      <c r="F1019">
        <v>4689</v>
      </c>
      <c r="G1019">
        <v>3</v>
      </c>
      <c r="H1019">
        <v>1</v>
      </c>
      <c r="I1019">
        <v>2007</v>
      </c>
      <c r="J1019">
        <v>1</v>
      </c>
      <c r="K1019">
        <v>0</v>
      </c>
      <c r="L1019">
        <v>0</v>
      </c>
      <c r="M1019">
        <v>5</v>
      </c>
      <c r="N1019" t="s">
        <v>35</v>
      </c>
      <c r="O1019" t="s">
        <v>32</v>
      </c>
      <c r="P1019">
        <v>5.2558737200226</v>
      </c>
      <c r="Q1019">
        <v>1.2973404597771101</v>
      </c>
      <c r="R1019">
        <v>9.1684605165731998</v>
      </c>
      <c r="S1019">
        <v>144</v>
      </c>
      <c r="T1019">
        <v>55</v>
      </c>
      <c r="U1019">
        <v>776.46274809789497</v>
      </c>
      <c r="V1019">
        <v>1.0663254425250499E-3</v>
      </c>
      <c r="W1019">
        <v>3825836.43589134</v>
      </c>
      <c r="X1019" t="s">
        <v>31</v>
      </c>
      <c r="Y1019">
        <f>1-254-178-2278</f>
        <v>-2709</v>
      </c>
    </row>
    <row r="1020" spans="1:25" x14ac:dyDescent="0.35">
      <c r="A1020">
        <v>33.776935047899002</v>
      </c>
      <c r="B1020">
        <v>-118.970358053881</v>
      </c>
      <c r="C1020" t="s">
        <v>34</v>
      </c>
      <c r="D1020">
        <v>15.4880544668308</v>
      </c>
      <c r="E1020">
        <v>6</v>
      </c>
      <c r="F1020">
        <v>4845</v>
      </c>
      <c r="G1020">
        <v>1</v>
      </c>
      <c r="H1020">
        <v>1</v>
      </c>
      <c r="I1020">
        <v>1972</v>
      </c>
      <c r="J1020">
        <v>0</v>
      </c>
      <c r="K1020">
        <v>0</v>
      </c>
      <c r="L1020">
        <v>1</v>
      </c>
      <c r="M1020">
        <v>10</v>
      </c>
      <c r="N1020" t="s">
        <v>35</v>
      </c>
      <c r="O1020" t="s">
        <v>27</v>
      </c>
      <c r="P1020">
        <v>3.2383870476153001</v>
      </c>
      <c r="Q1020">
        <v>0.88289659018537403</v>
      </c>
      <c r="R1020">
        <v>2.2894406361811299</v>
      </c>
      <c r="S1020">
        <v>102</v>
      </c>
      <c r="T1020">
        <v>69</v>
      </c>
      <c r="U1020">
        <v>817.03844758898799</v>
      </c>
      <c r="V1020">
        <v>2.06398348813209E-3</v>
      </c>
      <c r="W1020">
        <v>3987659.6538013699</v>
      </c>
      <c r="X1020" t="s">
        <v>31</v>
      </c>
      <c r="Y1020">
        <f>1-220-776-2308</f>
        <v>-3303</v>
      </c>
    </row>
    <row r="1021" spans="1:25" x14ac:dyDescent="0.35">
      <c r="A1021">
        <v>39.049183787997997</v>
      </c>
      <c r="B1021">
        <v>-118.619336515144</v>
      </c>
      <c r="C1021" t="s">
        <v>34</v>
      </c>
      <c r="D1021">
        <v>32.6517823494978</v>
      </c>
      <c r="E1021">
        <v>5</v>
      </c>
      <c r="F1021">
        <v>1181</v>
      </c>
      <c r="G1021">
        <v>2</v>
      </c>
      <c r="H1021">
        <v>1</v>
      </c>
      <c r="I1021">
        <v>1956</v>
      </c>
      <c r="J1021">
        <v>0</v>
      </c>
      <c r="K1021">
        <v>1</v>
      </c>
      <c r="L1021">
        <v>1</v>
      </c>
      <c r="M1021">
        <v>8</v>
      </c>
      <c r="N1021" t="s">
        <v>35</v>
      </c>
      <c r="O1021" t="s">
        <v>27</v>
      </c>
      <c r="P1021">
        <v>6.4229444308042503</v>
      </c>
      <c r="Q1021">
        <v>2.4651100371965602</v>
      </c>
      <c r="R1021">
        <v>5.3976502026083404</v>
      </c>
      <c r="S1021">
        <v>164</v>
      </c>
      <c r="T1021">
        <v>58</v>
      </c>
      <c r="U1021">
        <v>346.95771005369102</v>
      </c>
      <c r="V1021">
        <v>6.7739204064352198E-3</v>
      </c>
      <c r="W1021">
        <v>597767.99657215097</v>
      </c>
      <c r="X1021" t="s">
        <v>43</v>
      </c>
      <c r="Y1021">
        <f>1-859-653-3766</f>
        <v>-5277</v>
      </c>
    </row>
    <row r="1022" spans="1:25" x14ac:dyDescent="0.35">
      <c r="A1022">
        <v>36.347550777110698</v>
      </c>
      <c r="B1022">
        <v>-116.694287313148</v>
      </c>
      <c r="C1022" t="s">
        <v>25</v>
      </c>
      <c r="D1022">
        <v>7.0897346545423003</v>
      </c>
      <c r="E1022">
        <v>7</v>
      </c>
      <c r="F1022">
        <v>1009</v>
      </c>
      <c r="G1022">
        <v>1</v>
      </c>
      <c r="H1022">
        <v>1</v>
      </c>
      <c r="I1022">
        <v>1996</v>
      </c>
      <c r="J1022">
        <v>1</v>
      </c>
      <c r="K1022">
        <v>1</v>
      </c>
      <c r="L1022">
        <v>1</v>
      </c>
      <c r="M1022">
        <v>7</v>
      </c>
      <c r="N1022" t="s">
        <v>35</v>
      </c>
      <c r="O1022" t="s">
        <v>27</v>
      </c>
      <c r="P1022">
        <v>13.7563894666121</v>
      </c>
      <c r="Q1022">
        <v>1.18490460590989</v>
      </c>
      <c r="R1022">
        <v>7.4905082954408204</v>
      </c>
      <c r="S1022">
        <v>70</v>
      </c>
      <c r="T1022">
        <v>35</v>
      </c>
      <c r="U1022">
        <v>706.33308403327396</v>
      </c>
      <c r="V1022">
        <v>6.9375619425173403E-3</v>
      </c>
      <c r="W1022">
        <v>1004479.41378673</v>
      </c>
      <c r="X1022" t="s">
        <v>33</v>
      </c>
      <c r="Y1022">
        <f>1-204-288-3344</f>
        <v>-3835</v>
      </c>
    </row>
    <row r="1023" spans="1:25" x14ac:dyDescent="0.35">
      <c r="A1023">
        <v>39.311232433785797</v>
      </c>
      <c r="B1023">
        <v>-122.01469346419699</v>
      </c>
      <c r="C1023" t="s">
        <v>29</v>
      </c>
      <c r="D1023">
        <v>28.8763041036208</v>
      </c>
      <c r="E1023">
        <v>1</v>
      </c>
      <c r="F1023">
        <v>1286</v>
      </c>
      <c r="G1023">
        <v>4</v>
      </c>
      <c r="H1023">
        <v>1</v>
      </c>
      <c r="I1023">
        <v>1975</v>
      </c>
      <c r="J1023">
        <v>1</v>
      </c>
      <c r="K1023">
        <v>0</v>
      </c>
      <c r="L1023">
        <v>0</v>
      </c>
      <c r="M1023">
        <v>8</v>
      </c>
      <c r="N1023" t="s">
        <v>26</v>
      </c>
      <c r="O1023" t="s">
        <v>30</v>
      </c>
      <c r="P1023">
        <v>4.41369201921189</v>
      </c>
      <c r="Q1023">
        <v>1.4001283767070301</v>
      </c>
      <c r="R1023">
        <v>2.7721522585495202</v>
      </c>
      <c r="S1023">
        <v>137</v>
      </c>
      <c r="T1023">
        <v>77</v>
      </c>
      <c r="U1023">
        <v>776.99659502011104</v>
      </c>
      <c r="V1023">
        <v>6.2208398133748004E-3</v>
      </c>
      <c r="W1023">
        <v>1219864.3184466299</v>
      </c>
      <c r="X1023" t="s">
        <v>40</v>
      </c>
      <c r="Y1023">
        <f>1-836-855-6615</f>
        <v>-8305</v>
      </c>
    </row>
    <row r="1024" spans="1:25" x14ac:dyDescent="0.35">
      <c r="A1024">
        <v>40.442471409332803</v>
      </c>
      <c r="B1024">
        <v>-117.05720493852699</v>
      </c>
      <c r="C1024" t="s">
        <v>34</v>
      </c>
      <c r="D1024">
        <v>7.0137146438275</v>
      </c>
      <c r="E1024">
        <v>3</v>
      </c>
      <c r="F1024">
        <v>623</v>
      </c>
      <c r="G1024">
        <v>3</v>
      </c>
      <c r="H1024">
        <v>2</v>
      </c>
      <c r="I1024">
        <v>1964</v>
      </c>
      <c r="J1024">
        <v>1</v>
      </c>
      <c r="K1024">
        <v>1</v>
      </c>
      <c r="L1024">
        <v>1</v>
      </c>
      <c r="M1024">
        <v>7</v>
      </c>
      <c r="N1024" t="s">
        <v>35</v>
      </c>
      <c r="O1024" t="s">
        <v>27</v>
      </c>
      <c r="P1024">
        <v>7.5160701308345699</v>
      </c>
      <c r="Q1024">
        <v>1.6977961807057</v>
      </c>
      <c r="R1024">
        <v>8.9722533392642099</v>
      </c>
      <c r="S1024">
        <v>190</v>
      </c>
      <c r="T1024">
        <v>55</v>
      </c>
      <c r="U1024">
        <v>546.73946456669898</v>
      </c>
      <c r="V1024">
        <v>1.12359550561797E-2</v>
      </c>
      <c r="W1024">
        <v>661761.78501820599</v>
      </c>
      <c r="X1024" t="s">
        <v>36</v>
      </c>
      <c r="Y1024">
        <f>1-714-695-7289</f>
        <v>-8697</v>
      </c>
    </row>
    <row r="1025" spans="1:25" x14ac:dyDescent="0.35">
      <c r="A1025">
        <v>40.307862589975201</v>
      </c>
      <c r="B1025">
        <v>-117.779033925251</v>
      </c>
      <c r="C1025" t="s">
        <v>25</v>
      </c>
      <c r="D1025">
        <v>44.773032480296401</v>
      </c>
      <c r="E1025">
        <v>5</v>
      </c>
      <c r="F1025">
        <v>3059</v>
      </c>
      <c r="G1025">
        <v>2</v>
      </c>
      <c r="H1025">
        <v>2</v>
      </c>
      <c r="I1025">
        <v>2006</v>
      </c>
      <c r="J1025">
        <v>0</v>
      </c>
      <c r="K1025">
        <v>0</v>
      </c>
      <c r="L1025">
        <v>1</v>
      </c>
      <c r="M1025">
        <v>3</v>
      </c>
      <c r="N1025" t="s">
        <v>35</v>
      </c>
      <c r="O1025" t="s">
        <v>27</v>
      </c>
      <c r="P1025">
        <v>12.7391467495668</v>
      </c>
      <c r="Q1025">
        <v>1.8795958110031299</v>
      </c>
      <c r="R1025">
        <v>6.0507313107518703</v>
      </c>
      <c r="S1025">
        <v>49</v>
      </c>
      <c r="T1025">
        <v>38</v>
      </c>
      <c r="U1025">
        <v>893.26292261462504</v>
      </c>
      <c r="V1025">
        <v>9.8071265119319996E-4</v>
      </c>
      <c r="W1025">
        <v>3012438.0262136399</v>
      </c>
      <c r="X1025" t="s">
        <v>28</v>
      </c>
      <c r="Y1025">
        <f>1-713-234-1694</f>
        <v>-2640</v>
      </c>
    </row>
    <row r="1026" spans="1:25" x14ac:dyDescent="0.35">
      <c r="A1026">
        <v>39.764642817543702</v>
      </c>
      <c r="B1026">
        <v>-118.718127168599</v>
      </c>
      <c r="C1026" t="s">
        <v>25</v>
      </c>
      <c r="D1026">
        <v>37.981456655895101</v>
      </c>
      <c r="E1026">
        <v>3</v>
      </c>
      <c r="F1026">
        <v>2872</v>
      </c>
      <c r="G1026">
        <v>1</v>
      </c>
      <c r="H1026">
        <v>3</v>
      </c>
      <c r="I1026">
        <v>1998</v>
      </c>
      <c r="J1026">
        <v>1</v>
      </c>
      <c r="K1026">
        <v>1</v>
      </c>
      <c r="L1026">
        <v>0</v>
      </c>
      <c r="M1026">
        <v>12</v>
      </c>
      <c r="N1026" t="s">
        <v>41</v>
      </c>
      <c r="O1026" t="s">
        <v>32</v>
      </c>
      <c r="P1026">
        <v>14.4178837062778</v>
      </c>
      <c r="Q1026">
        <v>2.0610883686685</v>
      </c>
      <c r="R1026">
        <v>0.41147894901823401</v>
      </c>
      <c r="S1026">
        <v>147</v>
      </c>
      <c r="T1026">
        <v>71</v>
      </c>
      <c r="U1026">
        <v>858.48322024425102</v>
      </c>
      <c r="V1026">
        <v>4.1782729805013904E-3</v>
      </c>
      <c r="W1026">
        <v>2830506.9818732399</v>
      </c>
      <c r="X1026" t="s">
        <v>36</v>
      </c>
      <c r="Y1026">
        <f>1-736-273-5711</f>
        <v>-6719</v>
      </c>
    </row>
    <row r="1027" spans="1:25" x14ac:dyDescent="0.35">
      <c r="A1027">
        <v>39.673922134853299</v>
      </c>
      <c r="B1027">
        <v>-114.527130080885</v>
      </c>
      <c r="C1027" t="s">
        <v>25</v>
      </c>
      <c r="D1027">
        <v>10.3240122548416</v>
      </c>
      <c r="E1027">
        <v>0</v>
      </c>
      <c r="F1027">
        <v>3315</v>
      </c>
      <c r="G1027">
        <v>3</v>
      </c>
      <c r="H1027">
        <v>3</v>
      </c>
      <c r="I1027">
        <v>1965</v>
      </c>
      <c r="J1027">
        <v>1</v>
      </c>
      <c r="K1027">
        <v>1</v>
      </c>
      <c r="L1027">
        <v>1</v>
      </c>
      <c r="M1027">
        <v>2</v>
      </c>
      <c r="N1027" t="s">
        <v>35</v>
      </c>
      <c r="O1027" t="s">
        <v>27</v>
      </c>
      <c r="P1027">
        <v>6.7324214897732402</v>
      </c>
      <c r="Q1027">
        <v>1.2469034081978301</v>
      </c>
      <c r="R1027">
        <v>7.0572829620079096</v>
      </c>
      <c r="S1027">
        <v>92</v>
      </c>
      <c r="T1027">
        <v>73</v>
      </c>
      <c r="U1027">
        <v>813.65086725589595</v>
      </c>
      <c r="V1027">
        <v>6.0331825037707296E-4</v>
      </c>
      <c r="W1027">
        <v>3052417.0708690998</v>
      </c>
      <c r="X1027" t="s">
        <v>31</v>
      </c>
      <c r="Y1027">
        <f>1-921-349-8290</f>
        <v>-9559</v>
      </c>
    </row>
    <row r="1028" spans="1:25" x14ac:dyDescent="0.35">
      <c r="A1028">
        <v>38.441454049433602</v>
      </c>
      <c r="B1028">
        <v>-115.032228949093</v>
      </c>
      <c r="C1028" t="s">
        <v>29</v>
      </c>
      <c r="D1028">
        <v>39.441347614895797</v>
      </c>
      <c r="E1028">
        <v>8</v>
      </c>
      <c r="F1028">
        <v>2027</v>
      </c>
      <c r="G1028">
        <v>5</v>
      </c>
      <c r="H1028">
        <v>3</v>
      </c>
      <c r="I1028">
        <v>1988</v>
      </c>
      <c r="J1028">
        <v>0</v>
      </c>
      <c r="K1028">
        <v>1</v>
      </c>
      <c r="L1028">
        <v>1</v>
      </c>
      <c r="M1028">
        <v>10</v>
      </c>
      <c r="N1028" t="s">
        <v>37</v>
      </c>
      <c r="O1028" t="s">
        <v>27</v>
      </c>
      <c r="P1028">
        <v>8.0496832316852895</v>
      </c>
      <c r="Q1028">
        <v>0.59120922292780198</v>
      </c>
      <c r="R1028">
        <v>1.0543908387906</v>
      </c>
      <c r="S1028">
        <v>163</v>
      </c>
      <c r="T1028">
        <v>47</v>
      </c>
      <c r="U1028">
        <v>266.41701200471999</v>
      </c>
      <c r="V1028">
        <v>4.9333991119881598E-3</v>
      </c>
      <c r="W1028">
        <v>946752.79570685897</v>
      </c>
      <c r="X1028" t="s">
        <v>39</v>
      </c>
      <c r="Y1028">
        <f>1-410-387-8865</f>
        <v>-9661</v>
      </c>
    </row>
    <row r="1029" spans="1:25" x14ac:dyDescent="0.35">
      <c r="A1029">
        <v>35.853911955452297</v>
      </c>
      <c r="B1029">
        <v>-115.699265012246</v>
      </c>
      <c r="C1029" t="s">
        <v>29</v>
      </c>
      <c r="D1029">
        <v>40.138640338852397</v>
      </c>
      <c r="E1029">
        <v>5</v>
      </c>
      <c r="F1029">
        <v>1258</v>
      </c>
      <c r="G1029">
        <v>3</v>
      </c>
      <c r="H1029">
        <v>3</v>
      </c>
      <c r="I1029">
        <v>1955</v>
      </c>
      <c r="J1029">
        <v>1</v>
      </c>
      <c r="K1029">
        <v>0</v>
      </c>
      <c r="L1029">
        <v>0</v>
      </c>
      <c r="M1029">
        <v>12</v>
      </c>
      <c r="N1029" t="s">
        <v>26</v>
      </c>
      <c r="O1029" t="s">
        <v>27</v>
      </c>
      <c r="P1029">
        <v>3.5387594731623202</v>
      </c>
      <c r="Q1029">
        <v>1.2962515894783999</v>
      </c>
      <c r="R1029">
        <v>6.3644378138815396</v>
      </c>
      <c r="S1029">
        <v>134</v>
      </c>
      <c r="T1029">
        <v>63</v>
      </c>
      <c r="U1029">
        <v>856.84993957621703</v>
      </c>
      <c r="V1029">
        <v>9.5389507154212995E-3</v>
      </c>
      <c r="W1029">
        <v>1202013.28495156</v>
      </c>
      <c r="X1029" t="s">
        <v>44</v>
      </c>
      <c r="Y1029">
        <f>1-857-400-2805</f>
        <v>-4061</v>
      </c>
    </row>
    <row r="1030" spans="1:25" x14ac:dyDescent="0.35">
      <c r="A1030">
        <v>37.722754533224098</v>
      </c>
      <c r="B1030">
        <v>-119.951233158854</v>
      </c>
      <c r="C1030" t="s">
        <v>25</v>
      </c>
      <c r="D1030">
        <v>17.5717184349635</v>
      </c>
      <c r="E1030">
        <v>0</v>
      </c>
      <c r="F1030">
        <v>3940</v>
      </c>
      <c r="G1030">
        <v>3</v>
      </c>
      <c r="H1030">
        <v>2</v>
      </c>
      <c r="I1030">
        <v>2010</v>
      </c>
      <c r="J1030">
        <v>1</v>
      </c>
      <c r="K1030">
        <v>1</v>
      </c>
      <c r="L1030">
        <v>0</v>
      </c>
      <c r="M1030">
        <v>14</v>
      </c>
      <c r="N1030" t="s">
        <v>35</v>
      </c>
      <c r="O1030" t="s">
        <v>27</v>
      </c>
      <c r="P1030">
        <v>6.4414597544218299</v>
      </c>
      <c r="Q1030">
        <v>1.40678316281814</v>
      </c>
      <c r="R1030">
        <v>1.0080200776038799</v>
      </c>
      <c r="S1030">
        <v>85</v>
      </c>
      <c r="T1030">
        <v>35</v>
      </c>
      <c r="U1030">
        <v>884.05382033291801</v>
      </c>
      <c r="V1030">
        <v>3.5532994923857799E-3</v>
      </c>
      <c r="W1030">
        <v>3751179.0978641901</v>
      </c>
      <c r="X1030" t="s">
        <v>40</v>
      </c>
      <c r="Y1030">
        <f>1-583-479-8114</f>
        <v>-9175</v>
      </c>
    </row>
    <row r="1031" spans="1:25" x14ac:dyDescent="0.35">
      <c r="A1031">
        <v>32.505264025016402</v>
      </c>
      <c r="B1031">
        <v>-117.359349981063</v>
      </c>
      <c r="C1031" t="s">
        <v>25</v>
      </c>
      <c r="D1031">
        <v>1.4705734858814701</v>
      </c>
      <c r="E1031">
        <v>0</v>
      </c>
      <c r="F1031">
        <v>3086</v>
      </c>
      <c r="G1031">
        <v>2</v>
      </c>
      <c r="H1031">
        <v>1</v>
      </c>
      <c r="I1031">
        <v>2022</v>
      </c>
      <c r="J1031">
        <v>1</v>
      </c>
      <c r="K1031">
        <v>1</v>
      </c>
      <c r="L1031">
        <v>1</v>
      </c>
      <c r="M1031">
        <v>11</v>
      </c>
      <c r="N1031" t="s">
        <v>41</v>
      </c>
      <c r="O1031" t="s">
        <v>32</v>
      </c>
      <c r="P1031">
        <v>5.4783009591492799</v>
      </c>
      <c r="Q1031">
        <v>1.02324871725808</v>
      </c>
      <c r="R1031">
        <v>5.1165684456540701</v>
      </c>
      <c r="S1031">
        <v>60</v>
      </c>
      <c r="T1031">
        <v>27</v>
      </c>
      <c r="U1031">
        <v>469.57820108991501</v>
      </c>
      <c r="V1031">
        <v>3.5644847699287099E-3</v>
      </c>
      <c r="W1031">
        <v>1747918.3081861699</v>
      </c>
      <c r="X1031" t="s">
        <v>43</v>
      </c>
      <c r="Y1031">
        <f>1-309-693-2078</f>
        <v>-3079</v>
      </c>
    </row>
    <row r="1032" spans="1:25" x14ac:dyDescent="0.35">
      <c r="A1032">
        <v>40.311831566980104</v>
      </c>
      <c r="B1032">
        <v>-122.62716410970501</v>
      </c>
      <c r="C1032" t="s">
        <v>29</v>
      </c>
      <c r="D1032">
        <v>29.177926449886201</v>
      </c>
      <c r="E1032">
        <v>1</v>
      </c>
      <c r="F1032">
        <v>1269</v>
      </c>
      <c r="G1032">
        <v>4</v>
      </c>
      <c r="H1032">
        <v>2</v>
      </c>
      <c r="I1032">
        <v>2009</v>
      </c>
      <c r="J1032">
        <v>1</v>
      </c>
      <c r="K1032">
        <v>1</v>
      </c>
      <c r="L1032">
        <v>0</v>
      </c>
      <c r="M1032">
        <v>11</v>
      </c>
      <c r="N1032" t="s">
        <v>41</v>
      </c>
      <c r="O1032" t="s">
        <v>27</v>
      </c>
      <c r="P1032">
        <v>14.4198480149287</v>
      </c>
      <c r="Q1032">
        <v>1.8451340982518301</v>
      </c>
      <c r="R1032">
        <v>7.6708110177728397</v>
      </c>
      <c r="S1032">
        <v>147</v>
      </c>
      <c r="T1032">
        <v>68</v>
      </c>
      <c r="U1032">
        <v>414.970712185455</v>
      </c>
      <c r="V1032">
        <v>8.6682427107958992E-3</v>
      </c>
      <c r="W1032">
        <v>1046815.9430076201</v>
      </c>
      <c r="X1032" t="s">
        <v>28</v>
      </c>
      <c r="Y1032">
        <f>1-256-912-4547</f>
        <v>-5714</v>
      </c>
    </row>
    <row r="1033" spans="1:25" x14ac:dyDescent="0.35">
      <c r="A1033">
        <v>41.893338177801503</v>
      </c>
      <c r="B1033">
        <v>-115.908955619873</v>
      </c>
      <c r="C1033" t="s">
        <v>34</v>
      </c>
      <c r="D1033">
        <v>47.045314207463697</v>
      </c>
      <c r="E1033">
        <v>5</v>
      </c>
      <c r="F1033">
        <v>1132</v>
      </c>
      <c r="G1033">
        <v>2</v>
      </c>
      <c r="H1033">
        <v>1</v>
      </c>
      <c r="I1033">
        <v>1991</v>
      </c>
      <c r="J1033">
        <v>0</v>
      </c>
      <c r="K1033">
        <v>1</v>
      </c>
      <c r="L1033">
        <v>1</v>
      </c>
      <c r="M1033">
        <v>12</v>
      </c>
      <c r="N1033" t="s">
        <v>35</v>
      </c>
      <c r="O1033" t="s">
        <v>30</v>
      </c>
      <c r="P1033">
        <v>8.9654986352539705</v>
      </c>
      <c r="Q1033">
        <v>1.1959451857305301</v>
      </c>
      <c r="R1033">
        <v>4.9964694094948499</v>
      </c>
      <c r="S1033">
        <v>177</v>
      </c>
      <c r="T1033">
        <v>61</v>
      </c>
      <c r="U1033">
        <v>303.19011033884601</v>
      </c>
      <c r="V1033">
        <v>1.06007067137809E-2</v>
      </c>
      <c r="W1033">
        <v>572660.46094685397</v>
      </c>
      <c r="X1033" t="s">
        <v>38</v>
      </c>
      <c r="Y1033">
        <f>1-481-154-3523</f>
        <v>-4157</v>
      </c>
    </row>
    <row r="1034" spans="1:25" x14ac:dyDescent="0.35">
      <c r="A1034">
        <v>38.289872982011197</v>
      </c>
      <c r="B1034">
        <v>-116.68366831978599</v>
      </c>
      <c r="C1034" t="s">
        <v>29</v>
      </c>
      <c r="D1034">
        <v>34.381886141698999</v>
      </c>
      <c r="E1034">
        <v>8</v>
      </c>
      <c r="F1034">
        <v>1603</v>
      </c>
      <c r="G1034">
        <v>1</v>
      </c>
      <c r="H1034">
        <v>1</v>
      </c>
      <c r="I1034">
        <v>1951</v>
      </c>
      <c r="J1034">
        <v>0</v>
      </c>
      <c r="K1034">
        <v>1</v>
      </c>
      <c r="L1034">
        <v>1</v>
      </c>
      <c r="M1034">
        <v>5</v>
      </c>
      <c r="N1034" t="s">
        <v>26</v>
      </c>
      <c r="O1034" t="s">
        <v>30</v>
      </c>
      <c r="P1034">
        <v>6.2188145309688396</v>
      </c>
      <c r="Q1034">
        <v>1.79690985315039</v>
      </c>
      <c r="R1034">
        <v>4.2592864240314103</v>
      </c>
      <c r="S1034">
        <v>33</v>
      </c>
      <c r="T1034">
        <v>23</v>
      </c>
      <c r="U1034">
        <v>948.62948201279596</v>
      </c>
      <c r="V1034">
        <v>3.1191515907673102E-3</v>
      </c>
      <c r="W1034">
        <v>1629718.4616895199</v>
      </c>
      <c r="X1034" t="s">
        <v>44</v>
      </c>
      <c r="Y1034">
        <f>1-940-644-3059</f>
        <v>-4642</v>
      </c>
    </row>
    <row r="1035" spans="1:25" x14ac:dyDescent="0.35">
      <c r="A1035">
        <v>39.192971568173803</v>
      </c>
      <c r="B1035">
        <v>-121.115933908491</v>
      </c>
      <c r="C1035" t="s">
        <v>29</v>
      </c>
      <c r="D1035">
        <v>24.137186547974899</v>
      </c>
      <c r="E1035">
        <v>3</v>
      </c>
      <c r="F1035">
        <v>4206</v>
      </c>
      <c r="G1035">
        <v>1</v>
      </c>
      <c r="H1035">
        <v>3</v>
      </c>
      <c r="I1035">
        <v>1985</v>
      </c>
      <c r="J1035">
        <v>0</v>
      </c>
      <c r="K1035">
        <v>1</v>
      </c>
      <c r="L1035">
        <v>0</v>
      </c>
      <c r="M1035">
        <v>9</v>
      </c>
      <c r="N1035" t="s">
        <v>37</v>
      </c>
      <c r="O1035" t="s">
        <v>27</v>
      </c>
      <c r="P1035">
        <v>11.5485624308018</v>
      </c>
      <c r="Q1035">
        <v>0.91343737569561601</v>
      </c>
      <c r="R1035">
        <v>1.3508089476676199</v>
      </c>
      <c r="S1035">
        <v>55</v>
      </c>
      <c r="T1035">
        <v>22</v>
      </c>
      <c r="U1035">
        <v>360.40165922594502</v>
      </c>
      <c r="V1035">
        <v>2.1398002853067E-3</v>
      </c>
      <c r="W1035">
        <v>1760757.18231989</v>
      </c>
      <c r="X1035" t="s">
        <v>33</v>
      </c>
      <c r="Y1035">
        <f>1-330-145-8765</f>
        <v>-9239</v>
      </c>
    </row>
    <row r="1036" spans="1:25" x14ac:dyDescent="0.35">
      <c r="A1036">
        <v>36.913299308150002</v>
      </c>
      <c r="B1036">
        <v>-115.049928108798</v>
      </c>
      <c r="C1036" t="s">
        <v>29</v>
      </c>
      <c r="D1036">
        <v>39.804103297652198</v>
      </c>
      <c r="E1036">
        <v>5</v>
      </c>
      <c r="F1036">
        <v>1825</v>
      </c>
      <c r="G1036">
        <v>1</v>
      </c>
      <c r="H1036">
        <v>2</v>
      </c>
      <c r="I1036">
        <v>1992</v>
      </c>
      <c r="J1036">
        <v>1</v>
      </c>
      <c r="K1036">
        <v>1</v>
      </c>
      <c r="L1036">
        <v>1</v>
      </c>
      <c r="M1036">
        <v>3</v>
      </c>
      <c r="N1036" t="s">
        <v>37</v>
      </c>
      <c r="O1036" t="s">
        <v>27</v>
      </c>
      <c r="P1036">
        <v>14.868463279239201</v>
      </c>
      <c r="Q1036">
        <v>1.2423308224169101</v>
      </c>
      <c r="R1036">
        <v>9.0930195081287195</v>
      </c>
      <c r="S1036">
        <v>71</v>
      </c>
      <c r="T1036">
        <v>69</v>
      </c>
      <c r="U1036">
        <v>725.01879354829998</v>
      </c>
      <c r="V1036">
        <v>1.64383561643835E-3</v>
      </c>
      <c r="W1036">
        <v>1724922.4594809799</v>
      </c>
      <c r="X1036" t="s">
        <v>39</v>
      </c>
      <c r="Y1036">
        <f>1-961-271-4444</f>
        <v>-5675</v>
      </c>
    </row>
    <row r="1037" spans="1:25" x14ac:dyDescent="0.35">
      <c r="A1037">
        <v>39.990484038815097</v>
      </c>
      <c r="B1037">
        <v>-116.819140071216</v>
      </c>
      <c r="C1037" t="s">
        <v>29</v>
      </c>
      <c r="D1037">
        <v>20.710714673556598</v>
      </c>
      <c r="E1037">
        <v>4</v>
      </c>
      <c r="F1037">
        <v>4541</v>
      </c>
      <c r="G1037">
        <v>3</v>
      </c>
      <c r="H1037">
        <v>2</v>
      </c>
      <c r="I1037">
        <v>1965</v>
      </c>
      <c r="J1037">
        <v>1</v>
      </c>
      <c r="K1037">
        <v>1</v>
      </c>
      <c r="L1037">
        <v>1</v>
      </c>
      <c r="M1037">
        <v>11</v>
      </c>
      <c r="N1037" t="s">
        <v>41</v>
      </c>
      <c r="O1037" t="s">
        <v>27</v>
      </c>
      <c r="P1037">
        <v>7.8108731024369904</v>
      </c>
      <c r="Q1037">
        <v>1.85154929671195</v>
      </c>
      <c r="R1037">
        <v>5.91956143367194</v>
      </c>
      <c r="S1037">
        <v>149</v>
      </c>
      <c r="T1037">
        <v>68</v>
      </c>
      <c r="U1037">
        <v>765.92888842989703</v>
      </c>
      <c r="V1037">
        <v>2.4223739264479099E-3</v>
      </c>
      <c r="W1037">
        <v>3849115.2882499001</v>
      </c>
      <c r="X1037" t="s">
        <v>42</v>
      </c>
      <c r="Y1037">
        <f>1-357-101-8671</f>
        <v>-9128</v>
      </c>
    </row>
    <row r="1038" spans="1:25" x14ac:dyDescent="0.35">
      <c r="A1038">
        <v>41.444396118759201</v>
      </c>
      <c r="B1038">
        <v>-116.191534414557</v>
      </c>
      <c r="C1038" t="s">
        <v>34</v>
      </c>
      <c r="D1038">
        <v>39.862581681066501</v>
      </c>
      <c r="E1038">
        <v>2</v>
      </c>
      <c r="F1038">
        <v>1602</v>
      </c>
      <c r="G1038">
        <v>3</v>
      </c>
      <c r="H1038">
        <v>1</v>
      </c>
      <c r="I1038">
        <v>2015</v>
      </c>
      <c r="J1038">
        <v>0</v>
      </c>
      <c r="K1038">
        <v>1</v>
      </c>
      <c r="L1038">
        <v>0</v>
      </c>
      <c r="M1038">
        <v>2</v>
      </c>
      <c r="N1038" t="s">
        <v>35</v>
      </c>
      <c r="O1038" t="s">
        <v>30</v>
      </c>
      <c r="P1038">
        <v>9.6381806395882794</v>
      </c>
      <c r="Q1038">
        <v>2.4084693918886502</v>
      </c>
      <c r="R1038">
        <v>8.8985464211366896</v>
      </c>
      <c r="S1038">
        <v>119</v>
      </c>
      <c r="T1038">
        <v>43</v>
      </c>
      <c r="U1038">
        <v>645.95315293559997</v>
      </c>
      <c r="V1038">
        <v>1.24843945068664E-3</v>
      </c>
      <c r="W1038">
        <v>1378708.7398643501</v>
      </c>
      <c r="X1038" t="s">
        <v>43</v>
      </c>
      <c r="Y1038">
        <f>1-705-714-3454</f>
        <v>-4872</v>
      </c>
    </row>
    <row r="1039" spans="1:25" x14ac:dyDescent="0.35">
      <c r="A1039">
        <v>33.402025747086199</v>
      </c>
      <c r="B1039">
        <v>-122.745942640292</v>
      </c>
      <c r="C1039" t="s">
        <v>25</v>
      </c>
      <c r="D1039">
        <v>15.4825798275523</v>
      </c>
      <c r="E1039">
        <v>0</v>
      </c>
      <c r="F1039">
        <v>600</v>
      </c>
      <c r="G1039">
        <v>4</v>
      </c>
      <c r="H1039">
        <v>1</v>
      </c>
      <c r="I1039">
        <v>1987</v>
      </c>
      <c r="J1039">
        <v>1</v>
      </c>
      <c r="K1039">
        <v>1</v>
      </c>
      <c r="L1039">
        <v>1</v>
      </c>
      <c r="M1039">
        <v>5</v>
      </c>
      <c r="N1039" t="s">
        <v>41</v>
      </c>
      <c r="O1039" t="s">
        <v>32</v>
      </c>
      <c r="P1039">
        <v>6.61695999066725</v>
      </c>
      <c r="Q1039">
        <v>1.5176618153238099</v>
      </c>
      <c r="R1039">
        <v>3.0697155279820598</v>
      </c>
      <c r="S1039">
        <v>199</v>
      </c>
      <c r="T1039">
        <v>45</v>
      </c>
      <c r="U1039">
        <v>966.61154486988903</v>
      </c>
      <c r="V1039">
        <v>8.3333333333333297E-3</v>
      </c>
      <c r="W1039">
        <v>992514.73940357903</v>
      </c>
      <c r="X1039" t="s">
        <v>33</v>
      </c>
      <c r="Y1039">
        <f>1-772-113-8805</f>
        <v>-9689</v>
      </c>
    </row>
    <row r="1040" spans="1:25" x14ac:dyDescent="0.35">
      <c r="A1040">
        <v>41.612137767372197</v>
      </c>
      <c r="B1040">
        <v>-122.281715011263</v>
      </c>
      <c r="C1040" t="s">
        <v>29</v>
      </c>
      <c r="D1040">
        <v>10.429336666033899</v>
      </c>
      <c r="E1040">
        <v>8</v>
      </c>
      <c r="F1040">
        <v>4548</v>
      </c>
      <c r="G1040">
        <v>5</v>
      </c>
      <c r="H1040">
        <v>1</v>
      </c>
      <c r="I1040">
        <v>1961</v>
      </c>
      <c r="J1040">
        <v>0</v>
      </c>
      <c r="K1040">
        <v>0</v>
      </c>
      <c r="L1040">
        <v>1</v>
      </c>
      <c r="M1040">
        <v>9</v>
      </c>
      <c r="N1040" t="s">
        <v>41</v>
      </c>
      <c r="O1040" t="s">
        <v>27</v>
      </c>
      <c r="P1040">
        <v>14.557100657976299</v>
      </c>
      <c r="Q1040">
        <v>2.2782477581280101</v>
      </c>
      <c r="R1040">
        <v>6.0735943280257398</v>
      </c>
      <c r="S1040">
        <v>188</v>
      </c>
      <c r="T1040">
        <v>63</v>
      </c>
      <c r="U1040">
        <v>239.86692575207101</v>
      </c>
      <c r="V1040">
        <v>1.9788918205804699E-3</v>
      </c>
      <c r="W1040">
        <v>1482653.67452626</v>
      </c>
      <c r="X1040" t="s">
        <v>42</v>
      </c>
      <c r="Y1040">
        <f>1-760-774-6242</f>
        <v>-7775</v>
      </c>
    </row>
    <row r="1041" spans="1:25" x14ac:dyDescent="0.35">
      <c r="A1041">
        <v>38.531206169078402</v>
      </c>
      <c r="B1041">
        <v>-115.680974644391</v>
      </c>
      <c r="C1041" t="s">
        <v>25</v>
      </c>
      <c r="D1041">
        <v>20.577515635662401</v>
      </c>
      <c r="E1041">
        <v>7</v>
      </c>
      <c r="F1041">
        <v>876</v>
      </c>
      <c r="G1041">
        <v>5</v>
      </c>
      <c r="H1041">
        <v>3</v>
      </c>
      <c r="I1041">
        <v>1979</v>
      </c>
      <c r="J1041">
        <v>0</v>
      </c>
      <c r="K1041">
        <v>1</v>
      </c>
      <c r="L1041">
        <v>1</v>
      </c>
      <c r="M1041">
        <v>4</v>
      </c>
      <c r="N1041" t="s">
        <v>37</v>
      </c>
      <c r="O1041" t="s">
        <v>30</v>
      </c>
      <c r="P1041">
        <v>6.4000216054516796</v>
      </c>
      <c r="Q1041">
        <v>0.74544754315973305</v>
      </c>
      <c r="R1041">
        <v>2.9780536493089201E-2</v>
      </c>
      <c r="S1041">
        <v>94</v>
      </c>
      <c r="T1041">
        <v>35</v>
      </c>
      <c r="U1041">
        <v>980.92318575525303</v>
      </c>
      <c r="V1041">
        <v>4.5662100456621002E-3</v>
      </c>
      <c r="W1041">
        <v>1324450.9966143901</v>
      </c>
      <c r="X1041" t="s">
        <v>33</v>
      </c>
      <c r="Y1041">
        <f>1-301-548-8321</f>
        <v>-9169</v>
      </c>
    </row>
    <row r="1042" spans="1:25" x14ac:dyDescent="0.35">
      <c r="A1042">
        <v>32.5824012339123</v>
      </c>
      <c r="B1042">
        <v>-121.19280059574101</v>
      </c>
      <c r="C1042" t="s">
        <v>29</v>
      </c>
      <c r="D1042">
        <v>24.204056127640101</v>
      </c>
      <c r="E1042">
        <v>3</v>
      </c>
      <c r="F1042">
        <v>2866</v>
      </c>
      <c r="G1042">
        <v>5</v>
      </c>
      <c r="H1042">
        <v>2</v>
      </c>
      <c r="I1042">
        <v>2018</v>
      </c>
      <c r="J1042">
        <v>1</v>
      </c>
      <c r="K1042">
        <v>1</v>
      </c>
      <c r="L1042">
        <v>0</v>
      </c>
      <c r="M1042">
        <v>2</v>
      </c>
      <c r="N1042" t="s">
        <v>26</v>
      </c>
      <c r="O1042" t="s">
        <v>30</v>
      </c>
      <c r="P1042">
        <v>8.4638737331309706</v>
      </c>
      <c r="Q1042">
        <v>0.50062990651313</v>
      </c>
      <c r="R1042">
        <v>3.5476677783566499</v>
      </c>
      <c r="S1042">
        <v>1</v>
      </c>
      <c r="T1042">
        <v>52</v>
      </c>
      <c r="U1042">
        <v>575.970819187198</v>
      </c>
      <c r="V1042">
        <v>6.9783670621074599E-4</v>
      </c>
      <c r="W1042">
        <v>2167127.0557599501</v>
      </c>
      <c r="X1042" t="s">
        <v>43</v>
      </c>
      <c r="Y1042">
        <f>1-480-181-7025</f>
        <v>-7685</v>
      </c>
    </row>
    <row r="1043" spans="1:25" x14ac:dyDescent="0.35">
      <c r="A1043">
        <v>35.158122229520004</v>
      </c>
      <c r="B1043">
        <v>-120.271727072434</v>
      </c>
      <c r="C1043" t="s">
        <v>29</v>
      </c>
      <c r="D1043">
        <v>20.963603260935301</v>
      </c>
      <c r="E1043">
        <v>8</v>
      </c>
      <c r="F1043">
        <v>3004</v>
      </c>
      <c r="G1043">
        <v>4</v>
      </c>
      <c r="H1043">
        <v>2</v>
      </c>
      <c r="I1043">
        <v>1977</v>
      </c>
      <c r="J1043">
        <v>1</v>
      </c>
      <c r="K1043">
        <v>0</v>
      </c>
      <c r="L1043">
        <v>1</v>
      </c>
      <c r="M1043">
        <v>6</v>
      </c>
      <c r="N1043" t="s">
        <v>26</v>
      </c>
      <c r="O1043" t="s">
        <v>30</v>
      </c>
      <c r="P1043">
        <v>4.6765932056552302</v>
      </c>
      <c r="Q1043">
        <v>1.6433460153167101</v>
      </c>
      <c r="R1043">
        <v>7.8242488970215298</v>
      </c>
      <c r="S1043">
        <v>41</v>
      </c>
      <c r="T1043">
        <v>33</v>
      </c>
      <c r="U1043">
        <v>793.09097216509895</v>
      </c>
      <c r="V1043">
        <v>1.9973368841544599E-3</v>
      </c>
      <c r="W1043">
        <v>2656970.5128721702</v>
      </c>
      <c r="X1043" t="s">
        <v>33</v>
      </c>
      <c r="Y1043">
        <f>1-383-616-3176</f>
        <v>-4174</v>
      </c>
    </row>
    <row r="1044" spans="1:25" x14ac:dyDescent="0.35">
      <c r="A1044">
        <v>40.945784469390397</v>
      </c>
      <c r="B1044">
        <v>-117.910759639242</v>
      </c>
      <c r="C1044" t="s">
        <v>34</v>
      </c>
      <c r="D1044">
        <v>13.925991142784399</v>
      </c>
      <c r="E1044">
        <v>5</v>
      </c>
      <c r="F1044">
        <v>4045</v>
      </c>
      <c r="G1044">
        <v>3</v>
      </c>
      <c r="H1044">
        <v>3</v>
      </c>
      <c r="I1044">
        <v>2009</v>
      </c>
      <c r="J1044">
        <v>0</v>
      </c>
      <c r="K1044">
        <v>1</v>
      </c>
      <c r="L1044">
        <v>0</v>
      </c>
      <c r="M1044">
        <v>13</v>
      </c>
      <c r="N1044" t="s">
        <v>26</v>
      </c>
      <c r="O1044" t="s">
        <v>27</v>
      </c>
      <c r="P1044">
        <v>10.297182279244399</v>
      </c>
      <c r="Q1044">
        <v>1.7979304659511599</v>
      </c>
      <c r="R1044">
        <v>1.93908378169298</v>
      </c>
      <c r="S1044">
        <v>52</v>
      </c>
      <c r="T1044">
        <v>35</v>
      </c>
      <c r="U1044">
        <v>833.45398077629602</v>
      </c>
      <c r="V1044">
        <v>3.2138442521631601E-3</v>
      </c>
      <c r="W1044">
        <v>3776410.3555054101</v>
      </c>
      <c r="X1044" t="s">
        <v>42</v>
      </c>
      <c r="Y1044">
        <f>1-256-265-2535</f>
        <v>-3055</v>
      </c>
    </row>
    <row r="1045" spans="1:25" x14ac:dyDescent="0.35">
      <c r="A1045">
        <v>40.887023105984298</v>
      </c>
      <c r="B1045">
        <v>-119.19742962491701</v>
      </c>
      <c r="C1045" t="s">
        <v>34</v>
      </c>
      <c r="D1045">
        <v>32.776233151276699</v>
      </c>
      <c r="E1045">
        <v>0</v>
      </c>
      <c r="F1045">
        <v>2381</v>
      </c>
      <c r="G1045">
        <v>3</v>
      </c>
      <c r="H1045">
        <v>1</v>
      </c>
      <c r="I1045">
        <v>1985</v>
      </c>
      <c r="J1045">
        <v>1</v>
      </c>
      <c r="K1045">
        <v>0</v>
      </c>
      <c r="L1045">
        <v>1</v>
      </c>
      <c r="M1045">
        <v>5</v>
      </c>
      <c r="N1045" t="s">
        <v>35</v>
      </c>
      <c r="O1045" t="s">
        <v>30</v>
      </c>
      <c r="P1045">
        <v>9.7197783778725704</v>
      </c>
      <c r="Q1045">
        <v>2.04663732573233</v>
      </c>
      <c r="R1045">
        <v>3.7250819534028001</v>
      </c>
      <c r="S1045">
        <v>155</v>
      </c>
      <c r="T1045">
        <v>21</v>
      </c>
      <c r="U1045">
        <v>745.79159748315794</v>
      </c>
      <c r="V1045">
        <v>2.0999580008399799E-3</v>
      </c>
      <c r="W1045">
        <v>1978986.19546111</v>
      </c>
      <c r="X1045" t="s">
        <v>43</v>
      </c>
      <c r="Y1045">
        <f>1-976-721-6568</f>
        <v>-8264</v>
      </c>
    </row>
    <row r="1046" spans="1:25" x14ac:dyDescent="0.35">
      <c r="A1046">
        <v>39.801495417606802</v>
      </c>
      <c r="B1046">
        <v>-120.201256311035</v>
      </c>
      <c r="C1046" t="s">
        <v>34</v>
      </c>
      <c r="D1046">
        <v>31.838678224875299</v>
      </c>
      <c r="E1046">
        <v>3</v>
      </c>
      <c r="F1046">
        <v>812</v>
      </c>
      <c r="G1046">
        <v>2</v>
      </c>
      <c r="H1046">
        <v>2</v>
      </c>
      <c r="I1046">
        <v>1973</v>
      </c>
      <c r="J1046">
        <v>0</v>
      </c>
      <c r="K1046">
        <v>1</v>
      </c>
      <c r="L1046">
        <v>0</v>
      </c>
      <c r="M1046">
        <v>8</v>
      </c>
      <c r="N1046" t="s">
        <v>37</v>
      </c>
      <c r="O1046" t="s">
        <v>30</v>
      </c>
      <c r="P1046">
        <v>11.5175745527518</v>
      </c>
      <c r="Q1046">
        <v>0.74749471417873503</v>
      </c>
      <c r="R1046">
        <v>2.1809193067249701</v>
      </c>
      <c r="S1046">
        <v>163</v>
      </c>
      <c r="T1046">
        <v>63</v>
      </c>
      <c r="U1046">
        <v>233.57019571038401</v>
      </c>
      <c r="V1046">
        <v>9.8522167487684695E-3</v>
      </c>
      <c r="W1046">
        <v>388875.175666439</v>
      </c>
      <c r="X1046" t="s">
        <v>39</v>
      </c>
      <c r="Y1046">
        <f>1-845-383-9480</f>
        <v>-10707</v>
      </c>
    </row>
    <row r="1047" spans="1:25" x14ac:dyDescent="0.35">
      <c r="A1047">
        <v>32.859008471030002</v>
      </c>
      <c r="B1047">
        <v>-116.21422162891599</v>
      </c>
      <c r="C1047" t="s">
        <v>29</v>
      </c>
      <c r="D1047">
        <v>8.5211314181704196</v>
      </c>
      <c r="E1047">
        <v>8</v>
      </c>
      <c r="F1047">
        <v>4248</v>
      </c>
      <c r="G1047">
        <v>5</v>
      </c>
      <c r="H1047">
        <v>3</v>
      </c>
      <c r="I1047">
        <v>2005</v>
      </c>
      <c r="J1047">
        <v>0</v>
      </c>
      <c r="K1047">
        <v>1</v>
      </c>
      <c r="L1047">
        <v>0</v>
      </c>
      <c r="M1047">
        <v>3</v>
      </c>
      <c r="N1047" t="s">
        <v>35</v>
      </c>
      <c r="O1047" t="s">
        <v>32</v>
      </c>
      <c r="P1047">
        <v>10.390988119316701</v>
      </c>
      <c r="Q1047">
        <v>0.62162981350312796</v>
      </c>
      <c r="R1047">
        <v>8.9885542173700301</v>
      </c>
      <c r="S1047">
        <v>186</v>
      </c>
      <c r="T1047">
        <v>35</v>
      </c>
      <c r="U1047">
        <v>888.87826160156203</v>
      </c>
      <c r="V1047">
        <v>7.0621468926553596E-4</v>
      </c>
      <c r="W1047">
        <v>4207732.7154133404</v>
      </c>
      <c r="X1047" t="s">
        <v>42</v>
      </c>
      <c r="Y1047">
        <f>1-355-227-8983</f>
        <v>-9564</v>
      </c>
    </row>
    <row r="1048" spans="1:25" x14ac:dyDescent="0.35">
      <c r="A1048">
        <v>38.944657136189797</v>
      </c>
      <c r="B1048">
        <v>-117.931017487755</v>
      </c>
      <c r="C1048" t="s">
        <v>29</v>
      </c>
      <c r="D1048">
        <v>48.516226527846001</v>
      </c>
      <c r="E1048">
        <v>0</v>
      </c>
      <c r="F1048">
        <v>1247</v>
      </c>
      <c r="G1048">
        <v>5</v>
      </c>
      <c r="H1048">
        <v>1</v>
      </c>
      <c r="I1048">
        <v>1967</v>
      </c>
      <c r="J1048">
        <v>0</v>
      </c>
      <c r="K1048">
        <v>0</v>
      </c>
      <c r="L1048">
        <v>0</v>
      </c>
      <c r="M1048">
        <v>3</v>
      </c>
      <c r="N1048" t="s">
        <v>37</v>
      </c>
      <c r="O1048" t="s">
        <v>32</v>
      </c>
      <c r="P1048">
        <v>12.774502245923101</v>
      </c>
      <c r="Q1048">
        <v>2.46489881734438</v>
      </c>
      <c r="R1048">
        <v>3.5097164183524101</v>
      </c>
      <c r="S1048">
        <v>56</v>
      </c>
      <c r="T1048">
        <v>75</v>
      </c>
      <c r="U1048">
        <v>986.71774502663197</v>
      </c>
      <c r="V1048">
        <v>2.40577385725741E-3</v>
      </c>
      <c r="W1048">
        <v>1571058.99247025</v>
      </c>
      <c r="X1048" t="s">
        <v>36</v>
      </c>
      <c r="Y1048">
        <f>1-390-820-6084</f>
        <v>-7293</v>
      </c>
    </row>
    <row r="1049" spans="1:25" x14ac:dyDescent="0.35">
      <c r="A1049">
        <v>40.224925434889101</v>
      </c>
      <c r="B1049">
        <v>-116.37518766769701</v>
      </c>
      <c r="C1049" t="s">
        <v>29</v>
      </c>
      <c r="D1049">
        <v>19.279714508644201</v>
      </c>
      <c r="E1049">
        <v>0</v>
      </c>
      <c r="F1049">
        <v>2008</v>
      </c>
      <c r="G1049">
        <v>2</v>
      </c>
      <c r="H1049">
        <v>2</v>
      </c>
      <c r="I1049">
        <v>1970</v>
      </c>
      <c r="J1049">
        <v>1</v>
      </c>
      <c r="K1049">
        <v>0</v>
      </c>
      <c r="L1049">
        <v>0</v>
      </c>
      <c r="M1049">
        <v>3</v>
      </c>
      <c r="N1049" t="s">
        <v>35</v>
      </c>
      <c r="O1049" t="s">
        <v>27</v>
      </c>
      <c r="P1049">
        <v>5.1521398966326801</v>
      </c>
      <c r="Q1049">
        <v>1.5154174135451599</v>
      </c>
      <c r="R1049">
        <v>2.8122823812167899</v>
      </c>
      <c r="S1049">
        <v>154</v>
      </c>
      <c r="T1049">
        <v>63</v>
      </c>
      <c r="U1049">
        <v>334.75357820066603</v>
      </c>
      <c r="V1049">
        <v>1.4940239043824701E-3</v>
      </c>
      <c r="W1049">
        <v>856049.68006546097</v>
      </c>
      <c r="X1049" t="s">
        <v>36</v>
      </c>
      <c r="Y1049">
        <f>1-724-746-2281</f>
        <v>-3750</v>
      </c>
    </row>
    <row r="1050" spans="1:25" x14ac:dyDescent="0.35">
      <c r="A1050">
        <v>33.7074600295675</v>
      </c>
      <c r="B1050">
        <v>-119.05399885081</v>
      </c>
      <c r="C1050" t="s">
        <v>34</v>
      </c>
      <c r="D1050">
        <v>17.6254265207229</v>
      </c>
      <c r="E1050">
        <v>6</v>
      </c>
      <c r="F1050">
        <v>4593</v>
      </c>
      <c r="G1050">
        <v>1</v>
      </c>
      <c r="H1050">
        <v>3</v>
      </c>
      <c r="I1050">
        <v>1998</v>
      </c>
      <c r="J1050">
        <v>0</v>
      </c>
      <c r="K1050">
        <v>0</v>
      </c>
      <c r="L1050">
        <v>1</v>
      </c>
      <c r="M1050">
        <v>11</v>
      </c>
      <c r="N1050" t="s">
        <v>35</v>
      </c>
      <c r="O1050" t="s">
        <v>27</v>
      </c>
      <c r="P1050">
        <v>8.3442255989960099</v>
      </c>
      <c r="Q1050">
        <v>1.14909188899623</v>
      </c>
      <c r="R1050">
        <v>5.0511749358583904</v>
      </c>
      <c r="S1050">
        <v>2</v>
      </c>
      <c r="T1050">
        <v>73</v>
      </c>
      <c r="U1050">
        <v>696.06379200105505</v>
      </c>
      <c r="V1050">
        <v>2.3949488351839702E-3</v>
      </c>
      <c r="W1050">
        <v>3383108.3837443902</v>
      </c>
      <c r="X1050" t="s">
        <v>28</v>
      </c>
      <c r="Y1050">
        <f>1-926-593-2581</f>
        <v>-4099</v>
      </c>
    </row>
    <row r="1051" spans="1:25" x14ac:dyDescent="0.35">
      <c r="A1051">
        <v>34.251250268455003</v>
      </c>
      <c r="B1051">
        <v>-123.489874156822</v>
      </c>
      <c r="C1051" t="s">
        <v>34</v>
      </c>
      <c r="D1051">
        <v>48.085535049839002</v>
      </c>
      <c r="E1051">
        <v>0</v>
      </c>
      <c r="F1051">
        <v>4917</v>
      </c>
      <c r="G1051">
        <v>2</v>
      </c>
      <c r="H1051">
        <v>2</v>
      </c>
      <c r="I1051">
        <v>1968</v>
      </c>
      <c r="J1051">
        <v>0</v>
      </c>
      <c r="K1051">
        <v>0</v>
      </c>
      <c r="L1051">
        <v>0</v>
      </c>
      <c r="M1051">
        <v>4</v>
      </c>
      <c r="N1051" t="s">
        <v>26</v>
      </c>
      <c r="O1051" t="s">
        <v>32</v>
      </c>
      <c r="P1051">
        <v>11.3134196636959</v>
      </c>
      <c r="Q1051">
        <v>1.1967652518195999</v>
      </c>
      <c r="R1051">
        <v>2.4591244292369998</v>
      </c>
      <c r="S1051">
        <v>113</v>
      </c>
      <c r="T1051">
        <v>26</v>
      </c>
      <c r="U1051">
        <v>605.20042276233301</v>
      </c>
      <c r="V1051">
        <v>8.1350416920886702E-4</v>
      </c>
      <c r="W1051">
        <v>3134537.19283826</v>
      </c>
      <c r="X1051" t="s">
        <v>28</v>
      </c>
      <c r="Y1051">
        <f>1-996-649-8938</f>
        <v>-10582</v>
      </c>
    </row>
    <row r="1052" spans="1:25" x14ac:dyDescent="0.35">
      <c r="A1052">
        <v>37.224637438776497</v>
      </c>
      <c r="B1052">
        <v>-121.74628034441299</v>
      </c>
      <c r="C1052" t="s">
        <v>34</v>
      </c>
      <c r="D1052">
        <v>40.395569780875</v>
      </c>
      <c r="E1052">
        <v>5</v>
      </c>
      <c r="F1052">
        <v>776</v>
      </c>
      <c r="G1052">
        <v>5</v>
      </c>
      <c r="H1052">
        <v>1</v>
      </c>
      <c r="I1052">
        <v>2021</v>
      </c>
      <c r="J1052">
        <v>1</v>
      </c>
      <c r="K1052">
        <v>0</v>
      </c>
      <c r="L1052">
        <v>1</v>
      </c>
      <c r="M1052">
        <v>11</v>
      </c>
      <c r="N1052" t="s">
        <v>26</v>
      </c>
      <c r="O1052" t="s">
        <v>30</v>
      </c>
      <c r="P1052">
        <v>11.2814325258637</v>
      </c>
      <c r="Q1052">
        <v>1.59840548181113</v>
      </c>
      <c r="R1052">
        <v>6.34671148317255</v>
      </c>
      <c r="S1052">
        <v>23</v>
      </c>
      <c r="T1052">
        <v>34</v>
      </c>
      <c r="U1052">
        <v>921.68986509619594</v>
      </c>
      <c r="V1052">
        <v>1.41752577319587E-2</v>
      </c>
      <c r="W1052">
        <v>1117432.43574906</v>
      </c>
      <c r="X1052" t="s">
        <v>43</v>
      </c>
      <c r="Y1052">
        <f>1-697-529-9892</f>
        <v>-11117</v>
      </c>
    </row>
    <row r="1053" spans="1:25" x14ac:dyDescent="0.35">
      <c r="A1053">
        <v>40.800316911998898</v>
      </c>
      <c r="B1053">
        <v>-124.434399392712</v>
      </c>
      <c r="C1053" t="s">
        <v>34</v>
      </c>
      <c r="D1053">
        <v>20.641508405507999</v>
      </c>
      <c r="E1053">
        <v>7</v>
      </c>
      <c r="F1053">
        <v>3720</v>
      </c>
      <c r="G1053">
        <v>2</v>
      </c>
      <c r="H1053">
        <v>1</v>
      </c>
      <c r="I1053">
        <v>2015</v>
      </c>
      <c r="J1053">
        <v>1</v>
      </c>
      <c r="K1053">
        <v>0</v>
      </c>
      <c r="L1053">
        <v>1</v>
      </c>
      <c r="M1053">
        <v>4</v>
      </c>
      <c r="N1053" t="s">
        <v>26</v>
      </c>
      <c r="O1053" t="s">
        <v>30</v>
      </c>
      <c r="P1053">
        <v>6.2372181107147897</v>
      </c>
      <c r="Q1053">
        <v>1.89622141893547</v>
      </c>
      <c r="R1053">
        <v>0.99026328510537798</v>
      </c>
      <c r="S1053">
        <v>49</v>
      </c>
      <c r="T1053">
        <v>69</v>
      </c>
      <c r="U1053">
        <v>889.69691415894795</v>
      </c>
      <c r="V1053">
        <v>1.0752688172043E-3</v>
      </c>
      <c r="W1053">
        <v>3552242.9554731799</v>
      </c>
      <c r="X1053" t="s">
        <v>43</v>
      </c>
      <c r="Y1053">
        <f>1-877-474-7771</f>
        <v>-9121</v>
      </c>
    </row>
    <row r="1054" spans="1:25" x14ac:dyDescent="0.35">
      <c r="A1054">
        <v>32.908098727973403</v>
      </c>
      <c r="B1054">
        <v>-118.277851571515</v>
      </c>
      <c r="C1054" t="s">
        <v>29</v>
      </c>
      <c r="D1054">
        <v>10.519378502202301</v>
      </c>
      <c r="E1054">
        <v>8</v>
      </c>
      <c r="F1054">
        <v>4187</v>
      </c>
      <c r="G1054">
        <v>2</v>
      </c>
      <c r="H1054">
        <v>2</v>
      </c>
      <c r="I1054">
        <v>1987</v>
      </c>
      <c r="J1054">
        <v>0</v>
      </c>
      <c r="K1054">
        <v>0</v>
      </c>
      <c r="L1054">
        <v>0</v>
      </c>
      <c r="M1054">
        <v>11</v>
      </c>
      <c r="N1054" t="s">
        <v>41</v>
      </c>
      <c r="O1054" t="s">
        <v>32</v>
      </c>
      <c r="P1054">
        <v>13.586581006164201</v>
      </c>
      <c r="Q1054">
        <v>0.668484879205266</v>
      </c>
      <c r="R1054">
        <v>7.98735403057497</v>
      </c>
      <c r="S1054">
        <v>113</v>
      </c>
      <c r="T1054">
        <v>22</v>
      </c>
      <c r="U1054">
        <v>755.824502161292</v>
      </c>
      <c r="V1054">
        <v>2.6271793647002599E-3</v>
      </c>
      <c r="W1054">
        <v>3404611.1238009199</v>
      </c>
      <c r="X1054" t="s">
        <v>44</v>
      </c>
      <c r="Y1054">
        <f>1-237-101-3877</f>
        <v>-4214</v>
      </c>
    </row>
    <row r="1055" spans="1:25" x14ac:dyDescent="0.35">
      <c r="A1055">
        <v>41.460834062822997</v>
      </c>
      <c r="B1055">
        <v>-123.424603713816</v>
      </c>
      <c r="C1055" t="s">
        <v>34</v>
      </c>
      <c r="D1055">
        <v>16.9451044368375</v>
      </c>
      <c r="E1055">
        <v>9</v>
      </c>
      <c r="F1055">
        <v>1795</v>
      </c>
      <c r="G1055">
        <v>2</v>
      </c>
      <c r="H1055">
        <v>3</v>
      </c>
      <c r="I1055">
        <v>2008</v>
      </c>
      <c r="J1055">
        <v>0</v>
      </c>
      <c r="K1055">
        <v>0</v>
      </c>
      <c r="L1055">
        <v>1</v>
      </c>
      <c r="M1055">
        <v>11</v>
      </c>
      <c r="N1055" t="s">
        <v>41</v>
      </c>
      <c r="O1055" t="s">
        <v>32</v>
      </c>
      <c r="P1055">
        <v>10.2589634287037</v>
      </c>
      <c r="Q1055">
        <v>1.3539401725423901</v>
      </c>
      <c r="R1055">
        <v>8.7292257632344903</v>
      </c>
      <c r="S1055">
        <v>15</v>
      </c>
      <c r="T1055">
        <v>52</v>
      </c>
      <c r="U1055">
        <v>853.38154582925404</v>
      </c>
      <c r="V1055">
        <v>6.1281337047353699E-3</v>
      </c>
      <c r="W1055">
        <v>1790747.6365478199</v>
      </c>
      <c r="X1055" t="s">
        <v>28</v>
      </c>
      <c r="Y1055">
        <f>1-641-222-3390</f>
        <v>-4252</v>
      </c>
    </row>
    <row r="1056" spans="1:25" x14ac:dyDescent="0.35">
      <c r="A1056">
        <v>36.242415812482903</v>
      </c>
      <c r="B1056">
        <v>-118.76801002265699</v>
      </c>
      <c r="C1056" t="s">
        <v>29</v>
      </c>
      <c r="D1056">
        <v>9.4725938056171799</v>
      </c>
      <c r="E1056">
        <v>4</v>
      </c>
      <c r="F1056">
        <v>3581</v>
      </c>
      <c r="G1056">
        <v>3</v>
      </c>
      <c r="H1056">
        <v>3</v>
      </c>
      <c r="I1056">
        <v>1971</v>
      </c>
      <c r="J1056">
        <v>0</v>
      </c>
      <c r="K1056">
        <v>0</v>
      </c>
      <c r="L1056">
        <v>0</v>
      </c>
      <c r="M1056">
        <v>8</v>
      </c>
      <c r="N1056" t="s">
        <v>41</v>
      </c>
      <c r="O1056" t="s">
        <v>32</v>
      </c>
      <c r="P1056">
        <v>11.0754608465584</v>
      </c>
      <c r="Q1056">
        <v>1.6415004928402399</v>
      </c>
      <c r="R1056">
        <v>1.69780696993174</v>
      </c>
      <c r="S1056">
        <v>10</v>
      </c>
      <c r="T1056">
        <v>48</v>
      </c>
      <c r="U1056">
        <v>374.56519027268598</v>
      </c>
      <c r="V1056">
        <v>2.2340128455738601E-3</v>
      </c>
      <c r="W1056">
        <v>1593649.0375287901</v>
      </c>
      <c r="X1056" t="s">
        <v>40</v>
      </c>
      <c r="Y1056">
        <f>1-385-157-2886</f>
        <v>-3427</v>
      </c>
    </row>
    <row r="1057" spans="1:25" x14ac:dyDescent="0.35">
      <c r="A1057">
        <v>35.807526182236899</v>
      </c>
      <c r="B1057">
        <v>-114.54986731043699</v>
      </c>
      <c r="C1057" t="s">
        <v>25</v>
      </c>
      <c r="D1057">
        <v>17.174254500658499</v>
      </c>
      <c r="E1057">
        <v>7</v>
      </c>
      <c r="F1057">
        <v>695</v>
      </c>
      <c r="G1057">
        <v>2</v>
      </c>
      <c r="H1057">
        <v>1</v>
      </c>
      <c r="I1057">
        <v>1993</v>
      </c>
      <c r="J1057">
        <v>1</v>
      </c>
      <c r="K1057">
        <v>1</v>
      </c>
      <c r="L1057">
        <v>0</v>
      </c>
      <c r="M1057">
        <v>12</v>
      </c>
      <c r="N1057" t="s">
        <v>37</v>
      </c>
      <c r="O1057" t="s">
        <v>32</v>
      </c>
      <c r="P1057">
        <v>12.261768465640101</v>
      </c>
      <c r="Q1057">
        <v>0.91025444699279101</v>
      </c>
      <c r="R1057">
        <v>0.104589161198768</v>
      </c>
      <c r="S1057">
        <v>159</v>
      </c>
      <c r="T1057">
        <v>47</v>
      </c>
      <c r="U1057">
        <v>965.42623610416695</v>
      </c>
      <c r="V1057">
        <v>1.7266187050359701E-2</v>
      </c>
      <c r="W1057">
        <v>1054688.3231031899</v>
      </c>
      <c r="X1057" t="s">
        <v>28</v>
      </c>
      <c r="Y1057">
        <f>1-258-888-8476</f>
        <v>-9621</v>
      </c>
    </row>
    <row r="1058" spans="1:25" x14ac:dyDescent="0.35">
      <c r="A1058">
        <v>33.625426968517402</v>
      </c>
      <c r="B1058">
        <v>-115.664742209</v>
      </c>
      <c r="C1058" t="s">
        <v>29</v>
      </c>
      <c r="D1058">
        <v>12.837901578965701</v>
      </c>
      <c r="E1058">
        <v>7</v>
      </c>
      <c r="F1058">
        <v>2510</v>
      </c>
      <c r="G1058">
        <v>1</v>
      </c>
      <c r="H1058">
        <v>2</v>
      </c>
      <c r="I1058">
        <v>2007</v>
      </c>
      <c r="J1058">
        <v>1</v>
      </c>
      <c r="K1058">
        <v>1</v>
      </c>
      <c r="L1058">
        <v>1</v>
      </c>
      <c r="M1058">
        <v>9</v>
      </c>
      <c r="N1058" t="s">
        <v>41</v>
      </c>
      <c r="O1058" t="s">
        <v>27</v>
      </c>
      <c r="P1058">
        <v>9.6804197928905609</v>
      </c>
      <c r="Q1058">
        <v>1.26710204662224</v>
      </c>
      <c r="R1058">
        <v>8.10594406195513</v>
      </c>
      <c r="S1058">
        <v>95</v>
      </c>
      <c r="T1058">
        <v>25</v>
      </c>
      <c r="U1058">
        <v>294.19487189794802</v>
      </c>
      <c r="V1058">
        <v>3.5856573705179201E-3</v>
      </c>
      <c r="W1058">
        <v>1019339.0159337</v>
      </c>
      <c r="X1058" t="s">
        <v>44</v>
      </c>
      <c r="Y1058">
        <f>1-423-291-8356</f>
        <v>-9069</v>
      </c>
    </row>
    <row r="1059" spans="1:25" x14ac:dyDescent="0.35">
      <c r="A1059">
        <v>36.8827604517707</v>
      </c>
      <c r="B1059">
        <v>-114.120126045894</v>
      </c>
      <c r="C1059" t="s">
        <v>25</v>
      </c>
      <c r="D1059">
        <v>47.5882303194889</v>
      </c>
      <c r="E1059">
        <v>1</v>
      </c>
      <c r="F1059">
        <v>3785</v>
      </c>
      <c r="G1059">
        <v>2</v>
      </c>
      <c r="H1059">
        <v>3</v>
      </c>
      <c r="I1059">
        <v>1958</v>
      </c>
      <c r="J1059">
        <v>0</v>
      </c>
      <c r="K1059">
        <v>0</v>
      </c>
      <c r="L1059">
        <v>1</v>
      </c>
      <c r="M1059">
        <v>4</v>
      </c>
      <c r="N1059" t="s">
        <v>35</v>
      </c>
      <c r="O1059" t="s">
        <v>27</v>
      </c>
      <c r="P1059">
        <v>4.7846365286411396</v>
      </c>
      <c r="Q1059">
        <v>1.95178074061812</v>
      </c>
      <c r="R1059">
        <v>5.2081852287609101</v>
      </c>
      <c r="S1059">
        <v>184</v>
      </c>
      <c r="T1059">
        <v>38</v>
      </c>
      <c r="U1059">
        <v>826.47901126904605</v>
      </c>
      <c r="V1059">
        <v>1.0568031704095099E-3</v>
      </c>
      <c r="W1059">
        <v>3149696.6186211901</v>
      </c>
      <c r="X1059" t="s">
        <v>44</v>
      </c>
      <c r="Y1059">
        <f>1-420-556-9683</f>
        <v>-10658</v>
      </c>
    </row>
    <row r="1060" spans="1:25" x14ac:dyDescent="0.35">
      <c r="A1060">
        <v>37.249352648052501</v>
      </c>
      <c r="B1060">
        <v>-117.657660365636</v>
      </c>
      <c r="C1060" t="s">
        <v>29</v>
      </c>
      <c r="D1060">
        <v>22.7982311488996</v>
      </c>
      <c r="E1060">
        <v>4</v>
      </c>
      <c r="F1060">
        <v>606</v>
      </c>
      <c r="G1060">
        <v>4</v>
      </c>
      <c r="H1060">
        <v>2</v>
      </c>
      <c r="I1060">
        <v>1991</v>
      </c>
      <c r="J1060">
        <v>1</v>
      </c>
      <c r="K1060">
        <v>0</v>
      </c>
      <c r="L1060">
        <v>1</v>
      </c>
      <c r="M1060">
        <v>9</v>
      </c>
      <c r="N1060" t="s">
        <v>37</v>
      </c>
      <c r="O1060" t="s">
        <v>27</v>
      </c>
      <c r="P1060">
        <v>12.7699059234315</v>
      </c>
      <c r="Q1060">
        <v>1.2571600042095299</v>
      </c>
      <c r="R1060">
        <v>0.69805581532966399</v>
      </c>
      <c r="S1060">
        <v>2</v>
      </c>
      <c r="T1060">
        <v>24</v>
      </c>
      <c r="U1060">
        <v>899.04307541716003</v>
      </c>
      <c r="V1060">
        <v>1.48514851485148E-2</v>
      </c>
      <c r="W1060">
        <v>1055372.77952551</v>
      </c>
      <c r="X1060" t="s">
        <v>38</v>
      </c>
      <c r="Y1060">
        <f>1-320-307-5470</f>
        <v>-6096</v>
      </c>
    </row>
    <row r="1061" spans="1:25" x14ac:dyDescent="0.35">
      <c r="A1061">
        <v>36.522977695784299</v>
      </c>
      <c r="B1061">
        <v>-114.044346429615</v>
      </c>
      <c r="C1061" t="s">
        <v>29</v>
      </c>
      <c r="D1061">
        <v>10.315371993430601</v>
      </c>
      <c r="E1061">
        <v>8</v>
      </c>
      <c r="F1061">
        <v>2747</v>
      </c>
      <c r="G1061">
        <v>5</v>
      </c>
      <c r="H1061">
        <v>2</v>
      </c>
      <c r="I1061">
        <v>2020</v>
      </c>
      <c r="J1061">
        <v>1</v>
      </c>
      <c r="K1061">
        <v>0</v>
      </c>
      <c r="L1061">
        <v>0</v>
      </c>
      <c r="M1061">
        <v>8</v>
      </c>
      <c r="N1061" t="s">
        <v>37</v>
      </c>
      <c r="O1061" t="s">
        <v>30</v>
      </c>
      <c r="P1061">
        <v>2.5635580789121502</v>
      </c>
      <c r="Q1061">
        <v>1.4868632364532099</v>
      </c>
      <c r="R1061">
        <v>3.83818455689274</v>
      </c>
      <c r="S1061">
        <v>24</v>
      </c>
      <c r="T1061">
        <v>65</v>
      </c>
      <c r="U1061">
        <v>611.35374304987602</v>
      </c>
      <c r="V1061">
        <v>2.91226792864943E-3</v>
      </c>
      <c r="W1061">
        <v>2023842.95738119</v>
      </c>
      <c r="X1061" t="s">
        <v>39</v>
      </c>
      <c r="Y1061">
        <f>1-486-567-6405</f>
        <v>-7457</v>
      </c>
    </row>
    <row r="1062" spans="1:25" x14ac:dyDescent="0.35">
      <c r="A1062">
        <v>33.403627569999699</v>
      </c>
      <c r="B1062">
        <v>-115.289734866047</v>
      </c>
      <c r="C1062" t="s">
        <v>34</v>
      </c>
      <c r="D1062">
        <v>7.1315725550855698</v>
      </c>
      <c r="E1062">
        <v>3</v>
      </c>
      <c r="F1062">
        <v>1777</v>
      </c>
      <c r="G1062">
        <v>5</v>
      </c>
      <c r="H1062">
        <v>1</v>
      </c>
      <c r="I1062">
        <v>1959</v>
      </c>
      <c r="J1062">
        <v>1</v>
      </c>
      <c r="K1062">
        <v>1</v>
      </c>
      <c r="L1062">
        <v>0</v>
      </c>
      <c r="M1062">
        <v>12</v>
      </c>
      <c r="N1062" t="s">
        <v>41</v>
      </c>
      <c r="O1062" t="s">
        <v>32</v>
      </c>
      <c r="P1062">
        <v>9.0461420674944701</v>
      </c>
      <c r="Q1062">
        <v>1.9468503880235399</v>
      </c>
      <c r="R1062">
        <v>5.9998462268360999</v>
      </c>
      <c r="S1062">
        <v>133</v>
      </c>
      <c r="T1062">
        <v>21</v>
      </c>
      <c r="U1062">
        <v>372.00236190295402</v>
      </c>
      <c r="V1062">
        <v>6.7529544175576797E-3</v>
      </c>
      <c r="W1062">
        <v>1002198.07975929</v>
      </c>
      <c r="X1062" t="s">
        <v>40</v>
      </c>
      <c r="Y1062">
        <f>1-802-593-7999</f>
        <v>-9393</v>
      </c>
    </row>
    <row r="1063" spans="1:25" x14ac:dyDescent="0.35">
      <c r="A1063">
        <v>38.0112235008393</v>
      </c>
      <c r="B1063">
        <v>-116.11500425218399</v>
      </c>
      <c r="C1063" t="s">
        <v>29</v>
      </c>
      <c r="D1063">
        <v>20.023583631081699</v>
      </c>
      <c r="E1063">
        <v>2</v>
      </c>
      <c r="F1063">
        <v>1116</v>
      </c>
      <c r="G1063">
        <v>1</v>
      </c>
      <c r="H1063">
        <v>2</v>
      </c>
      <c r="I1063">
        <v>1978</v>
      </c>
      <c r="J1063">
        <v>1</v>
      </c>
      <c r="K1063">
        <v>1</v>
      </c>
      <c r="L1063">
        <v>1</v>
      </c>
      <c r="M1063">
        <v>2</v>
      </c>
      <c r="N1063" t="s">
        <v>41</v>
      </c>
      <c r="O1063" t="s">
        <v>32</v>
      </c>
      <c r="P1063">
        <v>13.396388649688699</v>
      </c>
      <c r="Q1063">
        <v>1.4553095225193</v>
      </c>
      <c r="R1063">
        <v>8.8739959899411396</v>
      </c>
      <c r="S1063">
        <v>4</v>
      </c>
      <c r="T1063">
        <v>67</v>
      </c>
      <c r="U1063">
        <v>229.890201835369</v>
      </c>
      <c r="V1063">
        <v>1.7921146953405001E-3</v>
      </c>
      <c r="W1063">
        <v>529248.25824926503</v>
      </c>
      <c r="X1063" t="s">
        <v>43</v>
      </c>
      <c r="Y1063">
        <f>1-571-898-1105</f>
        <v>-2573</v>
      </c>
    </row>
    <row r="1064" spans="1:25" x14ac:dyDescent="0.35">
      <c r="A1064">
        <v>38.9533188929449</v>
      </c>
      <c r="B1064">
        <v>-114.39496620403099</v>
      </c>
      <c r="C1064" t="s">
        <v>34</v>
      </c>
      <c r="D1064">
        <v>26.529744181068001</v>
      </c>
      <c r="E1064">
        <v>8</v>
      </c>
      <c r="F1064">
        <v>2588</v>
      </c>
      <c r="G1064">
        <v>1</v>
      </c>
      <c r="H1064">
        <v>3</v>
      </c>
      <c r="I1064">
        <v>1966</v>
      </c>
      <c r="J1064">
        <v>0</v>
      </c>
      <c r="K1064">
        <v>1</v>
      </c>
      <c r="L1064">
        <v>1</v>
      </c>
      <c r="M1064">
        <v>5</v>
      </c>
      <c r="N1064" t="s">
        <v>35</v>
      </c>
      <c r="O1064" t="s">
        <v>27</v>
      </c>
      <c r="P1064">
        <v>3.4036366563754199</v>
      </c>
      <c r="Q1064">
        <v>2.2834332598458902</v>
      </c>
      <c r="R1064">
        <v>0.80676570892876998</v>
      </c>
      <c r="S1064">
        <v>143</v>
      </c>
      <c r="T1064">
        <v>77</v>
      </c>
      <c r="U1064">
        <v>376.43093094504599</v>
      </c>
      <c r="V1064">
        <v>1.9319938176197799E-3</v>
      </c>
      <c r="W1064">
        <v>1143271.7380744</v>
      </c>
      <c r="X1064" t="s">
        <v>40</v>
      </c>
      <c r="Y1064">
        <f>1-209-561-3173</f>
        <v>-3942</v>
      </c>
    </row>
    <row r="1065" spans="1:25" x14ac:dyDescent="0.35">
      <c r="A1065">
        <v>36.293146586433799</v>
      </c>
      <c r="B1065">
        <v>-117.766790833568</v>
      </c>
      <c r="C1065" t="s">
        <v>29</v>
      </c>
      <c r="D1065">
        <v>3.1732448761469101</v>
      </c>
      <c r="E1065">
        <v>6</v>
      </c>
      <c r="F1065">
        <v>3273</v>
      </c>
      <c r="G1065">
        <v>2</v>
      </c>
      <c r="H1065">
        <v>3</v>
      </c>
      <c r="I1065">
        <v>1969</v>
      </c>
      <c r="J1065">
        <v>1</v>
      </c>
      <c r="K1065">
        <v>0</v>
      </c>
      <c r="L1065">
        <v>0</v>
      </c>
      <c r="M1065">
        <v>6</v>
      </c>
      <c r="N1065" t="s">
        <v>26</v>
      </c>
      <c r="O1065" t="s">
        <v>30</v>
      </c>
      <c r="P1065">
        <v>5.9896467041825803</v>
      </c>
      <c r="Q1065">
        <v>0.69746236715042398</v>
      </c>
      <c r="R1065">
        <v>2.2419922328391801</v>
      </c>
      <c r="S1065">
        <v>147</v>
      </c>
      <c r="T1065">
        <v>40</v>
      </c>
      <c r="U1065">
        <v>977.05093593850302</v>
      </c>
      <c r="V1065">
        <v>1.8331805682859699E-3</v>
      </c>
      <c r="W1065">
        <v>3417594.1918639201</v>
      </c>
      <c r="X1065" t="s">
        <v>28</v>
      </c>
      <c r="Y1065">
        <f>1-304-389-6611</f>
        <v>-7303</v>
      </c>
    </row>
    <row r="1066" spans="1:25" x14ac:dyDescent="0.35">
      <c r="A1066">
        <v>37.4200922397482</v>
      </c>
      <c r="B1066">
        <v>-117.606593970809</v>
      </c>
      <c r="C1066" t="s">
        <v>34</v>
      </c>
      <c r="D1066">
        <v>46.726010377684503</v>
      </c>
      <c r="E1066">
        <v>3</v>
      </c>
      <c r="F1066">
        <v>2110</v>
      </c>
      <c r="G1066">
        <v>4</v>
      </c>
      <c r="H1066">
        <v>2</v>
      </c>
      <c r="I1066">
        <v>1960</v>
      </c>
      <c r="J1066">
        <v>1</v>
      </c>
      <c r="K1066">
        <v>1</v>
      </c>
      <c r="L1066">
        <v>1</v>
      </c>
      <c r="M1066">
        <v>9</v>
      </c>
      <c r="N1066" t="s">
        <v>41</v>
      </c>
      <c r="O1066" t="s">
        <v>27</v>
      </c>
      <c r="P1066">
        <v>4.5840027151019997</v>
      </c>
      <c r="Q1066">
        <v>1.85034936380098</v>
      </c>
      <c r="R1066">
        <v>8.7870289512068709</v>
      </c>
      <c r="S1066">
        <v>133</v>
      </c>
      <c r="T1066">
        <v>47</v>
      </c>
      <c r="U1066">
        <v>939.48064207987795</v>
      </c>
      <c r="V1066">
        <v>4.2654028436018903E-3</v>
      </c>
      <c r="W1066">
        <v>2416954.5271137198</v>
      </c>
      <c r="X1066" t="s">
        <v>36</v>
      </c>
      <c r="Y1066">
        <f>1-923-598-5567</f>
        <v>-7087</v>
      </c>
    </row>
    <row r="1067" spans="1:25" x14ac:dyDescent="0.35">
      <c r="A1067">
        <v>38.947220844778997</v>
      </c>
      <c r="B1067">
        <v>-120.916512560874</v>
      </c>
      <c r="C1067" t="s">
        <v>34</v>
      </c>
      <c r="D1067">
        <v>44.205855605481197</v>
      </c>
      <c r="E1067">
        <v>7</v>
      </c>
      <c r="F1067">
        <v>3582</v>
      </c>
      <c r="G1067">
        <v>4</v>
      </c>
      <c r="H1067">
        <v>1</v>
      </c>
      <c r="I1067">
        <v>1990</v>
      </c>
      <c r="J1067">
        <v>0</v>
      </c>
      <c r="K1067">
        <v>0</v>
      </c>
      <c r="L1067">
        <v>1</v>
      </c>
      <c r="M1067">
        <v>4</v>
      </c>
      <c r="N1067" t="s">
        <v>37</v>
      </c>
      <c r="O1067" t="s">
        <v>27</v>
      </c>
      <c r="P1067">
        <v>2.9943088299023399</v>
      </c>
      <c r="Q1067">
        <v>0.68716758487392404</v>
      </c>
      <c r="R1067">
        <v>2.2089694743838799</v>
      </c>
      <c r="S1067">
        <v>180</v>
      </c>
      <c r="T1067">
        <v>67</v>
      </c>
      <c r="U1067">
        <v>535.89649360332305</v>
      </c>
      <c r="V1067">
        <v>1.1166945840312601E-3</v>
      </c>
      <c r="W1067">
        <v>2082751.7257386399</v>
      </c>
      <c r="X1067" t="s">
        <v>44</v>
      </c>
      <c r="Y1067">
        <f>1-206-400-9292</f>
        <v>-9897</v>
      </c>
    </row>
    <row r="1068" spans="1:25" x14ac:dyDescent="0.35">
      <c r="A1068">
        <v>36.315306047860403</v>
      </c>
      <c r="B1068">
        <v>-119.124652997103</v>
      </c>
      <c r="C1068" t="s">
        <v>29</v>
      </c>
      <c r="D1068">
        <v>44.901495850028198</v>
      </c>
      <c r="E1068">
        <v>7</v>
      </c>
      <c r="F1068">
        <v>1069</v>
      </c>
      <c r="G1068">
        <v>3</v>
      </c>
      <c r="H1068">
        <v>1</v>
      </c>
      <c r="I1068">
        <v>2013</v>
      </c>
      <c r="J1068">
        <v>1</v>
      </c>
      <c r="K1068">
        <v>1</v>
      </c>
      <c r="L1068">
        <v>0</v>
      </c>
      <c r="M1068">
        <v>6</v>
      </c>
      <c r="N1068" t="s">
        <v>37</v>
      </c>
      <c r="O1068" t="s">
        <v>32</v>
      </c>
      <c r="P1068">
        <v>12.1386750608564</v>
      </c>
      <c r="Q1068">
        <v>2.0581560307214199</v>
      </c>
      <c r="R1068">
        <v>3.5737880600828502</v>
      </c>
      <c r="S1068">
        <v>50</v>
      </c>
      <c r="T1068">
        <v>55</v>
      </c>
      <c r="U1068">
        <v>846.09702754907698</v>
      </c>
      <c r="V1068">
        <v>5.6127221702525704E-3</v>
      </c>
      <c r="W1068">
        <v>1283901.8655703899</v>
      </c>
      <c r="X1068" t="s">
        <v>36</v>
      </c>
      <c r="Y1068">
        <f>1-410-406-4846</f>
        <v>-5661</v>
      </c>
    </row>
    <row r="1069" spans="1:25" x14ac:dyDescent="0.35">
      <c r="A1069">
        <v>35.6130335004637</v>
      </c>
      <c r="B1069">
        <v>-114.839218781971</v>
      </c>
      <c r="C1069" t="s">
        <v>25</v>
      </c>
      <c r="D1069">
        <v>42.238540160563801</v>
      </c>
      <c r="E1069">
        <v>5</v>
      </c>
      <c r="F1069">
        <v>2803</v>
      </c>
      <c r="G1069">
        <v>1</v>
      </c>
      <c r="H1069">
        <v>2</v>
      </c>
      <c r="I1069">
        <v>1982</v>
      </c>
      <c r="J1069">
        <v>0</v>
      </c>
      <c r="K1069">
        <v>1</v>
      </c>
      <c r="L1069">
        <v>1</v>
      </c>
      <c r="M1069">
        <v>6</v>
      </c>
      <c r="N1069" t="s">
        <v>35</v>
      </c>
      <c r="O1069" t="s">
        <v>27</v>
      </c>
      <c r="P1069">
        <v>4.0613696127982903</v>
      </c>
      <c r="Q1069">
        <v>1.31080915444696</v>
      </c>
      <c r="R1069">
        <v>8.4102833950429208</v>
      </c>
      <c r="S1069">
        <v>38</v>
      </c>
      <c r="T1069">
        <v>36</v>
      </c>
      <c r="U1069">
        <v>437.40344580275399</v>
      </c>
      <c r="V1069">
        <v>2.14056368176953E-3</v>
      </c>
      <c r="W1069">
        <v>1369542.1950425601</v>
      </c>
      <c r="X1069" t="s">
        <v>38</v>
      </c>
      <c r="Y1069">
        <f>1-608-931-4689</f>
        <v>-6227</v>
      </c>
    </row>
    <row r="1070" spans="1:25" x14ac:dyDescent="0.35">
      <c r="A1070">
        <v>36.343184064552801</v>
      </c>
      <c r="B1070">
        <v>-114.181893074539</v>
      </c>
      <c r="C1070" t="s">
        <v>25</v>
      </c>
      <c r="D1070">
        <v>34.698141172771997</v>
      </c>
      <c r="E1070">
        <v>5</v>
      </c>
      <c r="F1070">
        <v>3187</v>
      </c>
      <c r="G1070">
        <v>2</v>
      </c>
      <c r="H1070">
        <v>2</v>
      </c>
      <c r="I1070">
        <v>2007</v>
      </c>
      <c r="J1070">
        <v>0</v>
      </c>
      <c r="K1070">
        <v>1</v>
      </c>
      <c r="L1070">
        <v>1</v>
      </c>
      <c r="M1070">
        <v>14</v>
      </c>
      <c r="N1070" t="s">
        <v>35</v>
      </c>
      <c r="O1070" t="s">
        <v>27</v>
      </c>
      <c r="P1070">
        <v>2.6582363283002799</v>
      </c>
      <c r="Q1070">
        <v>0.59689469142290297</v>
      </c>
      <c r="R1070">
        <v>1.58574049101459</v>
      </c>
      <c r="S1070">
        <v>121</v>
      </c>
      <c r="T1070">
        <v>56</v>
      </c>
      <c r="U1070">
        <v>816.82092171411796</v>
      </c>
      <c r="V1070">
        <v>4.3928459366175E-3</v>
      </c>
      <c r="W1070">
        <v>2869521.9978623302</v>
      </c>
      <c r="X1070" t="s">
        <v>43</v>
      </c>
      <c r="Y1070">
        <f>1-474-112-6404</f>
        <v>-6989</v>
      </c>
    </row>
    <row r="1071" spans="1:25" x14ac:dyDescent="0.35">
      <c r="A1071">
        <v>38.864109158825897</v>
      </c>
      <c r="B1071">
        <v>-114.570230328595</v>
      </c>
      <c r="C1071" t="s">
        <v>25</v>
      </c>
      <c r="D1071">
        <v>32.791126283311101</v>
      </c>
      <c r="E1071">
        <v>7</v>
      </c>
      <c r="F1071">
        <v>2927</v>
      </c>
      <c r="G1071">
        <v>5</v>
      </c>
      <c r="H1071">
        <v>1</v>
      </c>
      <c r="I1071">
        <v>2004</v>
      </c>
      <c r="J1071">
        <v>1</v>
      </c>
      <c r="K1071">
        <v>0</v>
      </c>
      <c r="L1071">
        <v>1</v>
      </c>
      <c r="M1071">
        <v>13</v>
      </c>
      <c r="N1071" t="s">
        <v>26</v>
      </c>
      <c r="O1071" t="s">
        <v>30</v>
      </c>
      <c r="P1071">
        <v>7.1590639089550896</v>
      </c>
      <c r="Q1071">
        <v>2.1039103903168899</v>
      </c>
      <c r="R1071">
        <v>2.6851331074499001</v>
      </c>
      <c r="S1071">
        <v>80</v>
      </c>
      <c r="T1071">
        <v>69</v>
      </c>
      <c r="U1071">
        <v>531.77532846879501</v>
      </c>
      <c r="V1071">
        <v>4.44140758455756E-3</v>
      </c>
      <c r="W1071">
        <v>1870686.4853683</v>
      </c>
      <c r="X1071" t="s">
        <v>43</v>
      </c>
      <c r="Y1071">
        <f>1-486-441-8676</f>
        <v>-9602</v>
      </c>
    </row>
    <row r="1072" spans="1:25" x14ac:dyDescent="0.35">
      <c r="A1072">
        <v>39.1006259426876</v>
      </c>
      <c r="B1072">
        <v>-121.061573743758</v>
      </c>
      <c r="C1072" t="s">
        <v>25</v>
      </c>
      <c r="D1072">
        <v>37.178440898134497</v>
      </c>
      <c r="E1072">
        <v>3</v>
      </c>
      <c r="F1072">
        <v>4322</v>
      </c>
      <c r="G1072">
        <v>1</v>
      </c>
      <c r="H1072">
        <v>1</v>
      </c>
      <c r="I1072">
        <v>1983</v>
      </c>
      <c r="J1072">
        <v>1</v>
      </c>
      <c r="K1072">
        <v>0</v>
      </c>
      <c r="L1072">
        <v>0</v>
      </c>
      <c r="M1072">
        <v>13</v>
      </c>
      <c r="N1072" t="s">
        <v>41</v>
      </c>
      <c r="O1072" t="s">
        <v>30</v>
      </c>
      <c r="P1072">
        <v>11.442749734767499</v>
      </c>
      <c r="Q1072">
        <v>1.89998997484387</v>
      </c>
      <c r="R1072">
        <v>9.8342166311150692</v>
      </c>
      <c r="S1072">
        <v>153</v>
      </c>
      <c r="T1072">
        <v>54</v>
      </c>
      <c r="U1072">
        <v>592.92294884134503</v>
      </c>
      <c r="V1072">
        <v>3.0078667283664901E-3</v>
      </c>
      <c r="W1072">
        <v>2706686.07663255</v>
      </c>
      <c r="X1072" t="s">
        <v>43</v>
      </c>
      <c r="Y1072">
        <f>1-481-799-3550</f>
        <v>-4829</v>
      </c>
    </row>
    <row r="1073" spans="1:25" x14ac:dyDescent="0.35">
      <c r="A1073">
        <v>41.838686825587899</v>
      </c>
      <c r="B1073">
        <v>-122.666007056865</v>
      </c>
      <c r="C1073" t="s">
        <v>29</v>
      </c>
      <c r="D1073">
        <v>14.1824699759469</v>
      </c>
      <c r="E1073">
        <v>9</v>
      </c>
      <c r="F1073">
        <v>4931</v>
      </c>
      <c r="G1073">
        <v>1</v>
      </c>
      <c r="H1073">
        <v>1</v>
      </c>
      <c r="I1073">
        <v>2011</v>
      </c>
      <c r="J1073">
        <v>0</v>
      </c>
      <c r="K1073">
        <v>1</v>
      </c>
      <c r="L1073">
        <v>1</v>
      </c>
      <c r="M1073">
        <v>9</v>
      </c>
      <c r="N1073" t="s">
        <v>37</v>
      </c>
      <c r="O1073" t="s">
        <v>32</v>
      </c>
      <c r="P1073">
        <v>8.4016260868175099</v>
      </c>
      <c r="Q1073">
        <v>1.85665074581431</v>
      </c>
      <c r="R1073">
        <v>4.0971087297177897</v>
      </c>
      <c r="S1073">
        <v>99</v>
      </c>
      <c r="T1073">
        <v>75</v>
      </c>
      <c r="U1073">
        <v>694.73456243825296</v>
      </c>
      <c r="V1073">
        <v>1.82518758872439E-3</v>
      </c>
      <c r="W1073">
        <v>3624810.52774039</v>
      </c>
      <c r="X1073" t="s">
        <v>28</v>
      </c>
      <c r="Y1073">
        <f>1-490-696-9373</f>
        <v>-10558</v>
      </c>
    </row>
    <row r="1074" spans="1:25" x14ac:dyDescent="0.35">
      <c r="A1074">
        <v>34.790456528005301</v>
      </c>
      <c r="B1074">
        <v>-123.750806223868</v>
      </c>
      <c r="C1074" t="s">
        <v>34</v>
      </c>
      <c r="D1074">
        <v>25.6915317848431</v>
      </c>
      <c r="E1074">
        <v>6</v>
      </c>
      <c r="F1074">
        <v>4885</v>
      </c>
      <c r="G1074">
        <v>5</v>
      </c>
      <c r="H1074">
        <v>2</v>
      </c>
      <c r="I1074">
        <v>2001</v>
      </c>
      <c r="J1074">
        <v>1</v>
      </c>
      <c r="K1074">
        <v>1</v>
      </c>
      <c r="L1074">
        <v>0</v>
      </c>
      <c r="M1074">
        <v>8</v>
      </c>
      <c r="N1074" t="s">
        <v>26</v>
      </c>
      <c r="O1074" t="s">
        <v>32</v>
      </c>
      <c r="P1074">
        <v>9.32594673957386</v>
      </c>
      <c r="Q1074">
        <v>0.56950234280215295</v>
      </c>
      <c r="R1074">
        <v>5.82452323149111</v>
      </c>
      <c r="S1074">
        <v>100</v>
      </c>
      <c r="T1074">
        <v>46</v>
      </c>
      <c r="U1074">
        <v>287.71105515377297</v>
      </c>
      <c r="V1074">
        <v>1.63766632548618E-3</v>
      </c>
      <c r="W1074">
        <v>1877713.6084215499</v>
      </c>
      <c r="X1074" t="s">
        <v>40</v>
      </c>
      <c r="Y1074">
        <f>1-399-763-8555</f>
        <v>-9716</v>
      </c>
    </row>
    <row r="1075" spans="1:25" x14ac:dyDescent="0.35">
      <c r="A1075">
        <v>39.329203418142399</v>
      </c>
      <c r="B1075">
        <v>-119.01527169712099</v>
      </c>
      <c r="C1075" t="s">
        <v>34</v>
      </c>
      <c r="D1075">
        <v>43.428856616701601</v>
      </c>
      <c r="E1075">
        <v>2</v>
      </c>
      <c r="F1075">
        <v>926</v>
      </c>
      <c r="G1075">
        <v>5</v>
      </c>
      <c r="H1075">
        <v>2</v>
      </c>
      <c r="I1075">
        <v>1968</v>
      </c>
      <c r="J1075">
        <v>0</v>
      </c>
      <c r="K1075">
        <v>0</v>
      </c>
      <c r="L1075">
        <v>1</v>
      </c>
      <c r="M1075">
        <v>3</v>
      </c>
      <c r="N1075" t="s">
        <v>41</v>
      </c>
      <c r="O1075" t="s">
        <v>27</v>
      </c>
      <c r="P1075">
        <v>7.9614794698480598</v>
      </c>
      <c r="Q1075">
        <v>1.1335684702761599</v>
      </c>
      <c r="R1075">
        <v>0.97091074208861805</v>
      </c>
      <c r="S1075">
        <v>66</v>
      </c>
      <c r="T1075">
        <v>68</v>
      </c>
      <c r="U1075">
        <v>333.58218094162402</v>
      </c>
      <c r="V1075">
        <v>3.2397408207343399E-3</v>
      </c>
      <c r="W1075">
        <v>583694.22449518705</v>
      </c>
      <c r="X1075" t="s">
        <v>33</v>
      </c>
      <c r="Y1075">
        <f>1-207-958-4120</f>
        <v>-5284</v>
      </c>
    </row>
    <row r="1076" spans="1:25" x14ac:dyDescent="0.35">
      <c r="A1076">
        <v>39.065676094729902</v>
      </c>
      <c r="B1076">
        <v>-121.630417765533</v>
      </c>
      <c r="C1076" t="s">
        <v>34</v>
      </c>
      <c r="D1076">
        <v>30.871178184170802</v>
      </c>
      <c r="E1076">
        <v>1</v>
      </c>
      <c r="F1076">
        <v>2145</v>
      </c>
      <c r="G1076">
        <v>1</v>
      </c>
      <c r="H1076">
        <v>3</v>
      </c>
      <c r="I1076">
        <v>2002</v>
      </c>
      <c r="J1076">
        <v>0</v>
      </c>
      <c r="K1076">
        <v>1</v>
      </c>
      <c r="L1076">
        <v>1</v>
      </c>
      <c r="M1076">
        <v>6</v>
      </c>
      <c r="N1076" t="s">
        <v>26</v>
      </c>
      <c r="O1076" t="s">
        <v>30</v>
      </c>
      <c r="P1076">
        <v>2.9370829796142499</v>
      </c>
      <c r="Q1076">
        <v>1.1260815128139201</v>
      </c>
      <c r="R1076">
        <v>4.4374864170018</v>
      </c>
      <c r="S1076">
        <v>104</v>
      </c>
      <c r="T1076">
        <v>71</v>
      </c>
      <c r="U1076">
        <v>484.33985164018799</v>
      </c>
      <c r="V1076">
        <v>2.7972027972027898E-3</v>
      </c>
      <c r="W1076">
        <v>1296137.6923342701</v>
      </c>
      <c r="X1076" t="s">
        <v>33</v>
      </c>
      <c r="Y1076">
        <f>1-667-356-1819</f>
        <v>-2841</v>
      </c>
    </row>
    <row r="1077" spans="1:25" x14ac:dyDescent="0.35">
      <c r="A1077">
        <v>37.870406846719099</v>
      </c>
      <c r="B1077">
        <v>-117.77218022117199</v>
      </c>
      <c r="C1077" t="s">
        <v>25</v>
      </c>
      <c r="D1077">
        <v>20.141753671376801</v>
      </c>
      <c r="E1077">
        <v>6</v>
      </c>
      <c r="F1077">
        <v>3638</v>
      </c>
      <c r="G1077">
        <v>3</v>
      </c>
      <c r="H1077">
        <v>1</v>
      </c>
      <c r="I1077">
        <v>2000</v>
      </c>
      <c r="J1077">
        <v>0</v>
      </c>
      <c r="K1077">
        <v>1</v>
      </c>
      <c r="L1077">
        <v>1</v>
      </c>
      <c r="M1077">
        <v>11</v>
      </c>
      <c r="N1077" t="s">
        <v>37</v>
      </c>
      <c r="O1077" t="s">
        <v>32</v>
      </c>
      <c r="P1077">
        <v>6.7880212022906798</v>
      </c>
      <c r="Q1077">
        <v>2.3516904288777698</v>
      </c>
      <c r="R1077">
        <v>0.17744928574221699</v>
      </c>
      <c r="S1077">
        <v>188</v>
      </c>
      <c r="T1077">
        <v>59</v>
      </c>
      <c r="U1077">
        <v>986.22968617995002</v>
      </c>
      <c r="V1077">
        <v>3.0236393622869698E-3</v>
      </c>
      <c r="W1077">
        <v>3917241.1806501499</v>
      </c>
      <c r="X1077" t="s">
        <v>39</v>
      </c>
      <c r="Y1077">
        <f>1-864-569-2113</f>
        <v>-3545</v>
      </c>
    </row>
    <row r="1078" spans="1:25" x14ac:dyDescent="0.35">
      <c r="A1078">
        <v>41.427027601400901</v>
      </c>
      <c r="B1078">
        <v>-123.484147672216</v>
      </c>
      <c r="C1078" t="s">
        <v>25</v>
      </c>
      <c r="D1078">
        <v>9.5634344309463408</v>
      </c>
      <c r="E1078">
        <v>8</v>
      </c>
      <c r="F1078">
        <v>1520</v>
      </c>
      <c r="G1078">
        <v>4</v>
      </c>
      <c r="H1078">
        <v>2</v>
      </c>
      <c r="I1078">
        <v>2008</v>
      </c>
      <c r="J1078">
        <v>1</v>
      </c>
      <c r="K1078">
        <v>1</v>
      </c>
      <c r="L1078">
        <v>1</v>
      </c>
      <c r="M1078">
        <v>13</v>
      </c>
      <c r="N1078" t="s">
        <v>41</v>
      </c>
      <c r="O1078" t="s">
        <v>30</v>
      </c>
      <c r="P1078">
        <v>7.6347820486804503</v>
      </c>
      <c r="Q1078">
        <v>1.3329570244994899</v>
      </c>
      <c r="R1078">
        <v>3.3660369829337999</v>
      </c>
      <c r="S1078">
        <v>0</v>
      </c>
      <c r="T1078">
        <v>56</v>
      </c>
      <c r="U1078">
        <v>792.99388991075205</v>
      </c>
      <c r="V1078">
        <v>8.5526315789473603E-3</v>
      </c>
      <c r="W1078">
        <v>1668654.3846332601</v>
      </c>
      <c r="X1078" t="s">
        <v>31</v>
      </c>
      <c r="Y1078">
        <f>1-843-377-4353</f>
        <v>-5572</v>
      </c>
    </row>
    <row r="1079" spans="1:25" x14ac:dyDescent="0.35">
      <c r="A1079">
        <v>39.944892249082002</v>
      </c>
      <c r="B1079">
        <v>-119.05380298449199</v>
      </c>
      <c r="C1079" t="s">
        <v>25</v>
      </c>
      <c r="D1079">
        <v>28.4688024657219</v>
      </c>
      <c r="E1079">
        <v>1</v>
      </c>
      <c r="F1079">
        <v>3891</v>
      </c>
      <c r="G1079">
        <v>3</v>
      </c>
      <c r="H1079">
        <v>2</v>
      </c>
      <c r="I1079">
        <v>1982</v>
      </c>
      <c r="J1079">
        <v>1</v>
      </c>
      <c r="K1079">
        <v>0</v>
      </c>
      <c r="L1079">
        <v>0</v>
      </c>
      <c r="M1079">
        <v>11</v>
      </c>
      <c r="N1079" t="s">
        <v>37</v>
      </c>
      <c r="O1079" t="s">
        <v>32</v>
      </c>
      <c r="P1079">
        <v>12.2879260985715</v>
      </c>
      <c r="Q1079">
        <v>1.30356767860492</v>
      </c>
      <c r="R1079">
        <v>6.5614561075225897</v>
      </c>
      <c r="S1079">
        <v>48</v>
      </c>
      <c r="T1079">
        <v>51</v>
      </c>
      <c r="U1079">
        <v>543.72314463934401</v>
      </c>
      <c r="V1079">
        <v>2.82703675147776E-3</v>
      </c>
      <c r="W1079">
        <v>2442046.1464498201</v>
      </c>
      <c r="X1079" t="s">
        <v>42</v>
      </c>
      <c r="Y1079">
        <f>1-989-496-9929</f>
        <v>-11413</v>
      </c>
    </row>
    <row r="1080" spans="1:25" x14ac:dyDescent="0.35">
      <c r="A1080">
        <v>36.2635028493237</v>
      </c>
      <c r="B1080">
        <v>-118.966580264838</v>
      </c>
      <c r="C1080" t="s">
        <v>34</v>
      </c>
      <c r="D1080">
        <v>22.6707037245903</v>
      </c>
      <c r="E1080">
        <v>7</v>
      </c>
      <c r="F1080">
        <v>4895</v>
      </c>
      <c r="G1080">
        <v>3</v>
      </c>
      <c r="H1080">
        <v>1</v>
      </c>
      <c r="I1080">
        <v>1991</v>
      </c>
      <c r="J1080">
        <v>0</v>
      </c>
      <c r="K1080">
        <v>0</v>
      </c>
      <c r="L1080">
        <v>1</v>
      </c>
      <c r="M1080">
        <v>2</v>
      </c>
      <c r="N1080" t="s">
        <v>26</v>
      </c>
      <c r="O1080" t="s">
        <v>32</v>
      </c>
      <c r="P1080">
        <v>10.2633304924979</v>
      </c>
      <c r="Q1080">
        <v>0.65903679297905904</v>
      </c>
      <c r="R1080">
        <v>6.6333739813365504</v>
      </c>
      <c r="S1080">
        <v>197</v>
      </c>
      <c r="T1080">
        <v>74</v>
      </c>
      <c r="U1080">
        <v>593.74783721877395</v>
      </c>
      <c r="V1080">
        <v>4.0858018386108198E-4</v>
      </c>
      <c r="W1080">
        <v>3020591.16025502</v>
      </c>
      <c r="X1080" t="s">
        <v>39</v>
      </c>
      <c r="Y1080">
        <f>1-792-394-1645</f>
        <v>-2830</v>
      </c>
    </row>
    <row r="1081" spans="1:25" x14ac:dyDescent="0.35">
      <c r="A1081">
        <v>32.951408392645703</v>
      </c>
      <c r="B1081">
        <v>-121.736060651789</v>
      </c>
      <c r="C1081" t="s">
        <v>29</v>
      </c>
      <c r="D1081">
        <v>1.9381351642645901</v>
      </c>
      <c r="E1081">
        <v>7</v>
      </c>
      <c r="F1081">
        <v>2525</v>
      </c>
      <c r="G1081">
        <v>2</v>
      </c>
      <c r="H1081">
        <v>3</v>
      </c>
      <c r="I1081">
        <v>1955</v>
      </c>
      <c r="J1081">
        <v>1</v>
      </c>
      <c r="K1081">
        <v>0</v>
      </c>
      <c r="L1081">
        <v>0</v>
      </c>
      <c r="M1081">
        <v>7</v>
      </c>
      <c r="N1081" t="s">
        <v>41</v>
      </c>
      <c r="O1081" t="s">
        <v>30</v>
      </c>
      <c r="P1081">
        <v>9.2286473939605909</v>
      </c>
      <c r="Q1081">
        <v>2.3374796726788301</v>
      </c>
      <c r="R1081">
        <v>3.0340932364895798</v>
      </c>
      <c r="S1081">
        <v>52</v>
      </c>
      <c r="T1081">
        <v>27</v>
      </c>
      <c r="U1081">
        <v>797.94908353687697</v>
      </c>
      <c r="V1081">
        <v>2.77227722772277E-3</v>
      </c>
      <c r="W1081">
        <v>2250121.2976948102</v>
      </c>
      <c r="X1081" t="s">
        <v>28</v>
      </c>
      <c r="Y1081">
        <f>1-355-581-1702</f>
        <v>-2637</v>
      </c>
    </row>
    <row r="1082" spans="1:25" x14ac:dyDescent="0.35">
      <c r="A1082">
        <v>35.328020222528501</v>
      </c>
      <c r="B1082">
        <v>-117.310819474898</v>
      </c>
      <c r="C1082" t="s">
        <v>29</v>
      </c>
      <c r="D1082">
        <v>48.0046609712888</v>
      </c>
      <c r="E1082">
        <v>7</v>
      </c>
      <c r="F1082">
        <v>1585</v>
      </c>
      <c r="G1082">
        <v>3</v>
      </c>
      <c r="H1082">
        <v>1</v>
      </c>
      <c r="I1082">
        <v>1967</v>
      </c>
      <c r="J1082">
        <v>1</v>
      </c>
      <c r="K1082">
        <v>0</v>
      </c>
      <c r="L1082">
        <v>0</v>
      </c>
      <c r="M1082">
        <v>7</v>
      </c>
      <c r="N1082" t="s">
        <v>41</v>
      </c>
      <c r="O1082" t="s">
        <v>27</v>
      </c>
      <c r="P1082">
        <v>6.2610658119749498</v>
      </c>
      <c r="Q1082">
        <v>2.0595248060486</v>
      </c>
      <c r="R1082">
        <v>9.9052610404567094</v>
      </c>
      <c r="S1082">
        <v>13</v>
      </c>
      <c r="T1082">
        <v>56</v>
      </c>
      <c r="U1082">
        <v>565.66083062042901</v>
      </c>
      <c r="V1082">
        <v>4.4164037854889501E-3</v>
      </c>
      <c r="W1082">
        <v>1012946.67525185</v>
      </c>
      <c r="X1082" t="s">
        <v>28</v>
      </c>
      <c r="Y1082">
        <f>1-824-927-2299</f>
        <v>-4049</v>
      </c>
    </row>
    <row r="1083" spans="1:25" x14ac:dyDescent="0.35">
      <c r="A1083">
        <v>40.5279050571406</v>
      </c>
      <c r="B1083">
        <v>-119.63784648019499</v>
      </c>
      <c r="C1083" t="s">
        <v>29</v>
      </c>
      <c r="D1083">
        <v>37.784211266203002</v>
      </c>
      <c r="E1083">
        <v>4</v>
      </c>
      <c r="F1083">
        <v>3490</v>
      </c>
      <c r="G1083">
        <v>4</v>
      </c>
      <c r="H1083">
        <v>3</v>
      </c>
      <c r="I1083">
        <v>2012</v>
      </c>
      <c r="J1083">
        <v>0</v>
      </c>
      <c r="K1083">
        <v>1</v>
      </c>
      <c r="L1083">
        <v>0</v>
      </c>
      <c r="M1083">
        <v>4</v>
      </c>
      <c r="N1083" t="s">
        <v>41</v>
      </c>
      <c r="O1083" t="s">
        <v>30</v>
      </c>
      <c r="P1083">
        <v>3.4859231544843801</v>
      </c>
      <c r="Q1083">
        <v>2.1434667965513201</v>
      </c>
      <c r="R1083">
        <v>2.9693149584356302</v>
      </c>
      <c r="S1083">
        <v>127</v>
      </c>
      <c r="T1083">
        <v>61</v>
      </c>
      <c r="U1083">
        <v>205.51391397466099</v>
      </c>
      <c r="V1083">
        <v>1.14613180515759E-3</v>
      </c>
      <c r="W1083">
        <v>1071905.0397038199</v>
      </c>
      <c r="X1083" t="s">
        <v>40</v>
      </c>
      <c r="Y1083">
        <f>1-658-625-3733</f>
        <v>-5015</v>
      </c>
    </row>
    <row r="1084" spans="1:25" x14ac:dyDescent="0.35">
      <c r="A1084">
        <v>41.997775476060099</v>
      </c>
      <c r="B1084">
        <v>-114.027073558336</v>
      </c>
      <c r="C1084" t="s">
        <v>29</v>
      </c>
      <c r="D1084">
        <v>31.426167974017201</v>
      </c>
      <c r="E1084">
        <v>0</v>
      </c>
      <c r="F1084">
        <v>1837</v>
      </c>
      <c r="G1084">
        <v>2</v>
      </c>
      <c r="H1084">
        <v>3</v>
      </c>
      <c r="I1084">
        <v>1984</v>
      </c>
      <c r="J1084">
        <v>0</v>
      </c>
      <c r="K1084">
        <v>0</v>
      </c>
      <c r="L1084">
        <v>0</v>
      </c>
      <c r="M1084">
        <v>3</v>
      </c>
      <c r="N1084" t="s">
        <v>37</v>
      </c>
      <c r="O1084" t="s">
        <v>32</v>
      </c>
      <c r="P1084">
        <v>4.9932868707468296</v>
      </c>
      <c r="Q1084">
        <v>1.7075944721132901</v>
      </c>
      <c r="R1084">
        <v>2.1212591823640001</v>
      </c>
      <c r="S1084">
        <v>196</v>
      </c>
      <c r="T1084">
        <v>63</v>
      </c>
      <c r="U1084">
        <v>292.28045503945498</v>
      </c>
      <c r="V1084">
        <v>1.63309744148067E-3</v>
      </c>
      <c r="W1084">
        <v>661366.82911717903</v>
      </c>
      <c r="X1084" t="s">
        <v>44</v>
      </c>
      <c r="Y1084">
        <f>1-398-789-6642</f>
        <v>-7828</v>
      </c>
    </row>
    <row r="1085" spans="1:25" x14ac:dyDescent="0.35">
      <c r="A1085">
        <v>37.069041171325303</v>
      </c>
      <c r="B1085">
        <v>-121.890964949455</v>
      </c>
      <c r="C1085" t="s">
        <v>25</v>
      </c>
      <c r="D1085">
        <v>49.527395418613402</v>
      </c>
      <c r="E1085">
        <v>0</v>
      </c>
      <c r="F1085">
        <v>4644</v>
      </c>
      <c r="G1085">
        <v>3</v>
      </c>
      <c r="H1085">
        <v>3</v>
      </c>
      <c r="I1085">
        <v>1959</v>
      </c>
      <c r="J1085">
        <v>1</v>
      </c>
      <c r="K1085">
        <v>0</v>
      </c>
      <c r="L1085">
        <v>0</v>
      </c>
      <c r="M1085">
        <v>4</v>
      </c>
      <c r="N1085" t="s">
        <v>26</v>
      </c>
      <c r="O1085" t="s">
        <v>30</v>
      </c>
      <c r="P1085">
        <v>10.373982241386299</v>
      </c>
      <c r="Q1085">
        <v>2.0072082131904798</v>
      </c>
      <c r="R1085">
        <v>6.9784410417764802</v>
      </c>
      <c r="S1085">
        <v>154</v>
      </c>
      <c r="T1085">
        <v>52</v>
      </c>
      <c r="U1085">
        <v>541.13313656733305</v>
      </c>
      <c r="V1085">
        <v>8.6132644272179102E-4</v>
      </c>
      <c r="W1085">
        <v>2706546.0034980401</v>
      </c>
      <c r="X1085" t="s">
        <v>31</v>
      </c>
      <c r="Y1085">
        <f>1-910-318-7843</f>
        <v>-9070</v>
      </c>
    </row>
    <row r="1086" spans="1:25" x14ac:dyDescent="0.35">
      <c r="A1086">
        <v>41.050544466470598</v>
      </c>
      <c r="B1086">
        <v>-115.062161301335</v>
      </c>
      <c r="C1086" t="s">
        <v>34</v>
      </c>
      <c r="D1086">
        <v>11.993117686217101</v>
      </c>
      <c r="E1086">
        <v>2</v>
      </c>
      <c r="F1086">
        <v>3216</v>
      </c>
      <c r="G1086">
        <v>1</v>
      </c>
      <c r="H1086">
        <v>3</v>
      </c>
      <c r="I1086">
        <v>1988</v>
      </c>
      <c r="J1086">
        <v>1</v>
      </c>
      <c r="K1086">
        <v>0</v>
      </c>
      <c r="L1086">
        <v>0</v>
      </c>
      <c r="M1086">
        <v>4</v>
      </c>
      <c r="N1086" t="s">
        <v>35</v>
      </c>
      <c r="O1086" t="s">
        <v>27</v>
      </c>
      <c r="P1086">
        <v>8.6734561592703106</v>
      </c>
      <c r="Q1086">
        <v>0.909865662185946</v>
      </c>
      <c r="R1086">
        <v>6.77970032852906</v>
      </c>
      <c r="S1086">
        <v>0</v>
      </c>
      <c r="T1086">
        <v>32</v>
      </c>
      <c r="U1086">
        <v>742.77346194015502</v>
      </c>
      <c r="V1086">
        <v>1.2437810945273599E-3</v>
      </c>
      <c r="W1086">
        <v>2567646.9764548</v>
      </c>
      <c r="X1086" t="s">
        <v>39</v>
      </c>
      <c r="Y1086">
        <f>1-469-489-8525</f>
        <v>-9482</v>
      </c>
    </row>
    <row r="1087" spans="1:25" x14ac:dyDescent="0.35">
      <c r="A1087">
        <v>37.910911299109003</v>
      </c>
      <c r="B1087">
        <v>-121.286214708636</v>
      </c>
      <c r="C1087" t="s">
        <v>34</v>
      </c>
      <c r="D1087">
        <v>47.9210323314066</v>
      </c>
      <c r="E1087">
        <v>7</v>
      </c>
      <c r="F1087">
        <v>1048</v>
      </c>
      <c r="G1087">
        <v>5</v>
      </c>
      <c r="H1087">
        <v>2</v>
      </c>
      <c r="I1087">
        <v>1994</v>
      </c>
      <c r="J1087">
        <v>1</v>
      </c>
      <c r="K1087">
        <v>0</v>
      </c>
      <c r="L1087">
        <v>1</v>
      </c>
      <c r="M1087">
        <v>13</v>
      </c>
      <c r="N1087" t="s">
        <v>41</v>
      </c>
      <c r="O1087" t="s">
        <v>30</v>
      </c>
      <c r="P1087">
        <v>4.1640199522745904</v>
      </c>
      <c r="Q1087">
        <v>2.38209829023423</v>
      </c>
      <c r="R1087">
        <v>4.5029948595513698</v>
      </c>
      <c r="S1087">
        <v>73</v>
      </c>
      <c r="T1087">
        <v>33</v>
      </c>
      <c r="U1087">
        <v>233.15226985555699</v>
      </c>
      <c r="V1087">
        <v>1.24045801526717E-2</v>
      </c>
      <c r="W1087">
        <v>526742.89933517203</v>
      </c>
      <c r="X1087" t="s">
        <v>42</v>
      </c>
      <c r="Y1087">
        <f>1-875-247-5863</f>
        <v>-6984</v>
      </c>
    </row>
    <row r="1088" spans="1:25" x14ac:dyDescent="0.35">
      <c r="A1088">
        <v>34.346957970451399</v>
      </c>
      <c r="B1088">
        <v>-120.513031242677</v>
      </c>
      <c r="C1088" t="s">
        <v>34</v>
      </c>
      <c r="D1088">
        <v>24.5434042093136</v>
      </c>
      <c r="E1088">
        <v>3</v>
      </c>
      <c r="F1088">
        <v>4563</v>
      </c>
      <c r="G1088">
        <v>4</v>
      </c>
      <c r="H1088">
        <v>2</v>
      </c>
      <c r="I1088">
        <v>1995</v>
      </c>
      <c r="J1088">
        <v>0</v>
      </c>
      <c r="K1088">
        <v>0</v>
      </c>
      <c r="L1088">
        <v>1</v>
      </c>
      <c r="M1088">
        <v>2</v>
      </c>
      <c r="N1088" t="s">
        <v>26</v>
      </c>
      <c r="O1088" t="s">
        <v>30</v>
      </c>
      <c r="P1088">
        <v>2.5852837781955298</v>
      </c>
      <c r="Q1088">
        <v>2.4799021324686601</v>
      </c>
      <c r="R1088">
        <v>7.8824987115800402</v>
      </c>
      <c r="S1088">
        <v>184</v>
      </c>
      <c r="T1088">
        <v>63</v>
      </c>
      <c r="U1088">
        <v>404.31951852860999</v>
      </c>
      <c r="V1088">
        <v>4.3830813061582202E-4</v>
      </c>
      <c r="W1088">
        <v>2045481.6649805999</v>
      </c>
      <c r="X1088" t="s">
        <v>33</v>
      </c>
      <c r="Y1088">
        <f>1-744-365-4798</f>
        <v>-5906</v>
      </c>
    </row>
    <row r="1089" spans="1:25" x14ac:dyDescent="0.35">
      <c r="A1089">
        <v>38.571692968522399</v>
      </c>
      <c r="B1089">
        <v>-117.40552870735701</v>
      </c>
      <c r="C1089" t="s">
        <v>34</v>
      </c>
      <c r="D1089">
        <v>18.639596359844202</v>
      </c>
      <c r="E1089">
        <v>1</v>
      </c>
      <c r="F1089">
        <v>3008</v>
      </c>
      <c r="G1089">
        <v>5</v>
      </c>
      <c r="H1089">
        <v>1</v>
      </c>
      <c r="I1089">
        <v>2005</v>
      </c>
      <c r="J1089">
        <v>1</v>
      </c>
      <c r="K1089">
        <v>1</v>
      </c>
      <c r="L1089">
        <v>0</v>
      </c>
      <c r="M1089">
        <v>5</v>
      </c>
      <c r="N1089" t="s">
        <v>41</v>
      </c>
      <c r="O1089" t="s">
        <v>32</v>
      </c>
      <c r="P1089">
        <v>5.3362408806237598</v>
      </c>
      <c r="Q1089">
        <v>1.15571407267855</v>
      </c>
      <c r="R1089">
        <v>1.20462622280604</v>
      </c>
      <c r="S1089">
        <v>133</v>
      </c>
      <c r="T1089">
        <v>20</v>
      </c>
      <c r="U1089">
        <v>776.97960723439201</v>
      </c>
      <c r="V1089">
        <v>1.66223404255319E-3</v>
      </c>
      <c r="W1089">
        <v>2783706.4624077398</v>
      </c>
      <c r="X1089" t="s">
        <v>38</v>
      </c>
      <c r="Y1089">
        <f>1-358-436-3481</f>
        <v>-4274</v>
      </c>
    </row>
    <row r="1090" spans="1:25" x14ac:dyDescent="0.35">
      <c r="A1090">
        <v>36.392742141784296</v>
      </c>
      <c r="B1090">
        <v>-119.211485366118</v>
      </c>
      <c r="C1090" t="s">
        <v>34</v>
      </c>
      <c r="D1090">
        <v>4.4057996709440301</v>
      </c>
      <c r="E1090">
        <v>8</v>
      </c>
      <c r="F1090">
        <v>1125</v>
      </c>
      <c r="G1090">
        <v>2</v>
      </c>
      <c r="H1090">
        <v>2</v>
      </c>
      <c r="I1090">
        <v>2001</v>
      </c>
      <c r="J1090">
        <v>0</v>
      </c>
      <c r="K1090">
        <v>1</v>
      </c>
      <c r="L1090">
        <v>0</v>
      </c>
      <c r="M1090">
        <v>5</v>
      </c>
      <c r="N1090" t="s">
        <v>41</v>
      </c>
      <c r="O1090" t="s">
        <v>32</v>
      </c>
      <c r="P1090">
        <v>13.925325208361199</v>
      </c>
      <c r="Q1090">
        <v>2.06778623879705</v>
      </c>
      <c r="R1090">
        <v>7.7825327517943101</v>
      </c>
      <c r="S1090">
        <v>182</v>
      </c>
      <c r="T1090">
        <v>71</v>
      </c>
      <c r="U1090">
        <v>732.69251702838403</v>
      </c>
      <c r="V1090">
        <v>4.4444444444444401E-3</v>
      </c>
      <c r="W1090">
        <v>1032980.80205331</v>
      </c>
      <c r="X1090" t="s">
        <v>39</v>
      </c>
      <c r="Y1090">
        <f>1-828-157-2166</f>
        <v>-3150</v>
      </c>
    </row>
    <row r="1091" spans="1:25" x14ac:dyDescent="0.35">
      <c r="A1091">
        <v>37.582082221930897</v>
      </c>
      <c r="B1091">
        <v>-116.84546645221</v>
      </c>
      <c r="C1091" t="s">
        <v>34</v>
      </c>
      <c r="D1091">
        <v>2.2060987144941899</v>
      </c>
      <c r="E1091">
        <v>3</v>
      </c>
      <c r="F1091">
        <v>1405</v>
      </c>
      <c r="G1091">
        <v>2</v>
      </c>
      <c r="H1091">
        <v>1</v>
      </c>
      <c r="I1091">
        <v>1992</v>
      </c>
      <c r="J1091">
        <v>0</v>
      </c>
      <c r="K1091">
        <v>0</v>
      </c>
      <c r="L1091">
        <v>0</v>
      </c>
      <c r="M1091">
        <v>6</v>
      </c>
      <c r="N1091" t="s">
        <v>37</v>
      </c>
      <c r="O1091" t="s">
        <v>32</v>
      </c>
      <c r="P1091">
        <v>14.848587676409201</v>
      </c>
      <c r="Q1091">
        <v>0.52228679241491305</v>
      </c>
      <c r="R1091">
        <v>6.9012213916686003</v>
      </c>
      <c r="S1091">
        <v>78</v>
      </c>
      <c r="T1091">
        <v>73</v>
      </c>
      <c r="U1091">
        <v>468.34156276590198</v>
      </c>
      <c r="V1091">
        <v>4.2704626334519498E-3</v>
      </c>
      <c r="W1091">
        <v>853758.56283618696</v>
      </c>
      <c r="X1091" t="s">
        <v>39</v>
      </c>
      <c r="Y1091">
        <f>1-740-853-6164</f>
        <v>-7756</v>
      </c>
    </row>
    <row r="1092" spans="1:25" x14ac:dyDescent="0.35">
      <c r="A1092">
        <v>41.264146302822702</v>
      </c>
      <c r="B1092">
        <v>-119.46623966681901</v>
      </c>
      <c r="C1092" t="s">
        <v>34</v>
      </c>
      <c r="D1092">
        <v>9.2163352246958095</v>
      </c>
      <c r="E1092">
        <v>9</v>
      </c>
      <c r="F1092">
        <v>629</v>
      </c>
      <c r="G1092">
        <v>5</v>
      </c>
      <c r="H1092">
        <v>2</v>
      </c>
      <c r="I1092">
        <v>2010</v>
      </c>
      <c r="J1092">
        <v>1</v>
      </c>
      <c r="K1092">
        <v>0</v>
      </c>
      <c r="L1092">
        <v>0</v>
      </c>
      <c r="M1092">
        <v>4</v>
      </c>
      <c r="N1092" t="s">
        <v>37</v>
      </c>
      <c r="O1092" t="s">
        <v>30</v>
      </c>
      <c r="P1092">
        <v>8.8154280185832601</v>
      </c>
      <c r="Q1092">
        <v>0.70700253483449305</v>
      </c>
      <c r="R1092">
        <v>7.9873497852146397E-2</v>
      </c>
      <c r="S1092">
        <v>173</v>
      </c>
      <c r="T1092">
        <v>62</v>
      </c>
      <c r="U1092">
        <v>788.58363785466997</v>
      </c>
      <c r="V1092">
        <v>6.3593004769475301E-3</v>
      </c>
      <c r="W1092">
        <v>839405.28508253605</v>
      </c>
      <c r="X1092" t="s">
        <v>28</v>
      </c>
      <c r="Y1092">
        <f>1-645-357-5037</f>
        <v>-6038</v>
      </c>
    </row>
    <row r="1093" spans="1:25" x14ac:dyDescent="0.35">
      <c r="A1093">
        <v>40.016554012293298</v>
      </c>
      <c r="B1093">
        <v>-122.920774757266</v>
      </c>
      <c r="C1093" t="s">
        <v>25</v>
      </c>
      <c r="D1093">
        <v>16.158569359275599</v>
      </c>
      <c r="E1093">
        <v>8</v>
      </c>
      <c r="F1093">
        <v>3141</v>
      </c>
      <c r="G1093">
        <v>1</v>
      </c>
      <c r="H1093">
        <v>2</v>
      </c>
      <c r="I1093">
        <v>2016</v>
      </c>
      <c r="J1093">
        <v>0</v>
      </c>
      <c r="K1093">
        <v>1</v>
      </c>
      <c r="L1093">
        <v>0</v>
      </c>
      <c r="M1093">
        <v>7</v>
      </c>
      <c r="N1093" t="s">
        <v>37</v>
      </c>
      <c r="O1093" t="s">
        <v>30</v>
      </c>
      <c r="P1093">
        <v>6.2288440702556302</v>
      </c>
      <c r="Q1093">
        <v>0.894068575695118</v>
      </c>
      <c r="R1093">
        <v>2.30104030255852</v>
      </c>
      <c r="S1093">
        <v>187</v>
      </c>
      <c r="T1093">
        <v>24</v>
      </c>
      <c r="U1093">
        <v>990.98389323307094</v>
      </c>
      <c r="V1093">
        <v>2.2285896211397599E-3</v>
      </c>
      <c r="W1093">
        <v>3312338.8164026798</v>
      </c>
      <c r="X1093" t="s">
        <v>40</v>
      </c>
      <c r="Y1093">
        <f>1-721-607-1549</f>
        <v>-2876</v>
      </c>
    </row>
    <row r="1094" spans="1:25" x14ac:dyDescent="0.35">
      <c r="A1094">
        <v>33.595739981158502</v>
      </c>
      <c r="B1094">
        <v>-115.491310482527</v>
      </c>
      <c r="C1094" t="s">
        <v>29</v>
      </c>
      <c r="D1094">
        <v>44.759564137660703</v>
      </c>
      <c r="E1094">
        <v>1</v>
      </c>
      <c r="F1094">
        <v>671</v>
      </c>
      <c r="G1094">
        <v>3</v>
      </c>
      <c r="H1094">
        <v>3</v>
      </c>
      <c r="I1094">
        <v>2000</v>
      </c>
      <c r="J1094">
        <v>0</v>
      </c>
      <c r="K1094">
        <v>1</v>
      </c>
      <c r="L1094">
        <v>0</v>
      </c>
      <c r="M1094">
        <v>12</v>
      </c>
      <c r="N1094" t="s">
        <v>37</v>
      </c>
      <c r="O1094" t="s">
        <v>27</v>
      </c>
      <c r="P1094">
        <v>8.6805796122896108</v>
      </c>
      <c r="Q1094">
        <v>0.57545189590938595</v>
      </c>
      <c r="R1094">
        <v>5.6840421526636797</v>
      </c>
      <c r="S1094">
        <v>42</v>
      </c>
      <c r="T1094">
        <v>62</v>
      </c>
      <c r="U1094">
        <v>713.96238078319595</v>
      </c>
      <c r="V1094">
        <v>1.7883755588673601E-2</v>
      </c>
      <c r="W1094">
        <v>841926.73704107595</v>
      </c>
      <c r="X1094" t="s">
        <v>31</v>
      </c>
      <c r="Y1094">
        <f>1-303-178-9563</f>
        <v>-10043</v>
      </c>
    </row>
    <row r="1095" spans="1:25" x14ac:dyDescent="0.35">
      <c r="A1095">
        <v>41.674552819127399</v>
      </c>
      <c r="B1095">
        <v>-124.165504401674</v>
      </c>
      <c r="C1095" t="s">
        <v>25</v>
      </c>
      <c r="D1095">
        <v>1.8839100374450699</v>
      </c>
      <c r="E1095">
        <v>4</v>
      </c>
      <c r="F1095">
        <v>4370</v>
      </c>
      <c r="G1095">
        <v>2</v>
      </c>
      <c r="H1095">
        <v>1</v>
      </c>
      <c r="I1095">
        <v>1991</v>
      </c>
      <c r="J1095">
        <v>0</v>
      </c>
      <c r="K1095">
        <v>1</v>
      </c>
      <c r="L1095">
        <v>0</v>
      </c>
      <c r="M1095">
        <v>2</v>
      </c>
      <c r="N1095" t="s">
        <v>37</v>
      </c>
      <c r="O1095" t="s">
        <v>30</v>
      </c>
      <c r="P1095">
        <v>10.999146527683999</v>
      </c>
      <c r="Q1095">
        <v>2.1557165568732999</v>
      </c>
      <c r="R1095">
        <v>0.49586519770409498</v>
      </c>
      <c r="S1095">
        <v>125</v>
      </c>
      <c r="T1095">
        <v>66</v>
      </c>
      <c r="U1095">
        <v>503.37204587234902</v>
      </c>
      <c r="V1095">
        <v>4.5766590389015999E-4</v>
      </c>
      <c r="W1095">
        <v>2410879.8192132101</v>
      </c>
      <c r="X1095" t="s">
        <v>28</v>
      </c>
      <c r="Y1095">
        <f>1-509-462-5775</f>
        <v>-6745</v>
      </c>
    </row>
    <row r="1096" spans="1:25" x14ac:dyDescent="0.35">
      <c r="A1096">
        <v>41.772669167247102</v>
      </c>
      <c r="B1096">
        <v>-124.24253183598201</v>
      </c>
      <c r="C1096" t="s">
        <v>34</v>
      </c>
      <c r="D1096">
        <v>35.780821705810297</v>
      </c>
      <c r="E1096">
        <v>4</v>
      </c>
      <c r="F1096">
        <v>4428</v>
      </c>
      <c r="G1096">
        <v>4</v>
      </c>
      <c r="H1096">
        <v>2</v>
      </c>
      <c r="I1096">
        <v>1952</v>
      </c>
      <c r="J1096">
        <v>0</v>
      </c>
      <c r="K1096">
        <v>0</v>
      </c>
      <c r="L1096">
        <v>0</v>
      </c>
      <c r="M1096">
        <v>8</v>
      </c>
      <c r="N1096" t="s">
        <v>26</v>
      </c>
      <c r="O1096" t="s">
        <v>27</v>
      </c>
      <c r="P1096">
        <v>10.5949838252372</v>
      </c>
      <c r="Q1096">
        <v>1.0141560894375199</v>
      </c>
      <c r="R1096">
        <v>5.5483385327689998</v>
      </c>
      <c r="S1096">
        <v>195</v>
      </c>
      <c r="T1096">
        <v>53</v>
      </c>
      <c r="U1096">
        <v>279.24994458986498</v>
      </c>
      <c r="V1096">
        <v>1.806684733514E-3</v>
      </c>
      <c r="W1096">
        <v>1369060.1298807</v>
      </c>
      <c r="X1096" t="s">
        <v>39</v>
      </c>
      <c r="Y1096">
        <f>1-476-490-3169</f>
        <v>-4134</v>
      </c>
    </row>
    <row r="1097" spans="1:25" x14ac:dyDescent="0.35">
      <c r="A1097">
        <v>41.643670478516597</v>
      </c>
      <c r="B1097">
        <v>-122.96775507017701</v>
      </c>
      <c r="C1097" t="s">
        <v>34</v>
      </c>
      <c r="D1097">
        <v>32.212265511264398</v>
      </c>
      <c r="E1097">
        <v>9</v>
      </c>
      <c r="F1097">
        <v>2559</v>
      </c>
      <c r="G1097">
        <v>4</v>
      </c>
      <c r="H1097">
        <v>2</v>
      </c>
      <c r="I1097">
        <v>1957</v>
      </c>
      <c r="J1097">
        <v>0</v>
      </c>
      <c r="K1097">
        <v>0</v>
      </c>
      <c r="L1097">
        <v>0</v>
      </c>
      <c r="M1097">
        <v>14</v>
      </c>
      <c r="N1097" t="s">
        <v>41</v>
      </c>
      <c r="O1097" t="s">
        <v>32</v>
      </c>
      <c r="P1097">
        <v>14.159829363353699</v>
      </c>
      <c r="Q1097">
        <v>0.57535917995966901</v>
      </c>
      <c r="R1097">
        <v>9.9006840911847895</v>
      </c>
      <c r="S1097">
        <v>32</v>
      </c>
      <c r="T1097">
        <v>28</v>
      </c>
      <c r="U1097">
        <v>353.55076258061803</v>
      </c>
      <c r="V1097">
        <v>5.4708870652598598E-3</v>
      </c>
      <c r="W1097">
        <v>1162554.8132406999</v>
      </c>
      <c r="X1097" t="s">
        <v>43</v>
      </c>
      <c r="Y1097">
        <f>1-828-586-7753</f>
        <v>-9166</v>
      </c>
    </row>
    <row r="1098" spans="1:25" x14ac:dyDescent="0.35">
      <c r="A1098">
        <v>38.680614963441997</v>
      </c>
      <c r="B1098">
        <v>-123.34651604432401</v>
      </c>
      <c r="C1098" t="s">
        <v>29</v>
      </c>
      <c r="D1098">
        <v>2.0317850384160399</v>
      </c>
      <c r="E1098">
        <v>7</v>
      </c>
      <c r="F1098">
        <v>4957</v>
      </c>
      <c r="G1098">
        <v>2</v>
      </c>
      <c r="H1098">
        <v>3</v>
      </c>
      <c r="I1098">
        <v>1976</v>
      </c>
      <c r="J1098">
        <v>0</v>
      </c>
      <c r="K1098">
        <v>1</v>
      </c>
      <c r="L1098">
        <v>0</v>
      </c>
      <c r="M1098">
        <v>12</v>
      </c>
      <c r="N1098" t="s">
        <v>37</v>
      </c>
      <c r="O1098" t="s">
        <v>32</v>
      </c>
      <c r="P1098">
        <v>7.9346012322136703</v>
      </c>
      <c r="Q1098">
        <v>1.26922590871945</v>
      </c>
      <c r="R1098">
        <v>8.65866622563327E-2</v>
      </c>
      <c r="S1098">
        <v>179</v>
      </c>
      <c r="T1098">
        <v>63</v>
      </c>
      <c r="U1098">
        <v>945.54148909121295</v>
      </c>
      <c r="V1098">
        <v>2.4208190437764701E-3</v>
      </c>
      <c r="W1098">
        <v>4932013.7622845201</v>
      </c>
      <c r="X1098" t="s">
        <v>38</v>
      </c>
      <c r="Y1098">
        <f>1-714-900-5138</f>
        <v>-6751</v>
      </c>
    </row>
    <row r="1099" spans="1:25" x14ac:dyDescent="0.35">
      <c r="A1099">
        <v>41.822543528603802</v>
      </c>
      <c r="B1099">
        <v>-116.12289909331299</v>
      </c>
      <c r="C1099" t="s">
        <v>34</v>
      </c>
      <c r="D1099">
        <v>25.248253655282301</v>
      </c>
      <c r="E1099">
        <v>0</v>
      </c>
      <c r="F1099">
        <v>4577</v>
      </c>
      <c r="G1099">
        <v>4</v>
      </c>
      <c r="H1099">
        <v>2</v>
      </c>
      <c r="I1099">
        <v>1990</v>
      </c>
      <c r="J1099">
        <v>1</v>
      </c>
      <c r="K1099">
        <v>0</v>
      </c>
      <c r="L1099">
        <v>1</v>
      </c>
      <c r="M1099">
        <v>14</v>
      </c>
      <c r="N1099" t="s">
        <v>35</v>
      </c>
      <c r="O1099" t="s">
        <v>30</v>
      </c>
      <c r="P1099">
        <v>12.5868087150708</v>
      </c>
      <c r="Q1099">
        <v>1.83921746799081</v>
      </c>
      <c r="R1099">
        <v>6.1745704554898904</v>
      </c>
      <c r="S1099">
        <v>107</v>
      </c>
      <c r="T1099">
        <v>58</v>
      </c>
      <c r="U1099">
        <v>981.990123124609</v>
      </c>
      <c r="V1099">
        <v>3.05877212147695E-3</v>
      </c>
      <c r="W1099">
        <v>4902433.0250114799</v>
      </c>
      <c r="X1099" t="s">
        <v>28</v>
      </c>
      <c r="Y1099">
        <f>1-316-454-8613</f>
        <v>-9382</v>
      </c>
    </row>
    <row r="1100" spans="1:25" x14ac:dyDescent="0.35">
      <c r="A1100">
        <v>34.436778837128202</v>
      </c>
      <c r="B1100">
        <v>-121.177250792862</v>
      </c>
      <c r="C1100" t="s">
        <v>34</v>
      </c>
      <c r="D1100">
        <v>42.598768342774697</v>
      </c>
      <c r="E1100">
        <v>4</v>
      </c>
      <c r="F1100">
        <v>2994</v>
      </c>
      <c r="G1100">
        <v>1</v>
      </c>
      <c r="H1100">
        <v>3</v>
      </c>
      <c r="I1100">
        <v>2021</v>
      </c>
      <c r="J1100">
        <v>0</v>
      </c>
      <c r="K1100">
        <v>1</v>
      </c>
      <c r="L1100">
        <v>1</v>
      </c>
      <c r="M1100">
        <v>12</v>
      </c>
      <c r="N1100" t="s">
        <v>37</v>
      </c>
      <c r="O1100" t="s">
        <v>30</v>
      </c>
      <c r="P1100">
        <v>7.2838374726995303</v>
      </c>
      <c r="Q1100">
        <v>1.0119828696195301</v>
      </c>
      <c r="R1100">
        <v>5.0009999149775197</v>
      </c>
      <c r="S1100">
        <v>171</v>
      </c>
      <c r="T1100">
        <v>20</v>
      </c>
      <c r="U1100">
        <v>370.52998591535601</v>
      </c>
      <c r="V1100">
        <v>4.0080160320641201E-3</v>
      </c>
      <c r="W1100">
        <v>1399373.61522013</v>
      </c>
      <c r="X1100" t="s">
        <v>39</v>
      </c>
      <c r="Y1100">
        <f>1-910-973-9490</f>
        <v>-11372</v>
      </c>
    </row>
    <row r="1101" spans="1:25" x14ac:dyDescent="0.35">
      <c r="A1101">
        <v>39.414017296520598</v>
      </c>
      <c r="B1101">
        <v>-117.51803465035501</v>
      </c>
      <c r="C1101" t="s">
        <v>25</v>
      </c>
      <c r="D1101">
        <v>26.602522208842299</v>
      </c>
      <c r="E1101">
        <v>5</v>
      </c>
      <c r="F1101">
        <v>3526</v>
      </c>
      <c r="G1101">
        <v>1</v>
      </c>
      <c r="H1101">
        <v>1</v>
      </c>
      <c r="I1101">
        <v>1955</v>
      </c>
      <c r="J1101">
        <v>0</v>
      </c>
      <c r="K1101">
        <v>1</v>
      </c>
      <c r="L1101">
        <v>1</v>
      </c>
      <c r="M1101">
        <v>9</v>
      </c>
      <c r="N1101" t="s">
        <v>26</v>
      </c>
      <c r="O1101" t="s">
        <v>32</v>
      </c>
      <c r="P1101">
        <v>2.5898799875120102</v>
      </c>
      <c r="Q1101">
        <v>1.5716194759908599</v>
      </c>
      <c r="R1101">
        <v>5.6901732543080499</v>
      </c>
      <c r="S1101">
        <v>185</v>
      </c>
      <c r="T1101">
        <v>57</v>
      </c>
      <c r="U1101">
        <v>745.58863466178605</v>
      </c>
      <c r="V1101">
        <v>2.5524673851389599E-3</v>
      </c>
      <c r="W1101">
        <v>2728858.67790672</v>
      </c>
      <c r="X1101" t="s">
        <v>43</v>
      </c>
      <c r="Y1101">
        <f>1-356-599-5718</f>
        <v>-6672</v>
      </c>
    </row>
    <row r="1102" spans="1:25" x14ac:dyDescent="0.35">
      <c r="A1102">
        <v>36.954303908916501</v>
      </c>
      <c r="B1102">
        <v>-114.86485074643799</v>
      </c>
      <c r="C1102" t="s">
        <v>34</v>
      </c>
      <c r="D1102">
        <v>26.837372286354601</v>
      </c>
      <c r="E1102">
        <v>8</v>
      </c>
      <c r="F1102">
        <v>1660</v>
      </c>
      <c r="G1102">
        <v>3</v>
      </c>
      <c r="H1102">
        <v>3</v>
      </c>
      <c r="I1102">
        <v>1971</v>
      </c>
      <c r="J1102">
        <v>1</v>
      </c>
      <c r="K1102">
        <v>0</v>
      </c>
      <c r="L1102">
        <v>0</v>
      </c>
      <c r="M1102">
        <v>2</v>
      </c>
      <c r="N1102" t="s">
        <v>41</v>
      </c>
      <c r="O1102" t="s">
        <v>27</v>
      </c>
      <c r="P1102">
        <v>5.1280035859056801</v>
      </c>
      <c r="Q1102">
        <v>1.7490254959049401</v>
      </c>
      <c r="R1102">
        <v>9.11567981217663</v>
      </c>
      <c r="S1102">
        <v>14</v>
      </c>
      <c r="T1102">
        <v>43</v>
      </c>
      <c r="U1102">
        <v>844.83317593382105</v>
      </c>
      <c r="V1102">
        <v>1.2048192771084299E-3</v>
      </c>
      <c r="W1102">
        <v>1585172.0627379899</v>
      </c>
      <c r="X1102" t="s">
        <v>44</v>
      </c>
      <c r="Y1102">
        <f>1-582-467-5177</f>
        <v>-6225</v>
      </c>
    </row>
    <row r="1103" spans="1:25" x14ac:dyDescent="0.35">
      <c r="A1103">
        <v>39.933493764743801</v>
      </c>
      <c r="B1103">
        <v>-120.59401241790999</v>
      </c>
      <c r="C1103" t="s">
        <v>29</v>
      </c>
      <c r="D1103">
        <v>28.138041268832399</v>
      </c>
      <c r="E1103">
        <v>4</v>
      </c>
      <c r="F1103">
        <v>1299</v>
      </c>
      <c r="G1103">
        <v>3</v>
      </c>
      <c r="H1103">
        <v>3</v>
      </c>
      <c r="I1103">
        <v>1953</v>
      </c>
      <c r="J1103">
        <v>1</v>
      </c>
      <c r="K1103">
        <v>1</v>
      </c>
      <c r="L1103">
        <v>0</v>
      </c>
      <c r="M1103">
        <v>4</v>
      </c>
      <c r="N1103" t="s">
        <v>35</v>
      </c>
      <c r="O1103" t="s">
        <v>27</v>
      </c>
      <c r="P1103">
        <v>13.3822249420428</v>
      </c>
      <c r="Q1103">
        <v>1.39344677084674</v>
      </c>
      <c r="R1103">
        <v>0.49618276616066498</v>
      </c>
      <c r="S1103">
        <v>183</v>
      </c>
      <c r="T1103">
        <v>30</v>
      </c>
      <c r="U1103">
        <v>374.71347475248501</v>
      </c>
      <c r="V1103">
        <v>3.0792917628945302E-3</v>
      </c>
      <c r="W1103">
        <v>823690.78600032895</v>
      </c>
      <c r="X1103" t="s">
        <v>33</v>
      </c>
      <c r="Y1103">
        <f>1-703-936-7144</f>
        <v>-8782</v>
      </c>
    </row>
    <row r="1104" spans="1:25" x14ac:dyDescent="0.35">
      <c r="A1104">
        <v>34.8424304677065</v>
      </c>
      <c r="B1104">
        <v>-116.823810183782</v>
      </c>
      <c r="C1104" t="s">
        <v>25</v>
      </c>
      <c r="D1104">
        <v>41.2001335029289</v>
      </c>
      <c r="E1104">
        <v>2</v>
      </c>
      <c r="F1104">
        <v>2149</v>
      </c>
      <c r="G1104">
        <v>3</v>
      </c>
      <c r="H1104">
        <v>2</v>
      </c>
      <c r="I1104">
        <v>1989</v>
      </c>
      <c r="J1104">
        <v>1</v>
      </c>
      <c r="K1104">
        <v>1</v>
      </c>
      <c r="L1104">
        <v>1</v>
      </c>
      <c r="M1104">
        <v>12</v>
      </c>
      <c r="N1104" t="s">
        <v>26</v>
      </c>
      <c r="O1104" t="s">
        <v>32</v>
      </c>
      <c r="P1104">
        <v>5.6841157278792096</v>
      </c>
      <c r="Q1104">
        <v>0.51980706753001804</v>
      </c>
      <c r="R1104">
        <v>6.7806987099631497</v>
      </c>
      <c r="S1104">
        <v>170</v>
      </c>
      <c r="T1104">
        <v>34</v>
      </c>
      <c r="U1104">
        <v>220.977049720564</v>
      </c>
      <c r="V1104">
        <v>5.5839925546765897E-3</v>
      </c>
      <c r="W1104">
        <v>667761.38845598802</v>
      </c>
      <c r="X1104" t="s">
        <v>33</v>
      </c>
      <c r="Y1104">
        <f>1-573-686-3510</f>
        <v>-4768</v>
      </c>
    </row>
    <row r="1105" spans="1:25" x14ac:dyDescent="0.35">
      <c r="A1105">
        <v>32.795978368135103</v>
      </c>
      <c r="B1105">
        <v>-120.182062155099</v>
      </c>
      <c r="C1105" t="s">
        <v>34</v>
      </c>
      <c r="D1105">
        <v>27.321785667216499</v>
      </c>
      <c r="E1105">
        <v>2</v>
      </c>
      <c r="F1105">
        <v>1663</v>
      </c>
      <c r="G1105">
        <v>3</v>
      </c>
      <c r="H1105">
        <v>2</v>
      </c>
      <c r="I1105">
        <v>2011</v>
      </c>
      <c r="J1105">
        <v>0</v>
      </c>
      <c r="K1105">
        <v>0</v>
      </c>
      <c r="L1105">
        <v>1</v>
      </c>
      <c r="M1105">
        <v>8</v>
      </c>
      <c r="N1105" t="s">
        <v>41</v>
      </c>
      <c r="O1105" t="s">
        <v>30</v>
      </c>
      <c r="P1105">
        <v>13.368361519334</v>
      </c>
      <c r="Q1105">
        <v>2.43675440246979</v>
      </c>
      <c r="R1105">
        <v>8.1122971558965702</v>
      </c>
      <c r="S1105">
        <v>153</v>
      </c>
      <c r="T1105">
        <v>43</v>
      </c>
      <c r="U1105">
        <v>345.35554545428499</v>
      </c>
      <c r="V1105">
        <v>4.8105832832230902E-3</v>
      </c>
      <c r="W1105">
        <v>872392.25924517796</v>
      </c>
      <c r="X1105" t="s">
        <v>39</v>
      </c>
      <c r="Y1105">
        <f>1-923-420-2497</f>
        <v>-3839</v>
      </c>
    </row>
    <row r="1106" spans="1:25" x14ac:dyDescent="0.35">
      <c r="A1106">
        <v>38.899604111672701</v>
      </c>
      <c r="B1106">
        <v>-122.675565614901</v>
      </c>
      <c r="C1106" t="s">
        <v>29</v>
      </c>
      <c r="D1106">
        <v>14.7727256775068</v>
      </c>
      <c r="E1106">
        <v>4</v>
      </c>
      <c r="F1106">
        <v>1878</v>
      </c>
      <c r="G1106">
        <v>3</v>
      </c>
      <c r="H1106">
        <v>3</v>
      </c>
      <c r="I1106">
        <v>1981</v>
      </c>
      <c r="J1106">
        <v>1</v>
      </c>
      <c r="K1106">
        <v>0</v>
      </c>
      <c r="L1106">
        <v>1</v>
      </c>
      <c r="M1106">
        <v>6</v>
      </c>
      <c r="N1106" t="s">
        <v>35</v>
      </c>
      <c r="O1106" t="s">
        <v>30</v>
      </c>
      <c r="P1106">
        <v>9.7325430998461506</v>
      </c>
      <c r="Q1106">
        <v>0.62628390357704999</v>
      </c>
      <c r="R1106">
        <v>9.6637973825295092</v>
      </c>
      <c r="S1106">
        <v>80</v>
      </c>
      <c r="T1106">
        <v>26</v>
      </c>
      <c r="U1106">
        <v>398.19505671924099</v>
      </c>
      <c r="V1106">
        <v>3.1948881789137301E-3</v>
      </c>
      <c r="W1106">
        <v>1059544.22263061</v>
      </c>
      <c r="X1106" t="s">
        <v>31</v>
      </c>
      <c r="Y1106">
        <f>1-641-971-2058</f>
        <v>-3669</v>
      </c>
    </row>
    <row r="1107" spans="1:25" x14ac:dyDescent="0.35">
      <c r="A1107">
        <v>32.687022550515501</v>
      </c>
      <c r="B1107">
        <v>-119.910665124446</v>
      </c>
      <c r="C1107" t="s">
        <v>29</v>
      </c>
      <c r="D1107">
        <v>25.831372751876501</v>
      </c>
      <c r="E1107">
        <v>1</v>
      </c>
      <c r="F1107">
        <v>585</v>
      </c>
      <c r="G1107">
        <v>2</v>
      </c>
      <c r="H1107">
        <v>1</v>
      </c>
      <c r="I1107">
        <v>1964</v>
      </c>
      <c r="J1107">
        <v>1</v>
      </c>
      <c r="K1107">
        <v>1</v>
      </c>
      <c r="L1107">
        <v>0</v>
      </c>
      <c r="M1107">
        <v>9</v>
      </c>
      <c r="N1107" t="s">
        <v>41</v>
      </c>
      <c r="O1107" t="s">
        <v>32</v>
      </c>
      <c r="P1107">
        <v>5.8517646756677797</v>
      </c>
      <c r="Q1107">
        <v>1.1048102565570701</v>
      </c>
      <c r="R1107">
        <v>8.2621941722564394</v>
      </c>
      <c r="S1107">
        <v>158</v>
      </c>
      <c r="T1107">
        <v>37</v>
      </c>
      <c r="U1107">
        <v>413.75262327646101</v>
      </c>
      <c r="V1107">
        <v>1.53846153846153E-2</v>
      </c>
      <c r="W1107">
        <v>373504.586031157</v>
      </c>
      <c r="X1107" t="s">
        <v>38</v>
      </c>
      <c r="Y1107">
        <f>1-570-712-7456</f>
        <v>-8737</v>
      </c>
    </row>
    <row r="1108" spans="1:25" x14ac:dyDescent="0.35">
      <c r="A1108">
        <v>35.519004153095999</v>
      </c>
      <c r="B1108">
        <v>-117.038016195456</v>
      </c>
      <c r="C1108" t="s">
        <v>25</v>
      </c>
      <c r="D1108">
        <v>10.513665327215801</v>
      </c>
      <c r="E1108">
        <v>2</v>
      </c>
      <c r="F1108">
        <v>2888</v>
      </c>
      <c r="G1108">
        <v>2</v>
      </c>
      <c r="H1108">
        <v>2</v>
      </c>
      <c r="I1108">
        <v>2021</v>
      </c>
      <c r="J1108">
        <v>1</v>
      </c>
      <c r="K1108">
        <v>1</v>
      </c>
      <c r="L1108">
        <v>0</v>
      </c>
      <c r="M1108">
        <v>14</v>
      </c>
      <c r="N1108" t="s">
        <v>37</v>
      </c>
      <c r="O1108" t="s">
        <v>32</v>
      </c>
      <c r="P1108">
        <v>13.7982823588702</v>
      </c>
      <c r="Q1108">
        <v>0.88263449420940998</v>
      </c>
      <c r="R1108">
        <v>8.5659815982610493E-2</v>
      </c>
      <c r="S1108">
        <v>191</v>
      </c>
      <c r="T1108">
        <v>57</v>
      </c>
      <c r="U1108">
        <v>359.93921620895401</v>
      </c>
      <c r="V1108">
        <v>4.8476454293628797E-3</v>
      </c>
      <c r="W1108">
        <v>1483923.5578409</v>
      </c>
      <c r="X1108" t="s">
        <v>40</v>
      </c>
      <c r="Y1108">
        <f>1-350-368-5530</f>
        <v>-6247</v>
      </c>
    </row>
    <row r="1109" spans="1:25" x14ac:dyDescent="0.35">
      <c r="A1109">
        <v>40.354312915346597</v>
      </c>
      <c r="B1109">
        <v>-115.643141861647</v>
      </c>
      <c r="C1109" t="s">
        <v>34</v>
      </c>
      <c r="D1109">
        <v>19.698946145199798</v>
      </c>
      <c r="E1109">
        <v>3</v>
      </c>
      <c r="F1109">
        <v>2458</v>
      </c>
      <c r="G1109">
        <v>2</v>
      </c>
      <c r="H1109">
        <v>1</v>
      </c>
      <c r="I1109">
        <v>1972</v>
      </c>
      <c r="J1109">
        <v>0</v>
      </c>
      <c r="K1109">
        <v>0</v>
      </c>
      <c r="L1109">
        <v>1</v>
      </c>
      <c r="M1109">
        <v>9</v>
      </c>
      <c r="N1109" t="s">
        <v>35</v>
      </c>
      <c r="O1109" t="s">
        <v>27</v>
      </c>
      <c r="P1109">
        <v>2.4556362780514398</v>
      </c>
      <c r="Q1109">
        <v>1.7804611122234799</v>
      </c>
      <c r="R1109">
        <v>6.3508452876976804</v>
      </c>
      <c r="S1109">
        <v>11</v>
      </c>
      <c r="T1109">
        <v>74</v>
      </c>
      <c r="U1109">
        <v>391.789385092592</v>
      </c>
      <c r="V1109">
        <v>3.6615134255492199E-3</v>
      </c>
      <c r="W1109">
        <v>1177096.4413105401</v>
      </c>
      <c r="X1109" t="s">
        <v>33</v>
      </c>
      <c r="Y1109">
        <f>1-810-940-5505</f>
        <v>-7254</v>
      </c>
    </row>
    <row r="1110" spans="1:25" x14ac:dyDescent="0.35">
      <c r="A1110">
        <v>39.786007090158698</v>
      </c>
      <c r="B1110">
        <v>-114.20823256091001</v>
      </c>
      <c r="C1110" t="s">
        <v>25</v>
      </c>
      <c r="D1110">
        <v>6.9853083546733599</v>
      </c>
      <c r="E1110">
        <v>6</v>
      </c>
      <c r="F1110">
        <v>1130</v>
      </c>
      <c r="G1110">
        <v>3</v>
      </c>
      <c r="H1110">
        <v>3</v>
      </c>
      <c r="I1110">
        <v>2005</v>
      </c>
      <c r="J1110">
        <v>1</v>
      </c>
      <c r="K1110">
        <v>1</v>
      </c>
      <c r="L1110">
        <v>1</v>
      </c>
      <c r="M1110">
        <v>2</v>
      </c>
      <c r="N1110" t="s">
        <v>41</v>
      </c>
      <c r="O1110" t="s">
        <v>27</v>
      </c>
      <c r="P1110">
        <v>12.6355199194878</v>
      </c>
      <c r="Q1110">
        <v>0.72702989617958502</v>
      </c>
      <c r="R1110">
        <v>9.2749542894565593</v>
      </c>
      <c r="S1110">
        <v>5</v>
      </c>
      <c r="T1110">
        <v>71</v>
      </c>
      <c r="U1110">
        <v>313.52686566475802</v>
      </c>
      <c r="V1110">
        <v>1.7699115044247701E-3</v>
      </c>
      <c r="W1110">
        <v>878679.28939493501</v>
      </c>
      <c r="X1110" t="s">
        <v>44</v>
      </c>
      <c r="Y1110">
        <f>1-400-504-3710</f>
        <v>-4613</v>
      </c>
    </row>
    <row r="1111" spans="1:25" x14ac:dyDescent="0.35">
      <c r="A1111">
        <v>41.5893947612931</v>
      </c>
      <c r="B1111">
        <v>-118.14272816027599</v>
      </c>
      <c r="C1111" t="s">
        <v>25</v>
      </c>
      <c r="D1111">
        <v>10.436499582446</v>
      </c>
      <c r="E1111">
        <v>6</v>
      </c>
      <c r="F1111">
        <v>4364</v>
      </c>
      <c r="G1111">
        <v>1</v>
      </c>
      <c r="H1111">
        <v>1</v>
      </c>
      <c r="I1111">
        <v>2006</v>
      </c>
      <c r="J1111">
        <v>0</v>
      </c>
      <c r="K1111">
        <v>1</v>
      </c>
      <c r="L1111">
        <v>0</v>
      </c>
      <c r="M1111">
        <v>6</v>
      </c>
      <c r="N1111" t="s">
        <v>35</v>
      </c>
      <c r="O1111" t="s">
        <v>30</v>
      </c>
      <c r="P1111">
        <v>13.531177683243101</v>
      </c>
      <c r="Q1111">
        <v>2.3685833975920398</v>
      </c>
      <c r="R1111">
        <v>6.6910760456819398</v>
      </c>
      <c r="S1111">
        <v>174</v>
      </c>
      <c r="T1111">
        <v>42</v>
      </c>
      <c r="U1111">
        <v>405.95684048854503</v>
      </c>
      <c r="V1111">
        <v>1.3748854262144799E-3</v>
      </c>
      <c r="W1111">
        <v>2049085.3379807</v>
      </c>
      <c r="X1111" t="s">
        <v>28</v>
      </c>
      <c r="Y1111">
        <f>1-800-984-5303</f>
        <v>-7086</v>
      </c>
    </row>
    <row r="1112" spans="1:25" x14ac:dyDescent="0.35">
      <c r="A1112">
        <v>40.877766902990501</v>
      </c>
      <c r="B1112">
        <v>-117.524954387737</v>
      </c>
      <c r="C1112" t="s">
        <v>34</v>
      </c>
      <c r="D1112">
        <v>13.130920230483</v>
      </c>
      <c r="E1112">
        <v>9</v>
      </c>
      <c r="F1112">
        <v>3812</v>
      </c>
      <c r="G1112">
        <v>5</v>
      </c>
      <c r="H1112">
        <v>1</v>
      </c>
      <c r="I1112">
        <v>1978</v>
      </c>
      <c r="J1112">
        <v>0</v>
      </c>
      <c r="K1112">
        <v>1</v>
      </c>
      <c r="L1112">
        <v>0</v>
      </c>
      <c r="M1112">
        <v>3</v>
      </c>
      <c r="N1112" t="s">
        <v>26</v>
      </c>
      <c r="O1112" t="s">
        <v>30</v>
      </c>
      <c r="P1112">
        <v>13.508091672945699</v>
      </c>
      <c r="Q1112">
        <v>2.1116779734343201</v>
      </c>
      <c r="R1112">
        <v>4.9607388402935602</v>
      </c>
      <c r="S1112">
        <v>104</v>
      </c>
      <c r="T1112">
        <v>32</v>
      </c>
      <c r="U1112">
        <v>614.12115605338204</v>
      </c>
      <c r="V1112">
        <v>7.8698845750262299E-4</v>
      </c>
      <c r="W1112">
        <v>2714615.2408971302</v>
      </c>
      <c r="X1112" t="s">
        <v>31</v>
      </c>
      <c r="Y1112">
        <f>1-324-455-9868</f>
        <v>-10646</v>
      </c>
    </row>
    <row r="1113" spans="1:25" x14ac:dyDescent="0.35">
      <c r="A1113">
        <v>38.718543456126</v>
      </c>
      <c r="B1113">
        <v>-118.457875244162</v>
      </c>
      <c r="C1113" t="s">
        <v>29</v>
      </c>
      <c r="D1113">
        <v>35.129249185411197</v>
      </c>
      <c r="E1113">
        <v>7</v>
      </c>
      <c r="F1113">
        <v>907</v>
      </c>
      <c r="G1113">
        <v>5</v>
      </c>
      <c r="H1113">
        <v>3</v>
      </c>
      <c r="I1113">
        <v>1951</v>
      </c>
      <c r="J1113">
        <v>0</v>
      </c>
      <c r="K1113">
        <v>0</v>
      </c>
      <c r="L1113">
        <v>1</v>
      </c>
      <c r="M1113">
        <v>6</v>
      </c>
      <c r="N1113" t="s">
        <v>26</v>
      </c>
      <c r="O1113" t="s">
        <v>30</v>
      </c>
      <c r="P1113">
        <v>14.578034438265499</v>
      </c>
      <c r="Q1113">
        <v>0.83704715937435403</v>
      </c>
      <c r="R1113">
        <v>4.0786987704445501</v>
      </c>
      <c r="S1113">
        <v>186</v>
      </c>
      <c r="T1113">
        <v>65</v>
      </c>
      <c r="U1113">
        <v>673.46051435912796</v>
      </c>
      <c r="V1113">
        <v>6.6152149944873201E-3</v>
      </c>
      <c r="W1113">
        <v>904063.98630231805</v>
      </c>
      <c r="X1113" t="s">
        <v>31</v>
      </c>
      <c r="Y1113">
        <f>1-271-849-3619</f>
        <v>-4738</v>
      </c>
    </row>
    <row r="1114" spans="1:25" x14ac:dyDescent="0.35">
      <c r="A1114">
        <v>35.260368084843897</v>
      </c>
      <c r="B1114">
        <v>-116.060489180543</v>
      </c>
      <c r="C1114" t="s">
        <v>25</v>
      </c>
      <c r="D1114">
        <v>5.0331397809435003</v>
      </c>
      <c r="E1114">
        <v>5</v>
      </c>
      <c r="F1114">
        <v>1832</v>
      </c>
      <c r="G1114">
        <v>1</v>
      </c>
      <c r="H1114">
        <v>1</v>
      </c>
      <c r="I1114">
        <v>2001</v>
      </c>
      <c r="J1114">
        <v>1</v>
      </c>
      <c r="K1114">
        <v>1</v>
      </c>
      <c r="L1114">
        <v>1</v>
      </c>
      <c r="M1114">
        <v>2</v>
      </c>
      <c r="N1114" t="s">
        <v>26</v>
      </c>
      <c r="O1114" t="s">
        <v>27</v>
      </c>
      <c r="P1114">
        <v>7.1342686576211598</v>
      </c>
      <c r="Q1114">
        <v>2.3314821840207598</v>
      </c>
      <c r="R1114">
        <v>1.7703740745885801</v>
      </c>
      <c r="S1114">
        <v>118</v>
      </c>
      <c r="T1114">
        <v>29</v>
      </c>
      <c r="U1114">
        <v>455.01442348035602</v>
      </c>
      <c r="V1114">
        <v>1.09170305676855E-3</v>
      </c>
      <c r="W1114">
        <v>1100246.2305665801</v>
      </c>
      <c r="X1114" t="s">
        <v>39</v>
      </c>
      <c r="Y1114">
        <f>1-858-392-3128</f>
        <v>-4377</v>
      </c>
    </row>
    <row r="1115" spans="1:25" x14ac:dyDescent="0.35">
      <c r="A1115">
        <v>38.425520579974403</v>
      </c>
      <c r="B1115">
        <v>-114.019470236099</v>
      </c>
      <c r="C1115" t="s">
        <v>34</v>
      </c>
      <c r="D1115">
        <v>32.946983761691101</v>
      </c>
      <c r="E1115">
        <v>7</v>
      </c>
      <c r="F1115">
        <v>4013</v>
      </c>
      <c r="G1115">
        <v>5</v>
      </c>
      <c r="H1115">
        <v>3</v>
      </c>
      <c r="I1115">
        <v>2001</v>
      </c>
      <c r="J1115">
        <v>1</v>
      </c>
      <c r="K1115">
        <v>0</v>
      </c>
      <c r="L1115">
        <v>1</v>
      </c>
      <c r="M1115">
        <v>2</v>
      </c>
      <c r="N1115" t="s">
        <v>26</v>
      </c>
      <c r="O1115" t="s">
        <v>27</v>
      </c>
      <c r="P1115">
        <v>3.8965649376914002</v>
      </c>
      <c r="Q1115">
        <v>0.85835727538735695</v>
      </c>
      <c r="R1115">
        <v>7.5665229104149603</v>
      </c>
      <c r="S1115">
        <v>149</v>
      </c>
      <c r="T1115">
        <v>45</v>
      </c>
      <c r="U1115">
        <v>844.88461981201601</v>
      </c>
      <c r="V1115">
        <v>4.9838026414154E-4</v>
      </c>
      <c r="W1115">
        <v>3771526.49274588</v>
      </c>
      <c r="X1115" t="s">
        <v>28</v>
      </c>
      <c r="Y1115">
        <f>1-523-382-9737</f>
        <v>-10641</v>
      </c>
    </row>
    <row r="1116" spans="1:25" x14ac:dyDescent="0.35">
      <c r="A1116">
        <v>33.235274071046497</v>
      </c>
      <c r="B1116">
        <v>-114.321717057539</v>
      </c>
      <c r="C1116" t="s">
        <v>34</v>
      </c>
      <c r="D1116">
        <v>29.0892376002503</v>
      </c>
      <c r="E1116">
        <v>2</v>
      </c>
      <c r="F1116">
        <v>1476</v>
      </c>
      <c r="G1116">
        <v>5</v>
      </c>
      <c r="H1116">
        <v>2</v>
      </c>
      <c r="I1116">
        <v>1992</v>
      </c>
      <c r="J1116">
        <v>0</v>
      </c>
      <c r="K1116">
        <v>1</v>
      </c>
      <c r="L1116">
        <v>0</v>
      </c>
      <c r="M1116">
        <v>2</v>
      </c>
      <c r="N1116" t="s">
        <v>37</v>
      </c>
      <c r="O1116" t="s">
        <v>27</v>
      </c>
      <c r="P1116">
        <v>2.3719790187733998</v>
      </c>
      <c r="Q1116">
        <v>0.87690682077603099</v>
      </c>
      <c r="R1116">
        <v>6.0499748093207604</v>
      </c>
      <c r="S1116">
        <v>184</v>
      </c>
      <c r="T1116">
        <v>58</v>
      </c>
      <c r="U1116">
        <v>936.579601519216</v>
      </c>
      <c r="V1116">
        <v>1.3550135501355001E-3</v>
      </c>
      <c r="W1116">
        <v>1636890.76248816</v>
      </c>
      <c r="X1116" t="s">
        <v>36</v>
      </c>
      <c r="Y1116">
        <f>1-514-396-3519</f>
        <v>-4428</v>
      </c>
    </row>
    <row r="1117" spans="1:25" x14ac:dyDescent="0.35">
      <c r="A1117">
        <v>33.675462000054999</v>
      </c>
      <c r="B1117">
        <v>-115.91363505151899</v>
      </c>
      <c r="C1117" t="s">
        <v>34</v>
      </c>
      <c r="D1117">
        <v>30.0780040693089</v>
      </c>
      <c r="E1117">
        <v>6</v>
      </c>
      <c r="F1117">
        <v>720</v>
      </c>
      <c r="G1117">
        <v>3</v>
      </c>
      <c r="H1117">
        <v>3</v>
      </c>
      <c r="I1117">
        <v>1974</v>
      </c>
      <c r="J1117">
        <v>0</v>
      </c>
      <c r="K1117">
        <v>1</v>
      </c>
      <c r="L1117">
        <v>1</v>
      </c>
      <c r="M1117">
        <v>10</v>
      </c>
      <c r="N1117" t="s">
        <v>41</v>
      </c>
      <c r="O1117" t="s">
        <v>27</v>
      </c>
      <c r="P1117">
        <v>5.8432390865752799</v>
      </c>
      <c r="Q1117">
        <v>2.1338510743832999</v>
      </c>
      <c r="R1117">
        <v>5.4939759383706104</v>
      </c>
      <c r="S1117">
        <v>79</v>
      </c>
      <c r="T1117">
        <v>28</v>
      </c>
      <c r="U1117">
        <v>703.14119125136904</v>
      </c>
      <c r="V1117">
        <v>1.38888888888888E-2</v>
      </c>
      <c r="W1117">
        <v>816891.57363638899</v>
      </c>
      <c r="X1117" t="s">
        <v>40</v>
      </c>
      <c r="Y1117">
        <f>1-921-547-2217</f>
        <v>-3684</v>
      </c>
    </row>
    <row r="1118" spans="1:25" x14ac:dyDescent="0.35">
      <c r="A1118">
        <v>36.506450861106003</v>
      </c>
      <c r="B1118">
        <v>-114.530412038056</v>
      </c>
      <c r="C1118" t="s">
        <v>25</v>
      </c>
      <c r="D1118">
        <v>49.956319742789503</v>
      </c>
      <c r="E1118">
        <v>0</v>
      </c>
      <c r="F1118">
        <v>3122</v>
      </c>
      <c r="G1118">
        <v>1</v>
      </c>
      <c r="H1118">
        <v>2</v>
      </c>
      <c r="I1118">
        <v>1954</v>
      </c>
      <c r="J1118">
        <v>1</v>
      </c>
      <c r="K1118">
        <v>0</v>
      </c>
      <c r="L1118">
        <v>0</v>
      </c>
      <c r="M1118">
        <v>2</v>
      </c>
      <c r="N1118" t="s">
        <v>26</v>
      </c>
      <c r="O1118" t="s">
        <v>27</v>
      </c>
      <c r="P1118">
        <v>6.1510091012938402</v>
      </c>
      <c r="Q1118">
        <v>1.0577600012900801</v>
      </c>
      <c r="R1118">
        <v>3.6282217997258002</v>
      </c>
      <c r="S1118">
        <v>75</v>
      </c>
      <c r="T1118">
        <v>22</v>
      </c>
      <c r="U1118">
        <v>338.01441883018799</v>
      </c>
      <c r="V1118">
        <v>6.40614990390775E-4</v>
      </c>
      <c r="W1118">
        <v>1067702.91098777</v>
      </c>
      <c r="X1118" t="s">
        <v>31</v>
      </c>
      <c r="Y1118">
        <f>1-214-987-8961</f>
        <v>-10161</v>
      </c>
    </row>
    <row r="1119" spans="1:25" x14ac:dyDescent="0.35">
      <c r="A1119">
        <v>41.693911258950301</v>
      </c>
      <c r="B1119">
        <v>-122.044275845979</v>
      </c>
      <c r="C1119" t="s">
        <v>34</v>
      </c>
      <c r="D1119">
        <v>29.674914374263601</v>
      </c>
      <c r="E1119">
        <v>1</v>
      </c>
      <c r="F1119">
        <v>1268</v>
      </c>
      <c r="G1119">
        <v>2</v>
      </c>
      <c r="H1119">
        <v>3</v>
      </c>
      <c r="I1119">
        <v>1984</v>
      </c>
      <c r="J1119">
        <v>1</v>
      </c>
      <c r="K1119">
        <v>0</v>
      </c>
      <c r="L1119">
        <v>1</v>
      </c>
      <c r="M1119">
        <v>6</v>
      </c>
      <c r="N1119" t="s">
        <v>26</v>
      </c>
      <c r="O1119" t="s">
        <v>30</v>
      </c>
      <c r="P1119">
        <v>7.6484693966169797</v>
      </c>
      <c r="Q1119">
        <v>0.525777513760743</v>
      </c>
      <c r="R1119">
        <v>5.7001917821688304</v>
      </c>
      <c r="S1119">
        <v>127</v>
      </c>
      <c r="T1119">
        <v>34</v>
      </c>
      <c r="U1119">
        <v>824.53973998449999</v>
      </c>
      <c r="V1119">
        <v>4.7318611987381704E-3</v>
      </c>
      <c r="W1119">
        <v>1247822.7599195701</v>
      </c>
      <c r="X1119" t="s">
        <v>44</v>
      </c>
      <c r="Y1119">
        <f>1-536-666-3879</f>
        <v>-5080</v>
      </c>
    </row>
    <row r="1120" spans="1:25" x14ac:dyDescent="0.35">
      <c r="A1120">
        <v>39.273782901824397</v>
      </c>
      <c r="B1120">
        <v>-117.67234925565</v>
      </c>
      <c r="C1120" t="s">
        <v>29</v>
      </c>
      <c r="D1120">
        <v>41.948857851346801</v>
      </c>
      <c r="E1120">
        <v>8</v>
      </c>
      <c r="F1120">
        <v>2282</v>
      </c>
      <c r="G1120">
        <v>1</v>
      </c>
      <c r="H1120">
        <v>1</v>
      </c>
      <c r="I1120">
        <v>1959</v>
      </c>
      <c r="J1120">
        <v>0</v>
      </c>
      <c r="K1120">
        <v>1</v>
      </c>
      <c r="L1120">
        <v>1</v>
      </c>
      <c r="M1120">
        <v>2</v>
      </c>
      <c r="N1120" t="s">
        <v>41</v>
      </c>
      <c r="O1120" t="s">
        <v>27</v>
      </c>
      <c r="P1120">
        <v>2.9275505631688001</v>
      </c>
      <c r="Q1120">
        <v>0.76153389241084701</v>
      </c>
      <c r="R1120">
        <v>5.8607327543801304</v>
      </c>
      <c r="S1120">
        <v>175</v>
      </c>
      <c r="T1120">
        <v>25</v>
      </c>
      <c r="U1120">
        <v>625.75662180403106</v>
      </c>
      <c r="V1120">
        <v>8.7642418930762404E-4</v>
      </c>
      <c r="W1120">
        <v>1496487.07762907</v>
      </c>
      <c r="X1120" t="s">
        <v>43</v>
      </c>
      <c r="Y1120">
        <f>1-329-434-6239</f>
        <v>-7001</v>
      </c>
    </row>
    <row r="1121" spans="1:25" x14ac:dyDescent="0.35">
      <c r="A1121">
        <v>36.435488476050402</v>
      </c>
      <c r="B1121">
        <v>-118.696794954941</v>
      </c>
      <c r="C1121" t="s">
        <v>29</v>
      </c>
      <c r="D1121">
        <v>46.290807839632699</v>
      </c>
      <c r="E1121">
        <v>6</v>
      </c>
      <c r="F1121">
        <v>968</v>
      </c>
      <c r="G1121">
        <v>3</v>
      </c>
      <c r="H1121">
        <v>1</v>
      </c>
      <c r="I1121">
        <v>2018</v>
      </c>
      <c r="J1121">
        <v>1</v>
      </c>
      <c r="K1121">
        <v>1</v>
      </c>
      <c r="L1121">
        <v>1</v>
      </c>
      <c r="M1121">
        <v>12</v>
      </c>
      <c r="N1121" t="s">
        <v>26</v>
      </c>
      <c r="O1121" t="s">
        <v>32</v>
      </c>
      <c r="P1121">
        <v>2.82792603023637</v>
      </c>
      <c r="Q1121">
        <v>1.3528881626200699</v>
      </c>
      <c r="R1121">
        <v>8.0702420422284202</v>
      </c>
      <c r="S1121">
        <v>102</v>
      </c>
      <c r="T1121">
        <v>35</v>
      </c>
      <c r="U1121">
        <v>427.109755371907</v>
      </c>
      <c r="V1121">
        <v>1.2396694214876E-2</v>
      </c>
      <c r="W1121">
        <v>717672.99373695604</v>
      </c>
      <c r="X1121" t="s">
        <v>38</v>
      </c>
      <c r="Y1121">
        <f>1-638-400-3254</f>
        <v>-4291</v>
      </c>
    </row>
    <row r="1122" spans="1:25" x14ac:dyDescent="0.35">
      <c r="A1122">
        <v>35.307777965568597</v>
      </c>
      <c r="B1122">
        <v>-123.651322853441</v>
      </c>
      <c r="C1122" t="s">
        <v>25</v>
      </c>
      <c r="D1122">
        <v>2.2723405945844202</v>
      </c>
      <c r="E1122">
        <v>8</v>
      </c>
      <c r="F1122">
        <v>3751</v>
      </c>
      <c r="G1122">
        <v>5</v>
      </c>
      <c r="H1122">
        <v>3</v>
      </c>
      <c r="I1122">
        <v>1992</v>
      </c>
      <c r="J1122">
        <v>1</v>
      </c>
      <c r="K1122">
        <v>1</v>
      </c>
      <c r="L1122">
        <v>1</v>
      </c>
      <c r="M1122">
        <v>13</v>
      </c>
      <c r="N1122" t="s">
        <v>37</v>
      </c>
      <c r="O1122" t="s">
        <v>30</v>
      </c>
      <c r="P1122">
        <v>11.374851296125399</v>
      </c>
      <c r="Q1122">
        <v>1.9520706406478801</v>
      </c>
      <c r="R1122">
        <v>1.8620528894884001</v>
      </c>
      <c r="S1122">
        <v>100</v>
      </c>
      <c r="T1122">
        <v>72</v>
      </c>
      <c r="U1122">
        <v>954.98886178357998</v>
      </c>
      <c r="V1122">
        <v>3.4657424686750202E-3</v>
      </c>
      <c r="W1122">
        <v>4147170.1789010102</v>
      </c>
      <c r="X1122" t="s">
        <v>42</v>
      </c>
      <c r="Y1122">
        <f>1-323-250-3625</f>
        <v>-4197</v>
      </c>
    </row>
    <row r="1123" spans="1:25" x14ac:dyDescent="0.35">
      <c r="A1123">
        <v>41.018831020540802</v>
      </c>
      <c r="B1123">
        <v>-122.186029843923</v>
      </c>
      <c r="C1123" t="s">
        <v>29</v>
      </c>
      <c r="D1123">
        <v>46.760322237201002</v>
      </c>
      <c r="E1123">
        <v>5</v>
      </c>
      <c r="F1123">
        <v>2508</v>
      </c>
      <c r="G1123">
        <v>2</v>
      </c>
      <c r="H1123">
        <v>3</v>
      </c>
      <c r="I1123">
        <v>2007</v>
      </c>
      <c r="J1123">
        <v>0</v>
      </c>
      <c r="K1123">
        <v>0</v>
      </c>
      <c r="L1123">
        <v>0</v>
      </c>
      <c r="M1123">
        <v>4</v>
      </c>
      <c r="N1123" t="s">
        <v>37</v>
      </c>
      <c r="O1123" t="s">
        <v>30</v>
      </c>
      <c r="P1123">
        <v>8.8003281517381904</v>
      </c>
      <c r="Q1123">
        <v>2.2614418833568002</v>
      </c>
      <c r="R1123">
        <v>9.1884719274688198</v>
      </c>
      <c r="S1123">
        <v>180</v>
      </c>
      <c r="T1123">
        <v>46</v>
      </c>
      <c r="U1123">
        <v>400.23560564344001</v>
      </c>
      <c r="V1123">
        <v>1.5948963317384301E-3</v>
      </c>
      <c r="W1123">
        <v>1185084.67424069</v>
      </c>
      <c r="X1123" t="s">
        <v>39</v>
      </c>
      <c r="Y1123">
        <f>1-628-129-9188</f>
        <v>-9944</v>
      </c>
    </row>
    <row r="1124" spans="1:25" x14ac:dyDescent="0.35">
      <c r="A1124">
        <v>35.280095758038598</v>
      </c>
      <c r="B1124">
        <v>-117.418047889433</v>
      </c>
      <c r="C1124" t="s">
        <v>25</v>
      </c>
      <c r="D1124">
        <v>39.251867408880997</v>
      </c>
      <c r="E1124">
        <v>3</v>
      </c>
      <c r="F1124">
        <v>4492</v>
      </c>
      <c r="G1124">
        <v>1</v>
      </c>
      <c r="H1124">
        <v>3</v>
      </c>
      <c r="I1124">
        <v>1951</v>
      </c>
      <c r="J1124">
        <v>1</v>
      </c>
      <c r="K1124">
        <v>0</v>
      </c>
      <c r="L1124">
        <v>0</v>
      </c>
      <c r="M1124">
        <v>3</v>
      </c>
      <c r="N1124" t="s">
        <v>26</v>
      </c>
      <c r="O1124" t="s">
        <v>30</v>
      </c>
      <c r="P1124">
        <v>5.0500667429661199</v>
      </c>
      <c r="Q1124">
        <v>1.7668758563510401</v>
      </c>
      <c r="R1124">
        <v>8.9685187928611398</v>
      </c>
      <c r="S1124">
        <v>119</v>
      </c>
      <c r="T1124">
        <v>40</v>
      </c>
      <c r="U1124">
        <v>927.02839894915905</v>
      </c>
      <c r="V1124">
        <v>6.67853962600178E-4</v>
      </c>
      <c r="W1124">
        <v>4240796.4920679098</v>
      </c>
      <c r="X1124" t="s">
        <v>39</v>
      </c>
      <c r="Y1124">
        <f>1-544-280-9444</f>
        <v>-10267</v>
      </c>
    </row>
    <row r="1125" spans="1:25" x14ac:dyDescent="0.35">
      <c r="A1125">
        <v>40.3859082490589</v>
      </c>
      <c r="B1125">
        <v>-123.110413337465</v>
      </c>
      <c r="C1125" t="s">
        <v>34</v>
      </c>
      <c r="D1125">
        <v>46.835855275342801</v>
      </c>
      <c r="E1125">
        <v>7</v>
      </c>
      <c r="F1125">
        <v>1016</v>
      </c>
      <c r="G1125">
        <v>4</v>
      </c>
      <c r="H1125">
        <v>1</v>
      </c>
      <c r="I1125">
        <v>1968</v>
      </c>
      <c r="J1125">
        <v>0</v>
      </c>
      <c r="K1125">
        <v>1</v>
      </c>
      <c r="L1125">
        <v>1</v>
      </c>
      <c r="M1125">
        <v>9</v>
      </c>
      <c r="N1125" t="s">
        <v>37</v>
      </c>
      <c r="O1125" t="s">
        <v>27</v>
      </c>
      <c r="P1125">
        <v>8.0056826804602803</v>
      </c>
      <c r="Q1125">
        <v>1.8796347633555199</v>
      </c>
      <c r="R1125">
        <v>2.6792843755270601</v>
      </c>
      <c r="S1125">
        <v>113</v>
      </c>
      <c r="T1125">
        <v>22</v>
      </c>
      <c r="U1125">
        <v>856.84595015584705</v>
      </c>
      <c r="V1125">
        <v>8.8582677165354295E-3</v>
      </c>
      <c r="W1125">
        <v>1119623.4724015801</v>
      </c>
      <c r="X1125" t="s">
        <v>31</v>
      </c>
      <c r="Y1125">
        <f>1-616-997-4784</f>
        <v>-6396</v>
      </c>
    </row>
    <row r="1126" spans="1:25" x14ac:dyDescent="0.35">
      <c r="A1126">
        <v>32.539353596197998</v>
      </c>
      <c r="B1126">
        <v>-115.930160978552</v>
      </c>
      <c r="C1126" t="s">
        <v>34</v>
      </c>
      <c r="D1126">
        <v>3.1758558417340099</v>
      </c>
      <c r="E1126">
        <v>6</v>
      </c>
      <c r="F1126">
        <v>1309</v>
      </c>
      <c r="G1126">
        <v>4</v>
      </c>
      <c r="H1126">
        <v>2</v>
      </c>
      <c r="I1126">
        <v>1972</v>
      </c>
      <c r="J1126">
        <v>1</v>
      </c>
      <c r="K1126">
        <v>1</v>
      </c>
      <c r="L1126">
        <v>1</v>
      </c>
      <c r="M1126">
        <v>9</v>
      </c>
      <c r="N1126" t="s">
        <v>41</v>
      </c>
      <c r="O1126" t="s">
        <v>32</v>
      </c>
      <c r="P1126">
        <v>9.8483721894046194</v>
      </c>
      <c r="Q1126">
        <v>1.3943019441067499</v>
      </c>
      <c r="R1126">
        <v>2.9082531488956</v>
      </c>
      <c r="S1126">
        <v>42</v>
      </c>
      <c r="T1126">
        <v>57</v>
      </c>
      <c r="U1126">
        <v>361.14961387503899</v>
      </c>
      <c r="V1126">
        <v>6.8754774637127501E-3</v>
      </c>
      <c r="W1126">
        <v>933977.03877769399</v>
      </c>
      <c r="X1126" t="s">
        <v>40</v>
      </c>
      <c r="Y1126">
        <f>1-964-289-2621</f>
        <v>-3873</v>
      </c>
    </row>
    <row r="1127" spans="1:25" x14ac:dyDescent="0.35">
      <c r="A1127">
        <v>36.041024015369402</v>
      </c>
      <c r="B1127">
        <v>-123.710625583658</v>
      </c>
      <c r="C1127" t="s">
        <v>34</v>
      </c>
      <c r="D1127">
        <v>13.412360144469501</v>
      </c>
      <c r="E1127">
        <v>4</v>
      </c>
      <c r="F1127">
        <v>4244</v>
      </c>
      <c r="G1127">
        <v>2</v>
      </c>
      <c r="H1127">
        <v>3</v>
      </c>
      <c r="I1127">
        <v>2008</v>
      </c>
      <c r="J1127">
        <v>0</v>
      </c>
      <c r="K1127">
        <v>0</v>
      </c>
      <c r="L1127">
        <v>1</v>
      </c>
      <c r="M1127">
        <v>3</v>
      </c>
      <c r="N1127" t="s">
        <v>41</v>
      </c>
      <c r="O1127" t="s">
        <v>32</v>
      </c>
      <c r="P1127">
        <v>13.980214557199099</v>
      </c>
      <c r="Q1127">
        <v>1.52066355710109</v>
      </c>
      <c r="R1127">
        <v>0.62967148740567302</v>
      </c>
      <c r="S1127">
        <v>165</v>
      </c>
      <c r="T1127">
        <v>79</v>
      </c>
      <c r="U1127">
        <v>863.81613199684898</v>
      </c>
      <c r="V1127">
        <v>7.0688030160226205E-4</v>
      </c>
      <c r="W1127">
        <v>3856849.1070070001</v>
      </c>
      <c r="X1127" t="s">
        <v>44</v>
      </c>
      <c r="Y1127">
        <f>1-939-788-2775</f>
        <v>-4501</v>
      </c>
    </row>
    <row r="1128" spans="1:25" x14ac:dyDescent="0.35">
      <c r="A1128">
        <v>36.743105247329801</v>
      </c>
      <c r="B1128">
        <v>-119.182502390823</v>
      </c>
      <c r="C1128" t="s">
        <v>34</v>
      </c>
      <c r="D1128">
        <v>11.3592498448777</v>
      </c>
      <c r="E1128">
        <v>0</v>
      </c>
      <c r="F1128">
        <v>3959</v>
      </c>
      <c r="G1128">
        <v>2</v>
      </c>
      <c r="H1128">
        <v>2</v>
      </c>
      <c r="I1128">
        <v>1950</v>
      </c>
      <c r="J1128">
        <v>1</v>
      </c>
      <c r="K1128">
        <v>0</v>
      </c>
      <c r="L1128">
        <v>1</v>
      </c>
      <c r="M1128">
        <v>14</v>
      </c>
      <c r="N1128" t="s">
        <v>41</v>
      </c>
      <c r="O1128" t="s">
        <v>27</v>
      </c>
      <c r="P1128">
        <v>7.3970924037298396</v>
      </c>
      <c r="Q1128">
        <v>0.85496484925234595</v>
      </c>
      <c r="R1128">
        <v>0.78084149644054102</v>
      </c>
      <c r="S1128">
        <v>130</v>
      </c>
      <c r="T1128">
        <v>72</v>
      </c>
      <c r="U1128">
        <v>643.56589256761504</v>
      </c>
      <c r="V1128">
        <v>3.5362465269007299E-3</v>
      </c>
      <c r="W1128">
        <v>2725297.3565836102</v>
      </c>
      <c r="X1128" t="s">
        <v>43</v>
      </c>
      <c r="Y1128">
        <f>1-955-617-7557</f>
        <v>-9128</v>
      </c>
    </row>
    <row r="1129" spans="1:25" x14ac:dyDescent="0.35">
      <c r="A1129">
        <v>34.094764133047597</v>
      </c>
      <c r="B1129">
        <v>-121.436685875111</v>
      </c>
      <c r="C1129" t="s">
        <v>29</v>
      </c>
      <c r="D1129">
        <v>44.964640133543099</v>
      </c>
      <c r="E1129">
        <v>3</v>
      </c>
      <c r="F1129">
        <v>3126</v>
      </c>
      <c r="G1129">
        <v>5</v>
      </c>
      <c r="H1129">
        <v>3</v>
      </c>
      <c r="I1129">
        <v>1960</v>
      </c>
      <c r="J1129">
        <v>1</v>
      </c>
      <c r="K1129">
        <v>0</v>
      </c>
      <c r="L1129">
        <v>0</v>
      </c>
      <c r="M1129">
        <v>8</v>
      </c>
      <c r="N1129" t="s">
        <v>41</v>
      </c>
      <c r="O1129" t="s">
        <v>30</v>
      </c>
      <c r="P1129">
        <v>7.0000462447389804</v>
      </c>
      <c r="Q1129">
        <v>1.1421930039866901</v>
      </c>
      <c r="R1129">
        <v>1.86103004025436</v>
      </c>
      <c r="S1129">
        <v>95</v>
      </c>
      <c r="T1129">
        <v>79</v>
      </c>
      <c r="U1129">
        <v>375.23885288977698</v>
      </c>
      <c r="V1129">
        <v>2.5591810620601398E-3</v>
      </c>
      <c r="W1129">
        <v>1488276.5879055101</v>
      </c>
      <c r="X1129" t="s">
        <v>43</v>
      </c>
      <c r="Y1129">
        <f>1-926-883-5500</f>
        <v>-7308</v>
      </c>
    </row>
    <row r="1130" spans="1:25" x14ac:dyDescent="0.35">
      <c r="A1130">
        <v>36.289489650548497</v>
      </c>
      <c r="B1130">
        <v>-124.28564350934499</v>
      </c>
      <c r="C1130" t="s">
        <v>34</v>
      </c>
      <c r="D1130">
        <v>8.7074027545734403</v>
      </c>
      <c r="E1130">
        <v>8</v>
      </c>
      <c r="F1130">
        <v>4067</v>
      </c>
      <c r="G1130">
        <v>5</v>
      </c>
      <c r="H1130">
        <v>3</v>
      </c>
      <c r="I1130">
        <v>2017</v>
      </c>
      <c r="J1130">
        <v>0</v>
      </c>
      <c r="K1130">
        <v>1</v>
      </c>
      <c r="L1130">
        <v>1</v>
      </c>
      <c r="M1130">
        <v>3</v>
      </c>
      <c r="N1130" t="s">
        <v>35</v>
      </c>
      <c r="O1130" t="s">
        <v>32</v>
      </c>
      <c r="P1130">
        <v>14.815930526572499</v>
      </c>
      <c r="Q1130">
        <v>1.4127085387957099</v>
      </c>
      <c r="R1130">
        <v>6.1633300841021699</v>
      </c>
      <c r="S1130">
        <v>195</v>
      </c>
      <c r="T1130">
        <v>44</v>
      </c>
      <c r="U1130">
        <v>976.21192248933301</v>
      </c>
      <c r="V1130">
        <v>7.3764445537250996E-4</v>
      </c>
      <c r="W1130">
        <v>4518296.7722220197</v>
      </c>
      <c r="X1130" t="s">
        <v>28</v>
      </c>
      <c r="Y1130">
        <f>1-669-181-9229</f>
        <v>-10078</v>
      </c>
    </row>
    <row r="1131" spans="1:25" x14ac:dyDescent="0.35">
      <c r="A1131">
        <v>34.242409009390997</v>
      </c>
      <c r="B1131">
        <v>-117.181418030419</v>
      </c>
      <c r="C1131" t="s">
        <v>25</v>
      </c>
      <c r="D1131">
        <v>9.9929253319283209</v>
      </c>
      <c r="E1131">
        <v>0</v>
      </c>
      <c r="F1131">
        <v>4490</v>
      </c>
      <c r="G1131">
        <v>5</v>
      </c>
      <c r="H1131">
        <v>1</v>
      </c>
      <c r="I1131">
        <v>2012</v>
      </c>
      <c r="J1131">
        <v>0</v>
      </c>
      <c r="K1131">
        <v>0</v>
      </c>
      <c r="L1131">
        <v>1</v>
      </c>
      <c r="M1131">
        <v>12</v>
      </c>
      <c r="N1131" t="s">
        <v>41</v>
      </c>
      <c r="O1131" t="s">
        <v>30</v>
      </c>
      <c r="P1131">
        <v>3.0246255269422702</v>
      </c>
      <c r="Q1131">
        <v>1.5136348711506999</v>
      </c>
      <c r="R1131">
        <v>3.8634033197948998</v>
      </c>
      <c r="S1131">
        <v>12</v>
      </c>
      <c r="T1131">
        <v>69</v>
      </c>
      <c r="U1131">
        <v>236.23149463816301</v>
      </c>
      <c r="V1131">
        <v>2.6726057906458702E-3</v>
      </c>
      <c r="W1131">
        <v>1288989.04382713</v>
      </c>
      <c r="X1131" t="s">
        <v>36</v>
      </c>
      <c r="Y1131">
        <f>1-307-884-7122</f>
        <v>-8312</v>
      </c>
    </row>
    <row r="1132" spans="1:25" x14ac:dyDescent="0.35">
      <c r="A1132">
        <v>33.158689948432603</v>
      </c>
      <c r="B1132">
        <v>-117.231599394181</v>
      </c>
      <c r="C1132" t="s">
        <v>34</v>
      </c>
      <c r="D1132">
        <v>35.2322356510576</v>
      </c>
      <c r="E1132">
        <v>7</v>
      </c>
      <c r="F1132">
        <v>2519</v>
      </c>
      <c r="G1132">
        <v>5</v>
      </c>
      <c r="H1132">
        <v>2</v>
      </c>
      <c r="I1132">
        <v>1962</v>
      </c>
      <c r="J1132">
        <v>1</v>
      </c>
      <c r="K1132">
        <v>1</v>
      </c>
      <c r="L1132">
        <v>1</v>
      </c>
      <c r="M1132">
        <v>7</v>
      </c>
      <c r="N1132" t="s">
        <v>35</v>
      </c>
      <c r="O1132" t="s">
        <v>30</v>
      </c>
      <c r="P1132">
        <v>2.16678540420369</v>
      </c>
      <c r="Q1132">
        <v>0.56662558923877204</v>
      </c>
      <c r="R1132">
        <v>6.5057376663506998</v>
      </c>
      <c r="S1132">
        <v>135</v>
      </c>
      <c r="T1132">
        <v>50</v>
      </c>
      <c r="U1132">
        <v>773.11043086310701</v>
      </c>
      <c r="V1132">
        <v>2.7788805081381501E-3</v>
      </c>
      <c r="W1132">
        <v>2285574.7403885699</v>
      </c>
      <c r="X1132" t="s">
        <v>42</v>
      </c>
      <c r="Y1132">
        <f>1-301-824-7317</f>
        <v>-8441</v>
      </c>
    </row>
    <row r="1133" spans="1:25" x14ac:dyDescent="0.35">
      <c r="A1133">
        <v>32.703181605478903</v>
      </c>
      <c r="B1133">
        <v>-118.86533130032301</v>
      </c>
      <c r="C1133" t="s">
        <v>29</v>
      </c>
      <c r="D1133">
        <v>1.6518696687319701</v>
      </c>
      <c r="E1133">
        <v>7</v>
      </c>
      <c r="F1133">
        <v>1517</v>
      </c>
      <c r="G1133">
        <v>5</v>
      </c>
      <c r="H1133">
        <v>2</v>
      </c>
      <c r="I1133">
        <v>1955</v>
      </c>
      <c r="J1133">
        <v>0</v>
      </c>
      <c r="K1133">
        <v>0</v>
      </c>
      <c r="L1133">
        <v>1</v>
      </c>
      <c r="M1133">
        <v>10</v>
      </c>
      <c r="N1133" t="s">
        <v>35</v>
      </c>
      <c r="O1133" t="s">
        <v>30</v>
      </c>
      <c r="P1133">
        <v>9.6487013559587709</v>
      </c>
      <c r="Q1133">
        <v>1.59306128395976</v>
      </c>
      <c r="R1133">
        <v>4.2145971789685301</v>
      </c>
      <c r="S1133">
        <v>197</v>
      </c>
      <c r="T1133">
        <v>65</v>
      </c>
      <c r="U1133">
        <v>545.65428436054697</v>
      </c>
      <c r="V1133">
        <v>6.5919578114700004E-3</v>
      </c>
      <c r="W1133">
        <v>1076037.09083173</v>
      </c>
      <c r="X1133" t="s">
        <v>28</v>
      </c>
      <c r="Y1133">
        <f>1-641-511-1305</f>
        <v>-2456</v>
      </c>
    </row>
    <row r="1134" spans="1:25" x14ac:dyDescent="0.35">
      <c r="A1134">
        <v>35.2374524297215</v>
      </c>
      <c r="B1134">
        <v>-115.996254088383</v>
      </c>
      <c r="C1134" t="s">
        <v>25</v>
      </c>
      <c r="D1134">
        <v>48.752930929052603</v>
      </c>
      <c r="E1134">
        <v>1</v>
      </c>
      <c r="F1134">
        <v>2337</v>
      </c>
      <c r="G1134">
        <v>2</v>
      </c>
      <c r="H1134">
        <v>1</v>
      </c>
      <c r="I1134">
        <v>1991</v>
      </c>
      <c r="J1134">
        <v>0</v>
      </c>
      <c r="K1134">
        <v>1</v>
      </c>
      <c r="L1134">
        <v>0</v>
      </c>
      <c r="M1134">
        <v>4</v>
      </c>
      <c r="N1134" t="s">
        <v>26</v>
      </c>
      <c r="O1134" t="s">
        <v>32</v>
      </c>
      <c r="P1134">
        <v>4.8946529877403302</v>
      </c>
      <c r="Q1134">
        <v>0.74828256145815297</v>
      </c>
      <c r="R1134">
        <v>0.97559524989759505</v>
      </c>
      <c r="S1134">
        <v>74</v>
      </c>
      <c r="T1134">
        <v>60</v>
      </c>
      <c r="U1134">
        <v>242.613554999645</v>
      </c>
      <c r="V1134">
        <v>1.71159606332905E-3</v>
      </c>
      <c r="W1134">
        <v>747820.98872290901</v>
      </c>
      <c r="X1134" t="s">
        <v>40</v>
      </c>
      <c r="Y1134">
        <f>1-358-128-1556</f>
        <v>-2041</v>
      </c>
    </row>
    <row r="1135" spans="1:25" x14ac:dyDescent="0.35">
      <c r="A1135">
        <v>40.463930904024103</v>
      </c>
      <c r="B1135">
        <v>-117.301549698382</v>
      </c>
      <c r="C1135" t="s">
        <v>25</v>
      </c>
      <c r="D1135">
        <v>40.736165821851202</v>
      </c>
      <c r="E1135">
        <v>1</v>
      </c>
      <c r="F1135">
        <v>2020</v>
      </c>
      <c r="G1135">
        <v>1</v>
      </c>
      <c r="H1135">
        <v>2</v>
      </c>
      <c r="I1135">
        <v>1981</v>
      </c>
      <c r="J1135">
        <v>1</v>
      </c>
      <c r="K1135">
        <v>1</v>
      </c>
      <c r="L1135">
        <v>1</v>
      </c>
      <c r="M1135">
        <v>13</v>
      </c>
      <c r="N1135" t="s">
        <v>37</v>
      </c>
      <c r="O1135" t="s">
        <v>32</v>
      </c>
      <c r="P1135">
        <v>5.88577388481988</v>
      </c>
      <c r="Q1135">
        <v>1.10061014857988</v>
      </c>
      <c r="R1135">
        <v>2.2434375590391098</v>
      </c>
      <c r="S1135">
        <v>151</v>
      </c>
      <c r="T1135">
        <v>60</v>
      </c>
      <c r="U1135">
        <v>694.44086637620899</v>
      </c>
      <c r="V1135">
        <v>6.4356435643564301E-3</v>
      </c>
      <c r="W1135">
        <v>1691308.69872058</v>
      </c>
      <c r="X1135" t="s">
        <v>33</v>
      </c>
      <c r="Y1135">
        <f>1-622-634-8797</f>
        <v>-10052</v>
      </c>
    </row>
    <row r="1136" spans="1:25" x14ac:dyDescent="0.35">
      <c r="A1136">
        <v>34.415890528322898</v>
      </c>
      <c r="B1136">
        <v>-115.74527130401501</v>
      </c>
      <c r="C1136" t="s">
        <v>25</v>
      </c>
      <c r="D1136">
        <v>5.8053240367980203</v>
      </c>
      <c r="E1136">
        <v>6</v>
      </c>
      <c r="F1136">
        <v>993</v>
      </c>
      <c r="G1136">
        <v>1</v>
      </c>
      <c r="H1136">
        <v>3</v>
      </c>
      <c r="I1136">
        <v>2022</v>
      </c>
      <c r="J1136">
        <v>1</v>
      </c>
      <c r="K1136">
        <v>0</v>
      </c>
      <c r="L1136">
        <v>1</v>
      </c>
      <c r="M1136">
        <v>5</v>
      </c>
      <c r="N1136" t="s">
        <v>35</v>
      </c>
      <c r="O1136" t="s">
        <v>32</v>
      </c>
      <c r="P1136">
        <v>12.5962242118029</v>
      </c>
      <c r="Q1136">
        <v>2.0856363736219699</v>
      </c>
      <c r="R1136">
        <v>2.22449835062117</v>
      </c>
      <c r="S1136">
        <v>134</v>
      </c>
      <c r="T1136">
        <v>77</v>
      </c>
      <c r="U1136">
        <v>694.10306193895599</v>
      </c>
      <c r="V1136">
        <v>5.0352467270896196E-3</v>
      </c>
      <c r="W1136">
        <v>962784.12044607894</v>
      </c>
      <c r="X1136" t="s">
        <v>43</v>
      </c>
      <c r="Y1136">
        <f>1-201-274-8342</f>
        <v>-8816</v>
      </c>
    </row>
    <row r="1137" spans="1:25" x14ac:dyDescent="0.35">
      <c r="A1137">
        <v>40.2152148256869</v>
      </c>
      <c r="B1137">
        <v>-115.854773933102</v>
      </c>
      <c r="C1137" t="s">
        <v>25</v>
      </c>
      <c r="D1137">
        <v>30.751113349656599</v>
      </c>
      <c r="E1137">
        <v>2</v>
      </c>
      <c r="F1137">
        <v>3897</v>
      </c>
      <c r="G1137">
        <v>2</v>
      </c>
      <c r="H1137">
        <v>3</v>
      </c>
      <c r="I1137">
        <v>2015</v>
      </c>
      <c r="J1137">
        <v>1</v>
      </c>
      <c r="K1137">
        <v>1</v>
      </c>
      <c r="L1137">
        <v>0</v>
      </c>
      <c r="M1137">
        <v>12</v>
      </c>
      <c r="N1137" t="s">
        <v>35</v>
      </c>
      <c r="O1137" t="s">
        <v>30</v>
      </c>
      <c r="P1137">
        <v>5.4155833322431297</v>
      </c>
      <c r="Q1137">
        <v>1.97319162673872</v>
      </c>
      <c r="R1137">
        <v>0.53357849206864705</v>
      </c>
      <c r="S1137">
        <v>23</v>
      </c>
      <c r="T1137">
        <v>29</v>
      </c>
      <c r="U1137">
        <v>509.93595223982601</v>
      </c>
      <c r="V1137">
        <v>3.0792917628945302E-3</v>
      </c>
      <c r="W1137">
        <v>2329762.3670035801</v>
      </c>
      <c r="X1137" t="s">
        <v>33</v>
      </c>
      <c r="Y1137">
        <f>1-647-401-4688</f>
        <v>-5735</v>
      </c>
    </row>
    <row r="1138" spans="1:25" x14ac:dyDescent="0.35">
      <c r="A1138">
        <v>33.4395441045653</v>
      </c>
      <c r="B1138">
        <v>-114.454870472026</v>
      </c>
      <c r="C1138" t="s">
        <v>34</v>
      </c>
      <c r="D1138">
        <v>10.076416882638499</v>
      </c>
      <c r="E1138">
        <v>3</v>
      </c>
      <c r="F1138">
        <v>4525</v>
      </c>
      <c r="G1138">
        <v>5</v>
      </c>
      <c r="H1138">
        <v>3</v>
      </c>
      <c r="I1138">
        <v>2007</v>
      </c>
      <c r="J1138">
        <v>0</v>
      </c>
      <c r="K1138">
        <v>0</v>
      </c>
      <c r="L1138">
        <v>1</v>
      </c>
      <c r="M1138">
        <v>10</v>
      </c>
      <c r="N1138" t="s">
        <v>26</v>
      </c>
      <c r="O1138" t="s">
        <v>32</v>
      </c>
      <c r="P1138">
        <v>14.2857009826104</v>
      </c>
      <c r="Q1138">
        <v>1.71492549496688</v>
      </c>
      <c r="R1138">
        <v>3.9868981455665802</v>
      </c>
      <c r="S1138">
        <v>134</v>
      </c>
      <c r="T1138">
        <v>73</v>
      </c>
      <c r="U1138">
        <v>380.25316607682998</v>
      </c>
      <c r="V1138">
        <v>2.20994475138121E-3</v>
      </c>
      <c r="W1138">
        <v>2133896.74175834</v>
      </c>
      <c r="X1138" t="s">
        <v>40</v>
      </c>
      <c r="Y1138">
        <f>1-678-439-3129</f>
        <v>-4245</v>
      </c>
    </row>
    <row r="1139" spans="1:25" x14ac:dyDescent="0.35">
      <c r="A1139">
        <v>37.2457899188339</v>
      </c>
      <c r="B1139">
        <v>-122.592181772141</v>
      </c>
      <c r="C1139" t="s">
        <v>29</v>
      </c>
      <c r="D1139">
        <v>29.191030858935601</v>
      </c>
      <c r="E1139">
        <v>7</v>
      </c>
      <c r="F1139">
        <v>2779</v>
      </c>
      <c r="G1139">
        <v>1</v>
      </c>
      <c r="H1139">
        <v>2</v>
      </c>
      <c r="I1139">
        <v>1967</v>
      </c>
      <c r="J1139">
        <v>1</v>
      </c>
      <c r="K1139">
        <v>1</v>
      </c>
      <c r="L1139">
        <v>1</v>
      </c>
      <c r="M1139">
        <v>4</v>
      </c>
      <c r="N1139" t="s">
        <v>35</v>
      </c>
      <c r="O1139" t="s">
        <v>30</v>
      </c>
      <c r="P1139">
        <v>3.8761442525416601</v>
      </c>
      <c r="Q1139">
        <v>2.0777867448698402</v>
      </c>
      <c r="R1139">
        <v>0.220987751439196</v>
      </c>
      <c r="S1139">
        <v>35</v>
      </c>
      <c r="T1139">
        <v>21</v>
      </c>
      <c r="U1139">
        <v>419.73739771118602</v>
      </c>
      <c r="V1139">
        <v>1.43936667866138E-3</v>
      </c>
      <c r="W1139">
        <v>1371085.7781674101</v>
      </c>
      <c r="X1139" t="s">
        <v>44</v>
      </c>
      <c r="Y1139">
        <f>1-902-453-9263</f>
        <v>-10617</v>
      </c>
    </row>
    <row r="1140" spans="1:25" x14ac:dyDescent="0.35">
      <c r="A1140">
        <v>38.810328915065199</v>
      </c>
      <c r="B1140">
        <v>-118.65797565284601</v>
      </c>
      <c r="C1140" t="s">
        <v>25</v>
      </c>
      <c r="D1140">
        <v>6.1760172801744</v>
      </c>
      <c r="E1140">
        <v>8</v>
      </c>
      <c r="F1140">
        <v>3452</v>
      </c>
      <c r="G1140">
        <v>3</v>
      </c>
      <c r="H1140">
        <v>1</v>
      </c>
      <c r="I1140">
        <v>1994</v>
      </c>
      <c r="J1140">
        <v>1</v>
      </c>
      <c r="K1140">
        <v>1</v>
      </c>
      <c r="L1140">
        <v>0</v>
      </c>
      <c r="M1140">
        <v>10</v>
      </c>
      <c r="N1140" t="s">
        <v>26</v>
      </c>
      <c r="O1140" t="s">
        <v>30</v>
      </c>
      <c r="P1140">
        <v>5.7328259375600004</v>
      </c>
      <c r="Q1140">
        <v>1.56720020335569</v>
      </c>
      <c r="R1140">
        <v>4.1015743490882199</v>
      </c>
      <c r="S1140">
        <v>100</v>
      </c>
      <c r="T1140">
        <v>28</v>
      </c>
      <c r="U1140">
        <v>979.84186789735702</v>
      </c>
      <c r="V1140">
        <v>2.89687137891077E-3</v>
      </c>
      <c r="W1140">
        <v>3624148.8762403601</v>
      </c>
      <c r="X1140" t="s">
        <v>28</v>
      </c>
      <c r="Y1140">
        <f>1-442-280-5165</f>
        <v>-5886</v>
      </c>
    </row>
    <row r="1141" spans="1:25" x14ac:dyDescent="0.35">
      <c r="A1141">
        <v>34.648973034667002</v>
      </c>
      <c r="B1141">
        <v>-116.33980699044</v>
      </c>
      <c r="C1141" t="s">
        <v>29</v>
      </c>
      <c r="D1141">
        <v>44.154433820548903</v>
      </c>
      <c r="E1141">
        <v>5</v>
      </c>
      <c r="F1141">
        <v>4344</v>
      </c>
      <c r="G1141">
        <v>3</v>
      </c>
      <c r="H1141">
        <v>3</v>
      </c>
      <c r="I1141">
        <v>1985</v>
      </c>
      <c r="J1141">
        <v>0</v>
      </c>
      <c r="K1141">
        <v>1</v>
      </c>
      <c r="L1141">
        <v>0</v>
      </c>
      <c r="M1141">
        <v>10</v>
      </c>
      <c r="N1141" t="s">
        <v>37</v>
      </c>
      <c r="O1141" t="s">
        <v>30</v>
      </c>
      <c r="P1141">
        <v>9.9879681885116494</v>
      </c>
      <c r="Q1141">
        <v>1.3152680753384001</v>
      </c>
      <c r="R1141">
        <v>3.0681220017622701</v>
      </c>
      <c r="S1141">
        <v>3</v>
      </c>
      <c r="T1141">
        <v>34</v>
      </c>
      <c r="U1141">
        <v>844.12844238307503</v>
      </c>
      <c r="V1141">
        <v>2.3020257826887598E-3</v>
      </c>
      <c r="W1141">
        <v>4026387.2526573101</v>
      </c>
      <c r="X1141" t="s">
        <v>36</v>
      </c>
      <c r="Y1141">
        <f>1-638-530-1120</f>
        <v>-2287</v>
      </c>
    </row>
    <row r="1142" spans="1:25" x14ac:dyDescent="0.35">
      <c r="A1142">
        <v>41.187115616615998</v>
      </c>
      <c r="B1142">
        <v>-114.52955858062499</v>
      </c>
      <c r="C1142" t="s">
        <v>25</v>
      </c>
      <c r="D1142">
        <v>20.626057804343901</v>
      </c>
      <c r="E1142">
        <v>2</v>
      </c>
      <c r="F1142">
        <v>1420</v>
      </c>
      <c r="G1142">
        <v>2</v>
      </c>
      <c r="H1142">
        <v>1</v>
      </c>
      <c r="I1142">
        <v>2017</v>
      </c>
      <c r="J1142">
        <v>0</v>
      </c>
      <c r="K1142">
        <v>0</v>
      </c>
      <c r="L1142">
        <v>0</v>
      </c>
      <c r="M1142">
        <v>11</v>
      </c>
      <c r="N1142" t="s">
        <v>37</v>
      </c>
      <c r="O1142" t="s">
        <v>32</v>
      </c>
      <c r="P1142">
        <v>11.5651130250476</v>
      </c>
      <c r="Q1142">
        <v>0.91775629040961304</v>
      </c>
      <c r="R1142">
        <v>7.3896859468022402</v>
      </c>
      <c r="S1142">
        <v>64</v>
      </c>
      <c r="T1142">
        <v>68</v>
      </c>
      <c r="U1142">
        <v>325.917230715529</v>
      </c>
      <c r="V1142">
        <v>7.7464788732394298E-3</v>
      </c>
      <c r="W1142">
        <v>635186.81604314095</v>
      </c>
      <c r="X1142" t="s">
        <v>31</v>
      </c>
      <c r="Y1142">
        <f>1-200-413-3243</f>
        <v>-3855</v>
      </c>
    </row>
    <row r="1143" spans="1:25" x14ac:dyDescent="0.35">
      <c r="A1143">
        <v>37.241610628322697</v>
      </c>
      <c r="B1143">
        <v>-118.01653961378901</v>
      </c>
      <c r="C1143" t="s">
        <v>25</v>
      </c>
      <c r="D1143">
        <v>41.2604896934211</v>
      </c>
      <c r="E1143">
        <v>8</v>
      </c>
      <c r="F1143">
        <v>1246</v>
      </c>
      <c r="G1143">
        <v>3</v>
      </c>
      <c r="H1143">
        <v>1</v>
      </c>
      <c r="I1143">
        <v>1990</v>
      </c>
      <c r="J1143">
        <v>0</v>
      </c>
      <c r="K1143">
        <v>0</v>
      </c>
      <c r="L1143">
        <v>0</v>
      </c>
      <c r="M1143">
        <v>4</v>
      </c>
      <c r="N1143" t="s">
        <v>26</v>
      </c>
      <c r="O1143" t="s">
        <v>32</v>
      </c>
      <c r="P1143">
        <v>14.948243250401999</v>
      </c>
      <c r="Q1143">
        <v>2.4195537630920998</v>
      </c>
      <c r="R1143">
        <v>7.36913746445319</v>
      </c>
      <c r="S1143">
        <v>121</v>
      </c>
      <c r="T1143">
        <v>64</v>
      </c>
      <c r="U1143">
        <v>299.11801604075401</v>
      </c>
      <c r="V1143">
        <v>3.2102728731942202E-3</v>
      </c>
      <c r="W1143">
        <v>586184.13890641194</v>
      </c>
      <c r="X1143" t="s">
        <v>38</v>
      </c>
      <c r="Y1143">
        <f>1-257-272-5968</f>
        <v>-6496</v>
      </c>
    </row>
    <row r="1144" spans="1:25" x14ac:dyDescent="0.35">
      <c r="A1144">
        <v>39.223045352805997</v>
      </c>
      <c r="B1144">
        <v>-117.97612491971999</v>
      </c>
      <c r="C1144" t="s">
        <v>34</v>
      </c>
      <c r="D1144">
        <v>33.380428630310597</v>
      </c>
      <c r="E1144">
        <v>8</v>
      </c>
      <c r="F1144">
        <v>4289</v>
      </c>
      <c r="G1144">
        <v>2</v>
      </c>
      <c r="H1144">
        <v>1</v>
      </c>
      <c r="I1144">
        <v>2017</v>
      </c>
      <c r="J1144">
        <v>1</v>
      </c>
      <c r="K1144">
        <v>0</v>
      </c>
      <c r="L1144">
        <v>0</v>
      </c>
      <c r="M1144">
        <v>7</v>
      </c>
      <c r="N1144" t="s">
        <v>37</v>
      </c>
      <c r="O1144" t="s">
        <v>30</v>
      </c>
      <c r="P1144">
        <v>12.4501505738533</v>
      </c>
      <c r="Q1144">
        <v>1.98913620514932</v>
      </c>
      <c r="R1144">
        <v>6.6427030936483904</v>
      </c>
      <c r="S1144">
        <v>89</v>
      </c>
      <c r="T1144">
        <v>48</v>
      </c>
      <c r="U1144">
        <v>643.71485698266497</v>
      </c>
      <c r="V1144">
        <v>1.63208207041268E-3</v>
      </c>
      <c r="W1144">
        <v>2968654.6984207002</v>
      </c>
      <c r="X1144" t="s">
        <v>39</v>
      </c>
      <c r="Y1144">
        <f>1-280-915-1513</f>
        <v>-2707</v>
      </c>
    </row>
    <row r="1145" spans="1:25" x14ac:dyDescent="0.35">
      <c r="A1145">
        <v>34.265372339986897</v>
      </c>
      <c r="B1145">
        <v>-120.97160458730001</v>
      </c>
      <c r="C1145" t="s">
        <v>25</v>
      </c>
      <c r="D1145">
        <v>36.294572892042197</v>
      </c>
      <c r="E1145">
        <v>0</v>
      </c>
      <c r="F1145">
        <v>2729</v>
      </c>
      <c r="G1145">
        <v>3</v>
      </c>
      <c r="H1145">
        <v>1</v>
      </c>
      <c r="I1145">
        <v>1951</v>
      </c>
      <c r="J1145">
        <v>1</v>
      </c>
      <c r="K1145">
        <v>1</v>
      </c>
      <c r="L1145">
        <v>1</v>
      </c>
      <c r="M1145">
        <v>5</v>
      </c>
      <c r="N1145" t="s">
        <v>26</v>
      </c>
      <c r="O1145" t="s">
        <v>32</v>
      </c>
      <c r="P1145">
        <v>10.2935970727978</v>
      </c>
      <c r="Q1145">
        <v>2.3646149121784799</v>
      </c>
      <c r="R1145">
        <v>7.8558261716290501</v>
      </c>
      <c r="S1145">
        <v>169</v>
      </c>
      <c r="T1145">
        <v>69</v>
      </c>
      <c r="U1145">
        <v>781.46975903285204</v>
      </c>
      <c r="V1145">
        <v>1.8321729571271501E-3</v>
      </c>
      <c r="W1145">
        <v>2374744.7769698398</v>
      </c>
      <c r="X1145" t="s">
        <v>31</v>
      </c>
      <c r="Y1145">
        <f>1-916-899-5809</f>
        <v>-7623</v>
      </c>
    </row>
    <row r="1146" spans="1:25" x14ac:dyDescent="0.35">
      <c r="A1146">
        <v>35.9503872135883</v>
      </c>
      <c r="B1146">
        <v>-118.77712430434001</v>
      </c>
      <c r="C1146" t="s">
        <v>34</v>
      </c>
      <c r="D1146">
        <v>22.179015086548599</v>
      </c>
      <c r="E1146">
        <v>1</v>
      </c>
      <c r="F1146">
        <v>2834</v>
      </c>
      <c r="G1146">
        <v>1</v>
      </c>
      <c r="H1146">
        <v>1</v>
      </c>
      <c r="I1146">
        <v>1961</v>
      </c>
      <c r="J1146">
        <v>0</v>
      </c>
      <c r="K1146">
        <v>1</v>
      </c>
      <c r="L1146">
        <v>0</v>
      </c>
      <c r="M1146">
        <v>6</v>
      </c>
      <c r="N1146" t="s">
        <v>35</v>
      </c>
      <c r="O1146" t="s">
        <v>27</v>
      </c>
      <c r="P1146">
        <v>10.8548851524626</v>
      </c>
      <c r="Q1146">
        <v>2.1127194467085402</v>
      </c>
      <c r="R1146">
        <v>6.7013538318946297</v>
      </c>
      <c r="S1146">
        <v>19</v>
      </c>
      <c r="T1146">
        <v>63</v>
      </c>
      <c r="U1146">
        <v>528.08742282618698</v>
      </c>
      <c r="V1146">
        <v>2.1171489061397302E-3</v>
      </c>
      <c r="W1146">
        <v>1632522.75421565</v>
      </c>
      <c r="X1146" t="s">
        <v>36</v>
      </c>
      <c r="Y1146">
        <f>1-872-857-2798</f>
        <v>-4526</v>
      </c>
    </row>
    <row r="1147" spans="1:25" x14ac:dyDescent="0.35">
      <c r="A1147">
        <v>37.482660589991603</v>
      </c>
      <c r="B1147">
        <v>-119.03720941968901</v>
      </c>
      <c r="C1147" t="s">
        <v>34</v>
      </c>
      <c r="D1147">
        <v>1.13676395622337</v>
      </c>
      <c r="E1147">
        <v>2</v>
      </c>
      <c r="F1147">
        <v>1542</v>
      </c>
      <c r="G1147">
        <v>4</v>
      </c>
      <c r="H1147">
        <v>3</v>
      </c>
      <c r="I1147">
        <v>2016</v>
      </c>
      <c r="J1147">
        <v>1</v>
      </c>
      <c r="K1147">
        <v>1</v>
      </c>
      <c r="L1147">
        <v>1</v>
      </c>
      <c r="M1147">
        <v>5</v>
      </c>
      <c r="N1147" t="s">
        <v>37</v>
      </c>
      <c r="O1147" t="s">
        <v>32</v>
      </c>
      <c r="P1147">
        <v>4.96805548791788</v>
      </c>
      <c r="Q1147">
        <v>1.05427965216407</v>
      </c>
      <c r="R1147">
        <v>2.3908351682284299</v>
      </c>
      <c r="S1147">
        <v>122</v>
      </c>
      <c r="T1147">
        <v>22</v>
      </c>
      <c r="U1147">
        <v>473.192058838381</v>
      </c>
      <c r="V1147">
        <v>3.2425421530479898E-3</v>
      </c>
      <c r="W1147">
        <v>1138564.3893345799</v>
      </c>
      <c r="X1147" t="s">
        <v>42</v>
      </c>
      <c r="Y1147">
        <f>1-549-634-6400</f>
        <v>-7582</v>
      </c>
    </row>
    <row r="1148" spans="1:25" x14ac:dyDescent="0.35">
      <c r="A1148">
        <v>34.631788387156199</v>
      </c>
      <c r="B1148">
        <v>-115.56025957152499</v>
      </c>
      <c r="C1148" t="s">
        <v>29</v>
      </c>
      <c r="D1148">
        <v>19.030370504725798</v>
      </c>
      <c r="E1148">
        <v>1</v>
      </c>
      <c r="F1148">
        <v>3583</v>
      </c>
      <c r="G1148">
        <v>5</v>
      </c>
      <c r="H1148">
        <v>2</v>
      </c>
      <c r="I1148">
        <v>2015</v>
      </c>
      <c r="J1148">
        <v>0</v>
      </c>
      <c r="K1148">
        <v>1</v>
      </c>
      <c r="L1148">
        <v>1</v>
      </c>
      <c r="M1148">
        <v>12</v>
      </c>
      <c r="N1148" t="s">
        <v>35</v>
      </c>
      <c r="O1148" t="s">
        <v>27</v>
      </c>
      <c r="P1148">
        <v>4.2317790814434497</v>
      </c>
      <c r="Q1148">
        <v>0.58197366433933695</v>
      </c>
      <c r="R1148">
        <v>1.9943474491795401</v>
      </c>
      <c r="S1148">
        <v>172</v>
      </c>
      <c r="T1148">
        <v>46</v>
      </c>
      <c r="U1148">
        <v>890.97042447155195</v>
      </c>
      <c r="V1148">
        <v>3.349148758024E-3</v>
      </c>
      <c r="W1148">
        <v>3597345.8193026599</v>
      </c>
      <c r="X1148" t="s">
        <v>28</v>
      </c>
      <c r="Y1148">
        <f>1-784-687-4737</f>
        <v>-6207</v>
      </c>
    </row>
    <row r="1149" spans="1:25" x14ac:dyDescent="0.35">
      <c r="A1149">
        <v>36.878332495645601</v>
      </c>
      <c r="B1149">
        <v>-114.91660157436399</v>
      </c>
      <c r="C1149" t="s">
        <v>25</v>
      </c>
      <c r="D1149">
        <v>7.6745314572907501</v>
      </c>
      <c r="E1149">
        <v>2</v>
      </c>
      <c r="F1149">
        <v>916</v>
      </c>
      <c r="G1149">
        <v>4</v>
      </c>
      <c r="H1149">
        <v>3</v>
      </c>
      <c r="I1149">
        <v>2022</v>
      </c>
      <c r="J1149">
        <v>1</v>
      </c>
      <c r="K1149">
        <v>0</v>
      </c>
      <c r="L1149">
        <v>0</v>
      </c>
      <c r="M1149">
        <v>6</v>
      </c>
      <c r="N1149" t="s">
        <v>37</v>
      </c>
      <c r="O1149" t="s">
        <v>30</v>
      </c>
      <c r="P1149">
        <v>5.4759299937094399</v>
      </c>
      <c r="Q1149">
        <v>1.21262341693759</v>
      </c>
      <c r="R1149">
        <v>9.4102431632093406</v>
      </c>
      <c r="S1149">
        <v>169</v>
      </c>
      <c r="T1149">
        <v>31</v>
      </c>
      <c r="U1149">
        <v>598.30891747524799</v>
      </c>
      <c r="V1149">
        <v>6.5502183406113499E-3</v>
      </c>
      <c r="W1149">
        <v>911817.88502793398</v>
      </c>
      <c r="X1149" t="s">
        <v>28</v>
      </c>
      <c r="Y1149">
        <f>1-788-137-1109</f>
        <v>-2033</v>
      </c>
    </row>
    <row r="1150" spans="1:25" x14ac:dyDescent="0.35">
      <c r="A1150">
        <v>35.385231916626303</v>
      </c>
      <c r="B1150">
        <v>-119.366455563682</v>
      </c>
      <c r="C1150" t="s">
        <v>34</v>
      </c>
      <c r="D1150">
        <v>40.022034670087997</v>
      </c>
      <c r="E1150">
        <v>3</v>
      </c>
      <c r="F1150">
        <v>1569</v>
      </c>
      <c r="G1150">
        <v>5</v>
      </c>
      <c r="H1150">
        <v>3</v>
      </c>
      <c r="I1150">
        <v>1952</v>
      </c>
      <c r="J1150">
        <v>0</v>
      </c>
      <c r="K1150">
        <v>1</v>
      </c>
      <c r="L1150">
        <v>0</v>
      </c>
      <c r="M1150">
        <v>13</v>
      </c>
      <c r="N1150" t="s">
        <v>35</v>
      </c>
      <c r="O1150" t="s">
        <v>30</v>
      </c>
      <c r="P1150">
        <v>9.7603343883480793</v>
      </c>
      <c r="Q1150">
        <v>2.4602485302388701</v>
      </c>
      <c r="R1150">
        <v>2.2032573690119999</v>
      </c>
      <c r="S1150">
        <v>44</v>
      </c>
      <c r="T1150">
        <v>32</v>
      </c>
      <c r="U1150">
        <v>742.34969161394804</v>
      </c>
      <c r="V1150">
        <v>8.2855321861057991E-3</v>
      </c>
      <c r="W1150">
        <v>1533752.1604124799</v>
      </c>
      <c r="X1150" t="s">
        <v>36</v>
      </c>
      <c r="Y1150">
        <f>1-934-550-3471</f>
        <v>-4954</v>
      </c>
    </row>
    <row r="1151" spans="1:25" x14ac:dyDescent="0.35">
      <c r="A1151">
        <v>38.529202598197799</v>
      </c>
      <c r="B1151">
        <v>-121.555048224584</v>
      </c>
      <c r="C1151" t="s">
        <v>34</v>
      </c>
      <c r="D1151">
        <v>26.201427810292898</v>
      </c>
      <c r="E1151">
        <v>4</v>
      </c>
      <c r="F1151">
        <v>3624</v>
      </c>
      <c r="G1151">
        <v>5</v>
      </c>
      <c r="H1151">
        <v>1</v>
      </c>
      <c r="I1151">
        <v>1997</v>
      </c>
      <c r="J1151">
        <v>1</v>
      </c>
      <c r="K1151">
        <v>1</v>
      </c>
      <c r="L1151">
        <v>0</v>
      </c>
      <c r="M1151">
        <v>9</v>
      </c>
      <c r="N1151" t="s">
        <v>37</v>
      </c>
      <c r="O1151" t="s">
        <v>30</v>
      </c>
      <c r="P1151">
        <v>3.0560693128299001</v>
      </c>
      <c r="Q1151">
        <v>2.31900311602076</v>
      </c>
      <c r="R1151">
        <v>2.9171493613116901</v>
      </c>
      <c r="S1151">
        <v>48</v>
      </c>
      <c r="T1151">
        <v>36</v>
      </c>
      <c r="U1151">
        <v>379.47180381498902</v>
      </c>
      <c r="V1151">
        <v>2.4834437086092699E-3</v>
      </c>
      <c r="W1151">
        <v>1730204.0788501301</v>
      </c>
      <c r="X1151" t="s">
        <v>33</v>
      </c>
      <c r="Y1151">
        <f>1-611-820-5401</f>
        <v>-6831</v>
      </c>
    </row>
    <row r="1152" spans="1:25" x14ac:dyDescent="0.35">
      <c r="A1152">
        <v>40.846623237125399</v>
      </c>
      <c r="B1152">
        <v>-115.105656289775</v>
      </c>
      <c r="C1152" t="s">
        <v>25</v>
      </c>
      <c r="D1152">
        <v>18.338153335124399</v>
      </c>
      <c r="E1152">
        <v>7</v>
      </c>
      <c r="F1152">
        <v>575</v>
      </c>
      <c r="G1152">
        <v>2</v>
      </c>
      <c r="H1152">
        <v>1</v>
      </c>
      <c r="I1152">
        <v>1962</v>
      </c>
      <c r="J1152">
        <v>0</v>
      </c>
      <c r="K1152">
        <v>0</v>
      </c>
      <c r="L1152">
        <v>1</v>
      </c>
      <c r="M1152">
        <v>2</v>
      </c>
      <c r="N1152" t="s">
        <v>35</v>
      </c>
      <c r="O1152" t="s">
        <v>27</v>
      </c>
      <c r="P1152">
        <v>9.6683305425953296</v>
      </c>
      <c r="Q1152">
        <v>1.55537329085383</v>
      </c>
      <c r="R1152">
        <v>1.2233246508622599</v>
      </c>
      <c r="S1152">
        <v>129</v>
      </c>
      <c r="T1152">
        <v>52</v>
      </c>
      <c r="U1152">
        <v>347.95472530648198</v>
      </c>
      <c r="V1152">
        <v>3.4782608695652101E-3</v>
      </c>
      <c r="W1152">
        <v>318879.48460086703</v>
      </c>
      <c r="X1152" t="s">
        <v>43</v>
      </c>
      <c r="Y1152">
        <f>1-864-348-5615</f>
        <v>-6826</v>
      </c>
    </row>
    <row r="1153" spans="1:25" x14ac:dyDescent="0.35">
      <c r="A1153">
        <v>38.0912544193977</v>
      </c>
      <c r="B1153">
        <v>-122.19793280960801</v>
      </c>
      <c r="C1153" t="s">
        <v>34</v>
      </c>
      <c r="D1153">
        <v>38.347190575710997</v>
      </c>
      <c r="E1153">
        <v>2</v>
      </c>
      <c r="F1153">
        <v>2117</v>
      </c>
      <c r="G1153">
        <v>1</v>
      </c>
      <c r="H1153">
        <v>1</v>
      </c>
      <c r="I1153">
        <v>1967</v>
      </c>
      <c r="J1153">
        <v>1</v>
      </c>
      <c r="K1153">
        <v>1</v>
      </c>
      <c r="L1153">
        <v>0</v>
      </c>
      <c r="M1153">
        <v>13</v>
      </c>
      <c r="N1153" t="s">
        <v>41</v>
      </c>
      <c r="O1153" t="s">
        <v>32</v>
      </c>
      <c r="P1153">
        <v>11.474007095167201</v>
      </c>
      <c r="Q1153">
        <v>1.6344312519767801</v>
      </c>
      <c r="R1153">
        <v>9.7119788669045697</v>
      </c>
      <c r="S1153">
        <v>169</v>
      </c>
      <c r="T1153">
        <v>78</v>
      </c>
      <c r="U1153">
        <v>774.36283343409605</v>
      </c>
      <c r="V1153">
        <v>6.1407652338214399E-3</v>
      </c>
      <c r="W1153">
        <v>1888965.3377133</v>
      </c>
      <c r="X1153" t="s">
        <v>31</v>
      </c>
      <c r="Y1153">
        <f>1-890-757-9954</f>
        <v>-11600</v>
      </c>
    </row>
    <row r="1154" spans="1:25" x14ac:dyDescent="0.35">
      <c r="A1154">
        <v>34.314513529448099</v>
      </c>
      <c r="B1154">
        <v>-120.29953859660201</v>
      </c>
      <c r="C1154" t="s">
        <v>25</v>
      </c>
      <c r="D1154">
        <v>31.612749959983699</v>
      </c>
      <c r="E1154">
        <v>5</v>
      </c>
      <c r="F1154">
        <v>4045</v>
      </c>
      <c r="G1154">
        <v>3</v>
      </c>
      <c r="H1154">
        <v>3</v>
      </c>
      <c r="I1154">
        <v>1950</v>
      </c>
      <c r="J1154">
        <v>1</v>
      </c>
      <c r="K1154">
        <v>1</v>
      </c>
      <c r="L1154">
        <v>1</v>
      </c>
      <c r="M1154">
        <v>8</v>
      </c>
      <c r="N1154" t="s">
        <v>37</v>
      </c>
      <c r="O1154" t="s">
        <v>32</v>
      </c>
      <c r="P1154">
        <v>13.639015584696301</v>
      </c>
      <c r="Q1154">
        <v>1.12753926631537</v>
      </c>
      <c r="R1154">
        <v>7.9775572337565901</v>
      </c>
      <c r="S1154">
        <v>24</v>
      </c>
      <c r="T1154">
        <v>33</v>
      </c>
      <c r="U1154">
        <v>928.59236000367105</v>
      </c>
      <c r="V1154">
        <v>1.9777503090234799E-3</v>
      </c>
      <c r="W1154">
        <v>4198242.3959304504</v>
      </c>
      <c r="X1154" t="s">
        <v>43</v>
      </c>
      <c r="Y1154">
        <f>1-831-210-7839</f>
        <v>-8879</v>
      </c>
    </row>
    <row r="1155" spans="1:25" x14ac:dyDescent="0.35">
      <c r="A1155">
        <v>37.087096708392401</v>
      </c>
      <c r="B1155">
        <v>-116.474008384</v>
      </c>
      <c r="C1155" t="s">
        <v>25</v>
      </c>
      <c r="D1155">
        <v>26.780863483509599</v>
      </c>
      <c r="E1155">
        <v>7</v>
      </c>
      <c r="F1155">
        <v>1080</v>
      </c>
      <c r="G1155">
        <v>4</v>
      </c>
      <c r="H1155">
        <v>1</v>
      </c>
      <c r="I1155">
        <v>1983</v>
      </c>
      <c r="J1155">
        <v>1</v>
      </c>
      <c r="K1155">
        <v>0</v>
      </c>
      <c r="L1155">
        <v>0</v>
      </c>
      <c r="M1155">
        <v>6</v>
      </c>
      <c r="N1155" t="s">
        <v>37</v>
      </c>
      <c r="O1155" t="s">
        <v>32</v>
      </c>
      <c r="P1155">
        <v>2.3415701017383999</v>
      </c>
      <c r="Q1155">
        <v>2.316244591697</v>
      </c>
      <c r="R1155">
        <v>4.4721534579616398</v>
      </c>
      <c r="S1155">
        <v>86</v>
      </c>
      <c r="T1155">
        <v>46</v>
      </c>
      <c r="U1155">
        <v>257.62976680659898</v>
      </c>
      <c r="V1155">
        <v>5.5555555555555497E-3</v>
      </c>
      <c r="W1155">
        <v>429069.554754032</v>
      </c>
      <c r="X1155" t="s">
        <v>38</v>
      </c>
      <c r="Y1155">
        <f>1-267-335-9352</f>
        <v>-9953</v>
      </c>
    </row>
    <row r="1156" spans="1:25" x14ac:dyDescent="0.35">
      <c r="A1156">
        <v>35.578422436087202</v>
      </c>
      <c r="B1156">
        <v>-119.961640551719</v>
      </c>
      <c r="C1156" t="s">
        <v>29</v>
      </c>
      <c r="D1156">
        <v>14.5760586908779</v>
      </c>
      <c r="E1156">
        <v>0</v>
      </c>
      <c r="F1156">
        <v>2516</v>
      </c>
      <c r="G1156">
        <v>2</v>
      </c>
      <c r="H1156">
        <v>2</v>
      </c>
      <c r="I1156">
        <v>2021</v>
      </c>
      <c r="J1156">
        <v>1</v>
      </c>
      <c r="K1156">
        <v>0</v>
      </c>
      <c r="L1156">
        <v>0</v>
      </c>
      <c r="M1156">
        <v>14</v>
      </c>
      <c r="N1156" t="s">
        <v>26</v>
      </c>
      <c r="O1156" t="s">
        <v>27</v>
      </c>
      <c r="P1156">
        <v>9.2237403313708395</v>
      </c>
      <c r="Q1156">
        <v>0.90175851342980096</v>
      </c>
      <c r="R1156">
        <v>9.8036538261171202</v>
      </c>
      <c r="S1156">
        <v>92</v>
      </c>
      <c r="T1156">
        <v>46</v>
      </c>
      <c r="U1156">
        <v>946.808718851187</v>
      </c>
      <c r="V1156">
        <v>5.5643879173290899E-3</v>
      </c>
      <c r="W1156">
        <v>2626958.6548331999</v>
      </c>
      <c r="X1156" t="s">
        <v>33</v>
      </c>
      <c r="Y1156">
        <f>1-230-297-4551</f>
        <v>-5077</v>
      </c>
    </row>
    <row r="1157" spans="1:25" x14ac:dyDescent="0.35">
      <c r="A1157">
        <v>33.814201319663603</v>
      </c>
      <c r="B1157">
        <v>-122.49689968271601</v>
      </c>
      <c r="C1157" t="s">
        <v>29</v>
      </c>
      <c r="D1157">
        <v>21.524898885257699</v>
      </c>
      <c r="E1157">
        <v>4</v>
      </c>
      <c r="F1157">
        <v>1572</v>
      </c>
      <c r="G1157">
        <v>2</v>
      </c>
      <c r="H1157">
        <v>3</v>
      </c>
      <c r="I1157">
        <v>2013</v>
      </c>
      <c r="J1157">
        <v>0</v>
      </c>
      <c r="K1157">
        <v>1</v>
      </c>
      <c r="L1157">
        <v>1</v>
      </c>
      <c r="M1157">
        <v>12</v>
      </c>
      <c r="N1157" t="s">
        <v>35</v>
      </c>
      <c r="O1157" t="s">
        <v>32</v>
      </c>
      <c r="P1157">
        <v>9.6704673944849393</v>
      </c>
      <c r="Q1157">
        <v>1.77889901966061</v>
      </c>
      <c r="R1157">
        <v>6.10758536021258</v>
      </c>
      <c r="S1157">
        <v>46</v>
      </c>
      <c r="T1157">
        <v>71</v>
      </c>
      <c r="U1157">
        <v>265.97204321914899</v>
      </c>
      <c r="V1157">
        <v>7.63358778625954E-3</v>
      </c>
      <c r="W1157">
        <v>770547.05445751199</v>
      </c>
      <c r="X1157" t="s">
        <v>36</v>
      </c>
      <c r="Y1157">
        <f>1-537-767-8448</f>
        <v>-9751</v>
      </c>
    </row>
    <row r="1158" spans="1:25" x14ac:dyDescent="0.35">
      <c r="A1158">
        <v>33.074061551603599</v>
      </c>
      <c r="B1158">
        <v>-116.591879321701</v>
      </c>
      <c r="C1158" t="s">
        <v>34</v>
      </c>
      <c r="D1158">
        <v>22.4471714288381</v>
      </c>
      <c r="E1158">
        <v>1</v>
      </c>
      <c r="F1158">
        <v>1661</v>
      </c>
      <c r="G1158">
        <v>3</v>
      </c>
      <c r="H1158">
        <v>2</v>
      </c>
      <c r="I1158">
        <v>1958</v>
      </c>
      <c r="J1158">
        <v>0</v>
      </c>
      <c r="K1158">
        <v>1</v>
      </c>
      <c r="L1158">
        <v>0</v>
      </c>
      <c r="M1158">
        <v>2</v>
      </c>
      <c r="N1158" t="s">
        <v>41</v>
      </c>
      <c r="O1158" t="s">
        <v>27</v>
      </c>
      <c r="P1158">
        <v>8.2660467727196707</v>
      </c>
      <c r="Q1158">
        <v>2.3494505808616801</v>
      </c>
      <c r="R1158">
        <v>6.3404158864978504</v>
      </c>
      <c r="S1158">
        <v>136</v>
      </c>
      <c r="T1158">
        <v>65</v>
      </c>
      <c r="U1158">
        <v>531.48770672655701</v>
      </c>
      <c r="V1158">
        <v>1.2040939193257E-3</v>
      </c>
      <c r="W1158">
        <v>1058623.0556684399</v>
      </c>
      <c r="X1158" t="s">
        <v>28</v>
      </c>
      <c r="Y1158">
        <f>1-218-566-2623</f>
        <v>-3406</v>
      </c>
    </row>
    <row r="1159" spans="1:25" x14ac:dyDescent="0.35">
      <c r="A1159">
        <v>36.791460820620998</v>
      </c>
      <c r="B1159">
        <v>-124.043304124337</v>
      </c>
      <c r="C1159" t="s">
        <v>29</v>
      </c>
      <c r="D1159">
        <v>2.8148205971970102</v>
      </c>
      <c r="E1159">
        <v>6</v>
      </c>
      <c r="F1159">
        <v>549</v>
      </c>
      <c r="G1159">
        <v>3</v>
      </c>
      <c r="H1159">
        <v>3</v>
      </c>
      <c r="I1159">
        <v>1964</v>
      </c>
      <c r="J1159">
        <v>1</v>
      </c>
      <c r="K1159">
        <v>1</v>
      </c>
      <c r="L1159">
        <v>1</v>
      </c>
      <c r="M1159">
        <v>4</v>
      </c>
      <c r="N1159" t="s">
        <v>37</v>
      </c>
      <c r="O1159" t="s">
        <v>27</v>
      </c>
      <c r="P1159">
        <v>14.4013404263978</v>
      </c>
      <c r="Q1159">
        <v>1.0906855983875201</v>
      </c>
      <c r="R1159">
        <v>2.4610930875366499</v>
      </c>
      <c r="S1159">
        <v>133</v>
      </c>
      <c r="T1159">
        <v>46</v>
      </c>
      <c r="U1159">
        <v>627.67810715219196</v>
      </c>
      <c r="V1159">
        <v>7.2859744990892497E-3</v>
      </c>
      <c r="W1159">
        <v>718223.84106155299</v>
      </c>
      <c r="X1159" t="s">
        <v>33</v>
      </c>
      <c r="Y1159">
        <f>1-822-461-3907</f>
        <v>-5189</v>
      </c>
    </row>
    <row r="1160" spans="1:25" x14ac:dyDescent="0.35">
      <c r="A1160">
        <v>34.480761674107796</v>
      </c>
      <c r="B1160">
        <v>-114.36078913377899</v>
      </c>
      <c r="C1160" t="s">
        <v>29</v>
      </c>
      <c r="D1160">
        <v>28.984058779950701</v>
      </c>
      <c r="E1160">
        <v>0</v>
      </c>
      <c r="F1160">
        <v>4765</v>
      </c>
      <c r="G1160">
        <v>4</v>
      </c>
      <c r="H1160">
        <v>3</v>
      </c>
      <c r="I1160">
        <v>1967</v>
      </c>
      <c r="J1160">
        <v>0</v>
      </c>
      <c r="K1160">
        <v>1</v>
      </c>
      <c r="L1160">
        <v>1</v>
      </c>
      <c r="M1160">
        <v>12</v>
      </c>
      <c r="N1160" t="s">
        <v>41</v>
      </c>
      <c r="O1160" t="s">
        <v>32</v>
      </c>
      <c r="P1160">
        <v>4.0950454784343604</v>
      </c>
      <c r="Q1160">
        <v>1.0049442283174901</v>
      </c>
      <c r="R1160">
        <v>3.8443064083510601</v>
      </c>
      <c r="S1160">
        <v>26</v>
      </c>
      <c r="T1160">
        <v>69</v>
      </c>
      <c r="U1160">
        <v>878.11861968569895</v>
      </c>
      <c r="V1160">
        <v>2.5183630640083902E-3</v>
      </c>
      <c r="W1160">
        <v>4550876.4555449504</v>
      </c>
      <c r="X1160" t="s">
        <v>39</v>
      </c>
      <c r="Y1160">
        <f>1-526-143-6936</f>
        <v>-7604</v>
      </c>
    </row>
    <row r="1161" spans="1:25" x14ac:dyDescent="0.35">
      <c r="A1161">
        <v>40.139116520345297</v>
      </c>
      <c r="B1161">
        <v>-116.355021291843</v>
      </c>
      <c r="C1161" t="s">
        <v>25</v>
      </c>
      <c r="D1161">
        <v>20.860393922361101</v>
      </c>
      <c r="E1161">
        <v>2</v>
      </c>
      <c r="F1161">
        <v>2942</v>
      </c>
      <c r="G1161">
        <v>1</v>
      </c>
      <c r="H1161">
        <v>3</v>
      </c>
      <c r="I1161">
        <v>2019</v>
      </c>
      <c r="J1161">
        <v>0</v>
      </c>
      <c r="K1161">
        <v>0</v>
      </c>
      <c r="L1161">
        <v>0</v>
      </c>
      <c r="M1161">
        <v>5</v>
      </c>
      <c r="N1161" t="s">
        <v>26</v>
      </c>
      <c r="O1161" t="s">
        <v>27</v>
      </c>
      <c r="P1161">
        <v>11.3044100426904</v>
      </c>
      <c r="Q1161">
        <v>2.3659986932877799</v>
      </c>
      <c r="R1161">
        <v>6.8977965490549096</v>
      </c>
      <c r="S1161">
        <v>123</v>
      </c>
      <c r="T1161">
        <v>65</v>
      </c>
      <c r="U1161">
        <v>391.19859925446502</v>
      </c>
      <c r="V1161">
        <v>1.6995241332426901E-3</v>
      </c>
      <c r="W1161">
        <v>1305248.86724946</v>
      </c>
      <c r="X1161" t="s">
        <v>43</v>
      </c>
      <c r="Y1161">
        <f>1-201-640-8477</f>
        <v>-9317</v>
      </c>
    </row>
    <row r="1162" spans="1:25" x14ac:dyDescent="0.35">
      <c r="A1162">
        <v>33.293736876887699</v>
      </c>
      <c r="B1162">
        <v>-121.984048664318</v>
      </c>
      <c r="C1162" t="s">
        <v>34</v>
      </c>
      <c r="D1162">
        <v>36.201019301330703</v>
      </c>
      <c r="E1162">
        <v>1</v>
      </c>
      <c r="F1162">
        <v>1233</v>
      </c>
      <c r="G1162">
        <v>3</v>
      </c>
      <c r="H1162">
        <v>2</v>
      </c>
      <c r="I1162">
        <v>1965</v>
      </c>
      <c r="J1162">
        <v>1</v>
      </c>
      <c r="K1162">
        <v>0</v>
      </c>
      <c r="L1162">
        <v>0</v>
      </c>
      <c r="M1162">
        <v>8</v>
      </c>
      <c r="N1162" t="s">
        <v>35</v>
      </c>
      <c r="O1162" t="s">
        <v>30</v>
      </c>
      <c r="P1162">
        <v>12.802463772000699</v>
      </c>
      <c r="Q1162">
        <v>1.2242748488108599</v>
      </c>
      <c r="R1162">
        <v>8.9864883509807392</v>
      </c>
      <c r="S1162">
        <v>112</v>
      </c>
      <c r="T1162">
        <v>41</v>
      </c>
      <c r="U1162">
        <v>654.02081705898297</v>
      </c>
      <c r="V1162">
        <v>6.4882400648824E-3</v>
      </c>
      <c r="W1162">
        <v>1044371.72533626</v>
      </c>
      <c r="X1162" t="s">
        <v>44</v>
      </c>
      <c r="Y1162">
        <f>1-480-949-1858</f>
        <v>-3286</v>
      </c>
    </row>
    <row r="1163" spans="1:25" x14ac:dyDescent="0.35">
      <c r="A1163">
        <v>39.832309987040503</v>
      </c>
      <c r="B1163">
        <v>-122.658845074656</v>
      </c>
      <c r="C1163" t="s">
        <v>25</v>
      </c>
      <c r="D1163">
        <v>15.2261531280864</v>
      </c>
      <c r="E1163">
        <v>8</v>
      </c>
      <c r="F1163">
        <v>3876</v>
      </c>
      <c r="G1163">
        <v>3</v>
      </c>
      <c r="H1163">
        <v>3</v>
      </c>
      <c r="I1163">
        <v>1978</v>
      </c>
      <c r="J1163">
        <v>0</v>
      </c>
      <c r="K1163">
        <v>1</v>
      </c>
      <c r="L1163">
        <v>0</v>
      </c>
      <c r="M1163">
        <v>14</v>
      </c>
      <c r="N1163" t="s">
        <v>26</v>
      </c>
      <c r="O1163" t="s">
        <v>32</v>
      </c>
      <c r="P1163">
        <v>10.170108857241001</v>
      </c>
      <c r="Q1163">
        <v>0.62916230918777705</v>
      </c>
      <c r="R1163">
        <v>7.5881026961327498</v>
      </c>
      <c r="S1163">
        <v>14</v>
      </c>
      <c r="T1163">
        <v>22</v>
      </c>
      <c r="U1163">
        <v>529.85128071913095</v>
      </c>
      <c r="V1163">
        <v>3.61197110423116E-3</v>
      </c>
      <c r="W1163">
        <v>2390049.8327490101</v>
      </c>
      <c r="X1163" t="s">
        <v>33</v>
      </c>
      <c r="Y1163">
        <f>1-612-781-8960</f>
        <v>-10352</v>
      </c>
    </row>
    <row r="1164" spans="1:25" x14ac:dyDescent="0.35">
      <c r="A1164">
        <v>38.043516652704902</v>
      </c>
      <c r="B1164">
        <v>-123.708389280316</v>
      </c>
      <c r="C1164" t="s">
        <v>25</v>
      </c>
      <c r="D1164">
        <v>20.971752982640201</v>
      </c>
      <c r="E1164">
        <v>4</v>
      </c>
      <c r="F1164">
        <v>2674</v>
      </c>
      <c r="G1164">
        <v>3</v>
      </c>
      <c r="H1164">
        <v>2</v>
      </c>
      <c r="I1164">
        <v>2008</v>
      </c>
      <c r="J1164">
        <v>1</v>
      </c>
      <c r="K1164">
        <v>1</v>
      </c>
      <c r="L1164">
        <v>0</v>
      </c>
      <c r="M1164">
        <v>8</v>
      </c>
      <c r="N1164" t="s">
        <v>41</v>
      </c>
      <c r="O1164" t="s">
        <v>30</v>
      </c>
      <c r="P1164">
        <v>11.9517597004065</v>
      </c>
      <c r="Q1164">
        <v>1.2154090390231</v>
      </c>
      <c r="R1164">
        <v>8.48547624221872</v>
      </c>
      <c r="S1164">
        <v>131</v>
      </c>
      <c r="T1164">
        <v>58</v>
      </c>
      <c r="U1164">
        <v>954.10304974443102</v>
      </c>
      <c r="V1164">
        <v>2.9917726252804699E-3</v>
      </c>
      <c r="W1164">
        <v>2927109.4451773302</v>
      </c>
      <c r="X1164" t="s">
        <v>38</v>
      </c>
      <c r="Y1164">
        <f>1-241-535-2025</f>
        <v>-2800</v>
      </c>
    </row>
    <row r="1165" spans="1:25" x14ac:dyDescent="0.35">
      <c r="A1165">
        <v>35.675879972827801</v>
      </c>
      <c r="B1165">
        <v>-119.621895990947</v>
      </c>
      <c r="C1165" t="s">
        <v>25</v>
      </c>
      <c r="D1165">
        <v>18.215260888067601</v>
      </c>
      <c r="E1165">
        <v>7</v>
      </c>
      <c r="F1165">
        <v>3558</v>
      </c>
      <c r="G1165">
        <v>4</v>
      </c>
      <c r="H1165">
        <v>2</v>
      </c>
      <c r="I1165">
        <v>1997</v>
      </c>
      <c r="J1165">
        <v>1</v>
      </c>
      <c r="K1165">
        <v>1</v>
      </c>
      <c r="L1165">
        <v>1</v>
      </c>
      <c r="M1165">
        <v>5</v>
      </c>
      <c r="N1165" t="s">
        <v>41</v>
      </c>
      <c r="O1165" t="s">
        <v>27</v>
      </c>
      <c r="P1165">
        <v>13.038039499173699</v>
      </c>
      <c r="Q1165">
        <v>2.2313277312902899</v>
      </c>
      <c r="R1165">
        <v>7.0373865107883802</v>
      </c>
      <c r="S1165">
        <v>9</v>
      </c>
      <c r="T1165">
        <v>65</v>
      </c>
      <c r="U1165">
        <v>366.789186378924</v>
      </c>
      <c r="V1165">
        <v>1.4052838673412E-3</v>
      </c>
      <c r="W1165">
        <v>1883928.20583093</v>
      </c>
      <c r="X1165" t="s">
        <v>33</v>
      </c>
      <c r="Y1165">
        <f>1-666-283-7921</f>
        <v>-8869</v>
      </c>
    </row>
    <row r="1166" spans="1:25" x14ac:dyDescent="0.35">
      <c r="A1166">
        <v>37.435241936974698</v>
      </c>
      <c r="B1166">
        <v>-117.562932075361</v>
      </c>
      <c r="C1166" t="s">
        <v>29</v>
      </c>
      <c r="D1166">
        <v>25.6236348513265</v>
      </c>
      <c r="E1166">
        <v>9</v>
      </c>
      <c r="F1166">
        <v>4225</v>
      </c>
      <c r="G1166">
        <v>2</v>
      </c>
      <c r="H1166">
        <v>3</v>
      </c>
      <c r="I1166">
        <v>1990</v>
      </c>
      <c r="J1166">
        <v>0</v>
      </c>
      <c r="K1166">
        <v>0</v>
      </c>
      <c r="L1166">
        <v>0</v>
      </c>
      <c r="M1166">
        <v>13</v>
      </c>
      <c r="N1166" t="s">
        <v>26</v>
      </c>
      <c r="O1166" t="s">
        <v>32</v>
      </c>
      <c r="P1166">
        <v>13.056629110414301</v>
      </c>
      <c r="Q1166">
        <v>2.2614499570477098</v>
      </c>
      <c r="R1166">
        <v>6.8452982301806298</v>
      </c>
      <c r="S1166">
        <v>198</v>
      </c>
      <c r="T1166">
        <v>55</v>
      </c>
      <c r="U1166">
        <v>408.37666670320903</v>
      </c>
      <c r="V1166">
        <v>3.07692307692307E-3</v>
      </c>
      <c r="W1166">
        <v>1943046.69067641</v>
      </c>
      <c r="X1166" t="s">
        <v>33</v>
      </c>
      <c r="Y1166">
        <f>1-961-461-9228</f>
        <v>-10649</v>
      </c>
    </row>
    <row r="1167" spans="1:25" x14ac:dyDescent="0.35">
      <c r="A1167">
        <v>35.329715337462098</v>
      </c>
      <c r="B1167">
        <v>-115.60023755468499</v>
      </c>
      <c r="C1167" t="s">
        <v>34</v>
      </c>
      <c r="D1167">
        <v>18.355839511056001</v>
      </c>
      <c r="E1167">
        <v>7</v>
      </c>
      <c r="F1167">
        <v>4757</v>
      </c>
      <c r="G1167">
        <v>4</v>
      </c>
      <c r="H1167">
        <v>3</v>
      </c>
      <c r="I1167">
        <v>2011</v>
      </c>
      <c r="J1167">
        <v>0</v>
      </c>
      <c r="K1167">
        <v>0</v>
      </c>
      <c r="L1167">
        <v>0</v>
      </c>
      <c r="M1167">
        <v>3</v>
      </c>
      <c r="N1167" t="s">
        <v>37</v>
      </c>
      <c r="O1167" t="s">
        <v>30</v>
      </c>
      <c r="P1167">
        <v>8.5610724578572306</v>
      </c>
      <c r="Q1167">
        <v>0.53621894707765105</v>
      </c>
      <c r="R1167">
        <v>2.17561227885373</v>
      </c>
      <c r="S1167">
        <v>77</v>
      </c>
      <c r="T1167">
        <v>63</v>
      </c>
      <c r="U1167">
        <v>857.95569446708805</v>
      </c>
      <c r="V1167">
        <v>6.3064956905612703E-4</v>
      </c>
      <c r="W1167">
        <v>4407398.9577706801</v>
      </c>
      <c r="X1167" t="s">
        <v>31</v>
      </c>
      <c r="Y1167">
        <f>1-967-677-8352</f>
        <v>-9995</v>
      </c>
    </row>
    <row r="1168" spans="1:25" x14ac:dyDescent="0.35">
      <c r="A1168">
        <v>41.987678105633201</v>
      </c>
      <c r="B1168">
        <v>-116.345507140381</v>
      </c>
      <c r="C1168" t="s">
        <v>34</v>
      </c>
      <c r="D1168">
        <v>1.46474002575847</v>
      </c>
      <c r="E1168">
        <v>3</v>
      </c>
      <c r="F1168">
        <v>4640</v>
      </c>
      <c r="G1168">
        <v>2</v>
      </c>
      <c r="H1168">
        <v>1</v>
      </c>
      <c r="I1168">
        <v>1982</v>
      </c>
      <c r="J1168">
        <v>1</v>
      </c>
      <c r="K1168">
        <v>1</v>
      </c>
      <c r="L1168">
        <v>1</v>
      </c>
      <c r="M1168">
        <v>12</v>
      </c>
      <c r="N1168" t="s">
        <v>35</v>
      </c>
      <c r="O1168" t="s">
        <v>30</v>
      </c>
      <c r="P1168">
        <v>10.625394119139999</v>
      </c>
      <c r="Q1168">
        <v>0.89244756350305798</v>
      </c>
      <c r="R1168">
        <v>2.68140748164081</v>
      </c>
      <c r="S1168">
        <v>26</v>
      </c>
      <c r="T1168">
        <v>78</v>
      </c>
      <c r="U1168">
        <v>478.43786170628698</v>
      </c>
      <c r="V1168">
        <v>2.5862068965517202E-3</v>
      </c>
      <c r="W1168">
        <v>2540557.1267642998</v>
      </c>
      <c r="X1168" t="s">
        <v>28</v>
      </c>
      <c r="Y1168">
        <f>1-740-110-2300</f>
        <v>-3149</v>
      </c>
    </row>
    <row r="1169" spans="1:25" x14ac:dyDescent="0.35">
      <c r="A1169">
        <v>35.630021379758901</v>
      </c>
      <c r="B1169">
        <v>-120.383269326526</v>
      </c>
      <c r="C1169" t="s">
        <v>25</v>
      </c>
      <c r="D1169">
        <v>49.9727091069674</v>
      </c>
      <c r="E1169">
        <v>5</v>
      </c>
      <c r="F1169">
        <v>2829</v>
      </c>
      <c r="G1169">
        <v>3</v>
      </c>
      <c r="H1169">
        <v>3</v>
      </c>
      <c r="I1169">
        <v>2008</v>
      </c>
      <c r="J1169">
        <v>1</v>
      </c>
      <c r="K1169">
        <v>0</v>
      </c>
      <c r="L1169">
        <v>0</v>
      </c>
      <c r="M1169">
        <v>5</v>
      </c>
      <c r="N1169" t="s">
        <v>35</v>
      </c>
      <c r="O1169" t="s">
        <v>27</v>
      </c>
      <c r="P1169">
        <v>3.7712746761475699</v>
      </c>
      <c r="Q1169">
        <v>0.64575292951209695</v>
      </c>
      <c r="R1169">
        <v>5.1163647062289499</v>
      </c>
      <c r="S1169">
        <v>197</v>
      </c>
      <c r="T1169">
        <v>30</v>
      </c>
      <c r="U1169">
        <v>964.47833479965095</v>
      </c>
      <c r="V1169">
        <v>1.7674089784376101E-3</v>
      </c>
      <c r="W1169">
        <v>2960032.1006011199</v>
      </c>
      <c r="X1169" t="s">
        <v>28</v>
      </c>
      <c r="Y1169">
        <f>1-247-510-6955</f>
        <v>-7711</v>
      </c>
    </row>
    <row r="1170" spans="1:25" x14ac:dyDescent="0.35">
      <c r="A1170">
        <v>32.547619815169703</v>
      </c>
      <c r="B1170">
        <v>-115.37263812033</v>
      </c>
      <c r="C1170" t="s">
        <v>25</v>
      </c>
      <c r="D1170">
        <v>44.690716415801802</v>
      </c>
      <c r="E1170">
        <v>1</v>
      </c>
      <c r="F1170">
        <v>1165</v>
      </c>
      <c r="G1170">
        <v>4</v>
      </c>
      <c r="H1170">
        <v>2</v>
      </c>
      <c r="I1170">
        <v>1975</v>
      </c>
      <c r="J1170">
        <v>0</v>
      </c>
      <c r="K1170">
        <v>1</v>
      </c>
      <c r="L1170">
        <v>1</v>
      </c>
      <c r="M1170">
        <v>12</v>
      </c>
      <c r="N1170" t="s">
        <v>35</v>
      </c>
      <c r="O1170" t="s">
        <v>32</v>
      </c>
      <c r="P1170">
        <v>13.458354925040201</v>
      </c>
      <c r="Q1170">
        <v>0.66837321643052405</v>
      </c>
      <c r="R1170">
        <v>5.2351467254372004</v>
      </c>
      <c r="S1170">
        <v>130</v>
      </c>
      <c r="T1170">
        <v>61</v>
      </c>
      <c r="U1170">
        <v>766.10799117304805</v>
      </c>
      <c r="V1170">
        <v>1.0300429184549299E-2</v>
      </c>
      <c r="W1170">
        <v>1252281.4758075799</v>
      </c>
      <c r="X1170" t="s">
        <v>31</v>
      </c>
      <c r="Y1170">
        <f>1-770-984-3445</f>
        <v>-5198</v>
      </c>
    </row>
    <row r="1171" spans="1:25" x14ac:dyDescent="0.35">
      <c r="A1171">
        <v>41.308447208088602</v>
      </c>
      <c r="B1171">
        <v>-120.604263234646</v>
      </c>
      <c r="C1171" t="s">
        <v>25</v>
      </c>
      <c r="D1171">
        <v>31.5405716637251</v>
      </c>
      <c r="E1171">
        <v>2</v>
      </c>
      <c r="F1171">
        <v>2844</v>
      </c>
      <c r="G1171">
        <v>4</v>
      </c>
      <c r="H1171">
        <v>1</v>
      </c>
      <c r="I1171">
        <v>1987</v>
      </c>
      <c r="J1171">
        <v>1</v>
      </c>
      <c r="K1171">
        <v>1</v>
      </c>
      <c r="L1171">
        <v>1</v>
      </c>
      <c r="M1171">
        <v>6</v>
      </c>
      <c r="N1171" t="s">
        <v>37</v>
      </c>
      <c r="O1171" t="s">
        <v>30</v>
      </c>
      <c r="P1171">
        <v>3.4384130889843201</v>
      </c>
      <c r="Q1171">
        <v>1.2559225084192001</v>
      </c>
      <c r="R1171">
        <v>8.7373530991865493</v>
      </c>
      <c r="S1171">
        <v>157</v>
      </c>
      <c r="T1171">
        <v>76</v>
      </c>
      <c r="U1171">
        <v>518.02113787883798</v>
      </c>
      <c r="V1171">
        <v>2.1097046413502099E-3</v>
      </c>
      <c r="W1171">
        <v>1864247.7719272799</v>
      </c>
      <c r="X1171" t="s">
        <v>38</v>
      </c>
      <c r="Y1171">
        <f>1-760-388-4115</f>
        <v>-5262</v>
      </c>
    </row>
    <row r="1172" spans="1:25" x14ac:dyDescent="0.35">
      <c r="A1172">
        <v>39.696533747620499</v>
      </c>
      <c r="B1172">
        <v>-121.73001860244899</v>
      </c>
      <c r="C1172" t="s">
        <v>34</v>
      </c>
      <c r="D1172">
        <v>26.386474563967901</v>
      </c>
      <c r="E1172">
        <v>3</v>
      </c>
      <c r="F1172">
        <v>4447</v>
      </c>
      <c r="G1172">
        <v>4</v>
      </c>
      <c r="H1172">
        <v>2</v>
      </c>
      <c r="I1172">
        <v>2008</v>
      </c>
      <c r="J1172">
        <v>1</v>
      </c>
      <c r="K1172">
        <v>0</v>
      </c>
      <c r="L1172">
        <v>1</v>
      </c>
      <c r="M1172">
        <v>6</v>
      </c>
      <c r="N1172" t="s">
        <v>41</v>
      </c>
      <c r="O1172" t="s">
        <v>30</v>
      </c>
      <c r="P1172">
        <v>13.082226460577299</v>
      </c>
      <c r="Q1172">
        <v>2.0767560423563598</v>
      </c>
      <c r="R1172">
        <v>3.1515302856537599</v>
      </c>
      <c r="S1172">
        <v>57</v>
      </c>
      <c r="T1172">
        <v>73</v>
      </c>
      <c r="U1172">
        <v>754.35638884481295</v>
      </c>
      <c r="V1172">
        <v>1.34922419608724E-3</v>
      </c>
      <c r="W1172">
        <v>3839812.8375499998</v>
      </c>
      <c r="X1172" t="s">
        <v>39</v>
      </c>
      <c r="Y1172">
        <f>1-441-299-7922</f>
        <v>-8661</v>
      </c>
    </row>
    <row r="1173" spans="1:25" x14ac:dyDescent="0.35">
      <c r="A1173">
        <v>40.304344956467901</v>
      </c>
      <c r="B1173">
        <v>-120.181272894269</v>
      </c>
      <c r="C1173" t="s">
        <v>29</v>
      </c>
      <c r="D1173">
        <v>9.3862258594819306</v>
      </c>
      <c r="E1173">
        <v>3</v>
      </c>
      <c r="F1173">
        <v>547</v>
      </c>
      <c r="G1173">
        <v>1</v>
      </c>
      <c r="H1173">
        <v>2</v>
      </c>
      <c r="I1173">
        <v>1994</v>
      </c>
      <c r="J1173">
        <v>1</v>
      </c>
      <c r="K1173">
        <v>1</v>
      </c>
      <c r="L1173">
        <v>1</v>
      </c>
      <c r="M1173">
        <v>10</v>
      </c>
      <c r="N1173" t="s">
        <v>41</v>
      </c>
      <c r="O1173" t="s">
        <v>30</v>
      </c>
      <c r="P1173">
        <v>2.90056736382394</v>
      </c>
      <c r="Q1173">
        <v>1.42836310672746</v>
      </c>
      <c r="R1173">
        <v>9.3182379095594108</v>
      </c>
      <c r="S1173">
        <v>56</v>
      </c>
      <c r="T1173">
        <v>66</v>
      </c>
      <c r="U1173">
        <v>291.82552804216999</v>
      </c>
      <c r="V1173">
        <v>1.8281535648994499E-2</v>
      </c>
      <c r="W1173">
        <v>431932.56871782697</v>
      </c>
      <c r="X1173" t="s">
        <v>38</v>
      </c>
      <c r="Y1173">
        <f>1-571-106-8586</f>
        <v>-9262</v>
      </c>
    </row>
    <row r="1174" spans="1:25" x14ac:dyDescent="0.35">
      <c r="A1174">
        <v>34.549532977429301</v>
      </c>
      <c r="B1174">
        <v>-118.361544603631</v>
      </c>
      <c r="C1174" t="s">
        <v>25</v>
      </c>
      <c r="D1174">
        <v>10.389578145583901</v>
      </c>
      <c r="E1174">
        <v>8</v>
      </c>
      <c r="F1174">
        <v>3205</v>
      </c>
      <c r="G1174">
        <v>4</v>
      </c>
      <c r="H1174">
        <v>2</v>
      </c>
      <c r="I1174">
        <v>1965</v>
      </c>
      <c r="J1174">
        <v>1</v>
      </c>
      <c r="K1174">
        <v>0</v>
      </c>
      <c r="L1174">
        <v>1</v>
      </c>
      <c r="M1174">
        <v>9</v>
      </c>
      <c r="N1174" t="s">
        <v>35</v>
      </c>
      <c r="O1174" t="s">
        <v>27</v>
      </c>
      <c r="P1174">
        <v>9.0228601119565095</v>
      </c>
      <c r="Q1174">
        <v>2.2359368546636098</v>
      </c>
      <c r="R1174">
        <v>6.20950918737209</v>
      </c>
      <c r="S1174">
        <v>127</v>
      </c>
      <c r="T1174">
        <v>27</v>
      </c>
      <c r="U1174">
        <v>917.97610879159402</v>
      </c>
      <c r="V1174">
        <v>2.80811232449297E-3</v>
      </c>
      <c r="W1174">
        <v>3242654.2630497101</v>
      </c>
      <c r="X1174" t="s">
        <v>36</v>
      </c>
      <c r="Y1174">
        <f>1-431-233-1601</f>
        <v>-2264</v>
      </c>
    </row>
    <row r="1175" spans="1:25" x14ac:dyDescent="0.35">
      <c r="A1175">
        <v>34.408468133752301</v>
      </c>
      <c r="B1175">
        <v>-115.45791780637801</v>
      </c>
      <c r="C1175" t="s">
        <v>25</v>
      </c>
      <c r="D1175">
        <v>27.966251165363499</v>
      </c>
      <c r="E1175">
        <v>1</v>
      </c>
      <c r="F1175">
        <v>4818</v>
      </c>
      <c r="G1175">
        <v>1</v>
      </c>
      <c r="H1175">
        <v>2</v>
      </c>
      <c r="I1175">
        <v>2007</v>
      </c>
      <c r="J1175">
        <v>0</v>
      </c>
      <c r="K1175">
        <v>1</v>
      </c>
      <c r="L1175">
        <v>1</v>
      </c>
      <c r="M1175">
        <v>13</v>
      </c>
      <c r="N1175" t="s">
        <v>35</v>
      </c>
      <c r="O1175" t="s">
        <v>32</v>
      </c>
      <c r="P1175">
        <v>13.542122937032801</v>
      </c>
      <c r="Q1175">
        <v>0.751877517107024</v>
      </c>
      <c r="R1175">
        <v>1.01949595378514</v>
      </c>
      <c r="S1175">
        <v>95</v>
      </c>
      <c r="T1175">
        <v>39</v>
      </c>
      <c r="U1175">
        <v>586.84404820768998</v>
      </c>
      <c r="V1175">
        <v>2.6982150269821499E-3</v>
      </c>
      <c r="W1175">
        <v>3166900.73285989</v>
      </c>
      <c r="X1175" t="s">
        <v>28</v>
      </c>
      <c r="Y1175">
        <f>1-876-863-6011</f>
        <v>-7749</v>
      </c>
    </row>
    <row r="1176" spans="1:25" x14ac:dyDescent="0.35">
      <c r="A1176">
        <v>36.1469564351749</v>
      </c>
      <c r="B1176">
        <v>-114.79007495250001</v>
      </c>
      <c r="C1176" t="s">
        <v>25</v>
      </c>
      <c r="D1176">
        <v>42.554346876496098</v>
      </c>
      <c r="E1176">
        <v>4</v>
      </c>
      <c r="F1176">
        <v>4497</v>
      </c>
      <c r="G1176">
        <v>3</v>
      </c>
      <c r="H1176">
        <v>1</v>
      </c>
      <c r="I1176">
        <v>1982</v>
      </c>
      <c r="J1176">
        <v>1</v>
      </c>
      <c r="K1176">
        <v>1</v>
      </c>
      <c r="L1176">
        <v>1</v>
      </c>
      <c r="M1176">
        <v>9</v>
      </c>
      <c r="N1176" t="s">
        <v>37</v>
      </c>
      <c r="O1176" t="s">
        <v>32</v>
      </c>
      <c r="P1176">
        <v>6.0251821024840497</v>
      </c>
      <c r="Q1176">
        <v>1.7432191394896299</v>
      </c>
      <c r="R1176">
        <v>3.16814626616355</v>
      </c>
      <c r="S1176">
        <v>17</v>
      </c>
      <c r="T1176">
        <v>55</v>
      </c>
      <c r="U1176">
        <v>646.11889320471198</v>
      </c>
      <c r="V1176">
        <v>2.0013342228152099E-3</v>
      </c>
      <c r="W1176">
        <v>3197669.1714531798</v>
      </c>
      <c r="X1176" t="s">
        <v>40</v>
      </c>
      <c r="Y1176">
        <f>1-649-936-5733</f>
        <v>-7317</v>
      </c>
    </row>
    <row r="1177" spans="1:25" x14ac:dyDescent="0.35">
      <c r="A1177">
        <v>33.110936032305503</v>
      </c>
      <c r="B1177">
        <v>-123.12865077563001</v>
      </c>
      <c r="C1177" t="s">
        <v>25</v>
      </c>
      <c r="D1177">
        <v>46.251636379884097</v>
      </c>
      <c r="E1177">
        <v>3</v>
      </c>
      <c r="F1177">
        <v>749</v>
      </c>
      <c r="G1177">
        <v>2</v>
      </c>
      <c r="H1177">
        <v>2</v>
      </c>
      <c r="I1177">
        <v>2002</v>
      </c>
      <c r="J1177">
        <v>1</v>
      </c>
      <c r="K1177">
        <v>1</v>
      </c>
      <c r="L1177">
        <v>0</v>
      </c>
      <c r="M1177">
        <v>5</v>
      </c>
      <c r="N1177" t="s">
        <v>41</v>
      </c>
      <c r="O1177" t="s">
        <v>30</v>
      </c>
      <c r="P1177">
        <v>12.1140833914717</v>
      </c>
      <c r="Q1177">
        <v>1.4248364199236301</v>
      </c>
      <c r="R1177">
        <v>2.2238674561388101</v>
      </c>
      <c r="S1177">
        <v>67</v>
      </c>
      <c r="T1177">
        <v>79</v>
      </c>
      <c r="U1177">
        <v>282.06155756760802</v>
      </c>
      <c r="V1177">
        <v>6.6755674232309697E-3</v>
      </c>
      <c r="W1177">
        <v>636649.73790383001</v>
      </c>
      <c r="X1177" t="s">
        <v>33</v>
      </c>
      <c r="Y1177">
        <f>1-391-527-8209</f>
        <v>-9126</v>
      </c>
    </row>
    <row r="1178" spans="1:25" x14ac:dyDescent="0.35">
      <c r="A1178">
        <v>38.199054779591698</v>
      </c>
      <c r="B1178">
        <v>-116.534856894333</v>
      </c>
      <c r="C1178" t="s">
        <v>25</v>
      </c>
      <c r="D1178">
        <v>43.136571122688601</v>
      </c>
      <c r="E1178">
        <v>9</v>
      </c>
      <c r="F1178">
        <v>1197</v>
      </c>
      <c r="G1178">
        <v>5</v>
      </c>
      <c r="H1178">
        <v>2</v>
      </c>
      <c r="I1178">
        <v>2017</v>
      </c>
      <c r="J1178">
        <v>1</v>
      </c>
      <c r="K1178">
        <v>1</v>
      </c>
      <c r="L1178">
        <v>1</v>
      </c>
      <c r="M1178">
        <v>7</v>
      </c>
      <c r="N1178" t="s">
        <v>37</v>
      </c>
      <c r="O1178" t="s">
        <v>32</v>
      </c>
      <c r="P1178">
        <v>4.4877222119018798</v>
      </c>
      <c r="Q1178">
        <v>2.3690521172544199</v>
      </c>
      <c r="R1178">
        <v>0.69738242785298599</v>
      </c>
      <c r="S1178">
        <v>1</v>
      </c>
      <c r="T1178">
        <v>21</v>
      </c>
      <c r="U1178">
        <v>844.84667736174197</v>
      </c>
      <c r="V1178">
        <v>5.84795321637426E-3</v>
      </c>
      <c r="W1178">
        <v>1454744.05968658</v>
      </c>
      <c r="X1178" t="s">
        <v>33</v>
      </c>
      <c r="Y1178">
        <f>1-437-414-2352</f>
        <v>-3202</v>
      </c>
    </row>
    <row r="1179" spans="1:25" x14ac:dyDescent="0.35">
      <c r="A1179">
        <v>33.913673164699297</v>
      </c>
      <c r="B1179">
        <v>-118.655375902793</v>
      </c>
      <c r="C1179" t="s">
        <v>29</v>
      </c>
      <c r="D1179">
        <v>35.427552548674697</v>
      </c>
      <c r="E1179">
        <v>5</v>
      </c>
      <c r="F1179">
        <v>1946</v>
      </c>
      <c r="G1179">
        <v>4</v>
      </c>
      <c r="H1179">
        <v>1</v>
      </c>
      <c r="I1179">
        <v>2018</v>
      </c>
      <c r="J1179">
        <v>1</v>
      </c>
      <c r="K1179">
        <v>1</v>
      </c>
      <c r="L1179">
        <v>0</v>
      </c>
      <c r="M1179">
        <v>13</v>
      </c>
      <c r="N1179" t="s">
        <v>41</v>
      </c>
      <c r="O1179" t="s">
        <v>32</v>
      </c>
      <c r="P1179">
        <v>9.7558596364525396</v>
      </c>
      <c r="Q1179">
        <v>1.53493150988482</v>
      </c>
      <c r="R1179">
        <v>2.8063901277743399</v>
      </c>
      <c r="S1179">
        <v>111</v>
      </c>
      <c r="T1179">
        <v>53</v>
      </c>
      <c r="U1179">
        <v>961.98895700211403</v>
      </c>
      <c r="V1179">
        <v>6.6803699897225004E-3</v>
      </c>
      <c r="W1179">
        <v>2212617.23528567</v>
      </c>
      <c r="X1179" t="s">
        <v>36</v>
      </c>
      <c r="Y1179">
        <f>1-967-879-7456</f>
        <v>-9301</v>
      </c>
    </row>
    <row r="1180" spans="1:25" x14ac:dyDescent="0.35">
      <c r="A1180">
        <v>36.980248503412298</v>
      </c>
      <c r="B1180">
        <v>-119.645028720789</v>
      </c>
      <c r="C1180" t="s">
        <v>29</v>
      </c>
      <c r="D1180">
        <v>25.791147080896799</v>
      </c>
      <c r="E1180">
        <v>8</v>
      </c>
      <c r="F1180">
        <v>3435</v>
      </c>
      <c r="G1180">
        <v>1</v>
      </c>
      <c r="H1180">
        <v>3</v>
      </c>
      <c r="I1180">
        <v>1966</v>
      </c>
      <c r="J1180">
        <v>0</v>
      </c>
      <c r="K1180">
        <v>1</v>
      </c>
      <c r="L1180">
        <v>0</v>
      </c>
      <c r="M1180">
        <v>5</v>
      </c>
      <c r="N1180" t="s">
        <v>41</v>
      </c>
      <c r="O1180" t="s">
        <v>32</v>
      </c>
      <c r="P1180">
        <v>6.48488652910381</v>
      </c>
      <c r="Q1180">
        <v>2.2379864355073602</v>
      </c>
      <c r="R1180">
        <v>4.9202776650293902</v>
      </c>
      <c r="S1180">
        <v>93</v>
      </c>
      <c r="T1180">
        <v>46</v>
      </c>
      <c r="U1180">
        <v>750.92448694428094</v>
      </c>
      <c r="V1180">
        <v>1.4556040756914101E-3</v>
      </c>
      <c r="W1180">
        <v>2740192.7558480902</v>
      </c>
      <c r="X1180" t="s">
        <v>28</v>
      </c>
      <c r="Y1180">
        <f>1-635-989-3131</f>
        <v>-4754</v>
      </c>
    </row>
    <row r="1181" spans="1:25" x14ac:dyDescent="0.35">
      <c r="A1181">
        <v>34.634942569131198</v>
      </c>
      <c r="B1181">
        <v>-123.522628709534</v>
      </c>
      <c r="C1181" t="s">
        <v>34</v>
      </c>
      <c r="D1181">
        <v>27.804406966254401</v>
      </c>
      <c r="E1181">
        <v>3</v>
      </c>
      <c r="F1181">
        <v>546</v>
      </c>
      <c r="G1181">
        <v>5</v>
      </c>
      <c r="H1181">
        <v>2</v>
      </c>
      <c r="I1181">
        <v>2005</v>
      </c>
      <c r="J1181">
        <v>0</v>
      </c>
      <c r="K1181">
        <v>1</v>
      </c>
      <c r="L1181">
        <v>0</v>
      </c>
      <c r="M1181">
        <v>8</v>
      </c>
      <c r="N1181" t="s">
        <v>26</v>
      </c>
      <c r="O1181" t="s">
        <v>27</v>
      </c>
      <c r="P1181">
        <v>9.7722228045417197</v>
      </c>
      <c r="Q1181">
        <v>1.34956703226855</v>
      </c>
      <c r="R1181">
        <v>1.6823118722775501</v>
      </c>
      <c r="S1181">
        <v>119</v>
      </c>
      <c r="T1181">
        <v>22</v>
      </c>
      <c r="U1181">
        <v>802.71253613165902</v>
      </c>
      <c r="V1181">
        <v>1.46520146520146E-2</v>
      </c>
      <c r="W1181">
        <v>860320.95448333502</v>
      </c>
      <c r="X1181" t="s">
        <v>40</v>
      </c>
      <c r="Y1181">
        <f>1-551-870-6115</f>
        <v>-7535</v>
      </c>
    </row>
    <row r="1182" spans="1:25" x14ac:dyDescent="0.35">
      <c r="A1182">
        <v>35.234846682305403</v>
      </c>
      <c r="B1182">
        <v>-123.10862165603599</v>
      </c>
      <c r="C1182" t="s">
        <v>25</v>
      </c>
      <c r="D1182">
        <v>17.681329321863199</v>
      </c>
      <c r="E1182">
        <v>0</v>
      </c>
      <c r="F1182">
        <v>500</v>
      </c>
      <c r="G1182">
        <v>3</v>
      </c>
      <c r="H1182">
        <v>1</v>
      </c>
      <c r="I1182">
        <v>1975</v>
      </c>
      <c r="J1182">
        <v>0</v>
      </c>
      <c r="K1182">
        <v>0</v>
      </c>
      <c r="L1182">
        <v>0</v>
      </c>
      <c r="M1182">
        <v>14</v>
      </c>
      <c r="N1182" t="s">
        <v>37</v>
      </c>
      <c r="O1182" t="s">
        <v>27</v>
      </c>
      <c r="P1182">
        <v>14.6111344061332</v>
      </c>
      <c r="Q1182">
        <v>0.77347341164015404</v>
      </c>
      <c r="R1182">
        <v>9.0894407705447495</v>
      </c>
      <c r="S1182">
        <v>46</v>
      </c>
      <c r="T1182">
        <v>60</v>
      </c>
      <c r="U1182">
        <v>281.527417256619</v>
      </c>
      <c r="V1182">
        <v>2.8000000000000001E-2</v>
      </c>
      <c r="W1182">
        <v>366907.91947244701</v>
      </c>
      <c r="X1182" t="s">
        <v>40</v>
      </c>
      <c r="Y1182">
        <f>1-639-676-9641</f>
        <v>-10955</v>
      </c>
    </row>
    <row r="1183" spans="1:25" x14ac:dyDescent="0.35">
      <c r="A1183">
        <v>33.440601671674401</v>
      </c>
      <c r="B1183">
        <v>-124.22943147437699</v>
      </c>
      <c r="C1183" t="s">
        <v>29</v>
      </c>
      <c r="D1183">
        <v>28.437063565121001</v>
      </c>
      <c r="E1183">
        <v>2</v>
      </c>
      <c r="F1183">
        <v>1044</v>
      </c>
      <c r="G1183">
        <v>1</v>
      </c>
      <c r="H1183">
        <v>3</v>
      </c>
      <c r="I1183">
        <v>2022</v>
      </c>
      <c r="J1183">
        <v>1</v>
      </c>
      <c r="K1183">
        <v>0</v>
      </c>
      <c r="L1183">
        <v>0</v>
      </c>
      <c r="M1183">
        <v>11</v>
      </c>
      <c r="N1183" t="s">
        <v>26</v>
      </c>
      <c r="O1183" t="s">
        <v>27</v>
      </c>
      <c r="P1183">
        <v>13.9420427975151</v>
      </c>
      <c r="Q1183">
        <v>0.71614008908480198</v>
      </c>
      <c r="R1183">
        <v>5.6200403040101401</v>
      </c>
      <c r="S1183">
        <v>158</v>
      </c>
      <c r="T1183">
        <v>22</v>
      </c>
      <c r="U1183">
        <v>228.49981552310101</v>
      </c>
      <c r="V1183">
        <v>1.05363984674329E-2</v>
      </c>
      <c r="W1183">
        <v>578472.38301100105</v>
      </c>
      <c r="X1183" t="s">
        <v>39</v>
      </c>
      <c r="Y1183">
        <f>1-964-769-3236</f>
        <v>-4968</v>
      </c>
    </row>
    <row r="1184" spans="1:25" x14ac:dyDescent="0.35">
      <c r="A1184">
        <v>37.851538881585597</v>
      </c>
      <c r="B1184">
        <v>-117.953347089305</v>
      </c>
      <c r="C1184" t="s">
        <v>29</v>
      </c>
      <c r="D1184">
        <v>25.050227718843701</v>
      </c>
      <c r="E1184">
        <v>2</v>
      </c>
      <c r="F1184">
        <v>2307</v>
      </c>
      <c r="G1184">
        <v>2</v>
      </c>
      <c r="H1184">
        <v>2</v>
      </c>
      <c r="I1184">
        <v>2014</v>
      </c>
      <c r="J1184">
        <v>0</v>
      </c>
      <c r="K1184">
        <v>1</v>
      </c>
      <c r="L1184">
        <v>0</v>
      </c>
      <c r="M1184">
        <v>3</v>
      </c>
      <c r="N1184" t="s">
        <v>35</v>
      </c>
      <c r="O1184" t="s">
        <v>30</v>
      </c>
      <c r="P1184">
        <v>5.4857117841344403</v>
      </c>
      <c r="Q1184">
        <v>2.36590551395726</v>
      </c>
      <c r="R1184">
        <v>4.9120510381835096</v>
      </c>
      <c r="S1184">
        <v>75</v>
      </c>
      <c r="T1184">
        <v>69</v>
      </c>
      <c r="U1184">
        <v>782.80581944409505</v>
      </c>
      <c r="V1184">
        <v>1.3003901170351099E-3</v>
      </c>
      <c r="W1184">
        <v>2077955.85301496</v>
      </c>
      <c r="X1184" t="s">
        <v>38</v>
      </c>
      <c r="Y1184">
        <f>1-887-998-1479</f>
        <v>-3363</v>
      </c>
    </row>
    <row r="1185" spans="1:25" x14ac:dyDescent="0.35">
      <c r="A1185">
        <v>33.3662383684566</v>
      </c>
      <c r="B1185">
        <v>-117.616315640263</v>
      </c>
      <c r="C1185" t="s">
        <v>25</v>
      </c>
      <c r="D1185">
        <v>44.099871429536698</v>
      </c>
      <c r="E1185">
        <v>7</v>
      </c>
      <c r="F1185">
        <v>1375</v>
      </c>
      <c r="G1185">
        <v>3</v>
      </c>
      <c r="H1185">
        <v>1</v>
      </c>
      <c r="I1185">
        <v>1998</v>
      </c>
      <c r="J1185">
        <v>0</v>
      </c>
      <c r="K1185">
        <v>0</v>
      </c>
      <c r="L1185">
        <v>1</v>
      </c>
      <c r="M1185">
        <v>13</v>
      </c>
      <c r="N1185" t="s">
        <v>26</v>
      </c>
      <c r="O1185" t="s">
        <v>32</v>
      </c>
      <c r="P1185">
        <v>11.9578379268238</v>
      </c>
      <c r="Q1185">
        <v>0.69108369423027105</v>
      </c>
      <c r="R1185">
        <v>6.4640035896530099</v>
      </c>
      <c r="S1185">
        <v>19</v>
      </c>
      <c r="T1185">
        <v>48</v>
      </c>
      <c r="U1185">
        <v>232.52670660140799</v>
      </c>
      <c r="V1185">
        <v>9.4545454545454499E-3</v>
      </c>
      <c r="W1185">
        <v>596216.75884154998</v>
      </c>
      <c r="X1185" t="s">
        <v>42</v>
      </c>
      <c r="Y1185">
        <f>1-424-830-7966</f>
        <v>-9219</v>
      </c>
    </row>
    <row r="1186" spans="1:25" x14ac:dyDescent="0.35">
      <c r="A1186">
        <v>38.8523734404897</v>
      </c>
      <c r="B1186">
        <v>-121.135047329301</v>
      </c>
      <c r="C1186" t="s">
        <v>25</v>
      </c>
      <c r="D1186">
        <v>1.1245240018693401</v>
      </c>
      <c r="E1186">
        <v>0</v>
      </c>
      <c r="F1186">
        <v>3571</v>
      </c>
      <c r="G1186">
        <v>2</v>
      </c>
      <c r="H1186">
        <v>3</v>
      </c>
      <c r="I1186">
        <v>1989</v>
      </c>
      <c r="J1186">
        <v>0</v>
      </c>
      <c r="K1186">
        <v>1</v>
      </c>
      <c r="L1186">
        <v>1</v>
      </c>
      <c r="M1186">
        <v>11</v>
      </c>
      <c r="N1186" t="s">
        <v>41</v>
      </c>
      <c r="O1186" t="s">
        <v>30</v>
      </c>
      <c r="P1186">
        <v>2.1104358677419399</v>
      </c>
      <c r="Q1186">
        <v>1.02743661731337</v>
      </c>
      <c r="R1186">
        <v>7.1053095146452003</v>
      </c>
      <c r="S1186">
        <v>128</v>
      </c>
      <c r="T1186">
        <v>79</v>
      </c>
      <c r="U1186">
        <v>829.92428650557702</v>
      </c>
      <c r="V1186">
        <v>3.08036964435732E-3</v>
      </c>
      <c r="W1186">
        <v>3277507.4131081202</v>
      </c>
      <c r="X1186" t="s">
        <v>38</v>
      </c>
      <c r="Y1186">
        <f>1-748-994-4053</f>
        <v>-5794</v>
      </c>
    </row>
    <row r="1187" spans="1:25" x14ac:dyDescent="0.35">
      <c r="A1187">
        <v>40.605328415294103</v>
      </c>
      <c r="B1187">
        <v>-117.910187785069</v>
      </c>
      <c r="C1187" t="s">
        <v>34</v>
      </c>
      <c r="D1187">
        <v>42.408226294346903</v>
      </c>
      <c r="E1187">
        <v>1</v>
      </c>
      <c r="F1187">
        <v>1909</v>
      </c>
      <c r="G1187">
        <v>3</v>
      </c>
      <c r="H1187">
        <v>2</v>
      </c>
      <c r="I1187">
        <v>1997</v>
      </c>
      <c r="J1187">
        <v>1</v>
      </c>
      <c r="K1187">
        <v>0</v>
      </c>
      <c r="L1187">
        <v>1</v>
      </c>
      <c r="M1187">
        <v>4</v>
      </c>
      <c r="N1187" t="s">
        <v>41</v>
      </c>
      <c r="O1187" t="s">
        <v>32</v>
      </c>
      <c r="P1187">
        <v>3.34426419084435</v>
      </c>
      <c r="Q1187">
        <v>0.60145119740257902</v>
      </c>
      <c r="R1187">
        <v>6.9383181207717897</v>
      </c>
      <c r="S1187">
        <v>105</v>
      </c>
      <c r="T1187">
        <v>69</v>
      </c>
      <c r="U1187">
        <v>300.71338473532398</v>
      </c>
      <c r="V1187">
        <v>2.0953378732320501E-3</v>
      </c>
      <c r="W1187">
        <v>890889.29928252997</v>
      </c>
      <c r="X1187" t="s">
        <v>33</v>
      </c>
      <c r="Y1187">
        <f>1-539-350-8979</f>
        <v>-9867</v>
      </c>
    </row>
    <row r="1188" spans="1:25" x14ac:dyDescent="0.35">
      <c r="A1188">
        <v>41.218536573999501</v>
      </c>
      <c r="B1188">
        <v>-121.009443398868</v>
      </c>
      <c r="C1188" t="s">
        <v>25</v>
      </c>
      <c r="D1188">
        <v>15.502742667914699</v>
      </c>
      <c r="E1188">
        <v>7</v>
      </c>
      <c r="F1188">
        <v>4118</v>
      </c>
      <c r="G1188">
        <v>3</v>
      </c>
      <c r="H1188">
        <v>3</v>
      </c>
      <c r="I1188">
        <v>1957</v>
      </c>
      <c r="J1188">
        <v>1</v>
      </c>
      <c r="K1188">
        <v>1</v>
      </c>
      <c r="L1188">
        <v>0</v>
      </c>
      <c r="M1188">
        <v>11</v>
      </c>
      <c r="N1188" t="s">
        <v>35</v>
      </c>
      <c r="O1188" t="s">
        <v>27</v>
      </c>
      <c r="P1188">
        <v>11.8116005536637</v>
      </c>
      <c r="Q1188">
        <v>0.66038527493204702</v>
      </c>
      <c r="R1188">
        <v>5.7443898539419802</v>
      </c>
      <c r="S1188">
        <v>38</v>
      </c>
      <c r="T1188">
        <v>64</v>
      </c>
      <c r="U1188">
        <v>466.16992124358597</v>
      </c>
      <c r="V1188">
        <v>2.6711996114618698E-3</v>
      </c>
      <c r="W1188">
        <v>2159428.4058143799</v>
      </c>
      <c r="X1188" t="s">
        <v>36</v>
      </c>
      <c r="Y1188">
        <f>1-249-502-4838</f>
        <v>-5588</v>
      </c>
    </row>
    <row r="1189" spans="1:25" x14ac:dyDescent="0.35">
      <c r="A1189">
        <v>38.659134540806697</v>
      </c>
      <c r="B1189">
        <v>-122.12231665185701</v>
      </c>
      <c r="C1189" t="s">
        <v>29</v>
      </c>
      <c r="D1189">
        <v>44.602398236643502</v>
      </c>
      <c r="E1189">
        <v>9</v>
      </c>
      <c r="F1189">
        <v>1616</v>
      </c>
      <c r="G1189">
        <v>5</v>
      </c>
      <c r="H1189">
        <v>2</v>
      </c>
      <c r="I1189">
        <v>1997</v>
      </c>
      <c r="J1189">
        <v>1</v>
      </c>
      <c r="K1189">
        <v>1</v>
      </c>
      <c r="L1189">
        <v>1</v>
      </c>
      <c r="M1189">
        <v>2</v>
      </c>
      <c r="N1189" t="s">
        <v>26</v>
      </c>
      <c r="O1189" t="s">
        <v>27</v>
      </c>
      <c r="P1189">
        <v>8.7769202732331006</v>
      </c>
      <c r="Q1189">
        <v>2.1298707225726101</v>
      </c>
      <c r="R1189">
        <v>2.4144207901247898</v>
      </c>
      <c r="S1189">
        <v>18</v>
      </c>
      <c r="T1189">
        <v>44</v>
      </c>
      <c r="U1189">
        <v>298.27548405713799</v>
      </c>
      <c r="V1189">
        <v>1.23762376237623E-3</v>
      </c>
      <c r="W1189">
        <v>1063604.7823520999</v>
      </c>
      <c r="X1189" t="s">
        <v>38</v>
      </c>
      <c r="Y1189">
        <f>1-570-566-2938</f>
        <v>-4073</v>
      </c>
    </row>
    <row r="1190" spans="1:25" x14ac:dyDescent="0.35">
      <c r="A1190">
        <v>35.777649149237099</v>
      </c>
      <c r="B1190">
        <v>-124.461391365117</v>
      </c>
      <c r="C1190" t="s">
        <v>25</v>
      </c>
      <c r="D1190">
        <v>22.5954892351848</v>
      </c>
      <c r="E1190">
        <v>0</v>
      </c>
      <c r="F1190">
        <v>2035</v>
      </c>
      <c r="G1190">
        <v>2</v>
      </c>
      <c r="H1190">
        <v>1</v>
      </c>
      <c r="I1190">
        <v>1980</v>
      </c>
      <c r="J1190">
        <v>1</v>
      </c>
      <c r="K1190">
        <v>0</v>
      </c>
      <c r="L1190">
        <v>0</v>
      </c>
      <c r="M1190">
        <v>4</v>
      </c>
      <c r="N1190" t="s">
        <v>41</v>
      </c>
      <c r="O1190" t="s">
        <v>30</v>
      </c>
      <c r="P1190">
        <v>5.6042672963153901</v>
      </c>
      <c r="Q1190">
        <v>2.1536978977704502</v>
      </c>
      <c r="R1190">
        <v>4.8688313450049296</v>
      </c>
      <c r="S1190">
        <v>142</v>
      </c>
      <c r="T1190">
        <v>77</v>
      </c>
      <c r="U1190">
        <v>357.18527859509402</v>
      </c>
      <c r="V1190">
        <v>1.9656019656019599E-3</v>
      </c>
      <c r="W1190">
        <v>860421.03503886505</v>
      </c>
      <c r="X1190" t="s">
        <v>39</v>
      </c>
      <c r="Y1190">
        <f>1-911-130-4755</f>
        <v>-5795</v>
      </c>
    </row>
    <row r="1191" spans="1:25" x14ac:dyDescent="0.35">
      <c r="A1191">
        <v>35.956609000310799</v>
      </c>
      <c r="B1191">
        <v>-117.732916735868</v>
      </c>
      <c r="C1191" t="s">
        <v>34</v>
      </c>
      <c r="D1191">
        <v>13.3056529589758</v>
      </c>
      <c r="E1191">
        <v>4</v>
      </c>
      <c r="F1191">
        <v>522</v>
      </c>
      <c r="G1191">
        <v>3</v>
      </c>
      <c r="H1191">
        <v>2</v>
      </c>
      <c r="I1191">
        <v>2013</v>
      </c>
      <c r="J1191">
        <v>1</v>
      </c>
      <c r="K1191">
        <v>1</v>
      </c>
      <c r="L1191">
        <v>1</v>
      </c>
      <c r="M1191">
        <v>9</v>
      </c>
      <c r="N1191" t="s">
        <v>37</v>
      </c>
      <c r="O1191" t="s">
        <v>27</v>
      </c>
      <c r="P1191">
        <v>11.673931067967199</v>
      </c>
      <c r="Q1191">
        <v>0.92061268890077097</v>
      </c>
      <c r="R1191">
        <v>3.4921623003017599</v>
      </c>
      <c r="S1191">
        <v>63</v>
      </c>
      <c r="T1191">
        <v>29</v>
      </c>
      <c r="U1191">
        <v>775.35085863933102</v>
      </c>
      <c r="V1191">
        <v>1.72413793103448E-2</v>
      </c>
      <c r="W1191">
        <v>927616.55140285601</v>
      </c>
      <c r="X1191" t="s">
        <v>43</v>
      </c>
      <c r="Y1191">
        <f>1-464-969-3719</f>
        <v>-5151</v>
      </c>
    </row>
    <row r="1192" spans="1:25" x14ac:dyDescent="0.35">
      <c r="A1192">
        <v>32.748543644385499</v>
      </c>
      <c r="B1192">
        <v>-122.232019763712</v>
      </c>
      <c r="C1192" t="s">
        <v>29</v>
      </c>
      <c r="D1192">
        <v>29.455619647533702</v>
      </c>
      <c r="E1192">
        <v>7</v>
      </c>
      <c r="F1192">
        <v>723</v>
      </c>
      <c r="G1192">
        <v>2</v>
      </c>
      <c r="H1192">
        <v>1</v>
      </c>
      <c r="I1192">
        <v>2003</v>
      </c>
      <c r="J1192">
        <v>0</v>
      </c>
      <c r="K1192">
        <v>1</v>
      </c>
      <c r="L1192">
        <v>1</v>
      </c>
      <c r="M1192">
        <v>11</v>
      </c>
      <c r="N1192" t="s">
        <v>37</v>
      </c>
      <c r="O1192" t="s">
        <v>30</v>
      </c>
      <c r="P1192">
        <v>11.184377082922399</v>
      </c>
      <c r="Q1192">
        <v>1.0160733238150601</v>
      </c>
      <c r="R1192">
        <v>6.9759887162847196</v>
      </c>
      <c r="S1192">
        <v>120</v>
      </c>
      <c r="T1192">
        <v>77</v>
      </c>
      <c r="U1192">
        <v>660.92106484473902</v>
      </c>
      <c r="V1192">
        <v>1.52143845089903E-2</v>
      </c>
      <c r="W1192">
        <v>723226.39379379002</v>
      </c>
      <c r="X1192" t="s">
        <v>33</v>
      </c>
      <c r="Y1192">
        <f>1-624-332-3973</f>
        <v>-4928</v>
      </c>
    </row>
    <row r="1193" spans="1:25" x14ac:dyDescent="0.35">
      <c r="A1193">
        <v>39.651914823823702</v>
      </c>
      <c r="B1193">
        <v>-122.820173514652</v>
      </c>
      <c r="C1193" t="s">
        <v>25</v>
      </c>
      <c r="D1193">
        <v>49.460602257113997</v>
      </c>
      <c r="E1193">
        <v>0</v>
      </c>
      <c r="F1193">
        <v>1695</v>
      </c>
      <c r="G1193">
        <v>2</v>
      </c>
      <c r="H1193">
        <v>1</v>
      </c>
      <c r="I1193">
        <v>1997</v>
      </c>
      <c r="J1193">
        <v>1</v>
      </c>
      <c r="K1193">
        <v>1</v>
      </c>
      <c r="L1193">
        <v>0</v>
      </c>
      <c r="M1193">
        <v>14</v>
      </c>
      <c r="N1193" t="s">
        <v>26</v>
      </c>
      <c r="O1193" t="s">
        <v>32</v>
      </c>
      <c r="P1193">
        <v>11.580135421230899</v>
      </c>
      <c r="Q1193">
        <v>0.853741290400437</v>
      </c>
      <c r="R1193">
        <v>3.5673307764906701</v>
      </c>
      <c r="S1193">
        <v>37</v>
      </c>
      <c r="T1193">
        <v>37</v>
      </c>
      <c r="U1193">
        <v>566.01140990528597</v>
      </c>
      <c r="V1193">
        <v>8.2595870206489605E-3</v>
      </c>
      <c r="W1193">
        <v>1323583.99111173</v>
      </c>
      <c r="X1193" t="s">
        <v>38</v>
      </c>
      <c r="Y1193">
        <f>1-943-972-9948</f>
        <v>-11862</v>
      </c>
    </row>
    <row r="1194" spans="1:25" x14ac:dyDescent="0.35">
      <c r="A1194">
        <v>34.264656539260898</v>
      </c>
      <c r="B1194">
        <v>-114.56748817004799</v>
      </c>
      <c r="C1194" t="s">
        <v>34</v>
      </c>
      <c r="D1194">
        <v>3.5341072422653199</v>
      </c>
      <c r="E1194">
        <v>2</v>
      </c>
      <c r="F1194">
        <v>1583</v>
      </c>
      <c r="G1194">
        <v>5</v>
      </c>
      <c r="H1194">
        <v>3</v>
      </c>
      <c r="I1194">
        <v>1990</v>
      </c>
      <c r="J1194">
        <v>1</v>
      </c>
      <c r="K1194">
        <v>1</v>
      </c>
      <c r="L1194">
        <v>0</v>
      </c>
      <c r="M1194">
        <v>10</v>
      </c>
      <c r="N1194" t="s">
        <v>37</v>
      </c>
      <c r="O1194" t="s">
        <v>30</v>
      </c>
      <c r="P1194">
        <v>8.9743842716797708</v>
      </c>
      <c r="Q1194">
        <v>1.8501616226262001</v>
      </c>
      <c r="R1194">
        <v>7.9190435767246301</v>
      </c>
      <c r="S1194">
        <v>64</v>
      </c>
      <c r="T1194">
        <v>52</v>
      </c>
      <c r="U1194">
        <v>857.61500794949495</v>
      </c>
      <c r="V1194">
        <v>6.3171193935565298E-3</v>
      </c>
      <c r="W1194">
        <v>1826431.5842979499</v>
      </c>
      <c r="X1194" t="s">
        <v>44</v>
      </c>
      <c r="Y1194">
        <f>1-349-462-5676</f>
        <v>-6486</v>
      </c>
    </row>
    <row r="1195" spans="1:25" x14ac:dyDescent="0.35">
      <c r="A1195">
        <v>33.513205952479801</v>
      </c>
      <c r="B1195">
        <v>-122.077619612497</v>
      </c>
      <c r="C1195" t="s">
        <v>25</v>
      </c>
      <c r="D1195">
        <v>5.4725365489978604</v>
      </c>
      <c r="E1195">
        <v>3</v>
      </c>
      <c r="F1195">
        <v>1895</v>
      </c>
      <c r="G1195">
        <v>2</v>
      </c>
      <c r="H1195">
        <v>3</v>
      </c>
      <c r="I1195">
        <v>1993</v>
      </c>
      <c r="J1195">
        <v>0</v>
      </c>
      <c r="K1195">
        <v>1</v>
      </c>
      <c r="L1195">
        <v>0</v>
      </c>
      <c r="M1195">
        <v>2</v>
      </c>
      <c r="N1195" t="s">
        <v>35</v>
      </c>
      <c r="O1195" t="s">
        <v>32</v>
      </c>
      <c r="P1195">
        <v>6.1558946067918603</v>
      </c>
      <c r="Q1195">
        <v>1.0679177546257399</v>
      </c>
      <c r="R1195">
        <v>0.85301673681623802</v>
      </c>
      <c r="S1195">
        <v>58</v>
      </c>
      <c r="T1195">
        <v>65</v>
      </c>
      <c r="U1195">
        <v>377.74630726188599</v>
      </c>
      <c r="V1195">
        <v>1.05540897097625E-3</v>
      </c>
      <c r="W1195">
        <v>996177.575098517</v>
      </c>
      <c r="X1195" t="s">
        <v>28</v>
      </c>
      <c r="Y1195">
        <f>1-866-554-3116</f>
        <v>-4535</v>
      </c>
    </row>
    <row r="1196" spans="1:25" x14ac:dyDescent="0.35">
      <c r="A1196">
        <v>35.888977848386702</v>
      </c>
      <c r="B1196">
        <v>-117.386807513173</v>
      </c>
      <c r="C1196" t="s">
        <v>25</v>
      </c>
      <c r="D1196">
        <v>29.7475366849187</v>
      </c>
      <c r="E1196">
        <v>1</v>
      </c>
      <c r="F1196">
        <v>1678</v>
      </c>
      <c r="G1196">
        <v>5</v>
      </c>
      <c r="H1196">
        <v>1</v>
      </c>
      <c r="I1196">
        <v>1993</v>
      </c>
      <c r="J1196">
        <v>1</v>
      </c>
      <c r="K1196">
        <v>0</v>
      </c>
      <c r="L1196">
        <v>1</v>
      </c>
      <c r="M1196">
        <v>3</v>
      </c>
      <c r="N1196" t="s">
        <v>37</v>
      </c>
      <c r="O1196" t="s">
        <v>27</v>
      </c>
      <c r="P1196">
        <v>10.3111760784954</v>
      </c>
      <c r="Q1196">
        <v>1.68698100470001</v>
      </c>
      <c r="R1196">
        <v>0.130782396176852</v>
      </c>
      <c r="S1196">
        <v>91</v>
      </c>
      <c r="T1196">
        <v>50</v>
      </c>
      <c r="U1196">
        <v>491.547853855933</v>
      </c>
      <c r="V1196">
        <v>1.7878426698450501E-3</v>
      </c>
      <c r="W1196">
        <v>1270062.98577245</v>
      </c>
      <c r="X1196" t="s">
        <v>33</v>
      </c>
      <c r="Y1196">
        <f>1-984-268-7241</f>
        <v>-8492</v>
      </c>
    </row>
    <row r="1197" spans="1:25" x14ac:dyDescent="0.35">
      <c r="A1197">
        <v>39.961169812807697</v>
      </c>
      <c r="B1197">
        <v>-119.751532788072</v>
      </c>
      <c r="C1197" t="s">
        <v>25</v>
      </c>
      <c r="D1197">
        <v>27.015903260368201</v>
      </c>
      <c r="E1197">
        <v>3</v>
      </c>
      <c r="F1197">
        <v>555</v>
      </c>
      <c r="G1197">
        <v>3</v>
      </c>
      <c r="H1197">
        <v>1</v>
      </c>
      <c r="I1197">
        <v>2016</v>
      </c>
      <c r="J1197">
        <v>1</v>
      </c>
      <c r="K1197">
        <v>1</v>
      </c>
      <c r="L1197">
        <v>0</v>
      </c>
      <c r="M1197">
        <v>6</v>
      </c>
      <c r="N1197" t="s">
        <v>41</v>
      </c>
      <c r="O1197" t="s">
        <v>32</v>
      </c>
      <c r="P1197">
        <v>14.7775276666236</v>
      </c>
      <c r="Q1197">
        <v>1.93441552171728</v>
      </c>
      <c r="R1197">
        <v>3.0683380636651401</v>
      </c>
      <c r="S1197">
        <v>135</v>
      </c>
      <c r="T1197">
        <v>71</v>
      </c>
      <c r="U1197">
        <v>738.48692993812995</v>
      </c>
      <c r="V1197">
        <v>1.0810810810810799E-2</v>
      </c>
      <c r="W1197">
        <v>888179.43883274298</v>
      </c>
      <c r="X1197" t="s">
        <v>38</v>
      </c>
      <c r="Y1197">
        <f>1-889-926-7708</f>
        <v>-9522</v>
      </c>
    </row>
    <row r="1198" spans="1:25" x14ac:dyDescent="0.35">
      <c r="A1198">
        <v>41.674426945080803</v>
      </c>
      <c r="B1198">
        <v>-114.419473528124</v>
      </c>
      <c r="C1198" t="s">
        <v>29</v>
      </c>
      <c r="D1198">
        <v>4.1094939922176597</v>
      </c>
      <c r="E1198">
        <v>9</v>
      </c>
      <c r="F1198">
        <v>1058</v>
      </c>
      <c r="G1198">
        <v>3</v>
      </c>
      <c r="H1198">
        <v>2</v>
      </c>
      <c r="I1198">
        <v>1962</v>
      </c>
      <c r="J1198">
        <v>1</v>
      </c>
      <c r="K1198">
        <v>0</v>
      </c>
      <c r="L1198">
        <v>0</v>
      </c>
      <c r="M1198">
        <v>8</v>
      </c>
      <c r="N1198" t="s">
        <v>41</v>
      </c>
      <c r="O1198" t="s">
        <v>30</v>
      </c>
      <c r="P1198">
        <v>12.1247355105283</v>
      </c>
      <c r="Q1198">
        <v>1.31202891794612</v>
      </c>
      <c r="R1198">
        <v>3.5059165268430501</v>
      </c>
      <c r="S1198">
        <v>106</v>
      </c>
      <c r="T1198">
        <v>49</v>
      </c>
      <c r="U1198">
        <v>414.75262320737897</v>
      </c>
      <c r="V1198">
        <v>7.5614366729678598E-3</v>
      </c>
      <c r="W1198">
        <v>693444.15252758795</v>
      </c>
      <c r="X1198" t="s">
        <v>44</v>
      </c>
      <c r="Y1198">
        <f>1-607-676-9495</f>
        <v>-10777</v>
      </c>
    </row>
    <row r="1199" spans="1:25" x14ac:dyDescent="0.35">
      <c r="A1199">
        <v>36.824174745052701</v>
      </c>
      <c r="B1199">
        <v>-116.297121909742</v>
      </c>
      <c r="C1199" t="s">
        <v>29</v>
      </c>
      <c r="D1199">
        <v>34.402473138000502</v>
      </c>
      <c r="E1199">
        <v>7</v>
      </c>
      <c r="F1199">
        <v>999</v>
      </c>
      <c r="G1199">
        <v>2</v>
      </c>
      <c r="H1199">
        <v>1</v>
      </c>
      <c r="I1199">
        <v>2014</v>
      </c>
      <c r="J1199">
        <v>1</v>
      </c>
      <c r="K1199">
        <v>0</v>
      </c>
      <c r="L1199">
        <v>0</v>
      </c>
      <c r="M1199">
        <v>4</v>
      </c>
      <c r="N1199" t="s">
        <v>35</v>
      </c>
      <c r="O1199" t="s">
        <v>32</v>
      </c>
      <c r="P1199">
        <v>5.9782521513910396</v>
      </c>
      <c r="Q1199">
        <v>1.16132418460363</v>
      </c>
      <c r="R1199">
        <v>2.0793955744177199</v>
      </c>
      <c r="S1199">
        <v>147</v>
      </c>
      <c r="T1199">
        <v>36</v>
      </c>
      <c r="U1199">
        <v>224.44904997961001</v>
      </c>
      <c r="V1199">
        <v>4.0040040040039996E-3</v>
      </c>
      <c r="W1199">
        <v>396941.30613018898</v>
      </c>
      <c r="X1199" t="s">
        <v>31</v>
      </c>
      <c r="Y1199">
        <f>1-819-729-5091</f>
        <v>-6638</v>
      </c>
    </row>
    <row r="1200" spans="1:25" x14ac:dyDescent="0.35">
      <c r="A1200">
        <v>32.644023247641499</v>
      </c>
      <c r="B1200">
        <v>-114.580655255918</v>
      </c>
      <c r="C1200" t="s">
        <v>25</v>
      </c>
      <c r="D1200">
        <v>18.407663980339301</v>
      </c>
      <c r="E1200">
        <v>8</v>
      </c>
      <c r="F1200">
        <v>3171</v>
      </c>
      <c r="G1200">
        <v>2</v>
      </c>
      <c r="H1200">
        <v>3</v>
      </c>
      <c r="I1200">
        <v>1958</v>
      </c>
      <c r="J1200">
        <v>1</v>
      </c>
      <c r="K1200">
        <v>1</v>
      </c>
      <c r="L1200">
        <v>0</v>
      </c>
      <c r="M1200">
        <v>9</v>
      </c>
      <c r="N1200" t="s">
        <v>35</v>
      </c>
      <c r="O1200" t="s">
        <v>32</v>
      </c>
      <c r="P1200">
        <v>2.7268304368465999</v>
      </c>
      <c r="Q1200">
        <v>1.3093081089196901</v>
      </c>
      <c r="R1200">
        <v>8.1624345922749093</v>
      </c>
      <c r="S1200">
        <v>55</v>
      </c>
      <c r="T1200">
        <v>76</v>
      </c>
      <c r="U1200">
        <v>654.31501743848105</v>
      </c>
      <c r="V1200">
        <v>2.8382213812677302E-3</v>
      </c>
      <c r="W1200">
        <v>2235511.0209417199</v>
      </c>
      <c r="X1200" t="s">
        <v>44</v>
      </c>
      <c r="Y1200">
        <f>1-698-259-3683</f>
        <v>-4639</v>
      </c>
    </row>
    <row r="1201" spans="1:25" x14ac:dyDescent="0.35">
      <c r="A1201">
        <v>37.181242355702402</v>
      </c>
      <c r="B1201">
        <v>-120.155216527684</v>
      </c>
      <c r="C1201" t="s">
        <v>34</v>
      </c>
      <c r="D1201">
        <v>23.356299978909</v>
      </c>
      <c r="E1201">
        <v>8</v>
      </c>
      <c r="F1201">
        <v>845</v>
      </c>
      <c r="G1201">
        <v>4</v>
      </c>
      <c r="H1201">
        <v>3</v>
      </c>
      <c r="I1201">
        <v>2006</v>
      </c>
      <c r="J1201">
        <v>0</v>
      </c>
      <c r="K1201">
        <v>0</v>
      </c>
      <c r="L1201">
        <v>1</v>
      </c>
      <c r="M1201">
        <v>14</v>
      </c>
      <c r="N1201" t="s">
        <v>37</v>
      </c>
      <c r="O1201" t="s">
        <v>27</v>
      </c>
      <c r="P1201">
        <v>12.503633803678101</v>
      </c>
      <c r="Q1201">
        <v>2.3272737877235401</v>
      </c>
      <c r="R1201">
        <v>4.9024786199283499</v>
      </c>
      <c r="S1201">
        <v>149</v>
      </c>
      <c r="T1201">
        <v>22</v>
      </c>
      <c r="U1201">
        <v>888.57527773514505</v>
      </c>
      <c r="V1201">
        <v>1.65680473372781E-2</v>
      </c>
      <c r="W1201">
        <v>1086178.3611246101</v>
      </c>
      <c r="X1201" t="s">
        <v>33</v>
      </c>
      <c r="Y1201">
        <f>1-958-937-6706</f>
        <v>-8600</v>
      </c>
    </row>
    <row r="1202" spans="1:25" x14ac:dyDescent="0.35">
      <c r="A1202">
        <v>34.716831208874702</v>
      </c>
      <c r="B1202">
        <v>-123.36478026411901</v>
      </c>
      <c r="C1202" t="s">
        <v>25</v>
      </c>
      <c r="D1202">
        <v>15.056426620540799</v>
      </c>
      <c r="E1202">
        <v>8</v>
      </c>
      <c r="F1202">
        <v>4882</v>
      </c>
      <c r="G1202">
        <v>2</v>
      </c>
      <c r="H1202">
        <v>1</v>
      </c>
      <c r="I1202">
        <v>2018</v>
      </c>
      <c r="J1202">
        <v>1</v>
      </c>
      <c r="K1202">
        <v>1</v>
      </c>
      <c r="L1202">
        <v>1</v>
      </c>
      <c r="M1202">
        <v>11</v>
      </c>
      <c r="N1202" t="s">
        <v>37</v>
      </c>
      <c r="O1202" t="s">
        <v>30</v>
      </c>
      <c r="P1202">
        <v>6.4464347081668096</v>
      </c>
      <c r="Q1202">
        <v>0.50538296963587404</v>
      </c>
      <c r="R1202">
        <v>7.43247628728506</v>
      </c>
      <c r="S1202">
        <v>21</v>
      </c>
      <c r="T1202">
        <v>50</v>
      </c>
      <c r="U1202">
        <v>803.43098046880903</v>
      </c>
      <c r="V1202">
        <v>2.2531749283080699E-3</v>
      </c>
      <c r="W1202">
        <v>4231432.8279646896</v>
      </c>
      <c r="X1202" t="s">
        <v>42</v>
      </c>
      <c r="Y1202">
        <f>1-777-699-2262</f>
        <v>-3737</v>
      </c>
    </row>
    <row r="1203" spans="1:25" x14ac:dyDescent="0.35">
      <c r="A1203">
        <v>32.834579232714802</v>
      </c>
      <c r="B1203">
        <v>-114.907429930267</v>
      </c>
      <c r="C1203" t="s">
        <v>34</v>
      </c>
      <c r="D1203">
        <v>20.133784891369999</v>
      </c>
      <c r="E1203">
        <v>3</v>
      </c>
      <c r="F1203">
        <v>4639</v>
      </c>
      <c r="G1203">
        <v>5</v>
      </c>
      <c r="H1203">
        <v>1</v>
      </c>
      <c r="I1203">
        <v>2009</v>
      </c>
      <c r="J1203">
        <v>0</v>
      </c>
      <c r="K1203">
        <v>1</v>
      </c>
      <c r="L1203">
        <v>1</v>
      </c>
      <c r="M1203">
        <v>3</v>
      </c>
      <c r="N1203" t="s">
        <v>41</v>
      </c>
      <c r="O1203" t="s">
        <v>32</v>
      </c>
      <c r="P1203">
        <v>11.076409853658101</v>
      </c>
      <c r="Q1203">
        <v>1.1724393384337299</v>
      </c>
      <c r="R1203">
        <v>7.6785325483025497</v>
      </c>
      <c r="S1203">
        <v>3</v>
      </c>
      <c r="T1203">
        <v>69</v>
      </c>
      <c r="U1203">
        <v>809.61085881933104</v>
      </c>
      <c r="V1203">
        <v>6.4669109721922802E-4</v>
      </c>
      <c r="W1203">
        <v>4295644.2702351101</v>
      </c>
      <c r="X1203" t="s">
        <v>43</v>
      </c>
      <c r="Y1203">
        <f>1-419-132-6508</f>
        <v>-7058</v>
      </c>
    </row>
    <row r="1204" spans="1:25" x14ac:dyDescent="0.35">
      <c r="A1204">
        <v>33.532559405791602</v>
      </c>
      <c r="B1204">
        <v>-115.103699989671</v>
      </c>
      <c r="C1204" t="s">
        <v>25</v>
      </c>
      <c r="D1204">
        <v>23.802819540394601</v>
      </c>
      <c r="E1204">
        <v>0</v>
      </c>
      <c r="F1204">
        <v>1974</v>
      </c>
      <c r="G1204">
        <v>5</v>
      </c>
      <c r="H1204">
        <v>2</v>
      </c>
      <c r="I1204">
        <v>2006</v>
      </c>
      <c r="J1204">
        <v>0</v>
      </c>
      <c r="K1204">
        <v>0</v>
      </c>
      <c r="L1204">
        <v>1</v>
      </c>
      <c r="M1204">
        <v>9</v>
      </c>
      <c r="N1204" t="s">
        <v>26</v>
      </c>
      <c r="O1204" t="s">
        <v>27</v>
      </c>
      <c r="P1204">
        <v>11.096192859886299</v>
      </c>
      <c r="Q1204">
        <v>1.2202291804246901</v>
      </c>
      <c r="R1204">
        <v>7.8378557105210502</v>
      </c>
      <c r="S1204">
        <v>78</v>
      </c>
      <c r="T1204">
        <v>21</v>
      </c>
      <c r="U1204">
        <v>318.75577157503801</v>
      </c>
      <c r="V1204">
        <v>4.5592705167173198E-3</v>
      </c>
      <c r="W1204">
        <v>990648.44032574701</v>
      </c>
      <c r="X1204" t="s">
        <v>31</v>
      </c>
      <c r="Y1204">
        <f>1-964-686-7937</f>
        <v>-9586</v>
      </c>
    </row>
    <row r="1205" spans="1:25" x14ac:dyDescent="0.35">
      <c r="A1205">
        <v>37.334477168820897</v>
      </c>
      <c r="B1205">
        <v>-118.106047201525</v>
      </c>
      <c r="C1205" t="s">
        <v>25</v>
      </c>
      <c r="D1205">
        <v>4.5622674258065201</v>
      </c>
      <c r="E1205">
        <v>7</v>
      </c>
      <c r="F1205">
        <v>2349</v>
      </c>
      <c r="G1205">
        <v>5</v>
      </c>
      <c r="H1205">
        <v>2</v>
      </c>
      <c r="I1205">
        <v>1975</v>
      </c>
      <c r="J1205">
        <v>0</v>
      </c>
      <c r="K1205">
        <v>0</v>
      </c>
      <c r="L1205">
        <v>0</v>
      </c>
      <c r="M1205">
        <v>14</v>
      </c>
      <c r="N1205" t="s">
        <v>37</v>
      </c>
      <c r="O1205" t="s">
        <v>27</v>
      </c>
      <c r="P1205">
        <v>4.7941201687113004</v>
      </c>
      <c r="Q1205">
        <v>2.0918513494795801</v>
      </c>
      <c r="R1205">
        <v>9.0078398512901305</v>
      </c>
      <c r="S1205">
        <v>128</v>
      </c>
      <c r="T1205">
        <v>48</v>
      </c>
      <c r="U1205">
        <v>881.36279928660804</v>
      </c>
      <c r="V1205">
        <v>5.9599829714772198E-3</v>
      </c>
      <c r="W1205">
        <v>2293569.9175328398</v>
      </c>
      <c r="X1205" t="s">
        <v>44</v>
      </c>
      <c r="Y1205">
        <f>1-633-486-4461</f>
        <v>-5579</v>
      </c>
    </row>
    <row r="1206" spans="1:25" x14ac:dyDescent="0.35">
      <c r="A1206">
        <v>36.704664733190299</v>
      </c>
      <c r="B1206">
        <v>-115.971101581426</v>
      </c>
      <c r="C1206" t="s">
        <v>29</v>
      </c>
      <c r="D1206">
        <v>21.167704697768301</v>
      </c>
      <c r="E1206">
        <v>2</v>
      </c>
      <c r="F1206">
        <v>780</v>
      </c>
      <c r="G1206">
        <v>1</v>
      </c>
      <c r="H1206">
        <v>2</v>
      </c>
      <c r="I1206">
        <v>2022</v>
      </c>
      <c r="J1206">
        <v>0</v>
      </c>
      <c r="K1206">
        <v>1</v>
      </c>
      <c r="L1206">
        <v>1</v>
      </c>
      <c r="M1206">
        <v>5</v>
      </c>
      <c r="N1206" t="s">
        <v>37</v>
      </c>
      <c r="O1206" t="s">
        <v>27</v>
      </c>
      <c r="P1206">
        <v>5.2960863344983498</v>
      </c>
      <c r="Q1206">
        <v>0.71869087114276597</v>
      </c>
      <c r="R1206">
        <v>8.4556222542841297</v>
      </c>
      <c r="S1206">
        <v>9</v>
      </c>
      <c r="T1206">
        <v>63</v>
      </c>
      <c r="U1206">
        <v>983.04476165997505</v>
      </c>
      <c r="V1206">
        <v>6.41025641025641E-3</v>
      </c>
      <c r="W1206">
        <v>1039159.13489137</v>
      </c>
      <c r="X1206" t="s">
        <v>43</v>
      </c>
      <c r="Y1206">
        <f>1-240-556-6407</f>
        <v>-7202</v>
      </c>
    </row>
    <row r="1207" spans="1:25" x14ac:dyDescent="0.35">
      <c r="A1207">
        <v>41.382983492205902</v>
      </c>
      <c r="B1207">
        <v>-119.482618140542</v>
      </c>
      <c r="C1207" t="s">
        <v>34</v>
      </c>
      <c r="D1207">
        <v>30.034853451298499</v>
      </c>
      <c r="E1207">
        <v>6</v>
      </c>
      <c r="F1207">
        <v>3703</v>
      </c>
      <c r="G1207">
        <v>5</v>
      </c>
      <c r="H1207">
        <v>2</v>
      </c>
      <c r="I1207">
        <v>2022</v>
      </c>
      <c r="J1207">
        <v>0</v>
      </c>
      <c r="K1207">
        <v>1</v>
      </c>
      <c r="L1207">
        <v>0</v>
      </c>
      <c r="M1207">
        <v>6</v>
      </c>
      <c r="N1207" t="s">
        <v>35</v>
      </c>
      <c r="O1207" t="s">
        <v>27</v>
      </c>
      <c r="P1207">
        <v>2.7622630502410601</v>
      </c>
      <c r="Q1207">
        <v>2.4959726121335999</v>
      </c>
      <c r="R1207">
        <v>7.4535567910413203</v>
      </c>
      <c r="S1207">
        <v>159</v>
      </c>
      <c r="T1207">
        <v>61</v>
      </c>
      <c r="U1207">
        <v>930.335789762172</v>
      </c>
      <c r="V1207">
        <v>1.62030785849311E-3</v>
      </c>
      <c r="W1207">
        <v>3823355.3503070599</v>
      </c>
      <c r="X1207" t="s">
        <v>31</v>
      </c>
      <c r="Y1207">
        <f>1-201-693-8833</f>
        <v>-9726</v>
      </c>
    </row>
    <row r="1208" spans="1:25" x14ac:dyDescent="0.35">
      <c r="A1208">
        <v>38.250798701965003</v>
      </c>
      <c r="B1208">
        <v>-121.915540081635</v>
      </c>
      <c r="C1208" t="s">
        <v>34</v>
      </c>
      <c r="D1208">
        <v>7.6961976273217498</v>
      </c>
      <c r="E1208">
        <v>6</v>
      </c>
      <c r="F1208">
        <v>2016</v>
      </c>
      <c r="G1208">
        <v>4</v>
      </c>
      <c r="H1208">
        <v>3</v>
      </c>
      <c r="I1208">
        <v>2019</v>
      </c>
      <c r="J1208">
        <v>0</v>
      </c>
      <c r="K1208">
        <v>1</v>
      </c>
      <c r="L1208">
        <v>1</v>
      </c>
      <c r="M1208">
        <v>4</v>
      </c>
      <c r="N1208" t="s">
        <v>37</v>
      </c>
      <c r="O1208" t="s">
        <v>30</v>
      </c>
      <c r="P1208">
        <v>10.222172049067501</v>
      </c>
      <c r="Q1208">
        <v>0.74779975349509498</v>
      </c>
      <c r="R1208">
        <v>7.8129871782920501</v>
      </c>
      <c r="S1208">
        <v>77</v>
      </c>
      <c r="T1208">
        <v>56</v>
      </c>
      <c r="U1208">
        <v>673.71053857825302</v>
      </c>
      <c r="V1208">
        <v>1.9841269841269801E-3</v>
      </c>
      <c r="W1208">
        <v>1859600.79907122</v>
      </c>
      <c r="X1208" t="s">
        <v>40</v>
      </c>
      <c r="Y1208">
        <f>1-497-820-5376</f>
        <v>-6692</v>
      </c>
    </row>
    <row r="1209" spans="1:25" x14ac:dyDescent="0.35">
      <c r="A1209">
        <v>35.7842929570498</v>
      </c>
      <c r="B1209">
        <v>-123.399425772621</v>
      </c>
      <c r="C1209" t="s">
        <v>25</v>
      </c>
      <c r="D1209">
        <v>46.252368475110401</v>
      </c>
      <c r="E1209">
        <v>6</v>
      </c>
      <c r="F1209">
        <v>1733</v>
      </c>
      <c r="G1209">
        <v>4</v>
      </c>
      <c r="H1209">
        <v>3</v>
      </c>
      <c r="I1209">
        <v>2019</v>
      </c>
      <c r="J1209">
        <v>0</v>
      </c>
      <c r="K1209">
        <v>1</v>
      </c>
      <c r="L1209">
        <v>0</v>
      </c>
      <c r="M1209">
        <v>13</v>
      </c>
      <c r="N1209" t="s">
        <v>26</v>
      </c>
      <c r="O1209" t="s">
        <v>30</v>
      </c>
      <c r="P1209">
        <v>6.5352530931881301</v>
      </c>
      <c r="Q1209">
        <v>2.1735506934032198</v>
      </c>
      <c r="R1209">
        <v>9.52273783897855</v>
      </c>
      <c r="S1209">
        <v>78</v>
      </c>
      <c r="T1209">
        <v>24</v>
      </c>
      <c r="U1209">
        <v>896.82648996698003</v>
      </c>
      <c r="V1209">
        <v>7.5014425851125197E-3</v>
      </c>
      <c r="W1209">
        <v>1906176.3846938</v>
      </c>
      <c r="X1209" t="s">
        <v>33</v>
      </c>
      <c r="Y1209">
        <f>1-562-260-5130</f>
        <v>-5951</v>
      </c>
    </row>
    <row r="1210" spans="1:25" x14ac:dyDescent="0.35">
      <c r="A1210">
        <v>36.345300026860897</v>
      </c>
      <c r="B1210">
        <v>-117.79702750040801</v>
      </c>
      <c r="C1210" t="s">
        <v>25</v>
      </c>
      <c r="D1210">
        <v>29.5606336326227</v>
      </c>
      <c r="E1210">
        <v>3</v>
      </c>
      <c r="F1210">
        <v>2642</v>
      </c>
      <c r="G1210">
        <v>1</v>
      </c>
      <c r="H1210">
        <v>1</v>
      </c>
      <c r="I1210">
        <v>1984</v>
      </c>
      <c r="J1210">
        <v>0</v>
      </c>
      <c r="K1210">
        <v>0</v>
      </c>
      <c r="L1210">
        <v>0</v>
      </c>
      <c r="M1210">
        <v>12</v>
      </c>
      <c r="N1210" t="s">
        <v>37</v>
      </c>
      <c r="O1210" t="s">
        <v>27</v>
      </c>
      <c r="P1210">
        <v>12.587109977615</v>
      </c>
      <c r="Q1210">
        <v>1.6363715857646901</v>
      </c>
      <c r="R1210">
        <v>8.9488036159629907</v>
      </c>
      <c r="S1210">
        <v>175</v>
      </c>
      <c r="T1210">
        <v>44</v>
      </c>
      <c r="U1210">
        <v>491.02589022784099</v>
      </c>
      <c r="V1210">
        <v>4.5420136260408703E-3</v>
      </c>
      <c r="W1210">
        <v>1327287.1397507801</v>
      </c>
      <c r="X1210" t="s">
        <v>44</v>
      </c>
      <c r="Y1210">
        <f>1-820-203-3877</f>
        <v>-4899</v>
      </c>
    </row>
    <row r="1211" spans="1:25" x14ac:dyDescent="0.35">
      <c r="A1211">
        <v>37.746289255930002</v>
      </c>
      <c r="B1211">
        <v>-116.565820825671</v>
      </c>
      <c r="C1211" t="s">
        <v>25</v>
      </c>
      <c r="D1211">
        <v>20.907723196801602</v>
      </c>
      <c r="E1211">
        <v>4</v>
      </c>
      <c r="F1211">
        <v>2385</v>
      </c>
      <c r="G1211">
        <v>3</v>
      </c>
      <c r="H1211">
        <v>3</v>
      </c>
      <c r="I1211">
        <v>1953</v>
      </c>
      <c r="J1211">
        <v>1</v>
      </c>
      <c r="K1211">
        <v>1</v>
      </c>
      <c r="L1211">
        <v>1</v>
      </c>
      <c r="M1211">
        <v>2</v>
      </c>
      <c r="N1211" t="s">
        <v>35</v>
      </c>
      <c r="O1211" t="s">
        <v>27</v>
      </c>
      <c r="P1211">
        <v>14.699800933713</v>
      </c>
      <c r="Q1211">
        <v>1.1855107565956</v>
      </c>
      <c r="R1211">
        <v>2.1762104236080799</v>
      </c>
      <c r="S1211">
        <v>42</v>
      </c>
      <c r="T1211">
        <v>48</v>
      </c>
      <c r="U1211">
        <v>285.72533455338299</v>
      </c>
      <c r="V1211">
        <v>8.3857442348008295E-4</v>
      </c>
      <c r="W1211">
        <v>1158902.4780911601</v>
      </c>
      <c r="X1211" t="s">
        <v>40</v>
      </c>
      <c r="Y1211">
        <f>1-870-619-7938</f>
        <v>-9426</v>
      </c>
    </row>
    <row r="1212" spans="1:25" x14ac:dyDescent="0.35">
      <c r="A1212">
        <v>36.027148462299003</v>
      </c>
      <c r="B1212">
        <v>-121.44600384095401</v>
      </c>
      <c r="C1212" t="s">
        <v>34</v>
      </c>
      <c r="D1212">
        <v>32.379620952845798</v>
      </c>
      <c r="E1212">
        <v>7</v>
      </c>
      <c r="F1212">
        <v>2786</v>
      </c>
      <c r="G1212">
        <v>5</v>
      </c>
      <c r="H1212">
        <v>2</v>
      </c>
      <c r="I1212">
        <v>1986</v>
      </c>
      <c r="J1212">
        <v>0</v>
      </c>
      <c r="K1212">
        <v>0</v>
      </c>
      <c r="L1212">
        <v>0</v>
      </c>
      <c r="M1212">
        <v>6</v>
      </c>
      <c r="N1212" t="s">
        <v>35</v>
      </c>
      <c r="O1212" t="s">
        <v>27</v>
      </c>
      <c r="P1212">
        <v>8.4921901892624501</v>
      </c>
      <c r="Q1212">
        <v>0.79193226855455801</v>
      </c>
      <c r="R1212">
        <v>6.9030972353244797</v>
      </c>
      <c r="S1212">
        <v>67</v>
      </c>
      <c r="T1212">
        <v>67</v>
      </c>
      <c r="U1212">
        <v>381.86371417182698</v>
      </c>
      <c r="V1212">
        <v>2.1536252692031499E-3</v>
      </c>
      <c r="W1212">
        <v>1288955.28056033</v>
      </c>
      <c r="X1212" t="s">
        <v>42</v>
      </c>
      <c r="Y1212">
        <f>1-748-524-6862</f>
        <v>-8133</v>
      </c>
    </row>
    <row r="1213" spans="1:25" x14ac:dyDescent="0.35">
      <c r="A1213">
        <v>37.747534919765698</v>
      </c>
      <c r="B1213">
        <v>-115.509551816767</v>
      </c>
      <c r="C1213" t="s">
        <v>29</v>
      </c>
      <c r="D1213">
        <v>43.498996617575401</v>
      </c>
      <c r="E1213">
        <v>6</v>
      </c>
      <c r="F1213">
        <v>4628</v>
      </c>
      <c r="G1213">
        <v>3</v>
      </c>
      <c r="H1213">
        <v>2</v>
      </c>
      <c r="I1213">
        <v>2004</v>
      </c>
      <c r="J1213">
        <v>1</v>
      </c>
      <c r="K1213">
        <v>0</v>
      </c>
      <c r="L1213">
        <v>1</v>
      </c>
      <c r="M1213">
        <v>6</v>
      </c>
      <c r="N1213" t="s">
        <v>37</v>
      </c>
      <c r="O1213" t="s">
        <v>32</v>
      </c>
      <c r="P1213">
        <v>3.1889300953537001</v>
      </c>
      <c r="Q1213">
        <v>1.85464093769937</v>
      </c>
      <c r="R1213">
        <v>0.98124187697685294</v>
      </c>
      <c r="S1213">
        <v>105</v>
      </c>
      <c r="T1213">
        <v>28</v>
      </c>
      <c r="U1213">
        <v>856.43173946497495</v>
      </c>
      <c r="V1213">
        <v>1.29645635263612E-3</v>
      </c>
      <c r="W1213">
        <v>4194534.4758971101</v>
      </c>
      <c r="X1213" t="s">
        <v>33</v>
      </c>
      <c r="Y1213">
        <f>1-852-295-6828</f>
        <v>-7974</v>
      </c>
    </row>
    <row r="1214" spans="1:25" x14ac:dyDescent="0.35">
      <c r="A1214">
        <v>35.0042576190883</v>
      </c>
      <c r="B1214">
        <v>-122.13171381411399</v>
      </c>
      <c r="C1214" t="s">
        <v>34</v>
      </c>
      <c r="D1214">
        <v>47.244795392387999</v>
      </c>
      <c r="E1214">
        <v>3</v>
      </c>
      <c r="F1214">
        <v>1391</v>
      </c>
      <c r="G1214">
        <v>1</v>
      </c>
      <c r="H1214">
        <v>1</v>
      </c>
      <c r="I1214">
        <v>2013</v>
      </c>
      <c r="J1214">
        <v>0</v>
      </c>
      <c r="K1214">
        <v>1</v>
      </c>
      <c r="L1214">
        <v>1</v>
      </c>
      <c r="M1214">
        <v>11</v>
      </c>
      <c r="N1214" t="s">
        <v>41</v>
      </c>
      <c r="O1214" t="s">
        <v>27</v>
      </c>
      <c r="P1214">
        <v>4.2059673131765498</v>
      </c>
      <c r="Q1214">
        <v>1.63922521211658</v>
      </c>
      <c r="R1214">
        <v>4.7463935581110901</v>
      </c>
      <c r="S1214">
        <v>96</v>
      </c>
      <c r="T1214">
        <v>56</v>
      </c>
      <c r="U1214">
        <v>990.43136791155098</v>
      </c>
      <c r="V1214">
        <v>7.9079798705966892E-3</v>
      </c>
      <c r="W1214">
        <v>1475893.4414555801</v>
      </c>
      <c r="X1214" t="s">
        <v>28</v>
      </c>
      <c r="Y1214">
        <f>1-372-655-4261</f>
        <v>-5287</v>
      </c>
    </row>
    <row r="1215" spans="1:25" x14ac:dyDescent="0.35">
      <c r="A1215">
        <v>33.145500056423401</v>
      </c>
      <c r="B1215">
        <v>-120.684878617349</v>
      </c>
      <c r="C1215" t="s">
        <v>29</v>
      </c>
      <c r="D1215">
        <v>30.105901720439601</v>
      </c>
      <c r="E1215">
        <v>3</v>
      </c>
      <c r="F1215">
        <v>4055</v>
      </c>
      <c r="G1215">
        <v>4</v>
      </c>
      <c r="H1215">
        <v>3</v>
      </c>
      <c r="I1215">
        <v>2005</v>
      </c>
      <c r="J1215">
        <v>0</v>
      </c>
      <c r="K1215">
        <v>0</v>
      </c>
      <c r="L1215">
        <v>1</v>
      </c>
      <c r="M1215">
        <v>6</v>
      </c>
      <c r="N1215" t="s">
        <v>35</v>
      </c>
      <c r="O1215" t="s">
        <v>30</v>
      </c>
      <c r="P1215">
        <v>3.86617498087343</v>
      </c>
      <c r="Q1215">
        <v>1.06025221368651</v>
      </c>
      <c r="R1215">
        <v>3.8705904805754701</v>
      </c>
      <c r="S1215">
        <v>3</v>
      </c>
      <c r="T1215">
        <v>62</v>
      </c>
      <c r="U1215">
        <v>889.27958342686895</v>
      </c>
      <c r="V1215">
        <v>1.47965474722564E-3</v>
      </c>
      <c r="W1215">
        <v>3904238.7773912</v>
      </c>
      <c r="X1215" t="s">
        <v>42</v>
      </c>
      <c r="Y1215">
        <f>1-709-359-1734</f>
        <v>-2801</v>
      </c>
    </row>
    <row r="1216" spans="1:25" x14ac:dyDescent="0.35">
      <c r="A1216">
        <v>39.387553584688298</v>
      </c>
      <c r="B1216">
        <v>-122.767804856214</v>
      </c>
      <c r="C1216" t="s">
        <v>34</v>
      </c>
      <c r="D1216">
        <v>32.9266288078447</v>
      </c>
      <c r="E1216">
        <v>2</v>
      </c>
      <c r="F1216">
        <v>4770</v>
      </c>
      <c r="G1216">
        <v>1</v>
      </c>
      <c r="H1216">
        <v>2</v>
      </c>
      <c r="I1216">
        <v>1985</v>
      </c>
      <c r="J1216">
        <v>1</v>
      </c>
      <c r="K1216">
        <v>1</v>
      </c>
      <c r="L1216">
        <v>1</v>
      </c>
      <c r="M1216">
        <v>8</v>
      </c>
      <c r="N1216" t="s">
        <v>37</v>
      </c>
      <c r="O1216" t="s">
        <v>27</v>
      </c>
      <c r="P1216">
        <v>7.6328295719779504</v>
      </c>
      <c r="Q1216">
        <v>1.5585811301291601</v>
      </c>
      <c r="R1216">
        <v>6.0094972419266997</v>
      </c>
      <c r="S1216">
        <v>100</v>
      </c>
      <c r="T1216">
        <v>41</v>
      </c>
      <c r="U1216">
        <v>410.494120685312</v>
      </c>
      <c r="V1216">
        <v>1.67714884696016E-3</v>
      </c>
      <c r="W1216">
        <v>2223671.8646034398</v>
      </c>
      <c r="X1216" t="s">
        <v>40</v>
      </c>
      <c r="Y1216">
        <f>1-452-579-4232</f>
        <v>-5262</v>
      </c>
    </row>
    <row r="1217" spans="1:25" x14ac:dyDescent="0.35">
      <c r="A1217">
        <v>38.414713336639402</v>
      </c>
      <c r="B1217">
        <v>-120.879243803394</v>
      </c>
      <c r="C1217" t="s">
        <v>29</v>
      </c>
      <c r="D1217">
        <v>26.050434295054799</v>
      </c>
      <c r="E1217">
        <v>6</v>
      </c>
      <c r="F1217">
        <v>2652</v>
      </c>
      <c r="G1217">
        <v>1</v>
      </c>
      <c r="H1217">
        <v>3</v>
      </c>
      <c r="I1217">
        <v>2003</v>
      </c>
      <c r="J1217">
        <v>1</v>
      </c>
      <c r="K1217">
        <v>1</v>
      </c>
      <c r="L1217">
        <v>0</v>
      </c>
      <c r="M1217">
        <v>4</v>
      </c>
      <c r="N1217" t="s">
        <v>26</v>
      </c>
      <c r="O1217" t="s">
        <v>30</v>
      </c>
      <c r="P1217">
        <v>6.0059359556683001</v>
      </c>
      <c r="Q1217">
        <v>1.1585290603457301</v>
      </c>
      <c r="R1217">
        <v>8.7531639459294901</v>
      </c>
      <c r="S1217">
        <v>47</v>
      </c>
      <c r="T1217">
        <v>33</v>
      </c>
      <c r="U1217">
        <v>571.57223502954503</v>
      </c>
      <c r="V1217">
        <v>1.5082956259426801E-3</v>
      </c>
      <c r="W1217">
        <v>1740383.88584563</v>
      </c>
      <c r="X1217" t="s">
        <v>38</v>
      </c>
      <c r="Y1217">
        <f>1-848-671-4824</f>
        <v>-6342</v>
      </c>
    </row>
    <row r="1218" spans="1:25" x14ac:dyDescent="0.35">
      <c r="A1218">
        <v>34.313307514529903</v>
      </c>
      <c r="B1218">
        <v>-120.65636702722</v>
      </c>
      <c r="C1218" t="s">
        <v>25</v>
      </c>
      <c r="D1218">
        <v>30.541944295512</v>
      </c>
      <c r="E1218">
        <v>7</v>
      </c>
      <c r="F1218">
        <v>3436</v>
      </c>
      <c r="G1218">
        <v>1</v>
      </c>
      <c r="H1218">
        <v>3</v>
      </c>
      <c r="I1218">
        <v>1986</v>
      </c>
      <c r="J1218">
        <v>0</v>
      </c>
      <c r="K1218">
        <v>0</v>
      </c>
      <c r="L1218">
        <v>1</v>
      </c>
      <c r="M1218">
        <v>14</v>
      </c>
      <c r="N1218" t="s">
        <v>41</v>
      </c>
      <c r="O1218" t="s">
        <v>32</v>
      </c>
      <c r="P1218">
        <v>9.0099565663408807</v>
      </c>
      <c r="Q1218">
        <v>1.95977491535458</v>
      </c>
      <c r="R1218">
        <v>0.122262261236948</v>
      </c>
      <c r="S1218">
        <v>122</v>
      </c>
      <c r="T1218">
        <v>65</v>
      </c>
      <c r="U1218">
        <v>255.82418731222299</v>
      </c>
      <c r="V1218">
        <v>4.0745052386495896E-3</v>
      </c>
      <c r="W1218">
        <v>1079731.13714699</v>
      </c>
      <c r="X1218" t="s">
        <v>36</v>
      </c>
      <c r="Y1218">
        <f>1-387-651-1430</f>
        <v>-2467</v>
      </c>
    </row>
    <row r="1219" spans="1:25" x14ac:dyDescent="0.35">
      <c r="A1219">
        <v>40.7755141242653</v>
      </c>
      <c r="B1219">
        <v>-115.310898799752</v>
      </c>
      <c r="C1219" t="s">
        <v>34</v>
      </c>
      <c r="D1219">
        <v>12.3743796907447</v>
      </c>
      <c r="E1219">
        <v>3</v>
      </c>
      <c r="F1219">
        <v>4816</v>
      </c>
      <c r="G1219">
        <v>5</v>
      </c>
      <c r="H1219">
        <v>2</v>
      </c>
      <c r="I1219">
        <v>1965</v>
      </c>
      <c r="J1219">
        <v>0</v>
      </c>
      <c r="K1219">
        <v>1</v>
      </c>
      <c r="L1219">
        <v>1</v>
      </c>
      <c r="M1219">
        <v>7</v>
      </c>
      <c r="N1219" t="s">
        <v>26</v>
      </c>
      <c r="O1219" t="s">
        <v>27</v>
      </c>
      <c r="P1219">
        <v>3.3100792410386801</v>
      </c>
      <c r="Q1219">
        <v>2.4845058893417602</v>
      </c>
      <c r="R1219">
        <v>6.9533816703598399</v>
      </c>
      <c r="S1219">
        <v>24</v>
      </c>
      <c r="T1219">
        <v>46</v>
      </c>
      <c r="U1219">
        <v>593.35353808105697</v>
      </c>
      <c r="V1219">
        <v>1.45348837209302E-3</v>
      </c>
      <c r="W1219">
        <v>3202717.9413629002</v>
      </c>
      <c r="X1219" t="s">
        <v>36</v>
      </c>
      <c r="Y1219">
        <f>1-822-944-9338</f>
        <v>-11103</v>
      </c>
    </row>
    <row r="1220" spans="1:25" x14ac:dyDescent="0.35">
      <c r="A1220">
        <v>40.070384129511801</v>
      </c>
      <c r="B1220">
        <v>-118.64366937744499</v>
      </c>
      <c r="C1220" t="s">
        <v>29</v>
      </c>
      <c r="D1220">
        <v>5.87887779351919</v>
      </c>
      <c r="E1220">
        <v>8</v>
      </c>
      <c r="F1220">
        <v>1618</v>
      </c>
      <c r="G1220">
        <v>3</v>
      </c>
      <c r="H1220">
        <v>2</v>
      </c>
      <c r="I1220">
        <v>1980</v>
      </c>
      <c r="J1220">
        <v>0</v>
      </c>
      <c r="K1220">
        <v>1</v>
      </c>
      <c r="L1220">
        <v>1</v>
      </c>
      <c r="M1220">
        <v>9</v>
      </c>
      <c r="N1220" t="s">
        <v>37</v>
      </c>
      <c r="O1220" t="s">
        <v>30</v>
      </c>
      <c r="P1220">
        <v>12.150050660923601</v>
      </c>
      <c r="Q1220">
        <v>1.76917071840008</v>
      </c>
      <c r="R1220">
        <v>8.1209942255361298</v>
      </c>
      <c r="S1220">
        <v>24</v>
      </c>
      <c r="T1220">
        <v>52</v>
      </c>
      <c r="U1220">
        <v>528.62247300276294</v>
      </c>
      <c r="V1220">
        <v>5.5624227441285496E-3</v>
      </c>
      <c r="W1220">
        <v>1065153.31145248</v>
      </c>
      <c r="X1220" t="s">
        <v>42</v>
      </c>
      <c r="Y1220">
        <f>1-350-334-3205</f>
        <v>-3888</v>
      </c>
    </row>
    <row r="1221" spans="1:25" x14ac:dyDescent="0.35">
      <c r="A1221">
        <v>35.280724371716701</v>
      </c>
      <c r="B1221">
        <v>-115.97633001727201</v>
      </c>
      <c r="C1221" t="s">
        <v>34</v>
      </c>
      <c r="D1221">
        <v>46.392511792699601</v>
      </c>
      <c r="E1221">
        <v>4</v>
      </c>
      <c r="F1221">
        <v>1153</v>
      </c>
      <c r="G1221">
        <v>1</v>
      </c>
      <c r="H1221">
        <v>2</v>
      </c>
      <c r="I1221">
        <v>1971</v>
      </c>
      <c r="J1221">
        <v>1</v>
      </c>
      <c r="K1221">
        <v>1</v>
      </c>
      <c r="L1221">
        <v>1</v>
      </c>
      <c r="M1221">
        <v>5</v>
      </c>
      <c r="N1221" t="s">
        <v>35</v>
      </c>
      <c r="O1221" t="s">
        <v>30</v>
      </c>
      <c r="P1221">
        <v>10.402358138346001</v>
      </c>
      <c r="Q1221">
        <v>1.6282350056216299</v>
      </c>
      <c r="R1221">
        <v>7.2826254793556204</v>
      </c>
      <c r="S1221">
        <v>88</v>
      </c>
      <c r="T1221">
        <v>45</v>
      </c>
      <c r="U1221">
        <v>242.246743225827</v>
      </c>
      <c r="V1221">
        <v>4.3365134431916702E-3</v>
      </c>
      <c r="W1221">
        <v>471318.320406696</v>
      </c>
      <c r="X1221" t="s">
        <v>44</v>
      </c>
      <c r="Y1221">
        <f>1-344-115-9787</f>
        <v>-10245</v>
      </c>
    </row>
    <row r="1222" spans="1:25" x14ac:dyDescent="0.35">
      <c r="A1222">
        <v>34.559662603582197</v>
      </c>
      <c r="B1222">
        <v>-123.159601543205</v>
      </c>
      <c r="C1222" t="s">
        <v>34</v>
      </c>
      <c r="D1222">
        <v>7.9584796486563398</v>
      </c>
      <c r="E1222">
        <v>4</v>
      </c>
      <c r="F1222">
        <v>536</v>
      </c>
      <c r="G1222">
        <v>3</v>
      </c>
      <c r="H1222">
        <v>3</v>
      </c>
      <c r="I1222">
        <v>1973</v>
      </c>
      <c r="J1222">
        <v>1</v>
      </c>
      <c r="K1222">
        <v>0</v>
      </c>
      <c r="L1222">
        <v>0</v>
      </c>
      <c r="M1222">
        <v>5</v>
      </c>
      <c r="N1222" t="s">
        <v>26</v>
      </c>
      <c r="O1222" t="s">
        <v>32</v>
      </c>
      <c r="P1222">
        <v>10.954423127755399</v>
      </c>
      <c r="Q1222">
        <v>0.86133105410723698</v>
      </c>
      <c r="R1222">
        <v>6.7960748451582997</v>
      </c>
      <c r="S1222">
        <v>77</v>
      </c>
      <c r="T1222">
        <v>64</v>
      </c>
      <c r="U1222">
        <v>883.59233838316902</v>
      </c>
      <c r="V1222">
        <v>9.3283582089552196E-3</v>
      </c>
      <c r="W1222">
        <v>713946.57023585902</v>
      </c>
      <c r="X1222" t="s">
        <v>33</v>
      </c>
      <c r="Y1222">
        <f>1-280-438-1869</f>
        <v>-2586</v>
      </c>
    </row>
    <row r="1223" spans="1:25" x14ac:dyDescent="0.35">
      <c r="A1223">
        <v>32.9818003526686</v>
      </c>
      <c r="B1223">
        <v>-114.87008618310701</v>
      </c>
      <c r="C1223" t="s">
        <v>25</v>
      </c>
      <c r="D1223">
        <v>10.868162223571099</v>
      </c>
      <c r="E1223">
        <v>9</v>
      </c>
      <c r="F1223">
        <v>1835</v>
      </c>
      <c r="G1223">
        <v>3</v>
      </c>
      <c r="H1223">
        <v>3</v>
      </c>
      <c r="I1223">
        <v>1988</v>
      </c>
      <c r="J1223">
        <v>0</v>
      </c>
      <c r="K1223">
        <v>0</v>
      </c>
      <c r="L1223">
        <v>1</v>
      </c>
      <c r="M1223">
        <v>3</v>
      </c>
      <c r="N1223" t="s">
        <v>41</v>
      </c>
      <c r="O1223" t="s">
        <v>30</v>
      </c>
      <c r="P1223">
        <v>13.5805285260658</v>
      </c>
      <c r="Q1223">
        <v>0.51648951372635699</v>
      </c>
      <c r="R1223">
        <v>3.5943955662353599</v>
      </c>
      <c r="S1223">
        <v>143</v>
      </c>
      <c r="T1223">
        <v>21</v>
      </c>
      <c r="U1223">
        <v>971.71091616205194</v>
      </c>
      <c r="V1223">
        <v>1.6348773841961799E-3</v>
      </c>
      <c r="W1223">
        <v>2094207.7520419899</v>
      </c>
      <c r="X1223" t="s">
        <v>42</v>
      </c>
      <c r="Y1223">
        <f>1-679-142-1659</f>
        <v>-2479</v>
      </c>
    </row>
    <row r="1224" spans="1:25" x14ac:dyDescent="0.35">
      <c r="A1224">
        <v>32.7500575720656</v>
      </c>
      <c r="B1224">
        <v>-121.11691433623599</v>
      </c>
      <c r="C1224" t="s">
        <v>34</v>
      </c>
      <c r="D1224">
        <v>4.53568420781441</v>
      </c>
      <c r="E1224">
        <v>1</v>
      </c>
      <c r="F1224">
        <v>1754</v>
      </c>
      <c r="G1224">
        <v>2</v>
      </c>
      <c r="H1224">
        <v>3</v>
      </c>
      <c r="I1224">
        <v>1997</v>
      </c>
      <c r="J1224">
        <v>0</v>
      </c>
      <c r="K1224">
        <v>1</v>
      </c>
      <c r="L1224">
        <v>0</v>
      </c>
      <c r="M1224">
        <v>10</v>
      </c>
      <c r="N1224" t="s">
        <v>41</v>
      </c>
      <c r="O1224" t="s">
        <v>32</v>
      </c>
      <c r="P1224">
        <v>10.8896304650592</v>
      </c>
      <c r="Q1224">
        <v>1.44963851842892</v>
      </c>
      <c r="R1224">
        <v>2.2239929730438899</v>
      </c>
      <c r="S1224">
        <v>113</v>
      </c>
      <c r="T1224">
        <v>38</v>
      </c>
      <c r="U1224">
        <v>448.39642069442499</v>
      </c>
      <c r="V1224">
        <v>5.7012542759407002E-3</v>
      </c>
      <c r="W1224">
        <v>1119030.6036287099</v>
      </c>
      <c r="X1224" t="s">
        <v>38</v>
      </c>
      <c r="Y1224">
        <f>1-950-435-6503</f>
        <v>-7887</v>
      </c>
    </row>
    <row r="1225" spans="1:25" x14ac:dyDescent="0.35">
      <c r="A1225">
        <v>35.299489356705202</v>
      </c>
      <c r="B1225">
        <v>-114.805347284699</v>
      </c>
      <c r="C1225" t="s">
        <v>34</v>
      </c>
      <c r="D1225">
        <v>34.167550110436402</v>
      </c>
      <c r="E1225">
        <v>0</v>
      </c>
      <c r="F1225">
        <v>4590</v>
      </c>
      <c r="G1225">
        <v>4</v>
      </c>
      <c r="H1225">
        <v>1</v>
      </c>
      <c r="I1225">
        <v>1994</v>
      </c>
      <c r="J1225">
        <v>0</v>
      </c>
      <c r="K1225">
        <v>0</v>
      </c>
      <c r="L1225">
        <v>0</v>
      </c>
      <c r="M1225">
        <v>6</v>
      </c>
      <c r="N1225" t="s">
        <v>26</v>
      </c>
      <c r="O1225" t="s">
        <v>32</v>
      </c>
      <c r="P1225">
        <v>9.8406507222795003</v>
      </c>
      <c r="Q1225">
        <v>2.1748610932611898</v>
      </c>
      <c r="R1225">
        <v>2.6686117486608798</v>
      </c>
      <c r="S1225">
        <v>192</v>
      </c>
      <c r="T1225">
        <v>39</v>
      </c>
      <c r="U1225">
        <v>475.75543581608298</v>
      </c>
      <c r="V1225">
        <v>1.30718954248366E-3</v>
      </c>
      <c r="W1225">
        <v>2336140.3992853002</v>
      </c>
      <c r="X1225" t="s">
        <v>39</v>
      </c>
      <c r="Y1225">
        <f>1-561-631-1424</f>
        <v>-2615</v>
      </c>
    </row>
    <row r="1226" spans="1:25" x14ac:dyDescent="0.35">
      <c r="A1226">
        <v>38.999040060430801</v>
      </c>
      <c r="B1226">
        <v>-114.70010796182</v>
      </c>
      <c r="C1226" t="s">
        <v>25</v>
      </c>
      <c r="D1226">
        <v>34.953296475237899</v>
      </c>
      <c r="E1226">
        <v>7</v>
      </c>
      <c r="F1226">
        <v>3546</v>
      </c>
      <c r="G1226">
        <v>3</v>
      </c>
      <c r="H1226">
        <v>1</v>
      </c>
      <c r="I1226">
        <v>1966</v>
      </c>
      <c r="J1226">
        <v>1</v>
      </c>
      <c r="K1226">
        <v>1</v>
      </c>
      <c r="L1226">
        <v>0</v>
      </c>
      <c r="M1226">
        <v>9</v>
      </c>
      <c r="N1226" t="s">
        <v>26</v>
      </c>
      <c r="O1226" t="s">
        <v>27</v>
      </c>
      <c r="P1226">
        <v>8.5725621596050701</v>
      </c>
      <c r="Q1226">
        <v>2.1167423335168398</v>
      </c>
      <c r="R1226">
        <v>4.7580133621432896</v>
      </c>
      <c r="S1226">
        <v>9</v>
      </c>
      <c r="T1226">
        <v>71</v>
      </c>
      <c r="U1226">
        <v>472.03500026274298</v>
      </c>
      <c r="V1226">
        <v>2.5380710659898401E-3</v>
      </c>
      <c r="W1226">
        <v>1958533.96078307</v>
      </c>
      <c r="X1226" t="s">
        <v>40</v>
      </c>
      <c r="Y1226">
        <f>1-867-482-2053</f>
        <v>-3401</v>
      </c>
    </row>
    <row r="1227" spans="1:25" x14ac:dyDescent="0.35">
      <c r="A1227">
        <v>36.375269251776601</v>
      </c>
      <c r="B1227">
        <v>-117.866879654846</v>
      </c>
      <c r="C1227" t="s">
        <v>29</v>
      </c>
      <c r="D1227">
        <v>15.907282785792299</v>
      </c>
      <c r="E1227">
        <v>8</v>
      </c>
      <c r="F1227">
        <v>3927</v>
      </c>
      <c r="G1227">
        <v>2</v>
      </c>
      <c r="H1227">
        <v>1</v>
      </c>
      <c r="I1227">
        <v>1993</v>
      </c>
      <c r="J1227">
        <v>0</v>
      </c>
      <c r="K1227">
        <v>1</v>
      </c>
      <c r="L1227">
        <v>1</v>
      </c>
      <c r="M1227">
        <v>8</v>
      </c>
      <c r="N1227" t="s">
        <v>26</v>
      </c>
      <c r="O1227" t="s">
        <v>30</v>
      </c>
      <c r="P1227">
        <v>9.9303154594779492</v>
      </c>
      <c r="Q1227">
        <v>1.1768247159534799</v>
      </c>
      <c r="R1227">
        <v>1.4907549886896601</v>
      </c>
      <c r="S1227">
        <v>35</v>
      </c>
      <c r="T1227">
        <v>42</v>
      </c>
      <c r="U1227">
        <v>988.71750358515601</v>
      </c>
      <c r="V1227">
        <v>2.0371785077667398E-3</v>
      </c>
      <c r="W1227">
        <v>4130225.59407114</v>
      </c>
      <c r="X1227" t="s">
        <v>31</v>
      </c>
      <c r="Y1227">
        <f>1-438-185-9845</f>
        <v>-10467</v>
      </c>
    </row>
    <row r="1228" spans="1:25" x14ac:dyDescent="0.35">
      <c r="A1228">
        <v>33.327944313482298</v>
      </c>
      <c r="B1228">
        <v>-123.27588866899001</v>
      </c>
      <c r="C1228" t="s">
        <v>25</v>
      </c>
      <c r="D1228">
        <v>49.339808472451899</v>
      </c>
      <c r="E1228">
        <v>8</v>
      </c>
      <c r="F1228">
        <v>3076</v>
      </c>
      <c r="G1228">
        <v>4</v>
      </c>
      <c r="H1228">
        <v>2</v>
      </c>
      <c r="I1228">
        <v>1979</v>
      </c>
      <c r="J1228">
        <v>0</v>
      </c>
      <c r="K1228">
        <v>0</v>
      </c>
      <c r="L1228">
        <v>1</v>
      </c>
      <c r="M1228">
        <v>13</v>
      </c>
      <c r="N1228" t="s">
        <v>26</v>
      </c>
      <c r="O1228" t="s">
        <v>27</v>
      </c>
      <c r="P1228">
        <v>6.8522362082942401</v>
      </c>
      <c r="Q1228">
        <v>0.80472175326832796</v>
      </c>
      <c r="R1228">
        <v>8.9465762637796402</v>
      </c>
      <c r="S1228">
        <v>186</v>
      </c>
      <c r="T1228">
        <v>45</v>
      </c>
      <c r="U1228">
        <v>939.469198233111</v>
      </c>
      <c r="V1228">
        <v>4.2262678803640999E-3</v>
      </c>
      <c r="W1228">
        <v>3228897.2382791098</v>
      </c>
      <c r="X1228" t="s">
        <v>43</v>
      </c>
      <c r="Y1228">
        <f>1-591-883-4018</f>
        <v>-5491</v>
      </c>
    </row>
    <row r="1229" spans="1:25" x14ac:dyDescent="0.35">
      <c r="A1229">
        <v>34.457777903131202</v>
      </c>
      <c r="B1229">
        <v>-118.910810806404</v>
      </c>
      <c r="C1229" t="s">
        <v>29</v>
      </c>
      <c r="D1229">
        <v>34.718595399728301</v>
      </c>
      <c r="E1229">
        <v>1</v>
      </c>
      <c r="F1229">
        <v>4844</v>
      </c>
      <c r="G1229">
        <v>2</v>
      </c>
      <c r="H1229">
        <v>3</v>
      </c>
      <c r="I1229">
        <v>1975</v>
      </c>
      <c r="J1229">
        <v>0</v>
      </c>
      <c r="K1229">
        <v>1</v>
      </c>
      <c r="L1229">
        <v>1</v>
      </c>
      <c r="M1229">
        <v>9</v>
      </c>
      <c r="N1229" t="s">
        <v>35</v>
      </c>
      <c r="O1229" t="s">
        <v>27</v>
      </c>
      <c r="P1229">
        <v>5.7637776466911204</v>
      </c>
      <c r="Q1229">
        <v>1.83436472939785</v>
      </c>
      <c r="R1229">
        <v>0.15535626859635901</v>
      </c>
      <c r="S1229">
        <v>198</v>
      </c>
      <c r="T1229">
        <v>51</v>
      </c>
      <c r="U1229">
        <v>468.44711653438299</v>
      </c>
      <c r="V1229">
        <v>1.8579686209743999E-3</v>
      </c>
      <c r="W1229">
        <v>2518954.0880819298</v>
      </c>
      <c r="X1229" t="s">
        <v>40</v>
      </c>
      <c r="Y1229">
        <f>1-458-574-3340</f>
        <v>-4371</v>
      </c>
    </row>
    <row r="1230" spans="1:25" x14ac:dyDescent="0.35">
      <c r="A1230">
        <v>38.843442762235199</v>
      </c>
      <c r="B1230">
        <v>-116.12679669385101</v>
      </c>
      <c r="C1230" t="s">
        <v>34</v>
      </c>
      <c r="D1230">
        <v>48.951619658023702</v>
      </c>
      <c r="E1230">
        <v>0</v>
      </c>
      <c r="F1230">
        <v>951</v>
      </c>
      <c r="G1230">
        <v>2</v>
      </c>
      <c r="H1230">
        <v>1</v>
      </c>
      <c r="I1230">
        <v>2018</v>
      </c>
      <c r="J1230">
        <v>0</v>
      </c>
      <c r="K1230">
        <v>1</v>
      </c>
      <c r="L1230">
        <v>1</v>
      </c>
      <c r="M1230">
        <v>6</v>
      </c>
      <c r="N1230" t="s">
        <v>37</v>
      </c>
      <c r="O1230" t="s">
        <v>27</v>
      </c>
      <c r="P1230">
        <v>3.6526118788361499</v>
      </c>
      <c r="Q1230">
        <v>0.97214991475771595</v>
      </c>
      <c r="R1230">
        <v>6.5785796014865801</v>
      </c>
      <c r="S1230">
        <v>187</v>
      </c>
      <c r="T1230">
        <v>27</v>
      </c>
      <c r="U1230">
        <v>238.66862982382401</v>
      </c>
      <c r="V1230">
        <v>6.30914826498422E-3</v>
      </c>
      <c r="W1230">
        <v>481404.11942994298</v>
      </c>
      <c r="X1230" t="s">
        <v>43</v>
      </c>
      <c r="Y1230">
        <f>1-874-694-6862</f>
        <v>-8429</v>
      </c>
    </row>
    <row r="1231" spans="1:25" x14ac:dyDescent="0.35">
      <c r="A1231">
        <v>34.699266785600997</v>
      </c>
      <c r="B1231">
        <v>-118.573359173358</v>
      </c>
      <c r="C1231" t="s">
        <v>29</v>
      </c>
      <c r="D1231">
        <v>44.565621306703001</v>
      </c>
      <c r="E1231">
        <v>6</v>
      </c>
      <c r="F1231">
        <v>681</v>
      </c>
      <c r="G1231">
        <v>4</v>
      </c>
      <c r="H1231">
        <v>1</v>
      </c>
      <c r="I1231">
        <v>2018</v>
      </c>
      <c r="J1231">
        <v>0</v>
      </c>
      <c r="K1231">
        <v>0</v>
      </c>
      <c r="L1231">
        <v>0</v>
      </c>
      <c r="M1231">
        <v>11</v>
      </c>
      <c r="N1231" t="s">
        <v>35</v>
      </c>
      <c r="O1231" t="s">
        <v>32</v>
      </c>
      <c r="P1231">
        <v>13.6861846797186</v>
      </c>
      <c r="Q1231">
        <v>1.23454659602129</v>
      </c>
      <c r="R1231">
        <v>8.4179110511077795</v>
      </c>
      <c r="S1231">
        <v>123</v>
      </c>
      <c r="T1231">
        <v>44</v>
      </c>
      <c r="U1231">
        <v>390.65683240083303</v>
      </c>
      <c r="V1231">
        <v>1.61527165932452E-2</v>
      </c>
      <c r="W1231">
        <v>588381.09336375305</v>
      </c>
      <c r="X1231" t="s">
        <v>38</v>
      </c>
      <c r="Y1231">
        <f>1-681-546-5633</f>
        <v>-6859</v>
      </c>
    </row>
    <row r="1232" spans="1:25" x14ac:dyDescent="0.35">
      <c r="A1232">
        <v>37.386884520367502</v>
      </c>
      <c r="B1232">
        <v>-116.266122751464</v>
      </c>
      <c r="C1232" t="s">
        <v>29</v>
      </c>
      <c r="D1232">
        <v>20.788264001645899</v>
      </c>
      <c r="E1232">
        <v>3</v>
      </c>
      <c r="F1232">
        <v>2583</v>
      </c>
      <c r="G1232">
        <v>2</v>
      </c>
      <c r="H1232">
        <v>2</v>
      </c>
      <c r="I1232">
        <v>1998</v>
      </c>
      <c r="J1232">
        <v>1</v>
      </c>
      <c r="K1232">
        <v>1</v>
      </c>
      <c r="L1232">
        <v>1</v>
      </c>
      <c r="M1232">
        <v>4</v>
      </c>
      <c r="N1232" t="s">
        <v>37</v>
      </c>
      <c r="O1232" t="s">
        <v>30</v>
      </c>
      <c r="P1232">
        <v>7.7613034532641301</v>
      </c>
      <c r="Q1232">
        <v>2.3508100418523501</v>
      </c>
      <c r="R1232">
        <v>8.7942952934579193</v>
      </c>
      <c r="S1232">
        <v>125</v>
      </c>
      <c r="T1232">
        <v>53</v>
      </c>
      <c r="U1232">
        <v>305.84848667304902</v>
      </c>
      <c r="V1232">
        <v>1.5485869144405699E-3</v>
      </c>
      <c r="W1232">
        <v>1153590.3783192199</v>
      </c>
      <c r="X1232" t="s">
        <v>42</v>
      </c>
      <c r="Y1232">
        <f>1-481-791-7527</f>
        <v>-8798</v>
      </c>
    </row>
    <row r="1233" spans="1:25" x14ac:dyDescent="0.35">
      <c r="A1233">
        <v>36.989561558872801</v>
      </c>
      <c r="B1233">
        <v>-122.836508800323</v>
      </c>
      <c r="C1233" t="s">
        <v>25</v>
      </c>
      <c r="D1233">
        <v>6.03666405520464</v>
      </c>
      <c r="E1233">
        <v>8</v>
      </c>
      <c r="F1233">
        <v>3808</v>
      </c>
      <c r="G1233">
        <v>1</v>
      </c>
      <c r="H1233">
        <v>1</v>
      </c>
      <c r="I1233">
        <v>2003</v>
      </c>
      <c r="J1233">
        <v>1</v>
      </c>
      <c r="K1233">
        <v>0</v>
      </c>
      <c r="L1233">
        <v>0</v>
      </c>
      <c r="M1233">
        <v>8</v>
      </c>
      <c r="N1233" t="s">
        <v>41</v>
      </c>
      <c r="O1233" t="s">
        <v>32</v>
      </c>
      <c r="P1233">
        <v>13.2422377081189</v>
      </c>
      <c r="Q1233">
        <v>1.12000423349756</v>
      </c>
      <c r="R1233">
        <v>8.75482584072296</v>
      </c>
      <c r="S1233">
        <v>115</v>
      </c>
      <c r="T1233">
        <v>29</v>
      </c>
      <c r="U1233">
        <v>982.84221146618199</v>
      </c>
      <c r="V1233">
        <v>2.1008403361344498E-3</v>
      </c>
      <c r="W1233">
        <v>3935209.7086656699</v>
      </c>
      <c r="X1233" t="s">
        <v>42</v>
      </c>
      <c r="Y1233">
        <f>1-457-595-4091</f>
        <v>-5142</v>
      </c>
    </row>
    <row r="1234" spans="1:25" x14ac:dyDescent="0.35">
      <c r="A1234">
        <v>37.623907043751998</v>
      </c>
      <c r="B1234">
        <v>-115.136161089222</v>
      </c>
      <c r="C1234" t="s">
        <v>29</v>
      </c>
      <c r="D1234">
        <v>25.445326521474499</v>
      </c>
      <c r="E1234">
        <v>2</v>
      </c>
      <c r="F1234">
        <v>1963</v>
      </c>
      <c r="G1234">
        <v>3</v>
      </c>
      <c r="H1234">
        <v>1</v>
      </c>
      <c r="I1234">
        <v>2010</v>
      </c>
      <c r="J1234">
        <v>1</v>
      </c>
      <c r="K1234">
        <v>0</v>
      </c>
      <c r="L1234">
        <v>1</v>
      </c>
      <c r="M1234">
        <v>8</v>
      </c>
      <c r="N1234" t="s">
        <v>35</v>
      </c>
      <c r="O1234" t="s">
        <v>30</v>
      </c>
      <c r="P1234">
        <v>7.5527591527861997</v>
      </c>
      <c r="Q1234">
        <v>0.53058539988340903</v>
      </c>
      <c r="R1234">
        <v>9.1171502064968895</v>
      </c>
      <c r="S1234">
        <v>50</v>
      </c>
      <c r="T1234">
        <v>21</v>
      </c>
      <c r="U1234">
        <v>896.99702876284698</v>
      </c>
      <c r="V1234">
        <v>4.0753948038716199E-3</v>
      </c>
      <c r="W1234">
        <v>2040017.4085244399</v>
      </c>
      <c r="X1234" t="s">
        <v>38</v>
      </c>
      <c r="Y1234">
        <f>1-678-110-4892</f>
        <v>-5679</v>
      </c>
    </row>
    <row r="1235" spans="1:25" x14ac:dyDescent="0.35">
      <c r="A1235">
        <v>35.811310156167501</v>
      </c>
      <c r="B1235">
        <v>-122.05446033210499</v>
      </c>
      <c r="C1235" t="s">
        <v>34</v>
      </c>
      <c r="D1235">
        <v>11.080562531971401</v>
      </c>
      <c r="E1235">
        <v>9</v>
      </c>
      <c r="F1235">
        <v>1541</v>
      </c>
      <c r="G1235">
        <v>3</v>
      </c>
      <c r="H1235">
        <v>3</v>
      </c>
      <c r="I1235">
        <v>2019</v>
      </c>
      <c r="J1235">
        <v>1</v>
      </c>
      <c r="K1235">
        <v>1</v>
      </c>
      <c r="L1235">
        <v>0</v>
      </c>
      <c r="M1235">
        <v>10</v>
      </c>
      <c r="N1235" t="s">
        <v>35</v>
      </c>
      <c r="O1235" t="s">
        <v>30</v>
      </c>
      <c r="P1235">
        <v>12.3622622681261</v>
      </c>
      <c r="Q1235">
        <v>1.50607077663321</v>
      </c>
      <c r="R1235">
        <v>7.9816854414965004</v>
      </c>
      <c r="S1235">
        <v>89</v>
      </c>
      <c r="T1235">
        <v>50</v>
      </c>
      <c r="U1235">
        <v>515.64297085133296</v>
      </c>
      <c r="V1235">
        <v>6.4892926670992801E-3</v>
      </c>
      <c r="W1235">
        <v>1181602.03860453</v>
      </c>
      <c r="X1235" t="s">
        <v>43</v>
      </c>
      <c r="Y1235">
        <f>1-689-786-2946</f>
        <v>-4420</v>
      </c>
    </row>
    <row r="1236" spans="1:25" x14ac:dyDescent="0.35">
      <c r="A1236">
        <v>36.670908206477897</v>
      </c>
      <c r="B1236">
        <v>-116.713905716882</v>
      </c>
      <c r="C1236" t="s">
        <v>29</v>
      </c>
      <c r="D1236">
        <v>45.543623189597803</v>
      </c>
      <c r="E1236">
        <v>8</v>
      </c>
      <c r="F1236">
        <v>1694</v>
      </c>
      <c r="G1236">
        <v>5</v>
      </c>
      <c r="H1236">
        <v>2</v>
      </c>
      <c r="I1236">
        <v>2002</v>
      </c>
      <c r="J1236">
        <v>0</v>
      </c>
      <c r="K1236">
        <v>1</v>
      </c>
      <c r="L1236">
        <v>0</v>
      </c>
      <c r="M1236">
        <v>4</v>
      </c>
      <c r="N1236" t="s">
        <v>37</v>
      </c>
      <c r="O1236" t="s">
        <v>27</v>
      </c>
      <c r="P1236">
        <v>11.5272665837344</v>
      </c>
      <c r="Q1236">
        <v>1.28943592503422</v>
      </c>
      <c r="R1236">
        <v>0.34433808971752999</v>
      </c>
      <c r="S1236">
        <v>40</v>
      </c>
      <c r="T1236">
        <v>62</v>
      </c>
      <c r="U1236">
        <v>899.52679765259199</v>
      </c>
      <c r="V1236">
        <v>2.3612750885478101E-3</v>
      </c>
      <c r="W1236">
        <v>2005715.7987504399</v>
      </c>
      <c r="X1236" t="s">
        <v>36</v>
      </c>
      <c r="Y1236">
        <f>1-935-524-2324</f>
        <v>-3782</v>
      </c>
    </row>
    <row r="1237" spans="1:25" x14ac:dyDescent="0.35">
      <c r="A1237">
        <v>40.353095443373498</v>
      </c>
      <c r="B1237">
        <v>-118.84139139479301</v>
      </c>
      <c r="C1237" t="s">
        <v>25</v>
      </c>
      <c r="D1237">
        <v>43.1779391351469</v>
      </c>
      <c r="E1237">
        <v>1</v>
      </c>
      <c r="F1237">
        <v>1769</v>
      </c>
      <c r="G1237">
        <v>1</v>
      </c>
      <c r="H1237">
        <v>1</v>
      </c>
      <c r="I1237">
        <v>1974</v>
      </c>
      <c r="J1237">
        <v>0</v>
      </c>
      <c r="K1237">
        <v>1</v>
      </c>
      <c r="L1237">
        <v>1</v>
      </c>
      <c r="M1237">
        <v>6</v>
      </c>
      <c r="N1237" t="s">
        <v>26</v>
      </c>
      <c r="O1237" t="s">
        <v>32</v>
      </c>
      <c r="P1237">
        <v>13.070891043377801</v>
      </c>
      <c r="Q1237">
        <v>1.48792317739234</v>
      </c>
      <c r="R1237">
        <v>6.5111333993972602</v>
      </c>
      <c r="S1237">
        <v>162</v>
      </c>
      <c r="T1237">
        <v>42</v>
      </c>
      <c r="U1237">
        <v>216.547291336391</v>
      </c>
      <c r="V1237">
        <v>3.3917467495760299E-3</v>
      </c>
      <c r="W1237">
        <v>639766.12333998398</v>
      </c>
      <c r="X1237" t="s">
        <v>44</v>
      </c>
      <c r="Y1237">
        <f>1-596-389-3955</f>
        <v>-4939</v>
      </c>
    </row>
    <row r="1238" spans="1:25" x14ac:dyDescent="0.35">
      <c r="A1238">
        <v>36.743572803362703</v>
      </c>
      <c r="B1238">
        <v>-122.60713067326699</v>
      </c>
      <c r="C1238" t="s">
        <v>34</v>
      </c>
      <c r="D1238">
        <v>19.4625435422506</v>
      </c>
      <c r="E1238">
        <v>6</v>
      </c>
      <c r="F1238">
        <v>3545</v>
      </c>
      <c r="G1238">
        <v>1</v>
      </c>
      <c r="H1238">
        <v>2</v>
      </c>
      <c r="I1238">
        <v>1972</v>
      </c>
      <c r="J1238">
        <v>0</v>
      </c>
      <c r="K1238">
        <v>1</v>
      </c>
      <c r="L1238">
        <v>1</v>
      </c>
      <c r="M1238">
        <v>8</v>
      </c>
      <c r="N1238" t="s">
        <v>41</v>
      </c>
      <c r="O1238" t="s">
        <v>30</v>
      </c>
      <c r="P1238">
        <v>7.1427150551084697</v>
      </c>
      <c r="Q1238">
        <v>1.4004224378358601</v>
      </c>
      <c r="R1238">
        <v>8.7107601213242205</v>
      </c>
      <c r="S1238">
        <v>130</v>
      </c>
      <c r="T1238">
        <v>52</v>
      </c>
      <c r="U1238">
        <v>716.53884686396998</v>
      </c>
      <c r="V1238">
        <v>2.2566995768688201E-3</v>
      </c>
      <c r="W1238">
        <v>2657931.8633992998</v>
      </c>
      <c r="X1238" t="s">
        <v>39</v>
      </c>
      <c r="Y1238">
        <f>1-281-783-2278</f>
        <v>-3341</v>
      </c>
    </row>
    <row r="1239" spans="1:25" x14ac:dyDescent="0.35">
      <c r="A1239">
        <v>35.813266132338804</v>
      </c>
      <c r="B1239">
        <v>-114.410333540157</v>
      </c>
      <c r="C1239" t="s">
        <v>25</v>
      </c>
      <c r="D1239">
        <v>1.5862523687996299</v>
      </c>
      <c r="E1239">
        <v>6</v>
      </c>
      <c r="F1239">
        <v>3162</v>
      </c>
      <c r="G1239">
        <v>5</v>
      </c>
      <c r="H1239">
        <v>3</v>
      </c>
      <c r="I1239">
        <v>1995</v>
      </c>
      <c r="J1239">
        <v>0</v>
      </c>
      <c r="K1239">
        <v>1</v>
      </c>
      <c r="L1239">
        <v>0</v>
      </c>
      <c r="M1239">
        <v>8</v>
      </c>
      <c r="N1239" t="s">
        <v>35</v>
      </c>
      <c r="O1239" t="s">
        <v>30</v>
      </c>
      <c r="P1239">
        <v>12.230463600797099</v>
      </c>
      <c r="Q1239">
        <v>2.1248203836673398</v>
      </c>
      <c r="R1239">
        <v>2.7151783793468498</v>
      </c>
      <c r="S1239">
        <v>58</v>
      </c>
      <c r="T1239">
        <v>25</v>
      </c>
      <c r="U1239">
        <v>756.73206158820005</v>
      </c>
      <c r="V1239">
        <v>2.53004427577482E-3</v>
      </c>
      <c r="W1239">
        <v>2915262.22203075</v>
      </c>
      <c r="X1239" t="s">
        <v>28</v>
      </c>
      <c r="Y1239">
        <f>1-355-652-3748</f>
        <v>-4754</v>
      </c>
    </row>
    <row r="1240" spans="1:25" x14ac:dyDescent="0.35">
      <c r="A1240">
        <v>39.507057019165202</v>
      </c>
      <c r="B1240">
        <v>-118.72573869034601</v>
      </c>
      <c r="C1240" t="s">
        <v>34</v>
      </c>
      <c r="D1240">
        <v>32.460991538362897</v>
      </c>
      <c r="E1240">
        <v>4</v>
      </c>
      <c r="F1240">
        <v>1147</v>
      </c>
      <c r="G1240">
        <v>3</v>
      </c>
      <c r="H1240">
        <v>3</v>
      </c>
      <c r="I1240">
        <v>1996</v>
      </c>
      <c r="J1240">
        <v>0</v>
      </c>
      <c r="K1240">
        <v>1</v>
      </c>
      <c r="L1240">
        <v>0</v>
      </c>
      <c r="M1240">
        <v>10</v>
      </c>
      <c r="N1240" t="s">
        <v>41</v>
      </c>
      <c r="O1240" t="s">
        <v>27</v>
      </c>
      <c r="P1240">
        <v>7.5740258851535902</v>
      </c>
      <c r="Q1240">
        <v>1.40869069735824</v>
      </c>
      <c r="R1240">
        <v>3.55040300213187</v>
      </c>
      <c r="S1240">
        <v>162</v>
      </c>
      <c r="T1240">
        <v>54</v>
      </c>
      <c r="U1240">
        <v>528.22694295899601</v>
      </c>
      <c r="V1240">
        <v>8.7183958151699995E-3</v>
      </c>
      <c r="W1240">
        <v>800210.94709316897</v>
      </c>
      <c r="X1240" t="s">
        <v>36</v>
      </c>
      <c r="Y1240">
        <f>1-658-811-4469</f>
        <v>-5937</v>
      </c>
    </row>
    <row r="1241" spans="1:25" x14ac:dyDescent="0.35">
      <c r="A1241">
        <v>35.940753695772102</v>
      </c>
      <c r="B1241">
        <v>-116.035625760559</v>
      </c>
      <c r="C1241" t="s">
        <v>25</v>
      </c>
      <c r="D1241">
        <v>20.523157402019301</v>
      </c>
      <c r="E1241">
        <v>8</v>
      </c>
      <c r="F1241">
        <v>1324</v>
      </c>
      <c r="G1241">
        <v>4</v>
      </c>
      <c r="H1241">
        <v>2</v>
      </c>
      <c r="I1241">
        <v>1953</v>
      </c>
      <c r="J1241">
        <v>1</v>
      </c>
      <c r="K1241">
        <v>1</v>
      </c>
      <c r="L1241">
        <v>1</v>
      </c>
      <c r="M1241">
        <v>4</v>
      </c>
      <c r="N1241" t="s">
        <v>41</v>
      </c>
      <c r="O1241" t="s">
        <v>32</v>
      </c>
      <c r="P1241">
        <v>4.6398365836734099</v>
      </c>
      <c r="Q1241">
        <v>2.3144089034669402</v>
      </c>
      <c r="R1241">
        <v>6.0971685620673703</v>
      </c>
      <c r="S1241">
        <v>195</v>
      </c>
      <c r="T1241">
        <v>45</v>
      </c>
      <c r="U1241">
        <v>459.46542173006901</v>
      </c>
      <c r="V1241">
        <v>3.0211480362537699E-3</v>
      </c>
      <c r="W1241">
        <v>859716.87621285894</v>
      </c>
      <c r="X1241" t="s">
        <v>33</v>
      </c>
      <c r="Y1241">
        <f>1-405-780-3946</f>
        <v>-5130</v>
      </c>
    </row>
    <row r="1242" spans="1:25" x14ac:dyDescent="0.35">
      <c r="A1242">
        <v>39.367937522108697</v>
      </c>
      <c r="B1242">
        <v>-123.123704418692</v>
      </c>
      <c r="C1242" t="s">
        <v>29</v>
      </c>
      <c r="D1242">
        <v>4.0904931779104903</v>
      </c>
      <c r="E1242">
        <v>6</v>
      </c>
      <c r="F1242">
        <v>4551</v>
      </c>
      <c r="G1242">
        <v>1</v>
      </c>
      <c r="H1242">
        <v>2</v>
      </c>
      <c r="I1242">
        <v>1989</v>
      </c>
      <c r="J1242">
        <v>1</v>
      </c>
      <c r="K1242">
        <v>1</v>
      </c>
      <c r="L1242">
        <v>1</v>
      </c>
      <c r="M1242">
        <v>2</v>
      </c>
      <c r="N1242" t="s">
        <v>37</v>
      </c>
      <c r="O1242" t="s">
        <v>27</v>
      </c>
      <c r="P1242">
        <v>9.6962056542862793</v>
      </c>
      <c r="Q1242">
        <v>1.6715124685815099</v>
      </c>
      <c r="R1242">
        <v>7.7174029073908299</v>
      </c>
      <c r="S1242">
        <v>2</v>
      </c>
      <c r="T1242">
        <v>26</v>
      </c>
      <c r="U1242">
        <v>301.44121229876401</v>
      </c>
      <c r="V1242">
        <v>4.3946385409800002E-4</v>
      </c>
      <c r="W1242">
        <v>1654179.2373833901</v>
      </c>
      <c r="X1242" t="s">
        <v>38</v>
      </c>
      <c r="Y1242">
        <f>1-943-834-5645</f>
        <v>-7421</v>
      </c>
    </row>
    <row r="1243" spans="1:25" x14ac:dyDescent="0.35">
      <c r="A1243">
        <v>35.628543755051702</v>
      </c>
      <c r="B1243">
        <v>-120.53770222925399</v>
      </c>
      <c r="C1243" t="s">
        <v>29</v>
      </c>
      <c r="D1243">
        <v>45.430615145042403</v>
      </c>
      <c r="E1243">
        <v>8</v>
      </c>
      <c r="F1243">
        <v>3772</v>
      </c>
      <c r="G1243">
        <v>2</v>
      </c>
      <c r="H1243">
        <v>1</v>
      </c>
      <c r="I1243">
        <v>2009</v>
      </c>
      <c r="J1243">
        <v>1</v>
      </c>
      <c r="K1243">
        <v>0</v>
      </c>
      <c r="L1243">
        <v>1</v>
      </c>
      <c r="M1243">
        <v>6</v>
      </c>
      <c r="N1243" t="s">
        <v>26</v>
      </c>
      <c r="O1243" t="s">
        <v>27</v>
      </c>
      <c r="P1243">
        <v>9.7626104426053697</v>
      </c>
      <c r="Q1243">
        <v>1.2455025433665701</v>
      </c>
      <c r="R1243">
        <v>1.87505375768609</v>
      </c>
      <c r="S1243">
        <v>78</v>
      </c>
      <c r="T1243">
        <v>57</v>
      </c>
      <c r="U1243">
        <v>438.97685819109603</v>
      </c>
      <c r="V1243">
        <v>1.5906680805938399E-3</v>
      </c>
      <c r="W1243">
        <v>1965278.1157300901</v>
      </c>
      <c r="X1243" t="s">
        <v>36</v>
      </c>
      <c r="Y1243">
        <f>1-248-565-4323</f>
        <v>-5135</v>
      </c>
    </row>
    <row r="1244" spans="1:25" x14ac:dyDescent="0.35">
      <c r="A1244">
        <v>33.7780077533126</v>
      </c>
      <c r="B1244">
        <v>-121.808243198254</v>
      </c>
      <c r="C1244" t="s">
        <v>34</v>
      </c>
      <c r="D1244">
        <v>28.424045666365799</v>
      </c>
      <c r="E1244">
        <v>2</v>
      </c>
      <c r="F1244">
        <v>3829</v>
      </c>
      <c r="G1244">
        <v>4</v>
      </c>
      <c r="H1244">
        <v>3</v>
      </c>
      <c r="I1244">
        <v>1980</v>
      </c>
      <c r="J1244">
        <v>0</v>
      </c>
      <c r="K1244">
        <v>0</v>
      </c>
      <c r="L1244">
        <v>1</v>
      </c>
      <c r="M1244">
        <v>11</v>
      </c>
      <c r="N1244" t="s">
        <v>35</v>
      </c>
      <c r="O1244" t="s">
        <v>32</v>
      </c>
      <c r="P1244">
        <v>2.8663303229500201</v>
      </c>
      <c r="Q1244">
        <v>1.054343775342</v>
      </c>
      <c r="R1244">
        <v>1.34589330665815</v>
      </c>
      <c r="S1244">
        <v>6</v>
      </c>
      <c r="T1244">
        <v>45</v>
      </c>
      <c r="U1244">
        <v>414.90996755719999</v>
      </c>
      <c r="V1244">
        <v>2.8728127448419899E-3</v>
      </c>
      <c r="W1244">
        <v>1901835.12794033</v>
      </c>
      <c r="X1244" t="s">
        <v>38</v>
      </c>
      <c r="Y1244">
        <f>1-722-812-6734</f>
        <v>-8267</v>
      </c>
    </row>
    <row r="1245" spans="1:25" x14ac:dyDescent="0.35">
      <c r="A1245">
        <v>34.099695184065297</v>
      </c>
      <c r="B1245">
        <v>-118.448588152908</v>
      </c>
      <c r="C1245" t="s">
        <v>34</v>
      </c>
      <c r="D1245">
        <v>13.775377841564</v>
      </c>
      <c r="E1245">
        <v>7</v>
      </c>
      <c r="F1245">
        <v>4281</v>
      </c>
      <c r="G1245">
        <v>5</v>
      </c>
      <c r="H1245">
        <v>2</v>
      </c>
      <c r="I1245">
        <v>2007</v>
      </c>
      <c r="J1245">
        <v>1</v>
      </c>
      <c r="K1245">
        <v>0</v>
      </c>
      <c r="L1245">
        <v>1</v>
      </c>
      <c r="M1245">
        <v>14</v>
      </c>
      <c r="N1245" t="s">
        <v>37</v>
      </c>
      <c r="O1245" t="s">
        <v>27</v>
      </c>
      <c r="P1245">
        <v>2.3256454658813901</v>
      </c>
      <c r="Q1245">
        <v>1.90111314009295</v>
      </c>
      <c r="R1245">
        <v>8.6755395637801005</v>
      </c>
      <c r="S1245">
        <v>131</v>
      </c>
      <c r="T1245">
        <v>30</v>
      </c>
      <c r="U1245">
        <v>858.28505583196898</v>
      </c>
      <c r="V1245">
        <v>3.2702639570193798E-3</v>
      </c>
      <c r="W1245">
        <v>3989645.69865923</v>
      </c>
      <c r="X1245" t="s">
        <v>44</v>
      </c>
      <c r="Y1245">
        <f>1-466-650-1408</f>
        <v>-2523</v>
      </c>
    </row>
    <row r="1246" spans="1:25" x14ac:dyDescent="0.35">
      <c r="A1246">
        <v>38.272191137664002</v>
      </c>
      <c r="B1246">
        <v>-123.121989111452</v>
      </c>
      <c r="C1246" t="s">
        <v>25</v>
      </c>
      <c r="D1246">
        <v>45.3293740455725</v>
      </c>
      <c r="E1246">
        <v>4</v>
      </c>
      <c r="F1246">
        <v>4367</v>
      </c>
      <c r="G1246">
        <v>2</v>
      </c>
      <c r="H1246">
        <v>3</v>
      </c>
      <c r="I1246">
        <v>1986</v>
      </c>
      <c r="J1246">
        <v>0</v>
      </c>
      <c r="K1246">
        <v>1</v>
      </c>
      <c r="L1246">
        <v>1</v>
      </c>
      <c r="M1246">
        <v>14</v>
      </c>
      <c r="N1246" t="s">
        <v>41</v>
      </c>
      <c r="O1246" t="s">
        <v>30</v>
      </c>
      <c r="P1246">
        <v>13.446312801518699</v>
      </c>
      <c r="Q1246">
        <v>2.16240906917383</v>
      </c>
      <c r="R1246">
        <v>5.9998470949534397</v>
      </c>
      <c r="S1246">
        <v>125</v>
      </c>
      <c r="T1246">
        <v>60</v>
      </c>
      <c r="U1246">
        <v>230.18859233888799</v>
      </c>
      <c r="V1246">
        <v>3.2058621479276301E-3</v>
      </c>
      <c r="W1246">
        <v>1385132.1480777001</v>
      </c>
      <c r="X1246" t="s">
        <v>43</v>
      </c>
      <c r="Y1246">
        <f>1-451-417-5911</f>
        <v>-6778</v>
      </c>
    </row>
    <row r="1247" spans="1:25" x14ac:dyDescent="0.35">
      <c r="A1247">
        <v>37.055331081273003</v>
      </c>
      <c r="B1247">
        <v>-122.012746864197</v>
      </c>
      <c r="C1247" t="s">
        <v>34</v>
      </c>
      <c r="D1247">
        <v>29.018449131795901</v>
      </c>
      <c r="E1247">
        <v>3</v>
      </c>
      <c r="F1247">
        <v>832</v>
      </c>
      <c r="G1247">
        <v>5</v>
      </c>
      <c r="H1247">
        <v>2</v>
      </c>
      <c r="I1247">
        <v>2004</v>
      </c>
      <c r="J1247">
        <v>0</v>
      </c>
      <c r="K1247">
        <v>1</v>
      </c>
      <c r="L1247">
        <v>1</v>
      </c>
      <c r="M1247">
        <v>4</v>
      </c>
      <c r="N1247" t="s">
        <v>35</v>
      </c>
      <c r="O1247" t="s">
        <v>32</v>
      </c>
      <c r="P1247">
        <v>13.366885194148701</v>
      </c>
      <c r="Q1247">
        <v>1.8806506099290501</v>
      </c>
      <c r="R1247">
        <v>5.8190866176025002</v>
      </c>
      <c r="S1247">
        <v>114</v>
      </c>
      <c r="T1247">
        <v>74</v>
      </c>
      <c r="U1247">
        <v>810.69185087781204</v>
      </c>
      <c r="V1247">
        <v>4.8076923076923002E-3</v>
      </c>
      <c r="W1247">
        <v>1144181.2258457399</v>
      </c>
      <c r="X1247" t="s">
        <v>38</v>
      </c>
      <c r="Y1247">
        <f>1-995-742-3895</f>
        <v>-5631</v>
      </c>
    </row>
    <row r="1248" spans="1:25" x14ac:dyDescent="0.35">
      <c r="A1248">
        <v>34.282182270614499</v>
      </c>
      <c r="B1248">
        <v>-117.398255169173</v>
      </c>
      <c r="C1248" t="s">
        <v>29</v>
      </c>
      <c r="D1248">
        <v>20.0059844883246</v>
      </c>
      <c r="E1248">
        <v>1</v>
      </c>
      <c r="F1248">
        <v>964</v>
      </c>
      <c r="G1248">
        <v>3</v>
      </c>
      <c r="H1248">
        <v>2</v>
      </c>
      <c r="I1248">
        <v>1995</v>
      </c>
      <c r="J1248">
        <v>0</v>
      </c>
      <c r="K1248">
        <v>1</v>
      </c>
      <c r="L1248">
        <v>0</v>
      </c>
      <c r="M1248">
        <v>14</v>
      </c>
      <c r="N1248" t="s">
        <v>37</v>
      </c>
      <c r="O1248" t="s">
        <v>30</v>
      </c>
      <c r="P1248">
        <v>2.98907676064298</v>
      </c>
      <c r="Q1248">
        <v>1.2493811007972599</v>
      </c>
      <c r="R1248">
        <v>7.3903930801661604</v>
      </c>
      <c r="S1248">
        <v>144</v>
      </c>
      <c r="T1248">
        <v>68</v>
      </c>
      <c r="U1248">
        <v>327.05644440105198</v>
      </c>
      <c r="V1248">
        <v>1.4522821576763399E-2</v>
      </c>
      <c r="W1248">
        <v>621853.94043185899</v>
      </c>
      <c r="X1248" t="s">
        <v>40</v>
      </c>
      <c r="Y1248">
        <f>1-601-923-7460</f>
        <v>-8983</v>
      </c>
    </row>
    <row r="1249" spans="1:25" x14ac:dyDescent="0.35">
      <c r="A1249">
        <v>37.509914788199197</v>
      </c>
      <c r="B1249">
        <v>-120.793960935361</v>
      </c>
      <c r="C1249" t="s">
        <v>34</v>
      </c>
      <c r="D1249">
        <v>10.5924483596862</v>
      </c>
      <c r="E1249">
        <v>3</v>
      </c>
      <c r="F1249">
        <v>2242</v>
      </c>
      <c r="G1249">
        <v>5</v>
      </c>
      <c r="H1249">
        <v>2</v>
      </c>
      <c r="I1249">
        <v>1967</v>
      </c>
      <c r="J1249">
        <v>0</v>
      </c>
      <c r="K1249">
        <v>1</v>
      </c>
      <c r="L1249">
        <v>0</v>
      </c>
      <c r="M1249">
        <v>2</v>
      </c>
      <c r="N1249" t="s">
        <v>37</v>
      </c>
      <c r="O1249" t="s">
        <v>32</v>
      </c>
      <c r="P1249">
        <v>9.2855561159012101</v>
      </c>
      <c r="Q1249">
        <v>0.85744911851507299</v>
      </c>
      <c r="R1249">
        <v>7.9977232824640296</v>
      </c>
      <c r="S1249">
        <v>95</v>
      </c>
      <c r="T1249">
        <v>75</v>
      </c>
      <c r="U1249">
        <v>531.07433820621804</v>
      </c>
      <c r="V1249">
        <v>8.9206066012488799E-4</v>
      </c>
      <c r="W1249">
        <v>1559412.79364473</v>
      </c>
      <c r="X1249" t="s">
        <v>39</v>
      </c>
      <c r="Y1249">
        <f>1-343-276-9713</f>
        <v>-10331</v>
      </c>
    </row>
    <row r="1250" spans="1:25" x14ac:dyDescent="0.35">
      <c r="A1250">
        <v>35.842698563293901</v>
      </c>
      <c r="B1250">
        <v>-115.744724831455</v>
      </c>
      <c r="C1250" t="s">
        <v>34</v>
      </c>
      <c r="D1250">
        <v>19.241274520455601</v>
      </c>
      <c r="E1250">
        <v>4</v>
      </c>
      <c r="F1250">
        <v>4030</v>
      </c>
      <c r="G1250">
        <v>1</v>
      </c>
      <c r="H1250">
        <v>2</v>
      </c>
      <c r="I1250">
        <v>2002</v>
      </c>
      <c r="J1250">
        <v>0</v>
      </c>
      <c r="K1250">
        <v>0</v>
      </c>
      <c r="L1250">
        <v>1</v>
      </c>
      <c r="M1250">
        <v>4</v>
      </c>
      <c r="N1250" t="s">
        <v>37</v>
      </c>
      <c r="O1250" t="s">
        <v>30</v>
      </c>
      <c r="P1250">
        <v>14.3627760199471</v>
      </c>
      <c r="Q1250">
        <v>2.2493092081011601</v>
      </c>
      <c r="R1250">
        <v>1.8230124231045399</v>
      </c>
      <c r="S1250">
        <v>196</v>
      </c>
      <c r="T1250">
        <v>54</v>
      </c>
      <c r="U1250">
        <v>469.54661149411203</v>
      </c>
      <c r="V1250">
        <v>9.9255583126550803E-4</v>
      </c>
      <c r="W1250">
        <v>2030136.00618494</v>
      </c>
      <c r="X1250" t="s">
        <v>40</v>
      </c>
      <c r="Y1250">
        <f>1-536-686-4323</f>
        <v>-5544</v>
      </c>
    </row>
    <row r="1251" spans="1:25" x14ac:dyDescent="0.35">
      <c r="A1251">
        <v>32.587465850258098</v>
      </c>
      <c r="B1251">
        <v>-122.728231131665</v>
      </c>
      <c r="C1251" t="s">
        <v>25</v>
      </c>
      <c r="D1251">
        <v>46.604206781000599</v>
      </c>
      <c r="E1251">
        <v>3</v>
      </c>
      <c r="F1251">
        <v>3539</v>
      </c>
      <c r="G1251">
        <v>4</v>
      </c>
      <c r="H1251">
        <v>3</v>
      </c>
      <c r="I1251">
        <v>1998</v>
      </c>
      <c r="J1251">
        <v>1</v>
      </c>
      <c r="K1251">
        <v>0</v>
      </c>
      <c r="L1251">
        <v>1</v>
      </c>
      <c r="M1251">
        <v>13</v>
      </c>
      <c r="N1251" t="s">
        <v>41</v>
      </c>
      <c r="O1251" t="s">
        <v>27</v>
      </c>
      <c r="P1251">
        <v>8.0215082701190106</v>
      </c>
      <c r="Q1251">
        <v>2.4613114293870502</v>
      </c>
      <c r="R1251">
        <v>9.2708509044079292</v>
      </c>
      <c r="S1251">
        <v>139</v>
      </c>
      <c r="T1251">
        <v>69</v>
      </c>
      <c r="U1251">
        <v>748.07328934592397</v>
      </c>
      <c r="V1251">
        <v>3.67335405481774E-3</v>
      </c>
      <c r="W1251">
        <v>3078634.1519069099</v>
      </c>
      <c r="X1251" t="s">
        <v>43</v>
      </c>
      <c r="Y1251">
        <f>1-613-660-8436</f>
        <v>-9708</v>
      </c>
    </row>
    <row r="1252" spans="1:25" x14ac:dyDescent="0.35">
      <c r="A1252">
        <v>33.283993815998898</v>
      </c>
      <c r="B1252">
        <v>-118.706349934467</v>
      </c>
      <c r="C1252" t="s">
        <v>29</v>
      </c>
      <c r="D1252">
        <v>39.842344028807297</v>
      </c>
      <c r="E1252">
        <v>5</v>
      </c>
      <c r="F1252">
        <v>1616</v>
      </c>
      <c r="G1252">
        <v>3</v>
      </c>
      <c r="H1252">
        <v>3</v>
      </c>
      <c r="I1252">
        <v>2019</v>
      </c>
      <c r="J1252">
        <v>1</v>
      </c>
      <c r="K1252">
        <v>1</v>
      </c>
      <c r="L1252">
        <v>1</v>
      </c>
      <c r="M1252">
        <v>3</v>
      </c>
      <c r="N1252" t="s">
        <v>37</v>
      </c>
      <c r="O1252" t="s">
        <v>30</v>
      </c>
      <c r="P1252">
        <v>3.6699464713419299</v>
      </c>
      <c r="Q1252">
        <v>2.1730147895531999</v>
      </c>
      <c r="R1252">
        <v>1.6407221685559901</v>
      </c>
      <c r="S1252">
        <v>3</v>
      </c>
      <c r="T1252">
        <v>24</v>
      </c>
      <c r="U1252">
        <v>308.95214852834698</v>
      </c>
      <c r="V1252">
        <v>1.8564356435643501E-3</v>
      </c>
      <c r="W1252">
        <v>839594.76164379495</v>
      </c>
      <c r="X1252" t="s">
        <v>44</v>
      </c>
      <c r="Y1252">
        <f>1-504-672-3963</f>
        <v>-5138</v>
      </c>
    </row>
    <row r="1253" spans="1:25" x14ac:dyDescent="0.35">
      <c r="A1253">
        <v>37.765288413629399</v>
      </c>
      <c r="B1253">
        <v>-116.041307665155</v>
      </c>
      <c r="C1253" t="s">
        <v>25</v>
      </c>
      <c r="D1253">
        <v>17.336540480366502</v>
      </c>
      <c r="E1253">
        <v>6</v>
      </c>
      <c r="F1253">
        <v>2880</v>
      </c>
      <c r="G1253">
        <v>4</v>
      </c>
      <c r="H1253">
        <v>2</v>
      </c>
      <c r="I1253">
        <v>1980</v>
      </c>
      <c r="J1253">
        <v>1</v>
      </c>
      <c r="K1253">
        <v>1</v>
      </c>
      <c r="L1253">
        <v>0</v>
      </c>
      <c r="M1253">
        <v>14</v>
      </c>
      <c r="N1253" t="s">
        <v>26</v>
      </c>
      <c r="O1253" t="s">
        <v>30</v>
      </c>
      <c r="P1253">
        <v>14.478002935970901</v>
      </c>
      <c r="Q1253">
        <v>1.5598204099235899</v>
      </c>
      <c r="R1253">
        <v>6.06895829489428</v>
      </c>
      <c r="S1253">
        <v>23</v>
      </c>
      <c r="T1253">
        <v>59</v>
      </c>
      <c r="U1253">
        <v>859.88776594506999</v>
      </c>
      <c r="V1253">
        <v>4.8611111111111103E-3</v>
      </c>
      <c r="W1253">
        <v>2949541.0904033501</v>
      </c>
      <c r="X1253" t="s">
        <v>44</v>
      </c>
      <c r="Y1253">
        <f>1-944-208-7419</f>
        <v>-8570</v>
      </c>
    </row>
    <row r="1254" spans="1:25" x14ac:dyDescent="0.35">
      <c r="A1254">
        <v>34.888512779974</v>
      </c>
      <c r="B1254">
        <v>-122.293221679849</v>
      </c>
      <c r="C1254" t="s">
        <v>34</v>
      </c>
      <c r="D1254">
        <v>6.9616017246359601</v>
      </c>
      <c r="E1254">
        <v>3</v>
      </c>
      <c r="F1254">
        <v>2368</v>
      </c>
      <c r="G1254">
        <v>3</v>
      </c>
      <c r="H1254">
        <v>2</v>
      </c>
      <c r="I1254">
        <v>1957</v>
      </c>
      <c r="J1254">
        <v>1</v>
      </c>
      <c r="K1254">
        <v>1</v>
      </c>
      <c r="L1254">
        <v>1</v>
      </c>
      <c r="M1254">
        <v>14</v>
      </c>
      <c r="N1254" t="s">
        <v>35</v>
      </c>
      <c r="O1254" t="s">
        <v>32</v>
      </c>
      <c r="P1254">
        <v>7.28970381986161</v>
      </c>
      <c r="Q1254">
        <v>1.48166977277769</v>
      </c>
      <c r="R1254">
        <v>1.5146789330235699</v>
      </c>
      <c r="S1254">
        <v>129</v>
      </c>
      <c r="T1254">
        <v>43</v>
      </c>
      <c r="U1254">
        <v>522.25015799147195</v>
      </c>
      <c r="V1254">
        <v>5.9121621621621599E-3</v>
      </c>
      <c r="W1254">
        <v>1517810.1518216699</v>
      </c>
      <c r="X1254" t="s">
        <v>28</v>
      </c>
      <c r="Y1254">
        <f>1-643-169-5774</f>
        <v>-6585</v>
      </c>
    </row>
    <row r="1255" spans="1:25" x14ac:dyDescent="0.35">
      <c r="A1255">
        <v>34.593699649196701</v>
      </c>
      <c r="B1255">
        <v>-114.606015201611</v>
      </c>
      <c r="C1255" t="s">
        <v>25</v>
      </c>
      <c r="D1255">
        <v>4.2642362792634403</v>
      </c>
      <c r="E1255">
        <v>6</v>
      </c>
      <c r="F1255">
        <v>2432</v>
      </c>
      <c r="G1255">
        <v>2</v>
      </c>
      <c r="H1255">
        <v>2</v>
      </c>
      <c r="I1255">
        <v>2021</v>
      </c>
      <c r="J1255">
        <v>0</v>
      </c>
      <c r="K1255">
        <v>1</v>
      </c>
      <c r="L1255">
        <v>1</v>
      </c>
      <c r="M1255">
        <v>6</v>
      </c>
      <c r="N1255" t="s">
        <v>41</v>
      </c>
      <c r="O1255" t="s">
        <v>30</v>
      </c>
      <c r="P1255">
        <v>12.518147937090101</v>
      </c>
      <c r="Q1255">
        <v>1.0680991307060601</v>
      </c>
      <c r="R1255">
        <v>7.8431234925453497</v>
      </c>
      <c r="S1255">
        <v>11</v>
      </c>
      <c r="T1255">
        <v>24</v>
      </c>
      <c r="U1255">
        <v>621.99234054835495</v>
      </c>
      <c r="V1255">
        <v>2.4671052631578898E-3</v>
      </c>
      <c r="W1255">
        <v>1879933.2320045701</v>
      </c>
      <c r="X1255" t="s">
        <v>42</v>
      </c>
      <c r="Y1255">
        <f>1-726-927-1977</f>
        <v>-3629</v>
      </c>
    </row>
    <row r="1256" spans="1:25" x14ac:dyDescent="0.35">
      <c r="A1256">
        <v>36.167571688037803</v>
      </c>
      <c r="B1256">
        <v>-123.451240202365</v>
      </c>
      <c r="C1256" t="s">
        <v>29</v>
      </c>
      <c r="D1256">
        <v>31.0437841365822</v>
      </c>
      <c r="E1256">
        <v>1</v>
      </c>
      <c r="F1256">
        <v>2955</v>
      </c>
      <c r="G1256">
        <v>1</v>
      </c>
      <c r="H1256">
        <v>2</v>
      </c>
      <c r="I1256">
        <v>2013</v>
      </c>
      <c r="J1256">
        <v>1</v>
      </c>
      <c r="K1256">
        <v>1</v>
      </c>
      <c r="L1256">
        <v>1</v>
      </c>
      <c r="M1256">
        <v>3</v>
      </c>
      <c r="N1256" t="s">
        <v>41</v>
      </c>
      <c r="O1256" t="s">
        <v>32</v>
      </c>
      <c r="P1256">
        <v>13.5332699691317</v>
      </c>
      <c r="Q1256">
        <v>1.51466047979229</v>
      </c>
      <c r="R1256">
        <v>2.9801437593230302</v>
      </c>
      <c r="S1256">
        <v>7</v>
      </c>
      <c r="T1256">
        <v>57</v>
      </c>
      <c r="U1256">
        <v>395.653509246358</v>
      </c>
      <c r="V1256">
        <v>1.01522842639593E-3</v>
      </c>
      <c r="W1256">
        <v>1543149.74346492</v>
      </c>
      <c r="X1256" t="s">
        <v>43</v>
      </c>
      <c r="Y1256">
        <f>1-703-570-6115</f>
        <v>-7387</v>
      </c>
    </row>
    <row r="1257" spans="1:25" x14ac:dyDescent="0.35">
      <c r="A1257">
        <v>37.747643057171402</v>
      </c>
      <c r="B1257">
        <v>-119.102202649361</v>
      </c>
      <c r="C1257" t="s">
        <v>29</v>
      </c>
      <c r="D1257">
        <v>5.0709535348945298</v>
      </c>
      <c r="E1257">
        <v>7</v>
      </c>
      <c r="F1257">
        <v>2849</v>
      </c>
      <c r="G1257">
        <v>5</v>
      </c>
      <c r="H1257">
        <v>2</v>
      </c>
      <c r="I1257">
        <v>2008</v>
      </c>
      <c r="J1257">
        <v>1</v>
      </c>
      <c r="K1257">
        <v>0</v>
      </c>
      <c r="L1257">
        <v>1</v>
      </c>
      <c r="M1257">
        <v>9</v>
      </c>
      <c r="N1257" t="s">
        <v>26</v>
      </c>
      <c r="O1257" t="s">
        <v>27</v>
      </c>
      <c r="P1257">
        <v>14.248568128803701</v>
      </c>
      <c r="Q1257">
        <v>0.75671527592249599</v>
      </c>
      <c r="R1257">
        <v>2.9695713337535401</v>
      </c>
      <c r="S1257">
        <v>38</v>
      </c>
      <c r="T1257">
        <v>44</v>
      </c>
      <c r="U1257">
        <v>307.76757453956299</v>
      </c>
      <c r="V1257">
        <v>3.1590031590031501E-3</v>
      </c>
      <c r="W1257">
        <v>1363709.2524190701</v>
      </c>
      <c r="X1257" t="s">
        <v>33</v>
      </c>
      <c r="Y1257">
        <f>1-498-301-3790</f>
        <v>-4588</v>
      </c>
    </row>
    <row r="1258" spans="1:25" x14ac:dyDescent="0.35">
      <c r="A1258">
        <v>40.114205538368701</v>
      </c>
      <c r="B1258">
        <v>-120.972886778355</v>
      </c>
      <c r="C1258" t="s">
        <v>34</v>
      </c>
      <c r="D1258">
        <v>24.857653230821899</v>
      </c>
      <c r="E1258">
        <v>3</v>
      </c>
      <c r="F1258">
        <v>2246</v>
      </c>
      <c r="G1258">
        <v>2</v>
      </c>
      <c r="H1258">
        <v>2</v>
      </c>
      <c r="I1258">
        <v>2001</v>
      </c>
      <c r="J1258">
        <v>0</v>
      </c>
      <c r="K1258">
        <v>1</v>
      </c>
      <c r="L1258">
        <v>1</v>
      </c>
      <c r="M1258">
        <v>7</v>
      </c>
      <c r="N1258" t="s">
        <v>41</v>
      </c>
      <c r="O1258" t="s">
        <v>30</v>
      </c>
      <c r="P1258">
        <v>12.430309107387499</v>
      </c>
      <c r="Q1258">
        <v>2.0928769652609001</v>
      </c>
      <c r="R1258">
        <v>2.4331018711927999</v>
      </c>
      <c r="S1258">
        <v>60</v>
      </c>
      <c r="T1258">
        <v>77</v>
      </c>
      <c r="U1258">
        <v>959.97049282779301</v>
      </c>
      <c r="V1258">
        <v>3.1166518254674902E-3</v>
      </c>
      <c r="W1258">
        <v>2466334.37987469</v>
      </c>
      <c r="X1258" t="s">
        <v>43</v>
      </c>
      <c r="Y1258">
        <f>1-664-109-3182</f>
        <v>-3954</v>
      </c>
    </row>
    <row r="1259" spans="1:25" x14ac:dyDescent="0.35">
      <c r="A1259">
        <v>36.877585380067899</v>
      </c>
      <c r="B1259">
        <v>-121.88305697134901</v>
      </c>
      <c r="C1259" t="s">
        <v>29</v>
      </c>
      <c r="D1259">
        <v>36.9772124745963</v>
      </c>
      <c r="E1259">
        <v>0</v>
      </c>
      <c r="F1259">
        <v>3466</v>
      </c>
      <c r="G1259">
        <v>2</v>
      </c>
      <c r="H1259">
        <v>1</v>
      </c>
      <c r="I1259">
        <v>1979</v>
      </c>
      <c r="J1259">
        <v>1</v>
      </c>
      <c r="K1259">
        <v>1</v>
      </c>
      <c r="L1259">
        <v>1</v>
      </c>
      <c r="M1259">
        <v>4</v>
      </c>
      <c r="N1259" t="s">
        <v>26</v>
      </c>
      <c r="O1259" t="s">
        <v>30</v>
      </c>
      <c r="P1259">
        <v>13.183237575957399</v>
      </c>
      <c r="Q1259">
        <v>1.42202379364079</v>
      </c>
      <c r="R1259">
        <v>5.8661787945928499</v>
      </c>
      <c r="S1259">
        <v>33</v>
      </c>
      <c r="T1259">
        <v>63</v>
      </c>
      <c r="U1259">
        <v>363.38548237376699</v>
      </c>
      <c r="V1259">
        <v>1.1540680900173101E-3</v>
      </c>
      <c r="W1259">
        <v>1586016.6439328601</v>
      </c>
      <c r="X1259" t="s">
        <v>40</v>
      </c>
      <c r="Y1259">
        <f>1-266-628-1947</f>
        <v>-2840</v>
      </c>
    </row>
    <row r="1260" spans="1:25" x14ac:dyDescent="0.35">
      <c r="A1260">
        <v>33.864730927157403</v>
      </c>
      <c r="B1260">
        <v>-123.134119843172</v>
      </c>
      <c r="C1260" t="s">
        <v>25</v>
      </c>
      <c r="D1260">
        <v>13.7036399771288</v>
      </c>
      <c r="E1260">
        <v>7</v>
      </c>
      <c r="F1260">
        <v>1792</v>
      </c>
      <c r="G1260">
        <v>3</v>
      </c>
      <c r="H1260">
        <v>3</v>
      </c>
      <c r="I1260">
        <v>1984</v>
      </c>
      <c r="J1260">
        <v>0</v>
      </c>
      <c r="K1260">
        <v>1</v>
      </c>
      <c r="L1260">
        <v>1</v>
      </c>
      <c r="M1260">
        <v>7</v>
      </c>
      <c r="N1260" t="s">
        <v>41</v>
      </c>
      <c r="O1260" t="s">
        <v>30</v>
      </c>
      <c r="P1260">
        <v>3.1593190520539798</v>
      </c>
      <c r="Q1260">
        <v>2.48283695166023</v>
      </c>
      <c r="R1260">
        <v>2.3661265999976</v>
      </c>
      <c r="S1260">
        <v>124</v>
      </c>
      <c r="T1260">
        <v>33</v>
      </c>
      <c r="U1260">
        <v>999.93118372050105</v>
      </c>
      <c r="V1260">
        <v>3.90625E-3</v>
      </c>
      <c r="W1260">
        <v>2060842.08229192</v>
      </c>
      <c r="X1260" t="s">
        <v>28</v>
      </c>
      <c r="Y1260">
        <f>1-434-598-7959</f>
        <v>-8990</v>
      </c>
    </row>
    <row r="1261" spans="1:25" x14ac:dyDescent="0.35">
      <c r="A1261">
        <v>32.941058122166503</v>
      </c>
      <c r="B1261">
        <v>-116.885602865997</v>
      </c>
      <c r="C1261" t="s">
        <v>25</v>
      </c>
      <c r="D1261">
        <v>37.014129621047999</v>
      </c>
      <c r="E1261">
        <v>8</v>
      </c>
      <c r="F1261">
        <v>4305</v>
      </c>
      <c r="G1261">
        <v>2</v>
      </c>
      <c r="H1261">
        <v>3</v>
      </c>
      <c r="I1261">
        <v>1977</v>
      </c>
      <c r="J1261">
        <v>0</v>
      </c>
      <c r="K1261">
        <v>1</v>
      </c>
      <c r="L1261">
        <v>1</v>
      </c>
      <c r="M1261">
        <v>10</v>
      </c>
      <c r="N1261" t="s">
        <v>26</v>
      </c>
      <c r="O1261" t="s">
        <v>27</v>
      </c>
      <c r="P1261">
        <v>11.1355887402718</v>
      </c>
      <c r="Q1261">
        <v>1.1862765234311601</v>
      </c>
      <c r="R1261">
        <v>6.80648503219048</v>
      </c>
      <c r="S1261">
        <v>104</v>
      </c>
      <c r="T1261">
        <v>77</v>
      </c>
      <c r="U1261">
        <v>225.37885299451401</v>
      </c>
      <c r="V1261">
        <v>2.3228803716608499E-3</v>
      </c>
      <c r="W1261">
        <v>1215173.78629085</v>
      </c>
      <c r="X1261" t="s">
        <v>31</v>
      </c>
      <c r="Y1261">
        <f>1-826-596-2302</f>
        <v>-3723</v>
      </c>
    </row>
    <row r="1262" spans="1:25" x14ac:dyDescent="0.35">
      <c r="A1262">
        <v>34.941636381372803</v>
      </c>
      <c r="B1262">
        <v>-119.78498298596899</v>
      </c>
      <c r="C1262" t="s">
        <v>29</v>
      </c>
      <c r="D1262">
        <v>39.531796931511202</v>
      </c>
      <c r="E1262">
        <v>0</v>
      </c>
      <c r="F1262">
        <v>3195</v>
      </c>
      <c r="G1262">
        <v>2</v>
      </c>
      <c r="H1262">
        <v>3</v>
      </c>
      <c r="I1262">
        <v>2017</v>
      </c>
      <c r="J1262">
        <v>1</v>
      </c>
      <c r="K1262">
        <v>1</v>
      </c>
      <c r="L1262">
        <v>1</v>
      </c>
      <c r="M1262">
        <v>4</v>
      </c>
      <c r="N1262" t="s">
        <v>26</v>
      </c>
      <c r="O1262" t="s">
        <v>32</v>
      </c>
      <c r="P1262">
        <v>9.8146379747743904</v>
      </c>
      <c r="Q1262">
        <v>1.70648670454532</v>
      </c>
      <c r="R1262">
        <v>7.6649594159865204</v>
      </c>
      <c r="S1262">
        <v>61</v>
      </c>
      <c r="T1262">
        <v>79</v>
      </c>
      <c r="U1262">
        <v>987.02318573991795</v>
      </c>
      <c r="V1262">
        <v>1.2519561815336399E-3</v>
      </c>
      <c r="W1262">
        <v>3531465.0466990899</v>
      </c>
      <c r="X1262" t="s">
        <v>33</v>
      </c>
      <c r="Y1262">
        <f>1-921-105-3069</f>
        <v>-4094</v>
      </c>
    </row>
    <row r="1263" spans="1:25" x14ac:dyDescent="0.35">
      <c r="A1263">
        <v>41.329963490452798</v>
      </c>
      <c r="B1263">
        <v>-122.318468476186</v>
      </c>
      <c r="C1263" t="s">
        <v>29</v>
      </c>
      <c r="D1263">
        <v>11.298262601188499</v>
      </c>
      <c r="E1263">
        <v>5</v>
      </c>
      <c r="F1263">
        <v>2209</v>
      </c>
      <c r="G1263">
        <v>3</v>
      </c>
      <c r="H1263">
        <v>3</v>
      </c>
      <c r="I1263">
        <v>1980</v>
      </c>
      <c r="J1263">
        <v>0</v>
      </c>
      <c r="K1263">
        <v>0</v>
      </c>
      <c r="L1263">
        <v>0</v>
      </c>
      <c r="M1263">
        <v>8</v>
      </c>
      <c r="N1263" t="s">
        <v>26</v>
      </c>
      <c r="O1263" t="s">
        <v>27</v>
      </c>
      <c r="P1263">
        <v>6.5394637592590499</v>
      </c>
      <c r="Q1263">
        <v>1.28144384454807</v>
      </c>
      <c r="R1263">
        <v>7.7201714608499898</v>
      </c>
      <c r="S1263">
        <v>194</v>
      </c>
      <c r="T1263">
        <v>47</v>
      </c>
      <c r="U1263">
        <v>987.36764064278395</v>
      </c>
      <c r="V1263">
        <v>3.6215482118605699E-3</v>
      </c>
      <c r="W1263">
        <v>2337816.6597321299</v>
      </c>
      <c r="X1263" t="s">
        <v>42</v>
      </c>
      <c r="Y1263">
        <f>1-641-783-9088</f>
        <v>-10511</v>
      </c>
    </row>
    <row r="1264" spans="1:25" x14ac:dyDescent="0.35">
      <c r="A1264">
        <v>33.297691577906299</v>
      </c>
      <c r="B1264">
        <v>-120.707578355278</v>
      </c>
      <c r="C1264" t="s">
        <v>25</v>
      </c>
      <c r="D1264">
        <v>18.3458520905908</v>
      </c>
      <c r="E1264">
        <v>5</v>
      </c>
      <c r="F1264">
        <v>4267</v>
      </c>
      <c r="G1264">
        <v>2</v>
      </c>
      <c r="H1264">
        <v>2</v>
      </c>
      <c r="I1264">
        <v>1978</v>
      </c>
      <c r="J1264">
        <v>0</v>
      </c>
      <c r="K1264">
        <v>1</v>
      </c>
      <c r="L1264">
        <v>0</v>
      </c>
      <c r="M1264">
        <v>9</v>
      </c>
      <c r="N1264" t="s">
        <v>41</v>
      </c>
      <c r="O1264" t="s">
        <v>27</v>
      </c>
      <c r="P1264">
        <v>9.1359112754896294</v>
      </c>
      <c r="Q1264">
        <v>1.57562839422642</v>
      </c>
      <c r="R1264">
        <v>9.0644980948191094</v>
      </c>
      <c r="S1264">
        <v>5</v>
      </c>
      <c r="T1264">
        <v>48</v>
      </c>
      <c r="U1264">
        <v>766.26175348650702</v>
      </c>
      <c r="V1264">
        <v>2.1092102179517199E-3</v>
      </c>
      <c r="W1264">
        <v>3478223.4728473299</v>
      </c>
      <c r="X1264" t="s">
        <v>36</v>
      </c>
      <c r="Y1264">
        <f>1-882-447-8271</f>
        <v>-9599</v>
      </c>
    </row>
    <row r="1265" spans="1:25" x14ac:dyDescent="0.35">
      <c r="A1265">
        <v>40.159669191088902</v>
      </c>
      <c r="B1265">
        <v>-118.302806986524</v>
      </c>
      <c r="C1265" t="s">
        <v>34</v>
      </c>
      <c r="D1265">
        <v>21.415001516115101</v>
      </c>
      <c r="E1265">
        <v>1</v>
      </c>
      <c r="F1265">
        <v>2997</v>
      </c>
      <c r="G1265">
        <v>3</v>
      </c>
      <c r="H1265">
        <v>2</v>
      </c>
      <c r="I1265">
        <v>1957</v>
      </c>
      <c r="J1265">
        <v>1</v>
      </c>
      <c r="K1265">
        <v>1</v>
      </c>
      <c r="L1265">
        <v>1</v>
      </c>
      <c r="M1265">
        <v>14</v>
      </c>
      <c r="N1265" t="s">
        <v>37</v>
      </c>
      <c r="O1265" t="s">
        <v>27</v>
      </c>
      <c r="P1265">
        <v>2.7547484720440099</v>
      </c>
      <c r="Q1265">
        <v>0.94208583249859401</v>
      </c>
      <c r="R1265">
        <v>6.0880376838215504</v>
      </c>
      <c r="S1265">
        <v>110</v>
      </c>
      <c r="T1265">
        <v>33</v>
      </c>
      <c r="U1265">
        <v>359.21411866485499</v>
      </c>
      <c r="V1265">
        <v>4.6713380046713299E-3</v>
      </c>
      <c r="W1265">
        <v>1371949.69147105</v>
      </c>
      <c r="X1265" t="s">
        <v>31</v>
      </c>
      <c r="Y1265">
        <f>1-712-967-8657</f>
        <v>-10335</v>
      </c>
    </row>
    <row r="1266" spans="1:25" x14ac:dyDescent="0.35">
      <c r="A1266">
        <v>38.5538924721846</v>
      </c>
      <c r="B1266">
        <v>-119.248514611668</v>
      </c>
      <c r="C1266" t="s">
        <v>29</v>
      </c>
      <c r="D1266">
        <v>9.4516461803917693</v>
      </c>
      <c r="E1266">
        <v>4</v>
      </c>
      <c r="F1266">
        <v>3031</v>
      </c>
      <c r="G1266">
        <v>1</v>
      </c>
      <c r="H1266">
        <v>2</v>
      </c>
      <c r="I1266">
        <v>1997</v>
      </c>
      <c r="J1266">
        <v>1</v>
      </c>
      <c r="K1266">
        <v>1</v>
      </c>
      <c r="L1266">
        <v>1</v>
      </c>
      <c r="M1266">
        <v>13</v>
      </c>
      <c r="N1266" t="s">
        <v>37</v>
      </c>
      <c r="O1266" t="s">
        <v>32</v>
      </c>
      <c r="P1266">
        <v>14.101646280105401</v>
      </c>
      <c r="Q1266">
        <v>2.3146251957718902</v>
      </c>
      <c r="R1266">
        <v>0.197817569340209</v>
      </c>
      <c r="S1266">
        <v>121</v>
      </c>
      <c r="T1266">
        <v>21</v>
      </c>
      <c r="U1266">
        <v>652.67367214972796</v>
      </c>
      <c r="V1266">
        <v>4.2890135268888099E-3</v>
      </c>
      <c r="W1266">
        <v>2322179.6778631699</v>
      </c>
      <c r="X1266" t="s">
        <v>42</v>
      </c>
      <c r="Y1266">
        <f>1-864-341-6843</f>
        <v>-8047</v>
      </c>
    </row>
    <row r="1267" spans="1:25" x14ac:dyDescent="0.35">
      <c r="A1267">
        <v>33.1282741571288</v>
      </c>
      <c r="B1267">
        <v>-120.538327919124</v>
      </c>
      <c r="C1267" t="s">
        <v>25</v>
      </c>
      <c r="D1267">
        <v>4.4990594975347102</v>
      </c>
      <c r="E1267">
        <v>9</v>
      </c>
      <c r="F1267">
        <v>2734</v>
      </c>
      <c r="G1267">
        <v>5</v>
      </c>
      <c r="H1267">
        <v>1</v>
      </c>
      <c r="I1267">
        <v>1982</v>
      </c>
      <c r="J1267">
        <v>0</v>
      </c>
      <c r="K1267">
        <v>1</v>
      </c>
      <c r="L1267">
        <v>1</v>
      </c>
      <c r="M1267">
        <v>9</v>
      </c>
      <c r="N1267" t="s">
        <v>37</v>
      </c>
      <c r="O1267" t="s">
        <v>27</v>
      </c>
      <c r="P1267">
        <v>5.17660912472736</v>
      </c>
      <c r="Q1267">
        <v>2.1533473637457199</v>
      </c>
      <c r="R1267">
        <v>9.2905483568948792</v>
      </c>
      <c r="S1267">
        <v>167</v>
      </c>
      <c r="T1267">
        <v>72</v>
      </c>
      <c r="U1267">
        <v>971.99198629736998</v>
      </c>
      <c r="V1267">
        <v>3.29188002926115E-3</v>
      </c>
      <c r="W1267">
        <v>3007015.0687329601</v>
      </c>
      <c r="X1267" t="s">
        <v>36</v>
      </c>
      <c r="Y1267">
        <f>1-890-942-2484</f>
        <v>-4315</v>
      </c>
    </row>
    <row r="1268" spans="1:25" x14ac:dyDescent="0.35">
      <c r="A1268">
        <v>38.5716181045143</v>
      </c>
      <c r="B1268">
        <v>-115.516481800766</v>
      </c>
      <c r="C1268" t="s">
        <v>34</v>
      </c>
      <c r="D1268">
        <v>23.078136057903201</v>
      </c>
      <c r="E1268">
        <v>1</v>
      </c>
      <c r="F1268">
        <v>4207</v>
      </c>
      <c r="G1268">
        <v>1</v>
      </c>
      <c r="H1268">
        <v>3</v>
      </c>
      <c r="I1268">
        <v>1957</v>
      </c>
      <c r="J1268">
        <v>0</v>
      </c>
      <c r="K1268">
        <v>0</v>
      </c>
      <c r="L1268">
        <v>0</v>
      </c>
      <c r="M1268">
        <v>11</v>
      </c>
      <c r="N1268" t="s">
        <v>26</v>
      </c>
      <c r="O1268" t="s">
        <v>32</v>
      </c>
      <c r="P1268">
        <v>5.6661893891375499</v>
      </c>
      <c r="Q1268">
        <v>1.6150859949243901</v>
      </c>
      <c r="R1268">
        <v>6.5116464271322698</v>
      </c>
      <c r="S1268">
        <v>13</v>
      </c>
      <c r="T1268">
        <v>53</v>
      </c>
      <c r="U1268">
        <v>836.34676735351002</v>
      </c>
      <c r="V1268">
        <v>2.6146898027097601E-3</v>
      </c>
      <c r="W1268">
        <v>3542923.9938056502</v>
      </c>
      <c r="X1268" t="s">
        <v>33</v>
      </c>
      <c r="Y1268">
        <f>1-388-934-9262</f>
        <v>-10583</v>
      </c>
    </row>
    <row r="1269" spans="1:25" x14ac:dyDescent="0.35">
      <c r="A1269">
        <v>34.919244086712702</v>
      </c>
      <c r="B1269">
        <v>-115.14191320264599</v>
      </c>
      <c r="C1269" t="s">
        <v>29</v>
      </c>
      <c r="D1269">
        <v>28.192900132695399</v>
      </c>
      <c r="E1269">
        <v>1</v>
      </c>
      <c r="F1269">
        <v>3025</v>
      </c>
      <c r="G1269">
        <v>3</v>
      </c>
      <c r="H1269">
        <v>1</v>
      </c>
      <c r="I1269">
        <v>2013</v>
      </c>
      <c r="J1269">
        <v>0</v>
      </c>
      <c r="K1269">
        <v>1</v>
      </c>
      <c r="L1269">
        <v>0</v>
      </c>
      <c r="M1269">
        <v>5</v>
      </c>
      <c r="N1269" t="s">
        <v>35</v>
      </c>
      <c r="O1269" t="s">
        <v>30</v>
      </c>
      <c r="P1269">
        <v>6.41070579328027</v>
      </c>
      <c r="Q1269">
        <v>1.3284137830095899</v>
      </c>
      <c r="R1269">
        <v>2.9008275670657699</v>
      </c>
      <c r="S1269">
        <v>45</v>
      </c>
      <c r="T1269">
        <v>28</v>
      </c>
      <c r="U1269">
        <v>413.59196545785699</v>
      </c>
      <c r="V1269">
        <v>1.6528925619834699E-3</v>
      </c>
      <c r="W1269">
        <v>1515263.46364205</v>
      </c>
      <c r="X1269" t="s">
        <v>28</v>
      </c>
      <c r="Y1269">
        <f>1-688-935-7973</f>
        <v>-9595</v>
      </c>
    </row>
    <row r="1270" spans="1:25" x14ac:dyDescent="0.35">
      <c r="A1270">
        <v>38.826575726675898</v>
      </c>
      <c r="B1270">
        <v>-120.195628696694</v>
      </c>
      <c r="C1270" t="s">
        <v>25</v>
      </c>
      <c r="D1270">
        <v>45.270380434198302</v>
      </c>
      <c r="E1270">
        <v>9</v>
      </c>
      <c r="F1270">
        <v>2524</v>
      </c>
      <c r="G1270">
        <v>3</v>
      </c>
      <c r="H1270">
        <v>2</v>
      </c>
      <c r="I1270">
        <v>1964</v>
      </c>
      <c r="J1270">
        <v>1</v>
      </c>
      <c r="K1270">
        <v>0</v>
      </c>
      <c r="L1270">
        <v>0</v>
      </c>
      <c r="M1270">
        <v>9</v>
      </c>
      <c r="N1270" t="s">
        <v>26</v>
      </c>
      <c r="O1270" t="s">
        <v>32</v>
      </c>
      <c r="P1270">
        <v>4.8841369060244597</v>
      </c>
      <c r="Q1270">
        <v>2.3493971129309701</v>
      </c>
      <c r="R1270">
        <v>0.7843699465906</v>
      </c>
      <c r="S1270">
        <v>177</v>
      </c>
      <c r="T1270">
        <v>65</v>
      </c>
      <c r="U1270">
        <v>782.60950659060404</v>
      </c>
      <c r="V1270">
        <v>3.5657686212361298E-3</v>
      </c>
      <c r="W1270">
        <v>2157807.4766093502</v>
      </c>
      <c r="X1270" t="s">
        <v>39</v>
      </c>
      <c r="Y1270">
        <f>1-558-392-6909</f>
        <v>-7858</v>
      </c>
    </row>
    <row r="1271" spans="1:25" x14ac:dyDescent="0.35">
      <c r="A1271">
        <v>36.249039575422103</v>
      </c>
      <c r="B1271">
        <v>-116.227733495938</v>
      </c>
      <c r="C1271" t="s">
        <v>25</v>
      </c>
      <c r="D1271">
        <v>46.843411858009297</v>
      </c>
      <c r="E1271">
        <v>8</v>
      </c>
      <c r="F1271">
        <v>3393</v>
      </c>
      <c r="G1271">
        <v>2</v>
      </c>
      <c r="H1271">
        <v>2</v>
      </c>
      <c r="I1271">
        <v>1964</v>
      </c>
      <c r="J1271">
        <v>0</v>
      </c>
      <c r="K1271">
        <v>0</v>
      </c>
      <c r="L1271">
        <v>0</v>
      </c>
      <c r="M1271">
        <v>5</v>
      </c>
      <c r="N1271" t="s">
        <v>41</v>
      </c>
      <c r="O1271" t="s">
        <v>27</v>
      </c>
      <c r="P1271">
        <v>5.82567530792564</v>
      </c>
      <c r="Q1271">
        <v>0.57178093182609901</v>
      </c>
      <c r="R1271">
        <v>7.7453515729491196</v>
      </c>
      <c r="S1271">
        <v>163</v>
      </c>
      <c r="T1271">
        <v>57</v>
      </c>
      <c r="U1271">
        <v>403.740787230308</v>
      </c>
      <c r="V1271">
        <v>1.47362216327733E-3</v>
      </c>
      <c r="W1271">
        <v>1454134.3468510001</v>
      </c>
      <c r="X1271" t="s">
        <v>31</v>
      </c>
      <c r="Y1271">
        <f>1-491-140-1167</f>
        <v>-1797</v>
      </c>
    </row>
    <row r="1272" spans="1:25" x14ac:dyDescent="0.35">
      <c r="A1272">
        <v>39.559848228518</v>
      </c>
      <c r="B1272">
        <v>-116.80496895338599</v>
      </c>
      <c r="C1272" t="s">
        <v>25</v>
      </c>
      <c r="D1272">
        <v>19.385765673775399</v>
      </c>
      <c r="E1272">
        <v>9</v>
      </c>
      <c r="F1272">
        <v>4721</v>
      </c>
      <c r="G1272">
        <v>1</v>
      </c>
      <c r="H1272">
        <v>3</v>
      </c>
      <c r="I1272">
        <v>1961</v>
      </c>
      <c r="J1272">
        <v>1</v>
      </c>
      <c r="K1272">
        <v>1</v>
      </c>
      <c r="L1272">
        <v>0</v>
      </c>
      <c r="M1272">
        <v>9</v>
      </c>
      <c r="N1272" t="s">
        <v>41</v>
      </c>
      <c r="O1272" t="s">
        <v>30</v>
      </c>
      <c r="P1272">
        <v>13.7653485765232</v>
      </c>
      <c r="Q1272">
        <v>0.79088924551626605</v>
      </c>
      <c r="R1272">
        <v>3.0609328022890598</v>
      </c>
      <c r="S1272">
        <v>83</v>
      </c>
      <c r="T1272">
        <v>40</v>
      </c>
      <c r="U1272">
        <v>897.16821379145301</v>
      </c>
      <c r="V1272">
        <v>1.9063757678457901E-3</v>
      </c>
      <c r="W1272">
        <v>4636769.7529466702</v>
      </c>
      <c r="X1272" t="s">
        <v>36</v>
      </c>
      <c r="Y1272">
        <f>1-377-792-9412</f>
        <v>-10580</v>
      </c>
    </row>
    <row r="1273" spans="1:25" x14ac:dyDescent="0.35">
      <c r="A1273">
        <v>35.034388099753301</v>
      </c>
      <c r="B1273">
        <v>-115.381658595959</v>
      </c>
      <c r="C1273" t="s">
        <v>29</v>
      </c>
      <c r="D1273">
        <v>19.354106541560299</v>
      </c>
      <c r="E1273">
        <v>8</v>
      </c>
      <c r="F1273">
        <v>3525</v>
      </c>
      <c r="G1273">
        <v>2</v>
      </c>
      <c r="H1273">
        <v>2</v>
      </c>
      <c r="I1273">
        <v>2019</v>
      </c>
      <c r="J1273">
        <v>1</v>
      </c>
      <c r="K1273">
        <v>1</v>
      </c>
      <c r="L1273">
        <v>1</v>
      </c>
      <c r="M1273">
        <v>11</v>
      </c>
      <c r="N1273" t="s">
        <v>26</v>
      </c>
      <c r="O1273" t="s">
        <v>32</v>
      </c>
      <c r="P1273">
        <v>9.4841832856676103</v>
      </c>
      <c r="Q1273">
        <v>0.61438706776823204</v>
      </c>
      <c r="R1273">
        <v>9.8318386842608891</v>
      </c>
      <c r="S1273">
        <v>140</v>
      </c>
      <c r="T1273">
        <v>33</v>
      </c>
      <c r="U1273">
        <v>213.97484200322199</v>
      </c>
      <c r="V1273">
        <v>3.1205673758865201E-3</v>
      </c>
      <c r="W1273">
        <v>1175650.22749814</v>
      </c>
      <c r="X1273" t="s">
        <v>42</v>
      </c>
      <c r="Y1273">
        <f>1-256-381-8497</f>
        <v>-9133</v>
      </c>
    </row>
    <row r="1274" spans="1:25" x14ac:dyDescent="0.35">
      <c r="A1274">
        <v>37.871819325179601</v>
      </c>
      <c r="B1274">
        <v>-114.948160499791</v>
      </c>
      <c r="C1274" t="s">
        <v>29</v>
      </c>
      <c r="D1274">
        <v>13.265507357065401</v>
      </c>
      <c r="E1274">
        <v>2</v>
      </c>
      <c r="F1274">
        <v>2903</v>
      </c>
      <c r="G1274">
        <v>4</v>
      </c>
      <c r="H1274">
        <v>1</v>
      </c>
      <c r="I1274">
        <v>1999</v>
      </c>
      <c r="J1274">
        <v>0</v>
      </c>
      <c r="K1274">
        <v>1</v>
      </c>
      <c r="L1274">
        <v>1</v>
      </c>
      <c r="M1274">
        <v>7</v>
      </c>
      <c r="N1274" t="s">
        <v>26</v>
      </c>
      <c r="O1274" t="s">
        <v>32</v>
      </c>
      <c r="P1274">
        <v>9.5354810879818892</v>
      </c>
      <c r="Q1274">
        <v>1.74980486974489</v>
      </c>
      <c r="R1274">
        <v>9.2553471180307199</v>
      </c>
      <c r="S1274">
        <v>166</v>
      </c>
      <c r="T1274">
        <v>28</v>
      </c>
      <c r="U1274">
        <v>232.26715297703001</v>
      </c>
      <c r="V1274">
        <v>2.4112986565621702E-3</v>
      </c>
      <c r="W1274">
        <v>975298.93075565901</v>
      </c>
      <c r="X1274" t="s">
        <v>38</v>
      </c>
      <c r="Y1274">
        <f>1-775-152-2644</f>
        <v>-3570</v>
      </c>
    </row>
    <row r="1275" spans="1:25" x14ac:dyDescent="0.35">
      <c r="A1275">
        <v>35.355498967580303</v>
      </c>
      <c r="B1275">
        <v>-118.440048717091</v>
      </c>
      <c r="C1275" t="s">
        <v>25</v>
      </c>
      <c r="D1275">
        <v>46.602533848579398</v>
      </c>
      <c r="E1275">
        <v>1</v>
      </c>
      <c r="F1275">
        <v>644</v>
      </c>
      <c r="G1275">
        <v>1</v>
      </c>
      <c r="H1275">
        <v>2</v>
      </c>
      <c r="I1275">
        <v>1965</v>
      </c>
      <c r="J1275">
        <v>1</v>
      </c>
      <c r="K1275">
        <v>1</v>
      </c>
      <c r="L1275">
        <v>1</v>
      </c>
      <c r="M1275">
        <v>9</v>
      </c>
      <c r="N1275" t="s">
        <v>37</v>
      </c>
      <c r="O1275" t="s">
        <v>32</v>
      </c>
      <c r="P1275">
        <v>11.654803010799</v>
      </c>
      <c r="Q1275">
        <v>1.1939422453017099</v>
      </c>
      <c r="R1275">
        <v>2.91959768000868</v>
      </c>
      <c r="S1275">
        <v>80</v>
      </c>
      <c r="T1275">
        <v>44</v>
      </c>
      <c r="U1275">
        <v>369.76604985826299</v>
      </c>
      <c r="V1275">
        <v>1.3975155279503101E-2</v>
      </c>
      <c r="W1275">
        <v>603562.56651629496</v>
      </c>
      <c r="X1275" t="s">
        <v>44</v>
      </c>
      <c r="Y1275">
        <f>1-667-648-9597</f>
        <v>-10911</v>
      </c>
    </row>
    <row r="1276" spans="1:25" x14ac:dyDescent="0.35">
      <c r="A1276">
        <v>32.7663736688149</v>
      </c>
      <c r="B1276">
        <v>-122.34559826155299</v>
      </c>
      <c r="C1276" t="s">
        <v>25</v>
      </c>
      <c r="D1276">
        <v>20.455268354603501</v>
      </c>
      <c r="E1276">
        <v>7</v>
      </c>
      <c r="F1276">
        <v>2853</v>
      </c>
      <c r="G1276">
        <v>2</v>
      </c>
      <c r="H1276">
        <v>3</v>
      </c>
      <c r="I1276">
        <v>1985</v>
      </c>
      <c r="J1276">
        <v>1</v>
      </c>
      <c r="K1276">
        <v>0</v>
      </c>
      <c r="L1276">
        <v>0</v>
      </c>
      <c r="M1276">
        <v>14</v>
      </c>
      <c r="N1276" t="s">
        <v>26</v>
      </c>
      <c r="O1276" t="s">
        <v>27</v>
      </c>
      <c r="P1276">
        <v>5.3775892275495201</v>
      </c>
      <c r="Q1276">
        <v>1.71420620277552</v>
      </c>
      <c r="R1276">
        <v>3.1325370013010398</v>
      </c>
      <c r="S1276">
        <v>79</v>
      </c>
      <c r="T1276">
        <v>22</v>
      </c>
      <c r="U1276">
        <v>781.22789519992295</v>
      </c>
      <c r="V1276">
        <v>4.9071153172099502E-3</v>
      </c>
      <c r="W1276">
        <v>2431953.6620660098</v>
      </c>
      <c r="X1276" t="s">
        <v>40</v>
      </c>
      <c r="Y1276">
        <f>1-909-584-3254</f>
        <v>-4746</v>
      </c>
    </row>
    <row r="1277" spans="1:25" x14ac:dyDescent="0.35">
      <c r="A1277">
        <v>36.518494422819202</v>
      </c>
      <c r="B1277">
        <v>-122.263465783043</v>
      </c>
      <c r="C1277" t="s">
        <v>25</v>
      </c>
      <c r="D1277">
        <v>40.5084362422052</v>
      </c>
      <c r="E1277">
        <v>2</v>
      </c>
      <c r="F1277">
        <v>1227</v>
      </c>
      <c r="G1277">
        <v>5</v>
      </c>
      <c r="H1277">
        <v>2</v>
      </c>
      <c r="I1277">
        <v>2011</v>
      </c>
      <c r="J1277">
        <v>0</v>
      </c>
      <c r="K1277">
        <v>0</v>
      </c>
      <c r="L1277">
        <v>0</v>
      </c>
      <c r="M1277">
        <v>3</v>
      </c>
      <c r="N1277" t="s">
        <v>35</v>
      </c>
      <c r="O1277" t="s">
        <v>32</v>
      </c>
      <c r="P1277">
        <v>13.273081256928901</v>
      </c>
      <c r="Q1277">
        <v>1.08809965074086</v>
      </c>
      <c r="R1277">
        <v>3.81613173905109</v>
      </c>
      <c r="S1277">
        <v>66</v>
      </c>
      <c r="T1277">
        <v>68</v>
      </c>
      <c r="U1277">
        <v>315.75361806632202</v>
      </c>
      <c r="V1277">
        <v>2.4449877750611199E-3</v>
      </c>
      <c r="W1277">
        <v>745034.13586658996</v>
      </c>
      <c r="X1277" t="s">
        <v>38</v>
      </c>
      <c r="Y1277">
        <f>1-260-285-3017</f>
        <v>-3561</v>
      </c>
    </row>
    <row r="1278" spans="1:25" x14ac:dyDescent="0.35">
      <c r="A1278">
        <v>40.860872622585099</v>
      </c>
      <c r="B1278">
        <v>-114.826669716178</v>
      </c>
      <c r="C1278" t="s">
        <v>25</v>
      </c>
      <c r="D1278">
        <v>1.7770615707820401</v>
      </c>
      <c r="E1278">
        <v>6</v>
      </c>
      <c r="F1278">
        <v>1105</v>
      </c>
      <c r="G1278">
        <v>1</v>
      </c>
      <c r="H1278">
        <v>2</v>
      </c>
      <c r="I1278">
        <v>1980</v>
      </c>
      <c r="J1278">
        <v>1</v>
      </c>
      <c r="K1278">
        <v>0</v>
      </c>
      <c r="L1278">
        <v>0</v>
      </c>
      <c r="M1278">
        <v>8</v>
      </c>
      <c r="N1278" t="s">
        <v>37</v>
      </c>
      <c r="O1278" t="s">
        <v>27</v>
      </c>
      <c r="P1278">
        <v>6.5219268427824701</v>
      </c>
      <c r="Q1278">
        <v>0.94995991089461795</v>
      </c>
      <c r="R1278">
        <v>7.0520265239325504</v>
      </c>
      <c r="S1278">
        <v>147</v>
      </c>
      <c r="T1278">
        <v>60</v>
      </c>
      <c r="U1278">
        <v>447.59880328040799</v>
      </c>
      <c r="V1278">
        <v>7.2398190045248802E-3</v>
      </c>
      <c r="W1278">
        <v>484982.01008675899</v>
      </c>
      <c r="X1278" t="s">
        <v>43</v>
      </c>
      <c r="Y1278">
        <f>1-437-973-1147</f>
        <v>-2556</v>
      </c>
    </row>
    <row r="1279" spans="1:25" x14ac:dyDescent="0.35">
      <c r="A1279">
        <v>38.854523114406298</v>
      </c>
      <c r="B1279">
        <v>-118.837562006765</v>
      </c>
      <c r="C1279" t="s">
        <v>34</v>
      </c>
      <c r="D1279">
        <v>20.9045084123129</v>
      </c>
      <c r="E1279">
        <v>8</v>
      </c>
      <c r="F1279">
        <v>1685</v>
      </c>
      <c r="G1279">
        <v>5</v>
      </c>
      <c r="H1279">
        <v>2</v>
      </c>
      <c r="I1279">
        <v>2012</v>
      </c>
      <c r="J1279">
        <v>1</v>
      </c>
      <c r="K1279">
        <v>0</v>
      </c>
      <c r="L1279">
        <v>0</v>
      </c>
      <c r="M1279">
        <v>4</v>
      </c>
      <c r="N1279" t="s">
        <v>35</v>
      </c>
      <c r="O1279" t="s">
        <v>32</v>
      </c>
      <c r="P1279">
        <v>9.1821595951357793</v>
      </c>
      <c r="Q1279">
        <v>0.82692733209046099</v>
      </c>
      <c r="R1279">
        <v>9.2184373356206901</v>
      </c>
      <c r="S1279">
        <v>188</v>
      </c>
      <c r="T1279">
        <v>35</v>
      </c>
      <c r="U1279">
        <v>787.64999065689096</v>
      </c>
      <c r="V1279">
        <v>2.37388724035608E-3</v>
      </c>
      <c r="W1279">
        <v>1660226.82620895</v>
      </c>
      <c r="X1279" t="s">
        <v>39</v>
      </c>
      <c r="Y1279">
        <f>1-628-391-7348</f>
        <v>-8366</v>
      </c>
    </row>
    <row r="1280" spans="1:25" x14ac:dyDescent="0.35">
      <c r="A1280">
        <v>35.492189938688902</v>
      </c>
      <c r="B1280">
        <v>-117.27955232549</v>
      </c>
      <c r="C1280" t="s">
        <v>34</v>
      </c>
      <c r="D1280">
        <v>16.139793084885302</v>
      </c>
      <c r="E1280">
        <v>9</v>
      </c>
      <c r="F1280">
        <v>2436</v>
      </c>
      <c r="G1280">
        <v>1</v>
      </c>
      <c r="H1280">
        <v>3</v>
      </c>
      <c r="I1280">
        <v>2008</v>
      </c>
      <c r="J1280">
        <v>0</v>
      </c>
      <c r="K1280">
        <v>0</v>
      </c>
      <c r="L1280">
        <v>1</v>
      </c>
      <c r="M1280">
        <v>14</v>
      </c>
      <c r="N1280" t="s">
        <v>35</v>
      </c>
      <c r="O1280" t="s">
        <v>30</v>
      </c>
      <c r="P1280">
        <v>14.5047842468298</v>
      </c>
      <c r="Q1280">
        <v>1.99525515902505</v>
      </c>
      <c r="R1280">
        <v>3.3057993894496098</v>
      </c>
      <c r="S1280">
        <v>12</v>
      </c>
      <c r="T1280">
        <v>51</v>
      </c>
      <c r="U1280">
        <v>829.56599806039003</v>
      </c>
      <c r="V1280">
        <v>5.7471264367815996E-3</v>
      </c>
      <c r="W1280">
        <v>2309771.1395067</v>
      </c>
      <c r="X1280" t="s">
        <v>31</v>
      </c>
      <c r="Y1280">
        <f>1-223-332-8256</f>
        <v>-8810</v>
      </c>
    </row>
    <row r="1281" spans="1:25" x14ac:dyDescent="0.35">
      <c r="A1281">
        <v>39.3521142587974</v>
      </c>
      <c r="B1281">
        <v>-122.01018018638</v>
      </c>
      <c r="C1281" t="s">
        <v>25</v>
      </c>
      <c r="D1281">
        <v>6.8108389352923897</v>
      </c>
      <c r="E1281">
        <v>6</v>
      </c>
      <c r="F1281">
        <v>3130</v>
      </c>
      <c r="G1281">
        <v>3</v>
      </c>
      <c r="H1281">
        <v>3</v>
      </c>
      <c r="I1281">
        <v>2006</v>
      </c>
      <c r="J1281">
        <v>0</v>
      </c>
      <c r="K1281">
        <v>0</v>
      </c>
      <c r="L1281">
        <v>0</v>
      </c>
      <c r="M1281">
        <v>9</v>
      </c>
      <c r="N1281" t="s">
        <v>41</v>
      </c>
      <c r="O1281" t="s">
        <v>32</v>
      </c>
      <c r="P1281">
        <v>14.934185543507899</v>
      </c>
      <c r="Q1281">
        <v>1.5607605299598599</v>
      </c>
      <c r="R1281">
        <v>2.5206760331901799</v>
      </c>
      <c r="S1281">
        <v>1</v>
      </c>
      <c r="T1281">
        <v>24</v>
      </c>
      <c r="U1281">
        <v>317.76928966926999</v>
      </c>
      <c r="V1281">
        <v>2.8753993610223598E-3</v>
      </c>
      <c r="W1281">
        <v>1310826.4678072201</v>
      </c>
      <c r="X1281" t="s">
        <v>31</v>
      </c>
      <c r="Y1281">
        <f>1-235-127-6474</f>
        <v>-6835</v>
      </c>
    </row>
    <row r="1282" spans="1:25" x14ac:dyDescent="0.35">
      <c r="A1282">
        <v>37.474379801479301</v>
      </c>
      <c r="B1282">
        <v>-116.261219294046</v>
      </c>
      <c r="C1282" t="s">
        <v>29</v>
      </c>
      <c r="D1282">
        <v>23.741866252023001</v>
      </c>
      <c r="E1282">
        <v>9</v>
      </c>
      <c r="F1282">
        <v>1200</v>
      </c>
      <c r="G1282">
        <v>5</v>
      </c>
      <c r="H1282">
        <v>1</v>
      </c>
      <c r="I1282">
        <v>1997</v>
      </c>
      <c r="J1282">
        <v>1</v>
      </c>
      <c r="K1282">
        <v>0</v>
      </c>
      <c r="L1282">
        <v>0</v>
      </c>
      <c r="M1282">
        <v>5</v>
      </c>
      <c r="N1282" t="s">
        <v>35</v>
      </c>
      <c r="O1282" t="s">
        <v>30</v>
      </c>
      <c r="P1282">
        <v>6.7262377064842704</v>
      </c>
      <c r="Q1282">
        <v>1.1731406962631501</v>
      </c>
      <c r="R1282">
        <v>1.73843890695738</v>
      </c>
      <c r="S1282">
        <v>82</v>
      </c>
      <c r="T1282">
        <v>34</v>
      </c>
      <c r="U1282">
        <v>945.94858285415103</v>
      </c>
      <c r="V1282">
        <v>4.1666666666666597E-3</v>
      </c>
      <c r="W1282">
        <v>1482222.76866747</v>
      </c>
      <c r="X1282" t="s">
        <v>38</v>
      </c>
      <c r="Y1282">
        <f>1-845-788-4729</f>
        <v>-6361</v>
      </c>
    </row>
    <row r="1283" spans="1:25" x14ac:dyDescent="0.35">
      <c r="A1283">
        <v>40.123216310193001</v>
      </c>
      <c r="B1283">
        <v>-122.358308796901</v>
      </c>
      <c r="C1283" t="s">
        <v>34</v>
      </c>
      <c r="D1283">
        <v>39.397072525410898</v>
      </c>
      <c r="E1283">
        <v>7</v>
      </c>
      <c r="F1283">
        <v>2619</v>
      </c>
      <c r="G1283">
        <v>2</v>
      </c>
      <c r="H1283">
        <v>3</v>
      </c>
      <c r="I1283">
        <v>1973</v>
      </c>
      <c r="J1283">
        <v>0</v>
      </c>
      <c r="K1283">
        <v>1</v>
      </c>
      <c r="L1283">
        <v>0</v>
      </c>
      <c r="M1283">
        <v>10</v>
      </c>
      <c r="N1283" t="s">
        <v>35</v>
      </c>
      <c r="O1283" t="s">
        <v>32</v>
      </c>
      <c r="P1283">
        <v>8.5572839706194195</v>
      </c>
      <c r="Q1283">
        <v>2.2657417556040702</v>
      </c>
      <c r="R1283">
        <v>9.8610683993505006</v>
      </c>
      <c r="S1283">
        <v>173</v>
      </c>
      <c r="T1283">
        <v>73</v>
      </c>
      <c r="U1283">
        <v>749.95675433153701</v>
      </c>
      <c r="V1283">
        <v>3.81825124093165E-3</v>
      </c>
      <c r="W1283">
        <v>2168520.5061654402</v>
      </c>
      <c r="X1283" t="s">
        <v>33</v>
      </c>
      <c r="Y1283">
        <f>1-917-292-3837</f>
        <v>-5045</v>
      </c>
    </row>
    <row r="1284" spans="1:25" x14ac:dyDescent="0.35">
      <c r="A1284">
        <v>37.333173708288498</v>
      </c>
      <c r="B1284">
        <v>-120.26808906242201</v>
      </c>
      <c r="C1284" t="s">
        <v>34</v>
      </c>
      <c r="D1284">
        <v>31.857573421889601</v>
      </c>
      <c r="E1284">
        <v>8</v>
      </c>
      <c r="F1284">
        <v>1921</v>
      </c>
      <c r="G1284">
        <v>1</v>
      </c>
      <c r="H1284">
        <v>2</v>
      </c>
      <c r="I1284">
        <v>1971</v>
      </c>
      <c r="J1284">
        <v>0</v>
      </c>
      <c r="K1284">
        <v>1</v>
      </c>
      <c r="L1284">
        <v>0</v>
      </c>
      <c r="M1284">
        <v>11</v>
      </c>
      <c r="N1284" t="s">
        <v>35</v>
      </c>
      <c r="O1284" t="s">
        <v>30</v>
      </c>
      <c r="P1284">
        <v>14.9324669972997</v>
      </c>
      <c r="Q1284">
        <v>1.62440519404932</v>
      </c>
      <c r="R1284">
        <v>4.4636972845798804</v>
      </c>
      <c r="S1284">
        <v>197</v>
      </c>
      <c r="T1284">
        <v>26</v>
      </c>
      <c r="U1284">
        <v>517.57891496280604</v>
      </c>
      <c r="V1284">
        <v>5.7261842790213404E-3</v>
      </c>
      <c r="W1284">
        <v>1199632.3812386</v>
      </c>
      <c r="X1284" t="s">
        <v>28</v>
      </c>
      <c r="Y1284">
        <f>1-644-193-3010</f>
        <v>-3846</v>
      </c>
    </row>
    <row r="1285" spans="1:25" x14ac:dyDescent="0.35">
      <c r="A1285">
        <v>38.882625074527702</v>
      </c>
      <c r="B1285">
        <v>-115.981423066057</v>
      </c>
      <c r="C1285" t="s">
        <v>29</v>
      </c>
      <c r="D1285">
        <v>43.784951444269403</v>
      </c>
      <c r="E1285">
        <v>6</v>
      </c>
      <c r="F1285">
        <v>2042</v>
      </c>
      <c r="G1285">
        <v>1</v>
      </c>
      <c r="H1285">
        <v>1</v>
      </c>
      <c r="I1285">
        <v>1993</v>
      </c>
      <c r="J1285">
        <v>1</v>
      </c>
      <c r="K1285">
        <v>0</v>
      </c>
      <c r="L1285">
        <v>1</v>
      </c>
      <c r="M1285">
        <v>4</v>
      </c>
      <c r="N1285" t="s">
        <v>41</v>
      </c>
      <c r="O1285" t="s">
        <v>27</v>
      </c>
      <c r="P1285">
        <v>9.5984033635141</v>
      </c>
      <c r="Q1285">
        <v>1.24262144442622</v>
      </c>
      <c r="R1285">
        <v>3.9319901156311299</v>
      </c>
      <c r="S1285">
        <v>7</v>
      </c>
      <c r="T1285">
        <v>24</v>
      </c>
      <c r="U1285">
        <v>422.854647201364</v>
      </c>
      <c r="V1285">
        <v>1.9588638589618E-3</v>
      </c>
      <c r="W1285">
        <v>1013858.74535707</v>
      </c>
      <c r="X1285" t="s">
        <v>33</v>
      </c>
      <c r="Y1285">
        <f>1-496-848-8157</f>
        <v>-9500</v>
      </c>
    </row>
    <row r="1286" spans="1:25" x14ac:dyDescent="0.35">
      <c r="A1286">
        <v>39.508355100579102</v>
      </c>
      <c r="B1286">
        <v>-117.46573314992099</v>
      </c>
      <c r="C1286" t="s">
        <v>25</v>
      </c>
      <c r="D1286">
        <v>9.4449404350277195</v>
      </c>
      <c r="E1286">
        <v>0</v>
      </c>
      <c r="F1286">
        <v>2282</v>
      </c>
      <c r="G1286">
        <v>5</v>
      </c>
      <c r="H1286">
        <v>2</v>
      </c>
      <c r="I1286">
        <v>1983</v>
      </c>
      <c r="J1286">
        <v>0</v>
      </c>
      <c r="K1286">
        <v>1</v>
      </c>
      <c r="L1286">
        <v>1</v>
      </c>
      <c r="M1286">
        <v>6</v>
      </c>
      <c r="N1286" t="s">
        <v>26</v>
      </c>
      <c r="O1286" t="s">
        <v>30</v>
      </c>
      <c r="P1286">
        <v>14.9274621651179</v>
      </c>
      <c r="Q1286">
        <v>1.11515137249211</v>
      </c>
      <c r="R1286">
        <v>4.8182178285107096</v>
      </c>
      <c r="S1286">
        <v>104</v>
      </c>
      <c r="T1286">
        <v>53</v>
      </c>
      <c r="U1286">
        <v>226.17787948519299</v>
      </c>
      <c r="V1286">
        <v>2.62927256792287E-3</v>
      </c>
      <c r="W1286">
        <v>1035554.33820783</v>
      </c>
      <c r="X1286" t="s">
        <v>40</v>
      </c>
      <c r="Y1286">
        <f>1-324-464-2180</f>
        <v>-2967</v>
      </c>
    </row>
    <row r="1287" spans="1:25" x14ac:dyDescent="0.35">
      <c r="A1287">
        <v>32.677832518983898</v>
      </c>
      <c r="B1287">
        <v>-118.267076000884</v>
      </c>
      <c r="C1287" t="s">
        <v>25</v>
      </c>
      <c r="D1287">
        <v>16.513721221225801</v>
      </c>
      <c r="E1287">
        <v>7</v>
      </c>
      <c r="F1287">
        <v>2623</v>
      </c>
      <c r="G1287">
        <v>5</v>
      </c>
      <c r="H1287">
        <v>2</v>
      </c>
      <c r="I1287">
        <v>1999</v>
      </c>
      <c r="J1287">
        <v>1</v>
      </c>
      <c r="K1287">
        <v>1</v>
      </c>
      <c r="L1287">
        <v>0</v>
      </c>
      <c r="M1287">
        <v>6</v>
      </c>
      <c r="N1287" t="s">
        <v>41</v>
      </c>
      <c r="O1287" t="s">
        <v>32</v>
      </c>
      <c r="P1287">
        <v>11.3248015019487</v>
      </c>
      <c r="Q1287">
        <v>0.60908474372855204</v>
      </c>
      <c r="R1287">
        <v>7.8819340314120199</v>
      </c>
      <c r="S1287">
        <v>4</v>
      </c>
      <c r="T1287">
        <v>70</v>
      </c>
      <c r="U1287">
        <v>620.30141031841003</v>
      </c>
      <c r="V1287">
        <v>2.2874571101791801E-3</v>
      </c>
      <c r="W1287">
        <v>2136343.58067674</v>
      </c>
      <c r="X1287" t="s">
        <v>28</v>
      </c>
      <c r="Y1287">
        <f>1-882-601-9379</f>
        <v>-10861</v>
      </c>
    </row>
    <row r="1288" spans="1:25" x14ac:dyDescent="0.35">
      <c r="A1288">
        <v>34.337894052040099</v>
      </c>
      <c r="B1288">
        <v>-122.678614816734</v>
      </c>
      <c r="C1288" t="s">
        <v>34</v>
      </c>
      <c r="D1288">
        <v>42.6042262284776</v>
      </c>
      <c r="E1288">
        <v>9</v>
      </c>
      <c r="F1288">
        <v>3928</v>
      </c>
      <c r="G1288">
        <v>4</v>
      </c>
      <c r="H1288">
        <v>1</v>
      </c>
      <c r="I1288">
        <v>1952</v>
      </c>
      <c r="J1288">
        <v>1</v>
      </c>
      <c r="K1288">
        <v>1</v>
      </c>
      <c r="L1288">
        <v>1</v>
      </c>
      <c r="M1288">
        <v>8</v>
      </c>
      <c r="N1288" t="s">
        <v>26</v>
      </c>
      <c r="O1288" t="s">
        <v>32</v>
      </c>
      <c r="P1288">
        <v>4.1870595372271602</v>
      </c>
      <c r="Q1288">
        <v>0.89016598107697897</v>
      </c>
      <c r="R1288">
        <v>5.8999394957989901</v>
      </c>
      <c r="S1288">
        <v>27</v>
      </c>
      <c r="T1288">
        <v>63</v>
      </c>
      <c r="U1288">
        <v>992.01424052075595</v>
      </c>
      <c r="V1288">
        <v>2.0366598778004002E-3</v>
      </c>
      <c r="W1288">
        <v>4177174.0833327998</v>
      </c>
      <c r="X1288" t="s">
        <v>43</v>
      </c>
      <c r="Y1288">
        <f>1-712-973-3100</f>
        <v>-4784</v>
      </c>
    </row>
    <row r="1289" spans="1:25" x14ac:dyDescent="0.35">
      <c r="A1289">
        <v>37.400646603765203</v>
      </c>
      <c r="B1289">
        <v>-123.062418536716</v>
      </c>
      <c r="C1289" t="s">
        <v>25</v>
      </c>
      <c r="D1289">
        <v>35.834574260947498</v>
      </c>
      <c r="E1289">
        <v>0</v>
      </c>
      <c r="F1289">
        <v>2876</v>
      </c>
      <c r="G1289">
        <v>2</v>
      </c>
      <c r="H1289">
        <v>3</v>
      </c>
      <c r="I1289">
        <v>1996</v>
      </c>
      <c r="J1289">
        <v>0</v>
      </c>
      <c r="K1289">
        <v>1</v>
      </c>
      <c r="L1289">
        <v>1</v>
      </c>
      <c r="M1289">
        <v>14</v>
      </c>
      <c r="N1289" t="s">
        <v>26</v>
      </c>
      <c r="O1289" t="s">
        <v>30</v>
      </c>
      <c r="P1289">
        <v>2.7288971057734899</v>
      </c>
      <c r="Q1289">
        <v>1.8274647234214201</v>
      </c>
      <c r="R1289">
        <v>7.7133140668895903</v>
      </c>
      <c r="S1289">
        <v>170</v>
      </c>
      <c r="T1289">
        <v>49</v>
      </c>
      <c r="U1289">
        <v>495.88714936544397</v>
      </c>
      <c r="V1289">
        <v>4.8678720445062499E-3</v>
      </c>
      <c r="W1289">
        <v>1728468.7869380401</v>
      </c>
      <c r="X1289" t="s">
        <v>42</v>
      </c>
      <c r="Y1289">
        <f>1-638-161-6946</f>
        <v>-7744</v>
      </c>
    </row>
    <row r="1290" spans="1:25" x14ac:dyDescent="0.35">
      <c r="A1290">
        <v>36.645512891531702</v>
      </c>
      <c r="B1290">
        <v>-121.887232510833</v>
      </c>
      <c r="C1290" t="s">
        <v>29</v>
      </c>
      <c r="D1290">
        <v>40.235939517833899</v>
      </c>
      <c r="E1290">
        <v>7</v>
      </c>
      <c r="F1290">
        <v>3034</v>
      </c>
      <c r="G1290">
        <v>1</v>
      </c>
      <c r="H1290">
        <v>2</v>
      </c>
      <c r="I1290">
        <v>1973</v>
      </c>
      <c r="J1290">
        <v>1</v>
      </c>
      <c r="K1290">
        <v>0</v>
      </c>
      <c r="L1290">
        <v>1</v>
      </c>
      <c r="M1290">
        <v>4</v>
      </c>
      <c r="N1290" t="s">
        <v>35</v>
      </c>
      <c r="O1290" t="s">
        <v>32</v>
      </c>
      <c r="P1290">
        <v>13.257707248546399</v>
      </c>
      <c r="Q1290">
        <v>1.16731258367219</v>
      </c>
      <c r="R1290">
        <v>4.3766944893255904</v>
      </c>
      <c r="S1290">
        <v>178</v>
      </c>
      <c r="T1290">
        <v>29</v>
      </c>
      <c r="U1290">
        <v>570.37081898782696</v>
      </c>
      <c r="V1290">
        <v>1.3183915622939999E-3</v>
      </c>
      <c r="W1290">
        <v>1846706.6660275699</v>
      </c>
      <c r="X1290" t="s">
        <v>44</v>
      </c>
      <c r="Y1290">
        <f>1-983-198-1842</f>
        <v>-3022</v>
      </c>
    </row>
    <row r="1291" spans="1:25" x14ac:dyDescent="0.35">
      <c r="A1291">
        <v>40.620385006101898</v>
      </c>
      <c r="B1291">
        <v>-114.283706799092</v>
      </c>
      <c r="C1291" t="s">
        <v>34</v>
      </c>
      <c r="D1291">
        <v>49.475344448939403</v>
      </c>
      <c r="E1291">
        <v>8</v>
      </c>
      <c r="F1291">
        <v>1555</v>
      </c>
      <c r="G1291">
        <v>5</v>
      </c>
      <c r="H1291">
        <v>1</v>
      </c>
      <c r="I1291">
        <v>1990</v>
      </c>
      <c r="J1291">
        <v>0</v>
      </c>
      <c r="K1291">
        <v>0</v>
      </c>
      <c r="L1291">
        <v>1</v>
      </c>
      <c r="M1291">
        <v>11</v>
      </c>
      <c r="N1291" t="s">
        <v>35</v>
      </c>
      <c r="O1291" t="s">
        <v>27</v>
      </c>
      <c r="P1291">
        <v>10.1053998793936</v>
      </c>
      <c r="Q1291">
        <v>1.21155926882896</v>
      </c>
      <c r="R1291">
        <v>9.2789771948926205</v>
      </c>
      <c r="S1291">
        <v>198</v>
      </c>
      <c r="T1291">
        <v>66</v>
      </c>
      <c r="U1291">
        <v>822.73872615662503</v>
      </c>
      <c r="V1291">
        <v>7.0739549839228298E-3</v>
      </c>
      <c r="W1291">
        <v>1537355.1346219699</v>
      </c>
      <c r="X1291" t="s">
        <v>39</v>
      </c>
      <c r="Y1291">
        <f>1-604-146-7092</f>
        <v>-7841</v>
      </c>
    </row>
    <row r="1292" spans="1:25" x14ac:dyDescent="0.35">
      <c r="A1292">
        <v>39.235444362399399</v>
      </c>
      <c r="B1292">
        <v>-116.17638400724699</v>
      </c>
      <c r="C1292" t="s">
        <v>29</v>
      </c>
      <c r="D1292">
        <v>30.1935947228976</v>
      </c>
      <c r="E1292">
        <v>9</v>
      </c>
      <c r="F1292">
        <v>3941</v>
      </c>
      <c r="G1292">
        <v>2</v>
      </c>
      <c r="H1292">
        <v>2</v>
      </c>
      <c r="I1292">
        <v>1998</v>
      </c>
      <c r="J1292">
        <v>1</v>
      </c>
      <c r="K1292">
        <v>1</v>
      </c>
      <c r="L1292">
        <v>0</v>
      </c>
      <c r="M1292">
        <v>4</v>
      </c>
      <c r="N1292" t="s">
        <v>26</v>
      </c>
      <c r="O1292" t="s">
        <v>30</v>
      </c>
      <c r="P1292">
        <v>14.303622525475999</v>
      </c>
      <c r="Q1292">
        <v>0.62141709616387497</v>
      </c>
      <c r="R1292">
        <v>8.0194359116134297</v>
      </c>
      <c r="S1292">
        <v>79</v>
      </c>
      <c r="T1292">
        <v>65</v>
      </c>
      <c r="U1292">
        <v>677.09991475015295</v>
      </c>
      <c r="V1292">
        <v>1.0149708195889299E-3</v>
      </c>
      <c r="W1292">
        <v>3138813.1426292602</v>
      </c>
      <c r="X1292" t="s">
        <v>44</v>
      </c>
      <c r="Y1292">
        <f>1-627-588-1141</f>
        <v>-2355</v>
      </c>
    </row>
    <row r="1293" spans="1:25" x14ac:dyDescent="0.35">
      <c r="A1293">
        <v>38.740508235457</v>
      </c>
      <c r="B1293">
        <v>-114.734728962744</v>
      </c>
      <c r="C1293" t="s">
        <v>29</v>
      </c>
      <c r="D1293">
        <v>15.926941379199301</v>
      </c>
      <c r="E1293">
        <v>8</v>
      </c>
      <c r="F1293">
        <v>2182</v>
      </c>
      <c r="G1293">
        <v>1</v>
      </c>
      <c r="H1293">
        <v>1</v>
      </c>
      <c r="I1293">
        <v>2011</v>
      </c>
      <c r="J1293">
        <v>0</v>
      </c>
      <c r="K1293">
        <v>1</v>
      </c>
      <c r="L1293">
        <v>0</v>
      </c>
      <c r="M1293">
        <v>2</v>
      </c>
      <c r="N1293" t="s">
        <v>35</v>
      </c>
      <c r="O1293" t="s">
        <v>30</v>
      </c>
      <c r="P1293">
        <v>6.7604316461338003</v>
      </c>
      <c r="Q1293">
        <v>1.5698299275057499</v>
      </c>
      <c r="R1293">
        <v>4.2441669906678703</v>
      </c>
      <c r="S1293">
        <v>121</v>
      </c>
      <c r="T1293">
        <v>50</v>
      </c>
      <c r="U1293">
        <v>669.68628106536198</v>
      </c>
      <c r="V1293">
        <v>9.1659028414298801E-4</v>
      </c>
      <c r="W1293">
        <v>1626832.0285364201</v>
      </c>
      <c r="X1293" t="s">
        <v>39</v>
      </c>
      <c r="Y1293">
        <f>1-837-837-6663</f>
        <v>-8336</v>
      </c>
    </row>
    <row r="1294" spans="1:25" x14ac:dyDescent="0.35">
      <c r="A1294">
        <v>38.1190458166244</v>
      </c>
      <c r="B1294">
        <v>-120.97241157816801</v>
      </c>
      <c r="C1294" t="s">
        <v>25</v>
      </c>
      <c r="D1294">
        <v>6.3369269575485498</v>
      </c>
      <c r="E1294">
        <v>9</v>
      </c>
      <c r="F1294">
        <v>1504</v>
      </c>
      <c r="G1294">
        <v>3</v>
      </c>
      <c r="H1294">
        <v>3</v>
      </c>
      <c r="I1294">
        <v>1979</v>
      </c>
      <c r="J1294">
        <v>1</v>
      </c>
      <c r="K1294">
        <v>0</v>
      </c>
      <c r="L1294">
        <v>1</v>
      </c>
      <c r="M1294">
        <v>2</v>
      </c>
      <c r="N1294" t="s">
        <v>26</v>
      </c>
      <c r="O1294" t="s">
        <v>27</v>
      </c>
      <c r="P1294">
        <v>12.702781453066599</v>
      </c>
      <c r="Q1294">
        <v>0.52852087765723799</v>
      </c>
      <c r="R1294">
        <v>6.7037333323073502</v>
      </c>
      <c r="S1294">
        <v>15</v>
      </c>
      <c r="T1294">
        <v>63</v>
      </c>
      <c r="U1294">
        <v>636.344563195717</v>
      </c>
      <c r="V1294">
        <v>1.3297872340425499E-3</v>
      </c>
      <c r="W1294">
        <v>1316297.0111737801</v>
      </c>
      <c r="X1294" t="s">
        <v>39</v>
      </c>
      <c r="Y1294">
        <f>1-333-822-3860</f>
        <v>-5014</v>
      </c>
    </row>
    <row r="1295" spans="1:25" x14ac:dyDescent="0.35">
      <c r="A1295">
        <v>40.2185042804632</v>
      </c>
      <c r="B1295">
        <v>-121.904300719951</v>
      </c>
      <c r="C1295" t="s">
        <v>34</v>
      </c>
      <c r="D1295">
        <v>20.174629674940402</v>
      </c>
      <c r="E1295">
        <v>9</v>
      </c>
      <c r="F1295">
        <v>4898</v>
      </c>
      <c r="G1295">
        <v>1</v>
      </c>
      <c r="H1295">
        <v>1</v>
      </c>
      <c r="I1295">
        <v>1991</v>
      </c>
      <c r="J1295">
        <v>0</v>
      </c>
      <c r="K1295">
        <v>0</v>
      </c>
      <c r="L1295">
        <v>1</v>
      </c>
      <c r="M1295">
        <v>3</v>
      </c>
      <c r="N1295" t="s">
        <v>26</v>
      </c>
      <c r="O1295" t="s">
        <v>30</v>
      </c>
      <c r="P1295">
        <v>7.7578015263378504</v>
      </c>
      <c r="Q1295">
        <v>1.1582904508376799</v>
      </c>
      <c r="R1295">
        <v>0.40849479706925901</v>
      </c>
      <c r="S1295">
        <v>93</v>
      </c>
      <c r="T1295">
        <v>20</v>
      </c>
      <c r="U1295">
        <v>732.45164010024303</v>
      </c>
      <c r="V1295">
        <v>6.1249489587586697E-4</v>
      </c>
      <c r="W1295">
        <v>3716271.1679436401</v>
      </c>
      <c r="X1295" t="s">
        <v>38</v>
      </c>
      <c r="Y1295">
        <f>1-915-326-2323</f>
        <v>-3563</v>
      </c>
    </row>
    <row r="1296" spans="1:25" x14ac:dyDescent="0.35">
      <c r="A1296">
        <v>39.793892618025602</v>
      </c>
      <c r="B1296">
        <v>-119.11060645763401</v>
      </c>
      <c r="C1296" t="s">
        <v>29</v>
      </c>
      <c r="D1296">
        <v>30.459079978167701</v>
      </c>
      <c r="E1296">
        <v>0</v>
      </c>
      <c r="F1296">
        <v>4329</v>
      </c>
      <c r="G1296">
        <v>2</v>
      </c>
      <c r="H1296">
        <v>1</v>
      </c>
      <c r="I1296">
        <v>1984</v>
      </c>
      <c r="J1296">
        <v>1</v>
      </c>
      <c r="K1296">
        <v>0</v>
      </c>
      <c r="L1296">
        <v>0</v>
      </c>
      <c r="M1296">
        <v>10</v>
      </c>
      <c r="N1296" t="s">
        <v>26</v>
      </c>
      <c r="O1296" t="s">
        <v>32</v>
      </c>
      <c r="P1296">
        <v>3.5214955337327898</v>
      </c>
      <c r="Q1296">
        <v>1.2841241264965699</v>
      </c>
      <c r="R1296">
        <v>7.9056105705772</v>
      </c>
      <c r="S1296">
        <v>3</v>
      </c>
      <c r="T1296">
        <v>44</v>
      </c>
      <c r="U1296">
        <v>850.70182338804204</v>
      </c>
      <c r="V1296">
        <v>2.3100023100023101E-3</v>
      </c>
      <c r="W1296">
        <v>3822990.70578916</v>
      </c>
      <c r="X1296" t="s">
        <v>31</v>
      </c>
      <c r="Y1296">
        <f>1-308-922-7786</f>
        <v>-9015</v>
      </c>
    </row>
    <row r="1297" spans="1:25" x14ac:dyDescent="0.35">
      <c r="A1297">
        <v>35.662327642634096</v>
      </c>
      <c r="B1297">
        <v>-117.588553210008</v>
      </c>
      <c r="C1297" t="s">
        <v>34</v>
      </c>
      <c r="D1297">
        <v>28.356404388377701</v>
      </c>
      <c r="E1297">
        <v>4</v>
      </c>
      <c r="F1297">
        <v>4279</v>
      </c>
      <c r="G1297">
        <v>5</v>
      </c>
      <c r="H1297">
        <v>1</v>
      </c>
      <c r="I1297">
        <v>2013</v>
      </c>
      <c r="J1297">
        <v>0</v>
      </c>
      <c r="K1297">
        <v>0</v>
      </c>
      <c r="L1297">
        <v>1</v>
      </c>
      <c r="M1297">
        <v>9</v>
      </c>
      <c r="N1297" t="s">
        <v>35</v>
      </c>
      <c r="O1297" t="s">
        <v>30</v>
      </c>
      <c r="P1297">
        <v>10.4470592930774</v>
      </c>
      <c r="Q1297">
        <v>2.1286971783376498</v>
      </c>
      <c r="R1297">
        <v>5.0850440004044897</v>
      </c>
      <c r="S1297">
        <v>106</v>
      </c>
      <c r="T1297">
        <v>40</v>
      </c>
      <c r="U1297">
        <v>959.05509817497204</v>
      </c>
      <c r="V1297">
        <v>2.1032951624211202E-3</v>
      </c>
      <c r="W1297">
        <v>4460883.2319505597</v>
      </c>
      <c r="X1297" t="s">
        <v>40</v>
      </c>
      <c r="Y1297">
        <f>1-763-186-9688</f>
        <v>-10636</v>
      </c>
    </row>
    <row r="1298" spans="1:25" x14ac:dyDescent="0.35">
      <c r="A1298">
        <v>32.823053750885101</v>
      </c>
      <c r="B1298">
        <v>-123.142439429048</v>
      </c>
      <c r="C1298" t="s">
        <v>34</v>
      </c>
      <c r="D1298">
        <v>44.408844754024798</v>
      </c>
      <c r="E1298">
        <v>9</v>
      </c>
      <c r="F1298">
        <v>1229</v>
      </c>
      <c r="G1298">
        <v>2</v>
      </c>
      <c r="H1298">
        <v>3</v>
      </c>
      <c r="I1298">
        <v>1975</v>
      </c>
      <c r="J1298">
        <v>0</v>
      </c>
      <c r="K1298">
        <v>1</v>
      </c>
      <c r="L1298">
        <v>0</v>
      </c>
      <c r="M1298">
        <v>7</v>
      </c>
      <c r="N1298" t="s">
        <v>37</v>
      </c>
      <c r="O1298" t="s">
        <v>32</v>
      </c>
      <c r="P1298">
        <v>9.3023951355261492</v>
      </c>
      <c r="Q1298">
        <v>2.24646879862066</v>
      </c>
      <c r="R1298">
        <v>1.54712577228947</v>
      </c>
      <c r="S1298">
        <v>71</v>
      </c>
      <c r="T1298">
        <v>51</v>
      </c>
      <c r="U1298">
        <v>906.44641093810003</v>
      </c>
      <c r="V1298">
        <v>5.6956875508543496E-3</v>
      </c>
      <c r="W1298">
        <v>1311993.66805818</v>
      </c>
      <c r="X1298" t="s">
        <v>28</v>
      </c>
      <c r="Y1298">
        <f>1-639-449-3500</f>
        <v>-4587</v>
      </c>
    </row>
    <row r="1299" spans="1:25" x14ac:dyDescent="0.35">
      <c r="A1299">
        <v>36.775311721221897</v>
      </c>
      <c r="B1299">
        <v>-119.785344795746</v>
      </c>
      <c r="C1299" t="s">
        <v>25</v>
      </c>
      <c r="D1299">
        <v>18.679550259986101</v>
      </c>
      <c r="E1299">
        <v>8</v>
      </c>
      <c r="F1299">
        <v>4384</v>
      </c>
      <c r="G1299">
        <v>5</v>
      </c>
      <c r="H1299">
        <v>3</v>
      </c>
      <c r="I1299">
        <v>1952</v>
      </c>
      <c r="J1299">
        <v>1</v>
      </c>
      <c r="K1299">
        <v>1</v>
      </c>
      <c r="L1299">
        <v>1</v>
      </c>
      <c r="M1299">
        <v>6</v>
      </c>
      <c r="N1299" t="s">
        <v>35</v>
      </c>
      <c r="O1299" t="s">
        <v>32</v>
      </c>
      <c r="P1299">
        <v>12.4667074379886</v>
      </c>
      <c r="Q1299">
        <v>0.60160539280915504</v>
      </c>
      <c r="R1299">
        <v>1.62550662804484</v>
      </c>
      <c r="S1299">
        <v>180</v>
      </c>
      <c r="T1299">
        <v>53</v>
      </c>
      <c r="U1299">
        <v>309.89082846840898</v>
      </c>
      <c r="V1299">
        <v>1.3686131386861299E-3</v>
      </c>
      <c r="W1299">
        <v>1760052.5462163</v>
      </c>
      <c r="X1299" t="s">
        <v>43</v>
      </c>
      <c r="Y1299">
        <f>1-589-344-7052</f>
        <v>-7984</v>
      </c>
    </row>
    <row r="1300" spans="1:25" x14ac:dyDescent="0.35">
      <c r="A1300">
        <v>36.093893264233699</v>
      </c>
      <c r="B1300">
        <v>-124.394717244948</v>
      </c>
      <c r="C1300" t="s">
        <v>25</v>
      </c>
      <c r="D1300">
        <v>48.602896163252097</v>
      </c>
      <c r="E1300">
        <v>2</v>
      </c>
      <c r="F1300">
        <v>4358</v>
      </c>
      <c r="G1300">
        <v>1</v>
      </c>
      <c r="H1300">
        <v>3</v>
      </c>
      <c r="I1300">
        <v>2011</v>
      </c>
      <c r="J1300">
        <v>1</v>
      </c>
      <c r="K1300">
        <v>0</v>
      </c>
      <c r="L1300">
        <v>0</v>
      </c>
      <c r="M1300">
        <v>3</v>
      </c>
      <c r="N1300" t="s">
        <v>26</v>
      </c>
      <c r="O1300" t="s">
        <v>32</v>
      </c>
      <c r="P1300">
        <v>10.8282260374885</v>
      </c>
      <c r="Q1300">
        <v>2.4767870689495601</v>
      </c>
      <c r="R1300">
        <v>4.26244945292677</v>
      </c>
      <c r="S1300">
        <v>183</v>
      </c>
      <c r="T1300">
        <v>30</v>
      </c>
      <c r="U1300">
        <v>741.75132646861005</v>
      </c>
      <c r="V1300">
        <v>6.8838916934373497E-4</v>
      </c>
      <c r="W1300">
        <v>3418352.0164321698</v>
      </c>
      <c r="X1300" t="s">
        <v>36</v>
      </c>
      <c r="Y1300">
        <f>1-894-970-5167</f>
        <v>-7030</v>
      </c>
    </row>
    <row r="1301" spans="1:25" x14ac:dyDescent="0.35">
      <c r="A1301">
        <v>40.8692521256744</v>
      </c>
      <c r="B1301">
        <v>-117.44800521547801</v>
      </c>
      <c r="C1301" t="s">
        <v>29</v>
      </c>
      <c r="D1301">
        <v>14.547994543981</v>
      </c>
      <c r="E1301">
        <v>4</v>
      </c>
      <c r="F1301">
        <v>1579</v>
      </c>
      <c r="G1301">
        <v>4</v>
      </c>
      <c r="H1301">
        <v>2</v>
      </c>
      <c r="I1301">
        <v>1950</v>
      </c>
      <c r="J1301">
        <v>1</v>
      </c>
      <c r="K1301">
        <v>1</v>
      </c>
      <c r="L1301">
        <v>1</v>
      </c>
      <c r="M1301">
        <v>13</v>
      </c>
      <c r="N1301" t="s">
        <v>26</v>
      </c>
      <c r="O1301" t="s">
        <v>32</v>
      </c>
      <c r="P1301">
        <v>10.1365742581586</v>
      </c>
      <c r="Q1301">
        <v>2.2299825603123602</v>
      </c>
      <c r="R1301">
        <v>5.43445114862838</v>
      </c>
      <c r="S1301">
        <v>14</v>
      </c>
      <c r="T1301">
        <v>74</v>
      </c>
      <c r="U1301">
        <v>544.83997512699898</v>
      </c>
      <c r="V1301">
        <v>8.2330588980367297E-3</v>
      </c>
      <c r="W1301">
        <v>1314034.8924178299</v>
      </c>
      <c r="X1301" t="s">
        <v>38</v>
      </c>
      <c r="Y1301">
        <f>1-723-540-6313</f>
        <v>-7575</v>
      </c>
    </row>
    <row r="1302" spans="1:25" x14ac:dyDescent="0.35">
      <c r="A1302">
        <v>36.3215726924942</v>
      </c>
      <c r="B1302">
        <v>-114.991825654856</v>
      </c>
      <c r="C1302" t="s">
        <v>34</v>
      </c>
      <c r="D1302">
        <v>36.495786249604201</v>
      </c>
      <c r="E1302">
        <v>0</v>
      </c>
      <c r="F1302">
        <v>3248</v>
      </c>
      <c r="G1302">
        <v>2</v>
      </c>
      <c r="H1302">
        <v>2</v>
      </c>
      <c r="I1302">
        <v>1966</v>
      </c>
      <c r="J1302">
        <v>1</v>
      </c>
      <c r="K1302">
        <v>0</v>
      </c>
      <c r="L1302">
        <v>0</v>
      </c>
      <c r="M1302">
        <v>7</v>
      </c>
      <c r="N1302" t="s">
        <v>26</v>
      </c>
      <c r="O1302" t="s">
        <v>27</v>
      </c>
      <c r="P1302">
        <v>3.8868998107583899</v>
      </c>
      <c r="Q1302">
        <v>1.9729250025845</v>
      </c>
      <c r="R1302">
        <v>6.2810314318517202</v>
      </c>
      <c r="S1302">
        <v>165</v>
      </c>
      <c r="T1302">
        <v>52</v>
      </c>
      <c r="U1302">
        <v>515.68738241850394</v>
      </c>
      <c r="V1302">
        <v>2.1551724137930999E-3</v>
      </c>
      <c r="W1302">
        <v>1754985.1891641801</v>
      </c>
      <c r="X1302" t="s">
        <v>33</v>
      </c>
      <c r="Y1302">
        <f>1-846-225-5658</f>
        <v>-6728</v>
      </c>
    </row>
    <row r="1303" spans="1:25" x14ac:dyDescent="0.35">
      <c r="A1303">
        <v>37.9756459521954</v>
      </c>
      <c r="B1303">
        <v>-123.850226134602</v>
      </c>
      <c r="C1303" t="s">
        <v>34</v>
      </c>
      <c r="D1303">
        <v>40.000559891709997</v>
      </c>
      <c r="E1303">
        <v>1</v>
      </c>
      <c r="F1303">
        <v>2325</v>
      </c>
      <c r="G1303">
        <v>1</v>
      </c>
      <c r="H1303">
        <v>1</v>
      </c>
      <c r="I1303">
        <v>1990</v>
      </c>
      <c r="J1303">
        <v>1</v>
      </c>
      <c r="K1303">
        <v>1</v>
      </c>
      <c r="L1303">
        <v>1</v>
      </c>
      <c r="M1303">
        <v>7</v>
      </c>
      <c r="N1303" t="s">
        <v>26</v>
      </c>
      <c r="O1303" t="s">
        <v>27</v>
      </c>
      <c r="P1303">
        <v>5.2752590827781196</v>
      </c>
      <c r="Q1303">
        <v>2.0318556003102199</v>
      </c>
      <c r="R1303">
        <v>1.0574238321584699</v>
      </c>
      <c r="S1303">
        <v>12</v>
      </c>
      <c r="T1303">
        <v>64</v>
      </c>
      <c r="U1303">
        <v>414.57131179263899</v>
      </c>
      <c r="V1303">
        <v>3.01075268817204E-3</v>
      </c>
      <c r="W1303">
        <v>1212358.5191999101</v>
      </c>
      <c r="X1303" t="s">
        <v>33</v>
      </c>
      <c r="Y1303">
        <f>1-845-972-8662</f>
        <v>-10478</v>
      </c>
    </row>
    <row r="1304" spans="1:25" x14ac:dyDescent="0.35">
      <c r="A1304">
        <v>37.004906896476399</v>
      </c>
      <c r="B1304">
        <v>-117.931323593892</v>
      </c>
      <c r="C1304" t="s">
        <v>25</v>
      </c>
      <c r="D1304">
        <v>49.031943758847802</v>
      </c>
      <c r="E1304">
        <v>0</v>
      </c>
      <c r="F1304">
        <v>3011</v>
      </c>
      <c r="G1304">
        <v>5</v>
      </c>
      <c r="H1304">
        <v>2</v>
      </c>
      <c r="I1304">
        <v>2008</v>
      </c>
      <c r="J1304">
        <v>1</v>
      </c>
      <c r="K1304">
        <v>0</v>
      </c>
      <c r="L1304">
        <v>1</v>
      </c>
      <c r="M1304">
        <v>2</v>
      </c>
      <c r="N1304" t="s">
        <v>35</v>
      </c>
      <c r="O1304" t="s">
        <v>32</v>
      </c>
      <c r="P1304">
        <v>12.793380776064501</v>
      </c>
      <c r="Q1304">
        <v>1.1637773809556999</v>
      </c>
      <c r="R1304">
        <v>4.2931321524680301</v>
      </c>
      <c r="S1304">
        <v>139</v>
      </c>
      <c r="T1304">
        <v>70</v>
      </c>
      <c r="U1304">
        <v>250.31760015158099</v>
      </c>
      <c r="V1304">
        <v>6.6423115244104898E-4</v>
      </c>
      <c r="W1304">
        <v>1148286.2147200101</v>
      </c>
      <c r="X1304" t="s">
        <v>42</v>
      </c>
      <c r="Y1304">
        <f>1-731-436-7666</f>
        <v>-8832</v>
      </c>
    </row>
    <row r="1305" spans="1:25" x14ac:dyDescent="0.35">
      <c r="A1305">
        <v>39.262821125689499</v>
      </c>
      <c r="B1305">
        <v>-118.736435324908</v>
      </c>
      <c r="C1305" t="s">
        <v>25</v>
      </c>
      <c r="D1305">
        <v>2.2248099948419102</v>
      </c>
      <c r="E1305">
        <v>8</v>
      </c>
      <c r="F1305">
        <v>2051</v>
      </c>
      <c r="G1305">
        <v>2</v>
      </c>
      <c r="H1305">
        <v>3</v>
      </c>
      <c r="I1305">
        <v>1997</v>
      </c>
      <c r="J1305">
        <v>1</v>
      </c>
      <c r="K1305">
        <v>0</v>
      </c>
      <c r="L1305">
        <v>0</v>
      </c>
      <c r="M1305">
        <v>4</v>
      </c>
      <c r="N1305" t="s">
        <v>37</v>
      </c>
      <c r="O1305" t="s">
        <v>32</v>
      </c>
      <c r="P1305">
        <v>4.5366075633168403</v>
      </c>
      <c r="Q1305">
        <v>1.26388717604039</v>
      </c>
      <c r="R1305">
        <v>0.61651950224985597</v>
      </c>
      <c r="S1305">
        <v>43</v>
      </c>
      <c r="T1305">
        <v>30</v>
      </c>
      <c r="U1305">
        <v>723.69702078549994</v>
      </c>
      <c r="V1305">
        <v>1.95026816187225E-3</v>
      </c>
      <c r="W1305">
        <v>1785929.4444103199</v>
      </c>
      <c r="X1305" t="s">
        <v>39</v>
      </c>
      <c r="Y1305">
        <f>1-971-433-9072</f>
        <v>-10475</v>
      </c>
    </row>
    <row r="1306" spans="1:25" x14ac:dyDescent="0.35">
      <c r="A1306">
        <v>38.090368757501302</v>
      </c>
      <c r="B1306">
        <v>-117.334740842469</v>
      </c>
      <c r="C1306" t="s">
        <v>34</v>
      </c>
      <c r="D1306">
        <v>48.220065685191202</v>
      </c>
      <c r="E1306">
        <v>6</v>
      </c>
      <c r="F1306">
        <v>1294</v>
      </c>
      <c r="G1306">
        <v>2</v>
      </c>
      <c r="H1306">
        <v>1</v>
      </c>
      <c r="I1306">
        <v>1990</v>
      </c>
      <c r="J1306">
        <v>0</v>
      </c>
      <c r="K1306">
        <v>0</v>
      </c>
      <c r="L1306">
        <v>1</v>
      </c>
      <c r="M1306">
        <v>13</v>
      </c>
      <c r="N1306" t="s">
        <v>35</v>
      </c>
      <c r="O1306" t="s">
        <v>30</v>
      </c>
      <c r="P1306">
        <v>2.63080101228699</v>
      </c>
      <c r="Q1306">
        <v>1.8815958042670999</v>
      </c>
      <c r="R1306">
        <v>6.9831920303235604</v>
      </c>
      <c r="S1306">
        <v>33</v>
      </c>
      <c r="T1306">
        <v>69</v>
      </c>
      <c r="U1306">
        <v>937.79960346731502</v>
      </c>
      <c r="V1306">
        <v>1.0046367851622801E-2</v>
      </c>
      <c r="W1306">
        <v>1363463.9306711101</v>
      </c>
      <c r="X1306" t="s">
        <v>36</v>
      </c>
      <c r="Y1306">
        <f>1-861-486-6750</f>
        <v>-8096</v>
      </c>
    </row>
    <row r="1307" spans="1:25" x14ac:dyDescent="0.35">
      <c r="A1307">
        <v>38.660670250293002</v>
      </c>
      <c r="B1307">
        <v>-115.69083572677501</v>
      </c>
      <c r="C1307" t="s">
        <v>25</v>
      </c>
      <c r="D1307">
        <v>22.846958112920799</v>
      </c>
      <c r="E1307">
        <v>5</v>
      </c>
      <c r="F1307">
        <v>1261</v>
      </c>
      <c r="G1307">
        <v>5</v>
      </c>
      <c r="H1307">
        <v>3</v>
      </c>
      <c r="I1307">
        <v>1950</v>
      </c>
      <c r="J1307">
        <v>1</v>
      </c>
      <c r="K1307">
        <v>0</v>
      </c>
      <c r="L1307">
        <v>1</v>
      </c>
      <c r="M1307">
        <v>2</v>
      </c>
      <c r="N1307" t="s">
        <v>35</v>
      </c>
      <c r="O1307" t="s">
        <v>27</v>
      </c>
      <c r="P1307">
        <v>14.030392915873</v>
      </c>
      <c r="Q1307">
        <v>0.66097868213894595</v>
      </c>
      <c r="R1307">
        <v>7.9423583774943598</v>
      </c>
      <c r="S1307">
        <v>93</v>
      </c>
      <c r="T1307">
        <v>27</v>
      </c>
      <c r="U1307">
        <v>732.08998866177205</v>
      </c>
      <c r="V1307">
        <v>1.58604282315622E-3</v>
      </c>
      <c r="W1307">
        <v>1255578.6038790999</v>
      </c>
      <c r="X1307" t="s">
        <v>33</v>
      </c>
      <c r="Y1307">
        <f>1-492-465-4037</f>
        <v>-4993</v>
      </c>
    </row>
    <row r="1308" spans="1:25" x14ac:dyDescent="0.35">
      <c r="A1308">
        <v>34.347320927048102</v>
      </c>
      <c r="B1308">
        <v>-121.951707901484</v>
      </c>
      <c r="C1308" t="s">
        <v>34</v>
      </c>
      <c r="D1308">
        <v>1.7519885064776499</v>
      </c>
      <c r="E1308">
        <v>6</v>
      </c>
      <c r="F1308">
        <v>2606</v>
      </c>
      <c r="G1308">
        <v>2</v>
      </c>
      <c r="H1308">
        <v>3</v>
      </c>
      <c r="I1308">
        <v>1961</v>
      </c>
      <c r="J1308">
        <v>1</v>
      </c>
      <c r="K1308">
        <v>1</v>
      </c>
      <c r="L1308">
        <v>1</v>
      </c>
      <c r="M1308">
        <v>12</v>
      </c>
      <c r="N1308" t="s">
        <v>41</v>
      </c>
      <c r="O1308" t="s">
        <v>27</v>
      </c>
      <c r="P1308">
        <v>12.437944701823699</v>
      </c>
      <c r="Q1308">
        <v>0.82186111394514205</v>
      </c>
      <c r="R1308">
        <v>6.7521551090630796</v>
      </c>
      <c r="S1308">
        <v>187</v>
      </c>
      <c r="T1308">
        <v>47</v>
      </c>
      <c r="U1308">
        <v>708.12803970583195</v>
      </c>
      <c r="V1308">
        <v>4.6047582501918599E-3</v>
      </c>
      <c r="W1308">
        <v>2225555.7893145201</v>
      </c>
      <c r="X1308" t="s">
        <v>36</v>
      </c>
      <c r="Y1308">
        <f>1-845-174-9221</f>
        <v>-10239</v>
      </c>
    </row>
    <row r="1309" spans="1:25" x14ac:dyDescent="0.35">
      <c r="A1309">
        <v>39.598086368565497</v>
      </c>
      <c r="B1309">
        <v>-122.086660926411</v>
      </c>
      <c r="C1309" t="s">
        <v>25</v>
      </c>
      <c r="D1309">
        <v>39.327123668768103</v>
      </c>
      <c r="E1309">
        <v>1</v>
      </c>
      <c r="F1309">
        <v>1517</v>
      </c>
      <c r="G1309">
        <v>5</v>
      </c>
      <c r="H1309">
        <v>1</v>
      </c>
      <c r="I1309">
        <v>2022</v>
      </c>
      <c r="J1309">
        <v>0</v>
      </c>
      <c r="K1309">
        <v>0</v>
      </c>
      <c r="L1309">
        <v>0</v>
      </c>
      <c r="M1309">
        <v>9</v>
      </c>
      <c r="N1309" t="s">
        <v>41</v>
      </c>
      <c r="O1309" t="s">
        <v>30</v>
      </c>
      <c r="P1309">
        <v>9.9415195055259993</v>
      </c>
      <c r="Q1309">
        <v>0.57817164822988198</v>
      </c>
      <c r="R1309">
        <v>0.43628809652841299</v>
      </c>
      <c r="S1309">
        <v>58</v>
      </c>
      <c r="T1309">
        <v>32</v>
      </c>
      <c r="U1309">
        <v>663.25129066511295</v>
      </c>
      <c r="V1309">
        <v>5.9327620303229996E-3</v>
      </c>
      <c r="W1309">
        <v>1385226.53851984</v>
      </c>
      <c r="X1309" t="s">
        <v>42</v>
      </c>
      <c r="Y1309">
        <f>1-777-389-1045</f>
        <v>-2210</v>
      </c>
    </row>
    <row r="1310" spans="1:25" x14ac:dyDescent="0.35">
      <c r="A1310">
        <v>35.147379316875899</v>
      </c>
      <c r="B1310">
        <v>-119.70580978668499</v>
      </c>
      <c r="C1310" t="s">
        <v>29</v>
      </c>
      <c r="D1310">
        <v>48.885799640892301</v>
      </c>
      <c r="E1310">
        <v>5</v>
      </c>
      <c r="F1310">
        <v>3408</v>
      </c>
      <c r="G1310">
        <v>4</v>
      </c>
      <c r="H1310">
        <v>3</v>
      </c>
      <c r="I1310">
        <v>2022</v>
      </c>
      <c r="J1310">
        <v>1</v>
      </c>
      <c r="K1310">
        <v>1</v>
      </c>
      <c r="L1310">
        <v>0</v>
      </c>
      <c r="M1310">
        <v>7</v>
      </c>
      <c r="N1310" t="s">
        <v>26</v>
      </c>
      <c r="O1310" t="s">
        <v>27</v>
      </c>
      <c r="P1310">
        <v>14.999058308955901</v>
      </c>
      <c r="Q1310">
        <v>1.9561565691749101</v>
      </c>
      <c r="R1310">
        <v>1.35381308883803</v>
      </c>
      <c r="S1310">
        <v>58</v>
      </c>
      <c r="T1310">
        <v>42</v>
      </c>
      <c r="U1310">
        <v>795.72173469425104</v>
      </c>
      <c r="V1310">
        <v>2.05399061032863E-3</v>
      </c>
      <c r="W1310">
        <v>3238115.2946061902</v>
      </c>
      <c r="X1310" t="s">
        <v>36</v>
      </c>
      <c r="Y1310">
        <f>1-562-622-2007</f>
        <v>-3190</v>
      </c>
    </row>
    <row r="1311" spans="1:25" x14ac:dyDescent="0.35">
      <c r="A1311">
        <v>36.716413318414901</v>
      </c>
      <c r="B1311">
        <v>-115.73999357469</v>
      </c>
      <c r="C1311" t="s">
        <v>25</v>
      </c>
      <c r="D1311">
        <v>44.519660215807697</v>
      </c>
      <c r="E1311">
        <v>6</v>
      </c>
      <c r="F1311">
        <v>2002</v>
      </c>
      <c r="G1311">
        <v>2</v>
      </c>
      <c r="H1311">
        <v>3</v>
      </c>
      <c r="I1311">
        <v>1972</v>
      </c>
      <c r="J1311">
        <v>0</v>
      </c>
      <c r="K1311">
        <v>1</v>
      </c>
      <c r="L1311">
        <v>0</v>
      </c>
      <c r="M1311">
        <v>5</v>
      </c>
      <c r="N1311" t="s">
        <v>37</v>
      </c>
      <c r="O1311" t="s">
        <v>27</v>
      </c>
      <c r="P1311">
        <v>14.0544972506781</v>
      </c>
      <c r="Q1311">
        <v>1.60350587035424</v>
      </c>
      <c r="R1311">
        <v>6.5132066587897999</v>
      </c>
      <c r="S1311">
        <v>83</v>
      </c>
      <c r="T1311">
        <v>30</v>
      </c>
      <c r="U1311">
        <v>271.61048014390201</v>
      </c>
      <c r="V1311">
        <v>2.4975024975024901E-3</v>
      </c>
      <c r="W1311">
        <v>823767.927944583</v>
      </c>
      <c r="X1311" t="s">
        <v>42</v>
      </c>
      <c r="Y1311">
        <f>1-759-259-8260</f>
        <v>-9277</v>
      </c>
    </row>
    <row r="1312" spans="1:25" x14ac:dyDescent="0.35">
      <c r="A1312">
        <v>33.028969753706697</v>
      </c>
      <c r="B1312">
        <v>-114.802836835723</v>
      </c>
      <c r="C1312" t="s">
        <v>34</v>
      </c>
      <c r="D1312">
        <v>26.188928430489199</v>
      </c>
      <c r="E1312">
        <v>4</v>
      </c>
      <c r="F1312">
        <v>1301</v>
      </c>
      <c r="G1312">
        <v>2</v>
      </c>
      <c r="H1312">
        <v>3</v>
      </c>
      <c r="I1312">
        <v>2013</v>
      </c>
      <c r="J1312">
        <v>0</v>
      </c>
      <c r="K1312">
        <v>0</v>
      </c>
      <c r="L1312">
        <v>0</v>
      </c>
      <c r="M1312">
        <v>9</v>
      </c>
      <c r="N1312" t="s">
        <v>35</v>
      </c>
      <c r="O1312" t="s">
        <v>27</v>
      </c>
      <c r="P1312">
        <v>5.28887480405493</v>
      </c>
      <c r="Q1312">
        <v>0.81346349633539305</v>
      </c>
      <c r="R1312">
        <v>4.6705375593371796</v>
      </c>
      <c r="S1312">
        <v>23</v>
      </c>
      <c r="T1312">
        <v>73</v>
      </c>
      <c r="U1312">
        <v>880.74536103718799</v>
      </c>
      <c r="V1312">
        <v>6.9177555726364299E-3</v>
      </c>
      <c r="W1312">
        <v>1315934.2512200801</v>
      </c>
      <c r="X1312" t="s">
        <v>31</v>
      </c>
      <c r="Y1312">
        <f>1-480-927-6058</f>
        <v>-7464</v>
      </c>
    </row>
    <row r="1313" spans="1:25" x14ac:dyDescent="0.35">
      <c r="A1313">
        <v>33.537428787194102</v>
      </c>
      <c r="B1313">
        <v>-117.364926918336</v>
      </c>
      <c r="C1313" t="s">
        <v>25</v>
      </c>
      <c r="D1313">
        <v>41.516084949733397</v>
      </c>
      <c r="E1313">
        <v>5</v>
      </c>
      <c r="F1313">
        <v>4512</v>
      </c>
      <c r="G1313">
        <v>2</v>
      </c>
      <c r="H1313">
        <v>1</v>
      </c>
      <c r="I1313">
        <v>1989</v>
      </c>
      <c r="J1313">
        <v>1</v>
      </c>
      <c r="K1313">
        <v>0</v>
      </c>
      <c r="L1313">
        <v>0</v>
      </c>
      <c r="M1313">
        <v>5</v>
      </c>
      <c r="N1313" t="s">
        <v>26</v>
      </c>
      <c r="O1313" t="s">
        <v>32</v>
      </c>
      <c r="P1313">
        <v>14.4549201372698</v>
      </c>
      <c r="Q1313">
        <v>0.55375629601597198</v>
      </c>
      <c r="R1313">
        <v>0.77486215430438199</v>
      </c>
      <c r="S1313">
        <v>2</v>
      </c>
      <c r="T1313">
        <v>63</v>
      </c>
      <c r="U1313">
        <v>510.42017358095097</v>
      </c>
      <c r="V1313">
        <v>1.1081560283687901E-3</v>
      </c>
      <c r="W1313">
        <v>2540653.2181229498</v>
      </c>
      <c r="X1313" t="s">
        <v>40</v>
      </c>
      <c r="Y1313">
        <f>1-493-374-8729</f>
        <v>-9595</v>
      </c>
    </row>
    <row r="1314" spans="1:25" x14ac:dyDescent="0.35">
      <c r="A1314">
        <v>40.535822546878798</v>
      </c>
      <c r="B1314">
        <v>-115.330972283086</v>
      </c>
      <c r="C1314" t="s">
        <v>29</v>
      </c>
      <c r="D1314">
        <v>35.599692362459002</v>
      </c>
      <c r="E1314">
        <v>6</v>
      </c>
      <c r="F1314">
        <v>705</v>
      </c>
      <c r="G1314">
        <v>5</v>
      </c>
      <c r="H1314">
        <v>3</v>
      </c>
      <c r="I1314">
        <v>1953</v>
      </c>
      <c r="J1314">
        <v>1</v>
      </c>
      <c r="K1314">
        <v>1</v>
      </c>
      <c r="L1314">
        <v>0</v>
      </c>
      <c r="M1314">
        <v>10</v>
      </c>
      <c r="N1314" t="s">
        <v>41</v>
      </c>
      <c r="O1314" t="s">
        <v>32</v>
      </c>
      <c r="P1314">
        <v>7.5056442873483302</v>
      </c>
      <c r="Q1314">
        <v>2.18476950319589</v>
      </c>
      <c r="R1314">
        <v>8.6510645843201406</v>
      </c>
      <c r="S1314">
        <v>26</v>
      </c>
      <c r="T1314">
        <v>76</v>
      </c>
      <c r="U1314">
        <v>654.72681745003297</v>
      </c>
      <c r="V1314">
        <v>1.4184397163120499E-2</v>
      </c>
      <c r="W1314">
        <v>913642.29792356596</v>
      </c>
      <c r="X1314" t="s">
        <v>39</v>
      </c>
      <c r="Y1314">
        <f>1-334-934-4399</f>
        <v>-5666</v>
      </c>
    </row>
    <row r="1315" spans="1:25" x14ac:dyDescent="0.35">
      <c r="A1315">
        <v>34.795191725009502</v>
      </c>
      <c r="B1315">
        <v>-119.056265907471</v>
      </c>
      <c r="C1315" t="s">
        <v>29</v>
      </c>
      <c r="D1315">
        <v>29.041104209443699</v>
      </c>
      <c r="E1315">
        <v>2</v>
      </c>
      <c r="F1315">
        <v>4773</v>
      </c>
      <c r="G1315">
        <v>5</v>
      </c>
      <c r="H1315">
        <v>1</v>
      </c>
      <c r="I1315">
        <v>2014</v>
      </c>
      <c r="J1315">
        <v>1</v>
      </c>
      <c r="K1315">
        <v>0</v>
      </c>
      <c r="L1315">
        <v>1</v>
      </c>
      <c r="M1315">
        <v>7</v>
      </c>
      <c r="N1315" t="s">
        <v>26</v>
      </c>
      <c r="O1315" t="s">
        <v>30</v>
      </c>
      <c r="P1315">
        <v>10.8097898124349</v>
      </c>
      <c r="Q1315">
        <v>1.48993087797137</v>
      </c>
      <c r="R1315">
        <v>4.8562615443397403</v>
      </c>
      <c r="S1315">
        <v>14</v>
      </c>
      <c r="T1315">
        <v>68</v>
      </c>
      <c r="U1315">
        <v>549.97795321845604</v>
      </c>
      <c r="V1315">
        <v>1.46658286193169E-3</v>
      </c>
      <c r="W1315">
        <v>2961946.4956244901</v>
      </c>
      <c r="X1315" t="s">
        <v>31</v>
      </c>
      <c r="Y1315">
        <f>1-803-987-2699</f>
        <v>-4488</v>
      </c>
    </row>
    <row r="1316" spans="1:25" x14ac:dyDescent="0.35">
      <c r="A1316">
        <v>38.754533352248799</v>
      </c>
      <c r="B1316">
        <v>-116.57504505517799</v>
      </c>
      <c r="C1316" t="s">
        <v>34</v>
      </c>
      <c r="D1316">
        <v>15.4698455438129</v>
      </c>
      <c r="E1316">
        <v>5</v>
      </c>
      <c r="F1316">
        <v>3168</v>
      </c>
      <c r="G1316">
        <v>5</v>
      </c>
      <c r="H1316">
        <v>3</v>
      </c>
      <c r="I1316">
        <v>1991</v>
      </c>
      <c r="J1316">
        <v>1</v>
      </c>
      <c r="K1316">
        <v>0</v>
      </c>
      <c r="L1316">
        <v>1</v>
      </c>
      <c r="M1316">
        <v>4</v>
      </c>
      <c r="N1316" t="s">
        <v>41</v>
      </c>
      <c r="O1316" t="s">
        <v>32</v>
      </c>
      <c r="P1316">
        <v>7.4517371205838598</v>
      </c>
      <c r="Q1316">
        <v>2.3902655038251401</v>
      </c>
      <c r="R1316">
        <v>4.2539590379581496</v>
      </c>
      <c r="S1316">
        <v>163</v>
      </c>
      <c r="T1316">
        <v>37</v>
      </c>
      <c r="U1316">
        <v>740.884814057997</v>
      </c>
      <c r="V1316">
        <v>1.2626262626262599E-3</v>
      </c>
      <c r="W1316">
        <v>2705876.01513026</v>
      </c>
      <c r="X1316" t="s">
        <v>42</v>
      </c>
      <c r="Y1316">
        <f>1-873-927-9320</f>
        <v>-11119</v>
      </c>
    </row>
    <row r="1317" spans="1:25" x14ac:dyDescent="0.35">
      <c r="A1317">
        <v>37.451797770330401</v>
      </c>
      <c r="B1317">
        <v>-120.56721711855801</v>
      </c>
      <c r="C1317" t="s">
        <v>29</v>
      </c>
      <c r="D1317">
        <v>38.7015960986094</v>
      </c>
      <c r="E1317">
        <v>7</v>
      </c>
      <c r="F1317">
        <v>3761</v>
      </c>
      <c r="G1317">
        <v>2</v>
      </c>
      <c r="H1317">
        <v>1</v>
      </c>
      <c r="I1317">
        <v>1971</v>
      </c>
      <c r="J1317">
        <v>1</v>
      </c>
      <c r="K1317">
        <v>1</v>
      </c>
      <c r="L1317">
        <v>0</v>
      </c>
      <c r="M1317">
        <v>10</v>
      </c>
      <c r="N1317" t="s">
        <v>41</v>
      </c>
      <c r="O1317" t="s">
        <v>32</v>
      </c>
      <c r="P1317">
        <v>7.1619799823733397</v>
      </c>
      <c r="Q1317">
        <v>1.1535167664211201</v>
      </c>
      <c r="R1317">
        <v>5.7475970777508598</v>
      </c>
      <c r="S1317">
        <v>72</v>
      </c>
      <c r="T1317">
        <v>46</v>
      </c>
      <c r="U1317">
        <v>489.65573904387702</v>
      </c>
      <c r="V1317">
        <v>2.6588673225206002E-3</v>
      </c>
      <c r="W1317">
        <v>2111938.5317156799</v>
      </c>
      <c r="X1317" t="s">
        <v>36</v>
      </c>
      <c r="Y1317">
        <f>1-666-781-1018</f>
        <v>-2464</v>
      </c>
    </row>
    <row r="1318" spans="1:25" x14ac:dyDescent="0.35">
      <c r="A1318">
        <v>39.357690524767797</v>
      </c>
      <c r="B1318">
        <v>-121.503940008459</v>
      </c>
      <c r="C1318" t="s">
        <v>34</v>
      </c>
      <c r="D1318">
        <v>39.320904894859801</v>
      </c>
      <c r="E1318">
        <v>7</v>
      </c>
      <c r="F1318">
        <v>1886</v>
      </c>
      <c r="G1318">
        <v>4</v>
      </c>
      <c r="H1318">
        <v>2</v>
      </c>
      <c r="I1318">
        <v>2018</v>
      </c>
      <c r="J1318">
        <v>1</v>
      </c>
      <c r="K1318">
        <v>0</v>
      </c>
      <c r="L1318">
        <v>0</v>
      </c>
      <c r="M1318">
        <v>9</v>
      </c>
      <c r="N1318" t="s">
        <v>37</v>
      </c>
      <c r="O1318" t="s">
        <v>32</v>
      </c>
      <c r="P1318">
        <v>11.1511595179353</v>
      </c>
      <c r="Q1318">
        <v>0.51864153962257298</v>
      </c>
      <c r="R1318">
        <v>4.65662306068291</v>
      </c>
      <c r="S1318">
        <v>144</v>
      </c>
      <c r="T1318">
        <v>26</v>
      </c>
      <c r="U1318">
        <v>925.46283181063802</v>
      </c>
      <c r="V1318">
        <v>4.7720042417815399E-3</v>
      </c>
      <c r="W1318">
        <v>2184661.5461308002</v>
      </c>
      <c r="X1318" t="s">
        <v>42</v>
      </c>
      <c r="Y1318">
        <f>1-971-299-9809</f>
        <v>-11078</v>
      </c>
    </row>
    <row r="1319" spans="1:25" x14ac:dyDescent="0.35">
      <c r="A1319">
        <v>39.462319841904304</v>
      </c>
      <c r="B1319">
        <v>-114.263692988678</v>
      </c>
      <c r="C1319" t="s">
        <v>34</v>
      </c>
      <c r="D1319">
        <v>12.207583834264501</v>
      </c>
      <c r="E1319">
        <v>1</v>
      </c>
      <c r="F1319">
        <v>999</v>
      </c>
      <c r="G1319">
        <v>2</v>
      </c>
      <c r="H1319">
        <v>3</v>
      </c>
      <c r="I1319">
        <v>1957</v>
      </c>
      <c r="J1319">
        <v>0</v>
      </c>
      <c r="K1319">
        <v>1</v>
      </c>
      <c r="L1319">
        <v>0</v>
      </c>
      <c r="M1319">
        <v>8</v>
      </c>
      <c r="N1319" t="s">
        <v>37</v>
      </c>
      <c r="O1319" t="s">
        <v>27</v>
      </c>
      <c r="P1319">
        <v>10.6881985327983</v>
      </c>
      <c r="Q1319">
        <v>2.3598385273287201</v>
      </c>
      <c r="R1319">
        <v>5.0563818497871296</v>
      </c>
      <c r="S1319">
        <v>117</v>
      </c>
      <c r="T1319">
        <v>29</v>
      </c>
      <c r="U1319">
        <v>210.17056404821599</v>
      </c>
      <c r="V1319">
        <v>8.0080080080079993E-3</v>
      </c>
      <c r="W1319">
        <v>409636.70636228198</v>
      </c>
      <c r="X1319" t="s">
        <v>42</v>
      </c>
      <c r="Y1319">
        <f>1-662-994-9933</f>
        <v>-11588</v>
      </c>
    </row>
    <row r="1320" spans="1:25" x14ac:dyDescent="0.35">
      <c r="A1320">
        <v>40.809548686156703</v>
      </c>
      <c r="B1320">
        <v>-119.782772140549</v>
      </c>
      <c r="C1320" t="s">
        <v>29</v>
      </c>
      <c r="D1320">
        <v>20.338516042680599</v>
      </c>
      <c r="E1320">
        <v>5</v>
      </c>
      <c r="F1320">
        <v>1445</v>
      </c>
      <c r="G1320">
        <v>4</v>
      </c>
      <c r="H1320">
        <v>2</v>
      </c>
      <c r="I1320">
        <v>2022</v>
      </c>
      <c r="J1320">
        <v>1</v>
      </c>
      <c r="K1320">
        <v>0</v>
      </c>
      <c r="L1320">
        <v>1</v>
      </c>
      <c r="M1320">
        <v>9</v>
      </c>
      <c r="N1320" t="s">
        <v>37</v>
      </c>
      <c r="O1320" t="s">
        <v>30</v>
      </c>
      <c r="P1320">
        <v>9.2761867847921309</v>
      </c>
      <c r="Q1320">
        <v>1.8188957979987599</v>
      </c>
      <c r="R1320">
        <v>3.39350775791653</v>
      </c>
      <c r="S1320">
        <v>126</v>
      </c>
      <c r="T1320">
        <v>38</v>
      </c>
      <c r="U1320">
        <v>725.859069200308</v>
      </c>
      <c r="V1320">
        <v>6.2283737024221401E-3</v>
      </c>
      <c r="W1320">
        <v>1519275.9370844599</v>
      </c>
      <c r="X1320" t="s">
        <v>39</v>
      </c>
      <c r="Y1320">
        <f>1-540-981-2760</f>
        <v>-4280</v>
      </c>
    </row>
    <row r="1321" spans="1:25" x14ac:dyDescent="0.35">
      <c r="A1321">
        <v>37.332665808683302</v>
      </c>
      <c r="B1321">
        <v>-124.146194496915</v>
      </c>
      <c r="C1321" t="s">
        <v>25</v>
      </c>
      <c r="D1321">
        <v>7.6283481997573599</v>
      </c>
      <c r="E1321">
        <v>3</v>
      </c>
      <c r="F1321">
        <v>4967</v>
      </c>
      <c r="G1321">
        <v>1</v>
      </c>
      <c r="H1321">
        <v>2</v>
      </c>
      <c r="I1321">
        <v>1982</v>
      </c>
      <c r="J1321">
        <v>0</v>
      </c>
      <c r="K1321">
        <v>1</v>
      </c>
      <c r="L1321">
        <v>1</v>
      </c>
      <c r="M1321">
        <v>4</v>
      </c>
      <c r="N1321" t="s">
        <v>41</v>
      </c>
      <c r="O1321" t="s">
        <v>32</v>
      </c>
      <c r="P1321">
        <v>10.562923730692701</v>
      </c>
      <c r="Q1321">
        <v>1.6072509360087099</v>
      </c>
      <c r="R1321">
        <v>7.5532583054170299</v>
      </c>
      <c r="S1321">
        <v>189</v>
      </c>
      <c r="T1321">
        <v>69</v>
      </c>
      <c r="U1321">
        <v>448.655953149651</v>
      </c>
      <c r="V1321">
        <v>8.0531507952486404E-4</v>
      </c>
      <c r="W1321">
        <v>2439796.1243056199</v>
      </c>
      <c r="X1321" t="s">
        <v>36</v>
      </c>
      <c r="Y1321">
        <f>1-987-197-6110</f>
        <v>-7293</v>
      </c>
    </row>
    <row r="1322" spans="1:25" x14ac:dyDescent="0.35">
      <c r="A1322">
        <v>33.180760669605696</v>
      </c>
      <c r="B1322">
        <v>-119.96628231586701</v>
      </c>
      <c r="C1322" t="s">
        <v>34</v>
      </c>
      <c r="D1322">
        <v>27.318001349698601</v>
      </c>
      <c r="E1322">
        <v>4</v>
      </c>
      <c r="F1322">
        <v>4767</v>
      </c>
      <c r="G1322">
        <v>5</v>
      </c>
      <c r="H1322">
        <v>2</v>
      </c>
      <c r="I1322">
        <v>1997</v>
      </c>
      <c r="J1322">
        <v>1</v>
      </c>
      <c r="K1322">
        <v>0</v>
      </c>
      <c r="L1322">
        <v>1</v>
      </c>
      <c r="M1322">
        <v>12</v>
      </c>
      <c r="N1322" t="s">
        <v>35</v>
      </c>
      <c r="O1322" t="s">
        <v>30</v>
      </c>
      <c r="P1322">
        <v>12.537231657063099</v>
      </c>
      <c r="Q1322">
        <v>1.6556840068466401</v>
      </c>
      <c r="R1322">
        <v>7.6253186936734201</v>
      </c>
      <c r="S1322">
        <v>62</v>
      </c>
      <c r="T1322">
        <v>52</v>
      </c>
      <c r="U1322">
        <v>855.20926047319006</v>
      </c>
      <c r="V1322">
        <v>2.5173064820641902E-3</v>
      </c>
      <c r="W1322">
        <v>4498024.5161309</v>
      </c>
      <c r="X1322" t="s">
        <v>36</v>
      </c>
      <c r="Y1322">
        <f>1-737-227-8448</f>
        <v>-9411</v>
      </c>
    </row>
    <row r="1323" spans="1:25" x14ac:dyDescent="0.35">
      <c r="A1323">
        <v>37.252414009210099</v>
      </c>
      <c r="B1323">
        <v>-115.28631435377601</v>
      </c>
      <c r="C1323" t="s">
        <v>25</v>
      </c>
      <c r="D1323">
        <v>36.352285902337201</v>
      </c>
      <c r="E1323">
        <v>0</v>
      </c>
      <c r="F1323">
        <v>1177</v>
      </c>
      <c r="G1323">
        <v>3</v>
      </c>
      <c r="H1323">
        <v>1</v>
      </c>
      <c r="I1323">
        <v>1954</v>
      </c>
      <c r="J1323">
        <v>1</v>
      </c>
      <c r="K1323">
        <v>1</v>
      </c>
      <c r="L1323">
        <v>0</v>
      </c>
      <c r="M1323">
        <v>3</v>
      </c>
      <c r="N1323" t="s">
        <v>26</v>
      </c>
      <c r="O1323" t="s">
        <v>30</v>
      </c>
      <c r="P1323">
        <v>13.624022690839899</v>
      </c>
      <c r="Q1323">
        <v>0.76827329343566897</v>
      </c>
      <c r="R1323">
        <v>8.7114583262458396</v>
      </c>
      <c r="S1323">
        <v>193</v>
      </c>
      <c r="T1323">
        <v>28</v>
      </c>
      <c r="U1323">
        <v>488.93019197213198</v>
      </c>
      <c r="V1323">
        <v>2.5488530161427302E-3</v>
      </c>
      <c r="W1323">
        <v>848610.75451257196</v>
      </c>
      <c r="X1323" t="s">
        <v>43</v>
      </c>
      <c r="Y1323">
        <f>1-660-684-3372</f>
        <v>-4715</v>
      </c>
    </row>
    <row r="1324" spans="1:25" x14ac:dyDescent="0.35">
      <c r="A1324">
        <v>34.072493103621603</v>
      </c>
      <c r="B1324">
        <v>-121.26256642547099</v>
      </c>
      <c r="C1324" t="s">
        <v>34</v>
      </c>
      <c r="D1324">
        <v>25.8520905156726</v>
      </c>
      <c r="E1324">
        <v>5</v>
      </c>
      <c r="F1324">
        <v>4789</v>
      </c>
      <c r="G1324">
        <v>1</v>
      </c>
      <c r="H1324">
        <v>2</v>
      </c>
      <c r="I1324">
        <v>1962</v>
      </c>
      <c r="J1324">
        <v>1</v>
      </c>
      <c r="K1324">
        <v>1</v>
      </c>
      <c r="L1324">
        <v>1</v>
      </c>
      <c r="M1324">
        <v>10</v>
      </c>
      <c r="N1324" t="s">
        <v>37</v>
      </c>
      <c r="O1324" t="s">
        <v>32</v>
      </c>
      <c r="P1324">
        <v>8.0122781982142897</v>
      </c>
      <c r="Q1324">
        <v>2.0377652522679699</v>
      </c>
      <c r="R1324">
        <v>5.08880724792522</v>
      </c>
      <c r="S1324">
        <v>136</v>
      </c>
      <c r="T1324">
        <v>35</v>
      </c>
      <c r="U1324">
        <v>517.588559741214</v>
      </c>
      <c r="V1324">
        <v>2.08811860513677E-3</v>
      </c>
      <c r="W1324">
        <v>2683722.6087347702</v>
      </c>
      <c r="X1324" t="s">
        <v>33</v>
      </c>
      <c r="Y1324">
        <f>1-212-477-6997</f>
        <v>-7685</v>
      </c>
    </row>
    <row r="1325" spans="1:25" x14ac:dyDescent="0.35">
      <c r="A1325">
        <v>34.9977882897782</v>
      </c>
      <c r="B1325">
        <v>-120.31872680143999</v>
      </c>
      <c r="C1325" t="s">
        <v>34</v>
      </c>
      <c r="D1325">
        <v>38.049624548411302</v>
      </c>
      <c r="E1325">
        <v>2</v>
      </c>
      <c r="F1325">
        <v>612</v>
      </c>
      <c r="G1325">
        <v>3</v>
      </c>
      <c r="H1325">
        <v>2</v>
      </c>
      <c r="I1325">
        <v>1992</v>
      </c>
      <c r="J1325">
        <v>0</v>
      </c>
      <c r="K1325">
        <v>0</v>
      </c>
      <c r="L1325">
        <v>1</v>
      </c>
      <c r="M1325">
        <v>11</v>
      </c>
      <c r="N1325" t="s">
        <v>35</v>
      </c>
      <c r="O1325" t="s">
        <v>27</v>
      </c>
      <c r="P1325">
        <v>14.7411655760838</v>
      </c>
      <c r="Q1325">
        <v>0.841133354865651</v>
      </c>
      <c r="R1325">
        <v>0.81340595414563399</v>
      </c>
      <c r="S1325">
        <v>22</v>
      </c>
      <c r="T1325">
        <v>58</v>
      </c>
      <c r="U1325">
        <v>368.96296323842398</v>
      </c>
      <c r="V1325">
        <v>1.7973856209150301E-2</v>
      </c>
      <c r="W1325">
        <v>601572.23030046804</v>
      </c>
      <c r="X1325" t="s">
        <v>31</v>
      </c>
      <c r="Y1325">
        <f>1-407-799-4658</f>
        <v>-5863</v>
      </c>
    </row>
    <row r="1326" spans="1:25" x14ac:dyDescent="0.35">
      <c r="A1326">
        <v>40.159261891888796</v>
      </c>
      <c r="B1326">
        <v>-124.36446018076001</v>
      </c>
      <c r="C1326" t="s">
        <v>34</v>
      </c>
      <c r="D1326">
        <v>27.8427238324381</v>
      </c>
      <c r="E1326">
        <v>1</v>
      </c>
      <c r="F1326">
        <v>4723</v>
      </c>
      <c r="G1326">
        <v>2</v>
      </c>
      <c r="H1326">
        <v>3</v>
      </c>
      <c r="I1326">
        <v>2002</v>
      </c>
      <c r="J1326">
        <v>1</v>
      </c>
      <c r="K1326">
        <v>1</v>
      </c>
      <c r="L1326">
        <v>1</v>
      </c>
      <c r="M1326">
        <v>10</v>
      </c>
      <c r="N1326" t="s">
        <v>35</v>
      </c>
      <c r="O1326" t="s">
        <v>30</v>
      </c>
      <c r="P1326">
        <v>8.7970515665930797</v>
      </c>
      <c r="Q1326">
        <v>2.4710808504675801</v>
      </c>
      <c r="R1326">
        <v>8.1746532590639003</v>
      </c>
      <c r="S1326">
        <v>116</v>
      </c>
      <c r="T1326">
        <v>66</v>
      </c>
      <c r="U1326">
        <v>807.67481257778797</v>
      </c>
      <c r="V1326">
        <v>2.1172983273343199E-3</v>
      </c>
      <c r="W1326">
        <v>4228835.3466135096</v>
      </c>
      <c r="X1326" t="s">
        <v>31</v>
      </c>
      <c r="Y1326">
        <f>1-465-129-9383</f>
        <v>-9976</v>
      </c>
    </row>
    <row r="1327" spans="1:25" x14ac:dyDescent="0.35">
      <c r="A1327">
        <v>38.703196478600297</v>
      </c>
      <c r="B1327">
        <v>-122.992525979918</v>
      </c>
      <c r="C1327" t="s">
        <v>34</v>
      </c>
      <c r="D1327">
        <v>9.3350246227996507</v>
      </c>
      <c r="E1327">
        <v>9</v>
      </c>
      <c r="F1327">
        <v>3282</v>
      </c>
      <c r="G1327">
        <v>4</v>
      </c>
      <c r="H1327">
        <v>3</v>
      </c>
      <c r="I1327">
        <v>1959</v>
      </c>
      <c r="J1327">
        <v>0</v>
      </c>
      <c r="K1327">
        <v>0</v>
      </c>
      <c r="L1327">
        <v>0</v>
      </c>
      <c r="M1327">
        <v>13</v>
      </c>
      <c r="N1327" t="s">
        <v>41</v>
      </c>
      <c r="O1327" t="s">
        <v>32</v>
      </c>
      <c r="P1327">
        <v>2.0818672402461802</v>
      </c>
      <c r="Q1327">
        <v>2.3923029992873501</v>
      </c>
      <c r="R1327">
        <v>3.22005322854208</v>
      </c>
      <c r="S1327">
        <v>165</v>
      </c>
      <c r="T1327">
        <v>37</v>
      </c>
      <c r="U1327">
        <v>702.88977630417503</v>
      </c>
      <c r="V1327">
        <v>3.9609993906154703E-3</v>
      </c>
      <c r="W1327">
        <v>2398722.6548901401</v>
      </c>
      <c r="X1327" t="s">
        <v>44</v>
      </c>
      <c r="Y1327">
        <f>1-991-376-9291</f>
        <v>-10657</v>
      </c>
    </row>
    <row r="1328" spans="1:25" x14ac:dyDescent="0.35">
      <c r="A1328">
        <v>35.005053143275802</v>
      </c>
      <c r="B1328">
        <v>-118.07577531161201</v>
      </c>
      <c r="C1328" t="s">
        <v>34</v>
      </c>
      <c r="D1328">
        <v>15.121554072000899</v>
      </c>
      <c r="E1328">
        <v>3</v>
      </c>
      <c r="F1328">
        <v>3755</v>
      </c>
      <c r="G1328">
        <v>2</v>
      </c>
      <c r="H1328">
        <v>2</v>
      </c>
      <c r="I1328">
        <v>1957</v>
      </c>
      <c r="J1328">
        <v>0</v>
      </c>
      <c r="K1328">
        <v>1</v>
      </c>
      <c r="L1328">
        <v>0</v>
      </c>
      <c r="M1328">
        <v>12</v>
      </c>
      <c r="N1328" t="s">
        <v>41</v>
      </c>
      <c r="O1328" t="s">
        <v>30</v>
      </c>
      <c r="P1328">
        <v>4.9989735307635703</v>
      </c>
      <c r="Q1328">
        <v>1.0570136875506</v>
      </c>
      <c r="R1328">
        <v>7.7534042679211597</v>
      </c>
      <c r="S1328">
        <v>49</v>
      </c>
      <c r="T1328">
        <v>61</v>
      </c>
      <c r="U1328">
        <v>346.84687323142799</v>
      </c>
      <c r="V1328">
        <v>3.1957390146471298E-3</v>
      </c>
      <c r="W1328">
        <v>1496968.38696277</v>
      </c>
      <c r="X1328" t="s">
        <v>39</v>
      </c>
      <c r="Y1328">
        <f>1-853-969-3313</f>
        <v>-5134</v>
      </c>
    </row>
    <row r="1329" spans="1:25" x14ac:dyDescent="0.35">
      <c r="A1329">
        <v>41.062278253474702</v>
      </c>
      <c r="B1329">
        <v>-121.507869222171</v>
      </c>
      <c r="C1329" t="s">
        <v>25</v>
      </c>
      <c r="D1329">
        <v>42.725887368222899</v>
      </c>
      <c r="E1329">
        <v>3</v>
      </c>
      <c r="F1329">
        <v>1669</v>
      </c>
      <c r="G1329">
        <v>2</v>
      </c>
      <c r="H1329">
        <v>2</v>
      </c>
      <c r="I1329">
        <v>1957</v>
      </c>
      <c r="J1329">
        <v>1</v>
      </c>
      <c r="K1329">
        <v>0</v>
      </c>
      <c r="L1329">
        <v>1</v>
      </c>
      <c r="M1329">
        <v>6</v>
      </c>
      <c r="N1329" t="s">
        <v>37</v>
      </c>
      <c r="O1329" t="s">
        <v>30</v>
      </c>
      <c r="P1329">
        <v>5.5838826771670096</v>
      </c>
      <c r="Q1329">
        <v>2.2632100159816599</v>
      </c>
      <c r="R1329">
        <v>7.5945072161985303</v>
      </c>
      <c r="S1329">
        <v>105</v>
      </c>
      <c r="T1329">
        <v>47</v>
      </c>
      <c r="U1329">
        <v>548.99563631590297</v>
      </c>
      <c r="V1329">
        <v>3.5949670461354099E-3</v>
      </c>
      <c r="W1329">
        <v>1076917.6619015899</v>
      </c>
      <c r="X1329" t="s">
        <v>43</v>
      </c>
      <c r="Y1329">
        <f>1-828-106-2216</f>
        <v>-3149</v>
      </c>
    </row>
    <row r="1330" spans="1:25" x14ac:dyDescent="0.35">
      <c r="A1330">
        <v>37.776366937485598</v>
      </c>
      <c r="B1330">
        <v>-123.726014667367</v>
      </c>
      <c r="C1330" t="s">
        <v>29</v>
      </c>
      <c r="D1330">
        <v>32.169129682076203</v>
      </c>
      <c r="E1330">
        <v>1</v>
      </c>
      <c r="F1330">
        <v>617</v>
      </c>
      <c r="G1330">
        <v>3</v>
      </c>
      <c r="H1330">
        <v>2</v>
      </c>
      <c r="I1330">
        <v>2020</v>
      </c>
      <c r="J1330">
        <v>0</v>
      </c>
      <c r="K1330">
        <v>1</v>
      </c>
      <c r="L1330">
        <v>0</v>
      </c>
      <c r="M1330">
        <v>7</v>
      </c>
      <c r="N1330" t="s">
        <v>37</v>
      </c>
      <c r="O1330" t="s">
        <v>27</v>
      </c>
      <c r="P1330">
        <v>12.9447004495151</v>
      </c>
      <c r="Q1330">
        <v>0.929917031172936</v>
      </c>
      <c r="R1330">
        <v>4.1334674751757703</v>
      </c>
      <c r="S1330">
        <v>156</v>
      </c>
      <c r="T1330">
        <v>35</v>
      </c>
      <c r="U1330">
        <v>617.98130954701696</v>
      </c>
      <c r="V1330">
        <v>1.1345218800648199E-2</v>
      </c>
      <c r="W1330">
        <v>732159.27692891995</v>
      </c>
      <c r="X1330" t="s">
        <v>42</v>
      </c>
      <c r="Y1330">
        <f>1-726-994-4124</f>
        <v>-5843</v>
      </c>
    </row>
    <row r="1331" spans="1:25" x14ac:dyDescent="0.35">
      <c r="A1331">
        <v>33.960579667732098</v>
      </c>
      <c r="B1331">
        <v>-121.82578797379399</v>
      </c>
      <c r="C1331" t="s">
        <v>29</v>
      </c>
      <c r="D1331">
        <v>29.1843871422099</v>
      </c>
      <c r="E1331">
        <v>0</v>
      </c>
      <c r="F1331">
        <v>4362</v>
      </c>
      <c r="G1331">
        <v>2</v>
      </c>
      <c r="H1331">
        <v>2</v>
      </c>
      <c r="I1331">
        <v>1954</v>
      </c>
      <c r="J1331">
        <v>0</v>
      </c>
      <c r="K1331">
        <v>1</v>
      </c>
      <c r="L1331">
        <v>0</v>
      </c>
      <c r="M1331">
        <v>8</v>
      </c>
      <c r="N1331" t="s">
        <v>35</v>
      </c>
      <c r="O1331" t="s">
        <v>30</v>
      </c>
      <c r="P1331">
        <v>5.5049896403157401</v>
      </c>
      <c r="Q1331">
        <v>1.5239218761098601</v>
      </c>
      <c r="R1331">
        <v>5.5833962036791203</v>
      </c>
      <c r="S1331">
        <v>31</v>
      </c>
      <c r="T1331">
        <v>58</v>
      </c>
      <c r="U1331">
        <v>980.85883367650797</v>
      </c>
      <c r="V1331">
        <v>1.8340210912425399E-3</v>
      </c>
      <c r="W1331">
        <v>4469306.8409770699</v>
      </c>
      <c r="X1331" t="s">
        <v>40</v>
      </c>
      <c r="Y1331">
        <f>1-885-301-5152</f>
        <v>-6337</v>
      </c>
    </row>
    <row r="1332" spans="1:25" x14ac:dyDescent="0.35">
      <c r="A1332">
        <v>35.044794547740501</v>
      </c>
      <c r="B1332">
        <v>-121.02459007746999</v>
      </c>
      <c r="C1332" t="s">
        <v>29</v>
      </c>
      <c r="D1332">
        <v>20.4450786354199</v>
      </c>
      <c r="E1332">
        <v>5</v>
      </c>
      <c r="F1332">
        <v>2832</v>
      </c>
      <c r="G1332">
        <v>5</v>
      </c>
      <c r="H1332">
        <v>1</v>
      </c>
      <c r="I1332">
        <v>2015</v>
      </c>
      <c r="J1332">
        <v>1</v>
      </c>
      <c r="K1332">
        <v>1</v>
      </c>
      <c r="L1332">
        <v>1</v>
      </c>
      <c r="M1332">
        <v>14</v>
      </c>
      <c r="N1332" t="s">
        <v>41</v>
      </c>
      <c r="O1332" t="s">
        <v>30</v>
      </c>
      <c r="P1332">
        <v>7.3627768484156801</v>
      </c>
      <c r="Q1332">
        <v>2.0996385532297399</v>
      </c>
      <c r="R1332">
        <v>3.8183493258513002</v>
      </c>
      <c r="S1332">
        <v>146</v>
      </c>
      <c r="T1332">
        <v>38</v>
      </c>
      <c r="U1332">
        <v>586.11846174386199</v>
      </c>
      <c r="V1332">
        <v>4.9435028248587497E-3</v>
      </c>
      <c r="W1332">
        <v>2186233.4181575002</v>
      </c>
      <c r="X1332" t="s">
        <v>43</v>
      </c>
      <c r="Y1332">
        <f>1-934-504-6654</f>
        <v>-8091</v>
      </c>
    </row>
    <row r="1333" spans="1:25" x14ac:dyDescent="0.35">
      <c r="A1333">
        <v>34.480724381713799</v>
      </c>
      <c r="B1333">
        <v>-114.414079820582</v>
      </c>
      <c r="C1333" t="s">
        <v>29</v>
      </c>
      <c r="D1333">
        <v>45.396354179810302</v>
      </c>
      <c r="E1333">
        <v>9</v>
      </c>
      <c r="F1333">
        <v>3494</v>
      </c>
      <c r="G1333">
        <v>5</v>
      </c>
      <c r="H1333">
        <v>2</v>
      </c>
      <c r="I1333">
        <v>1978</v>
      </c>
      <c r="J1333">
        <v>0</v>
      </c>
      <c r="K1333">
        <v>0</v>
      </c>
      <c r="L1333">
        <v>0</v>
      </c>
      <c r="M1333">
        <v>5</v>
      </c>
      <c r="N1333" t="s">
        <v>37</v>
      </c>
      <c r="O1333" t="s">
        <v>32</v>
      </c>
      <c r="P1333">
        <v>7.5592079925455504</v>
      </c>
      <c r="Q1333">
        <v>1.46021839382499</v>
      </c>
      <c r="R1333">
        <v>2.1486783089224799</v>
      </c>
      <c r="S1333">
        <v>64</v>
      </c>
      <c r="T1333">
        <v>25</v>
      </c>
      <c r="U1333">
        <v>683.36775600789099</v>
      </c>
      <c r="V1333">
        <v>1.43102461362335E-3</v>
      </c>
      <c r="W1333">
        <v>2798930.6759219202</v>
      </c>
      <c r="X1333" t="s">
        <v>38</v>
      </c>
      <c r="Y1333">
        <f>1-533-106-5268</f>
        <v>-5906</v>
      </c>
    </row>
    <row r="1334" spans="1:25" x14ac:dyDescent="0.35">
      <c r="A1334">
        <v>32.619934640688101</v>
      </c>
      <c r="B1334">
        <v>-114.60926199645399</v>
      </c>
      <c r="C1334" t="s">
        <v>25</v>
      </c>
      <c r="D1334">
        <v>37.973073269644402</v>
      </c>
      <c r="E1334">
        <v>2</v>
      </c>
      <c r="F1334">
        <v>2301</v>
      </c>
      <c r="G1334">
        <v>2</v>
      </c>
      <c r="H1334">
        <v>3</v>
      </c>
      <c r="I1334">
        <v>1957</v>
      </c>
      <c r="J1334">
        <v>1</v>
      </c>
      <c r="K1334">
        <v>1</v>
      </c>
      <c r="L1334">
        <v>0</v>
      </c>
      <c r="M1334">
        <v>8</v>
      </c>
      <c r="N1334" t="s">
        <v>35</v>
      </c>
      <c r="O1334" t="s">
        <v>32</v>
      </c>
      <c r="P1334">
        <v>8.2004235623727499</v>
      </c>
      <c r="Q1334">
        <v>1.0422249984268599</v>
      </c>
      <c r="R1334">
        <v>2.10912301712415</v>
      </c>
      <c r="S1334">
        <v>32</v>
      </c>
      <c r="T1334">
        <v>29</v>
      </c>
      <c r="U1334">
        <v>684.43729177993498</v>
      </c>
      <c r="V1334">
        <v>3.4767492394611002E-3</v>
      </c>
      <c r="W1334">
        <v>1803420.2961454999</v>
      </c>
      <c r="X1334" t="s">
        <v>42</v>
      </c>
      <c r="Y1334">
        <f>1-405-807-3165</f>
        <v>-4376</v>
      </c>
    </row>
    <row r="1335" spans="1:25" x14ac:dyDescent="0.35">
      <c r="A1335">
        <v>34.879557332660603</v>
      </c>
      <c r="B1335">
        <v>-123.436009872752</v>
      </c>
      <c r="C1335" t="s">
        <v>34</v>
      </c>
      <c r="D1335">
        <v>38.9992751116853</v>
      </c>
      <c r="E1335">
        <v>5</v>
      </c>
      <c r="F1335">
        <v>3388</v>
      </c>
      <c r="G1335">
        <v>2</v>
      </c>
      <c r="H1335">
        <v>3</v>
      </c>
      <c r="I1335">
        <v>1969</v>
      </c>
      <c r="J1335">
        <v>0</v>
      </c>
      <c r="K1335">
        <v>1</v>
      </c>
      <c r="L1335">
        <v>1</v>
      </c>
      <c r="M1335">
        <v>4</v>
      </c>
      <c r="N1335" t="s">
        <v>26</v>
      </c>
      <c r="O1335" t="s">
        <v>27</v>
      </c>
      <c r="P1335">
        <v>2.2867814225052898</v>
      </c>
      <c r="Q1335">
        <v>0.59362387642721104</v>
      </c>
      <c r="R1335">
        <v>3.8567525224137098</v>
      </c>
      <c r="S1335">
        <v>54</v>
      </c>
      <c r="T1335">
        <v>39</v>
      </c>
      <c r="U1335">
        <v>268.19339337995302</v>
      </c>
      <c r="V1335">
        <v>1.1806375442739E-3</v>
      </c>
      <c r="W1335">
        <v>1142056.1838644401</v>
      </c>
      <c r="X1335" t="s">
        <v>33</v>
      </c>
      <c r="Y1335">
        <f>1-454-889-8231</f>
        <v>-9573</v>
      </c>
    </row>
    <row r="1336" spans="1:25" x14ac:dyDescent="0.35">
      <c r="A1336">
        <v>34.303501396483703</v>
      </c>
      <c r="B1336">
        <v>-121.368022617157</v>
      </c>
      <c r="C1336" t="s">
        <v>34</v>
      </c>
      <c r="D1336">
        <v>34.515971992421697</v>
      </c>
      <c r="E1336">
        <v>7</v>
      </c>
      <c r="F1336">
        <v>4767</v>
      </c>
      <c r="G1336">
        <v>4</v>
      </c>
      <c r="H1336">
        <v>2</v>
      </c>
      <c r="I1336">
        <v>2002</v>
      </c>
      <c r="J1336">
        <v>0</v>
      </c>
      <c r="K1336">
        <v>0</v>
      </c>
      <c r="L1336">
        <v>1</v>
      </c>
      <c r="M1336">
        <v>7</v>
      </c>
      <c r="N1336" t="s">
        <v>26</v>
      </c>
      <c r="O1336" t="s">
        <v>27</v>
      </c>
      <c r="P1336">
        <v>11.511310213643201</v>
      </c>
      <c r="Q1336">
        <v>1.4374641163878601</v>
      </c>
      <c r="R1336">
        <v>5.7325651640495403</v>
      </c>
      <c r="S1336">
        <v>173</v>
      </c>
      <c r="T1336">
        <v>58</v>
      </c>
      <c r="U1336">
        <v>273.614193827657</v>
      </c>
      <c r="V1336">
        <v>1.46842878120411E-3</v>
      </c>
      <c r="W1336">
        <v>1580010.6203630799</v>
      </c>
      <c r="X1336" t="s">
        <v>39</v>
      </c>
      <c r="Y1336">
        <f>1-677-650-7903</f>
        <v>-9229</v>
      </c>
    </row>
    <row r="1337" spans="1:25" x14ac:dyDescent="0.35">
      <c r="A1337">
        <v>40.625919854225202</v>
      </c>
      <c r="B1337">
        <v>-123.036782174092</v>
      </c>
      <c r="C1337" t="s">
        <v>29</v>
      </c>
      <c r="D1337">
        <v>11.836109089300701</v>
      </c>
      <c r="E1337">
        <v>7</v>
      </c>
      <c r="F1337">
        <v>3915</v>
      </c>
      <c r="G1337">
        <v>3</v>
      </c>
      <c r="H1337">
        <v>2</v>
      </c>
      <c r="I1337">
        <v>1978</v>
      </c>
      <c r="J1337">
        <v>1</v>
      </c>
      <c r="K1337">
        <v>0</v>
      </c>
      <c r="L1337">
        <v>1</v>
      </c>
      <c r="M1337">
        <v>7</v>
      </c>
      <c r="N1337" t="s">
        <v>26</v>
      </c>
      <c r="O1337" t="s">
        <v>32</v>
      </c>
      <c r="P1337">
        <v>7.3309094949573899</v>
      </c>
      <c r="Q1337">
        <v>0.51828708483191399</v>
      </c>
      <c r="R1337">
        <v>8.9833350846935698</v>
      </c>
      <c r="S1337">
        <v>97</v>
      </c>
      <c r="T1337">
        <v>56</v>
      </c>
      <c r="U1337">
        <v>635.08897651834195</v>
      </c>
      <c r="V1337">
        <v>1.78799489144316E-3</v>
      </c>
      <c r="W1337">
        <v>2769282.7521971902</v>
      </c>
      <c r="X1337" t="s">
        <v>33</v>
      </c>
      <c r="Y1337">
        <f>1-714-882-4017</f>
        <v>-5612</v>
      </c>
    </row>
    <row r="1338" spans="1:25" x14ac:dyDescent="0.35">
      <c r="A1338">
        <v>35.2013413580395</v>
      </c>
      <c r="B1338">
        <v>-118.146232150095</v>
      </c>
      <c r="C1338" t="s">
        <v>34</v>
      </c>
      <c r="D1338">
        <v>9.3842501587310707</v>
      </c>
      <c r="E1338">
        <v>8</v>
      </c>
      <c r="F1338">
        <v>2925</v>
      </c>
      <c r="G1338">
        <v>2</v>
      </c>
      <c r="H1338">
        <v>2</v>
      </c>
      <c r="I1338">
        <v>1998</v>
      </c>
      <c r="J1338">
        <v>0</v>
      </c>
      <c r="K1338">
        <v>1</v>
      </c>
      <c r="L1338">
        <v>1</v>
      </c>
      <c r="M1338">
        <v>6</v>
      </c>
      <c r="N1338" t="s">
        <v>41</v>
      </c>
      <c r="O1338" t="s">
        <v>32</v>
      </c>
      <c r="P1338">
        <v>14.838579148734301</v>
      </c>
      <c r="Q1338">
        <v>1.35356457485172</v>
      </c>
      <c r="R1338">
        <v>9.9008741933132995</v>
      </c>
      <c r="S1338">
        <v>38</v>
      </c>
      <c r="T1338">
        <v>64</v>
      </c>
      <c r="U1338">
        <v>547.12276293028799</v>
      </c>
      <c r="V1338">
        <v>2.05128205128205E-3</v>
      </c>
      <c r="W1338">
        <v>1974600.8318209201</v>
      </c>
      <c r="X1338" t="s">
        <v>38</v>
      </c>
      <c r="Y1338">
        <f>1-937-310-2169</f>
        <v>-3415</v>
      </c>
    </row>
    <row r="1339" spans="1:25" x14ac:dyDescent="0.35">
      <c r="A1339">
        <v>33.408065515648097</v>
      </c>
      <c r="B1339">
        <v>-117.126389797627</v>
      </c>
      <c r="C1339" t="s">
        <v>34</v>
      </c>
      <c r="D1339">
        <v>6.8362627364050299</v>
      </c>
      <c r="E1339">
        <v>4</v>
      </c>
      <c r="F1339">
        <v>1541</v>
      </c>
      <c r="G1339">
        <v>4</v>
      </c>
      <c r="H1339">
        <v>3</v>
      </c>
      <c r="I1339">
        <v>2022</v>
      </c>
      <c r="J1339">
        <v>0</v>
      </c>
      <c r="K1339">
        <v>0</v>
      </c>
      <c r="L1339">
        <v>0</v>
      </c>
      <c r="M1339">
        <v>14</v>
      </c>
      <c r="N1339" t="s">
        <v>26</v>
      </c>
      <c r="O1339" t="s">
        <v>27</v>
      </c>
      <c r="P1339">
        <v>6.6262707348093004</v>
      </c>
      <c r="Q1339">
        <v>0.87423003744333805</v>
      </c>
      <c r="R1339">
        <v>1.8850486895361001</v>
      </c>
      <c r="S1339">
        <v>196</v>
      </c>
      <c r="T1339">
        <v>31</v>
      </c>
      <c r="U1339">
        <v>595.23769197151796</v>
      </c>
      <c r="V1339">
        <v>9.0850097339389996E-3</v>
      </c>
      <c r="W1339">
        <v>1115083.1410077601</v>
      </c>
      <c r="X1339" t="s">
        <v>33</v>
      </c>
      <c r="Y1339">
        <f>1-963-824-6316</f>
        <v>-8102</v>
      </c>
    </row>
    <row r="1340" spans="1:25" x14ac:dyDescent="0.35">
      <c r="A1340">
        <v>40.0484739772523</v>
      </c>
      <c r="B1340">
        <v>-123.393497599447</v>
      </c>
      <c r="C1340" t="s">
        <v>25</v>
      </c>
      <c r="D1340">
        <v>38.632307967501703</v>
      </c>
      <c r="E1340">
        <v>1</v>
      </c>
      <c r="F1340">
        <v>4714</v>
      </c>
      <c r="G1340">
        <v>2</v>
      </c>
      <c r="H1340">
        <v>1</v>
      </c>
      <c r="I1340">
        <v>1950</v>
      </c>
      <c r="J1340">
        <v>1</v>
      </c>
      <c r="K1340">
        <v>0</v>
      </c>
      <c r="L1340">
        <v>1</v>
      </c>
      <c r="M1340">
        <v>13</v>
      </c>
      <c r="N1340" t="s">
        <v>41</v>
      </c>
      <c r="O1340" t="s">
        <v>32</v>
      </c>
      <c r="P1340">
        <v>8.7037113002210305</v>
      </c>
      <c r="Q1340">
        <v>1.9008796426037999</v>
      </c>
      <c r="R1340">
        <v>9.7054757353795296</v>
      </c>
      <c r="S1340">
        <v>140</v>
      </c>
      <c r="T1340">
        <v>21</v>
      </c>
      <c r="U1340">
        <v>351.550435699616</v>
      </c>
      <c r="V1340">
        <v>2.7577428935086899E-3</v>
      </c>
      <c r="W1340">
        <v>1732983.34148326</v>
      </c>
      <c r="X1340" t="s">
        <v>33</v>
      </c>
      <c r="Y1340">
        <f>1-447-536-8222</f>
        <v>-9204</v>
      </c>
    </row>
    <row r="1341" spans="1:25" x14ac:dyDescent="0.35">
      <c r="A1341">
        <v>35.055010334542899</v>
      </c>
      <c r="B1341">
        <v>-124.374016453734</v>
      </c>
      <c r="C1341" t="s">
        <v>25</v>
      </c>
      <c r="D1341">
        <v>2.0448673998506401</v>
      </c>
      <c r="E1341">
        <v>7</v>
      </c>
      <c r="F1341">
        <v>1544</v>
      </c>
      <c r="G1341">
        <v>5</v>
      </c>
      <c r="H1341">
        <v>2</v>
      </c>
      <c r="I1341">
        <v>1985</v>
      </c>
      <c r="J1341">
        <v>0</v>
      </c>
      <c r="K1341">
        <v>0</v>
      </c>
      <c r="L1341">
        <v>0</v>
      </c>
      <c r="M1341">
        <v>2</v>
      </c>
      <c r="N1341" t="s">
        <v>41</v>
      </c>
      <c r="O1341" t="s">
        <v>27</v>
      </c>
      <c r="P1341">
        <v>8.6249051969316497</v>
      </c>
      <c r="Q1341">
        <v>1.92949102933062</v>
      </c>
      <c r="R1341">
        <v>0.57869642185320003</v>
      </c>
      <c r="S1341">
        <v>54</v>
      </c>
      <c r="T1341">
        <v>69</v>
      </c>
      <c r="U1341">
        <v>613.91002215173</v>
      </c>
      <c r="V1341">
        <v>1.2953367875647599E-3</v>
      </c>
      <c r="W1341">
        <v>1353459.09904573</v>
      </c>
      <c r="X1341" t="s">
        <v>28</v>
      </c>
      <c r="Y1341">
        <f>1-883-281-5092</f>
        <v>-6255</v>
      </c>
    </row>
    <row r="1342" spans="1:25" x14ac:dyDescent="0.35">
      <c r="A1342">
        <v>39.601242879974897</v>
      </c>
      <c r="B1342">
        <v>-121.687923812389</v>
      </c>
      <c r="C1342" t="s">
        <v>25</v>
      </c>
      <c r="D1342">
        <v>24.8402550569864</v>
      </c>
      <c r="E1342">
        <v>3</v>
      </c>
      <c r="F1342">
        <v>951</v>
      </c>
      <c r="G1342">
        <v>2</v>
      </c>
      <c r="H1342">
        <v>1</v>
      </c>
      <c r="I1342">
        <v>1975</v>
      </c>
      <c r="J1342">
        <v>1</v>
      </c>
      <c r="K1342">
        <v>1</v>
      </c>
      <c r="L1342">
        <v>1</v>
      </c>
      <c r="M1342">
        <v>4</v>
      </c>
      <c r="N1342" t="s">
        <v>37</v>
      </c>
      <c r="O1342" t="s">
        <v>27</v>
      </c>
      <c r="P1342">
        <v>6.7984246032124398</v>
      </c>
      <c r="Q1342">
        <v>0.73412465184773801</v>
      </c>
      <c r="R1342">
        <v>2.4166857464311802</v>
      </c>
      <c r="S1342">
        <v>155</v>
      </c>
      <c r="T1342">
        <v>33</v>
      </c>
      <c r="U1342">
        <v>675.11617180347298</v>
      </c>
      <c r="V1342">
        <v>4.2060988433228102E-3</v>
      </c>
      <c r="W1342">
        <v>903046.98195790802</v>
      </c>
      <c r="X1342" t="s">
        <v>38</v>
      </c>
      <c r="Y1342">
        <f>1-686-322-6620</f>
        <v>-7627</v>
      </c>
    </row>
    <row r="1343" spans="1:25" x14ac:dyDescent="0.35">
      <c r="A1343">
        <v>39.668650073493502</v>
      </c>
      <c r="B1343">
        <v>-114.993171995624</v>
      </c>
      <c r="C1343" t="s">
        <v>34</v>
      </c>
      <c r="D1343">
        <v>14.697226831125001</v>
      </c>
      <c r="E1343">
        <v>0</v>
      </c>
      <c r="F1343">
        <v>2071</v>
      </c>
      <c r="G1343">
        <v>3</v>
      </c>
      <c r="H1343">
        <v>3</v>
      </c>
      <c r="I1343">
        <v>2004</v>
      </c>
      <c r="J1343">
        <v>1</v>
      </c>
      <c r="K1343">
        <v>0</v>
      </c>
      <c r="L1343">
        <v>0</v>
      </c>
      <c r="M1343">
        <v>10</v>
      </c>
      <c r="N1343" t="s">
        <v>26</v>
      </c>
      <c r="O1343" t="s">
        <v>32</v>
      </c>
      <c r="P1343">
        <v>12.3056148604227</v>
      </c>
      <c r="Q1343">
        <v>1.6956611643844199</v>
      </c>
      <c r="R1343">
        <v>1.52476187899632</v>
      </c>
      <c r="S1343">
        <v>133</v>
      </c>
      <c r="T1343">
        <v>26</v>
      </c>
      <c r="U1343">
        <v>326.829799453117</v>
      </c>
      <c r="V1343">
        <v>4.8285852245292102E-3</v>
      </c>
      <c r="W1343">
        <v>980511.80821897299</v>
      </c>
      <c r="X1343" t="s">
        <v>42</v>
      </c>
      <c r="Y1343">
        <f>1-817-470-7261</f>
        <v>-8547</v>
      </c>
    </row>
    <row r="1344" spans="1:25" x14ac:dyDescent="0.35">
      <c r="A1344">
        <v>39.4366112188332</v>
      </c>
      <c r="B1344">
        <v>-116.269369714158</v>
      </c>
      <c r="C1344" t="s">
        <v>29</v>
      </c>
      <c r="D1344">
        <v>22.322206508191801</v>
      </c>
      <c r="E1344">
        <v>2</v>
      </c>
      <c r="F1344">
        <v>4809</v>
      </c>
      <c r="G1344">
        <v>1</v>
      </c>
      <c r="H1344">
        <v>3</v>
      </c>
      <c r="I1344">
        <v>1951</v>
      </c>
      <c r="J1344">
        <v>0</v>
      </c>
      <c r="K1344">
        <v>1</v>
      </c>
      <c r="L1344">
        <v>0</v>
      </c>
      <c r="M1344">
        <v>9</v>
      </c>
      <c r="N1344" t="s">
        <v>26</v>
      </c>
      <c r="O1344" t="s">
        <v>27</v>
      </c>
      <c r="P1344">
        <v>7.4501818539526399</v>
      </c>
      <c r="Q1344">
        <v>2.29211145124086</v>
      </c>
      <c r="R1344">
        <v>2.8938926372726499</v>
      </c>
      <c r="S1344">
        <v>187</v>
      </c>
      <c r="T1344">
        <v>42</v>
      </c>
      <c r="U1344">
        <v>834.14109855679101</v>
      </c>
      <c r="V1344">
        <v>1.87149095446038E-3</v>
      </c>
      <c r="W1344">
        <v>4188004.2725900598</v>
      </c>
      <c r="X1344" t="s">
        <v>42</v>
      </c>
      <c r="Y1344">
        <f>1-376-390-6478</f>
        <v>-7243</v>
      </c>
    </row>
    <row r="1345" spans="1:25" x14ac:dyDescent="0.35">
      <c r="A1345">
        <v>38.391213864470799</v>
      </c>
      <c r="B1345">
        <v>-119.152700210744</v>
      </c>
      <c r="C1345" t="s">
        <v>29</v>
      </c>
      <c r="D1345">
        <v>34.411637061507001</v>
      </c>
      <c r="E1345">
        <v>9</v>
      </c>
      <c r="F1345">
        <v>4329</v>
      </c>
      <c r="G1345">
        <v>4</v>
      </c>
      <c r="H1345">
        <v>3</v>
      </c>
      <c r="I1345">
        <v>1999</v>
      </c>
      <c r="J1345">
        <v>0</v>
      </c>
      <c r="K1345">
        <v>1</v>
      </c>
      <c r="L1345">
        <v>0</v>
      </c>
      <c r="M1345">
        <v>8</v>
      </c>
      <c r="N1345" t="s">
        <v>26</v>
      </c>
      <c r="O1345" t="s">
        <v>30</v>
      </c>
      <c r="P1345">
        <v>5.2240452453227997</v>
      </c>
      <c r="Q1345">
        <v>1.1757654507580899</v>
      </c>
      <c r="R1345">
        <v>7.589344163472</v>
      </c>
      <c r="S1345">
        <v>48</v>
      </c>
      <c r="T1345">
        <v>43</v>
      </c>
      <c r="U1345">
        <v>375.74398113341698</v>
      </c>
      <c r="V1345">
        <v>1.8480018480018399E-3</v>
      </c>
      <c r="W1345">
        <v>2018294.2231546701</v>
      </c>
      <c r="X1345" t="s">
        <v>39</v>
      </c>
      <c r="Y1345">
        <f>1-833-809-4109</f>
        <v>-5750</v>
      </c>
    </row>
    <row r="1346" spans="1:25" x14ac:dyDescent="0.35">
      <c r="A1346">
        <v>34.216269971325701</v>
      </c>
      <c r="B1346">
        <v>-120.553475765587</v>
      </c>
      <c r="C1346" t="s">
        <v>25</v>
      </c>
      <c r="D1346">
        <v>27.367256997770699</v>
      </c>
      <c r="E1346">
        <v>8</v>
      </c>
      <c r="F1346">
        <v>1181</v>
      </c>
      <c r="G1346">
        <v>4</v>
      </c>
      <c r="H1346">
        <v>3</v>
      </c>
      <c r="I1346">
        <v>2021</v>
      </c>
      <c r="J1346">
        <v>0</v>
      </c>
      <c r="K1346">
        <v>0</v>
      </c>
      <c r="L1346">
        <v>0</v>
      </c>
      <c r="M1346">
        <v>10</v>
      </c>
      <c r="N1346" t="s">
        <v>35</v>
      </c>
      <c r="O1346" t="s">
        <v>30</v>
      </c>
      <c r="P1346">
        <v>6.0491543954554796</v>
      </c>
      <c r="Q1346">
        <v>1.7843403092999399</v>
      </c>
      <c r="R1346">
        <v>2.72854385994449</v>
      </c>
      <c r="S1346">
        <v>123</v>
      </c>
      <c r="T1346">
        <v>54</v>
      </c>
      <c r="U1346">
        <v>252.54650271886501</v>
      </c>
      <c r="V1346">
        <v>8.4674005080440304E-3</v>
      </c>
      <c r="W1346">
        <v>541565.87608572596</v>
      </c>
      <c r="X1346" t="s">
        <v>42</v>
      </c>
      <c r="Y1346">
        <f>1-406-707-3479</f>
        <v>-4591</v>
      </c>
    </row>
    <row r="1347" spans="1:25" x14ac:dyDescent="0.35">
      <c r="A1347">
        <v>35.584754425771202</v>
      </c>
      <c r="B1347">
        <v>-124.496062199503</v>
      </c>
      <c r="C1347" t="s">
        <v>34</v>
      </c>
      <c r="D1347">
        <v>27.5131837413448</v>
      </c>
      <c r="E1347">
        <v>4</v>
      </c>
      <c r="F1347">
        <v>1057</v>
      </c>
      <c r="G1347">
        <v>1</v>
      </c>
      <c r="H1347">
        <v>2</v>
      </c>
      <c r="I1347">
        <v>2001</v>
      </c>
      <c r="J1347">
        <v>0</v>
      </c>
      <c r="K1347">
        <v>1</v>
      </c>
      <c r="L1347">
        <v>0</v>
      </c>
      <c r="M1347">
        <v>12</v>
      </c>
      <c r="N1347" t="s">
        <v>37</v>
      </c>
      <c r="O1347" t="s">
        <v>27</v>
      </c>
      <c r="P1347">
        <v>9.3230118104985191</v>
      </c>
      <c r="Q1347">
        <v>1.30024128537594</v>
      </c>
      <c r="R1347">
        <v>4.95499090190118</v>
      </c>
      <c r="S1347">
        <v>5</v>
      </c>
      <c r="T1347">
        <v>43</v>
      </c>
      <c r="U1347">
        <v>717.10907508740797</v>
      </c>
      <c r="V1347">
        <v>1.13528855250709E-2</v>
      </c>
      <c r="W1347">
        <v>987342.65653843398</v>
      </c>
      <c r="X1347" t="s">
        <v>31</v>
      </c>
      <c r="Y1347">
        <f>1-894-211-1448</f>
        <v>-2552</v>
      </c>
    </row>
    <row r="1348" spans="1:25" x14ac:dyDescent="0.35">
      <c r="A1348">
        <v>33.724415569449398</v>
      </c>
      <c r="B1348">
        <v>-123.02795880203</v>
      </c>
      <c r="C1348" t="s">
        <v>29</v>
      </c>
      <c r="D1348">
        <v>1.5451353300273301</v>
      </c>
      <c r="E1348">
        <v>3</v>
      </c>
      <c r="F1348">
        <v>2620</v>
      </c>
      <c r="G1348">
        <v>2</v>
      </c>
      <c r="H1348">
        <v>2</v>
      </c>
      <c r="I1348">
        <v>1990</v>
      </c>
      <c r="J1348">
        <v>1</v>
      </c>
      <c r="K1348">
        <v>1</v>
      </c>
      <c r="L1348">
        <v>0</v>
      </c>
      <c r="M1348">
        <v>10</v>
      </c>
      <c r="N1348" t="s">
        <v>35</v>
      </c>
      <c r="O1348" t="s">
        <v>32</v>
      </c>
      <c r="P1348">
        <v>13.451075979514201</v>
      </c>
      <c r="Q1348">
        <v>2.07580181133061</v>
      </c>
      <c r="R1348">
        <v>0.43371642559509799</v>
      </c>
      <c r="S1348">
        <v>24</v>
      </c>
      <c r="T1348">
        <v>36</v>
      </c>
      <c r="U1348">
        <v>651.03537796939099</v>
      </c>
      <c r="V1348">
        <v>3.81679389312977E-3</v>
      </c>
      <c r="W1348">
        <v>2082065.8098135199</v>
      </c>
      <c r="X1348" t="s">
        <v>28</v>
      </c>
      <c r="Y1348">
        <f>1-713-697-8623</f>
        <v>-10032</v>
      </c>
    </row>
    <row r="1349" spans="1:25" x14ac:dyDescent="0.35">
      <c r="A1349">
        <v>39.567749066504902</v>
      </c>
      <c r="B1349">
        <v>-114.51750686466799</v>
      </c>
      <c r="C1349" t="s">
        <v>29</v>
      </c>
      <c r="D1349">
        <v>13.9100988724255</v>
      </c>
      <c r="E1349">
        <v>6</v>
      </c>
      <c r="F1349">
        <v>4026</v>
      </c>
      <c r="G1349">
        <v>3</v>
      </c>
      <c r="H1349">
        <v>1</v>
      </c>
      <c r="I1349">
        <v>1972</v>
      </c>
      <c r="J1349">
        <v>0</v>
      </c>
      <c r="K1349">
        <v>0</v>
      </c>
      <c r="L1349">
        <v>1</v>
      </c>
      <c r="M1349">
        <v>5</v>
      </c>
      <c r="N1349" t="s">
        <v>35</v>
      </c>
      <c r="O1349" t="s">
        <v>32</v>
      </c>
      <c r="P1349">
        <v>6.65687025813902</v>
      </c>
      <c r="Q1349">
        <v>2.2002830370441302</v>
      </c>
      <c r="R1349">
        <v>8.5601988283725508</v>
      </c>
      <c r="S1349">
        <v>18</v>
      </c>
      <c r="T1349">
        <v>77</v>
      </c>
      <c r="U1349">
        <v>231.03174464487299</v>
      </c>
      <c r="V1349">
        <v>1.2419274714356599E-3</v>
      </c>
      <c r="W1349">
        <v>1136034.00777496</v>
      </c>
      <c r="X1349" t="s">
        <v>36</v>
      </c>
      <c r="Y1349">
        <f>1-853-703-4946</f>
        <v>-6501</v>
      </c>
    </row>
    <row r="1350" spans="1:25" x14ac:dyDescent="0.35">
      <c r="A1350">
        <v>37.7266127395743</v>
      </c>
      <c r="B1350">
        <v>-114.533240163241</v>
      </c>
      <c r="C1350" t="s">
        <v>34</v>
      </c>
      <c r="D1350">
        <v>19.048369196570999</v>
      </c>
      <c r="E1350">
        <v>2</v>
      </c>
      <c r="F1350">
        <v>2464</v>
      </c>
      <c r="G1350">
        <v>5</v>
      </c>
      <c r="H1350">
        <v>1</v>
      </c>
      <c r="I1350">
        <v>2009</v>
      </c>
      <c r="J1350">
        <v>0</v>
      </c>
      <c r="K1350">
        <v>0</v>
      </c>
      <c r="L1350">
        <v>0</v>
      </c>
      <c r="M1350">
        <v>2</v>
      </c>
      <c r="N1350" t="s">
        <v>35</v>
      </c>
      <c r="O1350" t="s">
        <v>30</v>
      </c>
      <c r="P1350">
        <v>7.7161929234533702</v>
      </c>
      <c r="Q1350">
        <v>1.6117135997833001</v>
      </c>
      <c r="R1350">
        <v>2.43564691385239</v>
      </c>
      <c r="S1350">
        <v>0</v>
      </c>
      <c r="T1350">
        <v>43</v>
      </c>
      <c r="U1350">
        <v>864.57540221980105</v>
      </c>
      <c r="V1350">
        <v>8.1168831168831098E-4</v>
      </c>
      <c r="W1350">
        <v>2475171.7480770899</v>
      </c>
      <c r="X1350" t="s">
        <v>31</v>
      </c>
      <c r="Y1350">
        <f>1-574-206-8527</f>
        <v>-9306</v>
      </c>
    </row>
    <row r="1351" spans="1:25" x14ac:dyDescent="0.35">
      <c r="A1351">
        <v>36.526551414352397</v>
      </c>
      <c r="B1351">
        <v>-123.60621628036399</v>
      </c>
      <c r="C1351" t="s">
        <v>29</v>
      </c>
      <c r="D1351">
        <v>28.627720031222101</v>
      </c>
      <c r="E1351">
        <v>4</v>
      </c>
      <c r="F1351">
        <v>4647</v>
      </c>
      <c r="G1351">
        <v>4</v>
      </c>
      <c r="H1351">
        <v>1</v>
      </c>
      <c r="I1351">
        <v>1996</v>
      </c>
      <c r="J1351">
        <v>0</v>
      </c>
      <c r="K1351">
        <v>1</v>
      </c>
      <c r="L1351">
        <v>1</v>
      </c>
      <c r="M1351">
        <v>6</v>
      </c>
      <c r="N1351" t="s">
        <v>41</v>
      </c>
      <c r="O1351" t="s">
        <v>27</v>
      </c>
      <c r="P1351">
        <v>9.5633953549432107</v>
      </c>
      <c r="Q1351">
        <v>0.64253011353172795</v>
      </c>
      <c r="R1351">
        <v>0.13644382440481301</v>
      </c>
      <c r="S1351">
        <v>175</v>
      </c>
      <c r="T1351">
        <v>36</v>
      </c>
      <c r="U1351">
        <v>828.400634561635</v>
      </c>
      <c r="V1351">
        <v>1.2911555842479001E-3</v>
      </c>
      <c r="W1351">
        <v>4240090.01177797</v>
      </c>
      <c r="X1351" t="s">
        <v>44</v>
      </c>
      <c r="Y1351">
        <f>1-498-447-1844</f>
        <v>-2788</v>
      </c>
    </row>
    <row r="1352" spans="1:25" x14ac:dyDescent="0.35">
      <c r="A1352">
        <v>34.9778302741963</v>
      </c>
      <c r="B1352">
        <v>-122.737799878199</v>
      </c>
      <c r="C1352" t="s">
        <v>25</v>
      </c>
      <c r="D1352">
        <v>26.275895839578698</v>
      </c>
      <c r="E1352">
        <v>4</v>
      </c>
      <c r="F1352">
        <v>602</v>
      </c>
      <c r="G1352">
        <v>3</v>
      </c>
      <c r="H1352">
        <v>3</v>
      </c>
      <c r="I1352">
        <v>1985</v>
      </c>
      <c r="J1352">
        <v>0</v>
      </c>
      <c r="K1352">
        <v>1</v>
      </c>
      <c r="L1352">
        <v>1</v>
      </c>
      <c r="M1352">
        <v>14</v>
      </c>
      <c r="N1352" t="s">
        <v>41</v>
      </c>
      <c r="O1352" t="s">
        <v>27</v>
      </c>
      <c r="P1352">
        <v>6.75346853277218</v>
      </c>
      <c r="Q1352">
        <v>1.1464012470845599</v>
      </c>
      <c r="R1352">
        <v>8.1199777902453096</v>
      </c>
      <c r="S1352">
        <v>165</v>
      </c>
      <c r="T1352">
        <v>27</v>
      </c>
      <c r="U1352">
        <v>423.18835157209998</v>
      </c>
      <c r="V1352">
        <v>2.3255813953488299E-2</v>
      </c>
      <c r="W1352">
        <v>578675.151314485</v>
      </c>
      <c r="X1352" t="s">
        <v>43</v>
      </c>
      <c r="Y1352">
        <f>1-210-315-4540</f>
        <v>-5064</v>
      </c>
    </row>
    <row r="1353" spans="1:25" x14ac:dyDescent="0.35">
      <c r="A1353">
        <v>32.529670379909902</v>
      </c>
      <c r="B1353">
        <v>-121.70456764420901</v>
      </c>
      <c r="C1353" t="s">
        <v>34</v>
      </c>
      <c r="D1353">
        <v>37.132612177799103</v>
      </c>
      <c r="E1353">
        <v>5</v>
      </c>
      <c r="F1353">
        <v>1316</v>
      </c>
      <c r="G1353">
        <v>3</v>
      </c>
      <c r="H1353">
        <v>1</v>
      </c>
      <c r="I1353">
        <v>1965</v>
      </c>
      <c r="J1353">
        <v>0</v>
      </c>
      <c r="K1353">
        <v>1</v>
      </c>
      <c r="L1353">
        <v>1</v>
      </c>
      <c r="M1353">
        <v>6</v>
      </c>
      <c r="N1353" t="s">
        <v>37</v>
      </c>
      <c r="O1353" t="s">
        <v>27</v>
      </c>
      <c r="P1353">
        <v>14.7235105394948</v>
      </c>
      <c r="Q1353">
        <v>2.4074066471444699</v>
      </c>
      <c r="R1353">
        <v>8.8688212032685705</v>
      </c>
      <c r="S1353">
        <v>185</v>
      </c>
      <c r="T1353">
        <v>31</v>
      </c>
      <c r="U1353">
        <v>919.37218932782696</v>
      </c>
      <c r="V1353">
        <v>4.5592705167173198E-3</v>
      </c>
      <c r="W1353">
        <v>1584604.3824917399</v>
      </c>
      <c r="X1353" t="s">
        <v>36</v>
      </c>
      <c r="Y1353">
        <f>1-664-724-4496</f>
        <v>-5883</v>
      </c>
    </row>
    <row r="1354" spans="1:25" x14ac:dyDescent="0.35">
      <c r="A1354">
        <v>37.933288590298901</v>
      </c>
      <c r="B1354">
        <v>-124.05657004246299</v>
      </c>
      <c r="C1354" t="s">
        <v>25</v>
      </c>
      <c r="D1354">
        <v>23.622150131137499</v>
      </c>
      <c r="E1354">
        <v>9</v>
      </c>
      <c r="F1354">
        <v>4687</v>
      </c>
      <c r="G1354">
        <v>5</v>
      </c>
      <c r="H1354">
        <v>3</v>
      </c>
      <c r="I1354">
        <v>1998</v>
      </c>
      <c r="J1354">
        <v>0</v>
      </c>
      <c r="K1354">
        <v>0</v>
      </c>
      <c r="L1354">
        <v>1</v>
      </c>
      <c r="M1354">
        <v>3</v>
      </c>
      <c r="N1354" t="s">
        <v>41</v>
      </c>
      <c r="O1354" t="s">
        <v>30</v>
      </c>
      <c r="P1354">
        <v>6.38848129573039</v>
      </c>
      <c r="Q1354">
        <v>0.92913763473087296</v>
      </c>
      <c r="R1354">
        <v>2.02933193644242</v>
      </c>
      <c r="S1354">
        <v>191</v>
      </c>
      <c r="T1354">
        <v>69</v>
      </c>
      <c r="U1354">
        <v>863.28135965510103</v>
      </c>
      <c r="V1354">
        <v>6.4006827394922099E-4</v>
      </c>
      <c r="W1354">
        <v>4353699.5193837099</v>
      </c>
      <c r="X1354" t="s">
        <v>40</v>
      </c>
      <c r="Y1354">
        <f>1-562-463-8998</f>
        <v>-10022</v>
      </c>
    </row>
    <row r="1355" spans="1:25" x14ac:dyDescent="0.35">
      <c r="A1355">
        <v>41.467726900659798</v>
      </c>
      <c r="B1355">
        <v>-119.704713009518</v>
      </c>
      <c r="C1355" t="s">
        <v>25</v>
      </c>
      <c r="D1355">
        <v>24.0278844362089</v>
      </c>
      <c r="E1355">
        <v>5</v>
      </c>
      <c r="F1355">
        <v>2089</v>
      </c>
      <c r="G1355">
        <v>3</v>
      </c>
      <c r="H1355">
        <v>1</v>
      </c>
      <c r="I1355">
        <v>1993</v>
      </c>
      <c r="J1355">
        <v>0</v>
      </c>
      <c r="K1355">
        <v>0</v>
      </c>
      <c r="L1355">
        <v>1</v>
      </c>
      <c r="M1355">
        <v>14</v>
      </c>
      <c r="N1355" t="s">
        <v>35</v>
      </c>
      <c r="O1355" t="s">
        <v>30</v>
      </c>
      <c r="P1355">
        <v>8.7537141735282002</v>
      </c>
      <c r="Q1355">
        <v>1.1030229438666701</v>
      </c>
      <c r="R1355">
        <v>1.3000293189758201</v>
      </c>
      <c r="S1355">
        <v>139</v>
      </c>
      <c r="T1355">
        <v>46</v>
      </c>
      <c r="U1355">
        <v>264.93259387455998</v>
      </c>
      <c r="V1355">
        <v>6.7017711823839097E-3</v>
      </c>
      <c r="W1355">
        <v>707336.79859861603</v>
      </c>
      <c r="X1355" t="s">
        <v>39</v>
      </c>
      <c r="Y1355">
        <f>1-740-721-3904</f>
        <v>-5364</v>
      </c>
    </row>
    <row r="1356" spans="1:25" x14ac:dyDescent="0.35">
      <c r="A1356">
        <v>37.892073072698402</v>
      </c>
      <c r="B1356">
        <v>-123.510062582242</v>
      </c>
      <c r="C1356" t="s">
        <v>29</v>
      </c>
      <c r="D1356">
        <v>8.9844710155351297</v>
      </c>
      <c r="E1356">
        <v>8</v>
      </c>
      <c r="F1356">
        <v>1752</v>
      </c>
      <c r="G1356">
        <v>1</v>
      </c>
      <c r="H1356">
        <v>2</v>
      </c>
      <c r="I1356">
        <v>1997</v>
      </c>
      <c r="J1356">
        <v>1</v>
      </c>
      <c r="K1356">
        <v>1</v>
      </c>
      <c r="L1356">
        <v>1</v>
      </c>
      <c r="M1356">
        <v>12</v>
      </c>
      <c r="N1356" t="s">
        <v>26</v>
      </c>
      <c r="O1356" t="s">
        <v>27</v>
      </c>
      <c r="P1356">
        <v>13.715740563582299</v>
      </c>
      <c r="Q1356">
        <v>0.52630929248746305</v>
      </c>
      <c r="R1356">
        <v>8.3979387606002494</v>
      </c>
      <c r="S1356">
        <v>145</v>
      </c>
      <c r="T1356">
        <v>54</v>
      </c>
      <c r="U1356">
        <v>567.08040519739404</v>
      </c>
      <c r="V1356">
        <v>6.8493150684931503E-3</v>
      </c>
      <c r="W1356">
        <v>1330258.0014521601</v>
      </c>
      <c r="X1356" t="s">
        <v>28</v>
      </c>
      <c r="Y1356">
        <f>1-806-331-8200</f>
        <v>-9336</v>
      </c>
    </row>
    <row r="1357" spans="1:25" x14ac:dyDescent="0.35">
      <c r="A1357">
        <v>35.260569292674603</v>
      </c>
      <c r="B1357">
        <v>-123.807623107127</v>
      </c>
      <c r="C1357" t="s">
        <v>25</v>
      </c>
      <c r="D1357">
        <v>23.4863852524843</v>
      </c>
      <c r="E1357">
        <v>0</v>
      </c>
      <c r="F1357">
        <v>2961</v>
      </c>
      <c r="G1357">
        <v>3</v>
      </c>
      <c r="H1357">
        <v>1</v>
      </c>
      <c r="I1357">
        <v>1955</v>
      </c>
      <c r="J1357">
        <v>0</v>
      </c>
      <c r="K1357">
        <v>0</v>
      </c>
      <c r="L1357">
        <v>1</v>
      </c>
      <c r="M1357">
        <v>11</v>
      </c>
      <c r="N1357" t="s">
        <v>37</v>
      </c>
      <c r="O1357" t="s">
        <v>32</v>
      </c>
      <c r="P1357">
        <v>5.1624664077009799</v>
      </c>
      <c r="Q1357">
        <v>0.93067138514929604</v>
      </c>
      <c r="R1357">
        <v>3.4793140428801999</v>
      </c>
      <c r="S1357">
        <v>130</v>
      </c>
      <c r="T1357">
        <v>23</v>
      </c>
      <c r="U1357">
        <v>432.42038586145202</v>
      </c>
      <c r="V1357">
        <v>3.7149611617696698E-3</v>
      </c>
      <c r="W1357">
        <v>1361499.33349707</v>
      </c>
      <c r="X1357" t="s">
        <v>42</v>
      </c>
      <c r="Y1357">
        <f>1-381-578-7678</f>
        <v>-8636</v>
      </c>
    </row>
    <row r="1358" spans="1:25" x14ac:dyDescent="0.35">
      <c r="A1358">
        <v>40.768787850119701</v>
      </c>
      <c r="B1358">
        <v>-123.533630351737</v>
      </c>
      <c r="C1358" t="s">
        <v>34</v>
      </c>
      <c r="D1358">
        <v>28.7414522810239</v>
      </c>
      <c r="E1358">
        <v>2</v>
      </c>
      <c r="F1358">
        <v>1851</v>
      </c>
      <c r="G1358">
        <v>5</v>
      </c>
      <c r="H1358">
        <v>3</v>
      </c>
      <c r="I1358">
        <v>1985</v>
      </c>
      <c r="J1358">
        <v>1</v>
      </c>
      <c r="K1358">
        <v>1</v>
      </c>
      <c r="L1358">
        <v>1</v>
      </c>
      <c r="M1358">
        <v>5</v>
      </c>
      <c r="N1358" t="s">
        <v>26</v>
      </c>
      <c r="O1358" t="s">
        <v>30</v>
      </c>
      <c r="P1358">
        <v>6.7905863591684898</v>
      </c>
      <c r="Q1358">
        <v>1.8579377671250701</v>
      </c>
      <c r="R1358">
        <v>4.6304995587982898</v>
      </c>
      <c r="S1358">
        <v>42</v>
      </c>
      <c r="T1358">
        <v>27</v>
      </c>
      <c r="U1358">
        <v>685.73886987708602</v>
      </c>
      <c r="V1358">
        <v>2.7012425715829198E-3</v>
      </c>
      <c r="W1358">
        <v>1751536.1569854</v>
      </c>
      <c r="X1358" t="s">
        <v>42</v>
      </c>
      <c r="Y1358">
        <f>1-860-739-1720</f>
        <v>-3318</v>
      </c>
    </row>
    <row r="1359" spans="1:25" x14ac:dyDescent="0.35">
      <c r="A1359">
        <v>35.9926408699489</v>
      </c>
      <c r="B1359">
        <v>-123.688004510231</v>
      </c>
      <c r="C1359" t="s">
        <v>29</v>
      </c>
      <c r="D1359">
        <v>15.833793628580199</v>
      </c>
      <c r="E1359">
        <v>1</v>
      </c>
      <c r="F1359">
        <v>3874</v>
      </c>
      <c r="G1359">
        <v>2</v>
      </c>
      <c r="H1359">
        <v>3</v>
      </c>
      <c r="I1359">
        <v>2012</v>
      </c>
      <c r="J1359">
        <v>0</v>
      </c>
      <c r="K1359">
        <v>1</v>
      </c>
      <c r="L1359">
        <v>1</v>
      </c>
      <c r="M1359">
        <v>5</v>
      </c>
      <c r="N1359" t="s">
        <v>35</v>
      </c>
      <c r="O1359" t="s">
        <v>27</v>
      </c>
      <c r="P1359">
        <v>6.1218741028484196</v>
      </c>
      <c r="Q1359">
        <v>0.54236658409293004</v>
      </c>
      <c r="R1359">
        <v>6.9379210935543103</v>
      </c>
      <c r="S1359">
        <v>139</v>
      </c>
      <c r="T1359">
        <v>48</v>
      </c>
      <c r="U1359">
        <v>497.32925833112301</v>
      </c>
      <c r="V1359">
        <v>1.29065565307176E-3</v>
      </c>
      <c r="W1359">
        <v>2180818.0341699901</v>
      </c>
      <c r="X1359" t="s">
        <v>44</v>
      </c>
      <c r="Y1359">
        <f>1-584-180-9030</f>
        <v>-9793</v>
      </c>
    </row>
    <row r="1360" spans="1:25" x14ac:dyDescent="0.35">
      <c r="A1360">
        <v>38.2766680778753</v>
      </c>
      <c r="B1360">
        <v>-118.878410966788</v>
      </c>
      <c r="C1360" t="s">
        <v>29</v>
      </c>
      <c r="D1360">
        <v>20.813695986970998</v>
      </c>
      <c r="E1360">
        <v>3</v>
      </c>
      <c r="F1360">
        <v>3031</v>
      </c>
      <c r="G1360">
        <v>1</v>
      </c>
      <c r="H1360">
        <v>2</v>
      </c>
      <c r="I1360">
        <v>2006</v>
      </c>
      <c r="J1360">
        <v>0</v>
      </c>
      <c r="K1360">
        <v>1</v>
      </c>
      <c r="L1360">
        <v>0</v>
      </c>
      <c r="M1360">
        <v>4</v>
      </c>
      <c r="N1360" t="s">
        <v>37</v>
      </c>
      <c r="O1360" t="s">
        <v>30</v>
      </c>
      <c r="P1360">
        <v>9.4105031520120797</v>
      </c>
      <c r="Q1360">
        <v>2.49283728336483</v>
      </c>
      <c r="R1360">
        <v>3.50186986767104</v>
      </c>
      <c r="S1360">
        <v>147</v>
      </c>
      <c r="T1360">
        <v>78</v>
      </c>
      <c r="U1360">
        <v>844.86055312063797</v>
      </c>
      <c r="V1360">
        <v>1.31969646981194E-3</v>
      </c>
      <c r="W1360">
        <v>2734970.4551470601</v>
      </c>
      <c r="X1360" t="s">
        <v>42</v>
      </c>
      <c r="Y1360">
        <f>1-220-193-1162</f>
        <v>-1574</v>
      </c>
    </row>
    <row r="1361" spans="1:25" x14ac:dyDescent="0.35">
      <c r="A1361">
        <v>37.4899218524235</v>
      </c>
      <c r="B1361">
        <v>-123.388892371268</v>
      </c>
      <c r="C1361" t="s">
        <v>29</v>
      </c>
      <c r="D1361">
        <v>20.418341925536101</v>
      </c>
      <c r="E1361">
        <v>8</v>
      </c>
      <c r="F1361">
        <v>2799</v>
      </c>
      <c r="G1361">
        <v>5</v>
      </c>
      <c r="H1361">
        <v>3</v>
      </c>
      <c r="I1361">
        <v>1985</v>
      </c>
      <c r="J1361">
        <v>1</v>
      </c>
      <c r="K1361">
        <v>0</v>
      </c>
      <c r="L1361">
        <v>1</v>
      </c>
      <c r="M1361">
        <v>5</v>
      </c>
      <c r="N1361" t="s">
        <v>35</v>
      </c>
      <c r="O1361" t="s">
        <v>30</v>
      </c>
      <c r="P1361">
        <v>11.743420541148501</v>
      </c>
      <c r="Q1361">
        <v>2.3656058586258002</v>
      </c>
      <c r="R1361">
        <v>3.9565686407357998</v>
      </c>
      <c r="S1361">
        <v>115</v>
      </c>
      <c r="T1361">
        <v>78</v>
      </c>
      <c r="U1361">
        <v>512.11782592065902</v>
      </c>
      <c r="V1361">
        <v>1.78635226866738E-3</v>
      </c>
      <c r="W1361">
        <v>1913224.68349738</v>
      </c>
      <c r="X1361" t="s">
        <v>44</v>
      </c>
      <c r="Y1361">
        <f>1-362-539-7857</f>
        <v>-8757</v>
      </c>
    </row>
    <row r="1362" spans="1:25" x14ac:dyDescent="0.35">
      <c r="A1362">
        <v>36.524437971194999</v>
      </c>
      <c r="B1362">
        <v>-123.42153508881501</v>
      </c>
      <c r="C1362" t="s">
        <v>25</v>
      </c>
      <c r="D1362">
        <v>46.515006356429801</v>
      </c>
      <c r="E1362">
        <v>5</v>
      </c>
      <c r="F1362">
        <v>2784</v>
      </c>
      <c r="G1362">
        <v>5</v>
      </c>
      <c r="H1362">
        <v>2</v>
      </c>
      <c r="I1362">
        <v>2002</v>
      </c>
      <c r="J1362">
        <v>1</v>
      </c>
      <c r="K1362">
        <v>0</v>
      </c>
      <c r="L1362">
        <v>1</v>
      </c>
      <c r="M1362">
        <v>3</v>
      </c>
      <c r="N1362" t="s">
        <v>35</v>
      </c>
      <c r="O1362" t="s">
        <v>27</v>
      </c>
      <c r="P1362">
        <v>11.7968886020772</v>
      </c>
      <c r="Q1362">
        <v>2.0485366120271502</v>
      </c>
      <c r="R1362">
        <v>0.15974159846297301</v>
      </c>
      <c r="S1362">
        <v>198</v>
      </c>
      <c r="T1362">
        <v>33</v>
      </c>
      <c r="U1362">
        <v>207.495188498582</v>
      </c>
      <c r="V1362">
        <v>1.07758620689655E-3</v>
      </c>
      <c r="W1362">
        <v>971299.11272983497</v>
      </c>
      <c r="X1362" t="s">
        <v>31</v>
      </c>
      <c r="Y1362">
        <f>1-590-789-3711</f>
        <v>-5089</v>
      </c>
    </row>
    <row r="1363" spans="1:25" x14ac:dyDescent="0.35">
      <c r="A1363">
        <v>41.2189623017982</v>
      </c>
      <c r="B1363">
        <v>-114.155781702399</v>
      </c>
      <c r="C1363" t="s">
        <v>34</v>
      </c>
      <c r="D1363">
        <v>4.1642535080794403</v>
      </c>
      <c r="E1363">
        <v>0</v>
      </c>
      <c r="F1363">
        <v>1879</v>
      </c>
      <c r="G1363">
        <v>4</v>
      </c>
      <c r="H1363">
        <v>2</v>
      </c>
      <c r="I1363">
        <v>2001</v>
      </c>
      <c r="J1363">
        <v>0</v>
      </c>
      <c r="K1363">
        <v>1</v>
      </c>
      <c r="L1363">
        <v>0</v>
      </c>
      <c r="M1363">
        <v>5</v>
      </c>
      <c r="N1363" t="s">
        <v>37</v>
      </c>
      <c r="O1363" t="s">
        <v>27</v>
      </c>
      <c r="P1363">
        <v>9.1760631240835497</v>
      </c>
      <c r="Q1363">
        <v>0.71441842883766904</v>
      </c>
      <c r="R1363">
        <v>9.7608969373612702</v>
      </c>
      <c r="S1363">
        <v>53</v>
      </c>
      <c r="T1363">
        <v>35</v>
      </c>
      <c r="U1363">
        <v>295.23177924364199</v>
      </c>
      <c r="V1363">
        <v>2.6609898882384202E-3</v>
      </c>
      <c r="W1363">
        <v>929488.36828659696</v>
      </c>
      <c r="X1363" t="s">
        <v>40</v>
      </c>
      <c r="Y1363">
        <f>1-521-503-4596</f>
        <v>-5619</v>
      </c>
    </row>
    <row r="1364" spans="1:25" x14ac:dyDescent="0.35">
      <c r="A1364">
        <v>33.809823669741</v>
      </c>
      <c r="B1364">
        <v>-122.498044055523</v>
      </c>
      <c r="C1364" t="s">
        <v>29</v>
      </c>
      <c r="D1364">
        <v>30.9086180957053</v>
      </c>
      <c r="E1364">
        <v>7</v>
      </c>
      <c r="F1364">
        <v>3076</v>
      </c>
      <c r="G1364">
        <v>3</v>
      </c>
      <c r="H1364">
        <v>1</v>
      </c>
      <c r="I1364">
        <v>2005</v>
      </c>
      <c r="J1364">
        <v>1</v>
      </c>
      <c r="K1364">
        <v>0</v>
      </c>
      <c r="L1364">
        <v>0</v>
      </c>
      <c r="M1364">
        <v>7</v>
      </c>
      <c r="N1364" t="s">
        <v>35</v>
      </c>
      <c r="O1364" t="s">
        <v>30</v>
      </c>
      <c r="P1364">
        <v>4.9877196714427399</v>
      </c>
      <c r="Q1364">
        <v>1.0779845844641001</v>
      </c>
      <c r="R1364">
        <v>1.3941285998605</v>
      </c>
      <c r="S1364">
        <v>141</v>
      </c>
      <c r="T1364">
        <v>59</v>
      </c>
      <c r="U1364">
        <v>497.13627906661702</v>
      </c>
      <c r="V1364">
        <v>2.2756827048114399E-3</v>
      </c>
      <c r="W1364">
        <v>1774897.55059942</v>
      </c>
      <c r="X1364" t="s">
        <v>43</v>
      </c>
      <c r="Y1364">
        <f>1-750-450-9179</f>
        <v>-10378</v>
      </c>
    </row>
    <row r="1365" spans="1:25" x14ac:dyDescent="0.35">
      <c r="A1365">
        <v>39.455813488667999</v>
      </c>
      <c r="B1365">
        <v>-120.814865714428</v>
      </c>
      <c r="C1365" t="s">
        <v>25</v>
      </c>
      <c r="D1365">
        <v>35.156571291469596</v>
      </c>
      <c r="E1365">
        <v>8</v>
      </c>
      <c r="F1365">
        <v>1819</v>
      </c>
      <c r="G1365">
        <v>5</v>
      </c>
      <c r="H1365">
        <v>2</v>
      </c>
      <c r="I1365">
        <v>1973</v>
      </c>
      <c r="J1365">
        <v>1</v>
      </c>
      <c r="K1365">
        <v>0</v>
      </c>
      <c r="L1365">
        <v>1</v>
      </c>
      <c r="M1365">
        <v>10</v>
      </c>
      <c r="N1365" t="s">
        <v>26</v>
      </c>
      <c r="O1365" t="s">
        <v>32</v>
      </c>
      <c r="P1365">
        <v>13.5840309449282</v>
      </c>
      <c r="Q1365">
        <v>0.55703195717935206</v>
      </c>
      <c r="R1365">
        <v>7.1813858966949402</v>
      </c>
      <c r="S1365">
        <v>61</v>
      </c>
      <c r="T1365">
        <v>78</v>
      </c>
      <c r="U1365">
        <v>384.825824540714</v>
      </c>
      <c r="V1365">
        <v>5.4975261132490299E-3</v>
      </c>
      <c r="W1365">
        <v>1006386.56642972</v>
      </c>
      <c r="X1365" t="s">
        <v>42</v>
      </c>
      <c r="Y1365">
        <f>1-887-222-8370</f>
        <v>-9478</v>
      </c>
    </row>
    <row r="1366" spans="1:25" x14ac:dyDescent="0.35">
      <c r="A1366">
        <v>37.974244500633603</v>
      </c>
      <c r="B1366">
        <v>-120.494328051762</v>
      </c>
      <c r="C1366" t="s">
        <v>25</v>
      </c>
      <c r="D1366">
        <v>26.9087326578275</v>
      </c>
      <c r="E1366">
        <v>3</v>
      </c>
      <c r="F1366">
        <v>855</v>
      </c>
      <c r="G1366">
        <v>2</v>
      </c>
      <c r="H1366">
        <v>3</v>
      </c>
      <c r="I1366">
        <v>1976</v>
      </c>
      <c r="J1366">
        <v>1</v>
      </c>
      <c r="K1366">
        <v>0</v>
      </c>
      <c r="L1366">
        <v>0</v>
      </c>
      <c r="M1366">
        <v>5</v>
      </c>
      <c r="N1366" t="s">
        <v>35</v>
      </c>
      <c r="O1366" t="s">
        <v>27</v>
      </c>
      <c r="P1366">
        <v>7.85500129695789</v>
      </c>
      <c r="Q1366">
        <v>1.09166240697532</v>
      </c>
      <c r="R1366">
        <v>3.4209634801222202</v>
      </c>
      <c r="S1366">
        <v>134</v>
      </c>
      <c r="T1366">
        <v>79</v>
      </c>
      <c r="U1366">
        <v>572.89193278222797</v>
      </c>
      <c r="V1366">
        <v>5.84795321637426E-3</v>
      </c>
      <c r="W1366">
        <v>690758.13057546294</v>
      </c>
      <c r="X1366" t="s">
        <v>42</v>
      </c>
      <c r="Y1366">
        <f>1-834-119-8563</f>
        <v>-9515</v>
      </c>
    </row>
    <row r="1367" spans="1:25" x14ac:dyDescent="0.35">
      <c r="A1367">
        <v>40.678025469572098</v>
      </c>
      <c r="B1367">
        <v>-115.85887339923801</v>
      </c>
      <c r="C1367" t="s">
        <v>34</v>
      </c>
      <c r="D1367">
        <v>26.914512565429</v>
      </c>
      <c r="E1367">
        <v>7</v>
      </c>
      <c r="F1367">
        <v>3930</v>
      </c>
      <c r="G1367">
        <v>2</v>
      </c>
      <c r="H1367">
        <v>3</v>
      </c>
      <c r="I1367">
        <v>1972</v>
      </c>
      <c r="J1367">
        <v>0</v>
      </c>
      <c r="K1367">
        <v>0</v>
      </c>
      <c r="L1367">
        <v>0</v>
      </c>
      <c r="M1367">
        <v>8</v>
      </c>
      <c r="N1367" t="s">
        <v>41</v>
      </c>
      <c r="O1367" t="s">
        <v>27</v>
      </c>
      <c r="P1367">
        <v>3.0541429985998398</v>
      </c>
      <c r="Q1367">
        <v>0.54817123519996003</v>
      </c>
      <c r="R1367">
        <v>0.45380129658885898</v>
      </c>
      <c r="S1367">
        <v>85</v>
      </c>
      <c r="T1367">
        <v>53</v>
      </c>
      <c r="U1367">
        <v>751.23304342891595</v>
      </c>
      <c r="V1367">
        <v>2.0356234096692099E-3</v>
      </c>
      <c r="W1367">
        <v>3064843.9837933001</v>
      </c>
      <c r="X1367" t="s">
        <v>42</v>
      </c>
      <c r="Y1367">
        <f>1-880-362-1159</f>
        <v>-2400</v>
      </c>
    </row>
    <row r="1368" spans="1:25" x14ac:dyDescent="0.35">
      <c r="A1368">
        <v>36.938363046392602</v>
      </c>
      <c r="B1368">
        <v>-114.37080087293</v>
      </c>
      <c r="C1368" t="s">
        <v>25</v>
      </c>
      <c r="D1368">
        <v>22.854953371562601</v>
      </c>
      <c r="E1368">
        <v>9</v>
      </c>
      <c r="F1368">
        <v>3750</v>
      </c>
      <c r="G1368">
        <v>4</v>
      </c>
      <c r="H1368">
        <v>3</v>
      </c>
      <c r="I1368">
        <v>1989</v>
      </c>
      <c r="J1368">
        <v>0</v>
      </c>
      <c r="K1368">
        <v>0</v>
      </c>
      <c r="L1368">
        <v>0</v>
      </c>
      <c r="M1368">
        <v>2</v>
      </c>
      <c r="N1368" t="s">
        <v>26</v>
      </c>
      <c r="O1368" t="s">
        <v>30</v>
      </c>
      <c r="P1368">
        <v>7.2839872679682998</v>
      </c>
      <c r="Q1368">
        <v>0.62713880167688196</v>
      </c>
      <c r="R1368">
        <v>2.6323302705696898</v>
      </c>
      <c r="S1368">
        <v>46</v>
      </c>
      <c r="T1368">
        <v>69</v>
      </c>
      <c r="U1368">
        <v>642.77336454139902</v>
      </c>
      <c r="V1368">
        <v>5.3333333333333303E-4</v>
      </c>
      <c r="W1368">
        <v>2809400.05157601</v>
      </c>
      <c r="X1368" t="s">
        <v>43</v>
      </c>
      <c r="Y1368">
        <f>1-515-755-5486</f>
        <v>-6755</v>
      </c>
    </row>
    <row r="1369" spans="1:25" x14ac:dyDescent="0.35">
      <c r="A1369">
        <v>37.420787000949097</v>
      </c>
      <c r="B1369">
        <v>-121.583502578576</v>
      </c>
      <c r="C1369" t="s">
        <v>25</v>
      </c>
      <c r="D1369">
        <v>33.3949318899136</v>
      </c>
      <c r="E1369">
        <v>5</v>
      </c>
      <c r="F1369">
        <v>4533</v>
      </c>
      <c r="G1369">
        <v>5</v>
      </c>
      <c r="H1369">
        <v>1</v>
      </c>
      <c r="I1369">
        <v>2022</v>
      </c>
      <c r="J1369">
        <v>1</v>
      </c>
      <c r="K1369">
        <v>1</v>
      </c>
      <c r="L1369">
        <v>0</v>
      </c>
      <c r="M1369">
        <v>14</v>
      </c>
      <c r="N1369" t="s">
        <v>26</v>
      </c>
      <c r="O1369" t="s">
        <v>32</v>
      </c>
      <c r="P1369">
        <v>11.342728001426201</v>
      </c>
      <c r="Q1369">
        <v>1.3580902806476001</v>
      </c>
      <c r="R1369">
        <v>9.3432672278745592</v>
      </c>
      <c r="S1369">
        <v>44</v>
      </c>
      <c r="T1369">
        <v>54</v>
      </c>
      <c r="U1369">
        <v>428.55342725796203</v>
      </c>
      <c r="V1369">
        <v>3.0884623869402101E-3</v>
      </c>
      <c r="W1369">
        <v>2419058.4508180302</v>
      </c>
      <c r="X1369" t="s">
        <v>36</v>
      </c>
      <c r="Y1369">
        <f>1-611-719-9220</f>
        <v>-10549</v>
      </c>
    </row>
    <row r="1370" spans="1:25" x14ac:dyDescent="0.35">
      <c r="A1370">
        <v>34.041975523214198</v>
      </c>
      <c r="B1370">
        <v>-118.284549888024</v>
      </c>
      <c r="C1370" t="s">
        <v>34</v>
      </c>
      <c r="D1370">
        <v>3.3339998790324099</v>
      </c>
      <c r="E1370">
        <v>4</v>
      </c>
      <c r="F1370">
        <v>4805</v>
      </c>
      <c r="G1370">
        <v>1</v>
      </c>
      <c r="H1370">
        <v>2</v>
      </c>
      <c r="I1370">
        <v>1981</v>
      </c>
      <c r="J1370">
        <v>1</v>
      </c>
      <c r="K1370">
        <v>1</v>
      </c>
      <c r="L1370">
        <v>0</v>
      </c>
      <c r="M1370">
        <v>6</v>
      </c>
      <c r="N1370" t="s">
        <v>35</v>
      </c>
      <c r="O1370" t="s">
        <v>32</v>
      </c>
      <c r="P1370">
        <v>8.2435525039839099</v>
      </c>
      <c r="Q1370">
        <v>1.2153857614999799</v>
      </c>
      <c r="R1370">
        <v>1.7939424931271899</v>
      </c>
      <c r="S1370">
        <v>180</v>
      </c>
      <c r="T1370">
        <v>45</v>
      </c>
      <c r="U1370">
        <v>634.58005008976397</v>
      </c>
      <c r="V1370">
        <v>1.24869927159209E-3</v>
      </c>
      <c r="W1370">
        <v>3254259.18438619</v>
      </c>
      <c r="X1370" t="s">
        <v>33</v>
      </c>
      <c r="Y1370">
        <f>1-941-250-5116</f>
        <v>-6306</v>
      </c>
    </row>
    <row r="1371" spans="1:25" x14ac:dyDescent="0.35">
      <c r="A1371">
        <v>41.605692453631598</v>
      </c>
      <c r="B1371">
        <v>-116.199861841532</v>
      </c>
      <c r="C1371" t="s">
        <v>29</v>
      </c>
      <c r="D1371">
        <v>3.9680599696335399</v>
      </c>
      <c r="E1371">
        <v>1</v>
      </c>
      <c r="F1371">
        <v>2211</v>
      </c>
      <c r="G1371">
        <v>2</v>
      </c>
      <c r="H1371">
        <v>3</v>
      </c>
      <c r="I1371">
        <v>1957</v>
      </c>
      <c r="J1371">
        <v>0</v>
      </c>
      <c r="K1371">
        <v>1</v>
      </c>
      <c r="L1371">
        <v>0</v>
      </c>
      <c r="M1371">
        <v>3</v>
      </c>
      <c r="N1371" t="s">
        <v>37</v>
      </c>
      <c r="O1371" t="s">
        <v>27</v>
      </c>
      <c r="P1371">
        <v>4.9106536657964801</v>
      </c>
      <c r="Q1371">
        <v>1.78597615065085</v>
      </c>
      <c r="R1371">
        <v>8.8004162659630207</v>
      </c>
      <c r="S1371">
        <v>170</v>
      </c>
      <c r="T1371">
        <v>77</v>
      </c>
      <c r="U1371">
        <v>230.960355212374</v>
      </c>
      <c r="V1371">
        <v>1.35685210312075E-3</v>
      </c>
      <c r="W1371">
        <v>779641.04905802803</v>
      </c>
      <c r="X1371" t="s">
        <v>36</v>
      </c>
      <c r="Y1371">
        <f>1-955-582-8307</f>
        <v>-9843</v>
      </c>
    </row>
    <row r="1372" spans="1:25" x14ac:dyDescent="0.35">
      <c r="A1372">
        <v>37.977645515586303</v>
      </c>
      <c r="B1372">
        <v>-123.702402437492</v>
      </c>
      <c r="C1372" t="s">
        <v>25</v>
      </c>
      <c r="D1372">
        <v>4.4981722731413702</v>
      </c>
      <c r="E1372">
        <v>9</v>
      </c>
      <c r="F1372">
        <v>3839</v>
      </c>
      <c r="G1372">
        <v>5</v>
      </c>
      <c r="H1372">
        <v>1</v>
      </c>
      <c r="I1372">
        <v>1969</v>
      </c>
      <c r="J1372">
        <v>0</v>
      </c>
      <c r="K1372">
        <v>0</v>
      </c>
      <c r="L1372">
        <v>1</v>
      </c>
      <c r="M1372">
        <v>9</v>
      </c>
      <c r="N1372" t="s">
        <v>35</v>
      </c>
      <c r="O1372" t="s">
        <v>32</v>
      </c>
      <c r="P1372">
        <v>10.7110291742136</v>
      </c>
      <c r="Q1372">
        <v>1.15697935138302</v>
      </c>
      <c r="R1372">
        <v>5.97903291462125</v>
      </c>
      <c r="S1372">
        <v>138</v>
      </c>
      <c r="T1372">
        <v>70</v>
      </c>
      <c r="U1372">
        <v>820.01795313963805</v>
      </c>
      <c r="V1372">
        <v>2.3443605105496201E-3</v>
      </c>
      <c r="W1372">
        <v>3495885.8968529599</v>
      </c>
      <c r="X1372" t="s">
        <v>40</v>
      </c>
      <c r="Y1372">
        <f>1-860-311-7787</f>
        <v>-8957</v>
      </c>
    </row>
    <row r="1373" spans="1:25" x14ac:dyDescent="0.35">
      <c r="A1373">
        <v>39.650283059457998</v>
      </c>
      <c r="B1373">
        <v>-116.148038127889</v>
      </c>
      <c r="C1373" t="s">
        <v>29</v>
      </c>
      <c r="D1373">
        <v>46.054030578543298</v>
      </c>
      <c r="E1373">
        <v>2</v>
      </c>
      <c r="F1373">
        <v>1438</v>
      </c>
      <c r="G1373">
        <v>2</v>
      </c>
      <c r="H1373">
        <v>1</v>
      </c>
      <c r="I1373">
        <v>1959</v>
      </c>
      <c r="J1373">
        <v>0</v>
      </c>
      <c r="K1373">
        <v>0</v>
      </c>
      <c r="L1373">
        <v>0</v>
      </c>
      <c r="M1373">
        <v>4</v>
      </c>
      <c r="N1373" t="s">
        <v>37</v>
      </c>
      <c r="O1373" t="s">
        <v>27</v>
      </c>
      <c r="P1373">
        <v>6.9501041080532699</v>
      </c>
      <c r="Q1373">
        <v>1.1561020290385999</v>
      </c>
      <c r="R1373">
        <v>3.3302575331815398</v>
      </c>
      <c r="S1373">
        <v>16</v>
      </c>
      <c r="T1373">
        <v>78</v>
      </c>
      <c r="U1373">
        <v>310.03318039347897</v>
      </c>
      <c r="V1373">
        <v>2.7816411682892901E-3</v>
      </c>
      <c r="W1373">
        <v>553608.924474261</v>
      </c>
      <c r="X1373" t="s">
        <v>36</v>
      </c>
      <c r="Y1373">
        <f>1-581-140-6539</f>
        <v>-7259</v>
      </c>
    </row>
    <row r="1374" spans="1:25" x14ac:dyDescent="0.35">
      <c r="A1374">
        <v>36.835864796128398</v>
      </c>
      <c r="B1374">
        <v>-120.57867891261201</v>
      </c>
      <c r="C1374" t="s">
        <v>34</v>
      </c>
      <c r="D1374">
        <v>42.360896958701296</v>
      </c>
      <c r="E1374">
        <v>5</v>
      </c>
      <c r="F1374">
        <v>3087</v>
      </c>
      <c r="G1374">
        <v>2</v>
      </c>
      <c r="H1374">
        <v>2</v>
      </c>
      <c r="I1374">
        <v>1962</v>
      </c>
      <c r="J1374">
        <v>1</v>
      </c>
      <c r="K1374">
        <v>1</v>
      </c>
      <c r="L1374">
        <v>1</v>
      </c>
      <c r="M1374">
        <v>6</v>
      </c>
      <c r="N1374" t="s">
        <v>26</v>
      </c>
      <c r="O1374" t="s">
        <v>27</v>
      </c>
      <c r="P1374">
        <v>4.0613496609186202</v>
      </c>
      <c r="Q1374">
        <v>1.59312472936183</v>
      </c>
      <c r="R1374">
        <v>8.0850910816760102</v>
      </c>
      <c r="S1374">
        <v>91</v>
      </c>
      <c r="T1374">
        <v>41</v>
      </c>
      <c r="U1374">
        <v>325.62359350874601</v>
      </c>
      <c r="V1374">
        <v>1.94363459669582E-3</v>
      </c>
      <c r="W1374">
        <v>1203258.55915029</v>
      </c>
      <c r="X1374" t="s">
        <v>42</v>
      </c>
      <c r="Y1374">
        <f>1-500-747-4346</f>
        <v>-5592</v>
      </c>
    </row>
    <row r="1375" spans="1:25" x14ac:dyDescent="0.35">
      <c r="A1375">
        <v>38.448320463790097</v>
      </c>
      <c r="B1375">
        <v>-115.06636933926301</v>
      </c>
      <c r="C1375" t="s">
        <v>34</v>
      </c>
      <c r="D1375">
        <v>30.0304546675113</v>
      </c>
      <c r="E1375">
        <v>0</v>
      </c>
      <c r="F1375">
        <v>614</v>
      </c>
      <c r="G1375">
        <v>1</v>
      </c>
      <c r="H1375">
        <v>3</v>
      </c>
      <c r="I1375">
        <v>2013</v>
      </c>
      <c r="J1375">
        <v>0</v>
      </c>
      <c r="K1375">
        <v>0</v>
      </c>
      <c r="L1375">
        <v>0</v>
      </c>
      <c r="M1375">
        <v>4</v>
      </c>
      <c r="N1375" t="s">
        <v>26</v>
      </c>
      <c r="O1375" t="s">
        <v>32</v>
      </c>
      <c r="P1375">
        <v>14.0134793374914</v>
      </c>
      <c r="Q1375">
        <v>0.81069599424411098</v>
      </c>
      <c r="R1375">
        <v>6.5995613352356397</v>
      </c>
      <c r="S1375">
        <v>108</v>
      </c>
      <c r="T1375">
        <v>75</v>
      </c>
      <c r="U1375">
        <v>467.94978750601399</v>
      </c>
      <c r="V1375">
        <v>6.5146579804560203E-3</v>
      </c>
      <c r="W1375">
        <v>451556.52115882997</v>
      </c>
      <c r="X1375" t="s">
        <v>44</v>
      </c>
      <c r="Y1375">
        <f>1-880-323-8958</f>
        <v>-10160</v>
      </c>
    </row>
    <row r="1376" spans="1:25" x14ac:dyDescent="0.35">
      <c r="A1376">
        <v>38.634122613204802</v>
      </c>
      <c r="B1376">
        <v>-116.270533802239</v>
      </c>
      <c r="C1376" t="s">
        <v>25</v>
      </c>
      <c r="D1376">
        <v>31.591910094687201</v>
      </c>
      <c r="E1376">
        <v>3</v>
      </c>
      <c r="F1376">
        <v>4672</v>
      </c>
      <c r="G1376">
        <v>4</v>
      </c>
      <c r="H1376">
        <v>3</v>
      </c>
      <c r="I1376">
        <v>1986</v>
      </c>
      <c r="J1376">
        <v>0</v>
      </c>
      <c r="K1376">
        <v>1</v>
      </c>
      <c r="L1376">
        <v>0</v>
      </c>
      <c r="M1376">
        <v>2</v>
      </c>
      <c r="N1376" t="s">
        <v>26</v>
      </c>
      <c r="O1376" t="s">
        <v>27</v>
      </c>
      <c r="P1376">
        <v>14.7206726001499</v>
      </c>
      <c r="Q1376">
        <v>0.50503968237437602</v>
      </c>
      <c r="R1376">
        <v>5.85522503612032</v>
      </c>
      <c r="S1376">
        <v>43</v>
      </c>
      <c r="T1376">
        <v>77</v>
      </c>
      <c r="U1376">
        <v>909.344877842664</v>
      </c>
      <c r="V1376">
        <v>4.2808219178082103E-4</v>
      </c>
      <c r="W1376">
        <v>4730985.9078928903</v>
      </c>
      <c r="X1376" t="s">
        <v>39</v>
      </c>
      <c r="Y1376">
        <f>1-647-384-1019</f>
        <v>-2049</v>
      </c>
    </row>
    <row r="1377" spans="1:25" x14ac:dyDescent="0.35">
      <c r="A1377">
        <v>34.905537915619803</v>
      </c>
      <c r="B1377">
        <v>-118.604686091563</v>
      </c>
      <c r="C1377" t="s">
        <v>34</v>
      </c>
      <c r="D1377">
        <v>2.3221604407370098</v>
      </c>
      <c r="E1377">
        <v>1</v>
      </c>
      <c r="F1377">
        <v>3809</v>
      </c>
      <c r="G1377">
        <v>1</v>
      </c>
      <c r="H1377">
        <v>1</v>
      </c>
      <c r="I1377">
        <v>2020</v>
      </c>
      <c r="J1377">
        <v>1</v>
      </c>
      <c r="K1377">
        <v>1</v>
      </c>
      <c r="L1377">
        <v>1</v>
      </c>
      <c r="M1377">
        <v>5</v>
      </c>
      <c r="N1377" t="s">
        <v>41</v>
      </c>
      <c r="O1377" t="s">
        <v>32</v>
      </c>
      <c r="P1377">
        <v>10.9128658159929</v>
      </c>
      <c r="Q1377">
        <v>2.4831676145008599</v>
      </c>
      <c r="R1377">
        <v>7.9056491127308499</v>
      </c>
      <c r="S1377">
        <v>192</v>
      </c>
      <c r="T1377">
        <v>52</v>
      </c>
      <c r="U1377">
        <v>288.332656769327</v>
      </c>
      <c r="V1377">
        <v>1.3126804935678601E-3</v>
      </c>
      <c r="W1377">
        <v>1365802.75800282</v>
      </c>
      <c r="X1377" t="s">
        <v>33</v>
      </c>
      <c r="Y1377">
        <f>1-725-252-3871</f>
        <v>-4847</v>
      </c>
    </row>
    <row r="1378" spans="1:25" x14ac:dyDescent="0.35">
      <c r="A1378">
        <v>35.514856851718498</v>
      </c>
      <c r="B1378">
        <v>-117.443088406651</v>
      </c>
      <c r="C1378" t="s">
        <v>34</v>
      </c>
      <c r="D1378">
        <v>16.787595172286</v>
      </c>
      <c r="E1378">
        <v>2</v>
      </c>
      <c r="F1378">
        <v>2486</v>
      </c>
      <c r="G1378">
        <v>1</v>
      </c>
      <c r="H1378">
        <v>1</v>
      </c>
      <c r="I1378">
        <v>2010</v>
      </c>
      <c r="J1378">
        <v>1</v>
      </c>
      <c r="K1378">
        <v>1</v>
      </c>
      <c r="L1378">
        <v>1</v>
      </c>
      <c r="M1378">
        <v>5</v>
      </c>
      <c r="N1378" t="s">
        <v>26</v>
      </c>
      <c r="O1378" t="s">
        <v>30</v>
      </c>
      <c r="P1378">
        <v>12.6078406466267</v>
      </c>
      <c r="Q1378">
        <v>2.3533890775145299</v>
      </c>
      <c r="R1378">
        <v>5.2463302804976601</v>
      </c>
      <c r="S1378">
        <v>171</v>
      </c>
      <c r="T1378">
        <v>35</v>
      </c>
      <c r="U1378">
        <v>617.40811603998998</v>
      </c>
      <c r="V1378">
        <v>2.0112630732099699E-3</v>
      </c>
      <c r="W1378">
        <v>1813304.7958478699</v>
      </c>
      <c r="X1378" t="s">
        <v>28</v>
      </c>
      <c r="Y1378">
        <f>1-584-809-5162</f>
        <v>-6554</v>
      </c>
    </row>
    <row r="1379" spans="1:25" x14ac:dyDescent="0.35">
      <c r="A1379">
        <v>40.009160696668303</v>
      </c>
      <c r="B1379">
        <v>-116.637124521579</v>
      </c>
      <c r="C1379" t="s">
        <v>29</v>
      </c>
      <c r="D1379">
        <v>33.8259657089068</v>
      </c>
      <c r="E1379">
        <v>3</v>
      </c>
      <c r="F1379">
        <v>2650</v>
      </c>
      <c r="G1379">
        <v>3</v>
      </c>
      <c r="H1379">
        <v>3</v>
      </c>
      <c r="I1379">
        <v>1974</v>
      </c>
      <c r="J1379">
        <v>0</v>
      </c>
      <c r="K1379">
        <v>1</v>
      </c>
      <c r="L1379">
        <v>0</v>
      </c>
      <c r="M1379">
        <v>7</v>
      </c>
      <c r="N1379" t="s">
        <v>26</v>
      </c>
      <c r="O1379" t="s">
        <v>27</v>
      </c>
      <c r="P1379">
        <v>10.0239397353497</v>
      </c>
      <c r="Q1379">
        <v>1.3552709610223299</v>
      </c>
      <c r="R1379">
        <v>8.9831945845143899</v>
      </c>
      <c r="S1379">
        <v>167</v>
      </c>
      <c r="T1379">
        <v>44</v>
      </c>
      <c r="U1379">
        <v>728.07134014932797</v>
      </c>
      <c r="V1379">
        <v>2.64150943396226E-3</v>
      </c>
      <c r="W1379">
        <v>2211890.9378873101</v>
      </c>
      <c r="X1379" t="s">
        <v>44</v>
      </c>
      <c r="Y1379">
        <f>1-477-823-1873</f>
        <v>-3172</v>
      </c>
    </row>
    <row r="1380" spans="1:25" x14ac:dyDescent="0.35">
      <c r="A1380">
        <v>40.758396123892901</v>
      </c>
      <c r="B1380">
        <v>-114.125473093758</v>
      </c>
      <c r="C1380" t="s">
        <v>25</v>
      </c>
      <c r="D1380">
        <v>9.2326158371689395</v>
      </c>
      <c r="E1380">
        <v>0</v>
      </c>
      <c r="F1380">
        <v>3009</v>
      </c>
      <c r="G1380">
        <v>2</v>
      </c>
      <c r="H1380">
        <v>3</v>
      </c>
      <c r="I1380">
        <v>1953</v>
      </c>
      <c r="J1380">
        <v>0</v>
      </c>
      <c r="K1380">
        <v>1</v>
      </c>
      <c r="L1380">
        <v>0</v>
      </c>
      <c r="M1380">
        <v>14</v>
      </c>
      <c r="N1380" t="s">
        <v>26</v>
      </c>
      <c r="O1380" t="s">
        <v>30</v>
      </c>
      <c r="P1380">
        <v>5.61418119356426</v>
      </c>
      <c r="Q1380">
        <v>2.0424514776446001</v>
      </c>
      <c r="R1380">
        <v>4.5114734267962397</v>
      </c>
      <c r="S1380">
        <v>97</v>
      </c>
      <c r="T1380">
        <v>36</v>
      </c>
      <c r="U1380">
        <v>546.09696848291605</v>
      </c>
      <c r="V1380">
        <v>4.6527085410435296E-3</v>
      </c>
      <c r="W1380">
        <v>1828624.6920069701</v>
      </c>
      <c r="X1380" t="s">
        <v>31</v>
      </c>
      <c r="Y1380">
        <f>1-232-338-8310</f>
        <v>-8879</v>
      </c>
    </row>
    <row r="1381" spans="1:25" x14ac:dyDescent="0.35">
      <c r="A1381">
        <v>39.138708735280503</v>
      </c>
      <c r="B1381">
        <v>-123.89828706569401</v>
      </c>
      <c r="C1381" t="s">
        <v>25</v>
      </c>
      <c r="D1381">
        <v>8.4144911193247598</v>
      </c>
      <c r="E1381">
        <v>8</v>
      </c>
      <c r="F1381">
        <v>2717</v>
      </c>
      <c r="G1381">
        <v>3</v>
      </c>
      <c r="H1381">
        <v>2</v>
      </c>
      <c r="I1381">
        <v>1987</v>
      </c>
      <c r="J1381">
        <v>0</v>
      </c>
      <c r="K1381">
        <v>0</v>
      </c>
      <c r="L1381">
        <v>1</v>
      </c>
      <c r="M1381">
        <v>11</v>
      </c>
      <c r="N1381" t="s">
        <v>26</v>
      </c>
      <c r="O1381" t="s">
        <v>32</v>
      </c>
      <c r="P1381">
        <v>13.1000213169253</v>
      </c>
      <c r="Q1381">
        <v>1.6793593100409501</v>
      </c>
      <c r="R1381">
        <v>9.3349229915157608</v>
      </c>
      <c r="S1381">
        <v>35</v>
      </c>
      <c r="T1381">
        <v>50</v>
      </c>
      <c r="U1381">
        <v>484.04563794946603</v>
      </c>
      <c r="V1381">
        <v>4.0485829959514101E-3</v>
      </c>
      <c r="W1381">
        <v>1524283.7848340999</v>
      </c>
      <c r="X1381" t="s">
        <v>36</v>
      </c>
      <c r="Y1381">
        <f>1-471-355-3392</f>
        <v>-4217</v>
      </c>
    </row>
    <row r="1382" spans="1:25" x14ac:dyDescent="0.35">
      <c r="A1382">
        <v>38.521341175663203</v>
      </c>
      <c r="B1382">
        <v>-118.719841824825</v>
      </c>
      <c r="C1382" t="s">
        <v>34</v>
      </c>
      <c r="D1382">
        <v>25.837927293274898</v>
      </c>
      <c r="E1382">
        <v>8</v>
      </c>
      <c r="F1382">
        <v>4343</v>
      </c>
      <c r="G1382">
        <v>2</v>
      </c>
      <c r="H1382">
        <v>2</v>
      </c>
      <c r="I1382">
        <v>1971</v>
      </c>
      <c r="J1382">
        <v>1</v>
      </c>
      <c r="K1382">
        <v>1</v>
      </c>
      <c r="L1382">
        <v>1</v>
      </c>
      <c r="M1382">
        <v>10</v>
      </c>
      <c r="N1382" t="s">
        <v>26</v>
      </c>
      <c r="O1382" t="s">
        <v>32</v>
      </c>
      <c r="P1382">
        <v>4.83370398929471</v>
      </c>
      <c r="Q1382">
        <v>0.62455069005682695</v>
      </c>
      <c r="R1382">
        <v>5.76282658656321</v>
      </c>
      <c r="S1382">
        <v>104</v>
      </c>
      <c r="T1382">
        <v>73</v>
      </c>
      <c r="U1382">
        <v>792.34913283807396</v>
      </c>
      <c r="V1382">
        <v>2.3025558369790399E-3</v>
      </c>
      <c r="W1382">
        <v>3758683.6499642599</v>
      </c>
      <c r="X1382" t="s">
        <v>28</v>
      </c>
      <c r="Y1382">
        <f>1-765-760-5430</f>
        <v>-6954</v>
      </c>
    </row>
    <row r="1383" spans="1:25" x14ac:dyDescent="0.35">
      <c r="A1383">
        <v>41.129643498403901</v>
      </c>
      <c r="B1383">
        <v>-116.933787714381</v>
      </c>
      <c r="C1383" t="s">
        <v>34</v>
      </c>
      <c r="D1383">
        <v>2.4835212993155098</v>
      </c>
      <c r="E1383">
        <v>8</v>
      </c>
      <c r="F1383">
        <v>601</v>
      </c>
      <c r="G1383">
        <v>5</v>
      </c>
      <c r="H1383">
        <v>1</v>
      </c>
      <c r="I1383">
        <v>1992</v>
      </c>
      <c r="J1383">
        <v>0</v>
      </c>
      <c r="K1383">
        <v>0</v>
      </c>
      <c r="L1383">
        <v>0</v>
      </c>
      <c r="M1383">
        <v>8</v>
      </c>
      <c r="N1383" t="s">
        <v>37</v>
      </c>
      <c r="O1383" t="s">
        <v>30</v>
      </c>
      <c r="P1383">
        <v>7.0638152051214096</v>
      </c>
      <c r="Q1383">
        <v>0.77535828313199096</v>
      </c>
      <c r="R1383">
        <v>5.0404747102810497</v>
      </c>
      <c r="S1383">
        <v>29</v>
      </c>
      <c r="T1383">
        <v>77</v>
      </c>
      <c r="U1383">
        <v>549.86112888295304</v>
      </c>
      <c r="V1383">
        <v>1.33111480865224E-2</v>
      </c>
      <c r="W1383">
        <v>513518.72778323299</v>
      </c>
      <c r="X1383" t="s">
        <v>33</v>
      </c>
      <c r="Y1383">
        <f>1-300-936-6664</f>
        <v>-7899</v>
      </c>
    </row>
    <row r="1384" spans="1:25" x14ac:dyDescent="0.35">
      <c r="A1384">
        <v>37.3644317741553</v>
      </c>
      <c r="B1384">
        <v>-123.740789094943</v>
      </c>
      <c r="C1384" t="s">
        <v>34</v>
      </c>
      <c r="D1384">
        <v>20.841952024066401</v>
      </c>
      <c r="E1384">
        <v>6</v>
      </c>
      <c r="F1384">
        <v>2175</v>
      </c>
      <c r="G1384">
        <v>4</v>
      </c>
      <c r="H1384">
        <v>1</v>
      </c>
      <c r="I1384">
        <v>1966</v>
      </c>
      <c r="J1384">
        <v>1</v>
      </c>
      <c r="K1384">
        <v>1</v>
      </c>
      <c r="L1384">
        <v>1</v>
      </c>
      <c r="M1384">
        <v>10</v>
      </c>
      <c r="N1384" t="s">
        <v>41</v>
      </c>
      <c r="O1384" t="s">
        <v>30</v>
      </c>
      <c r="P1384">
        <v>11.2204185595263</v>
      </c>
      <c r="Q1384">
        <v>2.0286252372026499</v>
      </c>
      <c r="R1384">
        <v>6.9879806264951299</v>
      </c>
      <c r="S1384">
        <v>47</v>
      </c>
      <c r="T1384">
        <v>60</v>
      </c>
      <c r="U1384">
        <v>331.11408310695498</v>
      </c>
      <c r="V1384">
        <v>4.5977011494252804E-3</v>
      </c>
      <c r="W1384">
        <v>1208840.83302319</v>
      </c>
      <c r="X1384" t="s">
        <v>28</v>
      </c>
      <c r="Y1384">
        <f>1-411-923-7205</f>
        <v>-8538</v>
      </c>
    </row>
    <row r="1385" spans="1:25" x14ac:dyDescent="0.35">
      <c r="A1385">
        <v>39.788634478741301</v>
      </c>
      <c r="B1385">
        <v>-122.782452962357</v>
      </c>
      <c r="C1385" t="s">
        <v>25</v>
      </c>
      <c r="D1385">
        <v>33.626510396233499</v>
      </c>
      <c r="E1385">
        <v>5</v>
      </c>
      <c r="F1385">
        <v>3699</v>
      </c>
      <c r="G1385">
        <v>1</v>
      </c>
      <c r="H1385">
        <v>1</v>
      </c>
      <c r="I1385">
        <v>2007</v>
      </c>
      <c r="J1385">
        <v>0</v>
      </c>
      <c r="K1385">
        <v>0</v>
      </c>
      <c r="L1385">
        <v>0</v>
      </c>
      <c r="M1385">
        <v>8</v>
      </c>
      <c r="N1385" t="s">
        <v>26</v>
      </c>
      <c r="O1385" t="s">
        <v>30</v>
      </c>
      <c r="P1385">
        <v>11.6917897628689</v>
      </c>
      <c r="Q1385">
        <v>0.91591248181973595</v>
      </c>
      <c r="R1385">
        <v>8.6321141066234492</v>
      </c>
      <c r="S1385">
        <v>102</v>
      </c>
      <c r="T1385">
        <v>72</v>
      </c>
      <c r="U1385">
        <v>365.35663084059098</v>
      </c>
      <c r="V1385">
        <v>2.1627466882941301E-3</v>
      </c>
      <c r="W1385">
        <v>1472487.1231443901</v>
      </c>
      <c r="X1385" t="s">
        <v>44</v>
      </c>
      <c r="Y1385">
        <f>1-761-339-6535</f>
        <v>-7634</v>
      </c>
    </row>
    <row r="1386" spans="1:25" x14ac:dyDescent="0.35">
      <c r="A1386">
        <v>36.360436733968797</v>
      </c>
      <c r="B1386">
        <v>-120.555621606657</v>
      </c>
      <c r="C1386" t="s">
        <v>34</v>
      </c>
      <c r="D1386">
        <v>45.662118870872398</v>
      </c>
      <c r="E1386">
        <v>0</v>
      </c>
      <c r="F1386">
        <v>1604</v>
      </c>
      <c r="G1386">
        <v>1</v>
      </c>
      <c r="H1386">
        <v>1</v>
      </c>
      <c r="I1386">
        <v>1978</v>
      </c>
      <c r="J1386">
        <v>1</v>
      </c>
      <c r="K1386">
        <v>1</v>
      </c>
      <c r="L1386">
        <v>0</v>
      </c>
      <c r="M1386">
        <v>8</v>
      </c>
      <c r="N1386" t="s">
        <v>41</v>
      </c>
      <c r="O1386" t="s">
        <v>30</v>
      </c>
      <c r="P1386">
        <v>7.4686838428663602</v>
      </c>
      <c r="Q1386">
        <v>1.01835569686677</v>
      </c>
      <c r="R1386">
        <v>2.4827130879919301</v>
      </c>
      <c r="S1386">
        <v>199</v>
      </c>
      <c r="T1386">
        <v>21</v>
      </c>
      <c r="U1386">
        <v>776.28029688585696</v>
      </c>
      <c r="V1386">
        <v>4.9875311720698201E-3</v>
      </c>
      <c r="W1386">
        <v>1387786.2617289</v>
      </c>
      <c r="X1386" t="s">
        <v>33</v>
      </c>
      <c r="Y1386">
        <f>1-678-166-9224</f>
        <v>-10067</v>
      </c>
    </row>
    <row r="1387" spans="1:25" x14ac:dyDescent="0.35">
      <c r="A1387">
        <v>37.921049869110199</v>
      </c>
      <c r="B1387">
        <v>-115.86694140613599</v>
      </c>
      <c r="C1387" t="s">
        <v>34</v>
      </c>
      <c r="D1387">
        <v>3.9030826132291199</v>
      </c>
      <c r="E1387">
        <v>9</v>
      </c>
      <c r="F1387">
        <v>1566</v>
      </c>
      <c r="G1387">
        <v>4</v>
      </c>
      <c r="H1387">
        <v>1</v>
      </c>
      <c r="I1387">
        <v>2008</v>
      </c>
      <c r="J1387">
        <v>0</v>
      </c>
      <c r="K1387">
        <v>1</v>
      </c>
      <c r="L1387">
        <v>1</v>
      </c>
      <c r="M1387">
        <v>4</v>
      </c>
      <c r="N1387" t="s">
        <v>41</v>
      </c>
      <c r="O1387" t="s">
        <v>30</v>
      </c>
      <c r="P1387">
        <v>5.5511738927499197</v>
      </c>
      <c r="Q1387">
        <v>1.6900850256472699</v>
      </c>
      <c r="R1387">
        <v>3.6158712043746002</v>
      </c>
      <c r="S1387">
        <v>20</v>
      </c>
      <c r="T1387">
        <v>60</v>
      </c>
      <c r="U1387">
        <v>828.41702119041497</v>
      </c>
      <c r="V1387">
        <v>2.5542784163473799E-3</v>
      </c>
      <c r="W1387">
        <v>1636593.80589957</v>
      </c>
      <c r="X1387" t="s">
        <v>36</v>
      </c>
      <c r="Y1387">
        <f>1-705-452-8101</f>
        <v>-9257</v>
      </c>
    </row>
    <row r="1388" spans="1:25" x14ac:dyDescent="0.35">
      <c r="A1388">
        <v>36.431317803201402</v>
      </c>
      <c r="B1388">
        <v>-118.468287356575</v>
      </c>
      <c r="C1388" t="s">
        <v>29</v>
      </c>
      <c r="D1388">
        <v>42.990898078878203</v>
      </c>
      <c r="E1388">
        <v>4</v>
      </c>
      <c r="F1388">
        <v>888</v>
      </c>
      <c r="G1388">
        <v>3</v>
      </c>
      <c r="H1388">
        <v>2</v>
      </c>
      <c r="I1388">
        <v>1995</v>
      </c>
      <c r="J1388">
        <v>0</v>
      </c>
      <c r="K1388">
        <v>0</v>
      </c>
      <c r="L1388">
        <v>1</v>
      </c>
      <c r="M1388">
        <v>5</v>
      </c>
      <c r="N1388" t="s">
        <v>37</v>
      </c>
      <c r="O1388" t="s">
        <v>27</v>
      </c>
      <c r="P1388">
        <v>6.6086919323666198</v>
      </c>
      <c r="Q1388">
        <v>0.89650750353831099</v>
      </c>
      <c r="R1388">
        <v>4.64457063109103</v>
      </c>
      <c r="S1388">
        <v>29</v>
      </c>
      <c r="T1388">
        <v>59</v>
      </c>
      <c r="U1388">
        <v>580.63327399825698</v>
      </c>
      <c r="V1388">
        <v>5.6306306306306304E-3</v>
      </c>
      <c r="W1388">
        <v>747987.06024996098</v>
      </c>
      <c r="X1388" t="s">
        <v>28</v>
      </c>
      <c r="Y1388">
        <f>1-540-391-9624</f>
        <v>-10554</v>
      </c>
    </row>
    <row r="1389" spans="1:25" x14ac:dyDescent="0.35">
      <c r="A1389">
        <v>41.736409778870701</v>
      </c>
      <c r="B1389">
        <v>-121.56625731373801</v>
      </c>
      <c r="C1389" t="s">
        <v>25</v>
      </c>
      <c r="D1389">
        <v>1.8752120981165099</v>
      </c>
      <c r="E1389">
        <v>7</v>
      </c>
      <c r="F1389">
        <v>1659</v>
      </c>
      <c r="G1389">
        <v>5</v>
      </c>
      <c r="H1389">
        <v>3</v>
      </c>
      <c r="I1389">
        <v>1968</v>
      </c>
      <c r="J1389">
        <v>0</v>
      </c>
      <c r="K1389">
        <v>0</v>
      </c>
      <c r="L1389">
        <v>0</v>
      </c>
      <c r="M1389">
        <v>10</v>
      </c>
      <c r="N1389" t="s">
        <v>26</v>
      </c>
      <c r="O1389" t="s">
        <v>32</v>
      </c>
      <c r="P1389">
        <v>2.4985464723640698</v>
      </c>
      <c r="Q1389">
        <v>1.13355022198304</v>
      </c>
      <c r="R1389">
        <v>4.5386117621275197</v>
      </c>
      <c r="S1389">
        <v>12</v>
      </c>
      <c r="T1389">
        <v>58</v>
      </c>
      <c r="U1389">
        <v>475.22979654669501</v>
      </c>
      <c r="V1389">
        <v>6.02772754671488E-3</v>
      </c>
      <c r="W1389">
        <v>1025329.98062998</v>
      </c>
      <c r="X1389" t="s">
        <v>42</v>
      </c>
      <c r="Y1389">
        <f>1-809-647-7632</f>
        <v>-9087</v>
      </c>
    </row>
    <row r="1390" spans="1:25" x14ac:dyDescent="0.35">
      <c r="A1390">
        <v>32.884063019274997</v>
      </c>
      <c r="B1390">
        <v>-114.81945378426499</v>
      </c>
      <c r="C1390" t="s">
        <v>29</v>
      </c>
      <c r="D1390">
        <v>7.82554579421359</v>
      </c>
      <c r="E1390">
        <v>1</v>
      </c>
      <c r="F1390">
        <v>2423</v>
      </c>
      <c r="G1390">
        <v>1</v>
      </c>
      <c r="H1390">
        <v>3</v>
      </c>
      <c r="I1390">
        <v>2003</v>
      </c>
      <c r="J1390">
        <v>1</v>
      </c>
      <c r="K1390">
        <v>0</v>
      </c>
      <c r="L1390">
        <v>1</v>
      </c>
      <c r="M1390">
        <v>14</v>
      </c>
      <c r="N1390" t="s">
        <v>37</v>
      </c>
      <c r="O1390" t="s">
        <v>27</v>
      </c>
      <c r="P1390">
        <v>14.022591345111501</v>
      </c>
      <c r="Q1390">
        <v>1.7109126900054601</v>
      </c>
      <c r="R1390">
        <v>5.6562035010081297</v>
      </c>
      <c r="S1390">
        <v>79</v>
      </c>
      <c r="T1390">
        <v>29</v>
      </c>
      <c r="U1390">
        <v>478.83538685210198</v>
      </c>
      <c r="V1390">
        <v>5.7779612051176198E-3</v>
      </c>
      <c r="W1390">
        <v>1419083.3435990501</v>
      </c>
      <c r="X1390" t="s">
        <v>38</v>
      </c>
      <c r="Y1390">
        <f>1-911-297-3560</f>
        <v>-4767</v>
      </c>
    </row>
    <row r="1391" spans="1:25" x14ac:dyDescent="0.35">
      <c r="A1391">
        <v>36.177213566714499</v>
      </c>
      <c r="B1391">
        <v>-120.668581606091</v>
      </c>
      <c r="C1391" t="s">
        <v>29</v>
      </c>
      <c r="D1391">
        <v>28.9700211195651</v>
      </c>
      <c r="E1391">
        <v>2</v>
      </c>
      <c r="F1391">
        <v>3877</v>
      </c>
      <c r="G1391">
        <v>5</v>
      </c>
      <c r="H1391">
        <v>2</v>
      </c>
      <c r="I1391">
        <v>1973</v>
      </c>
      <c r="J1391">
        <v>1</v>
      </c>
      <c r="K1391">
        <v>1</v>
      </c>
      <c r="L1391">
        <v>1</v>
      </c>
      <c r="M1391">
        <v>13</v>
      </c>
      <c r="N1391" t="s">
        <v>41</v>
      </c>
      <c r="O1391" t="s">
        <v>30</v>
      </c>
      <c r="P1391">
        <v>5.9532497581526602</v>
      </c>
      <c r="Q1391">
        <v>2.0934211614074099</v>
      </c>
      <c r="R1391">
        <v>4.6920614907229297</v>
      </c>
      <c r="S1391">
        <v>79</v>
      </c>
      <c r="T1391">
        <v>73</v>
      </c>
      <c r="U1391">
        <v>987.80980382144003</v>
      </c>
      <c r="V1391">
        <v>3.35310807325251E-3</v>
      </c>
      <c r="W1391">
        <v>4283368.3013745397</v>
      </c>
      <c r="X1391" t="s">
        <v>39</v>
      </c>
      <c r="Y1391">
        <f>1-494-178-5220</f>
        <v>-5891</v>
      </c>
    </row>
    <row r="1392" spans="1:25" x14ac:dyDescent="0.35">
      <c r="A1392">
        <v>41.586011797167401</v>
      </c>
      <c r="B1392">
        <v>-118.43745371643401</v>
      </c>
      <c r="C1392" t="s">
        <v>34</v>
      </c>
      <c r="D1392">
        <v>48.975558883087302</v>
      </c>
      <c r="E1392">
        <v>5</v>
      </c>
      <c r="F1392">
        <v>2928</v>
      </c>
      <c r="G1392">
        <v>5</v>
      </c>
      <c r="H1392">
        <v>3</v>
      </c>
      <c r="I1392">
        <v>2002</v>
      </c>
      <c r="J1392">
        <v>0</v>
      </c>
      <c r="K1392">
        <v>1</v>
      </c>
      <c r="L1392">
        <v>1</v>
      </c>
      <c r="M1392">
        <v>10</v>
      </c>
      <c r="N1392" t="s">
        <v>41</v>
      </c>
      <c r="O1392" t="s">
        <v>32</v>
      </c>
      <c r="P1392">
        <v>9.5773675957165398</v>
      </c>
      <c r="Q1392">
        <v>2.1520445809541102</v>
      </c>
      <c r="R1392">
        <v>1.7683859104309301</v>
      </c>
      <c r="S1392">
        <v>141</v>
      </c>
      <c r="T1392">
        <v>43</v>
      </c>
      <c r="U1392">
        <v>438.26323589633898</v>
      </c>
      <c r="V1392">
        <v>3.4153005464480799E-3</v>
      </c>
      <c r="W1392">
        <v>1772205.3538798599</v>
      </c>
      <c r="X1392" t="s">
        <v>33</v>
      </c>
      <c r="Y1392">
        <f>1-284-557-8893</f>
        <v>-9733</v>
      </c>
    </row>
    <row r="1393" spans="1:25" x14ac:dyDescent="0.35">
      <c r="A1393">
        <v>38.170223243901098</v>
      </c>
      <c r="B1393">
        <v>-122.574273349278</v>
      </c>
      <c r="C1393" t="s">
        <v>29</v>
      </c>
      <c r="D1393">
        <v>13.046741000637599</v>
      </c>
      <c r="E1393">
        <v>5</v>
      </c>
      <c r="F1393">
        <v>985</v>
      </c>
      <c r="G1393">
        <v>2</v>
      </c>
      <c r="H1393">
        <v>2</v>
      </c>
      <c r="I1393">
        <v>1962</v>
      </c>
      <c r="J1393">
        <v>0</v>
      </c>
      <c r="K1393">
        <v>1</v>
      </c>
      <c r="L1393">
        <v>0</v>
      </c>
      <c r="M1393">
        <v>2</v>
      </c>
      <c r="N1393" t="s">
        <v>41</v>
      </c>
      <c r="O1393" t="s">
        <v>30</v>
      </c>
      <c r="P1393">
        <v>2.7363721308456901</v>
      </c>
      <c r="Q1393">
        <v>0.64613135715634695</v>
      </c>
      <c r="R1393">
        <v>8.9328759895351002</v>
      </c>
      <c r="S1393">
        <v>50</v>
      </c>
      <c r="T1393">
        <v>57</v>
      </c>
      <c r="U1393">
        <v>748.73419057760805</v>
      </c>
      <c r="V1393">
        <v>2.03045685279187E-3</v>
      </c>
      <c r="W1393">
        <v>940390.42722491</v>
      </c>
      <c r="X1393" t="s">
        <v>44</v>
      </c>
      <c r="Y1393">
        <f>1-471-504-9784</f>
        <v>-10758</v>
      </c>
    </row>
    <row r="1394" spans="1:25" x14ac:dyDescent="0.35">
      <c r="A1394">
        <v>41.253165254518599</v>
      </c>
      <c r="B1394">
        <v>-117.413586395175</v>
      </c>
      <c r="C1394" t="s">
        <v>34</v>
      </c>
      <c r="D1394">
        <v>1.39148098063161</v>
      </c>
      <c r="E1394">
        <v>1</v>
      </c>
      <c r="F1394">
        <v>1354</v>
      </c>
      <c r="G1394">
        <v>5</v>
      </c>
      <c r="H1394">
        <v>3</v>
      </c>
      <c r="I1394">
        <v>1993</v>
      </c>
      <c r="J1394">
        <v>1</v>
      </c>
      <c r="K1394">
        <v>1</v>
      </c>
      <c r="L1394">
        <v>1</v>
      </c>
      <c r="M1394">
        <v>10</v>
      </c>
      <c r="N1394" t="s">
        <v>41</v>
      </c>
      <c r="O1394" t="s">
        <v>30</v>
      </c>
      <c r="P1394">
        <v>4.0285536930468702</v>
      </c>
      <c r="Q1394">
        <v>2.31462668692448</v>
      </c>
      <c r="R1394">
        <v>2.1217277499097098</v>
      </c>
      <c r="S1394">
        <v>175</v>
      </c>
      <c r="T1394">
        <v>66</v>
      </c>
      <c r="U1394">
        <v>964.41582938880094</v>
      </c>
      <c r="V1394">
        <v>7.3855243722304202E-3</v>
      </c>
      <c r="W1394">
        <v>1756899.5662835599</v>
      </c>
      <c r="X1394" t="s">
        <v>44</v>
      </c>
      <c r="Y1394">
        <f>1-805-684-9619</f>
        <v>-11107</v>
      </c>
    </row>
    <row r="1395" spans="1:25" x14ac:dyDescent="0.35">
      <c r="A1395">
        <v>38.885486887508499</v>
      </c>
      <c r="B1395">
        <v>-116.52397713159201</v>
      </c>
      <c r="C1395" t="s">
        <v>25</v>
      </c>
      <c r="D1395">
        <v>25.597989700250299</v>
      </c>
      <c r="E1395">
        <v>4</v>
      </c>
      <c r="F1395">
        <v>3632</v>
      </c>
      <c r="G1395">
        <v>5</v>
      </c>
      <c r="H1395">
        <v>3</v>
      </c>
      <c r="I1395">
        <v>1959</v>
      </c>
      <c r="J1395">
        <v>0</v>
      </c>
      <c r="K1395">
        <v>1</v>
      </c>
      <c r="L1395">
        <v>1</v>
      </c>
      <c r="M1395">
        <v>12</v>
      </c>
      <c r="N1395" t="s">
        <v>35</v>
      </c>
      <c r="O1395" t="s">
        <v>27</v>
      </c>
      <c r="P1395">
        <v>2.1549410455923699</v>
      </c>
      <c r="Q1395">
        <v>0.96506195601191103</v>
      </c>
      <c r="R1395">
        <v>8.0917436810561494</v>
      </c>
      <c r="S1395">
        <v>143</v>
      </c>
      <c r="T1395">
        <v>26</v>
      </c>
      <c r="U1395">
        <v>789.13083288490805</v>
      </c>
      <c r="V1395">
        <v>3.3039647577092499E-3</v>
      </c>
      <c r="W1395">
        <v>3288655.7631157399</v>
      </c>
      <c r="X1395" t="s">
        <v>31</v>
      </c>
      <c r="Y1395">
        <f>1-206-402-3850</f>
        <v>-4457</v>
      </c>
    </row>
    <row r="1396" spans="1:25" x14ac:dyDescent="0.35">
      <c r="A1396">
        <v>32.693699600991202</v>
      </c>
      <c r="B1396">
        <v>-119.088161153247</v>
      </c>
      <c r="C1396" t="s">
        <v>34</v>
      </c>
      <c r="D1396">
        <v>5.24420014920985</v>
      </c>
      <c r="E1396">
        <v>1</v>
      </c>
      <c r="F1396">
        <v>4361</v>
      </c>
      <c r="G1396">
        <v>2</v>
      </c>
      <c r="H1396">
        <v>2</v>
      </c>
      <c r="I1396">
        <v>2008</v>
      </c>
      <c r="J1396">
        <v>1</v>
      </c>
      <c r="K1396">
        <v>1</v>
      </c>
      <c r="L1396">
        <v>1</v>
      </c>
      <c r="M1396">
        <v>14</v>
      </c>
      <c r="N1396" t="s">
        <v>41</v>
      </c>
      <c r="O1396" t="s">
        <v>30</v>
      </c>
      <c r="P1396">
        <v>10.3312964033958</v>
      </c>
      <c r="Q1396">
        <v>0.64332594047319303</v>
      </c>
      <c r="R1396">
        <v>2.0022003013444198</v>
      </c>
      <c r="S1396">
        <v>55</v>
      </c>
      <c r="T1396">
        <v>36</v>
      </c>
      <c r="U1396">
        <v>944.646471369089</v>
      </c>
      <c r="V1396">
        <v>3.2102728731942202E-3</v>
      </c>
      <c r="W1396">
        <v>4430971.7268191697</v>
      </c>
      <c r="X1396" t="s">
        <v>28</v>
      </c>
      <c r="Y1396">
        <f>1-832-695-4453</f>
        <v>-5979</v>
      </c>
    </row>
    <row r="1397" spans="1:25" x14ac:dyDescent="0.35">
      <c r="A1397">
        <v>32.787124299187397</v>
      </c>
      <c r="B1397">
        <v>-122.497511576737</v>
      </c>
      <c r="C1397" t="s">
        <v>34</v>
      </c>
      <c r="D1397">
        <v>48.0216600847303</v>
      </c>
      <c r="E1397">
        <v>4</v>
      </c>
      <c r="F1397">
        <v>3870</v>
      </c>
      <c r="G1397">
        <v>2</v>
      </c>
      <c r="H1397">
        <v>3</v>
      </c>
      <c r="I1397">
        <v>1974</v>
      </c>
      <c r="J1397">
        <v>0</v>
      </c>
      <c r="K1397">
        <v>0</v>
      </c>
      <c r="L1397">
        <v>1</v>
      </c>
      <c r="M1397">
        <v>11</v>
      </c>
      <c r="N1397" t="s">
        <v>41</v>
      </c>
      <c r="O1397" t="s">
        <v>30</v>
      </c>
      <c r="P1397">
        <v>2.7055986192813601</v>
      </c>
      <c r="Q1397">
        <v>2.0227876411144599</v>
      </c>
      <c r="R1397">
        <v>7.3916832964846897</v>
      </c>
      <c r="S1397">
        <v>150</v>
      </c>
      <c r="T1397">
        <v>57</v>
      </c>
      <c r="U1397">
        <v>928.10911548462104</v>
      </c>
      <c r="V1397">
        <v>2.8423772609819098E-3</v>
      </c>
      <c r="W1397">
        <v>3681221.1692566802</v>
      </c>
      <c r="X1397" t="s">
        <v>38</v>
      </c>
      <c r="Y1397">
        <f>1-944-837-1051</f>
        <v>-2831</v>
      </c>
    </row>
    <row r="1398" spans="1:25" x14ac:dyDescent="0.35">
      <c r="A1398">
        <v>40.687471321713403</v>
      </c>
      <c r="B1398">
        <v>-115.872845329618</v>
      </c>
      <c r="C1398" t="s">
        <v>34</v>
      </c>
      <c r="D1398">
        <v>22.467916728427198</v>
      </c>
      <c r="E1398">
        <v>4</v>
      </c>
      <c r="F1398">
        <v>2903</v>
      </c>
      <c r="G1398">
        <v>5</v>
      </c>
      <c r="H1398">
        <v>1</v>
      </c>
      <c r="I1398">
        <v>2008</v>
      </c>
      <c r="J1398">
        <v>1</v>
      </c>
      <c r="K1398">
        <v>1</v>
      </c>
      <c r="L1398">
        <v>1</v>
      </c>
      <c r="M1398">
        <v>12</v>
      </c>
      <c r="N1398" t="s">
        <v>35</v>
      </c>
      <c r="O1398" t="s">
        <v>27</v>
      </c>
      <c r="P1398">
        <v>3.7956902019961798</v>
      </c>
      <c r="Q1398">
        <v>1.0264680555809</v>
      </c>
      <c r="R1398">
        <v>0.64829001653658203</v>
      </c>
      <c r="S1398">
        <v>85</v>
      </c>
      <c r="T1398">
        <v>60</v>
      </c>
      <c r="U1398">
        <v>556.232487656035</v>
      </c>
      <c r="V1398">
        <v>4.1336548398208696E-3</v>
      </c>
      <c r="W1398">
        <v>2043743.89245561</v>
      </c>
      <c r="X1398" t="s">
        <v>33</v>
      </c>
      <c r="Y1398">
        <f>1-478-764-3532</f>
        <v>-4773</v>
      </c>
    </row>
    <row r="1399" spans="1:25" x14ac:dyDescent="0.35">
      <c r="A1399">
        <v>38.286638325975503</v>
      </c>
      <c r="B1399">
        <v>-117.008114434521</v>
      </c>
      <c r="C1399" t="s">
        <v>29</v>
      </c>
      <c r="D1399">
        <v>1.50389763895254</v>
      </c>
      <c r="E1399">
        <v>9</v>
      </c>
      <c r="F1399">
        <v>1576</v>
      </c>
      <c r="G1399">
        <v>3</v>
      </c>
      <c r="H1399">
        <v>3</v>
      </c>
      <c r="I1399">
        <v>2010</v>
      </c>
      <c r="J1399">
        <v>0</v>
      </c>
      <c r="K1399">
        <v>1</v>
      </c>
      <c r="L1399">
        <v>0</v>
      </c>
      <c r="M1399">
        <v>14</v>
      </c>
      <c r="N1399" t="s">
        <v>37</v>
      </c>
      <c r="O1399" t="s">
        <v>32</v>
      </c>
      <c r="P1399">
        <v>11.786759180124101</v>
      </c>
      <c r="Q1399">
        <v>1.6218494287405101</v>
      </c>
      <c r="R1399">
        <v>6.0662948923286297</v>
      </c>
      <c r="S1399">
        <v>80</v>
      </c>
      <c r="T1399">
        <v>26</v>
      </c>
      <c r="U1399">
        <v>815.73777501592394</v>
      </c>
      <c r="V1399">
        <v>8.8832487309644607E-3</v>
      </c>
      <c r="W1399">
        <v>1681820.1009168599</v>
      </c>
      <c r="X1399" t="s">
        <v>39</v>
      </c>
      <c r="Y1399">
        <f>1-501-270-4598</f>
        <v>-5368</v>
      </c>
    </row>
    <row r="1400" spans="1:25" x14ac:dyDescent="0.35">
      <c r="A1400">
        <v>40.305713102755</v>
      </c>
      <c r="B1400">
        <v>-118.46474992653999</v>
      </c>
      <c r="C1400" t="s">
        <v>34</v>
      </c>
      <c r="D1400">
        <v>17.139567992425899</v>
      </c>
      <c r="E1400">
        <v>6</v>
      </c>
      <c r="F1400">
        <v>603</v>
      </c>
      <c r="G1400">
        <v>4</v>
      </c>
      <c r="H1400">
        <v>1</v>
      </c>
      <c r="I1400">
        <v>2016</v>
      </c>
      <c r="J1400">
        <v>1</v>
      </c>
      <c r="K1400">
        <v>0</v>
      </c>
      <c r="L1400">
        <v>1</v>
      </c>
      <c r="M1400">
        <v>12</v>
      </c>
      <c r="N1400" t="s">
        <v>37</v>
      </c>
      <c r="O1400" t="s">
        <v>30</v>
      </c>
      <c r="P1400">
        <v>9.7278985941269305</v>
      </c>
      <c r="Q1400">
        <v>0.54588678893526299</v>
      </c>
      <c r="R1400">
        <v>9.9944131055094303</v>
      </c>
      <c r="S1400">
        <v>190</v>
      </c>
      <c r="T1400">
        <v>20</v>
      </c>
      <c r="U1400">
        <v>530.214570251179</v>
      </c>
      <c r="V1400">
        <v>1.99004975124378E-2</v>
      </c>
      <c r="W1400">
        <v>665852.46808478597</v>
      </c>
      <c r="X1400" t="s">
        <v>43</v>
      </c>
      <c r="Y1400">
        <f>1-203-272-2393</f>
        <v>-2867</v>
      </c>
    </row>
    <row r="1401" spans="1:25" x14ac:dyDescent="0.35">
      <c r="A1401">
        <v>32.8319239723454</v>
      </c>
      <c r="B1401">
        <v>-117.92336497642</v>
      </c>
      <c r="C1401" t="s">
        <v>34</v>
      </c>
      <c r="D1401">
        <v>14.399727008966201</v>
      </c>
      <c r="E1401">
        <v>1</v>
      </c>
      <c r="F1401">
        <v>2838</v>
      </c>
      <c r="G1401">
        <v>1</v>
      </c>
      <c r="H1401">
        <v>1</v>
      </c>
      <c r="I1401">
        <v>1998</v>
      </c>
      <c r="J1401">
        <v>1</v>
      </c>
      <c r="K1401">
        <v>0</v>
      </c>
      <c r="L1401">
        <v>1</v>
      </c>
      <c r="M1401">
        <v>8</v>
      </c>
      <c r="N1401" t="s">
        <v>26</v>
      </c>
      <c r="O1401" t="s">
        <v>30</v>
      </c>
      <c r="P1401">
        <v>3.2809052174286601</v>
      </c>
      <c r="Q1401">
        <v>2.2196230974362701</v>
      </c>
      <c r="R1401">
        <v>4.4902414324472799</v>
      </c>
      <c r="S1401">
        <v>51</v>
      </c>
      <c r="T1401">
        <v>29</v>
      </c>
      <c r="U1401">
        <v>815.53328525867096</v>
      </c>
      <c r="V1401">
        <v>2.8188865398167699E-3</v>
      </c>
      <c r="W1401">
        <v>2481509.3247498702</v>
      </c>
      <c r="X1401" t="s">
        <v>33</v>
      </c>
      <c r="Y1401">
        <f>1-246-791-7793</f>
        <v>-8829</v>
      </c>
    </row>
    <row r="1402" spans="1:25" x14ac:dyDescent="0.35">
      <c r="A1402">
        <v>34.0997425242237</v>
      </c>
      <c r="B1402">
        <v>-122.24918563303601</v>
      </c>
      <c r="C1402" t="s">
        <v>25</v>
      </c>
      <c r="D1402">
        <v>24.461561277935399</v>
      </c>
      <c r="E1402">
        <v>9</v>
      </c>
      <c r="F1402">
        <v>2688</v>
      </c>
      <c r="G1402">
        <v>4</v>
      </c>
      <c r="H1402">
        <v>3</v>
      </c>
      <c r="I1402">
        <v>1966</v>
      </c>
      <c r="J1402">
        <v>0</v>
      </c>
      <c r="K1402">
        <v>0</v>
      </c>
      <c r="L1402">
        <v>1</v>
      </c>
      <c r="M1402">
        <v>4</v>
      </c>
      <c r="N1402" t="s">
        <v>41</v>
      </c>
      <c r="O1402" t="s">
        <v>27</v>
      </c>
      <c r="P1402">
        <v>4.1710124271528297</v>
      </c>
      <c r="Q1402">
        <v>2.4284681729150099</v>
      </c>
      <c r="R1402">
        <v>7.5528274287613701</v>
      </c>
      <c r="S1402">
        <v>39</v>
      </c>
      <c r="T1402">
        <v>77</v>
      </c>
      <c r="U1402">
        <v>887.601479845477</v>
      </c>
      <c r="V1402">
        <v>1.48809523809523E-3</v>
      </c>
      <c r="W1402">
        <v>2621983.0050821202</v>
      </c>
      <c r="X1402" t="s">
        <v>31</v>
      </c>
      <c r="Y1402">
        <f>1-563-643-3693</f>
        <v>-4898</v>
      </c>
    </row>
    <row r="1403" spans="1:25" x14ac:dyDescent="0.35">
      <c r="A1403">
        <v>39.513437929975197</v>
      </c>
      <c r="B1403">
        <v>-116.25813292591801</v>
      </c>
      <c r="C1403" t="s">
        <v>25</v>
      </c>
      <c r="D1403">
        <v>12.3002079705906</v>
      </c>
      <c r="E1403">
        <v>1</v>
      </c>
      <c r="F1403">
        <v>2190</v>
      </c>
      <c r="G1403">
        <v>4</v>
      </c>
      <c r="H1403">
        <v>1</v>
      </c>
      <c r="I1403">
        <v>2010</v>
      </c>
      <c r="J1403">
        <v>0</v>
      </c>
      <c r="K1403">
        <v>1</v>
      </c>
      <c r="L1403">
        <v>1</v>
      </c>
      <c r="M1403">
        <v>5</v>
      </c>
      <c r="N1403" t="s">
        <v>35</v>
      </c>
      <c r="O1403" t="s">
        <v>27</v>
      </c>
      <c r="P1403">
        <v>10.241150841646</v>
      </c>
      <c r="Q1403">
        <v>0.74553904689502803</v>
      </c>
      <c r="R1403">
        <v>8.2851447772496005</v>
      </c>
      <c r="S1403">
        <v>114</v>
      </c>
      <c r="T1403">
        <v>72</v>
      </c>
      <c r="U1403">
        <v>362.273139028581</v>
      </c>
      <c r="V1403">
        <v>2.2831050228310501E-3</v>
      </c>
      <c r="W1403">
        <v>1270430.59826728</v>
      </c>
      <c r="X1403" t="s">
        <v>39</v>
      </c>
      <c r="Y1403">
        <f>1-224-697-6780</f>
        <v>-7700</v>
      </c>
    </row>
    <row r="1404" spans="1:25" x14ac:dyDescent="0.35">
      <c r="A1404">
        <v>40.217077437192998</v>
      </c>
      <c r="B1404">
        <v>-117.022485060101</v>
      </c>
      <c r="C1404" t="s">
        <v>25</v>
      </c>
      <c r="D1404">
        <v>5.7467037033447603</v>
      </c>
      <c r="E1404">
        <v>4</v>
      </c>
      <c r="F1404">
        <v>3118</v>
      </c>
      <c r="G1404">
        <v>2</v>
      </c>
      <c r="H1404">
        <v>3</v>
      </c>
      <c r="I1404">
        <v>1997</v>
      </c>
      <c r="J1404">
        <v>1</v>
      </c>
      <c r="K1404">
        <v>1</v>
      </c>
      <c r="L1404">
        <v>0</v>
      </c>
      <c r="M1404">
        <v>10</v>
      </c>
      <c r="N1404" t="s">
        <v>35</v>
      </c>
      <c r="O1404" t="s">
        <v>27</v>
      </c>
      <c r="P1404">
        <v>14.5403087051619</v>
      </c>
      <c r="Q1404">
        <v>0.778986376555174</v>
      </c>
      <c r="R1404">
        <v>3.1022526761976001</v>
      </c>
      <c r="S1404">
        <v>103</v>
      </c>
      <c r="T1404">
        <v>51</v>
      </c>
      <c r="U1404">
        <v>891.79208386174798</v>
      </c>
      <c r="V1404">
        <v>3.2071840923668998E-3</v>
      </c>
      <c r="W1404">
        <v>3252928.0268088402</v>
      </c>
      <c r="X1404" t="s">
        <v>43</v>
      </c>
      <c r="Y1404">
        <f>1-424-890-3600</f>
        <v>-4913</v>
      </c>
    </row>
    <row r="1405" spans="1:25" x14ac:dyDescent="0.35">
      <c r="A1405">
        <v>32.676317327187597</v>
      </c>
      <c r="B1405">
        <v>-114.62814107541899</v>
      </c>
      <c r="C1405" t="s">
        <v>29</v>
      </c>
      <c r="D1405">
        <v>25.1987885560435</v>
      </c>
      <c r="E1405">
        <v>6</v>
      </c>
      <c r="F1405">
        <v>646</v>
      </c>
      <c r="G1405">
        <v>5</v>
      </c>
      <c r="H1405">
        <v>2</v>
      </c>
      <c r="I1405">
        <v>1986</v>
      </c>
      <c r="J1405">
        <v>0</v>
      </c>
      <c r="K1405">
        <v>0</v>
      </c>
      <c r="L1405">
        <v>0</v>
      </c>
      <c r="M1405">
        <v>9</v>
      </c>
      <c r="N1405" t="s">
        <v>41</v>
      </c>
      <c r="O1405" t="s">
        <v>32</v>
      </c>
      <c r="P1405">
        <v>3.9023526584010102</v>
      </c>
      <c r="Q1405">
        <v>2.2233774412953999</v>
      </c>
      <c r="R1405">
        <v>1.8557130965170301</v>
      </c>
      <c r="S1405">
        <v>130</v>
      </c>
      <c r="T1405">
        <v>44</v>
      </c>
      <c r="U1405">
        <v>703.80337348821297</v>
      </c>
      <c r="V1405">
        <v>1.3931888544891601E-2</v>
      </c>
      <c r="W1405">
        <v>739143.39446022199</v>
      </c>
      <c r="X1405" t="s">
        <v>28</v>
      </c>
      <c r="Y1405">
        <f>1-975-426-3566</f>
        <v>-4966</v>
      </c>
    </row>
    <row r="1406" spans="1:25" x14ac:dyDescent="0.35">
      <c r="A1406">
        <v>39.978237074052203</v>
      </c>
      <c r="B1406">
        <v>-117.806274678977</v>
      </c>
      <c r="C1406" t="s">
        <v>25</v>
      </c>
      <c r="D1406">
        <v>9.6579561302458306</v>
      </c>
      <c r="E1406">
        <v>4</v>
      </c>
      <c r="F1406">
        <v>3497</v>
      </c>
      <c r="G1406">
        <v>2</v>
      </c>
      <c r="H1406">
        <v>2</v>
      </c>
      <c r="I1406">
        <v>1982</v>
      </c>
      <c r="J1406">
        <v>1</v>
      </c>
      <c r="K1406">
        <v>0</v>
      </c>
      <c r="L1406">
        <v>0</v>
      </c>
      <c r="M1406">
        <v>5</v>
      </c>
      <c r="N1406" t="s">
        <v>26</v>
      </c>
      <c r="O1406" t="s">
        <v>30</v>
      </c>
      <c r="P1406">
        <v>7.9858791745505897</v>
      </c>
      <c r="Q1406">
        <v>1.7340438295257099</v>
      </c>
      <c r="R1406">
        <v>5.2523688416666499</v>
      </c>
      <c r="S1406">
        <v>101</v>
      </c>
      <c r="T1406">
        <v>59</v>
      </c>
      <c r="U1406">
        <v>552.26893568528897</v>
      </c>
      <c r="V1406">
        <v>1.4297969688304201E-3</v>
      </c>
      <c r="W1406">
        <v>2011765.7585517</v>
      </c>
      <c r="X1406" t="s">
        <v>38</v>
      </c>
      <c r="Y1406">
        <f>1-985-699-8546</f>
        <v>-10229</v>
      </c>
    </row>
    <row r="1407" spans="1:25" x14ac:dyDescent="0.35">
      <c r="A1407">
        <v>38.559652675551099</v>
      </c>
      <c r="B1407">
        <v>-118.080589028445</v>
      </c>
      <c r="C1407" t="s">
        <v>29</v>
      </c>
      <c r="D1407">
        <v>5.2029300746804799</v>
      </c>
      <c r="E1407">
        <v>9</v>
      </c>
      <c r="F1407">
        <v>3109</v>
      </c>
      <c r="G1407">
        <v>5</v>
      </c>
      <c r="H1407">
        <v>1</v>
      </c>
      <c r="I1407">
        <v>2022</v>
      </c>
      <c r="J1407">
        <v>1</v>
      </c>
      <c r="K1407">
        <v>0</v>
      </c>
      <c r="L1407">
        <v>0</v>
      </c>
      <c r="M1407">
        <v>5</v>
      </c>
      <c r="N1407" t="s">
        <v>41</v>
      </c>
      <c r="O1407" t="s">
        <v>32</v>
      </c>
      <c r="P1407">
        <v>11.011640988606199</v>
      </c>
      <c r="Q1407">
        <v>1.81201037500205</v>
      </c>
      <c r="R1407">
        <v>1.68252576240284</v>
      </c>
      <c r="S1407">
        <v>19</v>
      </c>
      <c r="T1407">
        <v>72</v>
      </c>
      <c r="U1407">
        <v>868.20007008400296</v>
      </c>
      <c r="V1407">
        <v>1.6082341588935299E-3</v>
      </c>
      <c r="W1407">
        <v>2995021.8287230898</v>
      </c>
      <c r="X1407" t="s">
        <v>43</v>
      </c>
      <c r="Y1407">
        <f>1-936-623-1213</f>
        <v>-2771</v>
      </c>
    </row>
    <row r="1408" spans="1:25" x14ac:dyDescent="0.35">
      <c r="A1408">
        <v>39.8292086502844</v>
      </c>
      <c r="B1408">
        <v>-124.019999278578</v>
      </c>
      <c r="C1408" t="s">
        <v>25</v>
      </c>
      <c r="D1408">
        <v>38.368716373211797</v>
      </c>
      <c r="E1408">
        <v>5</v>
      </c>
      <c r="F1408">
        <v>4740</v>
      </c>
      <c r="G1408">
        <v>5</v>
      </c>
      <c r="H1408">
        <v>1</v>
      </c>
      <c r="I1408">
        <v>2007</v>
      </c>
      <c r="J1408">
        <v>1</v>
      </c>
      <c r="K1408">
        <v>1</v>
      </c>
      <c r="L1408">
        <v>1</v>
      </c>
      <c r="M1408">
        <v>11</v>
      </c>
      <c r="N1408" t="s">
        <v>35</v>
      </c>
      <c r="O1408" t="s">
        <v>30</v>
      </c>
      <c r="P1408">
        <v>3.9445652391906001</v>
      </c>
      <c r="Q1408">
        <v>1.32155936404536</v>
      </c>
      <c r="R1408">
        <v>3.9211010598915199</v>
      </c>
      <c r="S1408">
        <v>67</v>
      </c>
      <c r="T1408">
        <v>24</v>
      </c>
      <c r="U1408">
        <v>899.92483240650699</v>
      </c>
      <c r="V1408">
        <v>2.3206751054852298E-3</v>
      </c>
      <c r="W1408">
        <v>4730514.6853290601</v>
      </c>
      <c r="X1408" t="s">
        <v>43</v>
      </c>
      <c r="Y1408">
        <f>1-641-564-7009</f>
        <v>-8213</v>
      </c>
    </row>
    <row r="1409" spans="1:25" x14ac:dyDescent="0.35">
      <c r="A1409">
        <v>40.695980792954899</v>
      </c>
      <c r="B1409">
        <v>-116.895984119045</v>
      </c>
      <c r="C1409" t="s">
        <v>29</v>
      </c>
      <c r="D1409">
        <v>33.1482274437451</v>
      </c>
      <c r="E1409">
        <v>0</v>
      </c>
      <c r="F1409">
        <v>4392</v>
      </c>
      <c r="G1409">
        <v>5</v>
      </c>
      <c r="H1409">
        <v>2</v>
      </c>
      <c r="I1409">
        <v>1981</v>
      </c>
      <c r="J1409">
        <v>0</v>
      </c>
      <c r="K1409">
        <v>0</v>
      </c>
      <c r="L1409">
        <v>0</v>
      </c>
      <c r="M1409">
        <v>11</v>
      </c>
      <c r="N1409" t="s">
        <v>35</v>
      </c>
      <c r="O1409" t="s">
        <v>30</v>
      </c>
      <c r="P1409">
        <v>8.1793718868714205</v>
      </c>
      <c r="Q1409">
        <v>0.91646674073440804</v>
      </c>
      <c r="R1409">
        <v>7.7857140611824001</v>
      </c>
      <c r="S1409">
        <v>101</v>
      </c>
      <c r="T1409">
        <v>22</v>
      </c>
      <c r="U1409">
        <v>653.71062040743595</v>
      </c>
      <c r="V1409">
        <v>2.5045537340619298E-3</v>
      </c>
      <c r="W1409">
        <v>3124882.5229485901</v>
      </c>
      <c r="X1409" t="s">
        <v>28</v>
      </c>
      <c r="Y1409">
        <f>1-732-103-3209</f>
        <v>-4043</v>
      </c>
    </row>
    <row r="1410" spans="1:25" x14ac:dyDescent="0.35">
      <c r="A1410">
        <v>41.572729353107903</v>
      </c>
      <c r="B1410">
        <v>-121.690312239832</v>
      </c>
      <c r="C1410" t="s">
        <v>25</v>
      </c>
      <c r="D1410">
        <v>32.893338240377297</v>
      </c>
      <c r="E1410">
        <v>0</v>
      </c>
      <c r="F1410">
        <v>3277</v>
      </c>
      <c r="G1410">
        <v>2</v>
      </c>
      <c r="H1410">
        <v>3</v>
      </c>
      <c r="I1410">
        <v>2022</v>
      </c>
      <c r="J1410">
        <v>1</v>
      </c>
      <c r="K1410">
        <v>1</v>
      </c>
      <c r="L1410">
        <v>0</v>
      </c>
      <c r="M1410">
        <v>14</v>
      </c>
      <c r="N1410" t="s">
        <v>37</v>
      </c>
      <c r="O1410" t="s">
        <v>30</v>
      </c>
      <c r="P1410">
        <v>10.7437155937025</v>
      </c>
      <c r="Q1410">
        <v>2.3455224396274001</v>
      </c>
      <c r="R1410">
        <v>0.78383196195432803</v>
      </c>
      <c r="S1410">
        <v>93</v>
      </c>
      <c r="T1410">
        <v>23</v>
      </c>
      <c r="U1410">
        <v>853.11121140893704</v>
      </c>
      <c r="V1410">
        <v>4.27220018309429E-3</v>
      </c>
      <c r="W1410">
        <v>3160274.6299107699</v>
      </c>
      <c r="X1410" t="s">
        <v>39</v>
      </c>
      <c r="Y1410">
        <f>1-419-153-7406</f>
        <v>-7977</v>
      </c>
    </row>
    <row r="1411" spans="1:25" x14ac:dyDescent="0.35">
      <c r="A1411">
        <v>36.461167505310399</v>
      </c>
      <c r="B1411">
        <v>-122.621397777808</v>
      </c>
      <c r="C1411" t="s">
        <v>25</v>
      </c>
      <c r="D1411">
        <v>29.388447574524299</v>
      </c>
      <c r="E1411">
        <v>1</v>
      </c>
      <c r="F1411">
        <v>4495</v>
      </c>
      <c r="G1411">
        <v>1</v>
      </c>
      <c r="H1411">
        <v>3</v>
      </c>
      <c r="I1411">
        <v>1998</v>
      </c>
      <c r="J1411">
        <v>1</v>
      </c>
      <c r="K1411">
        <v>1</v>
      </c>
      <c r="L1411">
        <v>0</v>
      </c>
      <c r="M1411">
        <v>14</v>
      </c>
      <c r="N1411" t="s">
        <v>26</v>
      </c>
      <c r="O1411" t="s">
        <v>30</v>
      </c>
      <c r="P1411">
        <v>10.1183096195834</v>
      </c>
      <c r="Q1411">
        <v>2.4622435152883799</v>
      </c>
      <c r="R1411">
        <v>9.1148404483955598</v>
      </c>
      <c r="S1411">
        <v>194</v>
      </c>
      <c r="T1411">
        <v>63</v>
      </c>
      <c r="U1411">
        <v>596.32725875281096</v>
      </c>
      <c r="V1411">
        <v>3.1145717463848701E-3</v>
      </c>
      <c r="W1411">
        <v>2999630.04618767</v>
      </c>
      <c r="X1411" t="s">
        <v>36</v>
      </c>
      <c r="Y1411">
        <f>1-806-761-5449</f>
        <v>-7015</v>
      </c>
    </row>
    <row r="1412" spans="1:25" x14ac:dyDescent="0.35">
      <c r="A1412">
        <v>41.947896308369202</v>
      </c>
      <c r="B1412">
        <v>-117.03913736729299</v>
      </c>
      <c r="C1412" t="s">
        <v>25</v>
      </c>
      <c r="D1412">
        <v>41.814109172127999</v>
      </c>
      <c r="E1412">
        <v>7</v>
      </c>
      <c r="F1412">
        <v>848</v>
      </c>
      <c r="G1412">
        <v>5</v>
      </c>
      <c r="H1412">
        <v>2</v>
      </c>
      <c r="I1412">
        <v>2014</v>
      </c>
      <c r="J1412">
        <v>1</v>
      </c>
      <c r="K1412">
        <v>1</v>
      </c>
      <c r="L1412">
        <v>0</v>
      </c>
      <c r="M1412">
        <v>8</v>
      </c>
      <c r="N1412" t="s">
        <v>41</v>
      </c>
      <c r="O1412" t="s">
        <v>30</v>
      </c>
      <c r="P1412">
        <v>11.109474421379501</v>
      </c>
      <c r="Q1412">
        <v>1.72406875221471</v>
      </c>
      <c r="R1412">
        <v>9.6150939130842197</v>
      </c>
      <c r="S1412">
        <v>78</v>
      </c>
      <c r="T1412">
        <v>66</v>
      </c>
      <c r="U1412">
        <v>399.08344546089199</v>
      </c>
      <c r="V1412">
        <v>9.4339622641509396E-3</v>
      </c>
      <c r="W1412">
        <v>816966.90778364195</v>
      </c>
      <c r="X1412" t="s">
        <v>40</v>
      </c>
      <c r="Y1412">
        <f>1-836-847-9981</f>
        <v>-11663</v>
      </c>
    </row>
    <row r="1413" spans="1:25" x14ac:dyDescent="0.35">
      <c r="A1413">
        <v>40.6598385890644</v>
      </c>
      <c r="B1413">
        <v>-124.259779259011</v>
      </c>
      <c r="C1413" t="s">
        <v>34</v>
      </c>
      <c r="D1413">
        <v>37.133879512087702</v>
      </c>
      <c r="E1413">
        <v>2</v>
      </c>
      <c r="F1413">
        <v>3615</v>
      </c>
      <c r="G1413">
        <v>1</v>
      </c>
      <c r="H1413">
        <v>1</v>
      </c>
      <c r="I1413">
        <v>1989</v>
      </c>
      <c r="J1413">
        <v>1</v>
      </c>
      <c r="K1413">
        <v>1</v>
      </c>
      <c r="L1413">
        <v>0</v>
      </c>
      <c r="M1413">
        <v>11</v>
      </c>
      <c r="N1413" t="s">
        <v>37</v>
      </c>
      <c r="O1413" t="s">
        <v>32</v>
      </c>
      <c r="P1413">
        <v>12.502091967851801</v>
      </c>
      <c r="Q1413">
        <v>2.0937056614516898</v>
      </c>
      <c r="R1413">
        <v>2.0242915915720299</v>
      </c>
      <c r="S1413">
        <v>165</v>
      </c>
      <c r="T1413">
        <v>65</v>
      </c>
      <c r="U1413">
        <v>806.30752846644805</v>
      </c>
      <c r="V1413">
        <v>3.0428769017980602E-3</v>
      </c>
      <c r="W1413">
        <v>3102360.2466542898</v>
      </c>
      <c r="X1413" t="s">
        <v>38</v>
      </c>
      <c r="Y1413">
        <f>1-604-241-4664</f>
        <v>-5508</v>
      </c>
    </row>
    <row r="1414" spans="1:25" x14ac:dyDescent="0.35">
      <c r="A1414">
        <v>40.733136849058297</v>
      </c>
      <c r="B1414">
        <v>-117.829812645185</v>
      </c>
      <c r="C1414" t="s">
        <v>25</v>
      </c>
      <c r="D1414">
        <v>28.735060421743</v>
      </c>
      <c r="E1414">
        <v>8</v>
      </c>
      <c r="F1414">
        <v>1223</v>
      </c>
      <c r="G1414">
        <v>5</v>
      </c>
      <c r="H1414">
        <v>3</v>
      </c>
      <c r="I1414">
        <v>1997</v>
      </c>
      <c r="J1414">
        <v>1</v>
      </c>
      <c r="K1414">
        <v>0</v>
      </c>
      <c r="L1414">
        <v>0</v>
      </c>
      <c r="M1414">
        <v>14</v>
      </c>
      <c r="N1414" t="s">
        <v>41</v>
      </c>
      <c r="O1414" t="s">
        <v>32</v>
      </c>
      <c r="P1414">
        <v>12.5945065302997</v>
      </c>
      <c r="Q1414">
        <v>0.65562144173602099</v>
      </c>
      <c r="R1414">
        <v>4.8851597551566197</v>
      </c>
      <c r="S1414">
        <v>4</v>
      </c>
      <c r="T1414">
        <v>63</v>
      </c>
      <c r="U1414">
        <v>401.86116698104701</v>
      </c>
      <c r="V1414">
        <v>1.14472608340147E-2</v>
      </c>
      <c r="W1414">
        <v>954502.14689378103</v>
      </c>
      <c r="X1414" t="s">
        <v>44</v>
      </c>
      <c r="Y1414">
        <f>1-498-281-5251</f>
        <v>-6029</v>
      </c>
    </row>
    <row r="1415" spans="1:25" x14ac:dyDescent="0.35">
      <c r="A1415">
        <v>37.2645522439404</v>
      </c>
      <c r="B1415">
        <v>-117.496684008719</v>
      </c>
      <c r="C1415" t="s">
        <v>34</v>
      </c>
      <c r="D1415">
        <v>29.758512699436999</v>
      </c>
      <c r="E1415">
        <v>5</v>
      </c>
      <c r="F1415">
        <v>3413</v>
      </c>
      <c r="G1415">
        <v>5</v>
      </c>
      <c r="H1415">
        <v>2</v>
      </c>
      <c r="I1415">
        <v>2022</v>
      </c>
      <c r="J1415">
        <v>1</v>
      </c>
      <c r="K1415">
        <v>0</v>
      </c>
      <c r="L1415">
        <v>0</v>
      </c>
      <c r="M1415">
        <v>3</v>
      </c>
      <c r="N1415" t="s">
        <v>35</v>
      </c>
      <c r="O1415" t="s">
        <v>32</v>
      </c>
      <c r="P1415">
        <v>2.5700190578792901</v>
      </c>
      <c r="Q1415">
        <v>2.40150386280538</v>
      </c>
      <c r="R1415">
        <v>0.59037352892786399</v>
      </c>
      <c r="S1415">
        <v>18</v>
      </c>
      <c r="T1415">
        <v>43</v>
      </c>
      <c r="U1415">
        <v>255.23502170160401</v>
      </c>
      <c r="V1415">
        <v>8.78992089071198E-4</v>
      </c>
      <c r="W1415">
        <v>1208495.45887834</v>
      </c>
      <c r="X1415" t="s">
        <v>40</v>
      </c>
      <c r="Y1415">
        <f>1-832-443-5564</f>
        <v>-6838</v>
      </c>
    </row>
    <row r="1416" spans="1:25" x14ac:dyDescent="0.35">
      <c r="A1416">
        <v>39.129196005448598</v>
      </c>
      <c r="B1416">
        <v>-121.686622241051</v>
      </c>
      <c r="C1416" t="s">
        <v>34</v>
      </c>
      <c r="D1416">
        <v>49.9988434584725</v>
      </c>
      <c r="E1416">
        <v>1</v>
      </c>
      <c r="F1416">
        <v>3101</v>
      </c>
      <c r="G1416">
        <v>1</v>
      </c>
      <c r="H1416">
        <v>2</v>
      </c>
      <c r="I1416">
        <v>1984</v>
      </c>
      <c r="J1416">
        <v>0</v>
      </c>
      <c r="K1416">
        <v>1</v>
      </c>
      <c r="L1416">
        <v>1</v>
      </c>
      <c r="M1416">
        <v>3</v>
      </c>
      <c r="N1416" t="s">
        <v>35</v>
      </c>
      <c r="O1416" t="s">
        <v>30</v>
      </c>
      <c r="P1416">
        <v>3.1753939123058799</v>
      </c>
      <c r="Q1416">
        <v>1.2686007949183</v>
      </c>
      <c r="R1416">
        <v>3.2403579646281302</v>
      </c>
      <c r="S1416">
        <v>20</v>
      </c>
      <c r="T1416">
        <v>25</v>
      </c>
      <c r="U1416">
        <v>413.78285861739101</v>
      </c>
      <c r="V1416">
        <v>9.6742986133505299E-4</v>
      </c>
      <c r="W1416">
        <v>1453815.1748502599</v>
      </c>
      <c r="X1416" t="s">
        <v>28</v>
      </c>
      <c r="Y1416">
        <f>1-943-712-9881</f>
        <v>-11535</v>
      </c>
    </row>
    <row r="1417" spans="1:25" x14ac:dyDescent="0.35">
      <c r="A1417">
        <v>37.933786730948697</v>
      </c>
      <c r="B1417">
        <v>-119.856279920104</v>
      </c>
      <c r="C1417" t="s">
        <v>25</v>
      </c>
      <c r="D1417">
        <v>47.910305143284397</v>
      </c>
      <c r="E1417">
        <v>4</v>
      </c>
      <c r="F1417">
        <v>915</v>
      </c>
      <c r="G1417">
        <v>1</v>
      </c>
      <c r="H1417">
        <v>1</v>
      </c>
      <c r="I1417">
        <v>1961</v>
      </c>
      <c r="J1417">
        <v>0</v>
      </c>
      <c r="K1417">
        <v>1</v>
      </c>
      <c r="L1417">
        <v>0</v>
      </c>
      <c r="M1417">
        <v>6</v>
      </c>
      <c r="N1417" t="s">
        <v>26</v>
      </c>
      <c r="O1417" t="s">
        <v>30</v>
      </c>
      <c r="P1417">
        <v>5.0184516817267202</v>
      </c>
      <c r="Q1417">
        <v>1.3628497886338</v>
      </c>
      <c r="R1417">
        <v>6.1486643777300696</v>
      </c>
      <c r="S1417">
        <v>34</v>
      </c>
      <c r="T1417">
        <v>40</v>
      </c>
      <c r="U1417">
        <v>994.40858587350499</v>
      </c>
      <c r="V1417">
        <v>6.5573770491803201E-3</v>
      </c>
      <c r="W1417">
        <v>987719.56154454802</v>
      </c>
      <c r="X1417" t="s">
        <v>42</v>
      </c>
      <c r="Y1417">
        <f>1-855-568-6401</f>
        <v>-7823</v>
      </c>
    </row>
    <row r="1418" spans="1:25" x14ac:dyDescent="0.35">
      <c r="A1418">
        <v>36.5038674884862</v>
      </c>
      <c r="B1418">
        <v>-119.262309437997</v>
      </c>
      <c r="C1418" t="s">
        <v>25</v>
      </c>
      <c r="D1418">
        <v>19.8661802455314</v>
      </c>
      <c r="E1418">
        <v>2</v>
      </c>
      <c r="F1418">
        <v>4306</v>
      </c>
      <c r="G1418">
        <v>2</v>
      </c>
      <c r="H1418">
        <v>2</v>
      </c>
      <c r="I1418">
        <v>1973</v>
      </c>
      <c r="J1418">
        <v>1</v>
      </c>
      <c r="K1418">
        <v>1</v>
      </c>
      <c r="L1418">
        <v>0</v>
      </c>
      <c r="M1418">
        <v>4</v>
      </c>
      <c r="N1418" t="s">
        <v>41</v>
      </c>
      <c r="O1418" t="s">
        <v>30</v>
      </c>
      <c r="P1418">
        <v>4.8730497324645796</v>
      </c>
      <c r="Q1418">
        <v>1.3795708664050299</v>
      </c>
      <c r="R1418">
        <v>8.7523460185370006</v>
      </c>
      <c r="S1418">
        <v>20</v>
      </c>
      <c r="T1418">
        <v>52</v>
      </c>
      <c r="U1418">
        <v>955.50172986160703</v>
      </c>
      <c r="V1418">
        <v>9.2893636785880104E-4</v>
      </c>
      <c r="W1418">
        <v>4409605.2232486</v>
      </c>
      <c r="X1418" t="s">
        <v>36</v>
      </c>
      <c r="Y1418">
        <f>1-901-737-3559</f>
        <v>-5196</v>
      </c>
    </row>
    <row r="1419" spans="1:25" x14ac:dyDescent="0.35">
      <c r="A1419">
        <v>32.600783327555597</v>
      </c>
      <c r="B1419">
        <v>-123.419675089397</v>
      </c>
      <c r="C1419" t="s">
        <v>34</v>
      </c>
      <c r="D1419">
        <v>39.5459322816656</v>
      </c>
      <c r="E1419">
        <v>2</v>
      </c>
      <c r="F1419">
        <v>869</v>
      </c>
      <c r="G1419">
        <v>3</v>
      </c>
      <c r="H1419">
        <v>2</v>
      </c>
      <c r="I1419">
        <v>2013</v>
      </c>
      <c r="J1419">
        <v>1</v>
      </c>
      <c r="K1419">
        <v>1</v>
      </c>
      <c r="L1419">
        <v>1</v>
      </c>
      <c r="M1419">
        <v>2</v>
      </c>
      <c r="N1419" t="s">
        <v>26</v>
      </c>
      <c r="O1419" t="s">
        <v>32</v>
      </c>
      <c r="P1419">
        <v>13.9863770277809</v>
      </c>
      <c r="Q1419">
        <v>0.80535780908235999</v>
      </c>
      <c r="R1419">
        <v>1.86760636735679</v>
      </c>
      <c r="S1419">
        <v>104</v>
      </c>
      <c r="T1419">
        <v>42</v>
      </c>
      <c r="U1419">
        <v>854.92221910692604</v>
      </c>
      <c r="V1419">
        <v>2.3014959723820401E-3</v>
      </c>
      <c r="W1419">
        <v>1232698.3500369799</v>
      </c>
      <c r="X1419" t="s">
        <v>43</v>
      </c>
      <c r="Y1419">
        <f>1-397-708-2146</f>
        <v>-3250</v>
      </c>
    </row>
    <row r="1420" spans="1:25" x14ac:dyDescent="0.35">
      <c r="A1420">
        <v>35.6933298906837</v>
      </c>
      <c r="B1420">
        <v>-117.11612715478699</v>
      </c>
      <c r="C1420" t="s">
        <v>25</v>
      </c>
      <c r="D1420">
        <v>20.5967256996922</v>
      </c>
      <c r="E1420">
        <v>2</v>
      </c>
      <c r="F1420">
        <v>1255</v>
      </c>
      <c r="G1420">
        <v>2</v>
      </c>
      <c r="H1420">
        <v>2</v>
      </c>
      <c r="I1420">
        <v>2017</v>
      </c>
      <c r="J1420">
        <v>0</v>
      </c>
      <c r="K1420">
        <v>0</v>
      </c>
      <c r="L1420">
        <v>1</v>
      </c>
      <c r="M1420">
        <v>13</v>
      </c>
      <c r="N1420" t="s">
        <v>41</v>
      </c>
      <c r="O1420" t="s">
        <v>27</v>
      </c>
      <c r="P1420">
        <v>14.827303047138001</v>
      </c>
      <c r="Q1420">
        <v>0.98834526576751403</v>
      </c>
      <c r="R1420">
        <v>0.58494792068632395</v>
      </c>
      <c r="S1420">
        <v>75</v>
      </c>
      <c r="T1420">
        <v>23</v>
      </c>
      <c r="U1420">
        <v>739.41481884867596</v>
      </c>
      <c r="V1420">
        <v>1.0358565737051699E-2</v>
      </c>
      <c r="W1420">
        <v>1229894.1629804799</v>
      </c>
      <c r="X1420" t="s">
        <v>39</v>
      </c>
      <c r="Y1420">
        <f>1-225-446-6375</f>
        <v>-7045</v>
      </c>
    </row>
    <row r="1421" spans="1:25" x14ac:dyDescent="0.35">
      <c r="A1421">
        <v>33.775047683791001</v>
      </c>
      <c r="B1421">
        <v>-118.004471789538</v>
      </c>
      <c r="C1421" t="s">
        <v>25</v>
      </c>
      <c r="D1421">
        <v>10.1344171303802</v>
      </c>
      <c r="E1421">
        <v>4</v>
      </c>
      <c r="F1421">
        <v>3318</v>
      </c>
      <c r="G1421">
        <v>3</v>
      </c>
      <c r="H1421">
        <v>2</v>
      </c>
      <c r="I1421">
        <v>1961</v>
      </c>
      <c r="J1421">
        <v>0</v>
      </c>
      <c r="K1421">
        <v>0</v>
      </c>
      <c r="L1421">
        <v>1</v>
      </c>
      <c r="M1421">
        <v>10</v>
      </c>
      <c r="N1421" t="s">
        <v>37</v>
      </c>
      <c r="O1421" t="s">
        <v>32</v>
      </c>
      <c r="P1421">
        <v>10.887418841642999</v>
      </c>
      <c r="Q1421">
        <v>1.9994532616140901</v>
      </c>
      <c r="R1421">
        <v>1.2653863723085099</v>
      </c>
      <c r="S1421">
        <v>46</v>
      </c>
      <c r="T1421">
        <v>52</v>
      </c>
      <c r="U1421">
        <v>482.58685693739699</v>
      </c>
      <c r="V1421">
        <v>3.01386377335744E-3</v>
      </c>
      <c r="W1421">
        <v>1837400.75944162</v>
      </c>
      <c r="X1421" t="s">
        <v>31</v>
      </c>
      <c r="Y1421">
        <f>1-802-903-5826</f>
        <v>-7530</v>
      </c>
    </row>
    <row r="1422" spans="1:25" x14ac:dyDescent="0.35">
      <c r="A1422">
        <v>40.273152407154399</v>
      </c>
      <c r="B1422">
        <v>-122.580932139235</v>
      </c>
      <c r="C1422" t="s">
        <v>34</v>
      </c>
      <c r="D1422">
        <v>49.879618481611402</v>
      </c>
      <c r="E1422">
        <v>2</v>
      </c>
      <c r="F1422">
        <v>4432</v>
      </c>
      <c r="G1422">
        <v>2</v>
      </c>
      <c r="H1422">
        <v>2</v>
      </c>
      <c r="I1422">
        <v>2008</v>
      </c>
      <c r="J1422">
        <v>1</v>
      </c>
      <c r="K1422">
        <v>1</v>
      </c>
      <c r="L1422">
        <v>0</v>
      </c>
      <c r="M1422">
        <v>3</v>
      </c>
      <c r="N1422" t="s">
        <v>35</v>
      </c>
      <c r="O1422" t="s">
        <v>32</v>
      </c>
      <c r="P1422">
        <v>9.7136182619633793</v>
      </c>
      <c r="Q1422">
        <v>2.0669446620148202</v>
      </c>
      <c r="R1422">
        <v>0.393961131159344</v>
      </c>
      <c r="S1422">
        <v>133</v>
      </c>
      <c r="T1422">
        <v>30</v>
      </c>
      <c r="U1422">
        <v>592.64768982176201</v>
      </c>
      <c r="V1422">
        <v>6.7689530685920499E-4</v>
      </c>
      <c r="W1422">
        <v>2922868.6859105998</v>
      </c>
      <c r="X1422" t="s">
        <v>44</v>
      </c>
      <c r="Y1422">
        <f>1-685-240-2362</f>
        <v>-3286</v>
      </c>
    </row>
    <row r="1423" spans="1:25" x14ac:dyDescent="0.35">
      <c r="A1423">
        <v>37.455177475352997</v>
      </c>
      <c r="B1423">
        <v>-117.919015116794</v>
      </c>
      <c r="C1423" t="s">
        <v>34</v>
      </c>
      <c r="D1423">
        <v>31.934777740220898</v>
      </c>
      <c r="E1423">
        <v>4</v>
      </c>
      <c r="F1423">
        <v>3459</v>
      </c>
      <c r="G1423">
        <v>2</v>
      </c>
      <c r="H1423">
        <v>2</v>
      </c>
      <c r="I1423">
        <v>1967</v>
      </c>
      <c r="J1423">
        <v>0</v>
      </c>
      <c r="K1423">
        <v>1</v>
      </c>
      <c r="L1423">
        <v>1</v>
      </c>
      <c r="M1423">
        <v>2</v>
      </c>
      <c r="N1423" t="s">
        <v>37</v>
      </c>
      <c r="O1423" t="s">
        <v>30</v>
      </c>
      <c r="P1423">
        <v>9.6019328995142104</v>
      </c>
      <c r="Q1423">
        <v>2.2592773845862202</v>
      </c>
      <c r="R1423">
        <v>6.29326763561793</v>
      </c>
      <c r="S1423">
        <v>27</v>
      </c>
      <c r="T1423">
        <v>32</v>
      </c>
      <c r="U1423">
        <v>304.59399966742097</v>
      </c>
      <c r="V1423">
        <v>5.7820179242555603E-4</v>
      </c>
      <c r="W1423">
        <v>1367290.9143105401</v>
      </c>
      <c r="X1423" t="s">
        <v>43</v>
      </c>
      <c r="Y1423">
        <f>1-566-329-5338</f>
        <v>-6232</v>
      </c>
    </row>
    <row r="1424" spans="1:25" x14ac:dyDescent="0.35">
      <c r="A1424">
        <v>38.2811674712447</v>
      </c>
      <c r="B1424">
        <v>-116.922187165666</v>
      </c>
      <c r="C1424" t="s">
        <v>25</v>
      </c>
      <c r="D1424">
        <v>23.200659001938501</v>
      </c>
      <c r="E1424">
        <v>9</v>
      </c>
      <c r="F1424">
        <v>4185</v>
      </c>
      <c r="G1424">
        <v>3</v>
      </c>
      <c r="H1424">
        <v>1</v>
      </c>
      <c r="I1424">
        <v>1972</v>
      </c>
      <c r="J1424">
        <v>0</v>
      </c>
      <c r="K1424">
        <v>1</v>
      </c>
      <c r="L1424">
        <v>1</v>
      </c>
      <c r="M1424">
        <v>11</v>
      </c>
      <c r="N1424" t="s">
        <v>35</v>
      </c>
      <c r="O1424" t="s">
        <v>32</v>
      </c>
      <c r="P1424">
        <v>7.2833400452178703</v>
      </c>
      <c r="Q1424">
        <v>2.42950948917664</v>
      </c>
      <c r="R1424">
        <v>4.6690559711279498</v>
      </c>
      <c r="S1424">
        <v>181</v>
      </c>
      <c r="T1424">
        <v>58</v>
      </c>
      <c r="U1424">
        <v>630.549167785024</v>
      </c>
      <c r="V1424">
        <v>2.6284348864994002E-3</v>
      </c>
      <c r="W1424">
        <v>2843692.0057239002</v>
      </c>
      <c r="X1424" t="s">
        <v>38</v>
      </c>
      <c r="Y1424">
        <f>1-481-326-6965</f>
        <v>-7771</v>
      </c>
    </row>
    <row r="1425" spans="1:25" x14ac:dyDescent="0.35">
      <c r="A1425">
        <v>38.987638554343903</v>
      </c>
      <c r="B1425">
        <v>-121.99955647400201</v>
      </c>
      <c r="C1425" t="s">
        <v>25</v>
      </c>
      <c r="D1425">
        <v>32.931695806715403</v>
      </c>
      <c r="E1425">
        <v>7</v>
      </c>
      <c r="F1425">
        <v>4237</v>
      </c>
      <c r="G1425">
        <v>3</v>
      </c>
      <c r="H1425">
        <v>2</v>
      </c>
      <c r="I1425">
        <v>1983</v>
      </c>
      <c r="J1425">
        <v>1</v>
      </c>
      <c r="K1425">
        <v>0</v>
      </c>
      <c r="L1425">
        <v>1</v>
      </c>
      <c r="M1425">
        <v>3</v>
      </c>
      <c r="N1425" t="s">
        <v>41</v>
      </c>
      <c r="O1425" t="s">
        <v>30</v>
      </c>
      <c r="P1425">
        <v>13.112460417563801</v>
      </c>
      <c r="Q1425">
        <v>1.1873083795388999</v>
      </c>
      <c r="R1425">
        <v>3.67048526787437</v>
      </c>
      <c r="S1425">
        <v>13</v>
      </c>
      <c r="T1425">
        <v>29</v>
      </c>
      <c r="U1425">
        <v>471.19536007395902</v>
      </c>
      <c r="V1425">
        <v>7.0804814727401402E-4</v>
      </c>
      <c r="W1425">
        <v>2345904.3230110998</v>
      </c>
      <c r="X1425" t="s">
        <v>36</v>
      </c>
      <c r="Y1425">
        <f>1-681-874-9203</f>
        <v>-10757</v>
      </c>
    </row>
    <row r="1426" spans="1:25" x14ac:dyDescent="0.35">
      <c r="A1426">
        <v>33.587626635688601</v>
      </c>
      <c r="B1426">
        <v>-116.629667441724</v>
      </c>
      <c r="C1426" t="s">
        <v>25</v>
      </c>
      <c r="D1426">
        <v>29.459627463927301</v>
      </c>
      <c r="E1426">
        <v>1</v>
      </c>
      <c r="F1426">
        <v>4368</v>
      </c>
      <c r="G1426">
        <v>3</v>
      </c>
      <c r="H1426">
        <v>3</v>
      </c>
      <c r="I1426">
        <v>2015</v>
      </c>
      <c r="J1426">
        <v>1</v>
      </c>
      <c r="K1426">
        <v>1</v>
      </c>
      <c r="L1426">
        <v>0</v>
      </c>
      <c r="M1426">
        <v>3</v>
      </c>
      <c r="N1426" t="s">
        <v>35</v>
      </c>
      <c r="O1426" t="s">
        <v>27</v>
      </c>
      <c r="P1426">
        <v>11.9915478402114</v>
      </c>
      <c r="Q1426">
        <v>0.68806920264970695</v>
      </c>
      <c r="R1426">
        <v>3.0957236483162198</v>
      </c>
      <c r="S1426">
        <v>191</v>
      </c>
      <c r="T1426">
        <v>60</v>
      </c>
      <c r="U1426">
        <v>668.65011542890898</v>
      </c>
      <c r="V1426">
        <v>6.86813186813186E-4</v>
      </c>
      <c r="W1426">
        <v>3315484.8869827399</v>
      </c>
      <c r="X1426" t="s">
        <v>40</v>
      </c>
      <c r="Y1426">
        <f>1-331-758-3639</f>
        <v>-4727</v>
      </c>
    </row>
    <row r="1427" spans="1:25" x14ac:dyDescent="0.35">
      <c r="A1427">
        <v>37.253882461895799</v>
      </c>
      <c r="B1427">
        <v>-119.532971014712</v>
      </c>
      <c r="C1427" t="s">
        <v>34</v>
      </c>
      <c r="D1427">
        <v>25.002937462809999</v>
      </c>
      <c r="E1427">
        <v>2</v>
      </c>
      <c r="F1427">
        <v>1369</v>
      </c>
      <c r="G1427">
        <v>2</v>
      </c>
      <c r="H1427">
        <v>2</v>
      </c>
      <c r="I1427">
        <v>1961</v>
      </c>
      <c r="J1427">
        <v>0</v>
      </c>
      <c r="K1427">
        <v>1</v>
      </c>
      <c r="L1427">
        <v>0</v>
      </c>
      <c r="M1427">
        <v>14</v>
      </c>
      <c r="N1427" t="s">
        <v>26</v>
      </c>
      <c r="O1427" t="s">
        <v>32</v>
      </c>
      <c r="P1427">
        <v>7.86615228184254</v>
      </c>
      <c r="Q1427">
        <v>1.02769858202604</v>
      </c>
      <c r="R1427">
        <v>4.9245030272534498</v>
      </c>
      <c r="S1427">
        <v>55</v>
      </c>
      <c r="T1427">
        <v>32</v>
      </c>
      <c r="U1427">
        <v>292.52966813410899</v>
      </c>
      <c r="V1427">
        <v>1.0226442658875E-2</v>
      </c>
      <c r="W1427">
        <v>617034.05634970195</v>
      </c>
      <c r="X1427" t="s">
        <v>33</v>
      </c>
      <c r="Y1427">
        <f>1-832-410-1413</f>
        <v>-2654</v>
      </c>
    </row>
    <row r="1428" spans="1:25" x14ac:dyDescent="0.35">
      <c r="A1428">
        <v>37.008345939613498</v>
      </c>
      <c r="B1428">
        <v>-122.87252012747901</v>
      </c>
      <c r="C1428" t="s">
        <v>29</v>
      </c>
      <c r="D1428">
        <v>14.3682900634038</v>
      </c>
      <c r="E1428">
        <v>4</v>
      </c>
      <c r="F1428">
        <v>1583</v>
      </c>
      <c r="G1428">
        <v>1</v>
      </c>
      <c r="H1428">
        <v>3</v>
      </c>
      <c r="I1428">
        <v>2022</v>
      </c>
      <c r="J1428">
        <v>1</v>
      </c>
      <c r="K1428">
        <v>1</v>
      </c>
      <c r="L1428">
        <v>1</v>
      </c>
      <c r="M1428">
        <v>6</v>
      </c>
      <c r="N1428" t="s">
        <v>37</v>
      </c>
      <c r="O1428" t="s">
        <v>27</v>
      </c>
      <c r="P1428">
        <v>8.6745097271342395</v>
      </c>
      <c r="Q1428">
        <v>0.73974479993825804</v>
      </c>
      <c r="R1428">
        <v>2.0879833573712099</v>
      </c>
      <c r="S1428">
        <v>155</v>
      </c>
      <c r="T1428">
        <v>65</v>
      </c>
      <c r="U1428">
        <v>977.44245014201601</v>
      </c>
      <c r="V1428">
        <v>3.7902716361339199E-3</v>
      </c>
      <c r="W1428">
        <v>1864551.4804330501</v>
      </c>
      <c r="X1428" t="s">
        <v>28</v>
      </c>
      <c r="Y1428">
        <f>1-899-520-7355</f>
        <v>-8773</v>
      </c>
    </row>
    <row r="1429" spans="1:25" x14ac:dyDescent="0.35">
      <c r="A1429">
        <v>33.079736288082302</v>
      </c>
      <c r="B1429">
        <v>-119.920620151218</v>
      </c>
      <c r="C1429" t="s">
        <v>34</v>
      </c>
      <c r="D1429">
        <v>26.422271741160799</v>
      </c>
      <c r="E1429">
        <v>8</v>
      </c>
      <c r="F1429">
        <v>3372</v>
      </c>
      <c r="G1429">
        <v>2</v>
      </c>
      <c r="H1429">
        <v>3</v>
      </c>
      <c r="I1429">
        <v>1979</v>
      </c>
      <c r="J1429">
        <v>0</v>
      </c>
      <c r="K1429">
        <v>1</v>
      </c>
      <c r="L1429">
        <v>1</v>
      </c>
      <c r="M1429">
        <v>13</v>
      </c>
      <c r="N1429" t="s">
        <v>41</v>
      </c>
      <c r="O1429" t="s">
        <v>30</v>
      </c>
      <c r="P1429">
        <v>6.4681153875100597</v>
      </c>
      <c r="Q1429">
        <v>2.3994632781138501</v>
      </c>
      <c r="R1429">
        <v>2.7406613842743202</v>
      </c>
      <c r="S1429">
        <v>178</v>
      </c>
      <c r="T1429">
        <v>40</v>
      </c>
      <c r="U1429">
        <v>210.61922421958101</v>
      </c>
      <c r="V1429">
        <v>3.8552787663107902E-3</v>
      </c>
      <c r="W1429">
        <v>923595.74930898205</v>
      </c>
      <c r="X1429" t="s">
        <v>42</v>
      </c>
      <c r="Y1429">
        <f>1-443-577-4684</f>
        <v>-5703</v>
      </c>
    </row>
    <row r="1430" spans="1:25" x14ac:dyDescent="0.35">
      <c r="A1430">
        <v>38.343650737342301</v>
      </c>
      <c r="B1430">
        <v>-120.99254571082299</v>
      </c>
      <c r="C1430" t="s">
        <v>29</v>
      </c>
      <c r="D1430">
        <v>7.1063118507223999</v>
      </c>
      <c r="E1430">
        <v>9</v>
      </c>
      <c r="F1430">
        <v>2883</v>
      </c>
      <c r="G1430">
        <v>3</v>
      </c>
      <c r="H1430">
        <v>3</v>
      </c>
      <c r="I1430">
        <v>1959</v>
      </c>
      <c r="J1430">
        <v>0</v>
      </c>
      <c r="K1430">
        <v>1</v>
      </c>
      <c r="L1430">
        <v>0</v>
      </c>
      <c r="M1430">
        <v>5</v>
      </c>
      <c r="N1430" t="s">
        <v>41</v>
      </c>
      <c r="O1430" t="s">
        <v>30</v>
      </c>
      <c r="P1430">
        <v>13.558040592014899</v>
      </c>
      <c r="Q1430">
        <v>1.6514869410606701</v>
      </c>
      <c r="R1430">
        <v>2.2538774254915501</v>
      </c>
      <c r="S1430">
        <v>187</v>
      </c>
      <c r="T1430">
        <v>65</v>
      </c>
      <c r="U1430">
        <v>480.84573454729599</v>
      </c>
      <c r="V1430">
        <v>1.7343045438779001E-3</v>
      </c>
      <c r="W1430">
        <v>1756421.2745149501</v>
      </c>
      <c r="X1430" t="s">
        <v>38</v>
      </c>
      <c r="Y1430">
        <f>1-925-389-1096</f>
        <v>-2409</v>
      </c>
    </row>
    <row r="1431" spans="1:25" x14ac:dyDescent="0.35">
      <c r="A1431">
        <v>36.611133611869903</v>
      </c>
      <c r="B1431">
        <v>-117.507625668106</v>
      </c>
      <c r="C1431" t="s">
        <v>34</v>
      </c>
      <c r="D1431">
        <v>44.628321404461403</v>
      </c>
      <c r="E1431">
        <v>2</v>
      </c>
      <c r="F1431">
        <v>2873</v>
      </c>
      <c r="G1431">
        <v>1</v>
      </c>
      <c r="H1431">
        <v>3</v>
      </c>
      <c r="I1431">
        <v>1986</v>
      </c>
      <c r="J1431">
        <v>0</v>
      </c>
      <c r="K1431">
        <v>1</v>
      </c>
      <c r="L1431">
        <v>1</v>
      </c>
      <c r="M1431">
        <v>13</v>
      </c>
      <c r="N1431" t="s">
        <v>37</v>
      </c>
      <c r="O1431" t="s">
        <v>27</v>
      </c>
      <c r="P1431">
        <v>4.0414812336047703</v>
      </c>
      <c r="Q1431">
        <v>1.98841037216526</v>
      </c>
      <c r="R1431">
        <v>3.4227131231614099</v>
      </c>
      <c r="S1431">
        <v>9</v>
      </c>
      <c r="T1431">
        <v>55</v>
      </c>
      <c r="U1431">
        <v>809.12817243248605</v>
      </c>
      <c r="V1431">
        <v>4.5248868778280504E-3</v>
      </c>
      <c r="W1431">
        <v>2588689.1607972998</v>
      </c>
      <c r="X1431" t="s">
        <v>43</v>
      </c>
      <c r="Y1431">
        <f>1-873-766-8550</f>
        <v>-10188</v>
      </c>
    </row>
    <row r="1432" spans="1:25" x14ac:dyDescent="0.35">
      <c r="A1432">
        <v>32.748831141592802</v>
      </c>
      <c r="B1432">
        <v>-119.797097098214</v>
      </c>
      <c r="C1432" t="s">
        <v>34</v>
      </c>
      <c r="D1432">
        <v>42.1365681903116</v>
      </c>
      <c r="E1432">
        <v>2</v>
      </c>
      <c r="F1432">
        <v>1899</v>
      </c>
      <c r="G1432">
        <v>1</v>
      </c>
      <c r="H1432">
        <v>1</v>
      </c>
      <c r="I1432">
        <v>1978</v>
      </c>
      <c r="J1432">
        <v>0</v>
      </c>
      <c r="K1432">
        <v>0</v>
      </c>
      <c r="L1432">
        <v>0</v>
      </c>
      <c r="M1432">
        <v>14</v>
      </c>
      <c r="N1432" t="s">
        <v>41</v>
      </c>
      <c r="O1432" t="s">
        <v>30</v>
      </c>
      <c r="P1432">
        <v>8.5058320210278602</v>
      </c>
      <c r="Q1432">
        <v>0.72145215589875999</v>
      </c>
      <c r="R1432">
        <v>6.4535868715302902</v>
      </c>
      <c r="S1432">
        <v>6</v>
      </c>
      <c r="T1432">
        <v>28</v>
      </c>
      <c r="U1432">
        <v>225.30398317680201</v>
      </c>
      <c r="V1432">
        <v>7.37230121116377E-3</v>
      </c>
      <c r="W1432">
        <v>573595.12739001203</v>
      </c>
      <c r="X1432" t="s">
        <v>28</v>
      </c>
      <c r="Y1432">
        <f>1-740-798-8446</f>
        <v>-9983</v>
      </c>
    </row>
    <row r="1433" spans="1:25" x14ac:dyDescent="0.35">
      <c r="A1433">
        <v>36.442191082553698</v>
      </c>
      <c r="B1433">
        <v>-114.487915190005</v>
      </c>
      <c r="C1433" t="s">
        <v>34</v>
      </c>
      <c r="D1433">
        <v>10.366036215114001</v>
      </c>
      <c r="E1433">
        <v>1</v>
      </c>
      <c r="F1433">
        <v>3578</v>
      </c>
      <c r="G1433">
        <v>3</v>
      </c>
      <c r="H1433">
        <v>3</v>
      </c>
      <c r="I1433">
        <v>2010</v>
      </c>
      <c r="J1433">
        <v>0</v>
      </c>
      <c r="K1433">
        <v>0</v>
      </c>
      <c r="L1433">
        <v>0</v>
      </c>
      <c r="M1433">
        <v>6</v>
      </c>
      <c r="N1433" t="s">
        <v>35</v>
      </c>
      <c r="O1433" t="s">
        <v>27</v>
      </c>
      <c r="P1433">
        <v>2.32154264558379</v>
      </c>
      <c r="Q1433">
        <v>2.0162027056020699</v>
      </c>
      <c r="R1433">
        <v>6.7129952646670397</v>
      </c>
      <c r="S1433">
        <v>17</v>
      </c>
      <c r="T1433">
        <v>79</v>
      </c>
      <c r="U1433">
        <v>970.73223973746497</v>
      </c>
      <c r="V1433">
        <v>1.67691447736165E-3</v>
      </c>
      <c r="W1433">
        <v>3702762.8169574998</v>
      </c>
      <c r="X1433" t="s">
        <v>43</v>
      </c>
      <c r="Y1433">
        <f>1-767-104-2030</f>
        <v>-2900</v>
      </c>
    </row>
    <row r="1434" spans="1:25" x14ac:dyDescent="0.35">
      <c r="A1434">
        <v>37.808434581700297</v>
      </c>
      <c r="B1434">
        <v>-118.660843975321</v>
      </c>
      <c r="C1434" t="s">
        <v>29</v>
      </c>
      <c r="D1434">
        <v>29.409705216698399</v>
      </c>
      <c r="E1434">
        <v>3</v>
      </c>
      <c r="F1434">
        <v>2749</v>
      </c>
      <c r="G1434">
        <v>2</v>
      </c>
      <c r="H1434">
        <v>2</v>
      </c>
      <c r="I1434">
        <v>2003</v>
      </c>
      <c r="J1434">
        <v>1</v>
      </c>
      <c r="K1434">
        <v>0</v>
      </c>
      <c r="L1434">
        <v>1</v>
      </c>
      <c r="M1434">
        <v>2</v>
      </c>
      <c r="N1434" t="s">
        <v>26</v>
      </c>
      <c r="O1434" t="s">
        <v>30</v>
      </c>
      <c r="P1434">
        <v>10.1361147559203</v>
      </c>
      <c r="Q1434">
        <v>2.1763505360656201</v>
      </c>
      <c r="R1434">
        <v>8.7001221140867706</v>
      </c>
      <c r="S1434">
        <v>158</v>
      </c>
      <c r="T1434">
        <v>60</v>
      </c>
      <c r="U1434">
        <v>504.58035550225401</v>
      </c>
      <c r="V1434">
        <v>7.2753728628592205E-4</v>
      </c>
      <c r="W1434">
        <v>1680742.5250504101</v>
      </c>
      <c r="X1434" t="s">
        <v>31</v>
      </c>
      <c r="Y1434">
        <f>1-977-664-6894</f>
        <v>-8534</v>
      </c>
    </row>
    <row r="1435" spans="1:25" x14ac:dyDescent="0.35">
      <c r="A1435">
        <v>34.137810489082099</v>
      </c>
      <c r="B1435">
        <v>-118.752146564238</v>
      </c>
      <c r="C1435" t="s">
        <v>34</v>
      </c>
      <c r="D1435">
        <v>28.6743660433965</v>
      </c>
      <c r="E1435">
        <v>3</v>
      </c>
      <c r="F1435">
        <v>2941</v>
      </c>
      <c r="G1435">
        <v>5</v>
      </c>
      <c r="H1435">
        <v>2</v>
      </c>
      <c r="I1435">
        <v>1998</v>
      </c>
      <c r="J1435">
        <v>0</v>
      </c>
      <c r="K1435">
        <v>0</v>
      </c>
      <c r="L1435">
        <v>0</v>
      </c>
      <c r="M1435">
        <v>4</v>
      </c>
      <c r="N1435" t="s">
        <v>41</v>
      </c>
      <c r="O1435" t="s">
        <v>27</v>
      </c>
      <c r="P1435">
        <v>2.8180278469135298</v>
      </c>
      <c r="Q1435">
        <v>2.29340713309711</v>
      </c>
      <c r="R1435">
        <v>6.2105792293024402</v>
      </c>
      <c r="S1435">
        <v>184</v>
      </c>
      <c r="T1435">
        <v>56</v>
      </c>
      <c r="U1435">
        <v>772.92406585979597</v>
      </c>
      <c r="V1435">
        <v>1.3600816048962899E-3</v>
      </c>
      <c r="W1435">
        <v>2548539.1354726502</v>
      </c>
      <c r="X1435" t="s">
        <v>44</v>
      </c>
      <c r="Y1435">
        <f>1-382-968-8666</f>
        <v>-10015</v>
      </c>
    </row>
    <row r="1436" spans="1:25" x14ac:dyDescent="0.35">
      <c r="A1436">
        <v>34.9320677742434</v>
      </c>
      <c r="B1436">
        <v>-119.285976795211</v>
      </c>
      <c r="C1436" t="s">
        <v>34</v>
      </c>
      <c r="D1436">
        <v>11.2420631935638</v>
      </c>
      <c r="E1436">
        <v>5</v>
      </c>
      <c r="F1436">
        <v>1065</v>
      </c>
      <c r="G1436">
        <v>2</v>
      </c>
      <c r="H1436">
        <v>3</v>
      </c>
      <c r="I1436">
        <v>1981</v>
      </c>
      <c r="J1436">
        <v>1</v>
      </c>
      <c r="K1436">
        <v>0</v>
      </c>
      <c r="L1436">
        <v>0</v>
      </c>
      <c r="M1436">
        <v>3</v>
      </c>
      <c r="N1436" t="s">
        <v>35</v>
      </c>
      <c r="O1436" t="s">
        <v>27</v>
      </c>
      <c r="P1436">
        <v>14.0236107537682</v>
      </c>
      <c r="Q1436">
        <v>0.80617167474164997</v>
      </c>
      <c r="R1436">
        <v>4.6749104249362201</v>
      </c>
      <c r="S1436">
        <v>14</v>
      </c>
      <c r="T1436">
        <v>47</v>
      </c>
      <c r="U1436">
        <v>213.80271481148301</v>
      </c>
      <c r="V1436">
        <v>2.8169014084507E-3</v>
      </c>
      <c r="W1436">
        <v>545295.48368592898</v>
      </c>
      <c r="X1436" t="s">
        <v>42</v>
      </c>
      <c r="Y1436">
        <f>1-725-711-3502</f>
        <v>-4937</v>
      </c>
    </row>
    <row r="1437" spans="1:25" x14ac:dyDescent="0.35">
      <c r="A1437">
        <v>37.715433512858802</v>
      </c>
      <c r="B1437">
        <v>-122.417695507977</v>
      </c>
      <c r="C1437" t="s">
        <v>25</v>
      </c>
      <c r="D1437">
        <v>24.767361662822498</v>
      </c>
      <c r="E1437">
        <v>2</v>
      </c>
      <c r="F1437">
        <v>3926</v>
      </c>
      <c r="G1437">
        <v>1</v>
      </c>
      <c r="H1437">
        <v>1</v>
      </c>
      <c r="I1437">
        <v>1989</v>
      </c>
      <c r="J1437">
        <v>1</v>
      </c>
      <c r="K1437">
        <v>1</v>
      </c>
      <c r="L1437">
        <v>1</v>
      </c>
      <c r="M1437">
        <v>7</v>
      </c>
      <c r="N1437" t="s">
        <v>41</v>
      </c>
      <c r="O1437" t="s">
        <v>30</v>
      </c>
      <c r="P1437">
        <v>4.2821971722540697</v>
      </c>
      <c r="Q1437">
        <v>1.7433538486519899</v>
      </c>
      <c r="R1437">
        <v>9.0918769109356106</v>
      </c>
      <c r="S1437">
        <v>169</v>
      </c>
      <c r="T1437">
        <v>28</v>
      </c>
      <c r="U1437">
        <v>309.867404739054</v>
      </c>
      <c r="V1437">
        <v>1.7829852266938299E-3</v>
      </c>
      <c r="W1437">
        <v>1404289.4408249101</v>
      </c>
      <c r="X1437" t="s">
        <v>39</v>
      </c>
      <c r="Y1437">
        <f>1-740-121-9489</f>
        <v>-10349</v>
      </c>
    </row>
    <row r="1438" spans="1:25" x14ac:dyDescent="0.35">
      <c r="A1438">
        <v>38.328201609566797</v>
      </c>
      <c r="B1438">
        <v>-124.229399504984</v>
      </c>
      <c r="C1438" t="s">
        <v>29</v>
      </c>
      <c r="D1438">
        <v>30.704007868794601</v>
      </c>
      <c r="E1438">
        <v>2</v>
      </c>
      <c r="F1438">
        <v>1010</v>
      </c>
      <c r="G1438">
        <v>5</v>
      </c>
      <c r="H1438">
        <v>3</v>
      </c>
      <c r="I1438">
        <v>1991</v>
      </c>
      <c r="J1438">
        <v>0</v>
      </c>
      <c r="K1438">
        <v>0</v>
      </c>
      <c r="L1438">
        <v>0</v>
      </c>
      <c r="M1438">
        <v>8</v>
      </c>
      <c r="N1438" t="s">
        <v>35</v>
      </c>
      <c r="O1438" t="s">
        <v>27</v>
      </c>
      <c r="P1438">
        <v>9.9704490479431502</v>
      </c>
      <c r="Q1438">
        <v>2.39569156995461</v>
      </c>
      <c r="R1438">
        <v>9.0824707194071603</v>
      </c>
      <c r="S1438">
        <v>21</v>
      </c>
      <c r="T1438">
        <v>77</v>
      </c>
      <c r="U1438">
        <v>439.44585561460599</v>
      </c>
      <c r="V1438">
        <v>7.9207920792079192E-3</v>
      </c>
      <c r="W1438">
        <v>795738.80468925298</v>
      </c>
      <c r="X1438" t="s">
        <v>39</v>
      </c>
      <c r="Y1438">
        <f>1-669-833-9455</f>
        <v>-10956</v>
      </c>
    </row>
    <row r="1439" spans="1:25" x14ac:dyDescent="0.35">
      <c r="A1439">
        <v>37.563942268127597</v>
      </c>
      <c r="B1439">
        <v>-117.558359397348</v>
      </c>
      <c r="C1439" t="s">
        <v>34</v>
      </c>
      <c r="D1439">
        <v>19.075094381447698</v>
      </c>
      <c r="E1439">
        <v>5</v>
      </c>
      <c r="F1439">
        <v>4464</v>
      </c>
      <c r="G1439">
        <v>5</v>
      </c>
      <c r="H1439">
        <v>2</v>
      </c>
      <c r="I1439">
        <v>1975</v>
      </c>
      <c r="J1439">
        <v>0</v>
      </c>
      <c r="K1439">
        <v>0</v>
      </c>
      <c r="L1439">
        <v>1</v>
      </c>
      <c r="M1439">
        <v>13</v>
      </c>
      <c r="N1439" t="s">
        <v>35</v>
      </c>
      <c r="O1439" t="s">
        <v>27</v>
      </c>
      <c r="P1439">
        <v>7.2450881815701802</v>
      </c>
      <c r="Q1439">
        <v>1.9059116790788999</v>
      </c>
      <c r="R1439">
        <v>9.7075524132344899</v>
      </c>
      <c r="S1439">
        <v>146</v>
      </c>
      <c r="T1439">
        <v>73</v>
      </c>
      <c r="U1439">
        <v>571.40228564007896</v>
      </c>
      <c r="V1439">
        <v>2.9121863799283099E-3</v>
      </c>
      <c r="W1439">
        <v>2833742.5967879202</v>
      </c>
      <c r="X1439" t="s">
        <v>31</v>
      </c>
      <c r="Y1439">
        <f>1-350-701-7226</f>
        <v>-8276</v>
      </c>
    </row>
    <row r="1440" spans="1:25" x14ac:dyDescent="0.35">
      <c r="A1440">
        <v>36.945552140717297</v>
      </c>
      <c r="B1440">
        <v>-115.80751445444599</v>
      </c>
      <c r="C1440" t="s">
        <v>25</v>
      </c>
      <c r="D1440">
        <v>15.208623121350501</v>
      </c>
      <c r="E1440">
        <v>8</v>
      </c>
      <c r="F1440">
        <v>2254</v>
      </c>
      <c r="G1440">
        <v>1</v>
      </c>
      <c r="H1440">
        <v>3</v>
      </c>
      <c r="I1440">
        <v>1999</v>
      </c>
      <c r="J1440">
        <v>0</v>
      </c>
      <c r="K1440">
        <v>1</v>
      </c>
      <c r="L1440">
        <v>0</v>
      </c>
      <c r="M1440">
        <v>8</v>
      </c>
      <c r="N1440" t="s">
        <v>35</v>
      </c>
      <c r="O1440" t="s">
        <v>30</v>
      </c>
      <c r="P1440">
        <v>9.4081317143229803</v>
      </c>
      <c r="Q1440">
        <v>2.0577005628054201</v>
      </c>
      <c r="R1440">
        <v>5.4750949005715999</v>
      </c>
      <c r="S1440">
        <v>180</v>
      </c>
      <c r="T1440">
        <v>39</v>
      </c>
      <c r="U1440">
        <v>220.9267919907</v>
      </c>
      <c r="V1440">
        <v>3.5492457852706301E-3</v>
      </c>
      <c r="W1440">
        <v>774721.40250732005</v>
      </c>
      <c r="X1440" t="s">
        <v>28</v>
      </c>
      <c r="Y1440">
        <f>1-452-753-4138</f>
        <v>-5342</v>
      </c>
    </row>
    <row r="1441" spans="1:25" x14ac:dyDescent="0.35">
      <c r="A1441">
        <v>37.178869492148898</v>
      </c>
      <c r="B1441">
        <v>-121.264420569781</v>
      </c>
      <c r="C1441" t="s">
        <v>34</v>
      </c>
      <c r="D1441">
        <v>45.426988144271903</v>
      </c>
      <c r="E1441">
        <v>7</v>
      </c>
      <c r="F1441">
        <v>2163</v>
      </c>
      <c r="G1441">
        <v>5</v>
      </c>
      <c r="H1441">
        <v>3</v>
      </c>
      <c r="I1441">
        <v>2017</v>
      </c>
      <c r="J1441">
        <v>1</v>
      </c>
      <c r="K1441">
        <v>0</v>
      </c>
      <c r="L1441">
        <v>0</v>
      </c>
      <c r="M1441">
        <v>11</v>
      </c>
      <c r="N1441" t="s">
        <v>26</v>
      </c>
      <c r="O1441" t="s">
        <v>27</v>
      </c>
      <c r="P1441">
        <v>14.588458796156999</v>
      </c>
      <c r="Q1441">
        <v>1.4628468084580499</v>
      </c>
      <c r="R1441">
        <v>6.4960061959687403</v>
      </c>
      <c r="S1441">
        <v>93</v>
      </c>
      <c r="T1441">
        <v>27</v>
      </c>
      <c r="U1441">
        <v>633.70775796844998</v>
      </c>
      <c r="V1441">
        <v>5.0855293573740098E-3</v>
      </c>
      <c r="W1441">
        <v>1758254.5109498</v>
      </c>
      <c r="X1441" t="s">
        <v>40</v>
      </c>
      <c r="Y1441">
        <f>1-757-549-4406</f>
        <v>-5711</v>
      </c>
    </row>
    <row r="1442" spans="1:25" x14ac:dyDescent="0.35">
      <c r="A1442">
        <v>38.4818691856361</v>
      </c>
      <c r="B1442">
        <v>-115.22738010408899</v>
      </c>
      <c r="C1442" t="s">
        <v>29</v>
      </c>
      <c r="D1442">
        <v>47.407300603559001</v>
      </c>
      <c r="E1442">
        <v>6</v>
      </c>
      <c r="F1442">
        <v>1128</v>
      </c>
      <c r="G1442">
        <v>5</v>
      </c>
      <c r="H1442">
        <v>1</v>
      </c>
      <c r="I1442">
        <v>1958</v>
      </c>
      <c r="J1442">
        <v>1</v>
      </c>
      <c r="K1442">
        <v>0</v>
      </c>
      <c r="L1442">
        <v>0</v>
      </c>
      <c r="M1442">
        <v>9</v>
      </c>
      <c r="N1442" t="s">
        <v>35</v>
      </c>
      <c r="O1442" t="s">
        <v>30</v>
      </c>
      <c r="P1442">
        <v>5.0060334228653396</v>
      </c>
      <c r="Q1442">
        <v>1.16294057711682</v>
      </c>
      <c r="R1442">
        <v>5.1348259228512196</v>
      </c>
      <c r="S1442">
        <v>16</v>
      </c>
      <c r="T1442">
        <v>75</v>
      </c>
      <c r="U1442">
        <v>406.16709277120299</v>
      </c>
      <c r="V1442">
        <v>7.9787234042553098E-3</v>
      </c>
      <c r="W1442">
        <v>680029.97917991399</v>
      </c>
      <c r="X1442" t="s">
        <v>38</v>
      </c>
      <c r="Y1442">
        <f>1-894-617-4534</f>
        <v>-6044</v>
      </c>
    </row>
    <row r="1443" spans="1:25" x14ac:dyDescent="0.35">
      <c r="A1443">
        <v>34.795235647772699</v>
      </c>
      <c r="B1443">
        <v>-123.572003065179</v>
      </c>
      <c r="C1443" t="s">
        <v>25</v>
      </c>
      <c r="D1443">
        <v>19.043822669534499</v>
      </c>
      <c r="E1443">
        <v>2</v>
      </c>
      <c r="F1443">
        <v>4430</v>
      </c>
      <c r="G1443">
        <v>3</v>
      </c>
      <c r="H1443">
        <v>2</v>
      </c>
      <c r="I1443">
        <v>1993</v>
      </c>
      <c r="J1443">
        <v>0</v>
      </c>
      <c r="K1443">
        <v>0</v>
      </c>
      <c r="L1443">
        <v>1</v>
      </c>
      <c r="M1443">
        <v>7</v>
      </c>
      <c r="N1443" t="s">
        <v>35</v>
      </c>
      <c r="O1443" t="s">
        <v>30</v>
      </c>
      <c r="P1443">
        <v>7.8820013168349004</v>
      </c>
      <c r="Q1443">
        <v>1.1061336622795499</v>
      </c>
      <c r="R1443">
        <v>4.8240992173801702</v>
      </c>
      <c r="S1443">
        <v>183</v>
      </c>
      <c r="T1443">
        <v>62</v>
      </c>
      <c r="U1443">
        <v>657.30878910936201</v>
      </c>
      <c r="V1443">
        <v>1.58013544018058E-3</v>
      </c>
      <c r="W1443">
        <v>3178634.5914027598</v>
      </c>
      <c r="X1443" t="s">
        <v>36</v>
      </c>
      <c r="Y1443">
        <f>1-902-950-7661</f>
        <v>-9512</v>
      </c>
    </row>
    <row r="1444" spans="1:25" x14ac:dyDescent="0.35">
      <c r="A1444">
        <v>40.621168602997898</v>
      </c>
      <c r="B1444">
        <v>-123.55758065513299</v>
      </c>
      <c r="C1444" t="s">
        <v>25</v>
      </c>
      <c r="D1444">
        <v>35.522369095216803</v>
      </c>
      <c r="E1444">
        <v>5</v>
      </c>
      <c r="F1444">
        <v>2062</v>
      </c>
      <c r="G1444">
        <v>1</v>
      </c>
      <c r="H1444">
        <v>3</v>
      </c>
      <c r="I1444">
        <v>2007</v>
      </c>
      <c r="J1444">
        <v>1</v>
      </c>
      <c r="K1444">
        <v>1</v>
      </c>
      <c r="L1444">
        <v>0</v>
      </c>
      <c r="M1444">
        <v>7</v>
      </c>
      <c r="N1444" t="s">
        <v>37</v>
      </c>
      <c r="O1444" t="s">
        <v>27</v>
      </c>
      <c r="P1444">
        <v>12.8658295405384</v>
      </c>
      <c r="Q1444">
        <v>2.1618423119179</v>
      </c>
      <c r="R1444">
        <v>1.2489910636119801</v>
      </c>
      <c r="S1444">
        <v>117</v>
      </c>
      <c r="T1444">
        <v>79</v>
      </c>
      <c r="U1444">
        <v>657.27519736165902</v>
      </c>
      <c r="V1444">
        <v>3.3947623666343301E-3</v>
      </c>
      <c r="W1444">
        <v>1651548.9601032301</v>
      </c>
      <c r="X1444" t="s">
        <v>44</v>
      </c>
      <c r="Y1444">
        <f>1-439-670-7933</f>
        <v>-9041</v>
      </c>
    </row>
    <row r="1445" spans="1:25" x14ac:dyDescent="0.35">
      <c r="A1445">
        <v>39.627841291143604</v>
      </c>
      <c r="B1445">
        <v>-117.904974807187</v>
      </c>
      <c r="C1445" t="s">
        <v>25</v>
      </c>
      <c r="D1445">
        <v>32.699264919179697</v>
      </c>
      <c r="E1445">
        <v>9</v>
      </c>
      <c r="F1445">
        <v>3150</v>
      </c>
      <c r="G1445">
        <v>4</v>
      </c>
      <c r="H1445">
        <v>2</v>
      </c>
      <c r="I1445">
        <v>1993</v>
      </c>
      <c r="J1445">
        <v>0</v>
      </c>
      <c r="K1445">
        <v>1</v>
      </c>
      <c r="L1445">
        <v>0</v>
      </c>
      <c r="M1445">
        <v>6</v>
      </c>
      <c r="N1445" t="s">
        <v>41</v>
      </c>
      <c r="O1445" t="s">
        <v>32</v>
      </c>
      <c r="P1445">
        <v>2.0040179567640899</v>
      </c>
      <c r="Q1445">
        <v>2.0232951007426099</v>
      </c>
      <c r="R1445">
        <v>4.1995155203433097</v>
      </c>
      <c r="S1445">
        <v>85</v>
      </c>
      <c r="T1445">
        <v>59</v>
      </c>
      <c r="U1445">
        <v>240.74432296741401</v>
      </c>
      <c r="V1445">
        <v>1.9047619047619E-3</v>
      </c>
      <c r="W1445">
        <v>1087860.1415133399</v>
      </c>
      <c r="X1445" t="s">
        <v>39</v>
      </c>
      <c r="Y1445">
        <f>1-453-266-3945</f>
        <v>-4663</v>
      </c>
    </row>
    <row r="1446" spans="1:25" x14ac:dyDescent="0.35">
      <c r="A1446">
        <v>34.700002634142699</v>
      </c>
      <c r="B1446">
        <v>-117.545526742886</v>
      </c>
      <c r="C1446" t="s">
        <v>34</v>
      </c>
      <c r="D1446">
        <v>5.0875153128191997</v>
      </c>
      <c r="E1446">
        <v>1</v>
      </c>
      <c r="F1446">
        <v>2249</v>
      </c>
      <c r="G1446">
        <v>3</v>
      </c>
      <c r="H1446">
        <v>1</v>
      </c>
      <c r="I1446">
        <v>2000</v>
      </c>
      <c r="J1446">
        <v>1</v>
      </c>
      <c r="K1446">
        <v>1</v>
      </c>
      <c r="L1446">
        <v>1</v>
      </c>
      <c r="M1446">
        <v>7</v>
      </c>
      <c r="N1446" t="s">
        <v>26</v>
      </c>
      <c r="O1446" t="s">
        <v>32</v>
      </c>
      <c r="P1446">
        <v>13.5491737754736</v>
      </c>
      <c r="Q1446">
        <v>1.4976530242652299</v>
      </c>
      <c r="R1446">
        <v>5.2597110358199997</v>
      </c>
      <c r="S1446">
        <v>70</v>
      </c>
      <c r="T1446">
        <v>20</v>
      </c>
      <c r="U1446">
        <v>946.81470526287796</v>
      </c>
      <c r="V1446">
        <v>3.1124944419742102E-3</v>
      </c>
      <c r="W1446">
        <v>2522968.7039718102</v>
      </c>
      <c r="X1446" t="s">
        <v>39</v>
      </c>
      <c r="Y1446">
        <f>1-642-511-7130</f>
        <v>-8282</v>
      </c>
    </row>
    <row r="1447" spans="1:25" x14ac:dyDescent="0.35">
      <c r="A1447">
        <v>41.790712319774798</v>
      </c>
      <c r="B1447">
        <v>-117.15211869238</v>
      </c>
      <c r="C1447" t="s">
        <v>34</v>
      </c>
      <c r="D1447">
        <v>38.971416117699803</v>
      </c>
      <c r="E1447">
        <v>7</v>
      </c>
      <c r="F1447">
        <v>2211</v>
      </c>
      <c r="G1447">
        <v>2</v>
      </c>
      <c r="H1447">
        <v>3</v>
      </c>
      <c r="I1447">
        <v>2016</v>
      </c>
      <c r="J1447">
        <v>1</v>
      </c>
      <c r="K1447">
        <v>1</v>
      </c>
      <c r="L1447">
        <v>1</v>
      </c>
      <c r="M1447">
        <v>4</v>
      </c>
      <c r="N1447" t="s">
        <v>35</v>
      </c>
      <c r="O1447" t="s">
        <v>30</v>
      </c>
      <c r="P1447">
        <v>6.2206979911621101</v>
      </c>
      <c r="Q1447">
        <v>1.26288613097902</v>
      </c>
      <c r="R1447">
        <v>1.1034226395467901</v>
      </c>
      <c r="S1447">
        <v>27</v>
      </c>
      <c r="T1447">
        <v>72</v>
      </c>
      <c r="U1447">
        <v>647.48208485616897</v>
      </c>
      <c r="V1447">
        <v>1.8091361374943399E-3</v>
      </c>
      <c r="W1447">
        <v>1811849.96377953</v>
      </c>
      <c r="X1447" t="s">
        <v>40</v>
      </c>
      <c r="Y1447">
        <f>1-961-503-1697</f>
        <v>-3160</v>
      </c>
    </row>
    <row r="1448" spans="1:25" x14ac:dyDescent="0.35">
      <c r="A1448">
        <v>41.837813254192199</v>
      </c>
      <c r="B1448">
        <v>-114.971188222268</v>
      </c>
      <c r="C1448" t="s">
        <v>25</v>
      </c>
      <c r="D1448">
        <v>39.8915346603914</v>
      </c>
      <c r="E1448">
        <v>8</v>
      </c>
      <c r="F1448">
        <v>2252</v>
      </c>
      <c r="G1448">
        <v>1</v>
      </c>
      <c r="H1448">
        <v>2</v>
      </c>
      <c r="I1448">
        <v>1982</v>
      </c>
      <c r="J1448">
        <v>0</v>
      </c>
      <c r="K1448">
        <v>1</v>
      </c>
      <c r="L1448">
        <v>1</v>
      </c>
      <c r="M1448">
        <v>7</v>
      </c>
      <c r="N1448" t="s">
        <v>35</v>
      </c>
      <c r="O1448" t="s">
        <v>30</v>
      </c>
      <c r="P1448">
        <v>14.7787773442807</v>
      </c>
      <c r="Q1448">
        <v>2.1368497070118102</v>
      </c>
      <c r="R1448">
        <v>7.8190250612662302</v>
      </c>
      <c r="S1448">
        <v>186</v>
      </c>
      <c r="T1448">
        <v>70</v>
      </c>
      <c r="U1448">
        <v>304.9027391308</v>
      </c>
      <c r="V1448">
        <v>3.1083481349911098E-3</v>
      </c>
      <c r="W1448">
        <v>1006956.30066633</v>
      </c>
      <c r="X1448" t="s">
        <v>40</v>
      </c>
      <c r="Y1448">
        <f>1-995-412-8372</f>
        <v>-9778</v>
      </c>
    </row>
    <row r="1449" spans="1:25" x14ac:dyDescent="0.35">
      <c r="A1449">
        <v>39.061431788680302</v>
      </c>
      <c r="B1449">
        <v>-121.834952221701</v>
      </c>
      <c r="C1449" t="s">
        <v>25</v>
      </c>
      <c r="D1449">
        <v>36.824142959626201</v>
      </c>
      <c r="E1449">
        <v>4</v>
      </c>
      <c r="F1449">
        <v>579</v>
      </c>
      <c r="G1449">
        <v>4</v>
      </c>
      <c r="H1449">
        <v>3</v>
      </c>
      <c r="I1449">
        <v>2021</v>
      </c>
      <c r="J1449">
        <v>0</v>
      </c>
      <c r="K1449">
        <v>1</v>
      </c>
      <c r="L1449">
        <v>1</v>
      </c>
      <c r="M1449">
        <v>13</v>
      </c>
      <c r="N1449" t="s">
        <v>41</v>
      </c>
      <c r="O1449" t="s">
        <v>30</v>
      </c>
      <c r="P1449">
        <v>9.4899989057091805</v>
      </c>
      <c r="Q1449">
        <v>2.3466781365582801</v>
      </c>
      <c r="R1449">
        <v>1.3165805899226</v>
      </c>
      <c r="S1449">
        <v>31</v>
      </c>
      <c r="T1449">
        <v>77</v>
      </c>
      <c r="U1449">
        <v>314.07639111233198</v>
      </c>
      <c r="V1449">
        <v>2.2452504317789199E-2</v>
      </c>
      <c r="W1449">
        <v>656733.39264439</v>
      </c>
      <c r="X1449" t="s">
        <v>40</v>
      </c>
      <c r="Y1449">
        <f>1-457-701-8325</f>
        <v>-9482</v>
      </c>
    </row>
    <row r="1450" spans="1:25" x14ac:dyDescent="0.35">
      <c r="A1450">
        <v>40.546861093585299</v>
      </c>
      <c r="B1450">
        <v>-118.856879208997</v>
      </c>
      <c r="C1450" t="s">
        <v>25</v>
      </c>
      <c r="D1450">
        <v>37.337546505657201</v>
      </c>
      <c r="E1450">
        <v>6</v>
      </c>
      <c r="F1450">
        <v>3238</v>
      </c>
      <c r="G1450">
        <v>1</v>
      </c>
      <c r="H1450">
        <v>3</v>
      </c>
      <c r="I1450">
        <v>1980</v>
      </c>
      <c r="J1450">
        <v>1</v>
      </c>
      <c r="K1450">
        <v>0</v>
      </c>
      <c r="L1450">
        <v>1</v>
      </c>
      <c r="M1450">
        <v>14</v>
      </c>
      <c r="N1450" t="s">
        <v>26</v>
      </c>
      <c r="O1450" t="s">
        <v>30</v>
      </c>
      <c r="P1450">
        <v>11.785400111673299</v>
      </c>
      <c r="Q1450">
        <v>0.96713957933918904</v>
      </c>
      <c r="R1450">
        <v>5.3685780344143303</v>
      </c>
      <c r="S1450">
        <v>106</v>
      </c>
      <c r="T1450">
        <v>60</v>
      </c>
      <c r="U1450">
        <v>854.24480715574498</v>
      </c>
      <c r="V1450">
        <v>4.3236565781346499E-3</v>
      </c>
      <c r="W1450">
        <v>2967186.6826466699</v>
      </c>
      <c r="X1450" t="s">
        <v>40</v>
      </c>
      <c r="Y1450">
        <f>1-674-331-8230</f>
        <v>-9234</v>
      </c>
    </row>
    <row r="1451" spans="1:25" x14ac:dyDescent="0.35">
      <c r="A1451">
        <v>33.392549745790902</v>
      </c>
      <c r="B1451">
        <v>-122.85955443992999</v>
      </c>
      <c r="C1451" t="s">
        <v>25</v>
      </c>
      <c r="D1451">
        <v>25.620949183223601</v>
      </c>
      <c r="E1451">
        <v>4</v>
      </c>
      <c r="F1451">
        <v>873</v>
      </c>
      <c r="G1451">
        <v>2</v>
      </c>
      <c r="H1451">
        <v>2</v>
      </c>
      <c r="I1451">
        <v>1991</v>
      </c>
      <c r="J1451">
        <v>1</v>
      </c>
      <c r="K1451">
        <v>0</v>
      </c>
      <c r="L1451">
        <v>0</v>
      </c>
      <c r="M1451">
        <v>3</v>
      </c>
      <c r="N1451" t="s">
        <v>26</v>
      </c>
      <c r="O1451" t="s">
        <v>30</v>
      </c>
      <c r="P1451">
        <v>5.8526379513604603</v>
      </c>
      <c r="Q1451">
        <v>2.1952315628169701</v>
      </c>
      <c r="R1451">
        <v>0.91416625240543703</v>
      </c>
      <c r="S1451">
        <v>99</v>
      </c>
      <c r="T1451">
        <v>78</v>
      </c>
      <c r="U1451">
        <v>940.17701172620104</v>
      </c>
      <c r="V1451">
        <v>3.4364261168384801E-3</v>
      </c>
      <c r="W1451">
        <v>1038012.12340417</v>
      </c>
      <c r="X1451" t="s">
        <v>42</v>
      </c>
      <c r="Y1451">
        <f>1-816-890-1656</f>
        <v>-3361</v>
      </c>
    </row>
    <row r="1452" spans="1:25" x14ac:dyDescent="0.35">
      <c r="A1452">
        <v>40.099291916021798</v>
      </c>
      <c r="B1452">
        <v>-117.998581530452</v>
      </c>
      <c r="C1452" t="s">
        <v>34</v>
      </c>
      <c r="D1452">
        <v>26.168026284036301</v>
      </c>
      <c r="E1452">
        <v>7</v>
      </c>
      <c r="F1452">
        <v>1565</v>
      </c>
      <c r="G1452">
        <v>1</v>
      </c>
      <c r="H1452">
        <v>1</v>
      </c>
      <c r="I1452">
        <v>1981</v>
      </c>
      <c r="J1452">
        <v>1</v>
      </c>
      <c r="K1452">
        <v>0</v>
      </c>
      <c r="L1452">
        <v>0</v>
      </c>
      <c r="M1452">
        <v>11</v>
      </c>
      <c r="N1452" t="s">
        <v>35</v>
      </c>
      <c r="O1452" t="s">
        <v>27</v>
      </c>
      <c r="P1452">
        <v>6.1356312225105496</v>
      </c>
      <c r="Q1452">
        <v>1.9995274872570501</v>
      </c>
      <c r="R1452">
        <v>1.1876665248084699</v>
      </c>
      <c r="S1452">
        <v>6</v>
      </c>
      <c r="T1452">
        <v>32</v>
      </c>
      <c r="U1452">
        <v>692.894874250415</v>
      </c>
      <c r="V1452">
        <v>7.0287539936102197E-3</v>
      </c>
      <c r="W1452">
        <v>1206734.7962386401</v>
      </c>
      <c r="X1452" t="s">
        <v>42</v>
      </c>
      <c r="Y1452">
        <f>1-855-312-1011</f>
        <v>-2177</v>
      </c>
    </row>
    <row r="1453" spans="1:25" x14ac:dyDescent="0.35">
      <c r="A1453">
        <v>38.831159357941701</v>
      </c>
      <c r="B1453">
        <v>-118.460018915557</v>
      </c>
      <c r="C1453" t="s">
        <v>34</v>
      </c>
      <c r="D1453">
        <v>33.825042285830101</v>
      </c>
      <c r="E1453">
        <v>1</v>
      </c>
      <c r="F1453">
        <v>1812</v>
      </c>
      <c r="G1453">
        <v>4</v>
      </c>
      <c r="H1453">
        <v>3</v>
      </c>
      <c r="I1453">
        <v>1981</v>
      </c>
      <c r="J1453">
        <v>0</v>
      </c>
      <c r="K1453">
        <v>1</v>
      </c>
      <c r="L1453">
        <v>0</v>
      </c>
      <c r="M1453">
        <v>4</v>
      </c>
      <c r="N1453" t="s">
        <v>26</v>
      </c>
      <c r="O1453" t="s">
        <v>30</v>
      </c>
      <c r="P1453">
        <v>9.2217677352303404</v>
      </c>
      <c r="Q1453">
        <v>2.3896441819143899</v>
      </c>
      <c r="R1453">
        <v>6.7047855589218903</v>
      </c>
      <c r="S1453">
        <v>154</v>
      </c>
      <c r="T1453">
        <v>72</v>
      </c>
      <c r="U1453">
        <v>281.65706274347798</v>
      </c>
      <c r="V1453">
        <v>2.20750551876379E-3</v>
      </c>
      <c r="W1453">
        <v>894209.38881893805</v>
      </c>
      <c r="X1453" t="s">
        <v>33</v>
      </c>
      <c r="Y1453">
        <f>1-860-363-9486</f>
        <v>-10708</v>
      </c>
    </row>
    <row r="1454" spans="1:25" x14ac:dyDescent="0.35">
      <c r="A1454">
        <v>32.704037976248998</v>
      </c>
      <c r="B1454">
        <v>-122.82953294423</v>
      </c>
      <c r="C1454" t="s">
        <v>25</v>
      </c>
      <c r="D1454">
        <v>7.8890318557435997</v>
      </c>
      <c r="E1454">
        <v>6</v>
      </c>
      <c r="F1454">
        <v>2315</v>
      </c>
      <c r="G1454">
        <v>3</v>
      </c>
      <c r="H1454">
        <v>2</v>
      </c>
      <c r="I1454">
        <v>2002</v>
      </c>
      <c r="J1454">
        <v>1</v>
      </c>
      <c r="K1454">
        <v>0</v>
      </c>
      <c r="L1454">
        <v>0</v>
      </c>
      <c r="M1454">
        <v>14</v>
      </c>
      <c r="N1454" t="s">
        <v>37</v>
      </c>
      <c r="O1454" t="s">
        <v>27</v>
      </c>
      <c r="P1454">
        <v>11.6117819098965</v>
      </c>
      <c r="Q1454">
        <v>1.5598400788462701</v>
      </c>
      <c r="R1454">
        <v>1.4048368486845799</v>
      </c>
      <c r="S1454">
        <v>113</v>
      </c>
      <c r="T1454">
        <v>21</v>
      </c>
      <c r="U1454">
        <v>925.37146260104703</v>
      </c>
      <c r="V1454">
        <v>6.0475161987041002E-3</v>
      </c>
      <c r="W1454">
        <v>2460896.5892323302</v>
      </c>
      <c r="X1454" t="s">
        <v>31</v>
      </c>
      <c r="Y1454">
        <f>1-673-174-1933</f>
        <v>-2779</v>
      </c>
    </row>
    <row r="1455" spans="1:25" x14ac:dyDescent="0.35">
      <c r="A1455">
        <v>38.212620542687098</v>
      </c>
      <c r="B1455">
        <v>-122.231976031893</v>
      </c>
      <c r="C1455" t="s">
        <v>25</v>
      </c>
      <c r="D1455">
        <v>12.8671259300125</v>
      </c>
      <c r="E1455">
        <v>5</v>
      </c>
      <c r="F1455">
        <v>3805</v>
      </c>
      <c r="G1455">
        <v>5</v>
      </c>
      <c r="H1455">
        <v>3</v>
      </c>
      <c r="I1455">
        <v>1958</v>
      </c>
      <c r="J1455">
        <v>1</v>
      </c>
      <c r="K1455">
        <v>1</v>
      </c>
      <c r="L1455">
        <v>1</v>
      </c>
      <c r="M1455">
        <v>13</v>
      </c>
      <c r="N1455" t="s">
        <v>37</v>
      </c>
      <c r="O1455" t="s">
        <v>27</v>
      </c>
      <c r="P1455">
        <v>10.3422144156733</v>
      </c>
      <c r="Q1455">
        <v>1.0059736375078301</v>
      </c>
      <c r="R1455">
        <v>3.9372745143487702</v>
      </c>
      <c r="S1455">
        <v>122</v>
      </c>
      <c r="T1455">
        <v>45</v>
      </c>
      <c r="U1455">
        <v>242.051662309444</v>
      </c>
      <c r="V1455">
        <v>3.4165571616294301E-3</v>
      </c>
      <c r="W1455">
        <v>1328300.2334526801</v>
      </c>
      <c r="X1455" t="s">
        <v>38</v>
      </c>
      <c r="Y1455">
        <f>1-841-673-3362</f>
        <v>-4875</v>
      </c>
    </row>
    <row r="1456" spans="1:25" x14ac:dyDescent="0.35">
      <c r="A1456">
        <v>38.490412025827503</v>
      </c>
      <c r="B1456">
        <v>-114.03673935298001</v>
      </c>
      <c r="C1456" t="s">
        <v>34</v>
      </c>
      <c r="D1456">
        <v>19.4285727963223</v>
      </c>
      <c r="E1456">
        <v>7</v>
      </c>
      <c r="F1456">
        <v>3424</v>
      </c>
      <c r="G1456">
        <v>4</v>
      </c>
      <c r="H1456">
        <v>2</v>
      </c>
      <c r="I1456">
        <v>1985</v>
      </c>
      <c r="J1456">
        <v>0</v>
      </c>
      <c r="K1456">
        <v>1</v>
      </c>
      <c r="L1456">
        <v>0</v>
      </c>
      <c r="M1456">
        <v>6</v>
      </c>
      <c r="N1456" t="s">
        <v>35</v>
      </c>
      <c r="O1456" t="s">
        <v>27</v>
      </c>
      <c r="P1456">
        <v>9.2146631028537005</v>
      </c>
      <c r="Q1456">
        <v>0.95770299323353303</v>
      </c>
      <c r="R1456">
        <v>5.1508893589074898</v>
      </c>
      <c r="S1456">
        <v>131</v>
      </c>
      <c r="T1456">
        <v>50</v>
      </c>
      <c r="U1456">
        <v>876.95064834077004</v>
      </c>
      <c r="V1456">
        <v>1.75233644859813E-3</v>
      </c>
      <c r="W1456">
        <v>3352090.0241113398</v>
      </c>
      <c r="X1456" t="s">
        <v>33</v>
      </c>
      <c r="Y1456">
        <f>1-942-242-3886</f>
        <v>-5069</v>
      </c>
    </row>
    <row r="1457" spans="1:25" x14ac:dyDescent="0.35">
      <c r="A1457">
        <v>40.208748878724599</v>
      </c>
      <c r="B1457">
        <v>-120.40671085652799</v>
      </c>
      <c r="C1457" t="s">
        <v>29</v>
      </c>
      <c r="D1457">
        <v>46.280233890221702</v>
      </c>
      <c r="E1457">
        <v>8</v>
      </c>
      <c r="F1457">
        <v>1820</v>
      </c>
      <c r="G1457">
        <v>1</v>
      </c>
      <c r="H1457">
        <v>1</v>
      </c>
      <c r="I1457">
        <v>1981</v>
      </c>
      <c r="J1457">
        <v>0</v>
      </c>
      <c r="K1457">
        <v>0</v>
      </c>
      <c r="L1457">
        <v>0</v>
      </c>
      <c r="M1457">
        <v>11</v>
      </c>
      <c r="N1457" t="s">
        <v>37</v>
      </c>
      <c r="O1457" t="s">
        <v>27</v>
      </c>
      <c r="P1457">
        <v>9.8253743029104292</v>
      </c>
      <c r="Q1457">
        <v>2.2072930374006599</v>
      </c>
      <c r="R1457">
        <v>6.2493908470964303</v>
      </c>
      <c r="S1457">
        <v>20</v>
      </c>
      <c r="T1457">
        <v>60</v>
      </c>
      <c r="U1457">
        <v>863.33177566110396</v>
      </c>
      <c r="V1457">
        <v>6.0439560439560398E-3</v>
      </c>
      <c r="W1457">
        <v>1625990.82300069</v>
      </c>
      <c r="X1457" t="s">
        <v>44</v>
      </c>
      <c r="Y1457">
        <f>1-679-573-5487</f>
        <v>-6738</v>
      </c>
    </row>
    <row r="1458" spans="1:25" x14ac:dyDescent="0.35">
      <c r="A1458">
        <v>38.664427626571303</v>
      </c>
      <c r="B1458">
        <v>-120.83111067884499</v>
      </c>
      <c r="C1458" t="s">
        <v>29</v>
      </c>
      <c r="D1458">
        <v>16.778588932964698</v>
      </c>
      <c r="E1458">
        <v>4</v>
      </c>
      <c r="F1458">
        <v>3722</v>
      </c>
      <c r="G1458">
        <v>3</v>
      </c>
      <c r="H1458">
        <v>1</v>
      </c>
      <c r="I1458">
        <v>1959</v>
      </c>
      <c r="J1458">
        <v>1</v>
      </c>
      <c r="K1458">
        <v>0</v>
      </c>
      <c r="L1458">
        <v>1</v>
      </c>
      <c r="M1458">
        <v>4</v>
      </c>
      <c r="N1458" t="s">
        <v>26</v>
      </c>
      <c r="O1458" t="s">
        <v>32</v>
      </c>
      <c r="P1458">
        <v>14.265189517576299</v>
      </c>
      <c r="Q1458">
        <v>1.6985952176175301</v>
      </c>
      <c r="R1458">
        <v>9.7379525533483502</v>
      </c>
      <c r="S1458">
        <v>44</v>
      </c>
      <c r="T1458">
        <v>21</v>
      </c>
      <c r="U1458">
        <v>555.88896687043598</v>
      </c>
      <c r="V1458">
        <v>1.07469102632993E-3</v>
      </c>
      <c r="W1458">
        <v>2248122.9566800101</v>
      </c>
      <c r="X1458" t="s">
        <v>31</v>
      </c>
      <c r="Y1458">
        <f>1-544-951-6836</f>
        <v>-8330</v>
      </c>
    </row>
    <row r="1459" spans="1:25" x14ac:dyDescent="0.35">
      <c r="A1459">
        <v>34.6024473814998</v>
      </c>
      <c r="B1459">
        <v>-117.325619640569</v>
      </c>
      <c r="C1459" t="s">
        <v>29</v>
      </c>
      <c r="D1459">
        <v>42.875393996254601</v>
      </c>
      <c r="E1459">
        <v>4</v>
      </c>
      <c r="F1459">
        <v>4063</v>
      </c>
      <c r="G1459">
        <v>1</v>
      </c>
      <c r="H1459">
        <v>2</v>
      </c>
      <c r="I1459">
        <v>2004</v>
      </c>
      <c r="J1459">
        <v>0</v>
      </c>
      <c r="K1459">
        <v>0</v>
      </c>
      <c r="L1459">
        <v>0</v>
      </c>
      <c r="M1459">
        <v>13</v>
      </c>
      <c r="N1459" t="s">
        <v>26</v>
      </c>
      <c r="O1459" t="s">
        <v>32</v>
      </c>
      <c r="P1459">
        <v>8.6161707521648907</v>
      </c>
      <c r="Q1459">
        <v>1.7433716129499699</v>
      </c>
      <c r="R1459">
        <v>5.4752969588383102</v>
      </c>
      <c r="S1459">
        <v>135</v>
      </c>
      <c r="T1459">
        <v>79</v>
      </c>
      <c r="U1459">
        <v>686.93572753380897</v>
      </c>
      <c r="V1459">
        <v>3.1996062023135598E-3</v>
      </c>
      <c r="W1459">
        <v>2900846.3486415502</v>
      </c>
      <c r="X1459" t="s">
        <v>40</v>
      </c>
      <c r="Y1459">
        <f>1-225-788-2787</f>
        <v>-3799</v>
      </c>
    </row>
    <row r="1460" spans="1:25" x14ac:dyDescent="0.35">
      <c r="A1460">
        <v>34.213884680954997</v>
      </c>
      <c r="B1460">
        <v>-123.745739288167</v>
      </c>
      <c r="C1460" t="s">
        <v>25</v>
      </c>
      <c r="D1460">
        <v>46.348223067242103</v>
      </c>
      <c r="E1460">
        <v>2</v>
      </c>
      <c r="F1460">
        <v>2814</v>
      </c>
      <c r="G1460">
        <v>2</v>
      </c>
      <c r="H1460">
        <v>3</v>
      </c>
      <c r="I1460">
        <v>1982</v>
      </c>
      <c r="J1460">
        <v>1</v>
      </c>
      <c r="K1460">
        <v>1</v>
      </c>
      <c r="L1460">
        <v>1</v>
      </c>
      <c r="M1460">
        <v>9</v>
      </c>
      <c r="N1460" t="s">
        <v>35</v>
      </c>
      <c r="O1460" t="s">
        <v>32</v>
      </c>
      <c r="P1460">
        <v>13.0844600438257</v>
      </c>
      <c r="Q1460">
        <v>1.53048093729101</v>
      </c>
      <c r="R1460">
        <v>6.0367766585198197</v>
      </c>
      <c r="S1460">
        <v>107</v>
      </c>
      <c r="T1460">
        <v>38</v>
      </c>
      <c r="U1460">
        <v>374.33042693274501</v>
      </c>
      <c r="V1460">
        <v>3.1982942430703598E-3</v>
      </c>
      <c r="W1460">
        <v>1527678.3827621599</v>
      </c>
      <c r="X1460" t="s">
        <v>42</v>
      </c>
      <c r="Y1460">
        <f>1-600-799-4592</f>
        <v>-5990</v>
      </c>
    </row>
    <row r="1461" spans="1:25" x14ac:dyDescent="0.35">
      <c r="A1461">
        <v>37.185915400120301</v>
      </c>
      <c r="B1461">
        <v>-121.28023647398599</v>
      </c>
      <c r="C1461" t="s">
        <v>34</v>
      </c>
      <c r="D1461">
        <v>18.652518573005199</v>
      </c>
      <c r="E1461">
        <v>9</v>
      </c>
      <c r="F1461">
        <v>3670</v>
      </c>
      <c r="G1461">
        <v>5</v>
      </c>
      <c r="H1461">
        <v>2</v>
      </c>
      <c r="I1461">
        <v>2016</v>
      </c>
      <c r="J1461">
        <v>1</v>
      </c>
      <c r="K1461">
        <v>1</v>
      </c>
      <c r="L1461">
        <v>0</v>
      </c>
      <c r="M1461">
        <v>6</v>
      </c>
      <c r="N1461" t="s">
        <v>26</v>
      </c>
      <c r="O1461" t="s">
        <v>32</v>
      </c>
      <c r="P1461">
        <v>6.8617122247353999</v>
      </c>
      <c r="Q1461">
        <v>1.5645426543668099</v>
      </c>
      <c r="R1461">
        <v>1.4662548992678801</v>
      </c>
      <c r="S1461">
        <v>178</v>
      </c>
      <c r="T1461">
        <v>44</v>
      </c>
      <c r="U1461">
        <v>306.14153813942499</v>
      </c>
      <c r="V1461">
        <v>1.6348773841961799E-3</v>
      </c>
      <c r="W1461">
        <v>1604715.8627798399</v>
      </c>
      <c r="X1461" t="s">
        <v>36</v>
      </c>
      <c r="Y1461">
        <f>1-367-777-7619</f>
        <v>-8762</v>
      </c>
    </row>
    <row r="1462" spans="1:25" x14ac:dyDescent="0.35">
      <c r="A1462">
        <v>36.671418354913499</v>
      </c>
      <c r="B1462">
        <v>-120.25525796621299</v>
      </c>
      <c r="C1462" t="s">
        <v>29</v>
      </c>
      <c r="D1462">
        <v>49.569401634946097</v>
      </c>
      <c r="E1462">
        <v>0</v>
      </c>
      <c r="F1462">
        <v>1204</v>
      </c>
      <c r="G1462">
        <v>2</v>
      </c>
      <c r="H1462">
        <v>1</v>
      </c>
      <c r="I1462">
        <v>1982</v>
      </c>
      <c r="J1462">
        <v>0</v>
      </c>
      <c r="K1462">
        <v>0</v>
      </c>
      <c r="L1462">
        <v>0</v>
      </c>
      <c r="M1462">
        <v>14</v>
      </c>
      <c r="N1462" t="s">
        <v>26</v>
      </c>
      <c r="O1462" t="s">
        <v>32</v>
      </c>
      <c r="P1462">
        <v>4.8600701862028597</v>
      </c>
      <c r="Q1462">
        <v>2.1980405555578799</v>
      </c>
      <c r="R1462">
        <v>6.9948980609843003</v>
      </c>
      <c r="S1462">
        <v>103</v>
      </c>
      <c r="T1462">
        <v>36</v>
      </c>
      <c r="U1462">
        <v>359.45356063622899</v>
      </c>
      <c r="V1462">
        <v>1.1627906976744099E-2</v>
      </c>
      <c r="W1462">
        <v>541617.23303817201</v>
      </c>
      <c r="X1462" t="s">
        <v>28</v>
      </c>
      <c r="Y1462">
        <f>1-677-381-2317</f>
        <v>-3374</v>
      </c>
    </row>
    <row r="1463" spans="1:25" x14ac:dyDescent="0.35">
      <c r="A1463">
        <v>35.251532864339303</v>
      </c>
      <c r="B1463">
        <v>-119.96912012833</v>
      </c>
      <c r="C1463" t="s">
        <v>29</v>
      </c>
      <c r="D1463">
        <v>42.639754846351899</v>
      </c>
      <c r="E1463">
        <v>6</v>
      </c>
      <c r="F1463">
        <v>1757</v>
      </c>
      <c r="G1463">
        <v>2</v>
      </c>
      <c r="H1463">
        <v>1</v>
      </c>
      <c r="I1463">
        <v>1952</v>
      </c>
      <c r="J1463">
        <v>0</v>
      </c>
      <c r="K1463">
        <v>1</v>
      </c>
      <c r="L1463">
        <v>1</v>
      </c>
      <c r="M1463">
        <v>13</v>
      </c>
      <c r="N1463" t="s">
        <v>37</v>
      </c>
      <c r="O1463" t="s">
        <v>30</v>
      </c>
      <c r="P1463">
        <v>7.7091464968667403</v>
      </c>
      <c r="Q1463">
        <v>0.71120754239399597</v>
      </c>
      <c r="R1463">
        <v>8.35279351736596</v>
      </c>
      <c r="S1463">
        <v>55</v>
      </c>
      <c r="T1463">
        <v>39</v>
      </c>
      <c r="U1463">
        <v>379.25724594861703</v>
      </c>
      <c r="V1463">
        <v>7.3989755264655599E-3</v>
      </c>
      <c r="W1463">
        <v>813644.33348685398</v>
      </c>
      <c r="X1463" t="s">
        <v>40</v>
      </c>
      <c r="Y1463">
        <f>1-912-635-2370</f>
        <v>-3916</v>
      </c>
    </row>
    <row r="1464" spans="1:25" x14ac:dyDescent="0.35">
      <c r="A1464">
        <v>37.771662490439503</v>
      </c>
      <c r="B1464">
        <v>-118.73317647768501</v>
      </c>
      <c r="C1464" t="s">
        <v>34</v>
      </c>
      <c r="D1464">
        <v>40.758960707794202</v>
      </c>
      <c r="E1464">
        <v>9</v>
      </c>
      <c r="F1464">
        <v>3016</v>
      </c>
      <c r="G1464">
        <v>1</v>
      </c>
      <c r="H1464">
        <v>2</v>
      </c>
      <c r="I1464">
        <v>2009</v>
      </c>
      <c r="J1464">
        <v>1</v>
      </c>
      <c r="K1464">
        <v>1</v>
      </c>
      <c r="L1464">
        <v>0</v>
      </c>
      <c r="M1464">
        <v>7</v>
      </c>
      <c r="N1464" t="s">
        <v>35</v>
      </c>
      <c r="O1464" t="s">
        <v>32</v>
      </c>
      <c r="P1464">
        <v>12.6737116333651</v>
      </c>
      <c r="Q1464">
        <v>0.80673290064177405</v>
      </c>
      <c r="R1464">
        <v>2.4568607302601202</v>
      </c>
      <c r="S1464">
        <v>140</v>
      </c>
      <c r="T1464">
        <v>20</v>
      </c>
      <c r="U1464">
        <v>536.43502340121495</v>
      </c>
      <c r="V1464">
        <v>2.3209549071618002E-3</v>
      </c>
      <c r="W1464">
        <v>1965836.3456069401</v>
      </c>
      <c r="X1464" t="s">
        <v>43</v>
      </c>
      <c r="Y1464">
        <f>1-255-176-6564</f>
        <v>-6994</v>
      </c>
    </row>
    <row r="1465" spans="1:25" x14ac:dyDescent="0.35">
      <c r="A1465">
        <v>41.685427618884702</v>
      </c>
      <c r="B1465">
        <v>-120.76560815856099</v>
      </c>
      <c r="C1465" t="s">
        <v>34</v>
      </c>
      <c r="D1465">
        <v>28.050238393250002</v>
      </c>
      <c r="E1465">
        <v>4</v>
      </c>
      <c r="F1465">
        <v>3058</v>
      </c>
      <c r="G1465">
        <v>2</v>
      </c>
      <c r="H1465">
        <v>3</v>
      </c>
      <c r="I1465">
        <v>2008</v>
      </c>
      <c r="J1465">
        <v>0</v>
      </c>
      <c r="K1465">
        <v>0</v>
      </c>
      <c r="L1465">
        <v>1</v>
      </c>
      <c r="M1465">
        <v>3</v>
      </c>
      <c r="N1465" t="s">
        <v>26</v>
      </c>
      <c r="O1465" t="s">
        <v>27</v>
      </c>
      <c r="P1465">
        <v>9.2700532695311999</v>
      </c>
      <c r="Q1465">
        <v>1.63384018798496</v>
      </c>
      <c r="R1465">
        <v>2.2767972230082298</v>
      </c>
      <c r="S1465">
        <v>98</v>
      </c>
      <c r="T1465">
        <v>20</v>
      </c>
      <c r="U1465">
        <v>620.45326096457097</v>
      </c>
      <c r="V1465">
        <v>9.8103335513407392E-4</v>
      </c>
      <c r="W1465">
        <v>2212634.0624787998</v>
      </c>
      <c r="X1465" t="s">
        <v>42</v>
      </c>
      <c r="Y1465">
        <f>1-424-430-4405</f>
        <v>-5258</v>
      </c>
    </row>
    <row r="1466" spans="1:25" x14ac:dyDescent="0.35">
      <c r="A1466">
        <v>35.518566402101698</v>
      </c>
      <c r="B1466">
        <v>-118.535708692087</v>
      </c>
      <c r="C1466" t="s">
        <v>29</v>
      </c>
      <c r="D1466">
        <v>32.9867439067216</v>
      </c>
      <c r="E1466">
        <v>1</v>
      </c>
      <c r="F1466">
        <v>3848</v>
      </c>
      <c r="G1466">
        <v>5</v>
      </c>
      <c r="H1466">
        <v>2</v>
      </c>
      <c r="I1466">
        <v>1968</v>
      </c>
      <c r="J1466">
        <v>0</v>
      </c>
      <c r="K1466">
        <v>1</v>
      </c>
      <c r="L1466">
        <v>1</v>
      </c>
      <c r="M1466">
        <v>7</v>
      </c>
      <c r="N1466" t="s">
        <v>35</v>
      </c>
      <c r="O1466" t="s">
        <v>30</v>
      </c>
      <c r="P1466">
        <v>6.65328471575687</v>
      </c>
      <c r="Q1466">
        <v>1.9954359186158099</v>
      </c>
      <c r="R1466">
        <v>5.4940867887488603</v>
      </c>
      <c r="S1466">
        <v>46</v>
      </c>
      <c r="T1466">
        <v>35</v>
      </c>
      <c r="U1466">
        <v>890.95285129898298</v>
      </c>
      <c r="V1466">
        <v>1.8191268191268099E-3</v>
      </c>
      <c r="W1466">
        <v>3840686.1927053402</v>
      </c>
      <c r="X1466" t="s">
        <v>28</v>
      </c>
      <c r="Y1466">
        <f>1-763-643-8916</f>
        <v>-10321</v>
      </c>
    </row>
    <row r="1467" spans="1:25" x14ac:dyDescent="0.35">
      <c r="A1467">
        <v>40.550761047971598</v>
      </c>
      <c r="B1467">
        <v>-116.567330966231</v>
      </c>
      <c r="C1467" t="s">
        <v>34</v>
      </c>
      <c r="D1467">
        <v>42.279753008685098</v>
      </c>
      <c r="E1467">
        <v>0</v>
      </c>
      <c r="F1467">
        <v>1931</v>
      </c>
      <c r="G1467">
        <v>2</v>
      </c>
      <c r="H1467">
        <v>3</v>
      </c>
      <c r="I1467">
        <v>1990</v>
      </c>
      <c r="J1467">
        <v>0</v>
      </c>
      <c r="K1467">
        <v>0</v>
      </c>
      <c r="L1467">
        <v>0</v>
      </c>
      <c r="M1467">
        <v>12</v>
      </c>
      <c r="N1467" t="s">
        <v>35</v>
      </c>
      <c r="O1467" t="s">
        <v>30</v>
      </c>
      <c r="P1467">
        <v>9.7441714867584199</v>
      </c>
      <c r="Q1467">
        <v>2.39491463241015</v>
      </c>
      <c r="R1467">
        <v>6.2968215691484097</v>
      </c>
      <c r="S1467">
        <v>67</v>
      </c>
      <c r="T1467">
        <v>38</v>
      </c>
      <c r="U1467">
        <v>902.13536889226998</v>
      </c>
      <c r="V1467">
        <v>6.2143966856551E-3</v>
      </c>
      <c r="W1467">
        <v>1974627.9637558099</v>
      </c>
      <c r="X1467" t="s">
        <v>40</v>
      </c>
      <c r="Y1467">
        <f>1-370-266-2605</f>
        <v>-3240</v>
      </c>
    </row>
    <row r="1468" spans="1:25" x14ac:dyDescent="0.35">
      <c r="A1468">
        <v>34.671761798649896</v>
      </c>
      <c r="B1468">
        <v>-120.631966739204</v>
      </c>
      <c r="C1468" t="s">
        <v>25</v>
      </c>
      <c r="D1468">
        <v>7.3825942990523599</v>
      </c>
      <c r="E1468">
        <v>4</v>
      </c>
      <c r="F1468">
        <v>2046</v>
      </c>
      <c r="G1468">
        <v>4</v>
      </c>
      <c r="H1468">
        <v>1</v>
      </c>
      <c r="I1468">
        <v>1971</v>
      </c>
      <c r="J1468">
        <v>1</v>
      </c>
      <c r="K1468">
        <v>0</v>
      </c>
      <c r="L1468">
        <v>0</v>
      </c>
      <c r="M1468">
        <v>12</v>
      </c>
      <c r="N1468" t="s">
        <v>37</v>
      </c>
      <c r="O1468" t="s">
        <v>32</v>
      </c>
      <c r="P1468">
        <v>14.3856656592643</v>
      </c>
      <c r="Q1468">
        <v>2.4270282607102298</v>
      </c>
      <c r="R1468">
        <v>1.1519055899207999</v>
      </c>
      <c r="S1468">
        <v>189</v>
      </c>
      <c r="T1468">
        <v>46</v>
      </c>
      <c r="U1468">
        <v>374.53884239192502</v>
      </c>
      <c r="V1468">
        <v>5.8651026392961799E-3</v>
      </c>
      <c r="W1468">
        <v>1058385.92898946</v>
      </c>
      <c r="X1468" t="s">
        <v>44</v>
      </c>
      <c r="Y1468">
        <f>1-578-151-1872</f>
        <v>-2600</v>
      </c>
    </row>
    <row r="1469" spans="1:25" x14ac:dyDescent="0.35">
      <c r="A1469">
        <v>40.422780184703797</v>
      </c>
      <c r="B1469">
        <v>-123.05949908478399</v>
      </c>
      <c r="C1469" t="s">
        <v>25</v>
      </c>
      <c r="D1469">
        <v>39.298191685472702</v>
      </c>
      <c r="E1469">
        <v>3</v>
      </c>
      <c r="F1469">
        <v>4753</v>
      </c>
      <c r="G1469">
        <v>5</v>
      </c>
      <c r="H1469">
        <v>2</v>
      </c>
      <c r="I1469">
        <v>2013</v>
      </c>
      <c r="J1469">
        <v>1</v>
      </c>
      <c r="K1469">
        <v>0</v>
      </c>
      <c r="L1469">
        <v>0</v>
      </c>
      <c r="M1469">
        <v>11</v>
      </c>
      <c r="N1469" t="s">
        <v>41</v>
      </c>
      <c r="O1469" t="s">
        <v>27</v>
      </c>
      <c r="P1469">
        <v>9.0510438854770197</v>
      </c>
      <c r="Q1469">
        <v>2.0900683970007101</v>
      </c>
      <c r="R1469">
        <v>5.6510036346005901</v>
      </c>
      <c r="S1469">
        <v>141</v>
      </c>
      <c r="T1469">
        <v>44</v>
      </c>
      <c r="U1469">
        <v>625.03762348922999</v>
      </c>
      <c r="V1469">
        <v>2.3143277929728498E-3</v>
      </c>
      <c r="W1469">
        <v>3356219.6918017799</v>
      </c>
      <c r="X1469" t="s">
        <v>42</v>
      </c>
      <c r="Y1469">
        <f>1-378-562-1643</f>
        <v>-2582</v>
      </c>
    </row>
    <row r="1470" spans="1:25" x14ac:dyDescent="0.35">
      <c r="A1470">
        <v>37.794317973824697</v>
      </c>
      <c r="B1470">
        <v>-114.10600117206999</v>
      </c>
      <c r="C1470" t="s">
        <v>29</v>
      </c>
      <c r="D1470">
        <v>28.207423534815199</v>
      </c>
      <c r="E1470">
        <v>4</v>
      </c>
      <c r="F1470">
        <v>4945</v>
      </c>
      <c r="G1470">
        <v>4</v>
      </c>
      <c r="H1470">
        <v>2</v>
      </c>
      <c r="I1470">
        <v>2020</v>
      </c>
      <c r="J1470">
        <v>0</v>
      </c>
      <c r="K1470">
        <v>1</v>
      </c>
      <c r="L1470">
        <v>0</v>
      </c>
      <c r="M1470">
        <v>3</v>
      </c>
      <c r="N1470" t="s">
        <v>41</v>
      </c>
      <c r="O1470" t="s">
        <v>30</v>
      </c>
      <c r="P1470">
        <v>14.407368768975401</v>
      </c>
      <c r="Q1470">
        <v>0.73159605545805295</v>
      </c>
      <c r="R1470">
        <v>4.9063297103321499</v>
      </c>
      <c r="S1470">
        <v>74</v>
      </c>
      <c r="T1470">
        <v>48</v>
      </c>
      <c r="U1470">
        <v>755.34541791692095</v>
      </c>
      <c r="V1470">
        <v>6.0667340748230502E-4</v>
      </c>
      <c r="W1470">
        <v>4191662.9062941801</v>
      </c>
      <c r="X1470" t="s">
        <v>42</v>
      </c>
      <c r="Y1470">
        <f>1-421-308-1447</f>
        <v>-2175</v>
      </c>
    </row>
    <row r="1471" spans="1:25" x14ac:dyDescent="0.35">
      <c r="A1471">
        <v>35.621261478963604</v>
      </c>
      <c r="B1471">
        <v>-116.287472883131</v>
      </c>
      <c r="C1471" t="s">
        <v>25</v>
      </c>
      <c r="D1471">
        <v>45.355923063271099</v>
      </c>
      <c r="E1471">
        <v>9</v>
      </c>
      <c r="F1471">
        <v>4801</v>
      </c>
      <c r="G1471">
        <v>1</v>
      </c>
      <c r="H1471">
        <v>1</v>
      </c>
      <c r="I1471">
        <v>1967</v>
      </c>
      <c r="J1471">
        <v>1</v>
      </c>
      <c r="K1471">
        <v>0</v>
      </c>
      <c r="L1471">
        <v>0</v>
      </c>
      <c r="M1471">
        <v>6</v>
      </c>
      <c r="N1471" t="s">
        <v>41</v>
      </c>
      <c r="O1471" t="s">
        <v>27</v>
      </c>
      <c r="P1471">
        <v>2.5870017657487701</v>
      </c>
      <c r="Q1471">
        <v>2.0875789050192499</v>
      </c>
      <c r="R1471">
        <v>1.5358925221278501</v>
      </c>
      <c r="S1471">
        <v>118</v>
      </c>
      <c r="T1471">
        <v>38</v>
      </c>
      <c r="U1471">
        <v>383.96266378759998</v>
      </c>
      <c r="V1471">
        <v>1.2497396375754999E-3</v>
      </c>
      <c r="W1471">
        <v>1878906.0867828601</v>
      </c>
      <c r="X1471" t="s">
        <v>28</v>
      </c>
      <c r="Y1471">
        <f>1-800-144-4649</f>
        <v>-5592</v>
      </c>
    </row>
    <row r="1472" spans="1:25" x14ac:dyDescent="0.35">
      <c r="A1472">
        <v>37.845114830962103</v>
      </c>
      <c r="B1472">
        <v>-120.810845224715</v>
      </c>
      <c r="C1472" t="s">
        <v>25</v>
      </c>
      <c r="D1472">
        <v>13.960319165963501</v>
      </c>
      <c r="E1472">
        <v>8</v>
      </c>
      <c r="F1472">
        <v>1027</v>
      </c>
      <c r="G1472">
        <v>1</v>
      </c>
      <c r="H1472">
        <v>3</v>
      </c>
      <c r="I1472">
        <v>1971</v>
      </c>
      <c r="J1472">
        <v>1</v>
      </c>
      <c r="K1472">
        <v>0</v>
      </c>
      <c r="L1472">
        <v>0</v>
      </c>
      <c r="M1472">
        <v>5</v>
      </c>
      <c r="N1472" t="s">
        <v>37</v>
      </c>
      <c r="O1472" t="s">
        <v>32</v>
      </c>
      <c r="P1472">
        <v>3.0118870499995101</v>
      </c>
      <c r="Q1472">
        <v>2.12802121318918</v>
      </c>
      <c r="R1472">
        <v>9.3876591540436607</v>
      </c>
      <c r="S1472">
        <v>25</v>
      </c>
      <c r="T1472">
        <v>76</v>
      </c>
      <c r="U1472">
        <v>383.98180854943899</v>
      </c>
      <c r="V1472">
        <v>4.8685491723466402E-3</v>
      </c>
      <c r="W1472">
        <v>434551.31025645102</v>
      </c>
      <c r="X1472" t="s">
        <v>42</v>
      </c>
      <c r="Y1472">
        <f>1-472-842-6804</f>
        <v>-8117</v>
      </c>
    </row>
    <row r="1473" spans="1:25" x14ac:dyDescent="0.35">
      <c r="A1473">
        <v>35.261673107322402</v>
      </c>
      <c r="B1473">
        <v>-118.020689684684</v>
      </c>
      <c r="C1473" t="s">
        <v>25</v>
      </c>
      <c r="D1473">
        <v>21.088503064532102</v>
      </c>
      <c r="E1473">
        <v>2</v>
      </c>
      <c r="F1473">
        <v>2508</v>
      </c>
      <c r="G1473">
        <v>4</v>
      </c>
      <c r="H1473">
        <v>3</v>
      </c>
      <c r="I1473">
        <v>2018</v>
      </c>
      <c r="J1473">
        <v>1</v>
      </c>
      <c r="K1473">
        <v>1</v>
      </c>
      <c r="L1473">
        <v>0</v>
      </c>
      <c r="M1473">
        <v>12</v>
      </c>
      <c r="N1473" t="s">
        <v>37</v>
      </c>
      <c r="O1473" t="s">
        <v>30</v>
      </c>
      <c r="P1473">
        <v>12.4925245314104</v>
      </c>
      <c r="Q1473">
        <v>2.0656912245884</v>
      </c>
      <c r="R1473">
        <v>8.0624865894267099</v>
      </c>
      <c r="S1473">
        <v>182</v>
      </c>
      <c r="T1473">
        <v>36</v>
      </c>
      <c r="U1473">
        <v>661.95963403056601</v>
      </c>
      <c r="V1473">
        <v>4.78468899521531E-3</v>
      </c>
      <c r="W1473">
        <v>2169136.2421591701</v>
      </c>
      <c r="X1473" t="s">
        <v>31</v>
      </c>
      <c r="Y1473">
        <f>1-996-121-7709</f>
        <v>-8825</v>
      </c>
    </row>
    <row r="1474" spans="1:25" x14ac:dyDescent="0.35">
      <c r="A1474">
        <v>33.537598692367901</v>
      </c>
      <c r="B1474">
        <v>-124.170706018475</v>
      </c>
      <c r="C1474" t="s">
        <v>25</v>
      </c>
      <c r="D1474">
        <v>11.599253133368901</v>
      </c>
      <c r="E1474">
        <v>3</v>
      </c>
      <c r="F1474">
        <v>1341</v>
      </c>
      <c r="G1474">
        <v>4</v>
      </c>
      <c r="H1474">
        <v>3</v>
      </c>
      <c r="I1474">
        <v>2000</v>
      </c>
      <c r="J1474">
        <v>0</v>
      </c>
      <c r="K1474">
        <v>1</v>
      </c>
      <c r="L1474">
        <v>0</v>
      </c>
      <c r="M1474">
        <v>7</v>
      </c>
      <c r="N1474" t="s">
        <v>41</v>
      </c>
      <c r="O1474" t="s">
        <v>32</v>
      </c>
      <c r="P1474">
        <v>14.8620314844721</v>
      </c>
      <c r="Q1474">
        <v>2.3851547466468399</v>
      </c>
      <c r="R1474">
        <v>9.6319829919672095</v>
      </c>
      <c r="S1474">
        <v>111</v>
      </c>
      <c r="T1474">
        <v>66</v>
      </c>
      <c r="U1474">
        <v>751.10705688330904</v>
      </c>
      <c r="V1474">
        <v>5.2199850857568902E-3</v>
      </c>
      <c r="W1474">
        <v>1400596.1895733599</v>
      </c>
      <c r="X1474" t="s">
        <v>36</v>
      </c>
      <c r="Y1474">
        <f>1-543-645-4877</f>
        <v>-6064</v>
      </c>
    </row>
    <row r="1475" spans="1:25" x14ac:dyDescent="0.35">
      <c r="A1475">
        <v>34.970964445595897</v>
      </c>
      <c r="B1475">
        <v>-116.92349609733699</v>
      </c>
      <c r="C1475" t="s">
        <v>25</v>
      </c>
      <c r="D1475">
        <v>24.851595310777501</v>
      </c>
      <c r="E1475">
        <v>3</v>
      </c>
      <c r="F1475">
        <v>2843</v>
      </c>
      <c r="G1475">
        <v>2</v>
      </c>
      <c r="H1475">
        <v>1</v>
      </c>
      <c r="I1475">
        <v>1996</v>
      </c>
      <c r="J1475">
        <v>0</v>
      </c>
      <c r="K1475">
        <v>0</v>
      </c>
      <c r="L1475">
        <v>1</v>
      </c>
      <c r="M1475">
        <v>4</v>
      </c>
      <c r="N1475" t="s">
        <v>41</v>
      </c>
      <c r="O1475" t="s">
        <v>32</v>
      </c>
      <c r="P1475">
        <v>6.0323029281411502</v>
      </c>
      <c r="Q1475">
        <v>1.80349681465955</v>
      </c>
      <c r="R1475">
        <v>2.17596432773255</v>
      </c>
      <c r="S1475">
        <v>104</v>
      </c>
      <c r="T1475">
        <v>55</v>
      </c>
      <c r="U1475">
        <v>936.52509577446494</v>
      </c>
      <c r="V1475">
        <v>1.40696447414702E-3</v>
      </c>
      <c r="W1475">
        <v>2732006.8107549399</v>
      </c>
      <c r="X1475" t="s">
        <v>31</v>
      </c>
      <c r="Y1475">
        <f>1-531-470-6068</f>
        <v>-7068</v>
      </c>
    </row>
    <row r="1476" spans="1:25" x14ac:dyDescent="0.35">
      <c r="A1476">
        <v>34.334808515240297</v>
      </c>
      <c r="B1476">
        <v>-117.98225830920499</v>
      </c>
      <c r="C1476" t="s">
        <v>25</v>
      </c>
      <c r="D1476">
        <v>4.4015947982868697</v>
      </c>
      <c r="E1476">
        <v>1</v>
      </c>
      <c r="F1476">
        <v>2100</v>
      </c>
      <c r="G1476">
        <v>2</v>
      </c>
      <c r="H1476">
        <v>2</v>
      </c>
      <c r="I1476">
        <v>1969</v>
      </c>
      <c r="J1476">
        <v>1</v>
      </c>
      <c r="K1476">
        <v>0</v>
      </c>
      <c r="L1476">
        <v>1</v>
      </c>
      <c r="M1476">
        <v>10</v>
      </c>
      <c r="N1476" t="s">
        <v>35</v>
      </c>
      <c r="O1476" t="s">
        <v>27</v>
      </c>
      <c r="P1476">
        <v>7.8412480767165498</v>
      </c>
      <c r="Q1476">
        <v>2.3755295190849299</v>
      </c>
      <c r="R1476">
        <v>7.0168312701218101</v>
      </c>
      <c r="S1476">
        <v>45</v>
      </c>
      <c r="T1476">
        <v>50</v>
      </c>
      <c r="U1476">
        <v>690.23790178421405</v>
      </c>
      <c r="V1476">
        <v>4.7619047619047597E-3</v>
      </c>
      <c r="W1476">
        <v>1619663.2823898899</v>
      </c>
      <c r="X1476" t="s">
        <v>33</v>
      </c>
      <c r="Y1476">
        <f>1-794-676-3300</f>
        <v>-4769</v>
      </c>
    </row>
    <row r="1477" spans="1:25" x14ac:dyDescent="0.35">
      <c r="A1477">
        <v>35.422172539739897</v>
      </c>
      <c r="B1477">
        <v>-114.39108044280501</v>
      </c>
      <c r="C1477" t="s">
        <v>29</v>
      </c>
      <c r="D1477">
        <v>11.8091564545149</v>
      </c>
      <c r="E1477">
        <v>1</v>
      </c>
      <c r="F1477">
        <v>2729</v>
      </c>
      <c r="G1477">
        <v>1</v>
      </c>
      <c r="H1477">
        <v>2</v>
      </c>
      <c r="I1477">
        <v>2017</v>
      </c>
      <c r="J1477">
        <v>1</v>
      </c>
      <c r="K1477">
        <v>1</v>
      </c>
      <c r="L1477">
        <v>0</v>
      </c>
      <c r="M1477">
        <v>13</v>
      </c>
      <c r="N1477" t="s">
        <v>37</v>
      </c>
      <c r="O1477" t="s">
        <v>30</v>
      </c>
      <c r="P1477">
        <v>7.9774265248042404</v>
      </c>
      <c r="Q1477">
        <v>1.0200349283122001</v>
      </c>
      <c r="R1477">
        <v>4.3642510659146696</v>
      </c>
      <c r="S1477">
        <v>119</v>
      </c>
      <c r="T1477">
        <v>56</v>
      </c>
      <c r="U1477">
        <v>909.88419023751499</v>
      </c>
      <c r="V1477">
        <v>4.7636496885305902E-3</v>
      </c>
      <c r="W1477">
        <v>2758527.9468654599</v>
      </c>
      <c r="X1477" t="s">
        <v>42</v>
      </c>
      <c r="Y1477">
        <f>1-552-422-8515</f>
        <v>-9488</v>
      </c>
    </row>
    <row r="1478" spans="1:25" x14ac:dyDescent="0.35">
      <c r="A1478">
        <v>38.198086299931902</v>
      </c>
      <c r="B1478">
        <v>-121.96911164668499</v>
      </c>
      <c r="C1478" t="s">
        <v>29</v>
      </c>
      <c r="D1478">
        <v>45.047626605444101</v>
      </c>
      <c r="E1478">
        <v>1</v>
      </c>
      <c r="F1478">
        <v>1828</v>
      </c>
      <c r="G1478">
        <v>2</v>
      </c>
      <c r="H1478">
        <v>1</v>
      </c>
      <c r="I1478">
        <v>2012</v>
      </c>
      <c r="J1478">
        <v>1</v>
      </c>
      <c r="K1478">
        <v>1</v>
      </c>
      <c r="L1478">
        <v>0</v>
      </c>
      <c r="M1478">
        <v>12</v>
      </c>
      <c r="N1478" t="s">
        <v>41</v>
      </c>
      <c r="O1478" t="s">
        <v>27</v>
      </c>
      <c r="P1478">
        <v>14.1928426935369</v>
      </c>
      <c r="Q1478">
        <v>0.88711985036410002</v>
      </c>
      <c r="R1478">
        <v>0.38893024490094702</v>
      </c>
      <c r="S1478">
        <v>149</v>
      </c>
      <c r="T1478">
        <v>45</v>
      </c>
      <c r="U1478">
        <v>827.28245028389301</v>
      </c>
      <c r="V1478">
        <v>6.5645514223194703E-3</v>
      </c>
      <c r="W1478">
        <v>1859656.9740023899</v>
      </c>
      <c r="X1478" t="s">
        <v>33</v>
      </c>
      <c r="Y1478">
        <f>1-628-596-3647</f>
        <v>-4870</v>
      </c>
    </row>
    <row r="1479" spans="1:25" x14ac:dyDescent="0.35">
      <c r="A1479">
        <v>38.605578645965402</v>
      </c>
      <c r="B1479">
        <v>-117.111097127205</v>
      </c>
      <c r="C1479" t="s">
        <v>34</v>
      </c>
      <c r="D1479">
        <v>4.4024997177657896</v>
      </c>
      <c r="E1479">
        <v>2</v>
      </c>
      <c r="F1479">
        <v>3347</v>
      </c>
      <c r="G1479">
        <v>5</v>
      </c>
      <c r="H1479">
        <v>3</v>
      </c>
      <c r="I1479">
        <v>1989</v>
      </c>
      <c r="J1479">
        <v>0</v>
      </c>
      <c r="K1479">
        <v>0</v>
      </c>
      <c r="L1479">
        <v>0</v>
      </c>
      <c r="M1479">
        <v>10</v>
      </c>
      <c r="N1479" t="s">
        <v>37</v>
      </c>
      <c r="O1479" t="s">
        <v>27</v>
      </c>
      <c r="P1479">
        <v>14.672410286284</v>
      </c>
      <c r="Q1479">
        <v>1.30456340797885</v>
      </c>
      <c r="R1479">
        <v>0.17860741781405201</v>
      </c>
      <c r="S1479">
        <v>170</v>
      </c>
      <c r="T1479">
        <v>73</v>
      </c>
      <c r="U1479">
        <v>984.04124521101596</v>
      </c>
      <c r="V1479">
        <v>2.98775022408126E-3</v>
      </c>
      <c r="W1479">
        <v>3722082.87967879</v>
      </c>
      <c r="X1479" t="s">
        <v>28</v>
      </c>
      <c r="Y1479">
        <f>1-296-245-9958</f>
        <v>-10498</v>
      </c>
    </row>
    <row r="1480" spans="1:25" x14ac:dyDescent="0.35">
      <c r="A1480">
        <v>35.451245437471002</v>
      </c>
      <c r="B1480">
        <v>-121.851711591149</v>
      </c>
      <c r="C1480" t="s">
        <v>25</v>
      </c>
      <c r="D1480">
        <v>15.338128808235</v>
      </c>
      <c r="E1480">
        <v>3</v>
      </c>
      <c r="F1480">
        <v>2394</v>
      </c>
      <c r="G1480">
        <v>2</v>
      </c>
      <c r="H1480">
        <v>1</v>
      </c>
      <c r="I1480">
        <v>1954</v>
      </c>
      <c r="J1480">
        <v>1</v>
      </c>
      <c r="K1480">
        <v>0</v>
      </c>
      <c r="L1480">
        <v>1</v>
      </c>
      <c r="M1480">
        <v>3</v>
      </c>
      <c r="N1480" t="s">
        <v>26</v>
      </c>
      <c r="O1480" t="s">
        <v>27</v>
      </c>
      <c r="P1480">
        <v>2.4615945903125298</v>
      </c>
      <c r="Q1480">
        <v>1.42001479666428</v>
      </c>
      <c r="R1480">
        <v>1.6456959735035099</v>
      </c>
      <c r="S1480">
        <v>14</v>
      </c>
      <c r="T1480">
        <v>58</v>
      </c>
      <c r="U1480">
        <v>945.239185006414</v>
      </c>
      <c r="V1480">
        <v>1.2531328320802E-3</v>
      </c>
      <c r="W1480">
        <v>2457678.0760747702</v>
      </c>
      <c r="X1480" t="s">
        <v>28</v>
      </c>
      <c r="Y1480">
        <f>1-682-845-9739</f>
        <v>-11265</v>
      </c>
    </row>
    <row r="1481" spans="1:25" x14ac:dyDescent="0.35">
      <c r="A1481">
        <v>35.4090657181602</v>
      </c>
      <c r="B1481">
        <v>-116.346599281195</v>
      </c>
      <c r="C1481" t="s">
        <v>34</v>
      </c>
      <c r="D1481">
        <v>31.476609113349401</v>
      </c>
      <c r="E1481">
        <v>3</v>
      </c>
      <c r="F1481">
        <v>3127</v>
      </c>
      <c r="G1481">
        <v>4</v>
      </c>
      <c r="H1481">
        <v>1</v>
      </c>
      <c r="I1481">
        <v>1978</v>
      </c>
      <c r="J1481">
        <v>1</v>
      </c>
      <c r="K1481">
        <v>0</v>
      </c>
      <c r="L1481">
        <v>0</v>
      </c>
      <c r="M1481">
        <v>7</v>
      </c>
      <c r="N1481" t="s">
        <v>35</v>
      </c>
      <c r="O1481" t="s">
        <v>27</v>
      </c>
      <c r="P1481">
        <v>8.7659973829084894</v>
      </c>
      <c r="Q1481">
        <v>1.52705814690719</v>
      </c>
      <c r="R1481">
        <v>8.0901658850777896</v>
      </c>
      <c r="S1481">
        <v>196</v>
      </c>
      <c r="T1481">
        <v>74</v>
      </c>
      <c r="U1481">
        <v>587.75474929152597</v>
      </c>
      <c r="V1481">
        <v>2.2385673169171699E-3</v>
      </c>
      <c r="W1481">
        <v>1999014.36518146</v>
      </c>
      <c r="X1481" t="s">
        <v>38</v>
      </c>
      <c r="Y1481">
        <f>1-805-306-2536</f>
        <v>-3646</v>
      </c>
    </row>
    <row r="1482" spans="1:25" x14ac:dyDescent="0.35">
      <c r="A1482">
        <v>36.942025495021099</v>
      </c>
      <c r="B1482">
        <v>-116.14562072639799</v>
      </c>
      <c r="C1482" t="s">
        <v>34</v>
      </c>
      <c r="D1482">
        <v>32.319166043305799</v>
      </c>
      <c r="E1482">
        <v>3</v>
      </c>
      <c r="F1482">
        <v>4609</v>
      </c>
      <c r="G1482">
        <v>3</v>
      </c>
      <c r="H1482">
        <v>1</v>
      </c>
      <c r="I1482">
        <v>2021</v>
      </c>
      <c r="J1482">
        <v>0</v>
      </c>
      <c r="K1482">
        <v>0</v>
      </c>
      <c r="L1482">
        <v>0</v>
      </c>
      <c r="M1482">
        <v>4</v>
      </c>
      <c r="N1482" t="s">
        <v>41</v>
      </c>
      <c r="O1482" t="s">
        <v>30</v>
      </c>
      <c r="P1482">
        <v>3.1851448327453502</v>
      </c>
      <c r="Q1482">
        <v>1.35832312698006</v>
      </c>
      <c r="R1482">
        <v>7.8945067312019503</v>
      </c>
      <c r="S1482">
        <v>141</v>
      </c>
      <c r="T1482">
        <v>61</v>
      </c>
      <c r="U1482">
        <v>870.03965359568701</v>
      </c>
      <c r="V1482">
        <v>8.6786721631590305E-4</v>
      </c>
      <c r="W1482">
        <v>4194166.5195470098</v>
      </c>
      <c r="X1482" t="s">
        <v>36</v>
      </c>
      <c r="Y1482">
        <f>1-777-175-8213</f>
        <v>-9164</v>
      </c>
    </row>
    <row r="1483" spans="1:25" x14ac:dyDescent="0.35">
      <c r="A1483">
        <v>34.8407158817271</v>
      </c>
      <c r="B1483">
        <v>-119.552966232714</v>
      </c>
      <c r="C1483" t="s">
        <v>29</v>
      </c>
      <c r="D1483">
        <v>15.783872460835401</v>
      </c>
      <c r="E1483">
        <v>7</v>
      </c>
      <c r="F1483">
        <v>2642</v>
      </c>
      <c r="G1483">
        <v>4</v>
      </c>
      <c r="H1483">
        <v>1</v>
      </c>
      <c r="I1483">
        <v>1968</v>
      </c>
      <c r="J1483">
        <v>0</v>
      </c>
      <c r="K1483">
        <v>0</v>
      </c>
      <c r="L1483">
        <v>1</v>
      </c>
      <c r="M1483">
        <v>13</v>
      </c>
      <c r="N1483" t="s">
        <v>35</v>
      </c>
      <c r="O1483" t="s">
        <v>32</v>
      </c>
      <c r="P1483">
        <v>2.5395494741246498</v>
      </c>
      <c r="Q1483">
        <v>2.0165404466778498</v>
      </c>
      <c r="R1483">
        <v>3.8643046179972802</v>
      </c>
      <c r="S1483">
        <v>0</v>
      </c>
      <c r="T1483">
        <v>52</v>
      </c>
      <c r="U1483">
        <v>239.729913251043</v>
      </c>
      <c r="V1483">
        <v>4.9205147615442799E-3</v>
      </c>
      <c r="W1483">
        <v>875434.46131203801</v>
      </c>
      <c r="X1483" t="s">
        <v>39</v>
      </c>
      <c r="Y1483">
        <f>1-938-699-5861</f>
        <v>-7497</v>
      </c>
    </row>
    <row r="1484" spans="1:25" x14ac:dyDescent="0.35">
      <c r="A1484">
        <v>33.746426680329897</v>
      </c>
      <c r="B1484">
        <v>-122.783523284984</v>
      </c>
      <c r="C1484" t="s">
        <v>29</v>
      </c>
      <c r="D1484">
        <v>18.714516491871901</v>
      </c>
      <c r="E1484">
        <v>4</v>
      </c>
      <c r="F1484">
        <v>3705</v>
      </c>
      <c r="G1484">
        <v>1</v>
      </c>
      <c r="H1484">
        <v>3</v>
      </c>
      <c r="I1484">
        <v>2014</v>
      </c>
      <c r="J1484">
        <v>1</v>
      </c>
      <c r="K1484">
        <v>0</v>
      </c>
      <c r="L1484">
        <v>0</v>
      </c>
      <c r="M1484">
        <v>5</v>
      </c>
      <c r="N1484" t="s">
        <v>26</v>
      </c>
      <c r="O1484" t="s">
        <v>27</v>
      </c>
      <c r="P1484">
        <v>14.797426493375699</v>
      </c>
      <c r="Q1484">
        <v>0.56944338965079599</v>
      </c>
      <c r="R1484">
        <v>3.6155446766413299</v>
      </c>
      <c r="S1484">
        <v>190</v>
      </c>
      <c r="T1484">
        <v>55</v>
      </c>
      <c r="U1484">
        <v>678.79399836945402</v>
      </c>
      <c r="V1484">
        <v>1.3495276653171301E-3</v>
      </c>
      <c r="W1484">
        <v>2833071.4472415899</v>
      </c>
      <c r="X1484" t="s">
        <v>36</v>
      </c>
      <c r="Y1484">
        <f>1-495-447-4054</f>
        <v>-4995</v>
      </c>
    </row>
    <row r="1485" spans="1:25" x14ac:dyDescent="0.35">
      <c r="A1485">
        <v>38.8852737240327</v>
      </c>
      <c r="B1485">
        <v>-121.832974317779</v>
      </c>
      <c r="C1485" t="s">
        <v>34</v>
      </c>
      <c r="D1485">
        <v>16.1999182328925</v>
      </c>
      <c r="E1485">
        <v>1</v>
      </c>
      <c r="F1485">
        <v>2131</v>
      </c>
      <c r="G1485">
        <v>2</v>
      </c>
      <c r="H1485">
        <v>2</v>
      </c>
      <c r="I1485">
        <v>1952</v>
      </c>
      <c r="J1485">
        <v>0</v>
      </c>
      <c r="K1485">
        <v>0</v>
      </c>
      <c r="L1485">
        <v>0</v>
      </c>
      <c r="M1485">
        <v>8</v>
      </c>
      <c r="N1485" t="s">
        <v>37</v>
      </c>
      <c r="O1485" t="s">
        <v>32</v>
      </c>
      <c r="P1485">
        <v>4.1576791798030301</v>
      </c>
      <c r="Q1485">
        <v>1.52500041267618</v>
      </c>
      <c r="R1485">
        <v>8.8679626561824403</v>
      </c>
      <c r="S1485">
        <v>184</v>
      </c>
      <c r="T1485">
        <v>53</v>
      </c>
      <c r="U1485">
        <v>979.068454854881</v>
      </c>
      <c r="V1485">
        <v>3.7541060534960098E-3</v>
      </c>
      <c r="W1485">
        <v>2085240.1274192501</v>
      </c>
      <c r="X1485" t="s">
        <v>33</v>
      </c>
      <c r="Y1485">
        <f>1-361-518-7577</f>
        <v>-8455</v>
      </c>
    </row>
    <row r="1486" spans="1:25" x14ac:dyDescent="0.35">
      <c r="A1486">
        <v>41.045138148533397</v>
      </c>
      <c r="B1486">
        <v>-120.42264826974601</v>
      </c>
      <c r="C1486" t="s">
        <v>29</v>
      </c>
      <c r="D1486">
        <v>2.1652806562114999</v>
      </c>
      <c r="E1486">
        <v>2</v>
      </c>
      <c r="F1486">
        <v>4947</v>
      </c>
      <c r="G1486">
        <v>2</v>
      </c>
      <c r="H1486">
        <v>3</v>
      </c>
      <c r="I1486">
        <v>1960</v>
      </c>
      <c r="J1486">
        <v>0</v>
      </c>
      <c r="K1486">
        <v>1</v>
      </c>
      <c r="L1486">
        <v>0</v>
      </c>
      <c r="M1486">
        <v>9</v>
      </c>
      <c r="N1486" t="s">
        <v>41</v>
      </c>
      <c r="O1486" t="s">
        <v>27</v>
      </c>
      <c r="P1486">
        <v>6.3927217665750797</v>
      </c>
      <c r="Q1486">
        <v>1.56162415403917</v>
      </c>
      <c r="R1486">
        <v>4.3887982453195296</v>
      </c>
      <c r="S1486">
        <v>10</v>
      </c>
      <c r="T1486">
        <v>68</v>
      </c>
      <c r="U1486">
        <v>952.44335055572799</v>
      </c>
      <c r="V1486">
        <v>1.8192844147968399E-3</v>
      </c>
      <c r="W1486">
        <v>4882444.4476731</v>
      </c>
      <c r="X1486" t="s">
        <v>36</v>
      </c>
      <c r="Y1486">
        <f>1-891-439-6953</f>
        <v>-8282</v>
      </c>
    </row>
    <row r="1487" spans="1:25" x14ac:dyDescent="0.35">
      <c r="A1487">
        <v>32.720481466555398</v>
      </c>
      <c r="B1487">
        <v>-118.303793852273</v>
      </c>
      <c r="C1487" t="s">
        <v>29</v>
      </c>
      <c r="D1487">
        <v>27.506422751090799</v>
      </c>
      <c r="E1487">
        <v>3</v>
      </c>
      <c r="F1487">
        <v>2006</v>
      </c>
      <c r="G1487">
        <v>2</v>
      </c>
      <c r="H1487">
        <v>1</v>
      </c>
      <c r="I1487">
        <v>1952</v>
      </c>
      <c r="J1487">
        <v>0</v>
      </c>
      <c r="K1487">
        <v>0</v>
      </c>
      <c r="L1487">
        <v>1</v>
      </c>
      <c r="M1487">
        <v>13</v>
      </c>
      <c r="N1487" t="s">
        <v>35</v>
      </c>
      <c r="O1487" t="s">
        <v>32</v>
      </c>
      <c r="P1487">
        <v>5.0466074880269698</v>
      </c>
      <c r="Q1487">
        <v>1.6056316480508199</v>
      </c>
      <c r="R1487">
        <v>1.4116737177547101</v>
      </c>
      <c r="S1487">
        <v>178</v>
      </c>
      <c r="T1487">
        <v>74</v>
      </c>
      <c r="U1487">
        <v>668.64332802879596</v>
      </c>
      <c r="V1487">
        <v>6.4805583250249202E-3</v>
      </c>
      <c r="W1487">
        <v>1387780.7443353999</v>
      </c>
      <c r="X1487" t="s">
        <v>38</v>
      </c>
      <c r="Y1487">
        <f>1-541-486-1746</f>
        <v>-2772</v>
      </c>
    </row>
    <row r="1488" spans="1:25" x14ac:dyDescent="0.35">
      <c r="A1488">
        <v>35.984858701361397</v>
      </c>
      <c r="B1488">
        <v>-114.66816793004099</v>
      </c>
      <c r="C1488" t="s">
        <v>34</v>
      </c>
      <c r="D1488">
        <v>21.089042452532698</v>
      </c>
      <c r="E1488">
        <v>7</v>
      </c>
      <c r="F1488">
        <v>2218</v>
      </c>
      <c r="G1488">
        <v>3</v>
      </c>
      <c r="H1488">
        <v>2</v>
      </c>
      <c r="I1488">
        <v>1963</v>
      </c>
      <c r="J1488">
        <v>1</v>
      </c>
      <c r="K1488">
        <v>0</v>
      </c>
      <c r="L1488">
        <v>1</v>
      </c>
      <c r="M1488">
        <v>13</v>
      </c>
      <c r="N1488" t="s">
        <v>37</v>
      </c>
      <c r="O1488" t="s">
        <v>30</v>
      </c>
      <c r="P1488">
        <v>4.1287104066417299</v>
      </c>
      <c r="Q1488">
        <v>1.8671145480482001</v>
      </c>
      <c r="R1488">
        <v>1.2724169918831201</v>
      </c>
      <c r="S1488">
        <v>30</v>
      </c>
      <c r="T1488">
        <v>50</v>
      </c>
      <c r="U1488">
        <v>409.45576406785602</v>
      </c>
      <c r="V1488">
        <v>5.8611361587015296E-3</v>
      </c>
      <c r="W1488">
        <v>1121222.2046614599</v>
      </c>
      <c r="X1488" t="s">
        <v>28</v>
      </c>
      <c r="Y1488">
        <f>1-789-275-8707</f>
        <v>-9770</v>
      </c>
    </row>
    <row r="1489" spans="1:25" x14ac:dyDescent="0.35">
      <c r="A1489">
        <v>40.680191124858901</v>
      </c>
      <c r="B1489">
        <v>-116.51549119873199</v>
      </c>
      <c r="C1489" t="s">
        <v>34</v>
      </c>
      <c r="D1489">
        <v>49.982254441627397</v>
      </c>
      <c r="E1489">
        <v>3</v>
      </c>
      <c r="F1489">
        <v>816</v>
      </c>
      <c r="G1489">
        <v>4</v>
      </c>
      <c r="H1489">
        <v>3</v>
      </c>
      <c r="I1489">
        <v>1961</v>
      </c>
      <c r="J1489">
        <v>0</v>
      </c>
      <c r="K1489">
        <v>0</v>
      </c>
      <c r="L1489">
        <v>1</v>
      </c>
      <c r="M1489">
        <v>9</v>
      </c>
      <c r="N1489" t="s">
        <v>37</v>
      </c>
      <c r="O1489" t="s">
        <v>30</v>
      </c>
      <c r="P1489">
        <v>4.6838666954117398</v>
      </c>
      <c r="Q1489">
        <v>1.0258792010539199</v>
      </c>
      <c r="R1489">
        <v>2.57583181518328</v>
      </c>
      <c r="S1489">
        <v>146</v>
      </c>
      <c r="T1489">
        <v>30</v>
      </c>
      <c r="U1489">
        <v>470.85694614115903</v>
      </c>
      <c r="V1489">
        <v>1.10294117647058E-2</v>
      </c>
      <c r="W1489">
        <v>575922.18021808704</v>
      </c>
      <c r="X1489" t="s">
        <v>42</v>
      </c>
      <c r="Y1489">
        <f>1-684-171-9497</f>
        <v>-10351</v>
      </c>
    </row>
    <row r="1490" spans="1:25" x14ac:dyDescent="0.35">
      <c r="A1490">
        <v>33.96405486447</v>
      </c>
      <c r="B1490">
        <v>-119.79543455638</v>
      </c>
      <c r="C1490" t="s">
        <v>34</v>
      </c>
      <c r="D1490">
        <v>21.731218422101598</v>
      </c>
      <c r="E1490">
        <v>9</v>
      </c>
      <c r="F1490">
        <v>2218</v>
      </c>
      <c r="G1490">
        <v>4</v>
      </c>
      <c r="H1490">
        <v>3</v>
      </c>
      <c r="I1490">
        <v>1995</v>
      </c>
      <c r="J1490">
        <v>0</v>
      </c>
      <c r="K1490">
        <v>1</v>
      </c>
      <c r="L1490">
        <v>0</v>
      </c>
      <c r="M1490">
        <v>12</v>
      </c>
      <c r="N1490" t="s">
        <v>26</v>
      </c>
      <c r="O1490" t="s">
        <v>32</v>
      </c>
      <c r="P1490">
        <v>8.0888347289990694</v>
      </c>
      <c r="Q1490">
        <v>1.4195631982857599</v>
      </c>
      <c r="R1490">
        <v>6.8229655390399202</v>
      </c>
      <c r="S1490">
        <v>170</v>
      </c>
      <c r="T1490">
        <v>66</v>
      </c>
      <c r="U1490">
        <v>472.95710286498598</v>
      </c>
      <c r="V1490">
        <v>5.4102795311090999E-3</v>
      </c>
      <c r="W1490">
        <v>1393825.40840288</v>
      </c>
      <c r="X1490" t="s">
        <v>36</v>
      </c>
      <c r="Y1490">
        <f>1-548-771-1248</f>
        <v>-2566</v>
      </c>
    </row>
    <row r="1491" spans="1:25" x14ac:dyDescent="0.35">
      <c r="A1491">
        <v>40.315404916152801</v>
      </c>
      <c r="B1491">
        <v>-123.08527456862301</v>
      </c>
      <c r="C1491" t="s">
        <v>29</v>
      </c>
      <c r="D1491">
        <v>12.930266931552501</v>
      </c>
      <c r="E1491">
        <v>9</v>
      </c>
      <c r="F1491">
        <v>1696</v>
      </c>
      <c r="G1491">
        <v>4</v>
      </c>
      <c r="H1491">
        <v>1</v>
      </c>
      <c r="I1491">
        <v>2021</v>
      </c>
      <c r="J1491">
        <v>0</v>
      </c>
      <c r="K1491">
        <v>0</v>
      </c>
      <c r="L1491">
        <v>1</v>
      </c>
      <c r="M1491">
        <v>4</v>
      </c>
      <c r="N1491" t="s">
        <v>41</v>
      </c>
      <c r="O1491" t="s">
        <v>27</v>
      </c>
      <c r="P1491">
        <v>14.4525993647663</v>
      </c>
      <c r="Q1491">
        <v>1.4740740635348599</v>
      </c>
      <c r="R1491">
        <v>3.9902384745143999</v>
      </c>
      <c r="S1491">
        <v>145</v>
      </c>
      <c r="T1491">
        <v>50</v>
      </c>
      <c r="U1491">
        <v>221.839697860596</v>
      </c>
      <c r="V1491">
        <v>2.3584905660377301E-3</v>
      </c>
      <c r="W1491">
        <v>745922.76217344799</v>
      </c>
      <c r="X1491" t="s">
        <v>28</v>
      </c>
      <c r="Y1491">
        <f>1-808-832-3324</f>
        <v>-4963</v>
      </c>
    </row>
    <row r="1492" spans="1:25" x14ac:dyDescent="0.35">
      <c r="A1492">
        <v>33.8228760635008</v>
      </c>
      <c r="B1492">
        <v>-121.61776533218701</v>
      </c>
      <c r="C1492" t="s">
        <v>29</v>
      </c>
      <c r="D1492">
        <v>2.1873465993961498</v>
      </c>
      <c r="E1492">
        <v>4</v>
      </c>
      <c r="F1492">
        <v>3981</v>
      </c>
      <c r="G1492">
        <v>5</v>
      </c>
      <c r="H1492">
        <v>2</v>
      </c>
      <c r="I1492">
        <v>1991</v>
      </c>
      <c r="J1492">
        <v>1</v>
      </c>
      <c r="K1492">
        <v>1</v>
      </c>
      <c r="L1492">
        <v>0</v>
      </c>
      <c r="M1492">
        <v>8</v>
      </c>
      <c r="N1492" t="s">
        <v>37</v>
      </c>
      <c r="O1492" t="s">
        <v>32</v>
      </c>
      <c r="P1492">
        <v>12.582686188706299</v>
      </c>
      <c r="Q1492">
        <v>2.4823018365505898</v>
      </c>
      <c r="R1492">
        <v>3.8728225436763801</v>
      </c>
      <c r="S1492">
        <v>17</v>
      </c>
      <c r="T1492">
        <v>22</v>
      </c>
      <c r="U1492">
        <v>205.71724383749299</v>
      </c>
      <c r="V1492">
        <v>2.0095453403667402E-3</v>
      </c>
      <c r="W1492">
        <v>1344963.2295148701</v>
      </c>
      <c r="X1492" t="s">
        <v>28</v>
      </c>
      <c r="Y1492">
        <f>1-555-783-5716</f>
        <v>-7053</v>
      </c>
    </row>
    <row r="1493" spans="1:25" x14ac:dyDescent="0.35">
      <c r="A1493">
        <v>41.382599927502099</v>
      </c>
      <c r="B1493">
        <v>-116.196282844737</v>
      </c>
      <c r="C1493" t="s">
        <v>25</v>
      </c>
      <c r="D1493">
        <v>25.539422406019298</v>
      </c>
      <c r="E1493">
        <v>9</v>
      </c>
      <c r="F1493">
        <v>1188</v>
      </c>
      <c r="G1493">
        <v>1</v>
      </c>
      <c r="H1493">
        <v>1</v>
      </c>
      <c r="I1493">
        <v>1994</v>
      </c>
      <c r="J1493">
        <v>0</v>
      </c>
      <c r="K1493">
        <v>0</v>
      </c>
      <c r="L1493">
        <v>0</v>
      </c>
      <c r="M1493">
        <v>12</v>
      </c>
      <c r="N1493" t="s">
        <v>41</v>
      </c>
      <c r="O1493" t="s">
        <v>30</v>
      </c>
      <c r="P1493">
        <v>3.68416086912459</v>
      </c>
      <c r="Q1493">
        <v>0.64768623396388003</v>
      </c>
      <c r="R1493">
        <v>4.0788282021269904</v>
      </c>
      <c r="S1493">
        <v>55</v>
      </c>
      <c r="T1493">
        <v>74</v>
      </c>
      <c r="U1493">
        <v>819.18295167729696</v>
      </c>
      <c r="V1493">
        <v>1.01010101010101E-2</v>
      </c>
      <c r="W1493">
        <v>1032732.37825195</v>
      </c>
      <c r="X1493" t="s">
        <v>38</v>
      </c>
      <c r="Y1493">
        <f>1-300-423-8035</f>
        <v>-8757</v>
      </c>
    </row>
    <row r="1494" spans="1:25" x14ac:dyDescent="0.35">
      <c r="A1494">
        <v>39.7362402664154</v>
      </c>
      <c r="B1494">
        <v>-118.690881747359</v>
      </c>
      <c r="C1494" t="s">
        <v>25</v>
      </c>
      <c r="D1494">
        <v>35.979968880610897</v>
      </c>
      <c r="E1494">
        <v>3</v>
      </c>
      <c r="F1494">
        <v>4095</v>
      </c>
      <c r="G1494">
        <v>2</v>
      </c>
      <c r="H1494">
        <v>1</v>
      </c>
      <c r="I1494">
        <v>1963</v>
      </c>
      <c r="J1494">
        <v>1</v>
      </c>
      <c r="K1494">
        <v>0</v>
      </c>
      <c r="L1494">
        <v>0</v>
      </c>
      <c r="M1494">
        <v>9</v>
      </c>
      <c r="N1494" t="s">
        <v>35</v>
      </c>
      <c r="O1494" t="s">
        <v>27</v>
      </c>
      <c r="P1494">
        <v>13.7587420507475</v>
      </c>
      <c r="Q1494">
        <v>1.4814317943853901</v>
      </c>
      <c r="R1494">
        <v>6.4879513124251096</v>
      </c>
      <c r="S1494">
        <v>14</v>
      </c>
      <c r="T1494">
        <v>61</v>
      </c>
      <c r="U1494">
        <v>633.93839352787597</v>
      </c>
      <c r="V1494">
        <v>2.19780219780219E-3</v>
      </c>
      <c r="W1494">
        <v>2843357.0741374199</v>
      </c>
      <c r="X1494" t="s">
        <v>42</v>
      </c>
      <c r="Y1494">
        <f>1-270-454-1385</f>
        <v>-2108</v>
      </c>
    </row>
    <row r="1495" spans="1:25" x14ac:dyDescent="0.35">
      <c r="A1495">
        <v>37.8342043783626</v>
      </c>
      <c r="B1495">
        <v>-123.28135137701901</v>
      </c>
      <c r="C1495" t="s">
        <v>34</v>
      </c>
      <c r="D1495">
        <v>33.553462154636101</v>
      </c>
      <c r="E1495">
        <v>4</v>
      </c>
      <c r="F1495">
        <v>1099</v>
      </c>
      <c r="G1495">
        <v>3</v>
      </c>
      <c r="H1495">
        <v>1</v>
      </c>
      <c r="I1495">
        <v>1961</v>
      </c>
      <c r="J1495">
        <v>1</v>
      </c>
      <c r="K1495">
        <v>1</v>
      </c>
      <c r="L1495">
        <v>1</v>
      </c>
      <c r="M1495">
        <v>4</v>
      </c>
      <c r="N1495" t="s">
        <v>37</v>
      </c>
      <c r="O1495" t="s">
        <v>27</v>
      </c>
      <c r="P1495">
        <v>5.8736428405750098</v>
      </c>
      <c r="Q1495">
        <v>1.77887460289465</v>
      </c>
      <c r="R1495">
        <v>9.6223811257924492</v>
      </c>
      <c r="S1495">
        <v>79</v>
      </c>
      <c r="T1495">
        <v>72</v>
      </c>
      <c r="U1495">
        <v>823.01084432118796</v>
      </c>
      <c r="V1495">
        <v>3.6396724294813399E-3</v>
      </c>
      <c r="W1495">
        <v>1266579.2015762799</v>
      </c>
      <c r="X1495" t="s">
        <v>44</v>
      </c>
      <c r="Y1495">
        <f>1-535-786-5053</f>
        <v>-6373</v>
      </c>
    </row>
    <row r="1496" spans="1:25" x14ac:dyDescent="0.35">
      <c r="A1496">
        <v>38.696700570807501</v>
      </c>
      <c r="B1496">
        <v>-122.62536638745</v>
      </c>
      <c r="C1496" t="s">
        <v>34</v>
      </c>
      <c r="D1496">
        <v>18.179470438272102</v>
      </c>
      <c r="E1496">
        <v>2</v>
      </c>
      <c r="F1496">
        <v>2647</v>
      </c>
      <c r="G1496">
        <v>1</v>
      </c>
      <c r="H1496">
        <v>2</v>
      </c>
      <c r="I1496">
        <v>1992</v>
      </c>
      <c r="J1496">
        <v>1</v>
      </c>
      <c r="K1496">
        <v>1</v>
      </c>
      <c r="L1496">
        <v>1</v>
      </c>
      <c r="M1496">
        <v>5</v>
      </c>
      <c r="N1496" t="s">
        <v>41</v>
      </c>
      <c r="O1496" t="s">
        <v>30</v>
      </c>
      <c r="P1496">
        <v>7.7399157512084296</v>
      </c>
      <c r="Q1496">
        <v>0.87396564907145902</v>
      </c>
      <c r="R1496">
        <v>8.9840900550813494</v>
      </c>
      <c r="S1496">
        <v>106</v>
      </c>
      <c r="T1496">
        <v>64</v>
      </c>
      <c r="U1496">
        <v>655.56303616787102</v>
      </c>
      <c r="V1496">
        <v>1.88893086513033E-3</v>
      </c>
      <c r="W1496">
        <v>2015183.2521915899</v>
      </c>
      <c r="X1496" t="s">
        <v>31</v>
      </c>
      <c r="Y1496">
        <f>1-249-122-4729</f>
        <v>-5099</v>
      </c>
    </row>
    <row r="1497" spans="1:25" x14ac:dyDescent="0.35">
      <c r="A1497">
        <v>33.170686137395997</v>
      </c>
      <c r="B1497">
        <v>-119.19936684838601</v>
      </c>
      <c r="C1497" t="s">
        <v>29</v>
      </c>
      <c r="D1497">
        <v>41.870853706418302</v>
      </c>
      <c r="E1497">
        <v>9</v>
      </c>
      <c r="F1497">
        <v>2018</v>
      </c>
      <c r="G1497">
        <v>4</v>
      </c>
      <c r="H1497">
        <v>3</v>
      </c>
      <c r="I1497">
        <v>2018</v>
      </c>
      <c r="J1497">
        <v>1</v>
      </c>
      <c r="K1497">
        <v>0</v>
      </c>
      <c r="L1497">
        <v>1</v>
      </c>
      <c r="M1497">
        <v>5</v>
      </c>
      <c r="N1497" t="s">
        <v>26</v>
      </c>
      <c r="O1497" t="s">
        <v>32</v>
      </c>
      <c r="P1497">
        <v>8.7259475346878492</v>
      </c>
      <c r="Q1497">
        <v>2.4106114932114999</v>
      </c>
      <c r="R1497">
        <v>7.6511128943365598</v>
      </c>
      <c r="S1497">
        <v>160</v>
      </c>
      <c r="T1497">
        <v>29</v>
      </c>
      <c r="U1497">
        <v>914.323141792662</v>
      </c>
      <c r="V1497">
        <v>2.4777006937561899E-3</v>
      </c>
      <c r="W1497">
        <v>2172610.6590481</v>
      </c>
      <c r="X1497" t="s">
        <v>31</v>
      </c>
      <c r="Y1497">
        <f>1-377-601-7659</f>
        <v>-8636</v>
      </c>
    </row>
    <row r="1498" spans="1:25" x14ac:dyDescent="0.35">
      <c r="A1498">
        <v>39.370601290767802</v>
      </c>
      <c r="B1498">
        <v>-118.63455137748601</v>
      </c>
      <c r="C1498" t="s">
        <v>25</v>
      </c>
      <c r="D1498">
        <v>14.588850312450999</v>
      </c>
      <c r="E1498">
        <v>5</v>
      </c>
      <c r="F1498">
        <v>1508</v>
      </c>
      <c r="G1498">
        <v>4</v>
      </c>
      <c r="H1498">
        <v>1</v>
      </c>
      <c r="I1498">
        <v>1972</v>
      </c>
      <c r="J1498">
        <v>0</v>
      </c>
      <c r="K1498">
        <v>0</v>
      </c>
      <c r="L1498">
        <v>0</v>
      </c>
      <c r="M1498">
        <v>7</v>
      </c>
      <c r="N1498" t="s">
        <v>41</v>
      </c>
      <c r="O1498" t="s">
        <v>27</v>
      </c>
      <c r="P1498">
        <v>10.683742388605999</v>
      </c>
      <c r="Q1498">
        <v>0.73246777662235196</v>
      </c>
      <c r="R1498">
        <v>9.9771389250590694</v>
      </c>
      <c r="S1498">
        <v>173</v>
      </c>
      <c r="T1498">
        <v>45</v>
      </c>
      <c r="U1498">
        <v>325.44746180803298</v>
      </c>
      <c r="V1498">
        <v>4.6419098143236004E-3</v>
      </c>
      <c r="W1498">
        <v>716095.82598219602</v>
      </c>
      <c r="X1498" t="s">
        <v>28</v>
      </c>
      <c r="Y1498">
        <f>1-398-994-8348</f>
        <v>-9739</v>
      </c>
    </row>
    <row r="1499" spans="1:25" x14ac:dyDescent="0.35">
      <c r="A1499">
        <v>40.768976895888898</v>
      </c>
      <c r="B1499">
        <v>-123.22713680453001</v>
      </c>
      <c r="C1499" t="s">
        <v>25</v>
      </c>
      <c r="D1499">
        <v>5.9364132890337702</v>
      </c>
      <c r="E1499">
        <v>4</v>
      </c>
      <c r="F1499">
        <v>2349</v>
      </c>
      <c r="G1499">
        <v>2</v>
      </c>
      <c r="H1499">
        <v>2</v>
      </c>
      <c r="I1499">
        <v>1957</v>
      </c>
      <c r="J1499">
        <v>1</v>
      </c>
      <c r="K1499">
        <v>1</v>
      </c>
      <c r="L1499">
        <v>1</v>
      </c>
      <c r="M1499">
        <v>5</v>
      </c>
      <c r="N1499" t="s">
        <v>26</v>
      </c>
      <c r="O1499" t="s">
        <v>32</v>
      </c>
      <c r="P1499">
        <v>4.9593581188823803</v>
      </c>
      <c r="Q1499">
        <v>2.37566218948532</v>
      </c>
      <c r="R1499">
        <v>2.83426039773674</v>
      </c>
      <c r="S1499">
        <v>31</v>
      </c>
      <c r="T1499">
        <v>30</v>
      </c>
      <c r="U1499">
        <v>956.03729071977</v>
      </c>
      <c r="V1499">
        <v>2.1285653469561498E-3</v>
      </c>
      <c r="W1499">
        <v>2533744.2904296299</v>
      </c>
      <c r="X1499" t="s">
        <v>33</v>
      </c>
      <c r="Y1499">
        <f>1-409-739-5593</f>
        <v>-6740</v>
      </c>
    </row>
    <row r="1500" spans="1:25" x14ac:dyDescent="0.35">
      <c r="A1500">
        <v>33.821437854838301</v>
      </c>
      <c r="B1500">
        <v>-115.981198033482</v>
      </c>
      <c r="C1500" t="s">
        <v>29</v>
      </c>
      <c r="D1500">
        <v>45.957494095823897</v>
      </c>
      <c r="E1500">
        <v>0</v>
      </c>
      <c r="F1500">
        <v>2502</v>
      </c>
      <c r="G1500">
        <v>3</v>
      </c>
      <c r="H1500">
        <v>2</v>
      </c>
      <c r="I1500">
        <v>1984</v>
      </c>
      <c r="J1500">
        <v>1</v>
      </c>
      <c r="K1500">
        <v>0</v>
      </c>
      <c r="L1500">
        <v>0</v>
      </c>
      <c r="M1500">
        <v>3</v>
      </c>
      <c r="N1500" t="s">
        <v>41</v>
      </c>
      <c r="O1500" t="s">
        <v>32</v>
      </c>
      <c r="P1500">
        <v>4.45325754320013</v>
      </c>
      <c r="Q1500">
        <v>2.4689769099671199</v>
      </c>
      <c r="R1500">
        <v>2.4799173663252398</v>
      </c>
      <c r="S1500">
        <v>92</v>
      </c>
      <c r="T1500">
        <v>27</v>
      </c>
      <c r="U1500">
        <v>769.20348153535599</v>
      </c>
      <c r="V1500">
        <v>1.19904076738609E-3</v>
      </c>
      <c r="W1500">
        <v>2130160.002229</v>
      </c>
      <c r="X1500" t="s">
        <v>36</v>
      </c>
      <c r="Y1500">
        <f>1-767-824-6020</f>
        <v>-7610</v>
      </c>
    </row>
    <row r="1501" spans="1:25" x14ac:dyDescent="0.35">
      <c r="A1501">
        <v>32.5101516718494</v>
      </c>
      <c r="B1501">
        <v>-123.985372994404</v>
      </c>
      <c r="C1501" t="s">
        <v>34</v>
      </c>
      <c r="D1501">
        <v>34.159283291591301</v>
      </c>
      <c r="E1501">
        <v>6</v>
      </c>
      <c r="F1501">
        <v>3452</v>
      </c>
      <c r="G1501">
        <v>1</v>
      </c>
      <c r="H1501">
        <v>3</v>
      </c>
      <c r="I1501">
        <v>2020</v>
      </c>
      <c r="J1501">
        <v>0</v>
      </c>
      <c r="K1501">
        <v>0</v>
      </c>
      <c r="L1501">
        <v>0</v>
      </c>
      <c r="M1501">
        <v>13</v>
      </c>
      <c r="N1501" t="s">
        <v>41</v>
      </c>
      <c r="O1501" t="s">
        <v>30</v>
      </c>
      <c r="P1501">
        <v>11.3581028518725</v>
      </c>
      <c r="Q1501">
        <v>0.79437841035285395</v>
      </c>
      <c r="R1501">
        <v>6.1167674929376297</v>
      </c>
      <c r="S1501">
        <v>87</v>
      </c>
      <c r="T1501">
        <v>77</v>
      </c>
      <c r="U1501">
        <v>937.42380225321904</v>
      </c>
      <c r="V1501">
        <v>3.7659327925840002E-3</v>
      </c>
      <c r="W1501">
        <v>3509451.8268164601</v>
      </c>
      <c r="X1501" t="s">
        <v>44</v>
      </c>
      <c r="Y1501">
        <f>1-432-291-4544</f>
        <v>-5266</v>
      </c>
    </row>
    <row r="1502" spans="1:25" x14ac:dyDescent="0.35">
      <c r="A1502">
        <v>34.888834423129801</v>
      </c>
      <c r="B1502">
        <v>-119.355672500777</v>
      </c>
      <c r="C1502" t="s">
        <v>25</v>
      </c>
      <c r="D1502">
        <v>15.0894292604138</v>
      </c>
      <c r="E1502">
        <v>4</v>
      </c>
      <c r="F1502">
        <v>1460</v>
      </c>
      <c r="G1502">
        <v>1</v>
      </c>
      <c r="H1502">
        <v>1</v>
      </c>
      <c r="I1502">
        <v>1997</v>
      </c>
      <c r="J1502">
        <v>0</v>
      </c>
      <c r="K1502">
        <v>1</v>
      </c>
      <c r="L1502">
        <v>0</v>
      </c>
      <c r="M1502">
        <v>11</v>
      </c>
      <c r="N1502" t="s">
        <v>37</v>
      </c>
      <c r="O1502" t="s">
        <v>27</v>
      </c>
      <c r="P1502">
        <v>13.4052564534226</v>
      </c>
      <c r="Q1502">
        <v>0.93603273319358604</v>
      </c>
      <c r="R1502">
        <v>9.7738255217120695</v>
      </c>
      <c r="S1502">
        <v>154</v>
      </c>
      <c r="T1502">
        <v>54</v>
      </c>
      <c r="U1502">
        <v>438.52335515454502</v>
      </c>
      <c r="V1502">
        <v>7.53424657534246E-3</v>
      </c>
      <c r="W1502">
        <v>851180.07621983904</v>
      </c>
      <c r="X1502" t="s">
        <v>38</v>
      </c>
      <c r="Y1502">
        <f>1-915-844-6090</f>
        <v>-7848</v>
      </c>
    </row>
    <row r="1503" spans="1:25" x14ac:dyDescent="0.35">
      <c r="A1503">
        <v>33.195433125528901</v>
      </c>
      <c r="B1503">
        <v>-122.307371883108</v>
      </c>
      <c r="C1503" t="s">
        <v>25</v>
      </c>
      <c r="D1503">
        <v>29.076518462213102</v>
      </c>
      <c r="E1503">
        <v>2</v>
      </c>
      <c r="F1503">
        <v>2534</v>
      </c>
      <c r="G1503">
        <v>5</v>
      </c>
      <c r="H1503">
        <v>1</v>
      </c>
      <c r="I1503">
        <v>2014</v>
      </c>
      <c r="J1503">
        <v>0</v>
      </c>
      <c r="K1503">
        <v>0</v>
      </c>
      <c r="L1503">
        <v>1</v>
      </c>
      <c r="M1503">
        <v>12</v>
      </c>
      <c r="N1503" t="s">
        <v>35</v>
      </c>
      <c r="O1503" t="s">
        <v>27</v>
      </c>
      <c r="P1503">
        <v>3.2416220164388698</v>
      </c>
      <c r="Q1503">
        <v>2.09783364505495</v>
      </c>
      <c r="R1503">
        <v>1.2987293023316999</v>
      </c>
      <c r="S1503">
        <v>38</v>
      </c>
      <c r="T1503">
        <v>53</v>
      </c>
      <c r="U1503">
        <v>892.181032689061</v>
      </c>
      <c r="V1503">
        <v>4.7355958958168898E-3</v>
      </c>
      <c r="W1503">
        <v>2580440.6279975399</v>
      </c>
      <c r="X1503" t="s">
        <v>43</v>
      </c>
      <c r="Y1503">
        <f>1-302-392-2355</f>
        <v>-3048</v>
      </c>
    </row>
    <row r="1504" spans="1:25" x14ac:dyDescent="0.35">
      <c r="A1504">
        <v>40.7020071911803</v>
      </c>
      <c r="B1504">
        <v>-122.112678605498</v>
      </c>
      <c r="C1504" t="s">
        <v>29</v>
      </c>
      <c r="D1504">
        <v>44.440113135206801</v>
      </c>
      <c r="E1504">
        <v>0</v>
      </c>
      <c r="F1504">
        <v>4203</v>
      </c>
      <c r="G1504">
        <v>1</v>
      </c>
      <c r="H1504">
        <v>2</v>
      </c>
      <c r="I1504">
        <v>1977</v>
      </c>
      <c r="J1504">
        <v>1</v>
      </c>
      <c r="K1504">
        <v>0</v>
      </c>
      <c r="L1504">
        <v>0</v>
      </c>
      <c r="M1504">
        <v>3</v>
      </c>
      <c r="N1504" t="s">
        <v>26</v>
      </c>
      <c r="O1504" t="s">
        <v>30</v>
      </c>
      <c r="P1504">
        <v>3.0320395448653299</v>
      </c>
      <c r="Q1504">
        <v>1.0671980325747501</v>
      </c>
      <c r="R1504">
        <v>4.1505256077777899</v>
      </c>
      <c r="S1504">
        <v>186</v>
      </c>
      <c r="T1504">
        <v>78</v>
      </c>
      <c r="U1504">
        <v>979.42370580889701</v>
      </c>
      <c r="V1504">
        <v>7.1377587437544601E-4</v>
      </c>
      <c r="W1504">
        <v>4180031.78784962</v>
      </c>
      <c r="X1504" t="s">
        <v>40</v>
      </c>
      <c r="Y1504">
        <f>1-646-118-1942</f>
        <v>-2705</v>
      </c>
    </row>
    <row r="1505" spans="1:25" x14ac:dyDescent="0.35">
      <c r="A1505">
        <v>41.1430830941514</v>
      </c>
      <c r="B1505">
        <v>-123.22691120479701</v>
      </c>
      <c r="C1505" t="s">
        <v>34</v>
      </c>
      <c r="D1505">
        <v>24.703225304139099</v>
      </c>
      <c r="E1505">
        <v>9</v>
      </c>
      <c r="F1505">
        <v>2338</v>
      </c>
      <c r="G1505">
        <v>5</v>
      </c>
      <c r="H1505">
        <v>3</v>
      </c>
      <c r="I1505">
        <v>2011</v>
      </c>
      <c r="J1505">
        <v>1</v>
      </c>
      <c r="K1505">
        <v>1</v>
      </c>
      <c r="L1505">
        <v>1</v>
      </c>
      <c r="M1505">
        <v>4</v>
      </c>
      <c r="N1505" t="s">
        <v>26</v>
      </c>
      <c r="O1505" t="s">
        <v>27</v>
      </c>
      <c r="P1505">
        <v>9.3636045345060808</v>
      </c>
      <c r="Q1505">
        <v>0.88411865880441398</v>
      </c>
      <c r="R1505">
        <v>3.91507384728886</v>
      </c>
      <c r="S1505">
        <v>56</v>
      </c>
      <c r="T1505">
        <v>40</v>
      </c>
      <c r="U1505">
        <v>491.70431607748202</v>
      </c>
      <c r="V1505">
        <v>1.71086398631308E-3</v>
      </c>
      <c r="W1505">
        <v>1747404.91585057</v>
      </c>
      <c r="X1505" t="s">
        <v>40</v>
      </c>
      <c r="Y1505">
        <f>1-881-407-9903</f>
        <v>-11190</v>
      </c>
    </row>
    <row r="1506" spans="1:25" x14ac:dyDescent="0.35">
      <c r="A1506">
        <v>37.479879824816997</v>
      </c>
      <c r="B1506">
        <v>-119.12399095975699</v>
      </c>
      <c r="C1506" t="s">
        <v>25</v>
      </c>
      <c r="D1506">
        <v>44.932785208426701</v>
      </c>
      <c r="E1506">
        <v>6</v>
      </c>
      <c r="F1506">
        <v>3967</v>
      </c>
      <c r="G1506">
        <v>1</v>
      </c>
      <c r="H1506">
        <v>2</v>
      </c>
      <c r="I1506">
        <v>1998</v>
      </c>
      <c r="J1506">
        <v>1</v>
      </c>
      <c r="K1506">
        <v>1</v>
      </c>
      <c r="L1506">
        <v>1</v>
      </c>
      <c r="M1506">
        <v>4</v>
      </c>
      <c r="N1506" t="s">
        <v>35</v>
      </c>
      <c r="O1506" t="s">
        <v>30</v>
      </c>
      <c r="P1506">
        <v>10.304968776055899</v>
      </c>
      <c r="Q1506">
        <v>0.72834278103486505</v>
      </c>
      <c r="R1506">
        <v>4.0052478442205404</v>
      </c>
      <c r="S1506">
        <v>142</v>
      </c>
      <c r="T1506">
        <v>58</v>
      </c>
      <c r="U1506">
        <v>313.94344582866199</v>
      </c>
      <c r="V1506">
        <v>1.00831862868666E-3</v>
      </c>
      <c r="W1506">
        <v>1513298.16936597</v>
      </c>
      <c r="X1506" t="s">
        <v>42</v>
      </c>
      <c r="Y1506">
        <f>1-991-283-9244</f>
        <v>-10517</v>
      </c>
    </row>
    <row r="1507" spans="1:25" x14ac:dyDescent="0.35">
      <c r="A1507">
        <v>40.579043133683001</v>
      </c>
      <c r="B1507">
        <v>-119.158542184217</v>
      </c>
      <c r="C1507" t="s">
        <v>34</v>
      </c>
      <c r="D1507">
        <v>9.14315658990418</v>
      </c>
      <c r="E1507">
        <v>3</v>
      </c>
      <c r="F1507">
        <v>2597</v>
      </c>
      <c r="G1507">
        <v>4</v>
      </c>
      <c r="H1507">
        <v>1</v>
      </c>
      <c r="I1507">
        <v>1958</v>
      </c>
      <c r="J1507">
        <v>1</v>
      </c>
      <c r="K1507">
        <v>1</v>
      </c>
      <c r="L1507">
        <v>1</v>
      </c>
      <c r="M1507">
        <v>12</v>
      </c>
      <c r="N1507" t="s">
        <v>26</v>
      </c>
      <c r="O1507" t="s">
        <v>30</v>
      </c>
      <c r="P1507">
        <v>4.33326260086152</v>
      </c>
      <c r="Q1507">
        <v>1.53179555497912</v>
      </c>
      <c r="R1507">
        <v>9.8576899963011293</v>
      </c>
      <c r="S1507">
        <v>90</v>
      </c>
      <c r="T1507">
        <v>52</v>
      </c>
      <c r="U1507">
        <v>374.50404802712598</v>
      </c>
      <c r="V1507">
        <v>4.6207162110126999E-3</v>
      </c>
      <c r="W1507">
        <v>1256404.30296175</v>
      </c>
      <c r="X1507" t="s">
        <v>43</v>
      </c>
      <c r="Y1507">
        <f>1-638-871-9119</f>
        <v>-10627</v>
      </c>
    </row>
    <row r="1508" spans="1:25" x14ac:dyDescent="0.35">
      <c r="A1508">
        <v>38.654979841321399</v>
      </c>
      <c r="B1508">
        <v>-123.237302640396</v>
      </c>
      <c r="C1508" t="s">
        <v>29</v>
      </c>
      <c r="D1508">
        <v>18.043650746757901</v>
      </c>
      <c r="E1508">
        <v>9</v>
      </c>
      <c r="F1508">
        <v>2404</v>
      </c>
      <c r="G1508">
        <v>4</v>
      </c>
      <c r="H1508">
        <v>1</v>
      </c>
      <c r="I1508">
        <v>2009</v>
      </c>
      <c r="J1508">
        <v>1</v>
      </c>
      <c r="K1508">
        <v>1</v>
      </c>
      <c r="L1508">
        <v>1</v>
      </c>
      <c r="M1508">
        <v>4</v>
      </c>
      <c r="N1508" t="s">
        <v>26</v>
      </c>
      <c r="O1508" t="s">
        <v>30</v>
      </c>
      <c r="P1508">
        <v>13.1011492247391</v>
      </c>
      <c r="Q1508">
        <v>0.82925794688107501</v>
      </c>
      <c r="R1508">
        <v>3.39681093019591</v>
      </c>
      <c r="S1508">
        <v>12</v>
      </c>
      <c r="T1508">
        <v>60</v>
      </c>
      <c r="U1508">
        <v>904.11348884897802</v>
      </c>
      <c r="V1508">
        <v>1.6638935108153001E-3</v>
      </c>
      <c r="W1508">
        <v>2708547.3103322699</v>
      </c>
      <c r="X1508" t="s">
        <v>33</v>
      </c>
      <c r="Y1508">
        <f>1-608-527-2061</f>
        <v>-3195</v>
      </c>
    </row>
    <row r="1509" spans="1:25" x14ac:dyDescent="0.35">
      <c r="A1509">
        <v>39.420867673264702</v>
      </c>
      <c r="B1509">
        <v>-115.382921699744</v>
      </c>
      <c r="C1509" t="s">
        <v>34</v>
      </c>
      <c r="D1509">
        <v>13.1629767963988</v>
      </c>
      <c r="E1509">
        <v>3</v>
      </c>
      <c r="F1509">
        <v>584</v>
      </c>
      <c r="G1509">
        <v>2</v>
      </c>
      <c r="H1509">
        <v>3</v>
      </c>
      <c r="I1509">
        <v>2012</v>
      </c>
      <c r="J1509">
        <v>1</v>
      </c>
      <c r="K1509">
        <v>1</v>
      </c>
      <c r="L1509">
        <v>1</v>
      </c>
      <c r="M1509">
        <v>7</v>
      </c>
      <c r="N1509" t="s">
        <v>41</v>
      </c>
      <c r="O1509" t="s">
        <v>27</v>
      </c>
      <c r="P1509">
        <v>10.687901565173</v>
      </c>
      <c r="Q1509">
        <v>2.2734992359118</v>
      </c>
      <c r="R1509">
        <v>6.0844135159598096</v>
      </c>
      <c r="S1509">
        <v>95</v>
      </c>
      <c r="T1509">
        <v>34</v>
      </c>
      <c r="U1509">
        <v>935.88057783786098</v>
      </c>
      <c r="V1509">
        <v>1.1986301369862999E-2</v>
      </c>
      <c r="W1509">
        <v>921365.66128028405</v>
      </c>
      <c r="X1509" t="s">
        <v>42</v>
      </c>
      <c r="Y1509">
        <f>1-653-986-7354</f>
        <v>-8992</v>
      </c>
    </row>
    <row r="1510" spans="1:25" x14ac:dyDescent="0.35">
      <c r="A1510">
        <v>41.631220567725499</v>
      </c>
      <c r="B1510">
        <v>-122.96669856075501</v>
      </c>
      <c r="C1510" t="s">
        <v>34</v>
      </c>
      <c r="D1510">
        <v>40.757105976981201</v>
      </c>
      <c r="E1510">
        <v>8</v>
      </c>
      <c r="F1510">
        <v>4483</v>
      </c>
      <c r="G1510">
        <v>3</v>
      </c>
      <c r="H1510">
        <v>2</v>
      </c>
      <c r="I1510">
        <v>1955</v>
      </c>
      <c r="J1510">
        <v>1</v>
      </c>
      <c r="K1510">
        <v>1</v>
      </c>
      <c r="L1510">
        <v>1</v>
      </c>
      <c r="M1510">
        <v>9</v>
      </c>
      <c r="N1510" t="s">
        <v>35</v>
      </c>
      <c r="O1510" t="s">
        <v>27</v>
      </c>
      <c r="P1510">
        <v>7.5522980175943504</v>
      </c>
      <c r="Q1510">
        <v>2.3551444144199398</v>
      </c>
      <c r="R1510">
        <v>8.8724951696914598</v>
      </c>
      <c r="S1510">
        <v>159</v>
      </c>
      <c r="T1510">
        <v>24</v>
      </c>
      <c r="U1510">
        <v>715.052398210452</v>
      </c>
      <c r="V1510">
        <v>2.0075842070042299E-3</v>
      </c>
      <c r="W1510">
        <v>3400779.7621780401</v>
      </c>
      <c r="X1510" t="s">
        <v>39</v>
      </c>
      <c r="Y1510">
        <f>1-394-608-1823</f>
        <v>-2824</v>
      </c>
    </row>
    <row r="1511" spans="1:25" x14ac:dyDescent="0.35">
      <c r="A1511">
        <v>36.203204771263003</v>
      </c>
      <c r="B1511">
        <v>-116.856985876298</v>
      </c>
      <c r="C1511" t="s">
        <v>29</v>
      </c>
      <c r="D1511">
        <v>1.39549501558629</v>
      </c>
      <c r="E1511">
        <v>7</v>
      </c>
      <c r="F1511">
        <v>4603</v>
      </c>
      <c r="G1511">
        <v>4</v>
      </c>
      <c r="H1511">
        <v>3</v>
      </c>
      <c r="I1511">
        <v>1962</v>
      </c>
      <c r="J1511">
        <v>0</v>
      </c>
      <c r="K1511">
        <v>1</v>
      </c>
      <c r="L1511">
        <v>0</v>
      </c>
      <c r="M1511">
        <v>13</v>
      </c>
      <c r="N1511" t="s">
        <v>37</v>
      </c>
      <c r="O1511" t="s">
        <v>30</v>
      </c>
      <c r="P1511">
        <v>9.0357625784015099</v>
      </c>
      <c r="Q1511">
        <v>1.74499808428495</v>
      </c>
      <c r="R1511">
        <v>7.1305672756796703</v>
      </c>
      <c r="S1511">
        <v>126</v>
      </c>
      <c r="T1511">
        <v>41</v>
      </c>
      <c r="U1511">
        <v>700.496223553655</v>
      </c>
      <c r="V1511">
        <v>2.8242450575711401E-3</v>
      </c>
      <c r="W1511">
        <v>3528510.8504975098</v>
      </c>
      <c r="X1511" t="s">
        <v>31</v>
      </c>
      <c r="Y1511">
        <f>1-765-417-5610</f>
        <v>-6791</v>
      </c>
    </row>
    <row r="1512" spans="1:25" x14ac:dyDescent="0.35">
      <c r="A1512">
        <v>35.017067760526402</v>
      </c>
      <c r="B1512">
        <v>-119.93712121058201</v>
      </c>
      <c r="C1512" t="s">
        <v>25</v>
      </c>
      <c r="D1512">
        <v>38.159466002387703</v>
      </c>
      <c r="E1512">
        <v>0</v>
      </c>
      <c r="F1512">
        <v>1025</v>
      </c>
      <c r="G1512">
        <v>2</v>
      </c>
      <c r="H1512">
        <v>2</v>
      </c>
      <c r="I1512">
        <v>2002</v>
      </c>
      <c r="J1512">
        <v>1</v>
      </c>
      <c r="K1512">
        <v>0</v>
      </c>
      <c r="L1512">
        <v>1</v>
      </c>
      <c r="M1512">
        <v>13</v>
      </c>
      <c r="N1512" t="s">
        <v>41</v>
      </c>
      <c r="O1512" t="s">
        <v>27</v>
      </c>
      <c r="P1512">
        <v>14.8319436325231</v>
      </c>
      <c r="Q1512">
        <v>1.7134670599389701</v>
      </c>
      <c r="R1512">
        <v>7.6818257309446203</v>
      </c>
      <c r="S1512">
        <v>24</v>
      </c>
      <c r="T1512">
        <v>52</v>
      </c>
      <c r="U1512">
        <v>593.49754101081999</v>
      </c>
      <c r="V1512">
        <v>1.26829268292682E-2</v>
      </c>
      <c r="W1512">
        <v>903292.78637056996</v>
      </c>
      <c r="X1512" t="s">
        <v>39</v>
      </c>
      <c r="Y1512">
        <f>1-920-402-8444</f>
        <v>-9765</v>
      </c>
    </row>
    <row r="1513" spans="1:25" x14ac:dyDescent="0.35">
      <c r="A1513">
        <v>33.129971914409801</v>
      </c>
      <c r="B1513">
        <v>-119.803174189977</v>
      </c>
      <c r="C1513" t="s">
        <v>34</v>
      </c>
      <c r="D1513">
        <v>39.986554053142001</v>
      </c>
      <c r="E1513">
        <v>9</v>
      </c>
      <c r="F1513">
        <v>924</v>
      </c>
      <c r="G1513">
        <v>3</v>
      </c>
      <c r="H1513">
        <v>3</v>
      </c>
      <c r="I1513">
        <v>1989</v>
      </c>
      <c r="J1513">
        <v>1</v>
      </c>
      <c r="K1513">
        <v>0</v>
      </c>
      <c r="L1513">
        <v>1</v>
      </c>
      <c r="M1513">
        <v>10</v>
      </c>
      <c r="N1513" t="s">
        <v>35</v>
      </c>
      <c r="O1513" t="s">
        <v>27</v>
      </c>
      <c r="P1513">
        <v>13.084372237513399</v>
      </c>
      <c r="Q1513">
        <v>1.44907519494698</v>
      </c>
      <c r="R1513">
        <v>0.50516435216924105</v>
      </c>
      <c r="S1513">
        <v>89</v>
      </c>
      <c r="T1513">
        <v>77</v>
      </c>
      <c r="U1513">
        <v>451.699550986426</v>
      </c>
      <c r="V1513">
        <v>1.08225108225108E-2</v>
      </c>
      <c r="W1513">
        <v>823100.89895453397</v>
      </c>
      <c r="X1513" t="s">
        <v>36</v>
      </c>
      <c r="Y1513">
        <f>1-796-855-4147</f>
        <v>-5797</v>
      </c>
    </row>
    <row r="1514" spans="1:25" x14ac:dyDescent="0.35">
      <c r="A1514">
        <v>40.253013302784701</v>
      </c>
      <c r="B1514">
        <v>-124.15841714166299</v>
      </c>
      <c r="C1514" t="s">
        <v>25</v>
      </c>
      <c r="D1514">
        <v>22.316019665731901</v>
      </c>
      <c r="E1514">
        <v>7</v>
      </c>
      <c r="F1514">
        <v>4163</v>
      </c>
      <c r="G1514">
        <v>3</v>
      </c>
      <c r="H1514">
        <v>2</v>
      </c>
      <c r="I1514">
        <v>1961</v>
      </c>
      <c r="J1514">
        <v>1</v>
      </c>
      <c r="K1514">
        <v>0</v>
      </c>
      <c r="L1514">
        <v>0</v>
      </c>
      <c r="M1514">
        <v>13</v>
      </c>
      <c r="N1514" t="s">
        <v>37</v>
      </c>
      <c r="O1514" t="s">
        <v>32</v>
      </c>
      <c r="P1514">
        <v>10.1793040389878</v>
      </c>
      <c r="Q1514">
        <v>1.98332854505585</v>
      </c>
      <c r="R1514">
        <v>5.27182573572445</v>
      </c>
      <c r="S1514">
        <v>12</v>
      </c>
      <c r="T1514">
        <v>35</v>
      </c>
      <c r="U1514">
        <v>486.51160798091098</v>
      </c>
      <c r="V1514">
        <v>3.1227480182560601E-3</v>
      </c>
      <c r="W1514">
        <v>2189280.7209262499</v>
      </c>
      <c r="X1514" t="s">
        <v>44</v>
      </c>
      <c r="Y1514">
        <f>1-637-783-6147</f>
        <v>-7566</v>
      </c>
    </row>
    <row r="1515" spans="1:25" x14ac:dyDescent="0.35">
      <c r="A1515">
        <v>39.234900068660998</v>
      </c>
      <c r="B1515">
        <v>-114.271185373623</v>
      </c>
      <c r="C1515" t="s">
        <v>25</v>
      </c>
      <c r="D1515">
        <v>2.8674506253050001</v>
      </c>
      <c r="E1515">
        <v>4</v>
      </c>
      <c r="F1515">
        <v>4466</v>
      </c>
      <c r="G1515">
        <v>2</v>
      </c>
      <c r="H1515">
        <v>3</v>
      </c>
      <c r="I1515">
        <v>1957</v>
      </c>
      <c r="J1515">
        <v>1</v>
      </c>
      <c r="K1515">
        <v>0</v>
      </c>
      <c r="L1515">
        <v>0</v>
      </c>
      <c r="M1515">
        <v>12</v>
      </c>
      <c r="N1515" t="s">
        <v>35</v>
      </c>
      <c r="O1515" t="s">
        <v>27</v>
      </c>
      <c r="P1515">
        <v>3.5904246983803199</v>
      </c>
      <c r="Q1515">
        <v>2.2514020180855501</v>
      </c>
      <c r="R1515">
        <v>8.7541778482972603</v>
      </c>
      <c r="S1515">
        <v>120</v>
      </c>
      <c r="T1515">
        <v>57</v>
      </c>
      <c r="U1515">
        <v>933.13007947868596</v>
      </c>
      <c r="V1515">
        <v>2.6869682042095799E-3</v>
      </c>
      <c r="W1515">
        <v>4261424.9188948404</v>
      </c>
      <c r="X1515" t="s">
        <v>40</v>
      </c>
      <c r="Y1515">
        <f>1-850-818-5203</f>
        <v>-6870</v>
      </c>
    </row>
    <row r="1516" spans="1:25" x14ac:dyDescent="0.35">
      <c r="A1516">
        <v>37.303381776629699</v>
      </c>
      <c r="B1516">
        <v>-120.574930453036</v>
      </c>
      <c r="C1516" t="s">
        <v>25</v>
      </c>
      <c r="D1516">
        <v>18.105810536341501</v>
      </c>
      <c r="E1516">
        <v>3</v>
      </c>
      <c r="F1516">
        <v>2046</v>
      </c>
      <c r="G1516">
        <v>1</v>
      </c>
      <c r="H1516">
        <v>3</v>
      </c>
      <c r="I1516">
        <v>1970</v>
      </c>
      <c r="J1516">
        <v>1</v>
      </c>
      <c r="K1516">
        <v>1</v>
      </c>
      <c r="L1516">
        <v>1</v>
      </c>
      <c r="M1516">
        <v>6</v>
      </c>
      <c r="N1516" t="s">
        <v>26</v>
      </c>
      <c r="O1516" t="s">
        <v>32</v>
      </c>
      <c r="P1516">
        <v>13.6952277938097</v>
      </c>
      <c r="Q1516">
        <v>2.4241877577283</v>
      </c>
      <c r="R1516">
        <v>0.102752905257208</v>
      </c>
      <c r="S1516">
        <v>80</v>
      </c>
      <c r="T1516">
        <v>48</v>
      </c>
      <c r="U1516">
        <v>498.004333604664</v>
      </c>
      <c r="V1516">
        <v>2.9325513196480899E-3</v>
      </c>
      <c r="W1516">
        <v>1427026.2052940901</v>
      </c>
      <c r="X1516" t="s">
        <v>42</v>
      </c>
      <c r="Y1516">
        <f>1-373-967-9235</f>
        <v>-10574</v>
      </c>
    </row>
    <row r="1517" spans="1:25" x14ac:dyDescent="0.35">
      <c r="A1517">
        <v>38.508318258431601</v>
      </c>
      <c r="B1517">
        <v>-120.35770765029901</v>
      </c>
      <c r="C1517" t="s">
        <v>34</v>
      </c>
      <c r="D1517">
        <v>19.6650962736216</v>
      </c>
      <c r="E1517">
        <v>6</v>
      </c>
      <c r="F1517">
        <v>1908</v>
      </c>
      <c r="G1517">
        <v>5</v>
      </c>
      <c r="H1517">
        <v>1</v>
      </c>
      <c r="I1517">
        <v>1975</v>
      </c>
      <c r="J1517">
        <v>0</v>
      </c>
      <c r="K1517">
        <v>1</v>
      </c>
      <c r="L1517">
        <v>1</v>
      </c>
      <c r="M1517">
        <v>4</v>
      </c>
      <c r="N1517" t="s">
        <v>26</v>
      </c>
      <c r="O1517" t="s">
        <v>27</v>
      </c>
      <c r="P1517">
        <v>7.6165349636851198</v>
      </c>
      <c r="Q1517">
        <v>1.05167382756409</v>
      </c>
      <c r="R1517">
        <v>7.1649574435123302</v>
      </c>
      <c r="S1517">
        <v>66</v>
      </c>
      <c r="T1517">
        <v>40</v>
      </c>
      <c r="U1517">
        <v>667.45559184381705</v>
      </c>
      <c r="V1517">
        <v>2.0964360587002002E-3</v>
      </c>
      <c r="W1517">
        <v>1672136.5507334301</v>
      </c>
      <c r="X1517" t="s">
        <v>44</v>
      </c>
      <c r="Y1517">
        <f>1-776-262-5134</f>
        <v>-6171</v>
      </c>
    </row>
    <row r="1518" spans="1:25" x14ac:dyDescent="0.35">
      <c r="A1518">
        <v>33.601377670885299</v>
      </c>
      <c r="B1518">
        <v>-117.149328059211</v>
      </c>
      <c r="C1518" t="s">
        <v>34</v>
      </c>
      <c r="D1518">
        <v>38.149677753891297</v>
      </c>
      <c r="E1518">
        <v>5</v>
      </c>
      <c r="F1518">
        <v>2924</v>
      </c>
      <c r="G1518">
        <v>3</v>
      </c>
      <c r="H1518">
        <v>3</v>
      </c>
      <c r="I1518">
        <v>1965</v>
      </c>
      <c r="J1518">
        <v>1</v>
      </c>
      <c r="K1518">
        <v>1</v>
      </c>
      <c r="L1518">
        <v>0</v>
      </c>
      <c r="M1518">
        <v>2</v>
      </c>
      <c r="N1518" t="s">
        <v>35</v>
      </c>
      <c r="O1518" t="s">
        <v>27</v>
      </c>
      <c r="P1518">
        <v>5.26433129632768</v>
      </c>
      <c r="Q1518">
        <v>1.27590400752623</v>
      </c>
      <c r="R1518">
        <v>0.60033040402652005</v>
      </c>
      <c r="S1518">
        <v>82</v>
      </c>
      <c r="T1518">
        <v>76</v>
      </c>
      <c r="U1518">
        <v>669.80185722955503</v>
      </c>
      <c r="V1518">
        <v>6.8399452804377499E-4</v>
      </c>
      <c r="W1518">
        <v>2377043.8553313501</v>
      </c>
      <c r="X1518" t="s">
        <v>42</v>
      </c>
      <c r="Y1518">
        <f>1-876-485-5270</f>
        <v>-6630</v>
      </c>
    </row>
    <row r="1519" spans="1:25" x14ac:dyDescent="0.35">
      <c r="A1519">
        <v>36.029300621099502</v>
      </c>
      <c r="B1519">
        <v>-119.539003087382</v>
      </c>
      <c r="C1519" t="s">
        <v>25</v>
      </c>
      <c r="D1519">
        <v>7.1378955437237499</v>
      </c>
      <c r="E1519">
        <v>1</v>
      </c>
      <c r="F1519">
        <v>3003</v>
      </c>
      <c r="G1519">
        <v>1</v>
      </c>
      <c r="H1519">
        <v>3</v>
      </c>
      <c r="I1519">
        <v>1956</v>
      </c>
      <c r="J1519">
        <v>0</v>
      </c>
      <c r="K1519">
        <v>1</v>
      </c>
      <c r="L1519">
        <v>1</v>
      </c>
      <c r="M1519">
        <v>9</v>
      </c>
      <c r="N1519" t="s">
        <v>26</v>
      </c>
      <c r="O1519" t="s">
        <v>30</v>
      </c>
      <c r="P1519">
        <v>4.5475969226721</v>
      </c>
      <c r="Q1519">
        <v>1.2268856218627899</v>
      </c>
      <c r="R1519">
        <v>6.6818436638882801</v>
      </c>
      <c r="S1519">
        <v>37</v>
      </c>
      <c r="T1519">
        <v>38</v>
      </c>
      <c r="U1519">
        <v>970.74845654065598</v>
      </c>
      <c r="V1519">
        <v>2.9970029970029901E-3</v>
      </c>
      <c r="W1519">
        <v>3062450.4891263898</v>
      </c>
      <c r="X1519" t="s">
        <v>31</v>
      </c>
      <c r="Y1519">
        <f>1-210-634-7207</f>
        <v>-8050</v>
      </c>
    </row>
    <row r="1520" spans="1:25" x14ac:dyDescent="0.35">
      <c r="A1520">
        <v>37.851715206777598</v>
      </c>
      <c r="B1520">
        <v>-114.269027169388</v>
      </c>
      <c r="C1520" t="s">
        <v>25</v>
      </c>
      <c r="D1520">
        <v>30.700485866003099</v>
      </c>
      <c r="E1520">
        <v>2</v>
      </c>
      <c r="F1520">
        <v>1741</v>
      </c>
      <c r="G1520">
        <v>4</v>
      </c>
      <c r="H1520">
        <v>2</v>
      </c>
      <c r="I1520">
        <v>1994</v>
      </c>
      <c r="J1520">
        <v>1</v>
      </c>
      <c r="K1520">
        <v>1</v>
      </c>
      <c r="L1520">
        <v>1</v>
      </c>
      <c r="M1520">
        <v>13</v>
      </c>
      <c r="N1520" t="s">
        <v>37</v>
      </c>
      <c r="O1520" t="s">
        <v>30</v>
      </c>
      <c r="P1520">
        <v>3.95600920097738</v>
      </c>
      <c r="Q1520">
        <v>0.72001663946865802</v>
      </c>
      <c r="R1520">
        <v>0.90264350123375503</v>
      </c>
      <c r="S1520">
        <v>196</v>
      </c>
      <c r="T1520">
        <v>30</v>
      </c>
      <c r="U1520">
        <v>517.96187903294106</v>
      </c>
      <c r="V1520">
        <v>7.4669730040206701E-3</v>
      </c>
      <c r="W1520">
        <v>1192378.24278204</v>
      </c>
      <c r="X1520" t="s">
        <v>39</v>
      </c>
      <c r="Y1520">
        <f>1-403-251-5286</f>
        <v>-5939</v>
      </c>
    </row>
    <row r="1521" spans="1:25" x14ac:dyDescent="0.35">
      <c r="A1521">
        <v>32.922609350442599</v>
      </c>
      <c r="B1521">
        <v>-118.67999067664201</v>
      </c>
      <c r="C1521" t="s">
        <v>29</v>
      </c>
      <c r="D1521">
        <v>25.312890016430799</v>
      </c>
      <c r="E1521">
        <v>5</v>
      </c>
      <c r="F1521">
        <v>3251</v>
      </c>
      <c r="G1521">
        <v>5</v>
      </c>
      <c r="H1521">
        <v>1</v>
      </c>
      <c r="I1521">
        <v>1959</v>
      </c>
      <c r="J1521">
        <v>0</v>
      </c>
      <c r="K1521">
        <v>1</v>
      </c>
      <c r="L1521">
        <v>1</v>
      </c>
      <c r="M1521">
        <v>3</v>
      </c>
      <c r="N1521" t="s">
        <v>26</v>
      </c>
      <c r="O1521" t="s">
        <v>30</v>
      </c>
      <c r="P1521">
        <v>2.4956191049385499</v>
      </c>
      <c r="Q1521">
        <v>1.62200966427077</v>
      </c>
      <c r="R1521">
        <v>1.93719504692595</v>
      </c>
      <c r="S1521">
        <v>106</v>
      </c>
      <c r="T1521">
        <v>44</v>
      </c>
      <c r="U1521">
        <v>612.21339931622504</v>
      </c>
      <c r="V1521">
        <v>9.2279298677329998E-4</v>
      </c>
      <c r="W1521">
        <v>2288071.08477211</v>
      </c>
      <c r="X1521" t="s">
        <v>38</v>
      </c>
      <c r="Y1521">
        <f>1-411-496-7874</f>
        <v>-8780</v>
      </c>
    </row>
    <row r="1522" spans="1:25" x14ac:dyDescent="0.35">
      <c r="A1522">
        <v>40.948106857719999</v>
      </c>
      <c r="B1522">
        <v>-121.774315007593</v>
      </c>
      <c r="C1522" t="s">
        <v>34</v>
      </c>
      <c r="D1522">
        <v>2.5279338969385399</v>
      </c>
      <c r="E1522">
        <v>5</v>
      </c>
      <c r="F1522">
        <v>4875</v>
      </c>
      <c r="G1522">
        <v>4</v>
      </c>
      <c r="H1522">
        <v>2</v>
      </c>
      <c r="I1522">
        <v>2019</v>
      </c>
      <c r="J1522">
        <v>0</v>
      </c>
      <c r="K1522">
        <v>0</v>
      </c>
      <c r="L1522">
        <v>1</v>
      </c>
      <c r="M1522">
        <v>8</v>
      </c>
      <c r="N1522" t="s">
        <v>37</v>
      </c>
      <c r="O1522" t="s">
        <v>32</v>
      </c>
      <c r="P1522">
        <v>2.0608894739872801</v>
      </c>
      <c r="Q1522">
        <v>2.3154175120606499</v>
      </c>
      <c r="R1522">
        <v>4.5206231434606803</v>
      </c>
      <c r="S1522">
        <v>101</v>
      </c>
      <c r="T1522">
        <v>62</v>
      </c>
      <c r="U1522">
        <v>356.67442533182901</v>
      </c>
      <c r="V1522">
        <v>1.6410256410256401E-3</v>
      </c>
      <c r="W1522">
        <v>1921174.89383344</v>
      </c>
      <c r="X1522" t="s">
        <v>38</v>
      </c>
      <c r="Y1522">
        <f>1-350-222-8211</f>
        <v>-8782</v>
      </c>
    </row>
    <row r="1523" spans="1:25" x14ac:dyDescent="0.35">
      <c r="A1523">
        <v>41.537344794270403</v>
      </c>
      <c r="B1523">
        <v>-123.633970852131</v>
      </c>
      <c r="C1523" t="s">
        <v>29</v>
      </c>
      <c r="D1523">
        <v>49.840205102439803</v>
      </c>
      <c r="E1523">
        <v>8</v>
      </c>
      <c r="F1523">
        <v>4920</v>
      </c>
      <c r="G1523">
        <v>4</v>
      </c>
      <c r="H1523">
        <v>1</v>
      </c>
      <c r="I1523">
        <v>2002</v>
      </c>
      <c r="J1523">
        <v>1</v>
      </c>
      <c r="K1523">
        <v>0</v>
      </c>
      <c r="L1523">
        <v>1</v>
      </c>
      <c r="M1523">
        <v>10</v>
      </c>
      <c r="N1523" t="s">
        <v>26</v>
      </c>
      <c r="O1523" t="s">
        <v>30</v>
      </c>
      <c r="P1523">
        <v>13.451268772290099</v>
      </c>
      <c r="Q1523">
        <v>1.3238014864055401</v>
      </c>
      <c r="R1523">
        <v>6.1994467561684496</v>
      </c>
      <c r="S1523">
        <v>8</v>
      </c>
      <c r="T1523">
        <v>44</v>
      </c>
      <c r="U1523">
        <v>425.162241669313</v>
      </c>
      <c r="V1523">
        <v>2.0325203252032501E-3</v>
      </c>
      <c r="W1523">
        <v>2508280.1994483098</v>
      </c>
      <c r="X1523" t="s">
        <v>31</v>
      </c>
      <c r="Y1523">
        <f>1-787-463-8073</f>
        <v>-9322</v>
      </c>
    </row>
    <row r="1524" spans="1:25" x14ac:dyDescent="0.35">
      <c r="A1524">
        <v>38.913084032163098</v>
      </c>
      <c r="B1524">
        <v>-118.77285739385199</v>
      </c>
      <c r="C1524" t="s">
        <v>25</v>
      </c>
      <c r="D1524">
        <v>38.299393807523899</v>
      </c>
      <c r="E1524">
        <v>9</v>
      </c>
      <c r="F1524">
        <v>3132</v>
      </c>
      <c r="G1524">
        <v>5</v>
      </c>
      <c r="H1524">
        <v>3</v>
      </c>
      <c r="I1524">
        <v>1971</v>
      </c>
      <c r="J1524">
        <v>1</v>
      </c>
      <c r="K1524">
        <v>1</v>
      </c>
      <c r="L1524">
        <v>0</v>
      </c>
      <c r="M1524">
        <v>11</v>
      </c>
      <c r="N1524" t="s">
        <v>37</v>
      </c>
      <c r="O1524" t="s">
        <v>30</v>
      </c>
      <c r="P1524">
        <v>10.0784213957968</v>
      </c>
      <c r="Q1524">
        <v>0.61500305995776405</v>
      </c>
      <c r="R1524">
        <v>6.5015941895417502</v>
      </c>
      <c r="S1524">
        <v>162</v>
      </c>
      <c r="T1524">
        <v>24</v>
      </c>
      <c r="U1524">
        <v>531.76332126712998</v>
      </c>
      <c r="V1524">
        <v>3.5121328224776501E-3</v>
      </c>
      <c r="W1524">
        <v>2106473.0405791001</v>
      </c>
      <c r="X1524" t="s">
        <v>28</v>
      </c>
      <c r="Y1524">
        <f>1-996-732-5881</f>
        <v>-7608</v>
      </c>
    </row>
    <row r="1525" spans="1:25" x14ac:dyDescent="0.35">
      <c r="A1525">
        <v>35.941625235794</v>
      </c>
      <c r="B1525">
        <v>-115.555900863801</v>
      </c>
      <c r="C1525" t="s">
        <v>29</v>
      </c>
      <c r="D1525">
        <v>46.471592996534902</v>
      </c>
      <c r="E1525">
        <v>3</v>
      </c>
      <c r="F1525">
        <v>1404</v>
      </c>
      <c r="G1525">
        <v>1</v>
      </c>
      <c r="H1525">
        <v>3</v>
      </c>
      <c r="I1525">
        <v>1974</v>
      </c>
      <c r="J1525">
        <v>1</v>
      </c>
      <c r="K1525">
        <v>0</v>
      </c>
      <c r="L1525">
        <v>1</v>
      </c>
      <c r="M1525">
        <v>6</v>
      </c>
      <c r="N1525" t="s">
        <v>26</v>
      </c>
      <c r="O1525" t="s">
        <v>30</v>
      </c>
      <c r="P1525">
        <v>14.8453496147833</v>
      </c>
      <c r="Q1525">
        <v>2.0294387005973999</v>
      </c>
      <c r="R1525">
        <v>1.8625470417105201</v>
      </c>
      <c r="S1525">
        <v>56</v>
      </c>
      <c r="T1525">
        <v>49</v>
      </c>
      <c r="U1525">
        <v>691.87261808572498</v>
      </c>
      <c r="V1525">
        <v>4.2735042735042696E-3</v>
      </c>
      <c r="W1525">
        <v>1254389.66176174</v>
      </c>
      <c r="X1525" t="s">
        <v>43</v>
      </c>
      <c r="Y1525">
        <f>1-569-764-5854</f>
        <v>-7186</v>
      </c>
    </row>
    <row r="1526" spans="1:25" x14ac:dyDescent="0.35">
      <c r="A1526">
        <v>34.853079905043103</v>
      </c>
      <c r="B1526">
        <v>-123.494753156005</v>
      </c>
      <c r="C1526" t="s">
        <v>25</v>
      </c>
      <c r="D1526">
        <v>30.9920089959924</v>
      </c>
      <c r="E1526">
        <v>0</v>
      </c>
      <c r="F1526">
        <v>1114</v>
      </c>
      <c r="G1526">
        <v>2</v>
      </c>
      <c r="H1526">
        <v>2</v>
      </c>
      <c r="I1526">
        <v>1988</v>
      </c>
      <c r="J1526">
        <v>0</v>
      </c>
      <c r="K1526">
        <v>0</v>
      </c>
      <c r="L1526">
        <v>0</v>
      </c>
      <c r="M1526">
        <v>3</v>
      </c>
      <c r="N1526" t="s">
        <v>35</v>
      </c>
      <c r="O1526" t="s">
        <v>27</v>
      </c>
      <c r="P1526">
        <v>5.5570208133892702</v>
      </c>
      <c r="Q1526">
        <v>2.109142448784</v>
      </c>
      <c r="R1526">
        <v>7.3116366852401802</v>
      </c>
      <c r="S1526">
        <v>177</v>
      </c>
      <c r="T1526">
        <v>45</v>
      </c>
      <c r="U1526">
        <v>619.36250314009703</v>
      </c>
      <c r="V1526">
        <v>2.6929982046678602E-3</v>
      </c>
      <c r="W1526">
        <v>755155.77548391803</v>
      </c>
      <c r="X1526" t="s">
        <v>28</v>
      </c>
      <c r="Y1526">
        <f>1-428-971-9613</f>
        <v>-11011</v>
      </c>
    </row>
    <row r="1527" spans="1:25" x14ac:dyDescent="0.35">
      <c r="A1527">
        <v>37.341597992980503</v>
      </c>
      <c r="B1527">
        <v>-117.91604599665099</v>
      </c>
      <c r="C1527" t="s">
        <v>34</v>
      </c>
      <c r="D1527">
        <v>38.347254376188403</v>
      </c>
      <c r="E1527">
        <v>1</v>
      </c>
      <c r="F1527">
        <v>4844</v>
      </c>
      <c r="G1527">
        <v>5</v>
      </c>
      <c r="H1527">
        <v>2</v>
      </c>
      <c r="I1527">
        <v>2003</v>
      </c>
      <c r="J1527">
        <v>1</v>
      </c>
      <c r="K1527">
        <v>1</v>
      </c>
      <c r="L1527">
        <v>0</v>
      </c>
      <c r="M1527">
        <v>14</v>
      </c>
      <c r="N1527" t="s">
        <v>37</v>
      </c>
      <c r="O1527" t="s">
        <v>32</v>
      </c>
      <c r="P1527">
        <v>13.471183441649099</v>
      </c>
      <c r="Q1527">
        <v>2.3331099180799701</v>
      </c>
      <c r="R1527">
        <v>4.6714547905922403</v>
      </c>
      <c r="S1527">
        <v>67</v>
      </c>
      <c r="T1527">
        <v>34</v>
      </c>
      <c r="U1527">
        <v>722.94301443897803</v>
      </c>
      <c r="V1527">
        <v>2.8901734104046198E-3</v>
      </c>
      <c r="W1527">
        <v>3982014.0475597298</v>
      </c>
      <c r="X1527" t="s">
        <v>39</v>
      </c>
      <c r="Y1527">
        <f>1-482-665-1749</f>
        <v>-2895</v>
      </c>
    </row>
    <row r="1528" spans="1:25" x14ac:dyDescent="0.35">
      <c r="A1528">
        <v>38.717128352204803</v>
      </c>
      <c r="B1528">
        <v>-123.166774551619</v>
      </c>
      <c r="C1528" t="s">
        <v>29</v>
      </c>
      <c r="D1528">
        <v>37.599922587758499</v>
      </c>
      <c r="E1528">
        <v>5</v>
      </c>
      <c r="F1528">
        <v>4284</v>
      </c>
      <c r="G1528">
        <v>2</v>
      </c>
      <c r="H1528">
        <v>1</v>
      </c>
      <c r="I1528">
        <v>1999</v>
      </c>
      <c r="J1528">
        <v>1</v>
      </c>
      <c r="K1528">
        <v>0</v>
      </c>
      <c r="L1528">
        <v>1</v>
      </c>
      <c r="M1528">
        <v>13</v>
      </c>
      <c r="N1528" t="s">
        <v>37</v>
      </c>
      <c r="O1528" t="s">
        <v>32</v>
      </c>
      <c r="P1528">
        <v>14.9968434345519</v>
      </c>
      <c r="Q1528">
        <v>1.2579505533450399</v>
      </c>
      <c r="R1528">
        <v>3.3420021072963402</v>
      </c>
      <c r="S1528">
        <v>141</v>
      </c>
      <c r="T1528">
        <v>65</v>
      </c>
      <c r="U1528">
        <v>568.76241524840202</v>
      </c>
      <c r="V1528">
        <v>3.0345471521942102E-3</v>
      </c>
      <c r="W1528">
        <v>2745827.7778733298</v>
      </c>
      <c r="X1528" t="s">
        <v>39</v>
      </c>
      <c r="Y1528">
        <f>1-216-971-8679</f>
        <v>-9865</v>
      </c>
    </row>
    <row r="1529" spans="1:25" x14ac:dyDescent="0.35">
      <c r="A1529">
        <v>41.549327343129299</v>
      </c>
      <c r="B1529">
        <v>-115.19586218630801</v>
      </c>
      <c r="C1529" t="s">
        <v>29</v>
      </c>
      <c r="D1529">
        <v>1.10101771952905</v>
      </c>
      <c r="E1529">
        <v>5</v>
      </c>
      <c r="F1529">
        <v>708</v>
      </c>
      <c r="G1529">
        <v>5</v>
      </c>
      <c r="H1529">
        <v>3</v>
      </c>
      <c r="I1529">
        <v>2019</v>
      </c>
      <c r="J1529">
        <v>0</v>
      </c>
      <c r="K1529">
        <v>1</v>
      </c>
      <c r="L1529">
        <v>0</v>
      </c>
      <c r="M1529">
        <v>12</v>
      </c>
      <c r="N1529" t="s">
        <v>35</v>
      </c>
      <c r="O1529" t="s">
        <v>30</v>
      </c>
      <c r="P1529">
        <v>5.4862985394298498</v>
      </c>
      <c r="Q1529">
        <v>1.56329901687836</v>
      </c>
      <c r="R1529">
        <v>3.52496906018651</v>
      </c>
      <c r="S1529">
        <v>40</v>
      </c>
      <c r="T1529">
        <v>29</v>
      </c>
      <c r="U1529">
        <v>737.47897844436102</v>
      </c>
      <c r="V1529">
        <v>1.6949152542372801E-2</v>
      </c>
      <c r="W1529">
        <v>966802.16690669605</v>
      </c>
      <c r="X1529" t="s">
        <v>36</v>
      </c>
      <c r="Y1529">
        <f>1-532-196-1079</f>
        <v>-1806</v>
      </c>
    </row>
    <row r="1530" spans="1:25" x14ac:dyDescent="0.35">
      <c r="A1530">
        <v>40.313150532371303</v>
      </c>
      <c r="B1530">
        <v>-115.831064240494</v>
      </c>
      <c r="C1530" t="s">
        <v>29</v>
      </c>
      <c r="D1530">
        <v>29.3440722876081</v>
      </c>
      <c r="E1530">
        <v>8</v>
      </c>
      <c r="F1530">
        <v>2623</v>
      </c>
      <c r="G1530">
        <v>2</v>
      </c>
      <c r="H1530">
        <v>3</v>
      </c>
      <c r="I1530">
        <v>1958</v>
      </c>
      <c r="J1530">
        <v>1</v>
      </c>
      <c r="K1530">
        <v>0</v>
      </c>
      <c r="L1530">
        <v>1</v>
      </c>
      <c r="M1530">
        <v>9</v>
      </c>
      <c r="N1530" t="s">
        <v>37</v>
      </c>
      <c r="O1530" t="s">
        <v>30</v>
      </c>
      <c r="P1530">
        <v>14.167601718392699</v>
      </c>
      <c r="Q1530">
        <v>2.4884177635203599</v>
      </c>
      <c r="R1530">
        <v>2.5503430132970499</v>
      </c>
      <c r="S1530">
        <v>196</v>
      </c>
      <c r="T1530">
        <v>66</v>
      </c>
      <c r="U1530">
        <v>418.26452577659501</v>
      </c>
      <c r="V1530">
        <v>3.43118566526877E-3</v>
      </c>
      <c r="W1530">
        <v>1321599.1955363599</v>
      </c>
      <c r="X1530" t="s">
        <v>36</v>
      </c>
      <c r="Y1530">
        <f>1-317-335-9852</f>
        <v>-10503</v>
      </c>
    </row>
    <row r="1531" spans="1:25" x14ac:dyDescent="0.35">
      <c r="A1531">
        <v>33.050836007296702</v>
      </c>
      <c r="B1531">
        <v>-121.934837744966</v>
      </c>
      <c r="C1531" t="s">
        <v>34</v>
      </c>
      <c r="D1531">
        <v>9.7246094272440402</v>
      </c>
      <c r="E1531">
        <v>9</v>
      </c>
      <c r="F1531">
        <v>1419</v>
      </c>
      <c r="G1531">
        <v>1</v>
      </c>
      <c r="H1531">
        <v>2</v>
      </c>
      <c r="I1531">
        <v>1952</v>
      </c>
      <c r="J1531">
        <v>0</v>
      </c>
      <c r="K1531">
        <v>1</v>
      </c>
      <c r="L1531">
        <v>0</v>
      </c>
      <c r="M1531">
        <v>8</v>
      </c>
      <c r="N1531" t="s">
        <v>37</v>
      </c>
      <c r="O1531" t="s">
        <v>27</v>
      </c>
      <c r="P1531">
        <v>6.2937466336278698</v>
      </c>
      <c r="Q1531">
        <v>1.43793867030681</v>
      </c>
      <c r="R1531">
        <v>6.55099505368565</v>
      </c>
      <c r="S1531">
        <v>73</v>
      </c>
      <c r="T1531">
        <v>71</v>
      </c>
      <c r="U1531">
        <v>659.16499796120502</v>
      </c>
      <c r="V1531">
        <v>5.6377730796335398E-3</v>
      </c>
      <c r="W1531">
        <v>1029917.24676559</v>
      </c>
      <c r="X1531" t="s">
        <v>40</v>
      </c>
      <c r="Y1531">
        <f>1-274-609-1375</f>
        <v>-2257</v>
      </c>
    </row>
    <row r="1532" spans="1:25" x14ac:dyDescent="0.35">
      <c r="A1532">
        <v>41.498677619116897</v>
      </c>
      <c r="B1532">
        <v>-119.192523742029</v>
      </c>
      <c r="C1532" t="s">
        <v>25</v>
      </c>
      <c r="D1532">
        <v>19.080162618305401</v>
      </c>
      <c r="E1532">
        <v>1</v>
      </c>
      <c r="F1532">
        <v>991</v>
      </c>
      <c r="G1532">
        <v>4</v>
      </c>
      <c r="H1532">
        <v>3</v>
      </c>
      <c r="I1532">
        <v>1968</v>
      </c>
      <c r="J1532">
        <v>0</v>
      </c>
      <c r="K1532">
        <v>0</v>
      </c>
      <c r="L1532">
        <v>1</v>
      </c>
      <c r="M1532">
        <v>5</v>
      </c>
      <c r="N1532" t="s">
        <v>37</v>
      </c>
      <c r="O1532" t="s">
        <v>27</v>
      </c>
      <c r="P1532">
        <v>5.6424461744392502</v>
      </c>
      <c r="Q1532">
        <v>1.4749927793003901</v>
      </c>
      <c r="R1532">
        <v>3.5733037519366202</v>
      </c>
      <c r="S1532">
        <v>86</v>
      </c>
      <c r="T1532">
        <v>65</v>
      </c>
      <c r="U1532">
        <v>920.16357704976599</v>
      </c>
      <c r="V1532">
        <v>5.0454086781029197E-3</v>
      </c>
      <c r="W1532">
        <v>1183990.2487503299</v>
      </c>
      <c r="X1532" t="s">
        <v>31</v>
      </c>
      <c r="Y1532">
        <f>1-680-296-3413</f>
        <v>-4388</v>
      </c>
    </row>
    <row r="1533" spans="1:25" x14ac:dyDescent="0.35">
      <c r="A1533">
        <v>41.429943590492897</v>
      </c>
      <c r="B1533">
        <v>-120.455732786054</v>
      </c>
      <c r="C1533" t="s">
        <v>25</v>
      </c>
      <c r="D1533">
        <v>32.198649696602502</v>
      </c>
      <c r="E1533">
        <v>6</v>
      </c>
      <c r="F1533">
        <v>2423</v>
      </c>
      <c r="G1533">
        <v>4</v>
      </c>
      <c r="H1533">
        <v>3</v>
      </c>
      <c r="I1533">
        <v>2003</v>
      </c>
      <c r="J1533">
        <v>0</v>
      </c>
      <c r="K1533">
        <v>0</v>
      </c>
      <c r="L1533">
        <v>1</v>
      </c>
      <c r="M1533">
        <v>7</v>
      </c>
      <c r="N1533" t="s">
        <v>41</v>
      </c>
      <c r="O1533" t="s">
        <v>30</v>
      </c>
      <c r="P1533">
        <v>9.5917357744133902</v>
      </c>
      <c r="Q1533">
        <v>0.68827904545157303</v>
      </c>
      <c r="R1533">
        <v>8.9141882241755308</v>
      </c>
      <c r="S1533">
        <v>19</v>
      </c>
      <c r="T1533">
        <v>59</v>
      </c>
      <c r="U1533">
        <v>659.29890745521595</v>
      </c>
      <c r="V1533">
        <v>2.8889806025588099E-3</v>
      </c>
      <c r="W1533">
        <v>1908424.12875323</v>
      </c>
      <c r="X1533" t="s">
        <v>39</v>
      </c>
      <c r="Y1533">
        <f>1-468-334-6576</f>
        <v>-7377</v>
      </c>
    </row>
    <row r="1534" spans="1:25" x14ac:dyDescent="0.35">
      <c r="A1534">
        <v>39.877320817931903</v>
      </c>
      <c r="B1534">
        <v>-120.938955464514</v>
      </c>
      <c r="C1534" t="s">
        <v>29</v>
      </c>
      <c r="D1534">
        <v>16.839427250008299</v>
      </c>
      <c r="E1534">
        <v>3</v>
      </c>
      <c r="F1534">
        <v>4320</v>
      </c>
      <c r="G1534">
        <v>3</v>
      </c>
      <c r="H1534">
        <v>1</v>
      </c>
      <c r="I1534">
        <v>1952</v>
      </c>
      <c r="J1534">
        <v>0</v>
      </c>
      <c r="K1534">
        <v>0</v>
      </c>
      <c r="L1534">
        <v>1</v>
      </c>
      <c r="M1534">
        <v>5</v>
      </c>
      <c r="N1534" t="s">
        <v>41</v>
      </c>
      <c r="O1534" t="s">
        <v>27</v>
      </c>
      <c r="P1534">
        <v>12.4649861005385</v>
      </c>
      <c r="Q1534">
        <v>0.68121870236608495</v>
      </c>
      <c r="R1534">
        <v>9.2083992055110393</v>
      </c>
      <c r="S1534">
        <v>50</v>
      </c>
      <c r="T1534">
        <v>59</v>
      </c>
      <c r="U1534">
        <v>757.54002379078099</v>
      </c>
      <c r="V1534">
        <v>1.1574074074074E-3</v>
      </c>
      <c r="W1534">
        <v>3463219.78304264</v>
      </c>
      <c r="X1534" t="s">
        <v>36</v>
      </c>
      <c r="Y1534">
        <f>1-246-134-9832</f>
        <v>-10211</v>
      </c>
    </row>
    <row r="1535" spans="1:25" x14ac:dyDescent="0.35">
      <c r="A1535">
        <v>38.282386908938598</v>
      </c>
      <c r="B1535">
        <v>-117.43199217046499</v>
      </c>
      <c r="C1535" t="s">
        <v>34</v>
      </c>
      <c r="D1535">
        <v>5.1716678196136501</v>
      </c>
      <c r="E1535">
        <v>3</v>
      </c>
      <c r="F1535">
        <v>2357</v>
      </c>
      <c r="G1535">
        <v>1</v>
      </c>
      <c r="H1535">
        <v>1</v>
      </c>
      <c r="I1535">
        <v>1969</v>
      </c>
      <c r="J1535">
        <v>1</v>
      </c>
      <c r="K1535">
        <v>0</v>
      </c>
      <c r="L1535">
        <v>0</v>
      </c>
      <c r="M1535">
        <v>10</v>
      </c>
      <c r="N1535" t="s">
        <v>41</v>
      </c>
      <c r="O1535" t="s">
        <v>27</v>
      </c>
      <c r="P1535">
        <v>11.193718962809299</v>
      </c>
      <c r="Q1535">
        <v>1.70301498431828</v>
      </c>
      <c r="R1535">
        <v>1.3834315215967199</v>
      </c>
      <c r="S1535">
        <v>33</v>
      </c>
      <c r="T1535">
        <v>31</v>
      </c>
      <c r="U1535">
        <v>928.21959153891396</v>
      </c>
      <c r="V1535">
        <v>4.2426813746287602E-3</v>
      </c>
      <c r="W1535">
        <v>2272597.40027051</v>
      </c>
      <c r="X1535" t="s">
        <v>38</v>
      </c>
      <c r="Y1535">
        <f>1-319-586-8338</f>
        <v>-9242</v>
      </c>
    </row>
    <row r="1536" spans="1:25" x14ac:dyDescent="0.35">
      <c r="A1536">
        <v>36.725645392927099</v>
      </c>
      <c r="B1536">
        <v>-120.578325881271</v>
      </c>
      <c r="C1536" t="s">
        <v>25</v>
      </c>
      <c r="D1536">
        <v>20.115168221385201</v>
      </c>
      <c r="E1536">
        <v>0</v>
      </c>
      <c r="F1536">
        <v>3947</v>
      </c>
      <c r="G1536">
        <v>5</v>
      </c>
      <c r="H1536">
        <v>3</v>
      </c>
      <c r="I1536">
        <v>1982</v>
      </c>
      <c r="J1536">
        <v>1</v>
      </c>
      <c r="K1536">
        <v>0</v>
      </c>
      <c r="L1536">
        <v>0</v>
      </c>
      <c r="M1536">
        <v>7</v>
      </c>
      <c r="N1536" t="s">
        <v>37</v>
      </c>
      <c r="O1536" t="s">
        <v>27</v>
      </c>
      <c r="P1536">
        <v>13.411145193528499</v>
      </c>
      <c r="Q1536">
        <v>0.80242400132220504</v>
      </c>
      <c r="R1536">
        <v>3.6976388840477799</v>
      </c>
      <c r="S1536">
        <v>4</v>
      </c>
      <c r="T1536">
        <v>68</v>
      </c>
      <c r="U1536">
        <v>650.23682127827306</v>
      </c>
      <c r="V1536">
        <v>1.77349885989359E-3</v>
      </c>
      <c r="W1536">
        <v>2958495.1590157002</v>
      </c>
      <c r="X1536" t="s">
        <v>38</v>
      </c>
      <c r="Y1536">
        <f>1-566-729-9413</f>
        <v>-10707</v>
      </c>
    </row>
    <row r="1537" spans="1:25" x14ac:dyDescent="0.35">
      <c r="A1537">
        <v>33.499410476299197</v>
      </c>
      <c r="B1537">
        <v>-121.315678151396</v>
      </c>
      <c r="C1537" t="s">
        <v>25</v>
      </c>
      <c r="D1537">
        <v>10.5520883112885</v>
      </c>
      <c r="E1537">
        <v>4</v>
      </c>
      <c r="F1537">
        <v>911</v>
      </c>
      <c r="G1537">
        <v>5</v>
      </c>
      <c r="H1537">
        <v>2</v>
      </c>
      <c r="I1537">
        <v>1960</v>
      </c>
      <c r="J1537">
        <v>0</v>
      </c>
      <c r="K1537">
        <v>0</v>
      </c>
      <c r="L1537">
        <v>1</v>
      </c>
      <c r="M1537">
        <v>10</v>
      </c>
      <c r="N1537" t="s">
        <v>26</v>
      </c>
      <c r="O1537" t="s">
        <v>27</v>
      </c>
      <c r="P1537">
        <v>2.0648438535065998</v>
      </c>
      <c r="Q1537">
        <v>1.0272536065789599</v>
      </c>
      <c r="R1537">
        <v>9.9174597233256403</v>
      </c>
      <c r="S1537">
        <v>53</v>
      </c>
      <c r="T1537">
        <v>66</v>
      </c>
      <c r="U1537">
        <v>899.62938543167797</v>
      </c>
      <c r="V1537">
        <v>1.09769484083424E-2</v>
      </c>
      <c r="W1537">
        <v>993212.74697948003</v>
      </c>
      <c r="X1537" t="s">
        <v>31</v>
      </c>
      <c r="Y1537">
        <f>1-386-129-5709</f>
        <v>-6223</v>
      </c>
    </row>
    <row r="1538" spans="1:25" x14ac:dyDescent="0.35">
      <c r="A1538">
        <v>33.8060668163087</v>
      </c>
      <c r="B1538">
        <v>-122.024311875371</v>
      </c>
      <c r="C1538" t="s">
        <v>29</v>
      </c>
      <c r="D1538">
        <v>9.3806924720900007</v>
      </c>
      <c r="E1538">
        <v>1</v>
      </c>
      <c r="F1538">
        <v>4757</v>
      </c>
      <c r="G1538">
        <v>5</v>
      </c>
      <c r="H1538">
        <v>1</v>
      </c>
      <c r="I1538">
        <v>1964</v>
      </c>
      <c r="J1538">
        <v>1</v>
      </c>
      <c r="K1538">
        <v>0</v>
      </c>
      <c r="L1538">
        <v>0</v>
      </c>
      <c r="M1538">
        <v>12</v>
      </c>
      <c r="N1538" t="s">
        <v>35</v>
      </c>
      <c r="O1538" t="s">
        <v>30</v>
      </c>
      <c r="P1538">
        <v>4.7454705213267099</v>
      </c>
      <c r="Q1538">
        <v>1.5798233319677999</v>
      </c>
      <c r="R1538">
        <v>4.94688934888676</v>
      </c>
      <c r="S1538">
        <v>120</v>
      </c>
      <c r="T1538">
        <v>78</v>
      </c>
      <c r="U1538">
        <v>289.49644250515797</v>
      </c>
      <c r="V1538">
        <v>2.5225982762245099E-3</v>
      </c>
      <c r="W1538">
        <v>1592191.6686486001</v>
      </c>
      <c r="X1538" t="s">
        <v>40</v>
      </c>
      <c r="Y1538">
        <f>1-347-868-7615</f>
        <v>-8829</v>
      </c>
    </row>
    <row r="1539" spans="1:25" x14ac:dyDescent="0.35">
      <c r="A1539">
        <v>38.160603068027399</v>
      </c>
      <c r="B1539">
        <v>-120.861255001705</v>
      </c>
      <c r="C1539" t="s">
        <v>34</v>
      </c>
      <c r="D1539">
        <v>8.0716182244688497</v>
      </c>
      <c r="E1539">
        <v>0</v>
      </c>
      <c r="F1539">
        <v>4815</v>
      </c>
      <c r="G1539">
        <v>1</v>
      </c>
      <c r="H1539">
        <v>2</v>
      </c>
      <c r="I1539">
        <v>1983</v>
      </c>
      <c r="J1539">
        <v>0</v>
      </c>
      <c r="K1539">
        <v>0</v>
      </c>
      <c r="L1539">
        <v>1</v>
      </c>
      <c r="M1539">
        <v>14</v>
      </c>
      <c r="N1539" t="s">
        <v>37</v>
      </c>
      <c r="O1539" t="s">
        <v>32</v>
      </c>
      <c r="P1539">
        <v>5.5130696402841499</v>
      </c>
      <c r="Q1539">
        <v>1.62893515286804</v>
      </c>
      <c r="R1539">
        <v>1.5268173028284799</v>
      </c>
      <c r="S1539">
        <v>60</v>
      </c>
      <c r="T1539">
        <v>74</v>
      </c>
      <c r="U1539">
        <v>274.79906375342199</v>
      </c>
      <c r="V1539">
        <v>2.9075804776739298E-3</v>
      </c>
      <c r="W1539">
        <v>1490934.9898826501</v>
      </c>
      <c r="X1539" t="s">
        <v>33</v>
      </c>
      <c r="Y1539">
        <f>1-487-725-4225</f>
        <v>-5436</v>
      </c>
    </row>
    <row r="1540" spans="1:25" x14ac:dyDescent="0.35">
      <c r="A1540">
        <v>35.1114261967126</v>
      </c>
      <c r="B1540">
        <v>-120.57726755108899</v>
      </c>
      <c r="C1540" t="s">
        <v>29</v>
      </c>
      <c r="D1540">
        <v>46.717007111636697</v>
      </c>
      <c r="E1540">
        <v>9</v>
      </c>
      <c r="F1540">
        <v>1186</v>
      </c>
      <c r="G1540">
        <v>3</v>
      </c>
      <c r="H1540">
        <v>2</v>
      </c>
      <c r="I1540">
        <v>1972</v>
      </c>
      <c r="J1540">
        <v>1</v>
      </c>
      <c r="K1540">
        <v>0</v>
      </c>
      <c r="L1540">
        <v>0</v>
      </c>
      <c r="M1540">
        <v>11</v>
      </c>
      <c r="N1540" t="s">
        <v>35</v>
      </c>
      <c r="O1540" t="s">
        <v>32</v>
      </c>
      <c r="P1540">
        <v>10.544687429699099</v>
      </c>
      <c r="Q1540">
        <v>0.70877278854828796</v>
      </c>
      <c r="R1540">
        <v>6.5933475018221204</v>
      </c>
      <c r="S1540">
        <v>84</v>
      </c>
      <c r="T1540">
        <v>21</v>
      </c>
      <c r="U1540">
        <v>778.64660334296696</v>
      </c>
      <c r="V1540">
        <v>9.2748735244519397E-3</v>
      </c>
      <c r="W1540">
        <v>1203627.72424046</v>
      </c>
      <c r="X1540" t="s">
        <v>28</v>
      </c>
      <c r="Y1540">
        <f>1-534-594-4194</f>
        <v>-5321</v>
      </c>
    </row>
    <row r="1541" spans="1:25" x14ac:dyDescent="0.35">
      <c r="A1541">
        <v>39.349670801139801</v>
      </c>
      <c r="B1541">
        <v>-123.75091019870401</v>
      </c>
      <c r="C1541" t="s">
        <v>29</v>
      </c>
      <c r="D1541">
        <v>36.730618895137702</v>
      </c>
      <c r="E1541">
        <v>9</v>
      </c>
      <c r="F1541">
        <v>4994</v>
      </c>
      <c r="G1541">
        <v>5</v>
      </c>
      <c r="H1541">
        <v>2</v>
      </c>
      <c r="I1541">
        <v>1996</v>
      </c>
      <c r="J1541">
        <v>1</v>
      </c>
      <c r="K1541">
        <v>0</v>
      </c>
      <c r="L1541">
        <v>1</v>
      </c>
      <c r="M1541">
        <v>8</v>
      </c>
      <c r="N1541" t="s">
        <v>35</v>
      </c>
      <c r="O1541" t="s">
        <v>32</v>
      </c>
      <c r="P1541">
        <v>12.1582003779118</v>
      </c>
      <c r="Q1541">
        <v>0.72543699300148401</v>
      </c>
      <c r="R1541">
        <v>9.5463914781064201</v>
      </c>
      <c r="S1541">
        <v>142</v>
      </c>
      <c r="T1541">
        <v>62</v>
      </c>
      <c r="U1541">
        <v>409.76989251619801</v>
      </c>
      <c r="V1541">
        <v>1.60192230676812E-3</v>
      </c>
      <c r="W1541">
        <v>2492716.6121092401</v>
      </c>
      <c r="X1541" t="s">
        <v>40</v>
      </c>
      <c r="Y1541">
        <f>1-692-666-1736</f>
        <v>-3093</v>
      </c>
    </row>
    <row r="1542" spans="1:25" x14ac:dyDescent="0.35">
      <c r="A1542">
        <v>34.753583136585597</v>
      </c>
      <c r="B1542">
        <v>-115.760110381928</v>
      </c>
      <c r="C1542" t="s">
        <v>29</v>
      </c>
      <c r="D1542">
        <v>47.112052857058202</v>
      </c>
      <c r="E1542">
        <v>1</v>
      </c>
      <c r="F1542">
        <v>2862</v>
      </c>
      <c r="G1542">
        <v>3</v>
      </c>
      <c r="H1542">
        <v>3</v>
      </c>
      <c r="I1542">
        <v>2006</v>
      </c>
      <c r="J1542">
        <v>0</v>
      </c>
      <c r="K1542">
        <v>0</v>
      </c>
      <c r="L1542">
        <v>1</v>
      </c>
      <c r="M1542">
        <v>7</v>
      </c>
      <c r="N1542" t="s">
        <v>37</v>
      </c>
      <c r="O1542" t="s">
        <v>32</v>
      </c>
      <c r="P1542">
        <v>6.1614015489675102</v>
      </c>
      <c r="Q1542">
        <v>2.2872779630093798</v>
      </c>
      <c r="R1542">
        <v>6.8703927349611602</v>
      </c>
      <c r="S1542">
        <v>17</v>
      </c>
      <c r="T1542">
        <v>61</v>
      </c>
      <c r="U1542">
        <v>542.07101614234796</v>
      </c>
      <c r="V1542">
        <v>2.4458420684835701E-3</v>
      </c>
      <c r="W1542">
        <v>1895240.21481968</v>
      </c>
      <c r="X1542" t="s">
        <v>31</v>
      </c>
      <c r="Y1542">
        <f>1-258-236-6072</f>
        <v>-6565</v>
      </c>
    </row>
    <row r="1543" spans="1:25" x14ac:dyDescent="0.35">
      <c r="A1543">
        <v>35.566009575638702</v>
      </c>
      <c r="B1543">
        <v>-116.828932253415</v>
      </c>
      <c r="C1543" t="s">
        <v>25</v>
      </c>
      <c r="D1543">
        <v>17.1744960864463</v>
      </c>
      <c r="E1543">
        <v>2</v>
      </c>
      <c r="F1543">
        <v>2084</v>
      </c>
      <c r="G1543">
        <v>3</v>
      </c>
      <c r="H1543">
        <v>1</v>
      </c>
      <c r="I1543">
        <v>1985</v>
      </c>
      <c r="J1543">
        <v>1</v>
      </c>
      <c r="K1543">
        <v>1</v>
      </c>
      <c r="L1543">
        <v>0</v>
      </c>
      <c r="M1543">
        <v>10</v>
      </c>
      <c r="N1543" t="s">
        <v>41</v>
      </c>
      <c r="O1543" t="s">
        <v>30</v>
      </c>
      <c r="P1543">
        <v>11.845768223078601</v>
      </c>
      <c r="Q1543">
        <v>2.1510974772467302</v>
      </c>
      <c r="R1543">
        <v>6.70238599398271</v>
      </c>
      <c r="S1543">
        <v>125</v>
      </c>
      <c r="T1543">
        <v>31</v>
      </c>
      <c r="U1543">
        <v>745.880965103412</v>
      </c>
      <c r="V1543">
        <v>4.7984644913627601E-3</v>
      </c>
      <c r="W1543">
        <v>1911865.0867293901</v>
      </c>
      <c r="X1543" t="s">
        <v>44</v>
      </c>
      <c r="Y1543">
        <f>1-451-889-7874</f>
        <v>-9213</v>
      </c>
    </row>
    <row r="1544" spans="1:25" x14ac:dyDescent="0.35">
      <c r="A1544">
        <v>34.255896555681097</v>
      </c>
      <c r="B1544">
        <v>-121.719751914013</v>
      </c>
      <c r="C1544" t="s">
        <v>34</v>
      </c>
      <c r="D1544">
        <v>24.369095217658899</v>
      </c>
      <c r="E1544">
        <v>0</v>
      </c>
      <c r="F1544">
        <v>3745</v>
      </c>
      <c r="G1544">
        <v>2</v>
      </c>
      <c r="H1544">
        <v>3</v>
      </c>
      <c r="I1544">
        <v>1983</v>
      </c>
      <c r="J1544">
        <v>1</v>
      </c>
      <c r="K1544">
        <v>0</v>
      </c>
      <c r="L1544">
        <v>1</v>
      </c>
      <c r="M1544">
        <v>4</v>
      </c>
      <c r="N1544" t="s">
        <v>37</v>
      </c>
      <c r="O1544" t="s">
        <v>27</v>
      </c>
      <c r="P1544">
        <v>12.975037179252499</v>
      </c>
      <c r="Q1544">
        <v>2.4274445299867402</v>
      </c>
      <c r="R1544">
        <v>1.3469816509846699</v>
      </c>
      <c r="S1544">
        <v>48</v>
      </c>
      <c r="T1544">
        <v>78</v>
      </c>
      <c r="U1544">
        <v>616.02531446430305</v>
      </c>
      <c r="V1544">
        <v>1.0680907877169501E-3</v>
      </c>
      <c r="W1544">
        <v>2546427.7586802398</v>
      </c>
      <c r="X1544" t="s">
        <v>38</v>
      </c>
      <c r="Y1544">
        <f>1-588-341-9210</f>
        <v>-10138</v>
      </c>
    </row>
    <row r="1545" spans="1:25" x14ac:dyDescent="0.35">
      <c r="A1545">
        <v>34.736997934325899</v>
      </c>
      <c r="B1545">
        <v>-120.132318874612</v>
      </c>
      <c r="C1545" t="s">
        <v>34</v>
      </c>
      <c r="D1545">
        <v>20.681518458191199</v>
      </c>
      <c r="E1545">
        <v>8</v>
      </c>
      <c r="F1545">
        <v>2265</v>
      </c>
      <c r="G1545">
        <v>2</v>
      </c>
      <c r="H1545">
        <v>2</v>
      </c>
      <c r="I1545">
        <v>2009</v>
      </c>
      <c r="J1545">
        <v>1</v>
      </c>
      <c r="K1545">
        <v>0</v>
      </c>
      <c r="L1545">
        <v>0</v>
      </c>
      <c r="M1545">
        <v>5</v>
      </c>
      <c r="N1545" t="s">
        <v>35</v>
      </c>
      <c r="O1545" t="s">
        <v>30</v>
      </c>
      <c r="P1545">
        <v>13.890268306545501</v>
      </c>
      <c r="Q1545">
        <v>1.7077530476470999</v>
      </c>
      <c r="R1545">
        <v>8.5284579759635601</v>
      </c>
      <c r="S1545">
        <v>87</v>
      </c>
      <c r="T1545">
        <v>24</v>
      </c>
      <c r="U1545">
        <v>894.01921982325098</v>
      </c>
      <c r="V1545">
        <v>2.20750551876379E-3</v>
      </c>
      <c r="W1545">
        <v>2321976.9747316102</v>
      </c>
      <c r="X1545" t="s">
        <v>31</v>
      </c>
      <c r="Y1545">
        <f>1-738-413-1361</f>
        <v>-2511</v>
      </c>
    </row>
    <row r="1546" spans="1:25" x14ac:dyDescent="0.35">
      <c r="A1546">
        <v>36.580358537956101</v>
      </c>
      <c r="B1546">
        <v>-122.090171388513</v>
      </c>
      <c r="C1546" t="s">
        <v>34</v>
      </c>
      <c r="D1546">
        <v>9.3675673464900804</v>
      </c>
      <c r="E1546">
        <v>0</v>
      </c>
      <c r="F1546">
        <v>2250</v>
      </c>
      <c r="G1546">
        <v>1</v>
      </c>
      <c r="H1546">
        <v>1</v>
      </c>
      <c r="I1546">
        <v>2009</v>
      </c>
      <c r="J1546">
        <v>0</v>
      </c>
      <c r="K1546">
        <v>1</v>
      </c>
      <c r="L1546">
        <v>0</v>
      </c>
      <c r="M1546">
        <v>11</v>
      </c>
      <c r="N1546" t="s">
        <v>41</v>
      </c>
      <c r="O1546" t="s">
        <v>27</v>
      </c>
      <c r="P1546">
        <v>8.5855563342766104</v>
      </c>
      <c r="Q1546">
        <v>0.93449175090179804</v>
      </c>
      <c r="R1546">
        <v>7.2859154345083796</v>
      </c>
      <c r="S1546">
        <v>8</v>
      </c>
      <c r="T1546">
        <v>33</v>
      </c>
      <c r="U1546">
        <v>792.15848487413803</v>
      </c>
      <c r="V1546">
        <v>4.8888888888888801E-3</v>
      </c>
      <c r="W1546">
        <v>1960333.08045157</v>
      </c>
      <c r="X1546" t="s">
        <v>28</v>
      </c>
      <c r="Y1546">
        <f>1-766-450-8347</f>
        <v>-9562</v>
      </c>
    </row>
    <row r="1547" spans="1:25" x14ac:dyDescent="0.35">
      <c r="A1547">
        <v>41.444813327347198</v>
      </c>
      <c r="B1547">
        <v>-117.43756023944501</v>
      </c>
      <c r="C1547" t="s">
        <v>34</v>
      </c>
      <c r="D1547">
        <v>40.076577388258997</v>
      </c>
      <c r="E1547">
        <v>4</v>
      </c>
      <c r="F1547">
        <v>1766</v>
      </c>
      <c r="G1547">
        <v>3</v>
      </c>
      <c r="H1547">
        <v>2</v>
      </c>
      <c r="I1547">
        <v>1986</v>
      </c>
      <c r="J1547">
        <v>1</v>
      </c>
      <c r="K1547">
        <v>1</v>
      </c>
      <c r="L1547">
        <v>0</v>
      </c>
      <c r="M1547">
        <v>5</v>
      </c>
      <c r="N1547" t="s">
        <v>37</v>
      </c>
      <c r="O1547" t="s">
        <v>32</v>
      </c>
      <c r="P1547">
        <v>10.785051092992401</v>
      </c>
      <c r="Q1547">
        <v>1.0751532251128799</v>
      </c>
      <c r="R1547">
        <v>2.87665194435567</v>
      </c>
      <c r="S1547">
        <v>168</v>
      </c>
      <c r="T1547">
        <v>78</v>
      </c>
      <c r="U1547">
        <v>266.48792096984897</v>
      </c>
      <c r="V1547">
        <v>2.83125707814269E-3</v>
      </c>
      <c r="W1547">
        <v>799898.47971796396</v>
      </c>
      <c r="X1547" t="s">
        <v>31</v>
      </c>
      <c r="Y1547">
        <f>1-424-238-8686</f>
        <v>-9347</v>
      </c>
    </row>
    <row r="1548" spans="1:25" x14ac:dyDescent="0.35">
      <c r="A1548">
        <v>34.332384629473502</v>
      </c>
      <c r="B1548">
        <v>-114.541083662573</v>
      </c>
      <c r="C1548" t="s">
        <v>25</v>
      </c>
      <c r="D1548">
        <v>48.2870111002741</v>
      </c>
      <c r="E1548">
        <v>7</v>
      </c>
      <c r="F1548">
        <v>2374</v>
      </c>
      <c r="G1548">
        <v>4</v>
      </c>
      <c r="H1548">
        <v>1</v>
      </c>
      <c r="I1548">
        <v>2008</v>
      </c>
      <c r="J1548">
        <v>0</v>
      </c>
      <c r="K1548">
        <v>1</v>
      </c>
      <c r="L1548">
        <v>1</v>
      </c>
      <c r="M1548">
        <v>3</v>
      </c>
      <c r="N1548" t="s">
        <v>37</v>
      </c>
      <c r="O1548" t="s">
        <v>32</v>
      </c>
      <c r="P1548">
        <v>14.4110249107349</v>
      </c>
      <c r="Q1548">
        <v>1.8978875524951899</v>
      </c>
      <c r="R1548">
        <v>0.89584708398233803</v>
      </c>
      <c r="S1548">
        <v>27</v>
      </c>
      <c r="T1548">
        <v>33</v>
      </c>
      <c r="U1548">
        <v>706.47865570444105</v>
      </c>
      <c r="V1548">
        <v>1.2636899747262001E-3</v>
      </c>
      <c r="W1548">
        <v>2079831.7090544901</v>
      </c>
      <c r="X1548" t="s">
        <v>38</v>
      </c>
      <c r="Y1548">
        <f>1-818-185-2147</f>
        <v>-3149</v>
      </c>
    </row>
    <row r="1549" spans="1:25" x14ac:dyDescent="0.35">
      <c r="A1549">
        <v>38.938793808115797</v>
      </c>
      <c r="B1549">
        <v>-124.36082842226701</v>
      </c>
      <c r="C1549" t="s">
        <v>34</v>
      </c>
      <c r="D1549">
        <v>10.984541396668501</v>
      </c>
      <c r="E1549">
        <v>5</v>
      </c>
      <c r="F1549">
        <v>3559</v>
      </c>
      <c r="G1549">
        <v>4</v>
      </c>
      <c r="H1549">
        <v>1</v>
      </c>
      <c r="I1549">
        <v>1984</v>
      </c>
      <c r="J1549">
        <v>0</v>
      </c>
      <c r="K1549">
        <v>1</v>
      </c>
      <c r="L1549">
        <v>0</v>
      </c>
      <c r="M1549">
        <v>9</v>
      </c>
      <c r="N1549" t="s">
        <v>41</v>
      </c>
      <c r="O1549" t="s">
        <v>32</v>
      </c>
      <c r="P1549">
        <v>13.440472627861199</v>
      </c>
      <c r="Q1549">
        <v>0.93619799910970103</v>
      </c>
      <c r="R1549">
        <v>0.64784986232473296</v>
      </c>
      <c r="S1549">
        <v>161</v>
      </c>
      <c r="T1549">
        <v>48</v>
      </c>
      <c r="U1549">
        <v>424.41862725649099</v>
      </c>
      <c r="V1549">
        <v>2.52880022478224E-3</v>
      </c>
      <c r="W1549">
        <v>1827947.5407060401</v>
      </c>
      <c r="X1549" t="s">
        <v>42</v>
      </c>
      <c r="Y1549">
        <f>1-883-316-5873</f>
        <v>-7071</v>
      </c>
    </row>
    <row r="1550" spans="1:25" x14ac:dyDescent="0.35">
      <c r="A1550">
        <v>35.658027917287797</v>
      </c>
      <c r="B1550">
        <v>-122.474714612905</v>
      </c>
      <c r="C1550" t="s">
        <v>34</v>
      </c>
      <c r="D1550">
        <v>33.508856312835498</v>
      </c>
      <c r="E1550">
        <v>2</v>
      </c>
      <c r="F1550">
        <v>2945</v>
      </c>
      <c r="G1550">
        <v>2</v>
      </c>
      <c r="H1550">
        <v>2</v>
      </c>
      <c r="I1550">
        <v>2019</v>
      </c>
      <c r="J1550">
        <v>1</v>
      </c>
      <c r="K1550">
        <v>1</v>
      </c>
      <c r="L1550">
        <v>0</v>
      </c>
      <c r="M1550">
        <v>5</v>
      </c>
      <c r="N1550" t="s">
        <v>35</v>
      </c>
      <c r="O1550" t="s">
        <v>30</v>
      </c>
      <c r="P1550">
        <v>3.3945821911198801</v>
      </c>
      <c r="Q1550">
        <v>1.12952928182135</v>
      </c>
      <c r="R1550">
        <v>5.5036077286883298</v>
      </c>
      <c r="S1550">
        <v>184</v>
      </c>
      <c r="T1550">
        <v>49</v>
      </c>
      <c r="U1550">
        <v>406.23327232083801</v>
      </c>
      <c r="V1550">
        <v>1.6977928692699399E-3</v>
      </c>
      <c r="W1550">
        <v>1398290.4864785699</v>
      </c>
      <c r="X1550" t="s">
        <v>31</v>
      </c>
      <c r="Y1550">
        <f>1-636-634-7425</f>
        <v>-8694</v>
      </c>
    </row>
    <row r="1551" spans="1:25" x14ac:dyDescent="0.35">
      <c r="A1551">
        <v>34.9797860364054</v>
      </c>
      <c r="B1551">
        <v>-121.950954942612</v>
      </c>
      <c r="C1551" t="s">
        <v>29</v>
      </c>
      <c r="D1551">
        <v>37.418447683973703</v>
      </c>
      <c r="E1551">
        <v>7</v>
      </c>
      <c r="F1551">
        <v>1302</v>
      </c>
      <c r="G1551">
        <v>2</v>
      </c>
      <c r="H1551">
        <v>1</v>
      </c>
      <c r="I1551">
        <v>1993</v>
      </c>
      <c r="J1551">
        <v>1</v>
      </c>
      <c r="K1551">
        <v>0</v>
      </c>
      <c r="L1551">
        <v>0</v>
      </c>
      <c r="M1551">
        <v>4</v>
      </c>
      <c r="N1551" t="s">
        <v>37</v>
      </c>
      <c r="O1551" t="s">
        <v>32</v>
      </c>
      <c r="P1551">
        <v>8.5678753087317201</v>
      </c>
      <c r="Q1551">
        <v>1.6639962545974101</v>
      </c>
      <c r="R1551">
        <v>7.5087391326136599</v>
      </c>
      <c r="S1551">
        <v>65</v>
      </c>
      <c r="T1551">
        <v>75</v>
      </c>
      <c r="U1551">
        <v>406.32946720997398</v>
      </c>
      <c r="V1551">
        <v>3.07219662058371E-3</v>
      </c>
      <c r="W1551">
        <v>654969.13736242999</v>
      </c>
      <c r="X1551" t="s">
        <v>31</v>
      </c>
      <c r="Y1551">
        <f>1-585-293-2953</f>
        <v>-3830</v>
      </c>
    </row>
    <row r="1552" spans="1:25" x14ac:dyDescent="0.35">
      <c r="A1552">
        <v>41.623145025386201</v>
      </c>
      <c r="B1552">
        <v>-117.305795014954</v>
      </c>
      <c r="C1552" t="s">
        <v>25</v>
      </c>
      <c r="D1552">
        <v>7.8704210544260098</v>
      </c>
      <c r="E1552">
        <v>8</v>
      </c>
      <c r="F1552">
        <v>3875</v>
      </c>
      <c r="G1552">
        <v>5</v>
      </c>
      <c r="H1552">
        <v>2</v>
      </c>
      <c r="I1552">
        <v>1966</v>
      </c>
      <c r="J1552">
        <v>0</v>
      </c>
      <c r="K1552">
        <v>0</v>
      </c>
      <c r="L1552">
        <v>0</v>
      </c>
      <c r="M1552">
        <v>14</v>
      </c>
      <c r="N1552" t="s">
        <v>41</v>
      </c>
      <c r="O1552" t="s">
        <v>27</v>
      </c>
      <c r="P1552">
        <v>2.0499011186891098</v>
      </c>
      <c r="Q1552">
        <v>0.56327220528444699</v>
      </c>
      <c r="R1552">
        <v>2.86062114488983</v>
      </c>
      <c r="S1552">
        <v>106</v>
      </c>
      <c r="T1552">
        <v>29</v>
      </c>
      <c r="U1552">
        <v>508.357275468301</v>
      </c>
      <c r="V1552">
        <v>3.6129032258064501E-3</v>
      </c>
      <c r="W1552">
        <v>2188650.7359494702</v>
      </c>
      <c r="X1552" t="s">
        <v>44</v>
      </c>
      <c r="Y1552">
        <f>1-407-512-2247</f>
        <v>-3165</v>
      </c>
    </row>
    <row r="1553" spans="1:25" x14ac:dyDescent="0.35">
      <c r="A1553">
        <v>39.288234736462996</v>
      </c>
      <c r="B1553">
        <v>-114.21770155042501</v>
      </c>
      <c r="C1553" t="s">
        <v>34</v>
      </c>
      <c r="D1553">
        <v>6.9072760779423303</v>
      </c>
      <c r="E1553">
        <v>1</v>
      </c>
      <c r="F1553">
        <v>4617</v>
      </c>
      <c r="G1553">
        <v>1</v>
      </c>
      <c r="H1553">
        <v>1</v>
      </c>
      <c r="I1553">
        <v>1965</v>
      </c>
      <c r="J1553">
        <v>1</v>
      </c>
      <c r="K1553">
        <v>0</v>
      </c>
      <c r="L1553">
        <v>1</v>
      </c>
      <c r="M1553">
        <v>2</v>
      </c>
      <c r="N1553" t="s">
        <v>37</v>
      </c>
      <c r="O1553" t="s">
        <v>32</v>
      </c>
      <c r="P1553">
        <v>7.82406265961224</v>
      </c>
      <c r="Q1553">
        <v>0.65787423598225403</v>
      </c>
      <c r="R1553">
        <v>0.78140267512239103</v>
      </c>
      <c r="S1553">
        <v>70</v>
      </c>
      <c r="T1553">
        <v>45</v>
      </c>
      <c r="U1553">
        <v>249.02812424719099</v>
      </c>
      <c r="V1553">
        <v>4.33181719731427E-4</v>
      </c>
      <c r="W1553">
        <v>1251792.6463311899</v>
      </c>
      <c r="X1553" t="s">
        <v>38</v>
      </c>
      <c r="Y1553">
        <f>1-340-719-3191</f>
        <v>-4249</v>
      </c>
    </row>
    <row r="1554" spans="1:25" x14ac:dyDescent="0.35">
      <c r="A1554">
        <v>33.134357940933498</v>
      </c>
      <c r="B1554">
        <v>-114.71581883244799</v>
      </c>
      <c r="C1554" t="s">
        <v>34</v>
      </c>
      <c r="D1554">
        <v>44.327867991513202</v>
      </c>
      <c r="E1554">
        <v>6</v>
      </c>
      <c r="F1554">
        <v>2406</v>
      </c>
      <c r="G1554">
        <v>5</v>
      </c>
      <c r="H1554">
        <v>3</v>
      </c>
      <c r="I1554">
        <v>1977</v>
      </c>
      <c r="J1554">
        <v>0</v>
      </c>
      <c r="K1554">
        <v>1</v>
      </c>
      <c r="L1554">
        <v>0</v>
      </c>
      <c r="M1554">
        <v>2</v>
      </c>
      <c r="N1554" t="s">
        <v>35</v>
      </c>
      <c r="O1554" t="s">
        <v>30</v>
      </c>
      <c r="P1554">
        <v>9.1822207463431091</v>
      </c>
      <c r="Q1554">
        <v>0.76207578391692099</v>
      </c>
      <c r="R1554">
        <v>0.11410236870092701</v>
      </c>
      <c r="S1554">
        <v>97</v>
      </c>
      <c r="T1554">
        <v>78</v>
      </c>
      <c r="U1554">
        <v>972.94905188945495</v>
      </c>
      <c r="V1554">
        <v>8.3125519534497005E-4</v>
      </c>
      <c r="W1554">
        <v>2788176.6147855199</v>
      </c>
      <c r="X1554" t="s">
        <v>31</v>
      </c>
      <c r="Y1554">
        <f>1-789-505-1022</f>
        <v>-2315</v>
      </c>
    </row>
    <row r="1555" spans="1:25" x14ac:dyDescent="0.35">
      <c r="A1555">
        <v>39.068367388697901</v>
      </c>
      <c r="B1555">
        <v>-123.803905511632</v>
      </c>
      <c r="C1555" t="s">
        <v>25</v>
      </c>
      <c r="D1555">
        <v>49.605016310152301</v>
      </c>
      <c r="E1555">
        <v>3</v>
      </c>
      <c r="F1555">
        <v>846</v>
      </c>
      <c r="G1555">
        <v>2</v>
      </c>
      <c r="H1555">
        <v>1</v>
      </c>
      <c r="I1555">
        <v>2016</v>
      </c>
      <c r="J1555">
        <v>1</v>
      </c>
      <c r="K1555">
        <v>0</v>
      </c>
      <c r="L1555">
        <v>0</v>
      </c>
      <c r="M1555">
        <v>10</v>
      </c>
      <c r="N1555" t="s">
        <v>26</v>
      </c>
      <c r="O1555" t="s">
        <v>32</v>
      </c>
      <c r="P1555">
        <v>7.2186156102179098</v>
      </c>
      <c r="Q1555">
        <v>1.86056327502729</v>
      </c>
      <c r="R1555">
        <v>0.80350041578590403</v>
      </c>
      <c r="S1555">
        <v>57</v>
      </c>
      <c r="T1555">
        <v>60</v>
      </c>
      <c r="U1555">
        <v>657.69541036988505</v>
      </c>
      <c r="V1555">
        <v>1.1820330969267099E-2</v>
      </c>
      <c r="W1555">
        <v>745734.40966417396</v>
      </c>
      <c r="X1555" t="s">
        <v>33</v>
      </c>
      <c r="Y1555">
        <f>1-821-178-2065</f>
        <v>-3063</v>
      </c>
    </row>
    <row r="1556" spans="1:25" x14ac:dyDescent="0.35">
      <c r="A1556">
        <v>41.313046025116101</v>
      </c>
      <c r="B1556">
        <v>-118.385512352907</v>
      </c>
      <c r="C1556" t="s">
        <v>25</v>
      </c>
      <c r="D1556">
        <v>39.7927007388219</v>
      </c>
      <c r="E1556">
        <v>0</v>
      </c>
      <c r="F1556">
        <v>2696</v>
      </c>
      <c r="G1556">
        <v>5</v>
      </c>
      <c r="H1556">
        <v>2</v>
      </c>
      <c r="I1556">
        <v>1950</v>
      </c>
      <c r="J1556">
        <v>1</v>
      </c>
      <c r="K1556">
        <v>1</v>
      </c>
      <c r="L1556">
        <v>0</v>
      </c>
      <c r="M1556">
        <v>12</v>
      </c>
      <c r="N1556" t="s">
        <v>26</v>
      </c>
      <c r="O1556" t="s">
        <v>30</v>
      </c>
      <c r="P1556">
        <v>10.8194598323263</v>
      </c>
      <c r="Q1556">
        <v>0.59138000417491399</v>
      </c>
      <c r="R1556">
        <v>8.4445998203892394</v>
      </c>
      <c r="S1556">
        <v>104</v>
      </c>
      <c r="T1556">
        <v>50</v>
      </c>
      <c r="U1556">
        <v>951.58466440762299</v>
      </c>
      <c r="V1556">
        <v>4.4510385756676499E-3</v>
      </c>
      <c r="W1556">
        <v>3021703.0108614801</v>
      </c>
      <c r="X1556" t="s">
        <v>38</v>
      </c>
      <c r="Y1556">
        <f>1-945-943-9777</f>
        <v>-11664</v>
      </c>
    </row>
    <row r="1557" spans="1:25" x14ac:dyDescent="0.35">
      <c r="A1557">
        <v>36.844995756075797</v>
      </c>
      <c r="B1557">
        <v>-118.697049314016</v>
      </c>
      <c r="C1557" t="s">
        <v>25</v>
      </c>
      <c r="D1557">
        <v>18.664780473365202</v>
      </c>
      <c r="E1557">
        <v>3</v>
      </c>
      <c r="F1557">
        <v>3464</v>
      </c>
      <c r="G1557">
        <v>4</v>
      </c>
      <c r="H1557">
        <v>1</v>
      </c>
      <c r="I1557">
        <v>1966</v>
      </c>
      <c r="J1557">
        <v>0</v>
      </c>
      <c r="K1557">
        <v>0</v>
      </c>
      <c r="L1557">
        <v>1</v>
      </c>
      <c r="M1557">
        <v>8</v>
      </c>
      <c r="N1557" t="s">
        <v>26</v>
      </c>
      <c r="O1557" t="s">
        <v>30</v>
      </c>
      <c r="P1557">
        <v>12.3325874790436</v>
      </c>
      <c r="Q1557">
        <v>1.3541545147421401</v>
      </c>
      <c r="R1557">
        <v>7.7136189163156503</v>
      </c>
      <c r="S1557">
        <v>5</v>
      </c>
      <c r="T1557">
        <v>63</v>
      </c>
      <c r="U1557">
        <v>715.89236738403497</v>
      </c>
      <c r="V1557">
        <v>2.3094688221708998E-3</v>
      </c>
      <c r="W1557">
        <v>2746462.2110063499</v>
      </c>
      <c r="X1557" t="s">
        <v>36</v>
      </c>
      <c r="Y1557">
        <f>1-297-692-1775</f>
        <v>-2763</v>
      </c>
    </row>
    <row r="1558" spans="1:25" x14ac:dyDescent="0.35">
      <c r="A1558">
        <v>34.015408684090097</v>
      </c>
      <c r="B1558">
        <v>-122.31861025833101</v>
      </c>
      <c r="C1558" t="s">
        <v>25</v>
      </c>
      <c r="D1558">
        <v>40.295545683142798</v>
      </c>
      <c r="E1558">
        <v>4</v>
      </c>
      <c r="F1558">
        <v>1168</v>
      </c>
      <c r="G1558">
        <v>2</v>
      </c>
      <c r="H1558">
        <v>3</v>
      </c>
      <c r="I1558">
        <v>1954</v>
      </c>
      <c r="J1558">
        <v>1</v>
      </c>
      <c r="K1558">
        <v>1</v>
      </c>
      <c r="L1558">
        <v>0</v>
      </c>
      <c r="M1558">
        <v>2</v>
      </c>
      <c r="N1558" t="s">
        <v>35</v>
      </c>
      <c r="O1558" t="s">
        <v>32</v>
      </c>
      <c r="P1558">
        <v>10.9215659756142</v>
      </c>
      <c r="Q1558">
        <v>1.87056773138671</v>
      </c>
      <c r="R1558">
        <v>2.3320165396798802</v>
      </c>
      <c r="S1558">
        <v>49</v>
      </c>
      <c r="T1558">
        <v>46</v>
      </c>
      <c r="U1558">
        <v>880.18227971578301</v>
      </c>
      <c r="V1558">
        <v>1.71232876712328E-3</v>
      </c>
      <c r="W1558">
        <v>1376278.3193984299</v>
      </c>
      <c r="X1558" t="s">
        <v>33</v>
      </c>
      <c r="Y1558">
        <f>1-541-692-4385</f>
        <v>-5617</v>
      </c>
    </row>
    <row r="1559" spans="1:25" x14ac:dyDescent="0.35">
      <c r="A1559">
        <v>34.462098478365697</v>
      </c>
      <c r="B1559">
        <v>-119.452537638287</v>
      </c>
      <c r="C1559" t="s">
        <v>29</v>
      </c>
      <c r="D1559">
        <v>12.6410334650178</v>
      </c>
      <c r="E1559">
        <v>3</v>
      </c>
      <c r="F1559">
        <v>961</v>
      </c>
      <c r="G1559">
        <v>2</v>
      </c>
      <c r="H1559">
        <v>2</v>
      </c>
      <c r="I1559">
        <v>1956</v>
      </c>
      <c r="J1559">
        <v>0</v>
      </c>
      <c r="K1559">
        <v>1</v>
      </c>
      <c r="L1559">
        <v>1</v>
      </c>
      <c r="M1559">
        <v>7</v>
      </c>
      <c r="N1559" t="s">
        <v>26</v>
      </c>
      <c r="O1559" t="s">
        <v>30</v>
      </c>
      <c r="P1559">
        <v>14.8500912896851</v>
      </c>
      <c r="Q1559">
        <v>1.7765586677140599</v>
      </c>
      <c r="R1559">
        <v>8.8707807990063507</v>
      </c>
      <c r="S1559">
        <v>21</v>
      </c>
      <c r="T1559">
        <v>71</v>
      </c>
      <c r="U1559">
        <v>883.86317030065004</v>
      </c>
      <c r="V1559">
        <v>7.2840790842872002E-3</v>
      </c>
      <c r="W1559">
        <v>1152235.1278917501</v>
      </c>
      <c r="X1559" t="s">
        <v>38</v>
      </c>
      <c r="Y1559">
        <f>1-681-806-7544</f>
        <v>-9030</v>
      </c>
    </row>
    <row r="1560" spans="1:25" x14ac:dyDescent="0.35">
      <c r="A1560">
        <v>33.413254388308403</v>
      </c>
      <c r="B1560">
        <v>-123.924400398412</v>
      </c>
      <c r="C1560" t="s">
        <v>34</v>
      </c>
      <c r="D1560">
        <v>8.1630283478676606</v>
      </c>
      <c r="E1560">
        <v>4</v>
      </c>
      <c r="F1560">
        <v>1931</v>
      </c>
      <c r="G1560">
        <v>3</v>
      </c>
      <c r="H1560">
        <v>3</v>
      </c>
      <c r="I1560">
        <v>1990</v>
      </c>
      <c r="J1560">
        <v>1</v>
      </c>
      <c r="K1560">
        <v>1</v>
      </c>
      <c r="L1560">
        <v>0</v>
      </c>
      <c r="M1560">
        <v>3</v>
      </c>
      <c r="N1560" t="s">
        <v>37</v>
      </c>
      <c r="O1560" t="s">
        <v>27</v>
      </c>
      <c r="P1560">
        <v>9.8809291318156998</v>
      </c>
      <c r="Q1560">
        <v>1.2035985398448801</v>
      </c>
      <c r="R1560">
        <v>5.4014217358364602</v>
      </c>
      <c r="S1560">
        <v>153</v>
      </c>
      <c r="T1560">
        <v>20</v>
      </c>
      <c r="U1560">
        <v>736.19792376399505</v>
      </c>
      <c r="V1560">
        <v>1.55359917141377E-3</v>
      </c>
      <c r="W1560">
        <v>1761054.1596309899</v>
      </c>
      <c r="X1560" t="s">
        <v>28</v>
      </c>
      <c r="Y1560">
        <f>1-319-869-2208</f>
        <v>-3395</v>
      </c>
    </row>
    <row r="1561" spans="1:25" x14ac:dyDescent="0.35">
      <c r="A1561">
        <v>39.606659917997199</v>
      </c>
      <c r="B1561">
        <v>-116.944822188402</v>
      </c>
      <c r="C1561" t="s">
        <v>34</v>
      </c>
      <c r="D1561">
        <v>44.3860794028976</v>
      </c>
      <c r="E1561">
        <v>7</v>
      </c>
      <c r="F1561">
        <v>1575</v>
      </c>
      <c r="G1561">
        <v>1</v>
      </c>
      <c r="H1561">
        <v>2</v>
      </c>
      <c r="I1561">
        <v>1998</v>
      </c>
      <c r="J1561">
        <v>1</v>
      </c>
      <c r="K1561">
        <v>0</v>
      </c>
      <c r="L1561">
        <v>0</v>
      </c>
      <c r="M1561">
        <v>5</v>
      </c>
      <c r="N1561" t="s">
        <v>37</v>
      </c>
      <c r="O1561" t="s">
        <v>27</v>
      </c>
      <c r="P1561">
        <v>12.2656830070884</v>
      </c>
      <c r="Q1561">
        <v>1.4466814337367899</v>
      </c>
      <c r="R1561">
        <v>4.9266179720215204</v>
      </c>
      <c r="S1561">
        <v>110</v>
      </c>
      <c r="T1561">
        <v>36</v>
      </c>
      <c r="U1561">
        <v>314.08869487046798</v>
      </c>
      <c r="V1561">
        <v>3.1746031746031698E-3</v>
      </c>
      <c r="W1561">
        <v>685917.17087004904</v>
      </c>
      <c r="X1561" t="s">
        <v>31</v>
      </c>
      <c r="Y1561">
        <f>1-318-263-1000</f>
        <v>-1580</v>
      </c>
    </row>
    <row r="1562" spans="1:25" x14ac:dyDescent="0.35">
      <c r="A1562">
        <v>37.1303844316514</v>
      </c>
      <c r="B1562">
        <v>-118.98633535178899</v>
      </c>
      <c r="C1562" t="s">
        <v>25</v>
      </c>
      <c r="D1562">
        <v>25.728205264555701</v>
      </c>
      <c r="E1562">
        <v>6</v>
      </c>
      <c r="F1562">
        <v>1508</v>
      </c>
      <c r="G1562">
        <v>2</v>
      </c>
      <c r="H1562">
        <v>3</v>
      </c>
      <c r="I1562">
        <v>2021</v>
      </c>
      <c r="J1562">
        <v>1</v>
      </c>
      <c r="K1562">
        <v>1</v>
      </c>
      <c r="L1562">
        <v>0</v>
      </c>
      <c r="M1562">
        <v>11</v>
      </c>
      <c r="N1562" t="s">
        <v>37</v>
      </c>
      <c r="O1562" t="s">
        <v>32</v>
      </c>
      <c r="P1562">
        <v>9.6570932016437698</v>
      </c>
      <c r="Q1562">
        <v>0.91544377024186596</v>
      </c>
      <c r="R1562">
        <v>2.3710931554972201</v>
      </c>
      <c r="S1562">
        <v>99</v>
      </c>
      <c r="T1562">
        <v>31</v>
      </c>
      <c r="U1562">
        <v>375.75413205585301</v>
      </c>
      <c r="V1562">
        <v>7.2944297082228101E-3</v>
      </c>
      <c r="W1562">
        <v>922472.87367277604</v>
      </c>
      <c r="X1562" t="s">
        <v>38</v>
      </c>
      <c r="Y1562">
        <f>1-987-289-2120</f>
        <v>-3395</v>
      </c>
    </row>
    <row r="1563" spans="1:25" x14ac:dyDescent="0.35">
      <c r="A1563">
        <v>40.259625764801797</v>
      </c>
      <c r="B1563">
        <v>-114.736596308443</v>
      </c>
      <c r="C1563" t="s">
        <v>25</v>
      </c>
      <c r="D1563">
        <v>28.1701740897525</v>
      </c>
      <c r="E1563">
        <v>6</v>
      </c>
      <c r="F1563">
        <v>3089</v>
      </c>
      <c r="G1563">
        <v>5</v>
      </c>
      <c r="H1563">
        <v>3</v>
      </c>
      <c r="I1563">
        <v>2002</v>
      </c>
      <c r="J1563">
        <v>0</v>
      </c>
      <c r="K1563">
        <v>1</v>
      </c>
      <c r="L1563">
        <v>1</v>
      </c>
      <c r="M1563">
        <v>5</v>
      </c>
      <c r="N1563" t="s">
        <v>35</v>
      </c>
      <c r="O1563" t="s">
        <v>32</v>
      </c>
      <c r="P1563">
        <v>13.1672084029844</v>
      </c>
      <c r="Q1563">
        <v>0.80243734798446298</v>
      </c>
      <c r="R1563">
        <v>1.3653103535028099</v>
      </c>
      <c r="S1563">
        <v>13</v>
      </c>
      <c r="T1563">
        <v>76</v>
      </c>
      <c r="U1563">
        <v>620.34421167555297</v>
      </c>
      <c r="V1563">
        <v>1.6186468112657801E-3</v>
      </c>
      <c r="W1563">
        <v>2397722.3846267099</v>
      </c>
      <c r="X1563" t="s">
        <v>38</v>
      </c>
      <c r="Y1563">
        <f>1-703-349-6079</f>
        <v>-7130</v>
      </c>
    </row>
    <row r="1564" spans="1:25" x14ac:dyDescent="0.35">
      <c r="A1564">
        <v>41.6189631079015</v>
      </c>
      <c r="B1564">
        <v>-115.23520473641901</v>
      </c>
      <c r="C1564" t="s">
        <v>34</v>
      </c>
      <c r="D1564">
        <v>17.993517946770901</v>
      </c>
      <c r="E1564">
        <v>7</v>
      </c>
      <c r="F1564">
        <v>4653</v>
      </c>
      <c r="G1564">
        <v>2</v>
      </c>
      <c r="H1564">
        <v>2</v>
      </c>
      <c r="I1564">
        <v>2002</v>
      </c>
      <c r="J1564">
        <v>1</v>
      </c>
      <c r="K1564">
        <v>0</v>
      </c>
      <c r="L1564">
        <v>0</v>
      </c>
      <c r="M1564">
        <v>7</v>
      </c>
      <c r="N1564" t="s">
        <v>26</v>
      </c>
      <c r="O1564" t="s">
        <v>27</v>
      </c>
      <c r="P1564">
        <v>5.8227206616428804</v>
      </c>
      <c r="Q1564">
        <v>1.9000970590353401</v>
      </c>
      <c r="R1564">
        <v>2.6832613398038401</v>
      </c>
      <c r="S1564">
        <v>174</v>
      </c>
      <c r="T1564">
        <v>46</v>
      </c>
      <c r="U1564">
        <v>776.36407005839806</v>
      </c>
      <c r="V1564">
        <v>1.5044057597249001E-3</v>
      </c>
      <c r="W1564">
        <v>3772719.7235840298</v>
      </c>
      <c r="X1564" t="s">
        <v>33</v>
      </c>
      <c r="Y1564">
        <f>1-204-745-7776</f>
        <v>-8724</v>
      </c>
    </row>
    <row r="1565" spans="1:25" x14ac:dyDescent="0.35">
      <c r="A1565">
        <v>33.139688062516001</v>
      </c>
      <c r="B1565">
        <v>-118.419425562082</v>
      </c>
      <c r="C1565" t="s">
        <v>34</v>
      </c>
      <c r="D1565">
        <v>48.050640290819999</v>
      </c>
      <c r="E1565">
        <v>1</v>
      </c>
      <c r="F1565">
        <v>2507</v>
      </c>
      <c r="G1565">
        <v>4</v>
      </c>
      <c r="H1565">
        <v>3</v>
      </c>
      <c r="I1565">
        <v>2014</v>
      </c>
      <c r="J1565">
        <v>0</v>
      </c>
      <c r="K1565">
        <v>0</v>
      </c>
      <c r="L1565">
        <v>1</v>
      </c>
      <c r="M1565">
        <v>10</v>
      </c>
      <c r="N1565" t="s">
        <v>35</v>
      </c>
      <c r="O1565" t="s">
        <v>32</v>
      </c>
      <c r="P1565">
        <v>7.7366019945750999</v>
      </c>
      <c r="Q1565">
        <v>2.0671605263822501</v>
      </c>
      <c r="R1565">
        <v>5.75027919388938</v>
      </c>
      <c r="S1565">
        <v>8</v>
      </c>
      <c r="T1565">
        <v>28</v>
      </c>
      <c r="U1565">
        <v>498.99166131184199</v>
      </c>
      <c r="V1565">
        <v>3.98883127243717E-3</v>
      </c>
      <c r="W1565">
        <v>1566505.4124473699</v>
      </c>
      <c r="X1565" t="s">
        <v>43</v>
      </c>
      <c r="Y1565">
        <f>1-366-948-6038</f>
        <v>-7351</v>
      </c>
    </row>
    <row r="1566" spans="1:25" x14ac:dyDescent="0.35">
      <c r="A1566">
        <v>34.078243349174002</v>
      </c>
      <c r="B1566">
        <v>-119.938238912578</v>
      </c>
      <c r="C1566" t="s">
        <v>25</v>
      </c>
      <c r="D1566">
        <v>35.475050469585497</v>
      </c>
      <c r="E1566">
        <v>9</v>
      </c>
      <c r="F1566">
        <v>843</v>
      </c>
      <c r="G1566">
        <v>2</v>
      </c>
      <c r="H1566">
        <v>1</v>
      </c>
      <c r="I1566">
        <v>2008</v>
      </c>
      <c r="J1566">
        <v>0</v>
      </c>
      <c r="K1566">
        <v>1</v>
      </c>
      <c r="L1566">
        <v>1</v>
      </c>
      <c r="M1566">
        <v>11</v>
      </c>
      <c r="N1566" t="s">
        <v>26</v>
      </c>
      <c r="O1566" t="s">
        <v>30</v>
      </c>
      <c r="P1566">
        <v>11.6998940745999</v>
      </c>
      <c r="Q1566">
        <v>0.69524871423631296</v>
      </c>
      <c r="R1566">
        <v>7.0505671330800999</v>
      </c>
      <c r="S1566">
        <v>33</v>
      </c>
      <c r="T1566">
        <v>54</v>
      </c>
      <c r="U1566">
        <v>795.89052625404099</v>
      </c>
      <c r="V1566">
        <v>1.3048635824436499E-2</v>
      </c>
      <c r="W1566">
        <v>1021050.53639962</v>
      </c>
      <c r="X1566" t="s">
        <v>38</v>
      </c>
      <c r="Y1566">
        <f>1-399-514-1484</f>
        <v>-2396</v>
      </c>
    </row>
    <row r="1567" spans="1:25" x14ac:dyDescent="0.35">
      <c r="A1567">
        <v>35.5729682243879</v>
      </c>
      <c r="B1567">
        <v>-119.71870371793101</v>
      </c>
      <c r="C1567" t="s">
        <v>25</v>
      </c>
      <c r="D1567">
        <v>28.316480349907899</v>
      </c>
      <c r="E1567">
        <v>0</v>
      </c>
      <c r="F1567">
        <v>1580</v>
      </c>
      <c r="G1567">
        <v>1</v>
      </c>
      <c r="H1567">
        <v>1</v>
      </c>
      <c r="I1567">
        <v>2010</v>
      </c>
      <c r="J1567">
        <v>1</v>
      </c>
      <c r="K1567">
        <v>0</v>
      </c>
      <c r="L1567">
        <v>0</v>
      </c>
      <c r="M1567">
        <v>3</v>
      </c>
      <c r="N1567" t="s">
        <v>41</v>
      </c>
      <c r="O1567" t="s">
        <v>30</v>
      </c>
      <c r="P1567">
        <v>9.0047325238238507</v>
      </c>
      <c r="Q1567">
        <v>0.76236962783548901</v>
      </c>
      <c r="R1567">
        <v>7.2472071689445903</v>
      </c>
      <c r="S1567">
        <v>59</v>
      </c>
      <c r="T1567">
        <v>37</v>
      </c>
      <c r="U1567">
        <v>799.37038149922796</v>
      </c>
      <c r="V1567">
        <v>1.89873417721518E-3</v>
      </c>
      <c r="W1567">
        <v>1371963.0436898</v>
      </c>
      <c r="X1567" t="s">
        <v>33</v>
      </c>
      <c r="Y1567">
        <f>1-503-520-3364</f>
        <v>-4386</v>
      </c>
    </row>
    <row r="1568" spans="1:25" x14ac:dyDescent="0.35">
      <c r="A1568">
        <v>35.061520935564999</v>
      </c>
      <c r="B1568">
        <v>-117.60205649312201</v>
      </c>
      <c r="C1568" t="s">
        <v>25</v>
      </c>
      <c r="D1568">
        <v>18.6344851985173</v>
      </c>
      <c r="E1568">
        <v>1</v>
      </c>
      <c r="F1568">
        <v>3549</v>
      </c>
      <c r="G1568">
        <v>5</v>
      </c>
      <c r="H1568">
        <v>1</v>
      </c>
      <c r="I1568">
        <v>1987</v>
      </c>
      <c r="J1568">
        <v>0</v>
      </c>
      <c r="K1568">
        <v>0</v>
      </c>
      <c r="L1568">
        <v>0</v>
      </c>
      <c r="M1568">
        <v>14</v>
      </c>
      <c r="N1568" t="s">
        <v>35</v>
      </c>
      <c r="O1568" t="s">
        <v>30</v>
      </c>
      <c r="P1568">
        <v>8.8444510157271896</v>
      </c>
      <c r="Q1568">
        <v>2.4744365741103098</v>
      </c>
      <c r="R1568">
        <v>1.97158742644549</v>
      </c>
      <c r="S1568">
        <v>149</v>
      </c>
      <c r="T1568">
        <v>49</v>
      </c>
      <c r="U1568">
        <v>824.46731755885901</v>
      </c>
      <c r="V1568">
        <v>3.9447731755423996E-3</v>
      </c>
      <c r="W1568">
        <v>3183889.14506756</v>
      </c>
      <c r="X1568" t="s">
        <v>36</v>
      </c>
      <c r="Y1568">
        <f>1-990-660-6091</f>
        <v>-7740</v>
      </c>
    </row>
    <row r="1569" spans="1:25" x14ac:dyDescent="0.35">
      <c r="A1569">
        <v>36.781096811453999</v>
      </c>
      <c r="B1569">
        <v>-121.154361634498</v>
      </c>
      <c r="C1569" t="s">
        <v>25</v>
      </c>
      <c r="D1569">
        <v>23.394151412076798</v>
      </c>
      <c r="E1569">
        <v>7</v>
      </c>
      <c r="F1569">
        <v>4288</v>
      </c>
      <c r="G1569">
        <v>5</v>
      </c>
      <c r="H1569">
        <v>1</v>
      </c>
      <c r="I1569">
        <v>2012</v>
      </c>
      <c r="J1569">
        <v>0</v>
      </c>
      <c r="K1569">
        <v>0</v>
      </c>
      <c r="L1569">
        <v>0</v>
      </c>
      <c r="M1569">
        <v>2</v>
      </c>
      <c r="N1569" t="s">
        <v>41</v>
      </c>
      <c r="O1569" t="s">
        <v>27</v>
      </c>
      <c r="P1569">
        <v>7.6332691363782104</v>
      </c>
      <c r="Q1569">
        <v>0.70701179218587595</v>
      </c>
      <c r="R1569">
        <v>5.2951505625492503</v>
      </c>
      <c r="S1569">
        <v>81</v>
      </c>
      <c r="T1569">
        <v>46</v>
      </c>
      <c r="U1569">
        <v>889.32588893989498</v>
      </c>
      <c r="V1569">
        <v>4.6641791044776102E-4</v>
      </c>
      <c r="W1569">
        <v>4088311.8842843701</v>
      </c>
      <c r="X1569" t="s">
        <v>40</v>
      </c>
      <c r="Y1569">
        <f>1-254-798-3490</f>
        <v>-4541</v>
      </c>
    </row>
    <row r="1570" spans="1:25" x14ac:dyDescent="0.35">
      <c r="A1570">
        <v>39.857048999371202</v>
      </c>
      <c r="B1570">
        <v>-119.722344332044</v>
      </c>
      <c r="C1570" t="s">
        <v>25</v>
      </c>
      <c r="D1570">
        <v>7.8529362733648203</v>
      </c>
      <c r="E1570">
        <v>3</v>
      </c>
      <c r="F1570">
        <v>500</v>
      </c>
      <c r="G1570">
        <v>2</v>
      </c>
      <c r="H1570">
        <v>1</v>
      </c>
      <c r="I1570">
        <v>2018</v>
      </c>
      <c r="J1570">
        <v>1</v>
      </c>
      <c r="K1570">
        <v>1</v>
      </c>
      <c r="L1570">
        <v>1</v>
      </c>
      <c r="M1570">
        <v>2</v>
      </c>
      <c r="N1570" t="s">
        <v>37</v>
      </c>
      <c r="O1570" t="s">
        <v>27</v>
      </c>
      <c r="P1570">
        <v>13.622399075061001</v>
      </c>
      <c r="Q1570">
        <v>2.3664685678981301</v>
      </c>
      <c r="R1570">
        <v>6.41228601038513</v>
      </c>
      <c r="S1570">
        <v>155</v>
      </c>
      <c r="T1570">
        <v>47</v>
      </c>
      <c r="U1570">
        <v>481.39293347926298</v>
      </c>
      <c r="V1570">
        <v>4.0000000000000001E-3</v>
      </c>
      <c r="W1570">
        <v>634151.26707184396</v>
      </c>
      <c r="X1570" t="s">
        <v>42</v>
      </c>
      <c r="Y1570">
        <f>1-878-373-1199</f>
        <v>-2449</v>
      </c>
    </row>
    <row r="1571" spans="1:25" x14ac:dyDescent="0.35">
      <c r="A1571">
        <v>33.245257673087103</v>
      </c>
      <c r="B1571">
        <v>-118.138640192853</v>
      </c>
      <c r="C1571" t="s">
        <v>29</v>
      </c>
      <c r="D1571">
        <v>19.602803614007101</v>
      </c>
      <c r="E1571">
        <v>4</v>
      </c>
      <c r="F1571">
        <v>3048</v>
      </c>
      <c r="G1571">
        <v>5</v>
      </c>
      <c r="H1571">
        <v>1</v>
      </c>
      <c r="I1571">
        <v>1968</v>
      </c>
      <c r="J1571">
        <v>0</v>
      </c>
      <c r="K1571">
        <v>0</v>
      </c>
      <c r="L1571">
        <v>0</v>
      </c>
      <c r="M1571">
        <v>2</v>
      </c>
      <c r="N1571" t="s">
        <v>26</v>
      </c>
      <c r="O1571" t="s">
        <v>30</v>
      </c>
      <c r="P1571">
        <v>12.8431038575283</v>
      </c>
      <c r="Q1571">
        <v>0.92701400578392101</v>
      </c>
      <c r="R1571">
        <v>4.8565065128322003</v>
      </c>
      <c r="S1571">
        <v>124</v>
      </c>
      <c r="T1571">
        <v>26</v>
      </c>
      <c r="U1571">
        <v>515.78221377802504</v>
      </c>
      <c r="V1571">
        <v>6.5616797900262401E-4</v>
      </c>
      <c r="W1571">
        <v>1892400.2913016099</v>
      </c>
      <c r="X1571" t="s">
        <v>44</v>
      </c>
      <c r="Y1571">
        <f>1-726-583-5389</f>
        <v>-6697</v>
      </c>
    </row>
    <row r="1572" spans="1:25" x14ac:dyDescent="0.35">
      <c r="A1572">
        <v>39.000657622204898</v>
      </c>
      <c r="B1572">
        <v>-123.543348317526</v>
      </c>
      <c r="C1572" t="s">
        <v>34</v>
      </c>
      <c r="D1572">
        <v>29.123246181958901</v>
      </c>
      <c r="E1572">
        <v>0</v>
      </c>
      <c r="F1572">
        <v>4662</v>
      </c>
      <c r="G1572">
        <v>5</v>
      </c>
      <c r="H1572">
        <v>2</v>
      </c>
      <c r="I1572">
        <v>2013</v>
      </c>
      <c r="J1572">
        <v>0</v>
      </c>
      <c r="K1572">
        <v>1</v>
      </c>
      <c r="L1572">
        <v>0</v>
      </c>
      <c r="M1572">
        <v>4</v>
      </c>
      <c r="N1572" t="s">
        <v>37</v>
      </c>
      <c r="O1572" t="s">
        <v>30</v>
      </c>
      <c r="P1572">
        <v>12.7319294395457</v>
      </c>
      <c r="Q1572">
        <v>0.67471596127066202</v>
      </c>
      <c r="R1572">
        <v>4.7485735163527298</v>
      </c>
      <c r="S1572">
        <v>152</v>
      </c>
      <c r="T1572">
        <v>33</v>
      </c>
      <c r="U1572">
        <v>245.32044985205599</v>
      </c>
      <c r="V1572">
        <v>8.5800085800085801E-4</v>
      </c>
      <c r="W1572">
        <v>1649108.38039175</v>
      </c>
      <c r="X1572" t="s">
        <v>40</v>
      </c>
      <c r="Y1572">
        <f>1-713-336-5958</f>
        <v>-7006</v>
      </c>
    </row>
    <row r="1573" spans="1:25" x14ac:dyDescent="0.35">
      <c r="A1573">
        <v>37.8966778441172</v>
      </c>
      <c r="B1573">
        <v>-123.336296193783</v>
      </c>
      <c r="C1573" t="s">
        <v>25</v>
      </c>
      <c r="D1573">
        <v>8.3173177256651094</v>
      </c>
      <c r="E1573">
        <v>8</v>
      </c>
      <c r="F1573">
        <v>839</v>
      </c>
      <c r="G1573">
        <v>3</v>
      </c>
      <c r="H1573">
        <v>2</v>
      </c>
      <c r="I1573">
        <v>1983</v>
      </c>
      <c r="J1573">
        <v>1</v>
      </c>
      <c r="K1573">
        <v>1</v>
      </c>
      <c r="L1573">
        <v>1</v>
      </c>
      <c r="M1573">
        <v>14</v>
      </c>
      <c r="N1573" t="s">
        <v>26</v>
      </c>
      <c r="O1573" t="s">
        <v>27</v>
      </c>
      <c r="P1573">
        <v>10.6595016183251</v>
      </c>
      <c r="Q1573">
        <v>0.85254649375296898</v>
      </c>
      <c r="R1573">
        <v>5.1253216092882701</v>
      </c>
      <c r="S1573">
        <v>1</v>
      </c>
      <c r="T1573">
        <v>40</v>
      </c>
      <c r="U1573">
        <v>970.13153079184303</v>
      </c>
      <c r="V1573">
        <v>1.6686531585220502E-2</v>
      </c>
      <c r="W1573">
        <v>1213307.85633191</v>
      </c>
      <c r="X1573" t="s">
        <v>31</v>
      </c>
      <c r="Y1573">
        <f>1-481-345-9419</f>
        <v>-10244</v>
      </c>
    </row>
    <row r="1574" spans="1:25" x14ac:dyDescent="0.35">
      <c r="A1574">
        <v>34.447827005174197</v>
      </c>
      <c r="B1574">
        <v>-114.911799458061</v>
      </c>
      <c r="C1574" t="s">
        <v>29</v>
      </c>
      <c r="D1574">
        <v>17.047859469466498</v>
      </c>
      <c r="E1574">
        <v>4</v>
      </c>
      <c r="F1574">
        <v>4286</v>
      </c>
      <c r="G1574">
        <v>4</v>
      </c>
      <c r="H1574">
        <v>1</v>
      </c>
      <c r="I1574">
        <v>1957</v>
      </c>
      <c r="J1574">
        <v>1</v>
      </c>
      <c r="K1574">
        <v>0</v>
      </c>
      <c r="L1574">
        <v>1</v>
      </c>
      <c r="M1574">
        <v>2</v>
      </c>
      <c r="N1574" t="s">
        <v>41</v>
      </c>
      <c r="O1574" t="s">
        <v>27</v>
      </c>
      <c r="P1574">
        <v>2.9499986075543099</v>
      </c>
      <c r="Q1574">
        <v>0.53234886080411603</v>
      </c>
      <c r="R1574">
        <v>8.7555015049179108</v>
      </c>
      <c r="S1574">
        <v>29</v>
      </c>
      <c r="T1574">
        <v>58</v>
      </c>
      <c r="U1574">
        <v>865.82229980224395</v>
      </c>
      <c r="V1574">
        <v>4.66635557629491E-4</v>
      </c>
      <c r="W1574">
        <v>3886795.4770915499</v>
      </c>
      <c r="X1574" t="s">
        <v>43</v>
      </c>
      <c r="Y1574">
        <f>1-341-159-9257</f>
        <v>-9756</v>
      </c>
    </row>
    <row r="1575" spans="1:25" x14ac:dyDescent="0.35">
      <c r="A1575">
        <v>34.018554110714398</v>
      </c>
      <c r="B1575">
        <v>-117.98389869111099</v>
      </c>
      <c r="C1575" t="s">
        <v>34</v>
      </c>
      <c r="D1575">
        <v>5.265113676166</v>
      </c>
      <c r="E1575">
        <v>7</v>
      </c>
      <c r="F1575">
        <v>2664</v>
      </c>
      <c r="G1575">
        <v>5</v>
      </c>
      <c r="H1575">
        <v>2</v>
      </c>
      <c r="I1575">
        <v>2003</v>
      </c>
      <c r="J1575">
        <v>1</v>
      </c>
      <c r="K1575">
        <v>1</v>
      </c>
      <c r="L1575">
        <v>1</v>
      </c>
      <c r="M1575">
        <v>7</v>
      </c>
      <c r="N1575" t="s">
        <v>26</v>
      </c>
      <c r="O1575" t="s">
        <v>32</v>
      </c>
      <c r="P1575">
        <v>12.5807422646338</v>
      </c>
      <c r="Q1575">
        <v>2.3366064720697901</v>
      </c>
      <c r="R1575">
        <v>9.1725878204643596</v>
      </c>
      <c r="S1575">
        <v>148</v>
      </c>
      <c r="T1575">
        <v>30</v>
      </c>
      <c r="U1575">
        <v>773.28579000273896</v>
      </c>
      <c r="V1575">
        <v>2.62762762762762E-3</v>
      </c>
      <c r="W1575">
        <v>2568172.1411312702</v>
      </c>
      <c r="X1575" t="s">
        <v>36</v>
      </c>
      <c r="Y1575">
        <f>1-884-149-2025</f>
        <v>-3057</v>
      </c>
    </row>
    <row r="1576" spans="1:25" x14ac:dyDescent="0.35">
      <c r="A1576">
        <v>39.3215015607772</v>
      </c>
      <c r="B1576">
        <v>-115.067114106933</v>
      </c>
      <c r="C1576" t="s">
        <v>29</v>
      </c>
      <c r="D1576">
        <v>37.824806785150699</v>
      </c>
      <c r="E1576">
        <v>1</v>
      </c>
      <c r="F1576">
        <v>779</v>
      </c>
      <c r="G1576">
        <v>4</v>
      </c>
      <c r="H1576">
        <v>1</v>
      </c>
      <c r="I1576">
        <v>2022</v>
      </c>
      <c r="J1576">
        <v>0</v>
      </c>
      <c r="K1576">
        <v>1</v>
      </c>
      <c r="L1576">
        <v>1</v>
      </c>
      <c r="M1576">
        <v>8</v>
      </c>
      <c r="N1576" t="s">
        <v>41</v>
      </c>
      <c r="O1576" t="s">
        <v>30</v>
      </c>
      <c r="P1576">
        <v>6.9654331526577797</v>
      </c>
      <c r="Q1576">
        <v>1.5572031841373</v>
      </c>
      <c r="R1576">
        <v>7.1443755237596704</v>
      </c>
      <c r="S1576">
        <v>25</v>
      </c>
      <c r="T1576">
        <v>46</v>
      </c>
      <c r="U1576">
        <v>867.62752958343299</v>
      </c>
      <c r="V1576">
        <v>1.0269576379974299E-2</v>
      </c>
      <c r="W1576">
        <v>1005654.76850812</v>
      </c>
      <c r="X1576" t="s">
        <v>42</v>
      </c>
      <c r="Y1576">
        <f>1-998-416-7840</f>
        <v>-9253</v>
      </c>
    </row>
    <row r="1577" spans="1:25" x14ac:dyDescent="0.35">
      <c r="A1577">
        <v>38.4677983206535</v>
      </c>
      <c r="B1577">
        <v>-117.544481054396</v>
      </c>
      <c r="C1577" t="s">
        <v>29</v>
      </c>
      <c r="D1577">
        <v>31.996270812654799</v>
      </c>
      <c r="E1577">
        <v>0</v>
      </c>
      <c r="F1577">
        <v>3252</v>
      </c>
      <c r="G1577">
        <v>3</v>
      </c>
      <c r="H1577">
        <v>3</v>
      </c>
      <c r="I1577">
        <v>1987</v>
      </c>
      <c r="J1577">
        <v>0</v>
      </c>
      <c r="K1577">
        <v>1</v>
      </c>
      <c r="L1577">
        <v>0</v>
      </c>
      <c r="M1577">
        <v>3</v>
      </c>
      <c r="N1577" t="s">
        <v>41</v>
      </c>
      <c r="O1577" t="s">
        <v>27</v>
      </c>
      <c r="P1577">
        <v>12.6041773573711</v>
      </c>
      <c r="Q1577">
        <v>1.77014376089542</v>
      </c>
      <c r="R1577">
        <v>2.8315146885212701</v>
      </c>
      <c r="S1577">
        <v>154</v>
      </c>
      <c r="T1577">
        <v>78</v>
      </c>
      <c r="U1577">
        <v>919.474401359583</v>
      </c>
      <c r="V1577">
        <v>9.2250922509225003E-4</v>
      </c>
      <c r="W1577">
        <v>3415204.0677914601</v>
      </c>
      <c r="X1577" t="s">
        <v>36</v>
      </c>
      <c r="Y1577">
        <f>1-222-766-6518</f>
        <v>-7505</v>
      </c>
    </row>
    <row r="1578" spans="1:25" x14ac:dyDescent="0.35">
      <c r="A1578">
        <v>41.214500332845702</v>
      </c>
      <c r="B1578">
        <v>-120.09346081763501</v>
      </c>
      <c r="C1578" t="s">
        <v>29</v>
      </c>
      <c r="D1578">
        <v>45.875255224902503</v>
      </c>
      <c r="E1578">
        <v>7</v>
      </c>
      <c r="F1578">
        <v>4462</v>
      </c>
      <c r="G1578">
        <v>5</v>
      </c>
      <c r="H1578">
        <v>2</v>
      </c>
      <c r="I1578">
        <v>1983</v>
      </c>
      <c r="J1578">
        <v>1</v>
      </c>
      <c r="K1578">
        <v>0</v>
      </c>
      <c r="L1578">
        <v>0</v>
      </c>
      <c r="M1578">
        <v>5</v>
      </c>
      <c r="N1578" t="s">
        <v>35</v>
      </c>
      <c r="O1578" t="s">
        <v>30</v>
      </c>
      <c r="P1578">
        <v>2.5826991458470201</v>
      </c>
      <c r="Q1578">
        <v>2.17280563959523</v>
      </c>
      <c r="R1578">
        <v>7.2491874135377401</v>
      </c>
      <c r="S1578">
        <v>56</v>
      </c>
      <c r="T1578">
        <v>56</v>
      </c>
      <c r="U1578">
        <v>722.95551822356902</v>
      </c>
      <c r="V1578">
        <v>1.12057373375168E-3</v>
      </c>
      <c r="W1578">
        <v>3475996.03261392</v>
      </c>
      <c r="X1578" t="s">
        <v>43</v>
      </c>
      <c r="Y1578">
        <f>1-498-910-8015</f>
        <v>-9422</v>
      </c>
    </row>
    <row r="1579" spans="1:25" x14ac:dyDescent="0.35">
      <c r="A1579">
        <v>40.022195892465597</v>
      </c>
      <c r="B1579">
        <v>-115.516527165377</v>
      </c>
      <c r="C1579" t="s">
        <v>34</v>
      </c>
      <c r="D1579">
        <v>46.177397036165502</v>
      </c>
      <c r="E1579">
        <v>2</v>
      </c>
      <c r="F1579">
        <v>1659</v>
      </c>
      <c r="G1579">
        <v>1</v>
      </c>
      <c r="H1579">
        <v>1</v>
      </c>
      <c r="I1579">
        <v>2011</v>
      </c>
      <c r="J1579">
        <v>1</v>
      </c>
      <c r="K1579">
        <v>1</v>
      </c>
      <c r="L1579">
        <v>1</v>
      </c>
      <c r="M1579">
        <v>4</v>
      </c>
      <c r="N1579" t="s">
        <v>37</v>
      </c>
      <c r="O1579" t="s">
        <v>30</v>
      </c>
      <c r="P1579">
        <v>4.9788369951110498</v>
      </c>
      <c r="Q1579">
        <v>1.1112518628858099</v>
      </c>
      <c r="R1579">
        <v>1.9611373220998001</v>
      </c>
      <c r="S1579">
        <v>140</v>
      </c>
      <c r="T1579">
        <v>71</v>
      </c>
      <c r="U1579">
        <v>547.09067822304303</v>
      </c>
      <c r="V1579">
        <v>2.4110910186859501E-3</v>
      </c>
      <c r="W1579">
        <v>1126065.3280504399</v>
      </c>
      <c r="X1579" t="s">
        <v>36</v>
      </c>
      <c r="Y1579">
        <f>1-958-164-4379</f>
        <v>-5500</v>
      </c>
    </row>
    <row r="1580" spans="1:25" x14ac:dyDescent="0.35">
      <c r="A1580">
        <v>35.498280125556803</v>
      </c>
      <c r="B1580">
        <v>-120.969611808971</v>
      </c>
      <c r="C1580" t="s">
        <v>34</v>
      </c>
      <c r="D1580">
        <v>28.449795393873799</v>
      </c>
      <c r="E1580">
        <v>8</v>
      </c>
      <c r="F1580">
        <v>681</v>
      </c>
      <c r="G1580">
        <v>2</v>
      </c>
      <c r="H1580">
        <v>3</v>
      </c>
      <c r="I1580">
        <v>1976</v>
      </c>
      <c r="J1580">
        <v>0</v>
      </c>
      <c r="K1580">
        <v>0</v>
      </c>
      <c r="L1580">
        <v>0</v>
      </c>
      <c r="M1580">
        <v>2</v>
      </c>
      <c r="N1580" t="s">
        <v>37</v>
      </c>
      <c r="O1580" t="s">
        <v>32</v>
      </c>
      <c r="P1580">
        <v>5.5815537417505103</v>
      </c>
      <c r="Q1580">
        <v>1.23777652487792</v>
      </c>
      <c r="R1580">
        <v>6.6648691865758902</v>
      </c>
      <c r="S1580">
        <v>85</v>
      </c>
      <c r="T1580">
        <v>58</v>
      </c>
      <c r="U1580">
        <v>465.93368391166803</v>
      </c>
      <c r="V1580">
        <v>2.93685756240822E-3</v>
      </c>
      <c r="W1580">
        <v>464061.13166251901</v>
      </c>
      <c r="X1580" t="s">
        <v>40</v>
      </c>
      <c r="Y1580">
        <f>1-988-347-3667</f>
        <v>-5001</v>
      </c>
    </row>
    <row r="1581" spans="1:25" x14ac:dyDescent="0.35">
      <c r="A1581">
        <v>40.228391707022404</v>
      </c>
      <c r="B1581">
        <v>-114.6883093843</v>
      </c>
      <c r="C1581" t="s">
        <v>34</v>
      </c>
      <c r="D1581">
        <v>13.354186013754401</v>
      </c>
      <c r="E1581">
        <v>7</v>
      </c>
      <c r="F1581">
        <v>4514</v>
      </c>
      <c r="G1581">
        <v>3</v>
      </c>
      <c r="H1581">
        <v>2</v>
      </c>
      <c r="I1581">
        <v>1951</v>
      </c>
      <c r="J1581">
        <v>0</v>
      </c>
      <c r="K1581">
        <v>1</v>
      </c>
      <c r="L1581">
        <v>0</v>
      </c>
      <c r="M1581">
        <v>2</v>
      </c>
      <c r="N1581" t="s">
        <v>37</v>
      </c>
      <c r="O1581" t="s">
        <v>27</v>
      </c>
      <c r="P1581">
        <v>13.695654445683701</v>
      </c>
      <c r="Q1581">
        <v>1.76990213266806</v>
      </c>
      <c r="R1581">
        <v>1.03953126006939</v>
      </c>
      <c r="S1581">
        <v>44</v>
      </c>
      <c r="T1581">
        <v>27</v>
      </c>
      <c r="U1581">
        <v>294.62000769337902</v>
      </c>
      <c r="V1581">
        <v>4.4306601683650798E-4</v>
      </c>
      <c r="W1581">
        <v>1677232.1584274999</v>
      </c>
      <c r="X1581" t="s">
        <v>31</v>
      </c>
      <c r="Y1581">
        <f>1-289-128-4200</f>
        <v>-4616</v>
      </c>
    </row>
    <row r="1582" spans="1:25" x14ac:dyDescent="0.35">
      <c r="A1582">
        <v>36.457095836711503</v>
      </c>
      <c r="B1582">
        <v>-114.043625097332</v>
      </c>
      <c r="C1582" t="s">
        <v>29</v>
      </c>
      <c r="D1582">
        <v>36.485260044700297</v>
      </c>
      <c r="E1582">
        <v>0</v>
      </c>
      <c r="F1582">
        <v>4934</v>
      </c>
      <c r="G1582">
        <v>3</v>
      </c>
      <c r="H1582">
        <v>1</v>
      </c>
      <c r="I1582">
        <v>1999</v>
      </c>
      <c r="J1582">
        <v>0</v>
      </c>
      <c r="K1582">
        <v>1</v>
      </c>
      <c r="L1582">
        <v>1</v>
      </c>
      <c r="M1582">
        <v>5</v>
      </c>
      <c r="N1582" t="s">
        <v>35</v>
      </c>
      <c r="O1582" t="s">
        <v>30</v>
      </c>
      <c r="P1582">
        <v>5.0167884605762199</v>
      </c>
      <c r="Q1582">
        <v>2.4797785356796398</v>
      </c>
      <c r="R1582">
        <v>4.3276951608864298</v>
      </c>
      <c r="S1582">
        <v>9</v>
      </c>
      <c r="T1582">
        <v>67</v>
      </c>
      <c r="U1582">
        <v>319.18661893427299</v>
      </c>
      <c r="V1582">
        <v>1.01337657073368E-3</v>
      </c>
      <c r="W1582">
        <v>1879578.50464498</v>
      </c>
      <c r="X1582" t="s">
        <v>36</v>
      </c>
      <c r="Y1582">
        <f>1-351-573-7838</f>
        <v>-8761</v>
      </c>
    </row>
    <row r="1583" spans="1:25" x14ac:dyDescent="0.35">
      <c r="A1583">
        <v>41.284738035157801</v>
      </c>
      <c r="B1583">
        <v>-123.020587794976</v>
      </c>
      <c r="C1583" t="s">
        <v>25</v>
      </c>
      <c r="D1583">
        <v>16.760774676270199</v>
      </c>
      <c r="E1583">
        <v>5</v>
      </c>
      <c r="F1583">
        <v>3192</v>
      </c>
      <c r="G1583">
        <v>2</v>
      </c>
      <c r="H1583">
        <v>3</v>
      </c>
      <c r="I1583">
        <v>1994</v>
      </c>
      <c r="J1583">
        <v>1</v>
      </c>
      <c r="K1583">
        <v>0</v>
      </c>
      <c r="L1583">
        <v>1</v>
      </c>
      <c r="M1583">
        <v>9</v>
      </c>
      <c r="N1583" t="s">
        <v>41</v>
      </c>
      <c r="O1583" t="s">
        <v>30</v>
      </c>
      <c r="P1583">
        <v>3.3047048427019301</v>
      </c>
      <c r="Q1583">
        <v>1.5795326352775101</v>
      </c>
      <c r="R1583">
        <v>4.2024748092867803</v>
      </c>
      <c r="S1583">
        <v>30</v>
      </c>
      <c r="T1583">
        <v>24</v>
      </c>
      <c r="U1583">
        <v>590.18553815121004</v>
      </c>
      <c r="V1583">
        <v>2.8195488721804501E-3</v>
      </c>
      <c r="W1583">
        <v>2178088.6988578099</v>
      </c>
      <c r="X1583" t="s">
        <v>40</v>
      </c>
      <c r="Y1583">
        <f>1-266-952-2605</f>
        <v>-3822</v>
      </c>
    </row>
    <row r="1584" spans="1:25" x14ac:dyDescent="0.35">
      <c r="A1584">
        <v>37.985955069988798</v>
      </c>
      <c r="B1584">
        <v>-115.735505037057</v>
      </c>
      <c r="C1584" t="s">
        <v>34</v>
      </c>
      <c r="D1584">
        <v>38.991677033097602</v>
      </c>
      <c r="E1584">
        <v>1</v>
      </c>
      <c r="F1584">
        <v>4656</v>
      </c>
      <c r="G1584">
        <v>2</v>
      </c>
      <c r="H1584">
        <v>1</v>
      </c>
      <c r="I1584">
        <v>2003</v>
      </c>
      <c r="J1584">
        <v>1</v>
      </c>
      <c r="K1584">
        <v>0</v>
      </c>
      <c r="L1584">
        <v>1</v>
      </c>
      <c r="M1584">
        <v>10</v>
      </c>
      <c r="N1584" t="s">
        <v>41</v>
      </c>
      <c r="O1584" t="s">
        <v>27</v>
      </c>
      <c r="P1584">
        <v>9.3994627216669997</v>
      </c>
      <c r="Q1584">
        <v>1.5452741682133</v>
      </c>
      <c r="R1584">
        <v>4.7697184910847303</v>
      </c>
      <c r="S1584">
        <v>123</v>
      </c>
      <c r="T1584">
        <v>79</v>
      </c>
      <c r="U1584">
        <v>249.674065956112</v>
      </c>
      <c r="V1584">
        <v>2.14776632302405E-3</v>
      </c>
      <c r="W1584">
        <v>1404938.81881454</v>
      </c>
      <c r="X1584" t="s">
        <v>42</v>
      </c>
      <c r="Y1584">
        <f>1-498-165-4129</f>
        <v>-4791</v>
      </c>
    </row>
    <row r="1585" spans="1:25" x14ac:dyDescent="0.35">
      <c r="A1585">
        <v>34.704529097205601</v>
      </c>
      <c r="B1585">
        <v>-117.183872811648</v>
      </c>
      <c r="C1585" t="s">
        <v>25</v>
      </c>
      <c r="D1585">
        <v>25.559692918562298</v>
      </c>
      <c r="E1585">
        <v>6</v>
      </c>
      <c r="F1585">
        <v>4019</v>
      </c>
      <c r="G1585">
        <v>5</v>
      </c>
      <c r="H1585">
        <v>3</v>
      </c>
      <c r="I1585">
        <v>1969</v>
      </c>
      <c r="J1585">
        <v>0</v>
      </c>
      <c r="K1585">
        <v>1</v>
      </c>
      <c r="L1585">
        <v>0</v>
      </c>
      <c r="M1585">
        <v>12</v>
      </c>
      <c r="N1585" t="s">
        <v>35</v>
      </c>
      <c r="O1585" t="s">
        <v>27</v>
      </c>
      <c r="P1585">
        <v>9.5427897695560606</v>
      </c>
      <c r="Q1585">
        <v>1.47334495392533</v>
      </c>
      <c r="R1585">
        <v>4.6377921239000699</v>
      </c>
      <c r="S1585">
        <v>144</v>
      </c>
      <c r="T1585">
        <v>49</v>
      </c>
      <c r="U1585">
        <v>561.24891006855205</v>
      </c>
      <c r="V1585">
        <v>2.9858173675043499E-3</v>
      </c>
      <c r="W1585">
        <v>2576069.7612315398</v>
      </c>
      <c r="X1585" t="s">
        <v>44</v>
      </c>
      <c r="Y1585">
        <f>1-222-801-2746</f>
        <v>-3768</v>
      </c>
    </row>
    <row r="1586" spans="1:25" x14ac:dyDescent="0.35">
      <c r="A1586">
        <v>39.162562850686697</v>
      </c>
      <c r="B1586">
        <v>-122.73624952108401</v>
      </c>
      <c r="C1586" t="s">
        <v>25</v>
      </c>
      <c r="D1586">
        <v>47.3239024967326</v>
      </c>
      <c r="E1586">
        <v>6</v>
      </c>
      <c r="F1586">
        <v>2158</v>
      </c>
      <c r="G1586">
        <v>2</v>
      </c>
      <c r="H1586">
        <v>3</v>
      </c>
      <c r="I1586">
        <v>1970</v>
      </c>
      <c r="J1586">
        <v>1</v>
      </c>
      <c r="K1586">
        <v>0</v>
      </c>
      <c r="L1586">
        <v>0</v>
      </c>
      <c r="M1586">
        <v>5</v>
      </c>
      <c r="N1586" t="s">
        <v>26</v>
      </c>
      <c r="O1586" t="s">
        <v>27</v>
      </c>
      <c r="P1586">
        <v>10.8050773959546</v>
      </c>
      <c r="Q1586">
        <v>0.59058235753092203</v>
      </c>
      <c r="R1586">
        <v>0.25531540535032099</v>
      </c>
      <c r="S1586">
        <v>2</v>
      </c>
      <c r="T1586">
        <v>38</v>
      </c>
      <c r="U1586">
        <v>884.360935388896</v>
      </c>
      <c r="V1586">
        <v>2.3169601482854402E-3</v>
      </c>
      <c r="W1586">
        <v>2227610.87543935</v>
      </c>
      <c r="X1586" t="s">
        <v>39</v>
      </c>
      <c r="Y1586">
        <f>1-701-614-3167</f>
        <v>-4481</v>
      </c>
    </row>
    <row r="1587" spans="1:25" x14ac:dyDescent="0.35">
      <c r="A1587">
        <v>39.730345179421398</v>
      </c>
      <c r="B1587">
        <v>-121.67551862403501</v>
      </c>
      <c r="C1587" t="s">
        <v>29</v>
      </c>
      <c r="D1587">
        <v>18.211463888636001</v>
      </c>
      <c r="E1587">
        <v>7</v>
      </c>
      <c r="F1587">
        <v>4305</v>
      </c>
      <c r="G1587">
        <v>2</v>
      </c>
      <c r="H1587">
        <v>1</v>
      </c>
      <c r="I1587">
        <v>1988</v>
      </c>
      <c r="J1587">
        <v>0</v>
      </c>
      <c r="K1587">
        <v>1</v>
      </c>
      <c r="L1587">
        <v>0</v>
      </c>
      <c r="M1587">
        <v>6</v>
      </c>
      <c r="N1587" t="s">
        <v>41</v>
      </c>
      <c r="O1587" t="s">
        <v>27</v>
      </c>
      <c r="P1587">
        <v>8.7002355571834293</v>
      </c>
      <c r="Q1587">
        <v>1.8665932830313201</v>
      </c>
      <c r="R1587">
        <v>9.2761651895789399</v>
      </c>
      <c r="S1587">
        <v>83</v>
      </c>
      <c r="T1587">
        <v>42</v>
      </c>
      <c r="U1587">
        <v>816.67935407317202</v>
      </c>
      <c r="V1587">
        <v>1.39372822299651E-3</v>
      </c>
      <c r="W1587">
        <v>3745062.1926128301</v>
      </c>
      <c r="X1587" t="s">
        <v>36</v>
      </c>
      <c r="Y1587">
        <f>1-313-496-8309</f>
        <v>-9117</v>
      </c>
    </row>
    <row r="1588" spans="1:25" x14ac:dyDescent="0.35">
      <c r="A1588">
        <v>33.381019754646701</v>
      </c>
      <c r="B1588">
        <v>-120.602508519363</v>
      </c>
      <c r="C1588" t="s">
        <v>25</v>
      </c>
      <c r="D1588">
        <v>30.393126645349099</v>
      </c>
      <c r="E1588">
        <v>4</v>
      </c>
      <c r="F1588">
        <v>865</v>
      </c>
      <c r="G1588">
        <v>2</v>
      </c>
      <c r="H1588">
        <v>3</v>
      </c>
      <c r="I1588">
        <v>1980</v>
      </c>
      <c r="J1588">
        <v>0</v>
      </c>
      <c r="K1588">
        <v>0</v>
      </c>
      <c r="L1588">
        <v>1</v>
      </c>
      <c r="M1588">
        <v>6</v>
      </c>
      <c r="N1588" t="s">
        <v>26</v>
      </c>
      <c r="O1588" t="s">
        <v>32</v>
      </c>
      <c r="P1588">
        <v>13.3792303858233</v>
      </c>
      <c r="Q1588">
        <v>2.15028152182115</v>
      </c>
      <c r="R1588">
        <v>7.7808382010002202</v>
      </c>
      <c r="S1588">
        <v>12</v>
      </c>
      <c r="T1588">
        <v>27</v>
      </c>
      <c r="U1588">
        <v>242.69559669385399</v>
      </c>
      <c r="V1588">
        <v>6.9364161849710896E-3</v>
      </c>
      <c r="W1588">
        <v>476444.45757044601</v>
      </c>
      <c r="X1588" t="s">
        <v>36</v>
      </c>
      <c r="Y1588">
        <f>1-664-450-9995</f>
        <v>-11108</v>
      </c>
    </row>
    <row r="1589" spans="1:25" x14ac:dyDescent="0.35">
      <c r="A1589">
        <v>38.673228630650698</v>
      </c>
      <c r="B1589">
        <v>-118.20335647143899</v>
      </c>
      <c r="C1589" t="s">
        <v>29</v>
      </c>
      <c r="D1589">
        <v>45.179919937209498</v>
      </c>
      <c r="E1589">
        <v>8</v>
      </c>
      <c r="F1589">
        <v>1819</v>
      </c>
      <c r="G1589">
        <v>2</v>
      </c>
      <c r="H1589">
        <v>3</v>
      </c>
      <c r="I1589">
        <v>1959</v>
      </c>
      <c r="J1589">
        <v>0</v>
      </c>
      <c r="K1589">
        <v>1</v>
      </c>
      <c r="L1589">
        <v>1</v>
      </c>
      <c r="M1589">
        <v>13</v>
      </c>
      <c r="N1589" t="s">
        <v>37</v>
      </c>
      <c r="O1589" t="s">
        <v>27</v>
      </c>
      <c r="P1589">
        <v>6.7808267976569097</v>
      </c>
      <c r="Q1589">
        <v>1.33178104285679</v>
      </c>
      <c r="R1589">
        <v>2.6979866872390001</v>
      </c>
      <c r="S1589">
        <v>154</v>
      </c>
      <c r="T1589">
        <v>29</v>
      </c>
      <c r="U1589">
        <v>616.65730622107003</v>
      </c>
      <c r="V1589">
        <v>7.1467839472237399E-3</v>
      </c>
      <c r="W1589">
        <v>1321581.06818579</v>
      </c>
      <c r="X1589" t="s">
        <v>39</v>
      </c>
      <c r="Y1589">
        <f>1-495-188-8167</f>
        <v>-8849</v>
      </c>
    </row>
    <row r="1590" spans="1:25" x14ac:dyDescent="0.35">
      <c r="A1590">
        <v>33.8421470446333</v>
      </c>
      <c r="B1590">
        <v>-115.227733720548</v>
      </c>
      <c r="C1590" t="s">
        <v>25</v>
      </c>
      <c r="D1590">
        <v>18.290763693639001</v>
      </c>
      <c r="E1590">
        <v>4</v>
      </c>
      <c r="F1590">
        <v>2577</v>
      </c>
      <c r="G1590">
        <v>3</v>
      </c>
      <c r="H1590">
        <v>2</v>
      </c>
      <c r="I1590">
        <v>2019</v>
      </c>
      <c r="J1590">
        <v>0</v>
      </c>
      <c r="K1590">
        <v>1</v>
      </c>
      <c r="L1590">
        <v>0</v>
      </c>
      <c r="M1590">
        <v>12</v>
      </c>
      <c r="N1590" t="s">
        <v>41</v>
      </c>
      <c r="O1590" t="s">
        <v>30</v>
      </c>
      <c r="P1590">
        <v>12.8127631918289</v>
      </c>
      <c r="Q1590">
        <v>0.63311553751133398</v>
      </c>
      <c r="R1590">
        <v>4.5416483793373104</v>
      </c>
      <c r="S1590">
        <v>59</v>
      </c>
      <c r="T1590">
        <v>67</v>
      </c>
      <c r="U1590">
        <v>847.20832073021597</v>
      </c>
      <c r="V1590">
        <v>4.6565774155995299E-3</v>
      </c>
      <c r="W1590">
        <v>2580025.3952671699</v>
      </c>
      <c r="X1590" t="s">
        <v>28</v>
      </c>
      <c r="Y1590">
        <f>1-314-521-9266</f>
        <v>-10100</v>
      </c>
    </row>
    <row r="1591" spans="1:25" x14ac:dyDescent="0.35">
      <c r="A1591">
        <v>36.755983344495299</v>
      </c>
      <c r="B1591">
        <v>-120.92810640063099</v>
      </c>
      <c r="C1591" t="s">
        <v>25</v>
      </c>
      <c r="D1591">
        <v>29.0493797782051</v>
      </c>
      <c r="E1591">
        <v>3</v>
      </c>
      <c r="F1591">
        <v>2733</v>
      </c>
      <c r="G1591">
        <v>5</v>
      </c>
      <c r="H1591">
        <v>3</v>
      </c>
      <c r="I1591">
        <v>1961</v>
      </c>
      <c r="J1591">
        <v>1</v>
      </c>
      <c r="K1591">
        <v>0</v>
      </c>
      <c r="L1591">
        <v>0</v>
      </c>
      <c r="M1591">
        <v>13</v>
      </c>
      <c r="N1591" t="s">
        <v>37</v>
      </c>
      <c r="O1591" t="s">
        <v>30</v>
      </c>
      <c r="P1591">
        <v>8.8595237234818498</v>
      </c>
      <c r="Q1591">
        <v>1.8332608769395999</v>
      </c>
      <c r="R1591">
        <v>1.85963498547089</v>
      </c>
      <c r="S1591">
        <v>123</v>
      </c>
      <c r="T1591">
        <v>23</v>
      </c>
      <c r="U1591">
        <v>801.64029142846505</v>
      </c>
      <c r="V1591">
        <v>4.75667764361507E-3</v>
      </c>
      <c r="W1591">
        <v>2561921.4266721201</v>
      </c>
      <c r="X1591" t="s">
        <v>39</v>
      </c>
      <c r="Y1591">
        <f>1-330-356-1962</f>
        <v>-2647</v>
      </c>
    </row>
    <row r="1592" spans="1:25" x14ac:dyDescent="0.35">
      <c r="A1592">
        <v>38.086987214632799</v>
      </c>
      <c r="B1592">
        <v>-118.042043912135</v>
      </c>
      <c r="C1592" t="s">
        <v>29</v>
      </c>
      <c r="D1592">
        <v>15.558764270688499</v>
      </c>
      <c r="E1592">
        <v>2</v>
      </c>
      <c r="F1592">
        <v>842</v>
      </c>
      <c r="G1592">
        <v>1</v>
      </c>
      <c r="H1592">
        <v>1</v>
      </c>
      <c r="I1592">
        <v>1968</v>
      </c>
      <c r="J1592">
        <v>0</v>
      </c>
      <c r="K1592">
        <v>1</v>
      </c>
      <c r="L1592">
        <v>1</v>
      </c>
      <c r="M1592">
        <v>12</v>
      </c>
      <c r="N1592" t="s">
        <v>35</v>
      </c>
      <c r="O1592" t="s">
        <v>32</v>
      </c>
      <c r="P1592">
        <v>7.7539761016383197</v>
      </c>
      <c r="Q1592">
        <v>0.50985775218149598</v>
      </c>
      <c r="R1592">
        <v>9.5516197612899703</v>
      </c>
      <c r="S1592">
        <v>99</v>
      </c>
      <c r="T1592">
        <v>24</v>
      </c>
      <c r="U1592">
        <v>887.01614640491402</v>
      </c>
      <c r="V1592">
        <v>1.4251781472683999E-2</v>
      </c>
      <c r="W1592">
        <v>913817.23389160098</v>
      </c>
      <c r="X1592" t="s">
        <v>38</v>
      </c>
      <c r="Y1592">
        <f>1-914-550-6940</f>
        <v>-8403</v>
      </c>
    </row>
    <row r="1593" spans="1:25" x14ac:dyDescent="0.35">
      <c r="A1593">
        <v>40.243739261842698</v>
      </c>
      <c r="B1593">
        <v>-122.553331275166</v>
      </c>
      <c r="C1593" t="s">
        <v>25</v>
      </c>
      <c r="D1593">
        <v>14.007801349525399</v>
      </c>
      <c r="E1593">
        <v>6</v>
      </c>
      <c r="F1593">
        <v>4199</v>
      </c>
      <c r="G1593">
        <v>3</v>
      </c>
      <c r="H1593">
        <v>3</v>
      </c>
      <c r="I1593">
        <v>1998</v>
      </c>
      <c r="J1593">
        <v>1</v>
      </c>
      <c r="K1593">
        <v>0</v>
      </c>
      <c r="L1593">
        <v>1</v>
      </c>
      <c r="M1593">
        <v>4</v>
      </c>
      <c r="N1593" t="s">
        <v>41</v>
      </c>
      <c r="O1593" t="s">
        <v>30</v>
      </c>
      <c r="P1593">
        <v>11.870956814041399</v>
      </c>
      <c r="Q1593">
        <v>1.33926020376126</v>
      </c>
      <c r="R1593">
        <v>5.7221388854827602</v>
      </c>
      <c r="S1593">
        <v>175</v>
      </c>
      <c r="T1593">
        <v>31</v>
      </c>
      <c r="U1593">
        <v>460.55801253305401</v>
      </c>
      <c r="V1593">
        <v>9.5260776375327401E-4</v>
      </c>
      <c r="W1593">
        <v>2328565.4828769602</v>
      </c>
      <c r="X1593" t="s">
        <v>31</v>
      </c>
      <c r="Y1593">
        <f>1-391-480-4370</f>
        <v>-5240</v>
      </c>
    </row>
    <row r="1594" spans="1:25" x14ac:dyDescent="0.35">
      <c r="A1594">
        <v>41.1452540023353</v>
      </c>
      <c r="B1594">
        <v>-114.01707904427801</v>
      </c>
      <c r="C1594" t="s">
        <v>25</v>
      </c>
      <c r="D1594">
        <v>15.316234494558101</v>
      </c>
      <c r="E1594">
        <v>4</v>
      </c>
      <c r="F1594">
        <v>4621</v>
      </c>
      <c r="G1594">
        <v>3</v>
      </c>
      <c r="H1594">
        <v>2</v>
      </c>
      <c r="I1594">
        <v>1950</v>
      </c>
      <c r="J1594">
        <v>1</v>
      </c>
      <c r="K1594">
        <v>1</v>
      </c>
      <c r="L1594">
        <v>1</v>
      </c>
      <c r="M1594">
        <v>12</v>
      </c>
      <c r="N1594" t="s">
        <v>41</v>
      </c>
      <c r="O1594" t="s">
        <v>27</v>
      </c>
      <c r="P1594">
        <v>2.9329662511654302</v>
      </c>
      <c r="Q1594">
        <v>0.56532812239221397</v>
      </c>
      <c r="R1594">
        <v>1.6278923853397</v>
      </c>
      <c r="S1594">
        <v>80</v>
      </c>
      <c r="T1594">
        <v>49</v>
      </c>
      <c r="U1594">
        <v>948.32501980943402</v>
      </c>
      <c r="V1594">
        <v>2.5968405107119601E-3</v>
      </c>
      <c r="W1594">
        <v>4684567.6827523597</v>
      </c>
      <c r="X1594" t="s">
        <v>36</v>
      </c>
      <c r="Y1594">
        <f>1-617-772-8102</f>
        <v>-9490</v>
      </c>
    </row>
    <row r="1595" spans="1:25" x14ac:dyDescent="0.35">
      <c r="A1595">
        <v>36.131233000159199</v>
      </c>
      <c r="B1595">
        <v>-117.46397804250201</v>
      </c>
      <c r="C1595" t="s">
        <v>25</v>
      </c>
      <c r="D1595">
        <v>28.032185628485099</v>
      </c>
      <c r="E1595">
        <v>4</v>
      </c>
      <c r="F1595">
        <v>1841</v>
      </c>
      <c r="G1595">
        <v>5</v>
      </c>
      <c r="H1595">
        <v>3</v>
      </c>
      <c r="I1595">
        <v>2000</v>
      </c>
      <c r="J1595">
        <v>0</v>
      </c>
      <c r="K1595">
        <v>0</v>
      </c>
      <c r="L1595">
        <v>0</v>
      </c>
      <c r="M1595">
        <v>3</v>
      </c>
      <c r="N1595" t="s">
        <v>35</v>
      </c>
      <c r="O1595" t="s">
        <v>32</v>
      </c>
      <c r="P1595">
        <v>13.612072801646301</v>
      </c>
      <c r="Q1595">
        <v>0.68951170149071705</v>
      </c>
      <c r="R1595">
        <v>6.4510292400833196</v>
      </c>
      <c r="S1595">
        <v>72</v>
      </c>
      <c r="T1595">
        <v>61</v>
      </c>
      <c r="U1595">
        <v>543.93356802282005</v>
      </c>
      <c r="V1595">
        <v>1.6295491580662601E-3</v>
      </c>
      <c r="W1595">
        <v>1352361.33220574</v>
      </c>
      <c r="X1595" t="s">
        <v>39</v>
      </c>
      <c r="Y1595">
        <f>1-213-906-3457</f>
        <v>-4575</v>
      </c>
    </row>
    <row r="1596" spans="1:25" x14ac:dyDescent="0.35">
      <c r="A1596">
        <v>39.238747187346902</v>
      </c>
      <c r="B1596">
        <v>-115.61802928946599</v>
      </c>
      <c r="C1596" t="s">
        <v>34</v>
      </c>
      <c r="D1596">
        <v>26.629540002637601</v>
      </c>
      <c r="E1596">
        <v>4</v>
      </c>
      <c r="F1596">
        <v>1532</v>
      </c>
      <c r="G1596">
        <v>1</v>
      </c>
      <c r="H1596">
        <v>2</v>
      </c>
      <c r="I1596">
        <v>1989</v>
      </c>
      <c r="J1596">
        <v>0</v>
      </c>
      <c r="K1596">
        <v>1</v>
      </c>
      <c r="L1596">
        <v>1</v>
      </c>
      <c r="M1596">
        <v>13</v>
      </c>
      <c r="N1596" t="s">
        <v>35</v>
      </c>
      <c r="O1596" t="s">
        <v>32</v>
      </c>
      <c r="P1596">
        <v>8.7465508099026099</v>
      </c>
      <c r="Q1596">
        <v>1.04773494820309</v>
      </c>
      <c r="R1596">
        <v>5.7198113998831301</v>
      </c>
      <c r="S1596">
        <v>20</v>
      </c>
      <c r="T1596">
        <v>48</v>
      </c>
      <c r="U1596">
        <v>635.43100069099205</v>
      </c>
      <c r="V1596">
        <v>8.4856396866840704E-3</v>
      </c>
      <c r="W1596">
        <v>1181345.3472508199</v>
      </c>
      <c r="X1596" t="s">
        <v>33</v>
      </c>
      <c r="Y1596">
        <f>1-333-153-3752</f>
        <v>-4237</v>
      </c>
    </row>
    <row r="1597" spans="1:25" x14ac:dyDescent="0.35">
      <c r="A1597">
        <v>40.415942171536102</v>
      </c>
      <c r="B1597">
        <v>-114.36925233676</v>
      </c>
      <c r="C1597" t="s">
        <v>34</v>
      </c>
      <c r="D1597">
        <v>32.863582513082903</v>
      </c>
      <c r="E1597">
        <v>5</v>
      </c>
      <c r="F1597">
        <v>4040</v>
      </c>
      <c r="G1597">
        <v>3</v>
      </c>
      <c r="H1597">
        <v>3</v>
      </c>
      <c r="I1597">
        <v>2015</v>
      </c>
      <c r="J1597">
        <v>1</v>
      </c>
      <c r="K1597">
        <v>1</v>
      </c>
      <c r="L1597">
        <v>0</v>
      </c>
      <c r="M1597">
        <v>9</v>
      </c>
      <c r="N1597" t="s">
        <v>26</v>
      </c>
      <c r="O1597" t="s">
        <v>30</v>
      </c>
      <c r="P1597">
        <v>5.6854962509068097</v>
      </c>
      <c r="Q1597">
        <v>1.3763492327937401</v>
      </c>
      <c r="R1597">
        <v>1.64683231057252</v>
      </c>
      <c r="S1597">
        <v>132</v>
      </c>
      <c r="T1597">
        <v>25</v>
      </c>
      <c r="U1597">
        <v>821.15625842020802</v>
      </c>
      <c r="V1597">
        <v>2.2277227722772202E-3</v>
      </c>
      <c r="W1597">
        <v>3580739.6003224701</v>
      </c>
      <c r="X1597" t="s">
        <v>28</v>
      </c>
      <c r="Y1597">
        <f>1-950-684-9329</f>
        <v>-10962</v>
      </c>
    </row>
    <row r="1598" spans="1:25" x14ac:dyDescent="0.35">
      <c r="A1598">
        <v>41.035556780568001</v>
      </c>
      <c r="B1598">
        <v>-119.825463309383</v>
      </c>
      <c r="C1598" t="s">
        <v>34</v>
      </c>
      <c r="D1598">
        <v>20.678476752677199</v>
      </c>
      <c r="E1598">
        <v>5</v>
      </c>
      <c r="F1598">
        <v>2377</v>
      </c>
      <c r="G1598">
        <v>4</v>
      </c>
      <c r="H1598">
        <v>3</v>
      </c>
      <c r="I1598">
        <v>1992</v>
      </c>
      <c r="J1598">
        <v>0</v>
      </c>
      <c r="K1598">
        <v>0</v>
      </c>
      <c r="L1598">
        <v>1</v>
      </c>
      <c r="M1598">
        <v>6</v>
      </c>
      <c r="N1598" t="s">
        <v>41</v>
      </c>
      <c r="O1598" t="s">
        <v>27</v>
      </c>
      <c r="P1598">
        <v>13.389826288646701</v>
      </c>
      <c r="Q1598">
        <v>2.2660657653530398</v>
      </c>
      <c r="R1598">
        <v>5.1150035647917802</v>
      </c>
      <c r="S1598">
        <v>191</v>
      </c>
      <c r="T1598">
        <v>37</v>
      </c>
      <c r="U1598">
        <v>458.09910611760603</v>
      </c>
      <c r="V1598">
        <v>2.5241901556583902E-3</v>
      </c>
      <c r="W1598">
        <v>1485947.5890981499</v>
      </c>
      <c r="X1598" t="s">
        <v>39</v>
      </c>
      <c r="Y1598">
        <f>1-558-497-9727</f>
        <v>-10781</v>
      </c>
    </row>
    <row r="1599" spans="1:25" x14ac:dyDescent="0.35">
      <c r="A1599">
        <v>40.473627772949797</v>
      </c>
      <c r="B1599">
        <v>-116.18045155709299</v>
      </c>
      <c r="C1599" t="s">
        <v>25</v>
      </c>
      <c r="D1599">
        <v>18.087684836757401</v>
      </c>
      <c r="E1599">
        <v>2</v>
      </c>
      <c r="F1599">
        <v>1654</v>
      </c>
      <c r="G1599">
        <v>2</v>
      </c>
      <c r="H1599">
        <v>1</v>
      </c>
      <c r="I1599">
        <v>1983</v>
      </c>
      <c r="J1599">
        <v>1</v>
      </c>
      <c r="K1599">
        <v>0</v>
      </c>
      <c r="L1599">
        <v>1</v>
      </c>
      <c r="M1599">
        <v>2</v>
      </c>
      <c r="N1599" t="s">
        <v>41</v>
      </c>
      <c r="O1599" t="s">
        <v>32</v>
      </c>
      <c r="P1599">
        <v>11.925601729798901</v>
      </c>
      <c r="Q1599">
        <v>2.2051882142198802</v>
      </c>
      <c r="R1599">
        <v>1.9554280932474399</v>
      </c>
      <c r="S1599">
        <v>72</v>
      </c>
      <c r="T1599">
        <v>43</v>
      </c>
      <c r="U1599">
        <v>529.49622350547804</v>
      </c>
      <c r="V1599">
        <v>1.2091898428053199E-3</v>
      </c>
      <c r="W1599">
        <v>1076794.9737678401</v>
      </c>
      <c r="X1599" t="s">
        <v>43</v>
      </c>
      <c r="Y1599">
        <f>1-783-145-6511</f>
        <v>-7438</v>
      </c>
    </row>
    <row r="1600" spans="1:25" x14ac:dyDescent="0.35">
      <c r="A1600">
        <v>41.005733105641902</v>
      </c>
      <c r="B1600">
        <v>-122.54299620738</v>
      </c>
      <c r="C1600" t="s">
        <v>25</v>
      </c>
      <c r="D1600">
        <v>32.235302758969802</v>
      </c>
      <c r="E1600">
        <v>5</v>
      </c>
      <c r="F1600">
        <v>2689</v>
      </c>
      <c r="G1600">
        <v>3</v>
      </c>
      <c r="H1600">
        <v>2</v>
      </c>
      <c r="I1600">
        <v>1980</v>
      </c>
      <c r="J1600">
        <v>0</v>
      </c>
      <c r="K1600">
        <v>0</v>
      </c>
      <c r="L1600">
        <v>1</v>
      </c>
      <c r="M1600">
        <v>8</v>
      </c>
      <c r="N1600" t="s">
        <v>26</v>
      </c>
      <c r="O1600" t="s">
        <v>30</v>
      </c>
      <c r="P1600">
        <v>3.9962109240801902</v>
      </c>
      <c r="Q1600">
        <v>0.62980848135886403</v>
      </c>
      <c r="R1600">
        <v>4.3815435571850099</v>
      </c>
      <c r="S1600">
        <v>168</v>
      </c>
      <c r="T1600">
        <v>51</v>
      </c>
      <c r="U1600">
        <v>692.02426457830495</v>
      </c>
      <c r="V1600">
        <v>2.9750836742283302E-3</v>
      </c>
      <c r="W1600">
        <v>2026850.64815854</v>
      </c>
      <c r="X1600" t="s">
        <v>42</v>
      </c>
      <c r="Y1600">
        <f>1-376-364-1724</f>
        <v>-2463</v>
      </c>
    </row>
    <row r="1601" spans="1:25" x14ac:dyDescent="0.35">
      <c r="A1601">
        <v>37.5965970710078</v>
      </c>
      <c r="B1601">
        <v>-122.691390546843</v>
      </c>
      <c r="C1601" t="s">
        <v>29</v>
      </c>
      <c r="D1601">
        <v>47.208079767595102</v>
      </c>
      <c r="E1601">
        <v>4</v>
      </c>
      <c r="F1601">
        <v>1537</v>
      </c>
      <c r="G1601">
        <v>2</v>
      </c>
      <c r="H1601">
        <v>3</v>
      </c>
      <c r="I1601">
        <v>1954</v>
      </c>
      <c r="J1601">
        <v>0</v>
      </c>
      <c r="K1601">
        <v>1</v>
      </c>
      <c r="L1601">
        <v>1</v>
      </c>
      <c r="M1601">
        <v>3</v>
      </c>
      <c r="N1601" t="s">
        <v>26</v>
      </c>
      <c r="O1601" t="s">
        <v>30</v>
      </c>
      <c r="P1601">
        <v>8.33348558303644</v>
      </c>
      <c r="Q1601">
        <v>0.62570017445098502</v>
      </c>
      <c r="R1601">
        <v>3.5900685381777899</v>
      </c>
      <c r="S1601">
        <v>136</v>
      </c>
      <c r="T1601">
        <v>69</v>
      </c>
      <c r="U1601">
        <v>822.62958301700701</v>
      </c>
      <c r="V1601">
        <v>1.95185426154847E-3</v>
      </c>
      <c r="W1601">
        <v>1535556.9646761599</v>
      </c>
      <c r="X1601" t="s">
        <v>28</v>
      </c>
      <c r="Y1601">
        <f>1-424-594-6560</f>
        <v>-7577</v>
      </c>
    </row>
    <row r="1602" spans="1:25" x14ac:dyDescent="0.35">
      <c r="A1602">
        <v>41.690807676853503</v>
      </c>
      <c r="B1602">
        <v>-124.249306898828</v>
      </c>
      <c r="C1602" t="s">
        <v>25</v>
      </c>
      <c r="D1602">
        <v>20.484218269909299</v>
      </c>
      <c r="E1602">
        <v>2</v>
      </c>
      <c r="F1602">
        <v>2233</v>
      </c>
      <c r="G1602">
        <v>2</v>
      </c>
      <c r="H1602">
        <v>1</v>
      </c>
      <c r="I1602">
        <v>1954</v>
      </c>
      <c r="J1602">
        <v>1</v>
      </c>
      <c r="K1602">
        <v>0</v>
      </c>
      <c r="L1602">
        <v>1</v>
      </c>
      <c r="M1602">
        <v>7</v>
      </c>
      <c r="N1602" t="s">
        <v>37</v>
      </c>
      <c r="O1602" t="s">
        <v>32</v>
      </c>
      <c r="P1602">
        <v>2.1519330850098601</v>
      </c>
      <c r="Q1602">
        <v>1.2160108441378801</v>
      </c>
      <c r="R1602">
        <v>5.0523653569098501</v>
      </c>
      <c r="S1602">
        <v>169</v>
      </c>
      <c r="T1602">
        <v>42</v>
      </c>
      <c r="U1602">
        <v>931.774196242269</v>
      </c>
      <c r="V1602">
        <v>3.1347962382445101E-3</v>
      </c>
      <c r="W1602">
        <v>2172747.704444</v>
      </c>
      <c r="X1602" t="s">
        <v>42</v>
      </c>
      <c r="Y1602">
        <f>1-323-260-3653</f>
        <v>-4235</v>
      </c>
    </row>
    <row r="1603" spans="1:25" x14ac:dyDescent="0.35">
      <c r="A1603">
        <v>34.182286759240199</v>
      </c>
      <c r="B1603">
        <v>-119.065889150134</v>
      </c>
      <c r="C1603" t="s">
        <v>29</v>
      </c>
      <c r="D1603">
        <v>47.891960337966303</v>
      </c>
      <c r="E1603">
        <v>4</v>
      </c>
      <c r="F1603">
        <v>560</v>
      </c>
      <c r="G1603">
        <v>5</v>
      </c>
      <c r="H1603">
        <v>1</v>
      </c>
      <c r="I1603">
        <v>1991</v>
      </c>
      <c r="J1603">
        <v>1</v>
      </c>
      <c r="K1603">
        <v>0</v>
      </c>
      <c r="L1603">
        <v>0</v>
      </c>
      <c r="M1603">
        <v>11</v>
      </c>
      <c r="N1603" t="s">
        <v>41</v>
      </c>
      <c r="O1603" t="s">
        <v>30</v>
      </c>
      <c r="P1603">
        <v>5.1960566945505899</v>
      </c>
      <c r="Q1603">
        <v>1.3779690932237501</v>
      </c>
      <c r="R1603">
        <v>0.51702316214973898</v>
      </c>
      <c r="S1603">
        <v>48</v>
      </c>
      <c r="T1603">
        <v>57</v>
      </c>
      <c r="U1603">
        <v>781.96096202677097</v>
      </c>
      <c r="V1603">
        <v>1.9642857142857101E-2</v>
      </c>
      <c r="W1603">
        <v>750211.24352733197</v>
      </c>
      <c r="X1603" t="s">
        <v>42</v>
      </c>
      <c r="Y1603">
        <f>1-597-854-4860</f>
        <v>-6310</v>
      </c>
    </row>
    <row r="1604" spans="1:25" x14ac:dyDescent="0.35">
      <c r="A1604">
        <v>39.248959828193101</v>
      </c>
      <c r="B1604">
        <v>-123.63639645696</v>
      </c>
      <c r="C1604" t="s">
        <v>25</v>
      </c>
      <c r="D1604">
        <v>42.761648812517201</v>
      </c>
      <c r="E1604">
        <v>8</v>
      </c>
      <c r="F1604">
        <v>1703</v>
      </c>
      <c r="G1604">
        <v>1</v>
      </c>
      <c r="H1604">
        <v>1</v>
      </c>
      <c r="I1604">
        <v>1951</v>
      </c>
      <c r="J1604">
        <v>1</v>
      </c>
      <c r="K1604">
        <v>1</v>
      </c>
      <c r="L1604">
        <v>1</v>
      </c>
      <c r="M1604">
        <v>12</v>
      </c>
      <c r="N1604" t="s">
        <v>41</v>
      </c>
      <c r="O1604" t="s">
        <v>27</v>
      </c>
      <c r="P1604">
        <v>14.451066188331399</v>
      </c>
      <c r="Q1604">
        <v>2.48512362065894</v>
      </c>
      <c r="R1604">
        <v>8.9295465605918505</v>
      </c>
      <c r="S1604">
        <v>67</v>
      </c>
      <c r="T1604">
        <v>53</v>
      </c>
      <c r="U1604">
        <v>623.04580089496801</v>
      </c>
      <c r="V1604">
        <v>7.0463887257780303E-3</v>
      </c>
      <c r="W1604">
        <v>1204231.6731633099</v>
      </c>
      <c r="X1604" t="s">
        <v>40</v>
      </c>
      <c r="Y1604">
        <f>1-418-842-4213</f>
        <v>-5472</v>
      </c>
    </row>
    <row r="1605" spans="1:25" x14ac:dyDescent="0.35">
      <c r="A1605">
        <v>35.282084750830698</v>
      </c>
      <c r="B1605">
        <v>-119.339947083673</v>
      </c>
      <c r="C1605" t="s">
        <v>29</v>
      </c>
      <c r="D1605">
        <v>41.714727913552998</v>
      </c>
      <c r="E1605">
        <v>3</v>
      </c>
      <c r="F1605">
        <v>2895</v>
      </c>
      <c r="G1605">
        <v>4</v>
      </c>
      <c r="H1605">
        <v>1</v>
      </c>
      <c r="I1605">
        <v>1969</v>
      </c>
      <c r="J1605">
        <v>1</v>
      </c>
      <c r="K1605">
        <v>1</v>
      </c>
      <c r="L1605">
        <v>0</v>
      </c>
      <c r="M1605">
        <v>8</v>
      </c>
      <c r="N1605" t="s">
        <v>26</v>
      </c>
      <c r="O1605" t="s">
        <v>32</v>
      </c>
      <c r="P1605">
        <v>14.369742937052299</v>
      </c>
      <c r="Q1605">
        <v>2.3682630759975098</v>
      </c>
      <c r="R1605">
        <v>8.8740442394825898</v>
      </c>
      <c r="S1605">
        <v>25</v>
      </c>
      <c r="T1605">
        <v>59</v>
      </c>
      <c r="U1605">
        <v>212.12344511940901</v>
      </c>
      <c r="V1605">
        <v>2.7633851468048302E-3</v>
      </c>
      <c r="W1605">
        <v>992945.78141703398</v>
      </c>
      <c r="X1605" t="s">
        <v>40</v>
      </c>
      <c r="Y1605">
        <f>1-418-101-9521</f>
        <v>-10039</v>
      </c>
    </row>
    <row r="1606" spans="1:25" x14ac:dyDescent="0.35">
      <c r="A1606">
        <v>32.8023080217868</v>
      </c>
      <c r="B1606">
        <v>-121.60675283145</v>
      </c>
      <c r="C1606" t="s">
        <v>25</v>
      </c>
      <c r="D1606">
        <v>20.629893166214998</v>
      </c>
      <c r="E1606">
        <v>8</v>
      </c>
      <c r="F1606">
        <v>4765</v>
      </c>
      <c r="G1606">
        <v>1</v>
      </c>
      <c r="H1606">
        <v>1</v>
      </c>
      <c r="I1606">
        <v>1976</v>
      </c>
      <c r="J1606">
        <v>1</v>
      </c>
      <c r="K1606">
        <v>1</v>
      </c>
      <c r="L1606">
        <v>0</v>
      </c>
      <c r="M1606">
        <v>12</v>
      </c>
      <c r="N1606" t="s">
        <v>41</v>
      </c>
      <c r="O1606" t="s">
        <v>30</v>
      </c>
      <c r="P1606">
        <v>10.1004193584115</v>
      </c>
      <c r="Q1606">
        <v>2.0751945939892802</v>
      </c>
      <c r="R1606">
        <v>2.9203050375130402</v>
      </c>
      <c r="S1606">
        <v>95</v>
      </c>
      <c r="T1606">
        <v>51</v>
      </c>
      <c r="U1606">
        <v>993.78337693403603</v>
      </c>
      <c r="V1606">
        <v>2.5183630640083902E-3</v>
      </c>
      <c r="W1606">
        <v>4951798.2881945996</v>
      </c>
      <c r="X1606" t="s">
        <v>39</v>
      </c>
      <c r="Y1606">
        <f>1-281-740-4209</f>
        <v>-5229</v>
      </c>
    </row>
    <row r="1607" spans="1:25" x14ac:dyDescent="0.35">
      <c r="A1607">
        <v>36.434919820507702</v>
      </c>
      <c r="B1607">
        <v>-119.284148133</v>
      </c>
      <c r="C1607" t="s">
        <v>29</v>
      </c>
      <c r="D1607">
        <v>39.599204736744198</v>
      </c>
      <c r="E1607">
        <v>8</v>
      </c>
      <c r="F1607">
        <v>1741</v>
      </c>
      <c r="G1607">
        <v>4</v>
      </c>
      <c r="H1607">
        <v>1</v>
      </c>
      <c r="I1607">
        <v>1973</v>
      </c>
      <c r="J1607">
        <v>0</v>
      </c>
      <c r="K1607">
        <v>0</v>
      </c>
      <c r="L1607">
        <v>0</v>
      </c>
      <c r="M1607">
        <v>8</v>
      </c>
      <c r="N1607" t="s">
        <v>37</v>
      </c>
      <c r="O1607" t="s">
        <v>30</v>
      </c>
      <c r="P1607">
        <v>9.6490995058650597</v>
      </c>
      <c r="Q1607">
        <v>0.97542850738971298</v>
      </c>
      <c r="R1607">
        <v>8.3048610720858598</v>
      </c>
      <c r="S1607">
        <v>159</v>
      </c>
      <c r="T1607">
        <v>69</v>
      </c>
      <c r="U1607">
        <v>365.36841079974403</v>
      </c>
      <c r="V1607">
        <v>4.5950603101665701E-3</v>
      </c>
      <c r="W1607">
        <v>835665.73515250196</v>
      </c>
      <c r="X1607" t="s">
        <v>38</v>
      </c>
      <c r="Y1607">
        <f>1-297-916-9551</f>
        <v>-10763</v>
      </c>
    </row>
    <row r="1608" spans="1:25" x14ac:dyDescent="0.35">
      <c r="A1608">
        <v>40.217509908172303</v>
      </c>
      <c r="B1608">
        <v>-119.696924469053</v>
      </c>
      <c r="C1608" t="s">
        <v>34</v>
      </c>
      <c r="D1608">
        <v>32.824742668358098</v>
      </c>
      <c r="E1608">
        <v>4</v>
      </c>
      <c r="F1608">
        <v>1103</v>
      </c>
      <c r="G1608">
        <v>2</v>
      </c>
      <c r="H1608">
        <v>2</v>
      </c>
      <c r="I1608">
        <v>2016</v>
      </c>
      <c r="J1608">
        <v>1</v>
      </c>
      <c r="K1608">
        <v>0</v>
      </c>
      <c r="L1608">
        <v>0</v>
      </c>
      <c r="M1608">
        <v>14</v>
      </c>
      <c r="N1608" t="s">
        <v>37</v>
      </c>
      <c r="O1608" t="s">
        <v>32</v>
      </c>
      <c r="P1608">
        <v>14.016894016425899</v>
      </c>
      <c r="Q1608">
        <v>1.9686097218999801</v>
      </c>
      <c r="R1608">
        <v>2.57280549016826</v>
      </c>
      <c r="S1608">
        <v>36</v>
      </c>
      <c r="T1608">
        <v>67</v>
      </c>
      <c r="U1608">
        <v>294.80581740859498</v>
      </c>
      <c r="V1608">
        <v>1.2692656391659099E-2</v>
      </c>
      <c r="W1608">
        <v>561405.55390609696</v>
      </c>
      <c r="X1608" t="s">
        <v>28</v>
      </c>
      <c r="Y1608">
        <f>1-240-884-2244</f>
        <v>-3367</v>
      </c>
    </row>
    <row r="1609" spans="1:25" x14ac:dyDescent="0.35">
      <c r="A1609">
        <v>40.252421807172901</v>
      </c>
      <c r="B1609">
        <v>-118.98087338134999</v>
      </c>
      <c r="C1609" t="s">
        <v>25</v>
      </c>
      <c r="D1609">
        <v>3.0973766272180798</v>
      </c>
      <c r="E1609">
        <v>5</v>
      </c>
      <c r="F1609">
        <v>936</v>
      </c>
      <c r="G1609">
        <v>1</v>
      </c>
      <c r="H1609">
        <v>1</v>
      </c>
      <c r="I1609">
        <v>1988</v>
      </c>
      <c r="J1609">
        <v>1</v>
      </c>
      <c r="K1609">
        <v>0</v>
      </c>
      <c r="L1609">
        <v>1</v>
      </c>
      <c r="M1609">
        <v>12</v>
      </c>
      <c r="N1609" t="s">
        <v>26</v>
      </c>
      <c r="O1609" t="s">
        <v>32</v>
      </c>
      <c r="P1609">
        <v>8.7059925441508792</v>
      </c>
      <c r="Q1609">
        <v>1.6226460433816601</v>
      </c>
      <c r="R1609">
        <v>6.4556259329616603</v>
      </c>
      <c r="S1609">
        <v>5</v>
      </c>
      <c r="T1609">
        <v>61</v>
      </c>
      <c r="U1609">
        <v>757.48677020763103</v>
      </c>
      <c r="V1609">
        <v>1.2820512820512799E-2</v>
      </c>
      <c r="W1609">
        <v>863852.58949283499</v>
      </c>
      <c r="X1609" t="s">
        <v>44</v>
      </c>
      <c r="Y1609">
        <f>1-380-568-7511</f>
        <v>-8458</v>
      </c>
    </row>
    <row r="1610" spans="1:25" x14ac:dyDescent="0.35">
      <c r="A1610">
        <v>40.974599825699798</v>
      </c>
      <c r="B1610">
        <v>-118.87965641959001</v>
      </c>
      <c r="C1610" t="s">
        <v>25</v>
      </c>
      <c r="D1610">
        <v>12.440923167392</v>
      </c>
      <c r="E1610">
        <v>7</v>
      </c>
      <c r="F1610">
        <v>3544</v>
      </c>
      <c r="G1610">
        <v>2</v>
      </c>
      <c r="H1610">
        <v>3</v>
      </c>
      <c r="I1610">
        <v>2007</v>
      </c>
      <c r="J1610">
        <v>0</v>
      </c>
      <c r="K1610">
        <v>0</v>
      </c>
      <c r="L1610">
        <v>1</v>
      </c>
      <c r="M1610">
        <v>10</v>
      </c>
      <c r="N1610" t="s">
        <v>35</v>
      </c>
      <c r="O1610" t="s">
        <v>27</v>
      </c>
      <c r="P1610">
        <v>13.053686208444001</v>
      </c>
      <c r="Q1610">
        <v>1.19030645163494</v>
      </c>
      <c r="R1610">
        <v>5.4201134812414899</v>
      </c>
      <c r="S1610">
        <v>109</v>
      </c>
      <c r="T1610">
        <v>21</v>
      </c>
      <c r="U1610">
        <v>307.37758688709499</v>
      </c>
      <c r="V1610">
        <v>2.8216704288939001E-3</v>
      </c>
      <c r="W1610">
        <v>1399866.8930019501</v>
      </c>
      <c r="X1610" t="s">
        <v>31</v>
      </c>
      <c r="Y1610">
        <f>1-788-515-6239</f>
        <v>-7541</v>
      </c>
    </row>
    <row r="1611" spans="1:25" x14ac:dyDescent="0.35">
      <c r="A1611">
        <v>35.4271699343454</v>
      </c>
      <c r="B1611">
        <v>-121.24433355395</v>
      </c>
      <c r="C1611" t="s">
        <v>25</v>
      </c>
      <c r="D1611">
        <v>41.118710651104998</v>
      </c>
      <c r="E1611">
        <v>2</v>
      </c>
      <c r="F1611">
        <v>3643</v>
      </c>
      <c r="G1611">
        <v>4</v>
      </c>
      <c r="H1611">
        <v>3</v>
      </c>
      <c r="I1611">
        <v>1993</v>
      </c>
      <c r="J1611">
        <v>0</v>
      </c>
      <c r="K1611">
        <v>1</v>
      </c>
      <c r="L1611">
        <v>1</v>
      </c>
      <c r="M1611">
        <v>2</v>
      </c>
      <c r="N1611" t="s">
        <v>41</v>
      </c>
      <c r="O1611" t="s">
        <v>27</v>
      </c>
      <c r="P1611">
        <v>5.1298315321986099</v>
      </c>
      <c r="Q1611">
        <v>1.5384444842918801</v>
      </c>
      <c r="R1611">
        <v>7.3906801791621302</v>
      </c>
      <c r="S1611">
        <v>119</v>
      </c>
      <c r="T1611">
        <v>49</v>
      </c>
      <c r="U1611">
        <v>555.12638110575301</v>
      </c>
      <c r="V1611">
        <v>5.4899807850672497E-4</v>
      </c>
      <c r="W1611">
        <v>2434719.7877280698</v>
      </c>
      <c r="X1611" t="s">
        <v>28</v>
      </c>
      <c r="Y1611">
        <f>1-404-485-3373</f>
        <v>-4261</v>
      </c>
    </row>
    <row r="1612" spans="1:25" x14ac:dyDescent="0.35">
      <c r="A1612">
        <v>40.358995139870103</v>
      </c>
      <c r="B1612">
        <v>-114.437338517509</v>
      </c>
      <c r="C1612" t="s">
        <v>25</v>
      </c>
      <c r="D1612">
        <v>5.1401785527321797</v>
      </c>
      <c r="E1612">
        <v>3</v>
      </c>
      <c r="F1612">
        <v>1285</v>
      </c>
      <c r="G1612">
        <v>5</v>
      </c>
      <c r="H1612">
        <v>3</v>
      </c>
      <c r="I1612">
        <v>2009</v>
      </c>
      <c r="J1612">
        <v>1</v>
      </c>
      <c r="K1612">
        <v>1</v>
      </c>
      <c r="L1612">
        <v>0</v>
      </c>
      <c r="M1612">
        <v>9</v>
      </c>
      <c r="N1612" t="s">
        <v>41</v>
      </c>
      <c r="O1612" t="s">
        <v>30</v>
      </c>
      <c r="P1612">
        <v>9.7506653296726693</v>
      </c>
      <c r="Q1612">
        <v>1.9904508868241</v>
      </c>
      <c r="R1612">
        <v>3.6005695961593802</v>
      </c>
      <c r="S1612">
        <v>46</v>
      </c>
      <c r="T1612">
        <v>30</v>
      </c>
      <c r="U1612">
        <v>976.754571448913</v>
      </c>
      <c r="V1612">
        <v>7.0038910505836501E-3</v>
      </c>
      <c r="W1612">
        <v>1808910.6134976901</v>
      </c>
      <c r="X1612" t="s">
        <v>39</v>
      </c>
      <c r="Y1612">
        <f>1-799-363-9388</f>
        <v>-10549</v>
      </c>
    </row>
    <row r="1613" spans="1:25" x14ac:dyDescent="0.35">
      <c r="A1613">
        <v>37.759593173684003</v>
      </c>
      <c r="B1613">
        <v>-118.37747680015801</v>
      </c>
      <c r="C1613" t="s">
        <v>29</v>
      </c>
      <c r="D1613">
        <v>27.513359273604198</v>
      </c>
      <c r="E1613">
        <v>2</v>
      </c>
      <c r="F1613">
        <v>2942</v>
      </c>
      <c r="G1613">
        <v>3</v>
      </c>
      <c r="H1613">
        <v>3</v>
      </c>
      <c r="I1613">
        <v>1987</v>
      </c>
      <c r="J1613">
        <v>0</v>
      </c>
      <c r="K1613">
        <v>1</v>
      </c>
      <c r="L1613">
        <v>1</v>
      </c>
      <c r="M1613">
        <v>2</v>
      </c>
      <c r="N1613" t="s">
        <v>35</v>
      </c>
      <c r="O1613" t="s">
        <v>27</v>
      </c>
      <c r="P1613">
        <v>5.2207704385991196</v>
      </c>
      <c r="Q1613">
        <v>2.4895291822309402</v>
      </c>
      <c r="R1613">
        <v>6.19017964959564</v>
      </c>
      <c r="S1613">
        <v>16</v>
      </c>
      <c r="T1613">
        <v>27</v>
      </c>
      <c r="U1613">
        <v>795.50234467923406</v>
      </c>
      <c r="V1613">
        <v>6.7980965329707602E-4</v>
      </c>
      <c r="W1613">
        <v>2653874.5805701502</v>
      </c>
      <c r="X1613" t="s">
        <v>44</v>
      </c>
      <c r="Y1613">
        <f>1-522-551-8173</f>
        <v>-9245</v>
      </c>
    </row>
    <row r="1614" spans="1:25" x14ac:dyDescent="0.35">
      <c r="A1614">
        <v>40.102709055230498</v>
      </c>
      <c r="B1614">
        <v>-121.940814011371</v>
      </c>
      <c r="C1614" t="s">
        <v>34</v>
      </c>
      <c r="D1614">
        <v>13.0593951752316</v>
      </c>
      <c r="E1614">
        <v>4</v>
      </c>
      <c r="F1614">
        <v>3556</v>
      </c>
      <c r="G1614">
        <v>3</v>
      </c>
      <c r="H1614">
        <v>1</v>
      </c>
      <c r="I1614">
        <v>1967</v>
      </c>
      <c r="J1614">
        <v>1</v>
      </c>
      <c r="K1614">
        <v>1</v>
      </c>
      <c r="L1614">
        <v>0</v>
      </c>
      <c r="M1614">
        <v>3</v>
      </c>
      <c r="N1614" t="s">
        <v>26</v>
      </c>
      <c r="O1614" t="s">
        <v>32</v>
      </c>
      <c r="P1614">
        <v>10.5581347119684</v>
      </c>
      <c r="Q1614">
        <v>0.82034487316819704</v>
      </c>
      <c r="R1614">
        <v>4.88601189403317</v>
      </c>
      <c r="S1614">
        <v>10</v>
      </c>
      <c r="T1614">
        <v>73</v>
      </c>
      <c r="U1614">
        <v>743.05328398471102</v>
      </c>
      <c r="V1614">
        <v>8.4364454443194598E-4</v>
      </c>
      <c r="W1614">
        <v>2991688.4363967702</v>
      </c>
      <c r="X1614" t="s">
        <v>39</v>
      </c>
      <c r="Y1614">
        <f>1-669-817-2117</f>
        <v>-3602</v>
      </c>
    </row>
    <row r="1615" spans="1:25" x14ac:dyDescent="0.35">
      <c r="A1615">
        <v>37.953045969800897</v>
      </c>
      <c r="B1615">
        <v>-115.36248929893399</v>
      </c>
      <c r="C1615" t="s">
        <v>29</v>
      </c>
      <c r="D1615">
        <v>15.508832525487399</v>
      </c>
      <c r="E1615">
        <v>6</v>
      </c>
      <c r="F1615">
        <v>2940</v>
      </c>
      <c r="G1615">
        <v>4</v>
      </c>
      <c r="H1615">
        <v>2</v>
      </c>
      <c r="I1615">
        <v>2001</v>
      </c>
      <c r="J1615">
        <v>1</v>
      </c>
      <c r="K1615">
        <v>0</v>
      </c>
      <c r="L1615">
        <v>1</v>
      </c>
      <c r="M1615">
        <v>13</v>
      </c>
      <c r="N1615" t="s">
        <v>26</v>
      </c>
      <c r="O1615" t="s">
        <v>32</v>
      </c>
      <c r="P1615">
        <v>12.3996321152836</v>
      </c>
      <c r="Q1615">
        <v>1.7423986922124699</v>
      </c>
      <c r="R1615">
        <v>9.4322131025963394</v>
      </c>
      <c r="S1615">
        <v>111</v>
      </c>
      <c r="T1615">
        <v>58</v>
      </c>
      <c r="U1615">
        <v>635.99114168854601</v>
      </c>
      <c r="V1615">
        <v>4.4217687074829901E-3</v>
      </c>
      <c r="W1615">
        <v>2271287.20832972</v>
      </c>
      <c r="X1615" t="s">
        <v>42</v>
      </c>
      <c r="Y1615">
        <f>1-217-402-7981</f>
        <v>-8599</v>
      </c>
    </row>
    <row r="1616" spans="1:25" x14ac:dyDescent="0.35">
      <c r="A1616">
        <v>37.572324995172202</v>
      </c>
      <c r="B1616">
        <v>-120.815607980971</v>
      </c>
      <c r="C1616" t="s">
        <v>34</v>
      </c>
      <c r="D1616">
        <v>49.077821853872301</v>
      </c>
      <c r="E1616">
        <v>6</v>
      </c>
      <c r="F1616">
        <v>2493</v>
      </c>
      <c r="G1616">
        <v>3</v>
      </c>
      <c r="H1616">
        <v>2</v>
      </c>
      <c r="I1616">
        <v>1973</v>
      </c>
      <c r="J1616">
        <v>1</v>
      </c>
      <c r="K1616">
        <v>1</v>
      </c>
      <c r="L1616">
        <v>0</v>
      </c>
      <c r="M1616">
        <v>10</v>
      </c>
      <c r="N1616" t="s">
        <v>37</v>
      </c>
      <c r="O1616" t="s">
        <v>30</v>
      </c>
      <c r="P1616">
        <v>11.4109962687064</v>
      </c>
      <c r="Q1616">
        <v>2.0570031717210502</v>
      </c>
      <c r="R1616">
        <v>0.379781971834242</v>
      </c>
      <c r="S1616">
        <v>183</v>
      </c>
      <c r="T1616">
        <v>26</v>
      </c>
      <c r="U1616">
        <v>318.21436730557701</v>
      </c>
      <c r="V1616">
        <v>4.0112314480545497E-3</v>
      </c>
      <c r="W1616">
        <v>1184600.7248319499</v>
      </c>
      <c r="X1616" t="s">
        <v>43</v>
      </c>
      <c r="Y1616">
        <f>1-667-731-9692</f>
        <v>-11089</v>
      </c>
    </row>
    <row r="1617" spans="1:25" x14ac:dyDescent="0.35">
      <c r="A1617">
        <v>40.949292333291801</v>
      </c>
      <c r="B1617">
        <v>-114.786249815334</v>
      </c>
      <c r="C1617" t="s">
        <v>25</v>
      </c>
      <c r="D1617">
        <v>3.34659651541739</v>
      </c>
      <c r="E1617">
        <v>9</v>
      </c>
      <c r="F1617">
        <v>2924</v>
      </c>
      <c r="G1617">
        <v>1</v>
      </c>
      <c r="H1617">
        <v>1</v>
      </c>
      <c r="I1617">
        <v>1986</v>
      </c>
      <c r="J1617">
        <v>0</v>
      </c>
      <c r="K1617">
        <v>1</v>
      </c>
      <c r="L1617">
        <v>0</v>
      </c>
      <c r="M1617">
        <v>13</v>
      </c>
      <c r="N1617" t="s">
        <v>41</v>
      </c>
      <c r="O1617" t="s">
        <v>27</v>
      </c>
      <c r="P1617">
        <v>14.8158852252048</v>
      </c>
      <c r="Q1617">
        <v>1.71360758642974</v>
      </c>
      <c r="R1617">
        <v>5.9516813238867101</v>
      </c>
      <c r="S1617">
        <v>3</v>
      </c>
      <c r="T1617">
        <v>68</v>
      </c>
      <c r="U1617">
        <v>900.53424991302495</v>
      </c>
      <c r="V1617">
        <v>4.4459644322845399E-3</v>
      </c>
      <c r="W1617">
        <v>2843650.6839322699</v>
      </c>
      <c r="X1617" t="s">
        <v>38</v>
      </c>
      <c r="Y1617">
        <f>1-875-798-9980</f>
        <v>-11652</v>
      </c>
    </row>
    <row r="1618" spans="1:25" x14ac:dyDescent="0.35">
      <c r="A1618">
        <v>40.371716882414198</v>
      </c>
      <c r="B1618">
        <v>-118.11635061197499</v>
      </c>
      <c r="C1618" t="s">
        <v>34</v>
      </c>
      <c r="D1618">
        <v>24.629977527596399</v>
      </c>
      <c r="E1618">
        <v>8</v>
      </c>
      <c r="F1618">
        <v>2582</v>
      </c>
      <c r="G1618">
        <v>3</v>
      </c>
      <c r="H1618">
        <v>1</v>
      </c>
      <c r="I1618">
        <v>2007</v>
      </c>
      <c r="J1618">
        <v>0</v>
      </c>
      <c r="K1618">
        <v>1</v>
      </c>
      <c r="L1618">
        <v>0</v>
      </c>
      <c r="M1618">
        <v>4</v>
      </c>
      <c r="N1618" t="s">
        <v>37</v>
      </c>
      <c r="O1618" t="s">
        <v>27</v>
      </c>
      <c r="P1618">
        <v>12.540670481027099</v>
      </c>
      <c r="Q1618">
        <v>2.47454447813571</v>
      </c>
      <c r="R1618">
        <v>8.0551929968241307</v>
      </c>
      <c r="S1618">
        <v>125</v>
      </c>
      <c r="T1618">
        <v>34</v>
      </c>
      <c r="U1618">
        <v>518.93104571193999</v>
      </c>
      <c r="V1618">
        <v>1.5491866769945699E-3</v>
      </c>
      <c r="W1618">
        <v>1597327.9585089199</v>
      </c>
      <c r="X1618" t="s">
        <v>38</v>
      </c>
      <c r="Y1618">
        <f>1-834-875-3389</f>
        <v>-5097</v>
      </c>
    </row>
    <row r="1619" spans="1:25" x14ac:dyDescent="0.35">
      <c r="A1619">
        <v>37.9319294842809</v>
      </c>
      <c r="B1619">
        <v>-114.403454238507</v>
      </c>
      <c r="C1619" t="s">
        <v>34</v>
      </c>
      <c r="D1619">
        <v>16.326514865862102</v>
      </c>
      <c r="E1619">
        <v>7</v>
      </c>
      <c r="F1619">
        <v>3553</v>
      </c>
      <c r="G1619">
        <v>3</v>
      </c>
      <c r="H1619">
        <v>1</v>
      </c>
      <c r="I1619">
        <v>1950</v>
      </c>
      <c r="J1619">
        <v>1</v>
      </c>
      <c r="K1619">
        <v>1</v>
      </c>
      <c r="L1619">
        <v>1</v>
      </c>
      <c r="M1619">
        <v>4</v>
      </c>
      <c r="N1619" t="s">
        <v>41</v>
      </c>
      <c r="O1619" t="s">
        <v>30</v>
      </c>
      <c r="P1619">
        <v>3.76578596004184</v>
      </c>
      <c r="Q1619">
        <v>1.7644690444389901</v>
      </c>
      <c r="R1619">
        <v>1.04321071136749</v>
      </c>
      <c r="S1619">
        <v>104</v>
      </c>
      <c r="T1619">
        <v>56</v>
      </c>
      <c r="U1619">
        <v>901.90821179191005</v>
      </c>
      <c r="V1619">
        <v>1.1258091753447699E-3</v>
      </c>
      <c r="W1619">
        <v>3543298.4228897202</v>
      </c>
      <c r="X1619" t="s">
        <v>43</v>
      </c>
      <c r="Y1619">
        <f>1-573-624-3853</f>
        <v>-5049</v>
      </c>
    </row>
    <row r="1620" spans="1:25" x14ac:dyDescent="0.35">
      <c r="A1620">
        <v>35.346455581877599</v>
      </c>
      <c r="B1620">
        <v>-120.688564208825</v>
      </c>
      <c r="C1620" t="s">
        <v>25</v>
      </c>
      <c r="D1620">
        <v>11.3150180612919</v>
      </c>
      <c r="E1620">
        <v>8</v>
      </c>
      <c r="F1620">
        <v>2772</v>
      </c>
      <c r="G1620">
        <v>2</v>
      </c>
      <c r="H1620">
        <v>2</v>
      </c>
      <c r="I1620">
        <v>1983</v>
      </c>
      <c r="J1620">
        <v>1</v>
      </c>
      <c r="K1620">
        <v>1</v>
      </c>
      <c r="L1620">
        <v>1</v>
      </c>
      <c r="M1620">
        <v>11</v>
      </c>
      <c r="N1620" t="s">
        <v>26</v>
      </c>
      <c r="O1620" t="s">
        <v>27</v>
      </c>
      <c r="P1620">
        <v>12.9315697216456</v>
      </c>
      <c r="Q1620">
        <v>2.11601081513041</v>
      </c>
      <c r="R1620">
        <v>7.3241303091529799</v>
      </c>
      <c r="S1620">
        <v>130</v>
      </c>
      <c r="T1620">
        <v>27</v>
      </c>
      <c r="U1620">
        <v>242.85860749938601</v>
      </c>
      <c r="V1620">
        <v>3.9682539682539602E-3</v>
      </c>
      <c r="W1620">
        <v>1068174.4191814</v>
      </c>
      <c r="X1620" t="s">
        <v>33</v>
      </c>
      <c r="Y1620">
        <f>1-370-949-1023</f>
        <v>-2341</v>
      </c>
    </row>
    <row r="1621" spans="1:25" x14ac:dyDescent="0.35">
      <c r="A1621">
        <v>41.519681575325997</v>
      </c>
      <c r="B1621">
        <v>-121.806779708262</v>
      </c>
      <c r="C1621" t="s">
        <v>25</v>
      </c>
      <c r="D1621">
        <v>28.3116379022192</v>
      </c>
      <c r="E1621">
        <v>1</v>
      </c>
      <c r="F1621">
        <v>3548</v>
      </c>
      <c r="G1621">
        <v>3</v>
      </c>
      <c r="H1621">
        <v>1</v>
      </c>
      <c r="I1621">
        <v>1968</v>
      </c>
      <c r="J1621">
        <v>0</v>
      </c>
      <c r="K1621">
        <v>1</v>
      </c>
      <c r="L1621">
        <v>1</v>
      </c>
      <c r="M1621">
        <v>12</v>
      </c>
      <c r="N1621" t="s">
        <v>26</v>
      </c>
      <c r="O1621" t="s">
        <v>32</v>
      </c>
      <c r="P1621">
        <v>9.0206759569951203</v>
      </c>
      <c r="Q1621">
        <v>0.56723795793632203</v>
      </c>
      <c r="R1621">
        <v>2.3965557359360101</v>
      </c>
      <c r="S1621">
        <v>14</v>
      </c>
      <c r="T1621">
        <v>42</v>
      </c>
      <c r="U1621">
        <v>861.51785980587999</v>
      </c>
      <c r="V1621">
        <v>3.38218714768883E-3</v>
      </c>
      <c r="W1621">
        <v>3350166.5411068099</v>
      </c>
      <c r="X1621" t="s">
        <v>33</v>
      </c>
      <c r="Y1621">
        <f>1-711-926-2468</f>
        <v>-4104</v>
      </c>
    </row>
    <row r="1622" spans="1:25" x14ac:dyDescent="0.35">
      <c r="A1622">
        <v>39.768120488355798</v>
      </c>
      <c r="B1622">
        <v>-119.55844162535701</v>
      </c>
      <c r="C1622" t="s">
        <v>34</v>
      </c>
      <c r="D1622">
        <v>33.423940879265899</v>
      </c>
      <c r="E1622">
        <v>4</v>
      </c>
      <c r="F1622">
        <v>2998</v>
      </c>
      <c r="G1622">
        <v>1</v>
      </c>
      <c r="H1622">
        <v>1</v>
      </c>
      <c r="I1622">
        <v>1992</v>
      </c>
      <c r="J1622">
        <v>1</v>
      </c>
      <c r="K1622">
        <v>0</v>
      </c>
      <c r="L1622">
        <v>1</v>
      </c>
      <c r="M1622">
        <v>5</v>
      </c>
      <c r="N1622" t="s">
        <v>35</v>
      </c>
      <c r="O1622" t="s">
        <v>30</v>
      </c>
      <c r="P1622">
        <v>8.53582414158417</v>
      </c>
      <c r="Q1622">
        <v>1.79294218419101</v>
      </c>
      <c r="R1622">
        <v>2.4341418771976899</v>
      </c>
      <c r="S1622">
        <v>159</v>
      </c>
      <c r="T1622">
        <v>29</v>
      </c>
      <c r="U1622">
        <v>476.18522359498701</v>
      </c>
      <c r="V1622">
        <v>1.66777851901267E-3</v>
      </c>
      <c r="W1622">
        <v>1580134.2670351199</v>
      </c>
      <c r="X1622" t="s">
        <v>33</v>
      </c>
      <c r="Y1622">
        <f>1-805-658-7001</f>
        <v>-8463</v>
      </c>
    </row>
    <row r="1623" spans="1:25" x14ac:dyDescent="0.35">
      <c r="A1623">
        <v>39.7219406753863</v>
      </c>
      <c r="B1623">
        <v>-114.851375991121</v>
      </c>
      <c r="C1623" t="s">
        <v>29</v>
      </c>
      <c r="D1623">
        <v>26.793266235330702</v>
      </c>
      <c r="E1623">
        <v>5</v>
      </c>
      <c r="F1623">
        <v>2189</v>
      </c>
      <c r="G1623">
        <v>3</v>
      </c>
      <c r="H1623">
        <v>3</v>
      </c>
      <c r="I1623">
        <v>1982</v>
      </c>
      <c r="J1623">
        <v>0</v>
      </c>
      <c r="K1623">
        <v>1</v>
      </c>
      <c r="L1623">
        <v>1</v>
      </c>
      <c r="M1623">
        <v>8</v>
      </c>
      <c r="N1623" t="s">
        <v>35</v>
      </c>
      <c r="O1623" t="s">
        <v>30</v>
      </c>
      <c r="P1623">
        <v>13.944943034501501</v>
      </c>
      <c r="Q1623">
        <v>0.83125974184296703</v>
      </c>
      <c r="R1623">
        <v>7.8437171883849999</v>
      </c>
      <c r="S1623">
        <v>136</v>
      </c>
      <c r="T1623">
        <v>29</v>
      </c>
      <c r="U1623">
        <v>281.37583906585701</v>
      </c>
      <c r="V1623">
        <v>3.6546368204659601E-3</v>
      </c>
      <c r="W1623">
        <v>962907.90280353802</v>
      </c>
      <c r="X1623" t="s">
        <v>40</v>
      </c>
      <c r="Y1623">
        <f>1-856-799-4161</f>
        <v>-5815</v>
      </c>
    </row>
    <row r="1624" spans="1:25" x14ac:dyDescent="0.35">
      <c r="A1624">
        <v>33.246373834011798</v>
      </c>
      <c r="B1624">
        <v>-115.805027102644</v>
      </c>
      <c r="C1624" t="s">
        <v>29</v>
      </c>
      <c r="D1624">
        <v>32.123252954672999</v>
      </c>
      <c r="E1624">
        <v>3</v>
      </c>
      <c r="F1624">
        <v>1661</v>
      </c>
      <c r="G1624">
        <v>2</v>
      </c>
      <c r="H1624">
        <v>1</v>
      </c>
      <c r="I1624">
        <v>1955</v>
      </c>
      <c r="J1624">
        <v>1</v>
      </c>
      <c r="K1624">
        <v>0</v>
      </c>
      <c r="L1624">
        <v>1</v>
      </c>
      <c r="M1624">
        <v>5</v>
      </c>
      <c r="N1624" t="s">
        <v>26</v>
      </c>
      <c r="O1624" t="s">
        <v>30</v>
      </c>
      <c r="P1624">
        <v>8.4199070889007093</v>
      </c>
      <c r="Q1624">
        <v>2.0508959824546702</v>
      </c>
      <c r="R1624">
        <v>8.8739662168494302</v>
      </c>
      <c r="S1624">
        <v>47</v>
      </c>
      <c r="T1624">
        <v>30</v>
      </c>
      <c r="U1624">
        <v>306.77770521084301</v>
      </c>
      <c r="V1624">
        <v>3.0102347983142598E-3</v>
      </c>
      <c r="W1624">
        <v>695881.570810323</v>
      </c>
      <c r="X1624" t="s">
        <v>44</v>
      </c>
      <c r="Y1624">
        <f>1-581-640-8650</f>
        <v>-9870</v>
      </c>
    </row>
    <row r="1625" spans="1:25" x14ac:dyDescent="0.35">
      <c r="A1625">
        <v>40.021071193451299</v>
      </c>
      <c r="B1625">
        <v>-115.487324754982</v>
      </c>
      <c r="C1625" t="s">
        <v>34</v>
      </c>
      <c r="D1625">
        <v>18.5923004893361</v>
      </c>
      <c r="E1625">
        <v>2</v>
      </c>
      <c r="F1625">
        <v>4253</v>
      </c>
      <c r="G1625">
        <v>3</v>
      </c>
      <c r="H1625">
        <v>1</v>
      </c>
      <c r="I1625">
        <v>1959</v>
      </c>
      <c r="J1625">
        <v>0</v>
      </c>
      <c r="K1625">
        <v>1</v>
      </c>
      <c r="L1625">
        <v>1</v>
      </c>
      <c r="M1625">
        <v>11</v>
      </c>
      <c r="N1625" t="s">
        <v>41</v>
      </c>
      <c r="O1625" t="s">
        <v>32</v>
      </c>
      <c r="P1625">
        <v>6.2107428194344996</v>
      </c>
      <c r="Q1625">
        <v>1.5242779721534401</v>
      </c>
      <c r="R1625">
        <v>7.6556080881191804</v>
      </c>
      <c r="S1625">
        <v>22</v>
      </c>
      <c r="T1625">
        <v>22</v>
      </c>
      <c r="U1625">
        <v>710.45045156745198</v>
      </c>
      <c r="V1625">
        <v>2.5864095932282998E-3</v>
      </c>
      <c r="W1625">
        <v>3334217.60645014</v>
      </c>
      <c r="X1625" t="s">
        <v>40</v>
      </c>
      <c r="Y1625">
        <f>1-393-380-3866</f>
        <v>-4638</v>
      </c>
    </row>
    <row r="1626" spans="1:25" x14ac:dyDescent="0.35">
      <c r="A1626">
        <v>35.120345726099004</v>
      </c>
      <c r="B1626">
        <v>-116.02619695897999</v>
      </c>
      <c r="C1626" t="s">
        <v>25</v>
      </c>
      <c r="D1626">
        <v>48.682223482998197</v>
      </c>
      <c r="E1626">
        <v>8</v>
      </c>
      <c r="F1626">
        <v>4927</v>
      </c>
      <c r="G1626">
        <v>1</v>
      </c>
      <c r="H1626">
        <v>3</v>
      </c>
      <c r="I1626">
        <v>2008</v>
      </c>
      <c r="J1626">
        <v>1</v>
      </c>
      <c r="K1626">
        <v>1</v>
      </c>
      <c r="L1626">
        <v>1</v>
      </c>
      <c r="M1626">
        <v>5</v>
      </c>
      <c r="N1626" t="s">
        <v>37</v>
      </c>
      <c r="O1626" t="s">
        <v>32</v>
      </c>
      <c r="P1626">
        <v>11.0485944623007</v>
      </c>
      <c r="Q1626">
        <v>1.9516510436969901</v>
      </c>
      <c r="R1626">
        <v>8.7253772303064299</v>
      </c>
      <c r="S1626">
        <v>176</v>
      </c>
      <c r="T1626">
        <v>47</v>
      </c>
      <c r="U1626">
        <v>890.12311719096397</v>
      </c>
      <c r="V1626">
        <v>1.0148163182463899E-3</v>
      </c>
      <c r="W1626">
        <v>4733304.3006098196</v>
      </c>
      <c r="X1626" t="s">
        <v>39</v>
      </c>
      <c r="Y1626">
        <f>1-517-891-1499</f>
        <v>-2906</v>
      </c>
    </row>
    <row r="1627" spans="1:25" x14ac:dyDescent="0.35">
      <c r="A1627">
        <v>37.120470397191703</v>
      </c>
      <c r="B1627">
        <v>-119.29687324073799</v>
      </c>
      <c r="C1627" t="s">
        <v>34</v>
      </c>
      <c r="D1627">
        <v>42.234689304110198</v>
      </c>
      <c r="E1627">
        <v>0</v>
      </c>
      <c r="F1627">
        <v>2896</v>
      </c>
      <c r="G1627">
        <v>3</v>
      </c>
      <c r="H1627">
        <v>1</v>
      </c>
      <c r="I1627">
        <v>1951</v>
      </c>
      <c r="J1627">
        <v>0</v>
      </c>
      <c r="K1627">
        <v>0</v>
      </c>
      <c r="L1627">
        <v>1</v>
      </c>
      <c r="M1627">
        <v>4</v>
      </c>
      <c r="N1627" t="s">
        <v>26</v>
      </c>
      <c r="O1627" t="s">
        <v>27</v>
      </c>
      <c r="P1627">
        <v>11.7929294552596</v>
      </c>
      <c r="Q1627">
        <v>0.58105974516214798</v>
      </c>
      <c r="R1627">
        <v>9.72194795782878</v>
      </c>
      <c r="S1627">
        <v>172</v>
      </c>
      <c r="T1627">
        <v>66</v>
      </c>
      <c r="U1627">
        <v>976.30349207509596</v>
      </c>
      <c r="V1627">
        <v>1.3812154696132501E-3</v>
      </c>
      <c r="W1627">
        <v>2947093.1801697598</v>
      </c>
      <c r="X1627" t="s">
        <v>40</v>
      </c>
      <c r="Y1627">
        <f>1-598-791-4105</f>
        <v>-5493</v>
      </c>
    </row>
    <row r="1628" spans="1:25" x14ac:dyDescent="0.35">
      <c r="A1628">
        <v>39.0890704313504</v>
      </c>
      <c r="B1628">
        <v>-118.915429508964</v>
      </c>
      <c r="C1628" t="s">
        <v>25</v>
      </c>
      <c r="D1628">
        <v>12.1278689558502</v>
      </c>
      <c r="E1628">
        <v>9</v>
      </c>
      <c r="F1628">
        <v>4666</v>
      </c>
      <c r="G1628">
        <v>5</v>
      </c>
      <c r="H1628">
        <v>1</v>
      </c>
      <c r="I1628">
        <v>1961</v>
      </c>
      <c r="J1628">
        <v>1</v>
      </c>
      <c r="K1628">
        <v>1</v>
      </c>
      <c r="L1628">
        <v>1</v>
      </c>
      <c r="M1628">
        <v>14</v>
      </c>
      <c r="N1628" t="s">
        <v>41</v>
      </c>
      <c r="O1628" t="s">
        <v>32</v>
      </c>
      <c r="P1628">
        <v>2.0224628751628599</v>
      </c>
      <c r="Q1628">
        <v>2.2290327245274599</v>
      </c>
      <c r="R1628">
        <v>2.7105905942411099</v>
      </c>
      <c r="S1628">
        <v>121</v>
      </c>
      <c r="T1628">
        <v>46</v>
      </c>
      <c r="U1628">
        <v>501.41310976421198</v>
      </c>
      <c r="V1628">
        <v>3.0004286326618E-3</v>
      </c>
      <c r="W1628">
        <v>2700444.0310809398</v>
      </c>
      <c r="X1628" t="s">
        <v>33</v>
      </c>
      <c r="Y1628">
        <f>1-903-812-1565</f>
        <v>-3279</v>
      </c>
    </row>
    <row r="1629" spans="1:25" x14ac:dyDescent="0.35">
      <c r="A1629">
        <v>32.949189913168397</v>
      </c>
      <c r="B1629">
        <v>-123.49454420737401</v>
      </c>
      <c r="C1629" t="s">
        <v>25</v>
      </c>
      <c r="D1629">
        <v>26.659352060351399</v>
      </c>
      <c r="E1629">
        <v>6</v>
      </c>
      <c r="F1629">
        <v>1481</v>
      </c>
      <c r="G1629">
        <v>4</v>
      </c>
      <c r="H1629">
        <v>3</v>
      </c>
      <c r="I1629">
        <v>1992</v>
      </c>
      <c r="J1629">
        <v>1</v>
      </c>
      <c r="K1629">
        <v>1</v>
      </c>
      <c r="L1629">
        <v>0</v>
      </c>
      <c r="M1629">
        <v>7</v>
      </c>
      <c r="N1629" t="s">
        <v>41</v>
      </c>
      <c r="O1629" t="s">
        <v>27</v>
      </c>
      <c r="P1629">
        <v>10.8925273672724</v>
      </c>
      <c r="Q1629">
        <v>1.1507361723523599</v>
      </c>
      <c r="R1629">
        <v>5.49486871268138</v>
      </c>
      <c r="S1629">
        <v>173</v>
      </c>
      <c r="T1629">
        <v>46</v>
      </c>
      <c r="U1629">
        <v>750.35577900067995</v>
      </c>
      <c r="V1629">
        <v>4.7265361242403697E-3</v>
      </c>
      <c r="W1629">
        <v>1528661.98774015</v>
      </c>
      <c r="X1629" t="s">
        <v>39</v>
      </c>
      <c r="Y1629">
        <f>1-288-153-9354</f>
        <v>-9794</v>
      </c>
    </row>
    <row r="1630" spans="1:25" x14ac:dyDescent="0.35">
      <c r="A1630">
        <v>34.586241031831001</v>
      </c>
      <c r="B1630">
        <v>-118.484972925218</v>
      </c>
      <c r="C1630" t="s">
        <v>34</v>
      </c>
      <c r="D1630">
        <v>8.6671180773550507</v>
      </c>
      <c r="E1630">
        <v>9</v>
      </c>
      <c r="F1630">
        <v>2704</v>
      </c>
      <c r="G1630">
        <v>3</v>
      </c>
      <c r="H1630">
        <v>1</v>
      </c>
      <c r="I1630">
        <v>1957</v>
      </c>
      <c r="J1630">
        <v>0</v>
      </c>
      <c r="K1630">
        <v>0</v>
      </c>
      <c r="L1630">
        <v>0</v>
      </c>
      <c r="M1630">
        <v>9</v>
      </c>
      <c r="N1630" t="s">
        <v>35</v>
      </c>
      <c r="O1630" t="s">
        <v>32</v>
      </c>
      <c r="P1630">
        <v>14.221720855806501</v>
      </c>
      <c r="Q1630">
        <v>0.54785219278091901</v>
      </c>
      <c r="R1630">
        <v>3.9184911003870302</v>
      </c>
      <c r="S1630">
        <v>59</v>
      </c>
      <c r="T1630">
        <v>72</v>
      </c>
      <c r="U1630">
        <v>661.16635757148902</v>
      </c>
      <c r="V1630">
        <v>3.3284023668639002E-3</v>
      </c>
      <c r="W1630">
        <v>1935927.87168505</v>
      </c>
      <c r="X1630" t="s">
        <v>36</v>
      </c>
      <c r="Y1630">
        <f>1-635-181-5023</f>
        <v>-5838</v>
      </c>
    </row>
    <row r="1631" spans="1:25" x14ac:dyDescent="0.35">
      <c r="A1631">
        <v>39.301170954985899</v>
      </c>
      <c r="B1631">
        <v>-121.407431978776</v>
      </c>
      <c r="C1631" t="s">
        <v>34</v>
      </c>
      <c r="D1631">
        <v>20.199415080044702</v>
      </c>
      <c r="E1631">
        <v>4</v>
      </c>
      <c r="F1631">
        <v>4872</v>
      </c>
      <c r="G1631">
        <v>4</v>
      </c>
      <c r="H1631">
        <v>3</v>
      </c>
      <c r="I1631">
        <v>1960</v>
      </c>
      <c r="J1631">
        <v>1</v>
      </c>
      <c r="K1631">
        <v>0</v>
      </c>
      <c r="L1631">
        <v>1</v>
      </c>
      <c r="M1631">
        <v>10</v>
      </c>
      <c r="N1631" t="s">
        <v>26</v>
      </c>
      <c r="O1631" t="s">
        <v>27</v>
      </c>
      <c r="P1631">
        <v>5.8060415268919998</v>
      </c>
      <c r="Q1631">
        <v>0.94492544860819105</v>
      </c>
      <c r="R1631">
        <v>0.89404876514962806</v>
      </c>
      <c r="S1631">
        <v>186</v>
      </c>
      <c r="T1631">
        <v>33</v>
      </c>
      <c r="U1631">
        <v>597.51083735241605</v>
      </c>
      <c r="V1631">
        <v>2.0525451559934302E-3</v>
      </c>
      <c r="W1631">
        <v>3179783.2257120898</v>
      </c>
      <c r="X1631" t="s">
        <v>40</v>
      </c>
      <c r="Y1631">
        <f>1-855-215-3252</f>
        <v>-4321</v>
      </c>
    </row>
    <row r="1632" spans="1:25" x14ac:dyDescent="0.35">
      <c r="A1632">
        <v>36.462455841760701</v>
      </c>
      <c r="B1632">
        <v>-118.546119697862</v>
      </c>
      <c r="C1632" t="s">
        <v>34</v>
      </c>
      <c r="D1632">
        <v>46.646025052140502</v>
      </c>
      <c r="E1632">
        <v>6</v>
      </c>
      <c r="F1632">
        <v>4008</v>
      </c>
      <c r="G1632">
        <v>5</v>
      </c>
      <c r="H1632">
        <v>1</v>
      </c>
      <c r="I1632">
        <v>2020</v>
      </c>
      <c r="J1632">
        <v>0</v>
      </c>
      <c r="K1632">
        <v>0</v>
      </c>
      <c r="L1632">
        <v>0</v>
      </c>
      <c r="M1632">
        <v>9</v>
      </c>
      <c r="N1632" t="s">
        <v>26</v>
      </c>
      <c r="O1632" t="s">
        <v>30</v>
      </c>
      <c r="P1632">
        <v>10.5268875549379</v>
      </c>
      <c r="Q1632">
        <v>1.0549721474256</v>
      </c>
      <c r="R1632">
        <v>9.0285097208123606</v>
      </c>
      <c r="S1632">
        <v>191</v>
      </c>
      <c r="T1632">
        <v>51</v>
      </c>
      <c r="U1632">
        <v>404.31257694094103</v>
      </c>
      <c r="V1632">
        <v>2.2455089820359198E-3</v>
      </c>
      <c r="W1632">
        <v>1933202.0458372801</v>
      </c>
      <c r="X1632" t="s">
        <v>36</v>
      </c>
      <c r="Y1632">
        <f>1-445-623-6371</f>
        <v>-7438</v>
      </c>
    </row>
    <row r="1633" spans="1:25" x14ac:dyDescent="0.35">
      <c r="A1633">
        <v>38.089412303276298</v>
      </c>
      <c r="B1633">
        <v>-117.849921814326</v>
      </c>
      <c r="C1633" t="s">
        <v>25</v>
      </c>
      <c r="D1633">
        <v>44.748173130420398</v>
      </c>
      <c r="E1633">
        <v>1</v>
      </c>
      <c r="F1633">
        <v>2904</v>
      </c>
      <c r="G1633">
        <v>3</v>
      </c>
      <c r="H1633">
        <v>3</v>
      </c>
      <c r="I1633">
        <v>1996</v>
      </c>
      <c r="J1633">
        <v>1</v>
      </c>
      <c r="K1633">
        <v>0</v>
      </c>
      <c r="L1633">
        <v>1</v>
      </c>
      <c r="M1633">
        <v>12</v>
      </c>
      <c r="N1633" t="s">
        <v>26</v>
      </c>
      <c r="O1633" t="s">
        <v>32</v>
      </c>
      <c r="P1633">
        <v>14.2922072673447</v>
      </c>
      <c r="Q1633">
        <v>0.57122549695144098</v>
      </c>
      <c r="R1633">
        <v>6.4823381456602203</v>
      </c>
      <c r="S1633">
        <v>102</v>
      </c>
      <c r="T1633">
        <v>48</v>
      </c>
      <c r="U1633">
        <v>741.76633500282605</v>
      </c>
      <c r="V1633">
        <v>4.13223140495867E-3</v>
      </c>
      <c r="W1633">
        <v>2479660.4092843998</v>
      </c>
      <c r="X1633" t="s">
        <v>43</v>
      </c>
      <c r="Y1633">
        <f>1-759-240-3046</f>
        <v>-4044</v>
      </c>
    </row>
    <row r="1634" spans="1:25" x14ac:dyDescent="0.35">
      <c r="A1634">
        <v>41.454332272574398</v>
      </c>
      <c r="B1634">
        <v>-122.474398674925</v>
      </c>
      <c r="C1634" t="s">
        <v>25</v>
      </c>
      <c r="D1634">
        <v>46.301582851772203</v>
      </c>
      <c r="E1634">
        <v>3</v>
      </c>
      <c r="F1634">
        <v>4981</v>
      </c>
      <c r="G1634">
        <v>5</v>
      </c>
      <c r="H1634">
        <v>3</v>
      </c>
      <c r="I1634">
        <v>1972</v>
      </c>
      <c r="J1634">
        <v>1</v>
      </c>
      <c r="K1634">
        <v>0</v>
      </c>
      <c r="L1634">
        <v>0</v>
      </c>
      <c r="M1634">
        <v>9</v>
      </c>
      <c r="N1634" t="s">
        <v>41</v>
      </c>
      <c r="O1634" t="s">
        <v>30</v>
      </c>
      <c r="P1634">
        <v>13.2805860046827</v>
      </c>
      <c r="Q1634">
        <v>1.39403571711908</v>
      </c>
      <c r="R1634">
        <v>0.727856732072239</v>
      </c>
      <c r="S1634">
        <v>76</v>
      </c>
      <c r="T1634">
        <v>35</v>
      </c>
      <c r="U1634">
        <v>922.47067828576598</v>
      </c>
      <c r="V1634">
        <v>1.8068660911463501E-3</v>
      </c>
      <c r="W1634">
        <v>5027495.3984674001</v>
      </c>
      <c r="X1634" t="s">
        <v>42</v>
      </c>
      <c r="Y1634">
        <f>1-867-925-1404</f>
        <v>-3195</v>
      </c>
    </row>
    <row r="1635" spans="1:25" x14ac:dyDescent="0.35">
      <c r="A1635">
        <v>33.5189110567269</v>
      </c>
      <c r="B1635">
        <v>-114.54586364279299</v>
      </c>
      <c r="C1635" t="s">
        <v>29</v>
      </c>
      <c r="D1635">
        <v>10.6858322920384</v>
      </c>
      <c r="E1635">
        <v>5</v>
      </c>
      <c r="F1635">
        <v>992</v>
      </c>
      <c r="G1635">
        <v>5</v>
      </c>
      <c r="H1635">
        <v>2</v>
      </c>
      <c r="I1635">
        <v>1977</v>
      </c>
      <c r="J1635">
        <v>0</v>
      </c>
      <c r="K1635">
        <v>1</v>
      </c>
      <c r="L1635">
        <v>1</v>
      </c>
      <c r="M1635">
        <v>7</v>
      </c>
      <c r="N1635" t="s">
        <v>37</v>
      </c>
      <c r="O1635" t="s">
        <v>32</v>
      </c>
      <c r="P1635">
        <v>6.24033137355232</v>
      </c>
      <c r="Q1635">
        <v>0.53875959794417905</v>
      </c>
      <c r="R1635">
        <v>6.7871044209460001</v>
      </c>
      <c r="S1635">
        <v>7</v>
      </c>
      <c r="T1635">
        <v>52</v>
      </c>
      <c r="U1635">
        <v>606.10367147373097</v>
      </c>
      <c r="V1635">
        <v>7.0564516129032204E-3</v>
      </c>
      <c r="W1635">
        <v>998304.43093495304</v>
      </c>
      <c r="X1635" t="s">
        <v>38</v>
      </c>
      <c r="Y1635">
        <f>1-203-738-9392</f>
        <v>-10332</v>
      </c>
    </row>
    <row r="1636" spans="1:25" x14ac:dyDescent="0.35">
      <c r="A1636">
        <v>39.641700697275397</v>
      </c>
      <c r="B1636">
        <v>-119.990603024008</v>
      </c>
      <c r="C1636" t="s">
        <v>29</v>
      </c>
      <c r="D1636">
        <v>21.7995835705538</v>
      </c>
      <c r="E1636">
        <v>6</v>
      </c>
      <c r="F1636">
        <v>4859</v>
      </c>
      <c r="G1636">
        <v>5</v>
      </c>
      <c r="H1636">
        <v>2</v>
      </c>
      <c r="I1636">
        <v>1967</v>
      </c>
      <c r="J1636">
        <v>0</v>
      </c>
      <c r="K1636">
        <v>1</v>
      </c>
      <c r="L1636">
        <v>1</v>
      </c>
      <c r="M1636">
        <v>3</v>
      </c>
      <c r="N1636" t="s">
        <v>41</v>
      </c>
      <c r="O1636" t="s">
        <v>27</v>
      </c>
      <c r="P1636">
        <v>3.6111627735175098</v>
      </c>
      <c r="Q1636">
        <v>1.63110657319429</v>
      </c>
      <c r="R1636">
        <v>7.9563199892748999</v>
      </c>
      <c r="S1636">
        <v>78</v>
      </c>
      <c r="T1636">
        <v>28</v>
      </c>
      <c r="U1636">
        <v>854.57598570878702</v>
      </c>
      <c r="V1636">
        <v>6.1741098991561995E-4</v>
      </c>
      <c r="W1636">
        <v>4433326.9685983798</v>
      </c>
      <c r="X1636" t="s">
        <v>33</v>
      </c>
      <c r="Y1636">
        <f>1-759-567-5324</f>
        <v>-6649</v>
      </c>
    </row>
    <row r="1637" spans="1:25" x14ac:dyDescent="0.35">
      <c r="A1637">
        <v>34.382045048926202</v>
      </c>
      <c r="B1637">
        <v>-119.37938109645199</v>
      </c>
      <c r="C1637" t="s">
        <v>25</v>
      </c>
      <c r="D1637">
        <v>9.6612664484363293</v>
      </c>
      <c r="E1637">
        <v>0</v>
      </c>
      <c r="F1637">
        <v>2292</v>
      </c>
      <c r="G1637">
        <v>1</v>
      </c>
      <c r="H1637">
        <v>3</v>
      </c>
      <c r="I1637">
        <v>1965</v>
      </c>
      <c r="J1637">
        <v>0</v>
      </c>
      <c r="K1637">
        <v>1</v>
      </c>
      <c r="L1637">
        <v>0</v>
      </c>
      <c r="M1637">
        <v>7</v>
      </c>
      <c r="N1637" t="s">
        <v>35</v>
      </c>
      <c r="O1637" t="s">
        <v>32</v>
      </c>
      <c r="P1637">
        <v>14.938857704609299</v>
      </c>
      <c r="Q1637">
        <v>1.0251784738430101</v>
      </c>
      <c r="R1637">
        <v>3.90104376143467</v>
      </c>
      <c r="S1637">
        <v>123</v>
      </c>
      <c r="T1637">
        <v>27</v>
      </c>
      <c r="U1637">
        <v>331.321816154602</v>
      </c>
      <c r="V1637">
        <v>3.0541012216404799E-3</v>
      </c>
      <c r="W1637">
        <v>1004611.1362071</v>
      </c>
      <c r="X1637" t="s">
        <v>42</v>
      </c>
      <c r="Y1637">
        <f>1-844-535-6355</f>
        <v>-7733</v>
      </c>
    </row>
    <row r="1638" spans="1:25" x14ac:dyDescent="0.35">
      <c r="A1638">
        <v>39.481469933426801</v>
      </c>
      <c r="B1638">
        <v>-118.78799420871201</v>
      </c>
      <c r="C1638" t="s">
        <v>34</v>
      </c>
      <c r="D1638">
        <v>16.462129164524701</v>
      </c>
      <c r="E1638">
        <v>2</v>
      </c>
      <c r="F1638">
        <v>2283</v>
      </c>
      <c r="G1638">
        <v>1</v>
      </c>
      <c r="H1638">
        <v>3</v>
      </c>
      <c r="I1638">
        <v>2022</v>
      </c>
      <c r="J1638">
        <v>0</v>
      </c>
      <c r="K1638">
        <v>0</v>
      </c>
      <c r="L1638">
        <v>1</v>
      </c>
      <c r="M1638">
        <v>8</v>
      </c>
      <c r="N1638" t="s">
        <v>26</v>
      </c>
      <c r="O1638" t="s">
        <v>30</v>
      </c>
      <c r="P1638">
        <v>10.6766178544572</v>
      </c>
      <c r="Q1638">
        <v>0.65742799606591595</v>
      </c>
      <c r="R1638">
        <v>3.61861387121145</v>
      </c>
      <c r="S1638">
        <v>126</v>
      </c>
      <c r="T1638">
        <v>33</v>
      </c>
      <c r="U1638">
        <v>301.60213541567799</v>
      </c>
      <c r="V1638">
        <v>3.5041611914147998E-3</v>
      </c>
      <c r="W1638">
        <v>911588.14571135305</v>
      </c>
      <c r="X1638" t="s">
        <v>38</v>
      </c>
      <c r="Y1638">
        <f>1-788-746-8411</f>
        <v>-9944</v>
      </c>
    </row>
    <row r="1639" spans="1:25" x14ac:dyDescent="0.35">
      <c r="A1639">
        <v>33.232893854113101</v>
      </c>
      <c r="B1639">
        <v>-120.022739107652</v>
      </c>
      <c r="C1639" t="s">
        <v>29</v>
      </c>
      <c r="D1639">
        <v>21.994564643007099</v>
      </c>
      <c r="E1639">
        <v>7</v>
      </c>
      <c r="F1639">
        <v>2587</v>
      </c>
      <c r="G1639">
        <v>4</v>
      </c>
      <c r="H1639">
        <v>3</v>
      </c>
      <c r="I1639">
        <v>1964</v>
      </c>
      <c r="J1639">
        <v>0</v>
      </c>
      <c r="K1639">
        <v>0</v>
      </c>
      <c r="L1639">
        <v>0</v>
      </c>
      <c r="M1639">
        <v>13</v>
      </c>
      <c r="N1639" t="s">
        <v>35</v>
      </c>
      <c r="O1639" t="s">
        <v>27</v>
      </c>
      <c r="P1639">
        <v>13.8693816444682</v>
      </c>
      <c r="Q1639">
        <v>1.4387055616661</v>
      </c>
      <c r="R1639">
        <v>1.52067383820838</v>
      </c>
      <c r="S1639">
        <v>197</v>
      </c>
      <c r="T1639">
        <v>24</v>
      </c>
      <c r="U1639">
        <v>934.76763525472495</v>
      </c>
      <c r="V1639">
        <v>5.0251256281407001E-3</v>
      </c>
      <c r="W1639">
        <v>2715734.94565607</v>
      </c>
      <c r="X1639" t="s">
        <v>36</v>
      </c>
      <c r="Y1639">
        <f>1-794-166-8339</f>
        <v>-9298</v>
      </c>
    </row>
    <row r="1640" spans="1:25" x14ac:dyDescent="0.35">
      <c r="A1640">
        <v>37.273785442193599</v>
      </c>
      <c r="B1640">
        <v>-122.27094413239099</v>
      </c>
      <c r="C1640" t="s">
        <v>34</v>
      </c>
      <c r="D1640">
        <v>17.096241610602601</v>
      </c>
      <c r="E1640">
        <v>8</v>
      </c>
      <c r="F1640">
        <v>3235</v>
      </c>
      <c r="G1640">
        <v>4</v>
      </c>
      <c r="H1640">
        <v>3</v>
      </c>
      <c r="I1640">
        <v>2018</v>
      </c>
      <c r="J1640">
        <v>0</v>
      </c>
      <c r="K1640">
        <v>1</v>
      </c>
      <c r="L1640">
        <v>0</v>
      </c>
      <c r="M1640">
        <v>10</v>
      </c>
      <c r="N1640" t="s">
        <v>26</v>
      </c>
      <c r="O1640" t="s">
        <v>32</v>
      </c>
      <c r="P1640">
        <v>7.2166386553031598</v>
      </c>
      <c r="Q1640">
        <v>0.920129168614788</v>
      </c>
      <c r="R1640">
        <v>0.326417157120519</v>
      </c>
      <c r="S1640">
        <v>100</v>
      </c>
      <c r="T1640">
        <v>79</v>
      </c>
      <c r="U1640">
        <v>693.31197277477304</v>
      </c>
      <c r="V1640">
        <v>3.0911901081916498E-3</v>
      </c>
      <c r="W1640">
        <v>2562037.66222311</v>
      </c>
      <c r="X1640" t="s">
        <v>31</v>
      </c>
      <c r="Y1640">
        <f>1-299-719-4716</f>
        <v>-5733</v>
      </c>
    </row>
    <row r="1641" spans="1:25" x14ac:dyDescent="0.35">
      <c r="A1641">
        <v>41.212315770234802</v>
      </c>
      <c r="B1641">
        <v>-122.99785279357501</v>
      </c>
      <c r="C1641" t="s">
        <v>29</v>
      </c>
      <c r="D1641">
        <v>40.052251596116598</v>
      </c>
      <c r="E1641">
        <v>3</v>
      </c>
      <c r="F1641">
        <v>3338</v>
      </c>
      <c r="G1641">
        <v>2</v>
      </c>
      <c r="H1641">
        <v>2</v>
      </c>
      <c r="I1641">
        <v>1968</v>
      </c>
      <c r="J1641">
        <v>1</v>
      </c>
      <c r="K1641">
        <v>1</v>
      </c>
      <c r="L1641">
        <v>1</v>
      </c>
      <c r="M1641">
        <v>5</v>
      </c>
      <c r="N1641" t="s">
        <v>41</v>
      </c>
      <c r="O1641" t="s">
        <v>32</v>
      </c>
      <c r="P1641">
        <v>4.1706022581944602</v>
      </c>
      <c r="Q1641">
        <v>0.60897665366460996</v>
      </c>
      <c r="R1641">
        <v>7.4504491905121801</v>
      </c>
      <c r="S1641">
        <v>170</v>
      </c>
      <c r="T1641">
        <v>23</v>
      </c>
      <c r="U1641">
        <v>417.52691678098199</v>
      </c>
      <c r="V1641">
        <v>1.49790293588975E-3</v>
      </c>
      <c r="W1641">
        <v>1715929.99806025</v>
      </c>
      <c r="X1641" t="s">
        <v>40</v>
      </c>
      <c r="Y1641">
        <f>1-724-970-4939</f>
        <v>-6632</v>
      </c>
    </row>
    <row r="1642" spans="1:25" x14ac:dyDescent="0.35">
      <c r="A1642">
        <v>35.938984566497297</v>
      </c>
      <c r="B1642">
        <v>-119.275994455667</v>
      </c>
      <c r="C1642" t="s">
        <v>29</v>
      </c>
      <c r="D1642">
        <v>36.472846300264798</v>
      </c>
      <c r="E1642">
        <v>0</v>
      </c>
      <c r="F1642">
        <v>3458</v>
      </c>
      <c r="G1642">
        <v>5</v>
      </c>
      <c r="H1642">
        <v>2</v>
      </c>
      <c r="I1642">
        <v>1952</v>
      </c>
      <c r="J1642">
        <v>0</v>
      </c>
      <c r="K1642">
        <v>0</v>
      </c>
      <c r="L1642">
        <v>1</v>
      </c>
      <c r="M1642">
        <v>12</v>
      </c>
      <c r="N1642" t="s">
        <v>26</v>
      </c>
      <c r="O1642" t="s">
        <v>30</v>
      </c>
      <c r="P1642">
        <v>8.9948225064359306</v>
      </c>
      <c r="Q1642">
        <v>1.00389354795887</v>
      </c>
      <c r="R1642">
        <v>9.3518060138729702</v>
      </c>
      <c r="S1642">
        <v>170</v>
      </c>
      <c r="T1642">
        <v>68</v>
      </c>
      <c r="U1642">
        <v>684.53765680419895</v>
      </c>
      <c r="V1642">
        <v>3.4702139965297799E-3</v>
      </c>
      <c r="W1642">
        <v>2574860.0679118298</v>
      </c>
      <c r="X1642" t="s">
        <v>31</v>
      </c>
      <c r="Y1642">
        <f>1-720-805-5108</f>
        <v>-6632</v>
      </c>
    </row>
    <row r="1643" spans="1:25" x14ac:dyDescent="0.35">
      <c r="A1643">
        <v>40.196906344770198</v>
      </c>
      <c r="B1643">
        <v>-114.291488700646</v>
      </c>
      <c r="C1643" t="s">
        <v>34</v>
      </c>
      <c r="D1643">
        <v>41.540712550118897</v>
      </c>
      <c r="E1643">
        <v>5</v>
      </c>
      <c r="F1643">
        <v>2721</v>
      </c>
      <c r="G1643">
        <v>2</v>
      </c>
      <c r="H1643">
        <v>1</v>
      </c>
      <c r="I1643">
        <v>1959</v>
      </c>
      <c r="J1643">
        <v>1</v>
      </c>
      <c r="K1643">
        <v>1</v>
      </c>
      <c r="L1643">
        <v>1</v>
      </c>
      <c r="M1643">
        <v>5</v>
      </c>
      <c r="N1643" t="s">
        <v>26</v>
      </c>
      <c r="O1643" t="s">
        <v>27</v>
      </c>
      <c r="P1643">
        <v>13.3661590046906</v>
      </c>
      <c r="Q1643">
        <v>2.0891189741329699</v>
      </c>
      <c r="R1643">
        <v>6.1177652869509203</v>
      </c>
      <c r="S1643">
        <v>143</v>
      </c>
      <c r="T1643">
        <v>65</v>
      </c>
      <c r="U1643">
        <v>486.147620810413</v>
      </c>
      <c r="V1643">
        <v>1.83755972069092E-3</v>
      </c>
      <c r="W1643">
        <v>1648336.37963094</v>
      </c>
      <c r="X1643" t="s">
        <v>42</v>
      </c>
      <c r="Y1643">
        <f>1-409-478-6721</f>
        <v>-7607</v>
      </c>
    </row>
    <row r="1644" spans="1:25" x14ac:dyDescent="0.35">
      <c r="A1644">
        <v>40.1649905250258</v>
      </c>
      <c r="B1644">
        <v>-119.64543554961899</v>
      </c>
      <c r="C1644" t="s">
        <v>34</v>
      </c>
      <c r="D1644">
        <v>31.1141836489589</v>
      </c>
      <c r="E1644">
        <v>3</v>
      </c>
      <c r="F1644">
        <v>1522</v>
      </c>
      <c r="G1644">
        <v>5</v>
      </c>
      <c r="H1644">
        <v>2</v>
      </c>
      <c r="I1644">
        <v>1954</v>
      </c>
      <c r="J1644">
        <v>1</v>
      </c>
      <c r="K1644">
        <v>1</v>
      </c>
      <c r="L1644">
        <v>1</v>
      </c>
      <c r="M1644">
        <v>12</v>
      </c>
      <c r="N1644" t="s">
        <v>35</v>
      </c>
      <c r="O1644" t="s">
        <v>32</v>
      </c>
      <c r="P1644">
        <v>5.4724540809933604</v>
      </c>
      <c r="Q1644">
        <v>1.9555288502875099</v>
      </c>
      <c r="R1644">
        <v>4.6226174391427399</v>
      </c>
      <c r="S1644">
        <v>170</v>
      </c>
      <c r="T1644">
        <v>51</v>
      </c>
      <c r="U1644">
        <v>466.60972423182898</v>
      </c>
      <c r="V1644">
        <v>7.8843626806833107E-3</v>
      </c>
      <c r="W1644">
        <v>1193840.6065295499</v>
      </c>
      <c r="X1644" t="s">
        <v>39</v>
      </c>
      <c r="Y1644">
        <f>1-737-461-2361</f>
        <v>-3558</v>
      </c>
    </row>
    <row r="1645" spans="1:25" x14ac:dyDescent="0.35">
      <c r="A1645">
        <v>40.6626467717116</v>
      </c>
      <c r="B1645">
        <v>-117.651490909052</v>
      </c>
      <c r="C1645" t="s">
        <v>25</v>
      </c>
      <c r="D1645">
        <v>7.7671096578947401</v>
      </c>
      <c r="E1645">
        <v>1</v>
      </c>
      <c r="F1645">
        <v>1996</v>
      </c>
      <c r="G1645">
        <v>4</v>
      </c>
      <c r="H1645">
        <v>3</v>
      </c>
      <c r="I1645">
        <v>2020</v>
      </c>
      <c r="J1645">
        <v>0</v>
      </c>
      <c r="K1645">
        <v>1</v>
      </c>
      <c r="L1645">
        <v>0</v>
      </c>
      <c r="M1645">
        <v>4</v>
      </c>
      <c r="N1645" t="s">
        <v>26</v>
      </c>
      <c r="O1645" t="s">
        <v>27</v>
      </c>
      <c r="P1645">
        <v>3.3089754916268102</v>
      </c>
      <c r="Q1645">
        <v>2.0565146277035899</v>
      </c>
      <c r="R1645">
        <v>3.9878489120849698</v>
      </c>
      <c r="S1645">
        <v>48</v>
      </c>
      <c r="T1645">
        <v>52</v>
      </c>
      <c r="U1645">
        <v>916.62059252879703</v>
      </c>
      <c r="V1645">
        <v>2.0040080160320601E-3</v>
      </c>
      <c r="W1645">
        <v>2160061.42040584</v>
      </c>
      <c r="X1645" t="s">
        <v>44</v>
      </c>
      <c r="Y1645">
        <f>1-926-110-5511</f>
        <v>-6546</v>
      </c>
    </row>
    <row r="1646" spans="1:25" x14ac:dyDescent="0.35">
      <c r="A1646">
        <v>37.605941818149503</v>
      </c>
      <c r="B1646">
        <v>-116.02395731438099</v>
      </c>
      <c r="C1646" t="s">
        <v>34</v>
      </c>
      <c r="D1646">
        <v>11.6868512134411</v>
      </c>
      <c r="E1646">
        <v>0</v>
      </c>
      <c r="F1646">
        <v>734</v>
      </c>
      <c r="G1646">
        <v>1</v>
      </c>
      <c r="H1646">
        <v>2</v>
      </c>
      <c r="I1646">
        <v>1990</v>
      </c>
      <c r="J1646">
        <v>1</v>
      </c>
      <c r="K1646">
        <v>0</v>
      </c>
      <c r="L1646">
        <v>1</v>
      </c>
      <c r="M1646">
        <v>8</v>
      </c>
      <c r="N1646" t="s">
        <v>26</v>
      </c>
      <c r="O1646" t="s">
        <v>27</v>
      </c>
      <c r="P1646">
        <v>3.7089180179677301</v>
      </c>
      <c r="Q1646">
        <v>0.86688992743873705</v>
      </c>
      <c r="R1646">
        <v>5.4152768584397197</v>
      </c>
      <c r="S1646">
        <v>43</v>
      </c>
      <c r="T1646">
        <v>51</v>
      </c>
      <c r="U1646">
        <v>307.137494361618</v>
      </c>
      <c r="V1646">
        <v>1.08991825613079E-2</v>
      </c>
      <c r="W1646">
        <v>408740.927782682</v>
      </c>
      <c r="X1646" t="s">
        <v>31</v>
      </c>
      <c r="Y1646">
        <f>1-350-177-7242</f>
        <v>-7768</v>
      </c>
    </row>
    <row r="1647" spans="1:25" x14ac:dyDescent="0.35">
      <c r="A1647">
        <v>38.975388342275103</v>
      </c>
      <c r="B1647">
        <v>-115.357432684865</v>
      </c>
      <c r="C1647" t="s">
        <v>29</v>
      </c>
      <c r="D1647">
        <v>39.115789158558897</v>
      </c>
      <c r="E1647">
        <v>2</v>
      </c>
      <c r="F1647">
        <v>3754</v>
      </c>
      <c r="G1647">
        <v>1</v>
      </c>
      <c r="H1647">
        <v>2</v>
      </c>
      <c r="I1647">
        <v>2009</v>
      </c>
      <c r="J1647">
        <v>0</v>
      </c>
      <c r="K1647">
        <v>1</v>
      </c>
      <c r="L1647">
        <v>1</v>
      </c>
      <c r="M1647">
        <v>8</v>
      </c>
      <c r="N1647" t="s">
        <v>35</v>
      </c>
      <c r="O1647" t="s">
        <v>30</v>
      </c>
      <c r="P1647">
        <v>14.1378296738619</v>
      </c>
      <c r="Q1647">
        <v>1.2965861217057499</v>
      </c>
      <c r="R1647">
        <v>9.5356487690465599</v>
      </c>
      <c r="S1647">
        <v>2</v>
      </c>
      <c r="T1647">
        <v>34</v>
      </c>
      <c r="U1647">
        <v>675.47207270196395</v>
      </c>
      <c r="V1647">
        <v>2.13106020245071E-3</v>
      </c>
      <c r="W1647">
        <v>2805328.6549238102</v>
      </c>
      <c r="X1647" t="s">
        <v>43</v>
      </c>
      <c r="Y1647">
        <f>1-581-724-7870</f>
        <v>-9174</v>
      </c>
    </row>
    <row r="1648" spans="1:25" x14ac:dyDescent="0.35">
      <c r="A1648">
        <v>36.709927638900098</v>
      </c>
      <c r="B1648">
        <v>-118.922575910643</v>
      </c>
      <c r="C1648" t="s">
        <v>34</v>
      </c>
      <c r="D1648">
        <v>18.572253754193198</v>
      </c>
      <c r="E1648">
        <v>3</v>
      </c>
      <c r="F1648">
        <v>2200</v>
      </c>
      <c r="G1648">
        <v>2</v>
      </c>
      <c r="H1648">
        <v>1</v>
      </c>
      <c r="I1648">
        <v>2015</v>
      </c>
      <c r="J1648">
        <v>0</v>
      </c>
      <c r="K1648">
        <v>0</v>
      </c>
      <c r="L1648">
        <v>0</v>
      </c>
      <c r="M1648">
        <v>10</v>
      </c>
      <c r="N1648" t="s">
        <v>41</v>
      </c>
      <c r="O1648" t="s">
        <v>32</v>
      </c>
      <c r="P1648">
        <v>2.6813037113566098</v>
      </c>
      <c r="Q1648">
        <v>1.92129944545481</v>
      </c>
      <c r="R1648">
        <v>9.9594052327436096</v>
      </c>
      <c r="S1648">
        <v>87</v>
      </c>
      <c r="T1648">
        <v>25</v>
      </c>
      <c r="U1648">
        <v>240.77195539583201</v>
      </c>
      <c r="V1648">
        <v>4.54545454545454E-3</v>
      </c>
      <c r="W1648">
        <v>653610.81552651396</v>
      </c>
      <c r="X1648" t="s">
        <v>28</v>
      </c>
      <c r="Y1648">
        <f>1-719-162-3972</f>
        <v>-4852</v>
      </c>
    </row>
    <row r="1649" spans="1:25" x14ac:dyDescent="0.35">
      <c r="A1649">
        <v>40.061774627861404</v>
      </c>
      <c r="B1649">
        <v>-119.615413852092</v>
      </c>
      <c r="C1649" t="s">
        <v>25</v>
      </c>
      <c r="D1649">
        <v>33.822874673277099</v>
      </c>
      <c r="E1649">
        <v>3</v>
      </c>
      <c r="F1649">
        <v>2219</v>
      </c>
      <c r="G1649">
        <v>3</v>
      </c>
      <c r="H1649">
        <v>3</v>
      </c>
      <c r="I1649">
        <v>2009</v>
      </c>
      <c r="J1649">
        <v>1</v>
      </c>
      <c r="K1649">
        <v>0</v>
      </c>
      <c r="L1649">
        <v>0</v>
      </c>
      <c r="M1649">
        <v>14</v>
      </c>
      <c r="N1649" t="s">
        <v>35</v>
      </c>
      <c r="O1649" t="s">
        <v>27</v>
      </c>
      <c r="P1649">
        <v>5.41337394869708</v>
      </c>
      <c r="Q1649">
        <v>1.6632469999613599</v>
      </c>
      <c r="R1649">
        <v>5.6810447413131699</v>
      </c>
      <c r="S1649">
        <v>51</v>
      </c>
      <c r="T1649">
        <v>75</v>
      </c>
      <c r="U1649">
        <v>879.70577352704095</v>
      </c>
      <c r="V1649">
        <v>6.30914826498422E-3</v>
      </c>
      <c r="W1649">
        <v>2198763.1908682501</v>
      </c>
      <c r="X1649" t="s">
        <v>31</v>
      </c>
      <c r="Y1649">
        <f>1-713-333-8257</f>
        <v>-9302</v>
      </c>
    </row>
    <row r="1650" spans="1:25" x14ac:dyDescent="0.35">
      <c r="A1650">
        <v>34.581463263933898</v>
      </c>
      <c r="B1650">
        <v>-121.59281438047501</v>
      </c>
      <c r="C1650" t="s">
        <v>34</v>
      </c>
      <c r="D1650">
        <v>49.422949016987197</v>
      </c>
      <c r="E1650">
        <v>7</v>
      </c>
      <c r="F1650">
        <v>621</v>
      </c>
      <c r="G1650">
        <v>3</v>
      </c>
      <c r="H1650">
        <v>1</v>
      </c>
      <c r="I1650">
        <v>1950</v>
      </c>
      <c r="J1650">
        <v>1</v>
      </c>
      <c r="K1650">
        <v>0</v>
      </c>
      <c r="L1650">
        <v>1</v>
      </c>
      <c r="M1650">
        <v>8</v>
      </c>
      <c r="N1650" t="s">
        <v>37</v>
      </c>
      <c r="O1650" t="s">
        <v>32</v>
      </c>
      <c r="P1650">
        <v>13.5006844918338</v>
      </c>
      <c r="Q1650">
        <v>1.9069118619709799</v>
      </c>
      <c r="R1650">
        <v>4.7192502785094703</v>
      </c>
      <c r="S1650">
        <v>40</v>
      </c>
      <c r="T1650">
        <v>67</v>
      </c>
      <c r="U1650">
        <v>901.53420141721097</v>
      </c>
      <c r="V1650">
        <v>1.28824476650563E-2</v>
      </c>
      <c r="W1650">
        <v>783204.30130976206</v>
      </c>
      <c r="X1650" t="s">
        <v>38</v>
      </c>
      <c r="Y1650">
        <f>1-737-407-1417</f>
        <v>-2560</v>
      </c>
    </row>
    <row r="1651" spans="1:25" x14ac:dyDescent="0.35">
      <c r="A1651">
        <v>38.199231125926602</v>
      </c>
      <c r="B1651">
        <v>-119.05283563302</v>
      </c>
      <c r="C1651" t="s">
        <v>25</v>
      </c>
      <c r="D1651">
        <v>18.4044362735366</v>
      </c>
      <c r="E1651">
        <v>1</v>
      </c>
      <c r="F1651">
        <v>1715</v>
      </c>
      <c r="G1651">
        <v>5</v>
      </c>
      <c r="H1651">
        <v>2</v>
      </c>
      <c r="I1651">
        <v>1960</v>
      </c>
      <c r="J1651">
        <v>0</v>
      </c>
      <c r="K1651">
        <v>1</v>
      </c>
      <c r="L1651">
        <v>0</v>
      </c>
      <c r="M1651">
        <v>10</v>
      </c>
      <c r="N1651" t="s">
        <v>26</v>
      </c>
      <c r="O1651" t="s">
        <v>27</v>
      </c>
      <c r="P1651">
        <v>12.7227317142396</v>
      </c>
      <c r="Q1651">
        <v>1.72409914164671</v>
      </c>
      <c r="R1651">
        <v>4.8819682358587402</v>
      </c>
      <c r="S1651">
        <v>79</v>
      </c>
      <c r="T1651">
        <v>56</v>
      </c>
      <c r="U1651">
        <v>407.36736839626298</v>
      </c>
      <c r="V1651">
        <v>5.83090379008746E-3</v>
      </c>
      <c r="W1651">
        <v>1009120.49196412</v>
      </c>
      <c r="X1651" t="s">
        <v>33</v>
      </c>
      <c r="Y1651">
        <f>1-869-470-4615</f>
        <v>-5953</v>
      </c>
    </row>
    <row r="1652" spans="1:25" x14ac:dyDescent="0.35">
      <c r="A1652">
        <v>39.235894985601199</v>
      </c>
      <c r="B1652">
        <v>-120.86579706207399</v>
      </c>
      <c r="C1652" t="s">
        <v>34</v>
      </c>
      <c r="D1652">
        <v>12.012576464924001</v>
      </c>
      <c r="E1652">
        <v>7</v>
      </c>
      <c r="F1652">
        <v>1173</v>
      </c>
      <c r="G1652">
        <v>5</v>
      </c>
      <c r="H1652">
        <v>1</v>
      </c>
      <c r="I1652">
        <v>1978</v>
      </c>
      <c r="J1652">
        <v>1</v>
      </c>
      <c r="K1652">
        <v>0</v>
      </c>
      <c r="L1652">
        <v>0</v>
      </c>
      <c r="M1652">
        <v>9</v>
      </c>
      <c r="N1652" t="s">
        <v>26</v>
      </c>
      <c r="O1652" t="s">
        <v>32</v>
      </c>
      <c r="P1652">
        <v>2.7525561603355801</v>
      </c>
      <c r="Q1652">
        <v>2.3456258937813299</v>
      </c>
      <c r="R1652">
        <v>6.5507478017301901</v>
      </c>
      <c r="S1652">
        <v>12</v>
      </c>
      <c r="T1652">
        <v>68</v>
      </c>
      <c r="U1652">
        <v>967.33386151929096</v>
      </c>
      <c r="V1652">
        <v>7.6726342710997401E-3</v>
      </c>
      <c r="W1652">
        <v>1408285.7263426799</v>
      </c>
      <c r="X1652" t="s">
        <v>28</v>
      </c>
      <c r="Y1652">
        <f>1-380-381-1545</f>
        <v>-2305</v>
      </c>
    </row>
    <row r="1653" spans="1:25" x14ac:dyDescent="0.35">
      <c r="A1653">
        <v>32.848625570058402</v>
      </c>
      <c r="B1653">
        <v>-119.642346986351</v>
      </c>
      <c r="C1653" t="s">
        <v>29</v>
      </c>
      <c r="D1653">
        <v>12.0752339026628</v>
      </c>
      <c r="E1653">
        <v>8</v>
      </c>
      <c r="F1653">
        <v>3238</v>
      </c>
      <c r="G1653">
        <v>1</v>
      </c>
      <c r="H1653">
        <v>1</v>
      </c>
      <c r="I1653">
        <v>1984</v>
      </c>
      <c r="J1653">
        <v>0</v>
      </c>
      <c r="K1653">
        <v>0</v>
      </c>
      <c r="L1653">
        <v>1</v>
      </c>
      <c r="M1653">
        <v>14</v>
      </c>
      <c r="N1653" t="s">
        <v>35</v>
      </c>
      <c r="O1653" t="s">
        <v>32</v>
      </c>
      <c r="P1653">
        <v>2.4023054415571998</v>
      </c>
      <c r="Q1653">
        <v>1.07368926327744</v>
      </c>
      <c r="R1653">
        <v>8.8080763312419101</v>
      </c>
      <c r="S1653">
        <v>99</v>
      </c>
      <c r="T1653">
        <v>38</v>
      </c>
      <c r="U1653">
        <v>978.15734262797901</v>
      </c>
      <c r="V1653">
        <v>4.3236565781346499E-3</v>
      </c>
      <c r="W1653">
        <v>3161466.1394416299</v>
      </c>
      <c r="X1653" t="s">
        <v>38</v>
      </c>
      <c r="Y1653">
        <f>1-378-185-7729</f>
        <v>-8291</v>
      </c>
    </row>
    <row r="1654" spans="1:25" x14ac:dyDescent="0.35">
      <c r="A1654">
        <v>39.464148713402501</v>
      </c>
      <c r="B1654">
        <v>-115.84572590915</v>
      </c>
      <c r="C1654" t="s">
        <v>25</v>
      </c>
      <c r="D1654">
        <v>23.1972952408595</v>
      </c>
      <c r="E1654">
        <v>0</v>
      </c>
      <c r="F1654">
        <v>1756</v>
      </c>
      <c r="G1654">
        <v>2</v>
      </c>
      <c r="H1654">
        <v>3</v>
      </c>
      <c r="I1654">
        <v>1965</v>
      </c>
      <c r="J1654">
        <v>0</v>
      </c>
      <c r="K1654">
        <v>1</v>
      </c>
      <c r="L1654">
        <v>0</v>
      </c>
      <c r="M1654">
        <v>11</v>
      </c>
      <c r="N1654" t="s">
        <v>26</v>
      </c>
      <c r="O1654" t="s">
        <v>30</v>
      </c>
      <c r="P1654">
        <v>8.8000025933056492</v>
      </c>
      <c r="Q1654">
        <v>2.0800015079424901</v>
      </c>
      <c r="R1654">
        <v>6.7722531458283299</v>
      </c>
      <c r="S1654">
        <v>75</v>
      </c>
      <c r="T1654">
        <v>64</v>
      </c>
      <c r="U1654">
        <v>683.45459999746095</v>
      </c>
      <c r="V1654">
        <v>6.2642369020501102E-3</v>
      </c>
      <c r="W1654">
        <v>1488742.81643609</v>
      </c>
      <c r="X1654" t="s">
        <v>31</v>
      </c>
      <c r="Y1654">
        <f>1-643-302-9919</f>
        <v>-10863</v>
      </c>
    </row>
    <row r="1655" spans="1:25" x14ac:dyDescent="0.35">
      <c r="A1655">
        <v>40.0599962512308</v>
      </c>
      <c r="B1655">
        <v>-118.548834249072</v>
      </c>
      <c r="C1655" t="s">
        <v>25</v>
      </c>
      <c r="D1655">
        <v>6.0757922127243997</v>
      </c>
      <c r="E1655">
        <v>8</v>
      </c>
      <c r="F1655">
        <v>4430</v>
      </c>
      <c r="G1655">
        <v>5</v>
      </c>
      <c r="H1655">
        <v>1</v>
      </c>
      <c r="I1655">
        <v>1976</v>
      </c>
      <c r="J1655">
        <v>1</v>
      </c>
      <c r="K1655">
        <v>1</v>
      </c>
      <c r="L1655">
        <v>0</v>
      </c>
      <c r="M1655">
        <v>10</v>
      </c>
      <c r="N1655" t="s">
        <v>26</v>
      </c>
      <c r="O1655" t="s">
        <v>32</v>
      </c>
      <c r="P1655">
        <v>6.8397142459489899</v>
      </c>
      <c r="Q1655">
        <v>1.17978567322253</v>
      </c>
      <c r="R1655">
        <v>9.3173493252955701</v>
      </c>
      <c r="S1655">
        <v>95</v>
      </c>
      <c r="T1655">
        <v>27</v>
      </c>
      <c r="U1655">
        <v>861.62487721094703</v>
      </c>
      <c r="V1655">
        <v>2.2573363431151201E-3</v>
      </c>
      <c r="W1655">
        <v>4129942.0657005399</v>
      </c>
      <c r="X1655" t="s">
        <v>40</v>
      </c>
      <c r="Y1655">
        <f>1-371-654-5045</f>
        <v>-6069</v>
      </c>
    </row>
    <row r="1656" spans="1:25" x14ac:dyDescent="0.35">
      <c r="A1656">
        <v>35.172976701913001</v>
      </c>
      <c r="B1656">
        <v>-122.08002357524001</v>
      </c>
      <c r="C1656" t="s">
        <v>29</v>
      </c>
      <c r="D1656">
        <v>7.5840102778273799</v>
      </c>
      <c r="E1656">
        <v>4</v>
      </c>
      <c r="F1656">
        <v>2780</v>
      </c>
      <c r="G1656">
        <v>3</v>
      </c>
      <c r="H1656">
        <v>1</v>
      </c>
      <c r="I1656">
        <v>2010</v>
      </c>
      <c r="J1656">
        <v>1</v>
      </c>
      <c r="K1656">
        <v>0</v>
      </c>
      <c r="L1656">
        <v>0</v>
      </c>
      <c r="M1656">
        <v>5</v>
      </c>
      <c r="N1656" t="s">
        <v>35</v>
      </c>
      <c r="O1656" t="s">
        <v>27</v>
      </c>
      <c r="P1656">
        <v>3.4677269764692</v>
      </c>
      <c r="Q1656">
        <v>1.98407465697262</v>
      </c>
      <c r="R1656">
        <v>3.5473313984460799</v>
      </c>
      <c r="S1656">
        <v>85</v>
      </c>
      <c r="T1656">
        <v>63</v>
      </c>
      <c r="U1656">
        <v>205.44966840168999</v>
      </c>
      <c r="V1656">
        <v>1.7985611510791301E-3</v>
      </c>
      <c r="W1656">
        <v>742393.50720349303</v>
      </c>
      <c r="X1656" t="s">
        <v>42</v>
      </c>
      <c r="Y1656">
        <f>1-857-317-8756</f>
        <v>-9929</v>
      </c>
    </row>
    <row r="1657" spans="1:25" x14ac:dyDescent="0.35">
      <c r="A1657">
        <v>34.061940111613097</v>
      </c>
      <c r="B1657">
        <v>-115.19652574397701</v>
      </c>
      <c r="C1657" t="s">
        <v>25</v>
      </c>
      <c r="D1657">
        <v>19.372467286046302</v>
      </c>
      <c r="E1657">
        <v>5</v>
      </c>
      <c r="F1657">
        <v>1345</v>
      </c>
      <c r="G1657">
        <v>5</v>
      </c>
      <c r="H1657">
        <v>2</v>
      </c>
      <c r="I1657">
        <v>1984</v>
      </c>
      <c r="J1657">
        <v>0</v>
      </c>
      <c r="K1657">
        <v>0</v>
      </c>
      <c r="L1657">
        <v>0</v>
      </c>
      <c r="M1657">
        <v>13</v>
      </c>
      <c r="N1657" t="s">
        <v>26</v>
      </c>
      <c r="O1657" t="s">
        <v>32</v>
      </c>
      <c r="P1657">
        <v>14.1052215385618</v>
      </c>
      <c r="Q1657">
        <v>2.2208615115157699</v>
      </c>
      <c r="R1657">
        <v>4.5743487254456099</v>
      </c>
      <c r="S1657">
        <v>120</v>
      </c>
      <c r="T1657">
        <v>79</v>
      </c>
      <c r="U1657">
        <v>785.34406491995901</v>
      </c>
      <c r="V1657">
        <v>9.6654275092936792E-3</v>
      </c>
      <c r="W1657">
        <v>1381773.66334582</v>
      </c>
      <c r="X1657" t="s">
        <v>28</v>
      </c>
      <c r="Y1657">
        <f>1-440-937-2861</f>
        <v>-4237</v>
      </c>
    </row>
    <row r="1658" spans="1:25" x14ac:dyDescent="0.35">
      <c r="A1658">
        <v>33.0958007192149</v>
      </c>
      <c r="B1658">
        <v>-119.01766227403</v>
      </c>
      <c r="C1658" t="s">
        <v>29</v>
      </c>
      <c r="D1658">
        <v>9.0893210968237099</v>
      </c>
      <c r="E1658">
        <v>3</v>
      </c>
      <c r="F1658">
        <v>1213</v>
      </c>
      <c r="G1658">
        <v>1</v>
      </c>
      <c r="H1658">
        <v>2</v>
      </c>
      <c r="I1658">
        <v>1953</v>
      </c>
      <c r="J1658">
        <v>0</v>
      </c>
      <c r="K1658">
        <v>1</v>
      </c>
      <c r="L1658">
        <v>0</v>
      </c>
      <c r="M1658">
        <v>6</v>
      </c>
      <c r="N1658" t="s">
        <v>41</v>
      </c>
      <c r="O1658" t="s">
        <v>30</v>
      </c>
      <c r="P1658">
        <v>8.4329396169945507</v>
      </c>
      <c r="Q1658">
        <v>1.16931055733633</v>
      </c>
      <c r="R1658">
        <v>1.06723345273113</v>
      </c>
      <c r="S1658">
        <v>158</v>
      </c>
      <c r="T1658">
        <v>67</v>
      </c>
      <c r="U1658">
        <v>985.31207834041504</v>
      </c>
      <c r="V1658">
        <v>4.9464138499587798E-3</v>
      </c>
      <c r="W1658">
        <v>1384583.49044255</v>
      </c>
      <c r="X1658" t="s">
        <v>43</v>
      </c>
      <c r="Y1658">
        <f>1-367-810-5012</f>
        <v>-6188</v>
      </c>
    </row>
    <row r="1659" spans="1:25" x14ac:dyDescent="0.35">
      <c r="A1659">
        <v>40.135141193833903</v>
      </c>
      <c r="B1659">
        <v>-123.43191268344</v>
      </c>
      <c r="C1659" t="s">
        <v>34</v>
      </c>
      <c r="D1659">
        <v>33.272076857649701</v>
      </c>
      <c r="E1659">
        <v>2</v>
      </c>
      <c r="F1659">
        <v>552</v>
      </c>
      <c r="G1659">
        <v>5</v>
      </c>
      <c r="H1659">
        <v>1</v>
      </c>
      <c r="I1659">
        <v>1995</v>
      </c>
      <c r="J1659">
        <v>1</v>
      </c>
      <c r="K1659">
        <v>1</v>
      </c>
      <c r="L1659">
        <v>0</v>
      </c>
      <c r="M1659">
        <v>9</v>
      </c>
      <c r="N1659" t="s">
        <v>26</v>
      </c>
      <c r="O1659" t="s">
        <v>27</v>
      </c>
      <c r="P1659">
        <v>11.476161425779599</v>
      </c>
      <c r="Q1659">
        <v>1.2261243396963399</v>
      </c>
      <c r="R1659">
        <v>4.5224912156078796</v>
      </c>
      <c r="S1659">
        <v>97</v>
      </c>
      <c r="T1659">
        <v>67</v>
      </c>
      <c r="U1659">
        <v>361.92754698528302</v>
      </c>
      <c r="V1659">
        <v>1.6304347826086901E-2</v>
      </c>
      <c r="W1659">
        <v>623541.31317250803</v>
      </c>
      <c r="X1659" t="s">
        <v>44</v>
      </c>
      <c r="Y1659">
        <f>1-548-773-8926</f>
        <v>-10246</v>
      </c>
    </row>
    <row r="1660" spans="1:25" x14ac:dyDescent="0.35">
      <c r="A1660">
        <v>34.058275912495603</v>
      </c>
      <c r="B1660">
        <v>-117.44741201155099</v>
      </c>
      <c r="C1660" t="s">
        <v>34</v>
      </c>
      <c r="D1660">
        <v>29.686603793751502</v>
      </c>
      <c r="E1660">
        <v>7</v>
      </c>
      <c r="F1660">
        <v>2739</v>
      </c>
      <c r="G1660">
        <v>5</v>
      </c>
      <c r="H1660">
        <v>1</v>
      </c>
      <c r="I1660">
        <v>2012</v>
      </c>
      <c r="J1660">
        <v>1</v>
      </c>
      <c r="K1660">
        <v>1</v>
      </c>
      <c r="L1660">
        <v>0</v>
      </c>
      <c r="M1660">
        <v>5</v>
      </c>
      <c r="N1660" t="s">
        <v>37</v>
      </c>
      <c r="O1660" t="s">
        <v>32</v>
      </c>
      <c r="P1660">
        <v>9.1318752013609696</v>
      </c>
      <c r="Q1660">
        <v>1.9801276803515</v>
      </c>
      <c r="R1660">
        <v>9.0397003659806607</v>
      </c>
      <c r="S1660">
        <v>124</v>
      </c>
      <c r="T1660">
        <v>45</v>
      </c>
      <c r="U1660">
        <v>472.09722300381202</v>
      </c>
      <c r="V1660">
        <v>1.82548375319459E-3</v>
      </c>
      <c r="W1660">
        <v>1717195.40451674</v>
      </c>
      <c r="X1660" t="s">
        <v>39</v>
      </c>
      <c r="Y1660">
        <f>1-210-430-8772</f>
        <v>-9411</v>
      </c>
    </row>
    <row r="1661" spans="1:25" x14ac:dyDescent="0.35">
      <c r="A1661">
        <v>41.027573502070403</v>
      </c>
      <c r="B1661">
        <v>-118.042019967583</v>
      </c>
      <c r="C1661" t="s">
        <v>29</v>
      </c>
      <c r="D1661">
        <v>27.4607651739387</v>
      </c>
      <c r="E1661">
        <v>0</v>
      </c>
      <c r="F1661">
        <v>4839</v>
      </c>
      <c r="G1661">
        <v>4</v>
      </c>
      <c r="H1661">
        <v>1</v>
      </c>
      <c r="I1661">
        <v>1987</v>
      </c>
      <c r="J1661">
        <v>1</v>
      </c>
      <c r="K1661">
        <v>0</v>
      </c>
      <c r="L1661">
        <v>0</v>
      </c>
      <c r="M1661">
        <v>3</v>
      </c>
      <c r="N1661" t="s">
        <v>37</v>
      </c>
      <c r="O1661" t="s">
        <v>30</v>
      </c>
      <c r="P1661">
        <v>14.495745149421801</v>
      </c>
      <c r="Q1661">
        <v>0.71354541736611998</v>
      </c>
      <c r="R1661">
        <v>3.58521598710447</v>
      </c>
      <c r="S1661">
        <v>172</v>
      </c>
      <c r="T1661">
        <v>41</v>
      </c>
      <c r="U1661">
        <v>920.69218650104494</v>
      </c>
      <c r="V1661">
        <v>6.1996280223186595E-4</v>
      </c>
      <c r="W1661">
        <v>4797242.4038949599</v>
      </c>
      <c r="X1661" t="s">
        <v>40</v>
      </c>
      <c r="Y1661">
        <f>1-894-922-4758</f>
        <v>-6573</v>
      </c>
    </row>
    <row r="1662" spans="1:25" x14ac:dyDescent="0.35">
      <c r="A1662">
        <v>36.836624272103997</v>
      </c>
      <c r="B1662">
        <v>-123.363839785529</v>
      </c>
      <c r="C1662" t="s">
        <v>34</v>
      </c>
      <c r="D1662">
        <v>25.0089088088274</v>
      </c>
      <c r="E1662">
        <v>5</v>
      </c>
      <c r="F1662">
        <v>3414</v>
      </c>
      <c r="G1662">
        <v>2</v>
      </c>
      <c r="H1662">
        <v>3</v>
      </c>
      <c r="I1662">
        <v>1981</v>
      </c>
      <c r="J1662">
        <v>0</v>
      </c>
      <c r="K1662">
        <v>1</v>
      </c>
      <c r="L1662">
        <v>1</v>
      </c>
      <c r="M1662">
        <v>13</v>
      </c>
      <c r="N1662" t="s">
        <v>26</v>
      </c>
      <c r="O1662" t="s">
        <v>32</v>
      </c>
      <c r="P1662">
        <v>13.4938624172255</v>
      </c>
      <c r="Q1662">
        <v>1.6634212009773499</v>
      </c>
      <c r="R1662">
        <v>8.4282859630031393</v>
      </c>
      <c r="S1662">
        <v>63</v>
      </c>
      <c r="T1662">
        <v>64</v>
      </c>
      <c r="U1662">
        <v>833.04451512396895</v>
      </c>
      <c r="V1662">
        <v>3.80785002929115E-3</v>
      </c>
      <c r="W1662">
        <v>3181595.2201330499</v>
      </c>
      <c r="X1662" t="s">
        <v>39</v>
      </c>
      <c r="Y1662">
        <f>1-272-743-7949</f>
        <v>-8963</v>
      </c>
    </row>
    <row r="1663" spans="1:25" x14ac:dyDescent="0.35">
      <c r="A1663">
        <v>34.740869596145302</v>
      </c>
      <c r="B1663">
        <v>-121.66043236386101</v>
      </c>
      <c r="C1663" t="s">
        <v>25</v>
      </c>
      <c r="D1663">
        <v>44.319562635846303</v>
      </c>
      <c r="E1663">
        <v>8</v>
      </c>
      <c r="F1663">
        <v>2917</v>
      </c>
      <c r="G1663">
        <v>3</v>
      </c>
      <c r="H1663">
        <v>2</v>
      </c>
      <c r="I1663">
        <v>2022</v>
      </c>
      <c r="J1663">
        <v>0</v>
      </c>
      <c r="K1663">
        <v>1</v>
      </c>
      <c r="L1663">
        <v>0</v>
      </c>
      <c r="M1663">
        <v>4</v>
      </c>
      <c r="N1663" t="s">
        <v>41</v>
      </c>
      <c r="O1663" t="s">
        <v>32</v>
      </c>
      <c r="P1663">
        <v>3.3642763500795101</v>
      </c>
      <c r="Q1663">
        <v>2.24173665926264</v>
      </c>
      <c r="R1663">
        <v>8.6558833016166705</v>
      </c>
      <c r="S1663">
        <v>32</v>
      </c>
      <c r="T1663">
        <v>72</v>
      </c>
      <c r="U1663">
        <v>695.54649100654296</v>
      </c>
      <c r="V1663">
        <v>1.37127185464518E-3</v>
      </c>
      <c r="W1663">
        <v>2326489.4447663501</v>
      </c>
      <c r="X1663" t="s">
        <v>28</v>
      </c>
      <c r="Y1663">
        <f>1-526-261-9502</f>
        <v>-10288</v>
      </c>
    </row>
    <row r="1664" spans="1:25" x14ac:dyDescent="0.35">
      <c r="A1664">
        <v>41.294685871259901</v>
      </c>
      <c r="B1664">
        <v>-114.06850329960101</v>
      </c>
      <c r="C1664" t="s">
        <v>29</v>
      </c>
      <c r="D1664">
        <v>34.299993108770899</v>
      </c>
      <c r="E1664">
        <v>3</v>
      </c>
      <c r="F1664">
        <v>1284</v>
      </c>
      <c r="G1664">
        <v>3</v>
      </c>
      <c r="H1664">
        <v>1</v>
      </c>
      <c r="I1664">
        <v>2010</v>
      </c>
      <c r="J1664">
        <v>0</v>
      </c>
      <c r="K1664">
        <v>0</v>
      </c>
      <c r="L1664">
        <v>0</v>
      </c>
      <c r="M1664">
        <v>10</v>
      </c>
      <c r="N1664" t="s">
        <v>26</v>
      </c>
      <c r="O1664" t="s">
        <v>32</v>
      </c>
      <c r="P1664">
        <v>11.8037153281245</v>
      </c>
      <c r="Q1664">
        <v>0.93057748241237204</v>
      </c>
      <c r="R1664">
        <v>5.3508398052376498E-2</v>
      </c>
      <c r="S1664">
        <v>7</v>
      </c>
      <c r="T1664">
        <v>50</v>
      </c>
      <c r="U1664">
        <v>302.28064737760798</v>
      </c>
      <c r="V1664">
        <v>7.7881619937694704E-3</v>
      </c>
      <c r="W1664">
        <v>735031.14761544694</v>
      </c>
      <c r="X1664" t="s">
        <v>43</v>
      </c>
      <c r="Y1664">
        <f>1-310-902-3393</f>
        <v>-4604</v>
      </c>
    </row>
    <row r="1665" spans="1:25" x14ac:dyDescent="0.35">
      <c r="A1665">
        <v>35.615007718745701</v>
      </c>
      <c r="B1665">
        <v>-114.23941784802101</v>
      </c>
      <c r="C1665" t="s">
        <v>25</v>
      </c>
      <c r="D1665">
        <v>19.140374644950601</v>
      </c>
      <c r="E1665">
        <v>8</v>
      </c>
      <c r="F1665">
        <v>3417</v>
      </c>
      <c r="G1665">
        <v>5</v>
      </c>
      <c r="H1665">
        <v>2</v>
      </c>
      <c r="I1665">
        <v>1992</v>
      </c>
      <c r="J1665">
        <v>1</v>
      </c>
      <c r="K1665">
        <v>1</v>
      </c>
      <c r="L1665">
        <v>1</v>
      </c>
      <c r="M1665">
        <v>12</v>
      </c>
      <c r="N1665" t="s">
        <v>37</v>
      </c>
      <c r="O1665" t="s">
        <v>32</v>
      </c>
      <c r="P1665">
        <v>9.5149275993884999</v>
      </c>
      <c r="Q1665">
        <v>0.54496889977206198</v>
      </c>
      <c r="R1665">
        <v>9.5648749722444197</v>
      </c>
      <c r="S1665">
        <v>31</v>
      </c>
      <c r="T1665">
        <v>23</v>
      </c>
      <c r="U1665">
        <v>338.04728687046202</v>
      </c>
      <c r="V1665">
        <v>3.5118525021949E-3</v>
      </c>
      <c r="W1665">
        <v>1626091.9207180401</v>
      </c>
      <c r="X1665" t="s">
        <v>31</v>
      </c>
      <c r="Y1665">
        <f>1-927-703-2932</f>
        <v>-4561</v>
      </c>
    </row>
    <row r="1666" spans="1:25" x14ac:dyDescent="0.35">
      <c r="A1666">
        <v>39.046093312429001</v>
      </c>
      <c r="B1666">
        <v>-116.90112331687401</v>
      </c>
      <c r="C1666" t="s">
        <v>29</v>
      </c>
      <c r="D1666">
        <v>15.582822700072599</v>
      </c>
      <c r="E1666">
        <v>7</v>
      </c>
      <c r="F1666">
        <v>3622</v>
      </c>
      <c r="G1666">
        <v>1</v>
      </c>
      <c r="H1666">
        <v>3</v>
      </c>
      <c r="I1666">
        <v>1971</v>
      </c>
      <c r="J1666">
        <v>1</v>
      </c>
      <c r="K1666">
        <v>1</v>
      </c>
      <c r="L1666">
        <v>1</v>
      </c>
      <c r="M1666">
        <v>13</v>
      </c>
      <c r="N1666" t="s">
        <v>35</v>
      </c>
      <c r="O1666" t="s">
        <v>27</v>
      </c>
      <c r="P1666">
        <v>5.1937451169732798</v>
      </c>
      <c r="Q1666">
        <v>1.82465230919587</v>
      </c>
      <c r="R1666">
        <v>3.8893342318653898</v>
      </c>
      <c r="S1666">
        <v>105</v>
      </c>
      <c r="T1666">
        <v>37</v>
      </c>
      <c r="U1666">
        <v>882.41466429572904</v>
      </c>
      <c r="V1666">
        <v>3.5891772501380399E-3</v>
      </c>
      <c r="W1666">
        <v>3410693.1861479701</v>
      </c>
      <c r="X1666" t="s">
        <v>33</v>
      </c>
      <c r="Y1666">
        <f>1-437-973-4472</f>
        <v>-5881</v>
      </c>
    </row>
    <row r="1667" spans="1:25" x14ac:dyDescent="0.35">
      <c r="A1667">
        <v>39.815170087706697</v>
      </c>
      <c r="B1667">
        <v>-121.493745901658</v>
      </c>
      <c r="C1667" t="s">
        <v>29</v>
      </c>
      <c r="D1667">
        <v>13.9980639332643</v>
      </c>
      <c r="E1667">
        <v>5</v>
      </c>
      <c r="F1667">
        <v>1307</v>
      </c>
      <c r="G1667">
        <v>4</v>
      </c>
      <c r="H1667">
        <v>1</v>
      </c>
      <c r="I1667">
        <v>1974</v>
      </c>
      <c r="J1667">
        <v>0</v>
      </c>
      <c r="K1667">
        <v>0</v>
      </c>
      <c r="L1667">
        <v>0</v>
      </c>
      <c r="M1667">
        <v>6</v>
      </c>
      <c r="N1667" t="s">
        <v>26</v>
      </c>
      <c r="O1667" t="s">
        <v>32</v>
      </c>
      <c r="P1667">
        <v>12.4736414185193</v>
      </c>
      <c r="Q1667">
        <v>1.4594615642289701</v>
      </c>
      <c r="R1667">
        <v>6.7509040309475701</v>
      </c>
      <c r="S1667">
        <v>94</v>
      </c>
      <c r="T1667">
        <v>78</v>
      </c>
      <c r="U1667">
        <v>860.45887010342597</v>
      </c>
      <c r="V1667">
        <v>4.5906656465187403E-3</v>
      </c>
      <c r="W1667">
        <v>1318000.5680372301</v>
      </c>
      <c r="X1667" t="s">
        <v>40</v>
      </c>
      <c r="Y1667">
        <f>1-954-401-7936</f>
        <v>-9290</v>
      </c>
    </row>
    <row r="1668" spans="1:25" x14ac:dyDescent="0.35">
      <c r="A1668">
        <v>33.511306452928402</v>
      </c>
      <c r="B1668">
        <v>-124.01206889864299</v>
      </c>
      <c r="C1668" t="s">
        <v>29</v>
      </c>
      <c r="D1668">
        <v>24.905963853339699</v>
      </c>
      <c r="E1668">
        <v>6</v>
      </c>
      <c r="F1668">
        <v>1484</v>
      </c>
      <c r="G1668">
        <v>5</v>
      </c>
      <c r="H1668">
        <v>1</v>
      </c>
      <c r="I1668">
        <v>1997</v>
      </c>
      <c r="J1668">
        <v>1</v>
      </c>
      <c r="K1668">
        <v>1</v>
      </c>
      <c r="L1668">
        <v>1</v>
      </c>
      <c r="M1668">
        <v>14</v>
      </c>
      <c r="N1668" t="s">
        <v>41</v>
      </c>
      <c r="O1668" t="s">
        <v>27</v>
      </c>
      <c r="P1668">
        <v>13.4716192842412</v>
      </c>
      <c r="Q1668">
        <v>1.7874067662253299</v>
      </c>
      <c r="R1668">
        <v>2.1115770184493998</v>
      </c>
      <c r="S1668">
        <v>199</v>
      </c>
      <c r="T1668">
        <v>22</v>
      </c>
      <c r="U1668">
        <v>379.56728170844599</v>
      </c>
      <c r="V1668">
        <v>9.4339622641509396E-3</v>
      </c>
      <c r="W1668">
        <v>1088992.2922407</v>
      </c>
      <c r="X1668" t="s">
        <v>31</v>
      </c>
      <c r="Y1668">
        <f>1-845-782-9019</f>
        <v>-10645</v>
      </c>
    </row>
    <row r="1669" spans="1:25" x14ac:dyDescent="0.35">
      <c r="A1669">
        <v>36.283208838219103</v>
      </c>
      <c r="B1669">
        <v>-122.55699435237</v>
      </c>
      <c r="C1669" t="s">
        <v>25</v>
      </c>
      <c r="D1669">
        <v>16.167337128331798</v>
      </c>
      <c r="E1669">
        <v>5</v>
      </c>
      <c r="F1669">
        <v>1656</v>
      </c>
      <c r="G1669">
        <v>4</v>
      </c>
      <c r="H1669">
        <v>2</v>
      </c>
      <c r="I1669">
        <v>1987</v>
      </c>
      <c r="J1669">
        <v>0</v>
      </c>
      <c r="K1669">
        <v>0</v>
      </c>
      <c r="L1669">
        <v>1</v>
      </c>
      <c r="M1669">
        <v>4</v>
      </c>
      <c r="N1669" t="s">
        <v>37</v>
      </c>
      <c r="O1669" t="s">
        <v>30</v>
      </c>
      <c r="P1669">
        <v>12.600184855318901</v>
      </c>
      <c r="Q1669">
        <v>0.84118957485773105</v>
      </c>
      <c r="R1669">
        <v>1.7856768195752499</v>
      </c>
      <c r="S1669">
        <v>102</v>
      </c>
      <c r="T1669">
        <v>69</v>
      </c>
      <c r="U1669">
        <v>608.58225954435704</v>
      </c>
      <c r="V1669">
        <v>2.4154589371980601E-3</v>
      </c>
      <c r="W1669">
        <v>1350427.99451668</v>
      </c>
      <c r="X1669" t="s">
        <v>44</v>
      </c>
      <c r="Y1669">
        <f>1-377-317-5526</f>
        <v>-6219</v>
      </c>
    </row>
    <row r="1670" spans="1:25" x14ac:dyDescent="0.35">
      <c r="A1670">
        <v>35.2949505457537</v>
      </c>
      <c r="B1670">
        <v>-121.968971578322</v>
      </c>
      <c r="C1670" t="s">
        <v>25</v>
      </c>
      <c r="D1670">
        <v>32.139018633532999</v>
      </c>
      <c r="E1670">
        <v>8</v>
      </c>
      <c r="F1670">
        <v>844</v>
      </c>
      <c r="G1670">
        <v>5</v>
      </c>
      <c r="H1670">
        <v>1</v>
      </c>
      <c r="I1670">
        <v>1996</v>
      </c>
      <c r="J1670">
        <v>1</v>
      </c>
      <c r="K1670">
        <v>1</v>
      </c>
      <c r="L1670">
        <v>0</v>
      </c>
      <c r="M1670">
        <v>13</v>
      </c>
      <c r="N1670" t="s">
        <v>41</v>
      </c>
      <c r="O1670" t="s">
        <v>32</v>
      </c>
      <c r="P1670">
        <v>13.559730328352201</v>
      </c>
      <c r="Q1670">
        <v>0.55885904183407198</v>
      </c>
      <c r="R1670">
        <v>2.4774160080799601</v>
      </c>
      <c r="S1670">
        <v>184</v>
      </c>
      <c r="T1670">
        <v>33</v>
      </c>
      <c r="U1670">
        <v>936.79871673003595</v>
      </c>
      <c r="V1670">
        <v>1.5402843601895699E-2</v>
      </c>
      <c r="W1670">
        <v>1226254.5535536001</v>
      </c>
      <c r="X1670" t="s">
        <v>31</v>
      </c>
      <c r="Y1670">
        <f>1-451-635-9591</f>
        <v>-10676</v>
      </c>
    </row>
    <row r="1671" spans="1:25" x14ac:dyDescent="0.35">
      <c r="A1671">
        <v>34.494231187536997</v>
      </c>
      <c r="B1671">
        <v>-121.97806793530199</v>
      </c>
      <c r="C1671" t="s">
        <v>34</v>
      </c>
      <c r="D1671">
        <v>27.507566321033501</v>
      </c>
      <c r="E1671">
        <v>1</v>
      </c>
      <c r="F1671">
        <v>3684</v>
      </c>
      <c r="G1671">
        <v>5</v>
      </c>
      <c r="H1671">
        <v>2</v>
      </c>
      <c r="I1671">
        <v>1961</v>
      </c>
      <c r="J1671">
        <v>0</v>
      </c>
      <c r="K1671">
        <v>1</v>
      </c>
      <c r="L1671">
        <v>0</v>
      </c>
      <c r="M1671">
        <v>7</v>
      </c>
      <c r="N1671" t="s">
        <v>26</v>
      </c>
      <c r="O1671" t="s">
        <v>30</v>
      </c>
      <c r="P1671">
        <v>8.0112115315365493</v>
      </c>
      <c r="Q1671">
        <v>2.49871953442767</v>
      </c>
      <c r="R1671">
        <v>2.2291444337727602</v>
      </c>
      <c r="S1671">
        <v>118</v>
      </c>
      <c r="T1671">
        <v>56</v>
      </c>
      <c r="U1671">
        <v>948.01114772526205</v>
      </c>
      <c r="V1671">
        <v>1.900108577633E-3</v>
      </c>
      <c r="W1671">
        <v>3925851.4393624398</v>
      </c>
      <c r="X1671" t="s">
        <v>42</v>
      </c>
      <c r="Y1671">
        <f>1-974-332-7238</f>
        <v>-8543</v>
      </c>
    </row>
    <row r="1672" spans="1:25" x14ac:dyDescent="0.35">
      <c r="A1672">
        <v>33.456924308681899</v>
      </c>
      <c r="B1672">
        <v>-115.68562714724099</v>
      </c>
      <c r="C1672" t="s">
        <v>34</v>
      </c>
      <c r="D1672">
        <v>31.062714902965801</v>
      </c>
      <c r="E1672">
        <v>5</v>
      </c>
      <c r="F1672">
        <v>990</v>
      </c>
      <c r="G1672">
        <v>3</v>
      </c>
      <c r="H1672">
        <v>1</v>
      </c>
      <c r="I1672">
        <v>2015</v>
      </c>
      <c r="J1672">
        <v>0</v>
      </c>
      <c r="K1672">
        <v>0</v>
      </c>
      <c r="L1672">
        <v>1</v>
      </c>
      <c r="M1672">
        <v>8</v>
      </c>
      <c r="N1672" t="s">
        <v>37</v>
      </c>
      <c r="O1672" t="s">
        <v>32</v>
      </c>
      <c r="P1672">
        <v>8.4339213144815606</v>
      </c>
      <c r="Q1672">
        <v>2.3662508197705998</v>
      </c>
      <c r="R1672">
        <v>4.9483637760384704</v>
      </c>
      <c r="S1672">
        <v>184</v>
      </c>
      <c r="T1672">
        <v>43</v>
      </c>
      <c r="U1672">
        <v>311.05785107111001</v>
      </c>
      <c r="V1672">
        <v>8.0808080808080808E-3</v>
      </c>
      <c r="W1672">
        <v>570366.79406461702</v>
      </c>
      <c r="X1672" t="s">
        <v>42</v>
      </c>
      <c r="Y1672">
        <f>1-310-583-4453</f>
        <v>-5345</v>
      </c>
    </row>
    <row r="1673" spans="1:25" x14ac:dyDescent="0.35">
      <c r="A1673">
        <v>32.934643307710097</v>
      </c>
      <c r="B1673">
        <v>-119.819548287416</v>
      </c>
      <c r="C1673" t="s">
        <v>34</v>
      </c>
      <c r="D1673">
        <v>15.4037035203051</v>
      </c>
      <c r="E1673">
        <v>7</v>
      </c>
      <c r="F1673">
        <v>649</v>
      </c>
      <c r="G1673">
        <v>2</v>
      </c>
      <c r="H1673">
        <v>3</v>
      </c>
      <c r="I1673">
        <v>1987</v>
      </c>
      <c r="J1673">
        <v>1</v>
      </c>
      <c r="K1673">
        <v>0</v>
      </c>
      <c r="L1673">
        <v>1</v>
      </c>
      <c r="M1673">
        <v>10</v>
      </c>
      <c r="N1673" t="s">
        <v>26</v>
      </c>
      <c r="O1673" t="s">
        <v>30</v>
      </c>
      <c r="P1673">
        <v>12.8775512613056</v>
      </c>
      <c r="Q1673">
        <v>1.3374729273213499</v>
      </c>
      <c r="R1673">
        <v>7.7211166892428498</v>
      </c>
      <c r="S1673">
        <v>137</v>
      </c>
      <c r="T1673">
        <v>20</v>
      </c>
      <c r="U1673">
        <v>534.73949566450403</v>
      </c>
      <c r="V1673">
        <v>1.54083204930662E-2</v>
      </c>
      <c r="W1673">
        <v>631296.23117110599</v>
      </c>
      <c r="X1673" t="s">
        <v>28</v>
      </c>
      <c r="Y1673">
        <f>1-673-550-3483</f>
        <v>-4705</v>
      </c>
    </row>
    <row r="1674" spans="1:25" x14ac:dyDescent="0.35">
      <c r="A1674">
        <v>37.930141842526403</v>
      </c>
      <c r="B1674">
        <v>-123.144734929508</v>
      </c>
      <c r="C1674" t="s">
        <v>25</v>
      </c>
      <c r="D1674">
        <v>46.899247481926501</v>
      </c>
      <c r="E1674">
        <v>7</v>
      </c>
      <c r="F1674">
        <v>3175</v>
      </c>
      <c r="G1674">
        <v>4</v>
      </c>
      <c r="H1674">
        <v>1</v>
      </c>
      <c r="I1674">
        <v>1995</v>
      </c>
      <c r="J1674">
        <v>0</v>
      </c>
      <c r="K1674">
        <v>1</v>
      </c>
      <c r="L1674">
        <v>1</v>
      </c>
      <c r="M1674">
        <v>5</v>
      </c>
      <c r="N1674" t="s">
        <v>37</v>
      </c>
      <c r="O1674" t="s">
        <v>32</v>
      </c>
      <c r="P1674">
        <v>11.7969121181434</v>
      </c>
      <c r="Q1674">
        <v>0.632108725265636</v>
      </c>
      <c r="R1674">
        <v>4.3419921886492201</v>
      </c>
      <c r="S1674">
        <v>76</v>
      </c>
      <c r="T1674">
        <v>73</v>
      </c>
      <c r="U1674">
        <v>838.63777643007302</v>
      </c>
      <c r="V1674">
        <v>1.5748031496062901E-3</v>
      </c>
      <c r="W1674">
        <v>3066954.7665144298</v>
      </c>
      <c r="X1674" t="s">
        <v>36</v>
      </c>
      <c r="Y1674">
        <f>1-243-998-4470</f>
        <v>-5710</v>
      </c>
    </row>
    <row r="1675" spans="1:25" x14ac:dyDescent="0.35">
      <c r="A1675">
        <v>39.880192993110803</v>
      </c>
      <c r="B1675">
        <v>-114.668501795569</v>
      </c>
      <c r="C1675" t="s">
        <v>25</v>
      </c>
      <c r="D1675">
        <v>48.353171666063297</v>
      </c>
      <c r="E1675">
        <v>5</v>
      </c>
      <c r="F1675">
        <v>3185</v>
      </c>
      <c r="G1675">
        <v>4</v>
      </c>
      <c r="H1675">
        <v>3</v>
      </c>
      <c r="I1675">
        <v>1988</v>
      </c>
      <c r="J1675">
        <v>0</v>
      </c>
      <c r="K1675">
        <v>0</v>
      </c>
      <c r="L1675">
        <v>1</v>
      </c>
      <c r="M1675">
        <v>6</v>
      </c>
      <c r="N1675" t="s">
        <v>41</v>
      </c>
      <c r="O1675" t="s">
        <v>30</v>
      </c>
      <c r="P1675">
        <v>13.3429514583101</v>
      </c>
      <c r="Q1675">
        <v>1.37187208365339</v>
      </c>
      <c r="R1675">
        <v>2.7019257855263001</v>
      </c>
      <c r="S1675">
        <v>112</v>
      </c>
      <c r="T1675">
        <v>41</v>
      </c>
      <c r="U1675">
        <v>401.69745316421199</v>
      </c>
      <c r="V1675">
        <v>1.8838304552590199E-3</v>
      </c>
      <c r="W1675">
        <v>1655878.11921442</v>
      </c>
      <c r="X1675" t="s">
        <v>44</v>
      </c>
      <c r="Y1675">
        <f>1-385-443-3330</f>
        <v>-4157</v>
      </c>
    </row>
    <row r="1676" spans="1:25" x14ac:dyDescent="0.35">
      <c r="A1676">
        <v>41.014900759243297</v>
      </c>
      <c r="B1676">
        <v>-115.271831526909</v>
      </c>
      <c r="C1676" t="s">
        <v>29</v>
      </c>
      <c r="D1676">
        <v>46.835694582482397</v>
      </c>
      <c r="E1676">
        <v>5</v>
      </c>
      <c r="F1676">
        <v>1846</v>
      </c>
      <c r="G1676">
        <v>3</v>
      </c>
      <c r="H1676">
        <v>1</v>
      </c>
      <c r="I1676">
        <v>2005</v>
      </c>
      <c r="J1676">
        <v>0</v>
      </c>
      <c r="K1676">
        <v>1</v>
      </c>
      <c r="L1676">
        <v>1</v>
      </c>
      <c r="M1676">
        <v>2</v>
      </c>
      <c r="N1676" t="s">
        <v>35</v>
      </c>
      <c r="O1676" t="s">
        <v>30</v>
      </c>
      <c r="P1676">
        <v>6.6030629361650997</v>
      </c>
      <c r="Q1676">
        <v>1.46007885737064</v>
      </c>
      <c r="R1676">
        <v>7.6540480012229404</v>
      </c>
      <c r="S1676">
        <v>26</v>
      </c>
      <c r="T1676">
        <v>39</v>
      </c>
      <c r="U1676">
        <v>225.32965294211601</v>
      </c>
      <c r="V1676">
        <v>1.0834236186348799E-3</v>
      </c>
      <c r="W1676">
        <v>762463.54978919798</v>
      </c>
      <c r="X1676" t="s">
        <v>38</v>
      </c>
      <c r="Y1676">
        <f>1-790-183-8599</f>
        <v>-9571</v>
      </c>
    </row>
    <row r="1677" spans="1:25" x14ac:dyDescent="0.35">
      <c r="A1677">
        <v>33.093392286620997</v>
      </c>
      <c r="B1677">
        <v>-121.52709985207299</v>
      </c>
      <c r="C1677" t="s">
        <v>29</v>
      </c>
      <c r="D1677">
        <v>30.652974276985699</v>
      </c>
      <c r="E1677">
        <v>7</v>
      </c>
      <c r="F1677">
        <v>718</v>
      </c>
      <c r="G1677">
        <v>3</v>
      </c>
      <c r="H1677">
        <v>1</v>
      </c>
      <c r="I1677">
        <v>1990</v>
      </c>
      <c r="J1677">
        <v>1</v>
      </c>
      <c r="K1677">
        <v>1</v>
      </c>
      <c r="L1677">
        <v>0</v>
      </c>
      <c r="M1677">
        <v>9</v>
      </c>
      <c r="N1677" t="s">
        <v>37</v>
      </c>
      <c r="O1677" t="s">
        <v>27</v>
      </c>
      <c r="P1677">
        <v>6.2859916898877799</v>
      </c>
      <c r="Q1677">
        <v>1.86264631200099</v>
      </c>
      <c r="R1677">
        <v>1.71589581839804</v>
      </c>
      <c r="S1677">
        <v>85</v>
      </c>
      <c r="T1677">
        <v>55</v>
      </c>
      <c r="U1677">
        <v>434.25608669153303</v>
      </c>
      <c r="V1677">
        <v>1.25348189415041E-2</v>
      </c>
      <c r="W1677">
        <v>576471.757489871</v>
      </c>
      <c r="X1677" t="s">
        <v>33</v>
      </c>
      <c r="Y1677">
        <f>1-368-996-3284</f>
        <v>-4647</v>
      </c>
    </row>
    <row r="1678" spans="1:25" x14ac:dyDescent="0.35">
      <c r="A1678">
        <v>39.260842347902603</v>
      </c>
      <c r="B1678">
        <v>-116.722319342623</v>
      </c>
      <c r="C1678" t="s">
        <v>34</v>
      </c>
      <c r="D1678">
        <v>43.336722040692003</v>
      </c>
      <c r="E1678">
        <v>0</v>
      </c>
      <c r="F1678">
        <v>4322</v>
      </c>
      <c r="G1678">
        <v>4</v>
      </c>
      <c r="H1678">
        <v>3</v>
      </c>
      <c r="I1678">
        <v>1990</v>
      </c>
      <c r="J1678">
        <v>0</v>
      </c>
      <c r="K1678">
        <v>1</v>
      </c>
      <c r="L1678">
        <v>0</v>
      </c>
      <c r="M1678">
        <v>12</v>
      </c>
      <c r="N1678" t="s">
        <v>26</v>
      </c>
      <c r="O1678" t="s">
        <v>32</v>
      </c>
      <c r="P1678">
        <v>14.191709022190601</v>
      </c>
      <c r="Q1678">
        <v>2.26544648285501</v>
      </c>
      <c r="R1678">
        <v>8.1705915886537301</v>
      </c>
      <c r="S1678">
        <v>45</v>
      </c>
      <c r="T1678">
        <v>35</v>
      </c>
      <c r="U1678">
        <v>794.91641059158201</v>
      </c>
      <c r="V1678">
        <v>2.7764923646459898E-3</v>
      </c>
      <c r="W1678">
        <v>3864814.1999354502</v>
      </c>
      <c r="X1678" t="s">
        <v>33</v>
      </c>
      <c r="Y1678">
        <f>1-682-367-5333</f>
        <v>-6381</v>
      </c>
    </row>
    <row r="1679" spans="1:25" x14ac:dyDescent="0.35">
      <c r="A1679">
        <v>36.865066154815899</v>
      </c>
      <c r="B1679">
        <v>-122.672496368449</v>
      </c>
      <c r="C1679" t="s">
        <v>25</v>
      </c>
      <c r="D1679">
        <v>12.713694614592599</v>
      </c>
      <c r="E1679">
        <v>3</v>
      </c>
      <c r="F1679">
        <v>617</v>
      </c>
      <c r="G1679">
        <v>3</v>
      </c>
      <c r="H1679">
        <v>3</v>
      </c>
      <c r="I1679">
        <v>1978</v>
      </c>
      <c r="J1679">
        <v>0</v>
      </c>
      <c r="K1679">
        <v>0</v>
      </c>
      <c r="L1679">
        <v>0</v>
      </c>
      <c r="M1679">
        <v>8</v>
      </c>
      <c r="N1679" t="s">
        <v>35</v>
      </c>
      <c r="O1679" t="s">
        <v>30</v>
      </c>
      <c r="P1679">
        <v>14.8391975885476</v>
      </c>
      <c r="Q1679">
        <v>2.4618527846848002</v>
      </c>
      <c r="R1679">
        <v>5.5066642557116099</v>
      </c>
      <c r="S1679">
        <v>65</v>
      </c>
      <c r="T1679">
        <v>55</v>
      </c>
      <c r="U1679">
        <v>391.837218038662</v>
      </c>
      <c r="V1679">
        <v>1.2965964343598001E-2</v>
      </c>
      <c r="W1679">
        <v>458909.81077712798</v>
      </c>
      <c r="X1679" t="s">
        <v>43</v>
      </c>
      <c r="Y1679">
        <f>1-255-278-5050</f>
        <v>-5582</v>
      </c>
    </row>
    <row r="1680" spans="1:25" x14ac:dyDescent="0.35">
      <c r="A1680">
        <v>35.816294436860801</v>
      </c>
      <c r="B1680">
        <v>-116.002617483522</v>
      </c>
      <c r="C1680" t="s">
        <v>34</v>
      </c>
      <c r="D1680">
        <v>46.307209018276097</v>
      </c>
      <c r="E1680">
        <v>8</v>
      </c>
      <c r="F1680">
        <v>1815</v>
      </c>
      <c r="G1680">
        <v>1</v>
      </c>
      <c r="H1680">
        <v>3</v>
      </c>
      <c r="I1680">
        <v>2002</v>
      </c>
      <c r="J1680">
        <v>1</v>
      </c>
      <c r="K1680">
        <v>0</v>
      </c>
      <c r="L1680">
        <v>0</v>
      </c>
      <c r="M1680">
        <v>3</v>
      </c>
      <c r="N1680" t="s">
        <v>26</v>
      </c>
      <c r="O1680" t="s">
        <v>27</v>
      </c>
      <c r="P1680">
        <v>8.0878158744134794</v>
      </c>
      <c r="Q1680">
        <v>0.70372740827630298</v>
      </c>
      <c r="R1680">
        <v>2.6451127146681999</v>
      </c>
      <c r="S1680">
        <v>6</v>
      </c>
      <c r="T1680">
        <v>63</v>
      </c>
      <c r="U1680">
        <v>689.31374586899301</v>
      </c>
      <c r="V1680">
        <v>1.6528925619834699E-3</v>
      </c>
      <c r="W1680">
        <v>1453999.6783256601</v>
      </c>
      <c r="X1680" t="s">
        <v>31</v>
      </c>
      <c r="Y1680">
        <f>1-877-771-8127</f>
        <v>-9774</v>
      </c>
    </row>
    <row r="1681" spans="1:25" x14ac:dyDescent="0.35">
      <c r="A1681">
        <v>34.7316964256906</v>
      </c>
      <c r="B1681">
        <v>-123.425095244581</v>
      </c>
      <c r="C1681" t="s">
        <v>29</v>
      </c>
      <c r="D1681">
        <v>45.002921687079798</v>
      </c>
      <c r="E1681">
        <v>5</v>
      </c>
      <c r="F1681">
        <v>2774</v>
      </c>
      <c r="G1681">
        <v>5</v>
      </c>
      <c r="H1681">
        <v>2</v>
      </c>
      <c r="I1681">
        <v>1956</v>
      </c>
      <c r="J1681">
        <v>1</v>
      </c>
      <c r="K1681">
        <v>0</v>
      </c>
      <c r="L1681">
        <v>1</v>
      </c>
      <c r="M1681">
        <v>11</v>
      </c>
      <c r="N1681" t="s">
        <v>35</v>
      </c>
      <c r="O1681" t="s">
        <v>32</v>
      </c>
      <c r="P1681">
        <v>13.071314153772599</v>
      </c>
      <c r="Q1681">
        <v>0.62651618251573205</v>
      </c>
      <c r="R1681">
        <v>9.6679436747581402</v>
      </c>
      <c r="S1681">
        <v>177</v>
      </c>
      <c r="T1681">
        <v>61</v>
      </c>
      <c r="U1681">
        <v>645.61958313853495</v>
      </c>
      <c r="V1681">
        <v>3.9653929343907704E-3</v>
      </c>
      <c r="W1681">
        <v>2148728.9274127702</v>
      </c>
      <c r="X1681" t="s">
        <v>36</v>
      </c>
      <c r="Y1681">
        <f>1-760-388-2916</f>
        <v>-4063</v>
      </c>
    </row>
    <row r="1682" spans="1:25" x14ac:dyDescent="0.35">
      <c r="A1682">
        <v>36.348384472266901</v>
      </c>
      <c r="B1682">
        <v>-121.081093678012</v>
      </c>
      <c r="C1682" t="s">
        <v>25</v>
      </c>
      <c r="D1682">
        <v>8.7366011982133198</v>
      </c>
      <c r="E1682">
        <v>7</v>
      </c>
      <c r="F1682">
        <v>2494</v>
      </c>
      <c r="G1682">
        <v>4</v>
      </c>
      <c r="H1682">
        <v>2</v>
      </c>
      <c r="I1682">
        <v>1950</v>
      </c>
      <c r="J1682">
        <v>1</v>
      </c>
      <c r="K1682">
        <v>1</v>
      </c>
      <c r="L1682">
        <v>0</v>
      </c>
      <c r="M1682">
        <v>11</v>
      </c>
      <c r="N1682" t="s">
        <v>37</v>
      </c>
      <c r="O1682" t="s">
        <v>27</v>
      </c>
      <c r="P1682">
        <v>7.8642541879476697</v>
      </c>
      <c r="Q1682">
        <v>1.69670828746936</v>
      </c>
      <c r="R1682">
        <v>4.06505619748516</v>
      </c>
      <c r="S1682">
        <v>62</v>
      </c>
      <c r="T1682">
        <v>62</v>
      </c>
      <c r="U1682">
        <v>817.726647249292</v>
      </c>
      <c r="V1682">
        <v>4.41058540497193E-3</v>
      </c>
      <c r="W1682">
        <v>2380673.7531012101</v>
      </c>
      <c r="X1682" t="s">
        <v>33</v>
      </c>
      <c r="Y1682">
        <f>1-555-165-2090</f>
        <v>-2809</v>
      </c>
    </row>
    <row r="1683" spans="1:25" x14ac:dyDescent="0.35">
      <c r="A1683">
        <v>41.992955835295099</v>
      </c>
      <c r="B1683">
        <v>-115.541836440878</v>
      </c>
      <c r="C1683" t="s">
        <v>29</v>
      </c>
      <c r="D1683">
        <v>7.6931441196400003</v>
      </c>
      <c r="E1683">
        <v>8</v>
      </c>
      <c r="F1683">
        <v>1924</v>
      </c>
      <c r="G1683">
        <v>3</v>
      </c>
      <c r="H1683">
        <v>1</v>
      </c>
      <c r="I1683">
        <v>1960</v>
      </c>
      <c r="J1683">
        <v>0</v>
      </c>
      <c r="K1683">
        <v>1</v>
      </c>
      <c r="L1683">
        <v>0</v>
      </c>
      <c r="M1683">
        <v>13</v>
      </c>
      <c r="N1683" t="s">
        <v>35</v>
      </c>
      <c r="O1683" t="s">
        <v>27</v>
      </c>
      <c r="P1683">
        <v>10.8476718465086</v>
      </c>
      <c r="Q1683">
        <v>1.6630331612595699</v>
      </c>
      <c r="R1683">
        <v>5.1365101550769996</v>
      </c>
      <c r="S1683">
        <v>24</v>
      </c>
      <c r="T1683">
        <v>76</v>
      </c>
      <c r="U1683">
        <v>531.12581747162096</v>
      </c>
      <c r="V1683">
        <v>6.7567567567567502E-3</v>
      </c>
      <c r="W1683">
        <v>1259281.7256509401</v>
      </c>
      <c r="X1683" t="s">
        <v>42</v>
      </c>
      <c r="Y1683">
        <f>1-950-615-9197</f>
        <v>-10761</v>
      </c>
    </row>
    <row r="1684" spans="1:25" x14ac:dyDescent="0.35">
      <c r="A1684">
        <v>38.729326910064898</v>
      </c>
      <c r="B1684">
        <v>-116.643225768012</v>
      </c>
      <c r="C1684" t="s">
        <v>34</v>
      </c>
      <c r="D1684">
        <v>4.32443332143212</v>
      </c>
      <c r="E1684">
        <v>2</v>
      </c>
      <c r="F1684">
        <v>4067</v>
      </c>
      <c r="G1684">
        <v>4</v>
      </c>
      <c r="H1684">
        <v>1</v>
      </c>
      <c r="I1684">
        <v>1997</v>
      </c>
      <c r="J1684">
        <v>0</v>
      </c>
      <c r="K1684">
        <v>0</v>
      </c>
      <c r="L1684">
        <v>0</v>
      </c>
      <c r="M1684">
        <v>3</v>
      </c>
      <c r="N1684" t="s">
        <v>26</v>
      </c>
      <c r="O1684" t="s">
        <v>32</v>
      </c>
      <c r="P1684">
        <v>2.2060373358851901</v>
      </c>
      <c r="Q1684">
        <v>0.912219666849725</v>
      </c>
      <c r="R1684">
        <v>9.6924500900336401</v>
      </c>
      <c r="S1684">
        <v>96</v>
      </c>
      <c r="T1684">
        <v>33</v>
      </c>
      <c r="U1684">
        <v>892.05272002186598</v>
      </c>
      <c r="V1684">
        <v>7.3764445537250996E-4</v>
      </c>
      <c r="W1684">
        <v>3751783.1000765399</v>
      </c>
      <c r="X1684" t="s">
        <v>40</v>
      </c>
      <c r="Y1684">
        <f>1-585-421-9809</f>
        <v>-10814</v>
      </c>
    </row>
    <row r="1685" spans="1:25" x14ac:dyDescent="0.35">
      <c r="A1685">
        <v>34.531194323492997</v>
      </c>
      <c r="B1685">
        <v>-123.289609545018</v>
      </c>
      <c r="C1685" t="s">
        <v>25</v>
      </c>
      <c r="D1685">
        <v>40.5273952481351</v>
      </c>
      <c r="E1685">
        <v>1</v>
      </c>
      <c r="F1685">
        <v>1803</v>
      </c>
      <c r="G1685">
        <v>4</v>
      </c>
      <c r="H1685">
        <v>2</v>
      </c>
      <c r="I1685">
        <v>1990</v>
      </c>
      <c r="J1685">
        <v>0</v>
      </c>
      <c r="K1685">
        <v>1</v>
      </c>
      <c r="L1685">
        <v>0</v>
      </c>
      <c r="M1685">
        <v>2</v>
      </c>
      <c r="N1685" t="s">
        <v>41</v>
      </c>
      <c r="O1685" t="s">
        <v>30</v>
      </c>
      <c r="P1685">
        <v>2.3139166575922201</v>
      </c>
      <c r="Q1685">
        <v>1.2735043549514</v>
      </c>
      <c r="R1685">
        <v>6.05009046693631</v>
      </c>
      <c r="S1685">
        <v>33</v>
      </c>
      <c r="T1685">
        <v>23</v>
      </c>
      <c r="U1685">
        <v>270.57766212751801</v>
      </c>
      <c r="V1685">
        <v>1.10926234054353E-3</v>
      </c>
      <c r="W1685">
        <v>836371.91522074398</v>
      </c>
      <c r="X1685" t="s">
        <v>28</v>
      </c>
      <c r="Y1685">
        <f>1-484-826-3264</f>
        <v>-4573</v>
      </c>
    </row>
    <row r="1686" spans="1:25" x14ac:dyDescent="0.35">
      <c r="A1686">
        <v>32.5826377350214</v>
      </c>
      <c r="B1686">
        <v>-119.655762145202</v>
      </c>
      <c r="C1686" t="s">
        <v>29</v>
      </c>
      <c r="D1686">
        <v>19.0373667913553</v>
      </c>
      <c r="E1686">
        <v>9</v>
      </c>
      <c r="F1686">
        <v>2044</v>
      </c>
      <c r="G1686">
        <v>4</v>
      </c>
      <c r="H1686">
        <v>2</v>
      </c>
      <c r="I1686">
        <v>1995</v>
      </c>
      <c r="J1686">
        <v>1</v>
      </c>
      <c r="K1686">
        <v>0</v>
      </c>
      <c r="L1686">
        <v>1</v>
      </c>
      <c r="M1686">
        <v>13</v>
      </c>
      <c r="N1686" t="s">
        <v>26</v>
      </c>
      <c r="O1686" t="s">
        <v>32</v>
      </c>
      <c r="P1686">
        <v>8.0729468483060298</v>
      </c>
      <c r="Q1686">
        <v>1.03639544821362</v>
      </c>
      <c r="R1686">
        <v>3.6899469251034902</v>
      </c>
      <c r="S1686">
        <v>159</v>
      </c>
      <c r="T1686">
        <v>38</v>
      </c>
      <c r="U1686">
        <v>240.07006519127199</v>
      </c>
      <c r="V1686">
        <v>6.3600782778864898E-3</v>
      </c>
      <c r="W1686">
        <v>822742.17119721998</v>
      </c>
      <c r="X1686" t="s">
        <v>43</v>
      </c>
      <c r="Y1686">
        <f>1-885-343-9176</f>
        <v>-10403</v>
      </c>
    </row>
    <row r="1687" spans="1:25" x14ac:dyDescent="0.35">
      <c r="A1687">
        <v>40.2904243116541</v>
      </c>
      <c r="B1687">
        <v>-115.418292203324</v>
      </c>
      <c r="C1687" t="s">
        <v>25</v>
      </c>
      <c r="D1687">
        <v>28.646498624707299</v>
      </c>
      <c r="E1687">
        <v>5</v>
      </c>
      <c r="F1687">
        <v>2490</v>
      </c>
      <c r="G1687">
        <v>2</v>
      </c>
      <c r="H1687">
        <v>3</v>
      </c>
      <c r="I1687">
        <v>2011</v>
      </c>
      <c r="J1687">
        <v>0</v>
      </c>
      <c r="K1687">
        <v>0</v>
      </c>
      <c r="L1687">
        <v>1</v>
      </c>
      <c r="M1687">
        <v>7</v>
      </c>
      <c r="N1687" t="s">
        <v>26</v>
      </c>
      <c r="O1687" t="s">
        <v>32</v>
      </c>
      <c r="P1687">
        <v>8.4313020036072501</v>
      </c>
      <c r="Q1687">
        <v>1.96137102755007</v>
      </c>
      <c r="R1687">
        <v>1.22301599048864</v>
      </c>
      <c r="S1687">
        <v>145</v>
      </c>
      <c r="T1687">
        <v>41</v>
      </c>
      <c r="U1687">
        <v>700.23502178228705</v>
      </c>
      <c r="V1687">
        <v>2.8112449799196702E-3</v>
      </c>
      <c r="W1687">
        <v>2005035.4661741301</v>
      </c>
      <c r="X1687" t="s">
        <v>44</v>
      </c>
      <c r="Y1687">
        <f>1-959-906-6562</f>
        <v>-8426</v>
      </c>
    </row>
    <row r="1688" spans="1:25" x14ac:dyDescent="0.35">
      <c r="A1688">
        <v>34.197244446153498</v>
      </c>
      <c r="B1688">
        <v>-119.75137927367</v>
      </c>
      <c r="C1688" t="s">
        <v>29</v>
      </c>
      <c r="D1688">
        <v>16.9600197366122</v>
      </c>
      <c r="E1688">
        <v>3</v>
      </c>
      <c r="F1688">
        <v>2210</v>
      </c>
      <c r="G1688">
        <v>1</v>
      </c>
      <c r="H1688">
        <v>3</v>
      </c>
      <c r="I1688">
        <v>2020</v>
      </c>
      <c r="J1688">
        <v>0</v>
      </c>
      <c r="K1688">
        <v>0</v>
      </c>
      <c r="L1688">
        <v>1</v>
      </c>
      <c r="M1688">
        <v>6</v>
      </c>
      <c r="N1688" t="s">
        <v>41</v>
      </c>
      <c r="O1688" t="s">
        <v>32</v>
      </c>
      <c r="P1688">
        <v>10.362592741449101</v>
      </c>
      <c r="Q1688">
        <v>1.5622609994823</v>
      </c>
      <c r="R1688">
        <v>9.1415134124785293</v>
      </c>
      <c r="S1688">
        <v>172</v>
      </c>
      <c r="T1688">
        <v>32</v>
      </c>
      <c r="U1688">
        <v>387.08864465013698</v>
      </c>
      <c r="V1688">
        <v>2.7149321266968299E-3</v>
      </c>
      <c r="W1688">
        <v>1052823.0843745701</v>
      </c>
      <c r="X1688" t="s">
        <v>31</v>
      </c>
      <c r="Y1688">
        <f>1-979-780-9862</f>
        <v>-11620</v>
      </c>
    </row>
    <row r="1689" spans="1:25" x14ac:dyDescent="0.35">
      <c r="A1689">
        <v>33.865862962167398</v>
      </c>
      <c r="B1689">
        <v>-114.775193892061</v>
      </c>
      <c r="C1689" t="s">
        <v>25</v>
      </c>
      <c r="D1689">
        <v>38.568366572289499</v>
      </c>
      <c r="E1689">
        <v>1</v>
      </c>
      <c r="F1689">
        <v>725</v>
      </c>
      <c r="G1689">
        <v>5</v>
      </c>
      <c r="H1689">
        <v>2</v>
      </c>
      <c r="I1689">
        <v>1975</v>
      </c>
      <c r="J1689">
        <v>1</v>
      </c>
      <c r="K1689">
        <v>1</v>
      </c>
      <c r="L1689">
        <v>1</v>
      </c>
      <c r="M1689">
        <v>5</v>
      </c>
      <c r="N1689" t="s">
        <v>35</v>
      </c>
      <c r="O1689" t="s">
        <v>30</v>
      </c>
      <c r="P1689">
        <v>4.6012327477513804</v>
      </c>
      <c r="Q1689">
        <v>1.81679976654075</v>
      </c>
      <c r="R1689">
        <v>1.27118620821123</v>
      </c>
      <c r="S1689">
        <v>80</v>
      </c>
      <c r="T1689">
        <v>31</v>
      </c>
      <c r="U1689">
        <v>619.35463909200098</v>
      </c>
      <c r="V1689">
        <v>6.8965517241379301E-3</v>
      </c>
      <c r="W1689">
        <v>935880.72392731195</v>
      </c>
      <c r="X1689" t="s">
        <v>42</v>
      </c>
      <c r="Y1689">
        <f>1-937-871-9449</f>
        <v>-11256</v>
      </c>
    </row>
    <row r="1690" spans="1:25" x14ac:dyDescent="0.35">
      <c r="A1690">
        <v>36.8380658974692</v>
      </c>
      <c r="B1690">
        <v>-122.21117325569099</v>
      </c>
      <c r="C1690" t="s">
        <v>29</v>
      </c>
      <c r="D1690">
        <v>6.6664600367647298</v>
      </c>
      <c r="E1690">
        <v>9</v>
      </c>
      <c r="F1690">
        <v>4145</v>
      </c>
      <c r="G1690">
        <v>3</v>
      </c>
      <c r="H1690">
        <v>2</v>
      </c>
      <c r="I1690">
        <v>1988</v>
      </c>
      <c r="J1690">
        <v>0</v>
      </c>
      <c r="K1690">
        <v>1</v>
      </c>
      <c r="L1690">
        <v>1</v>
      </c>
      <c r="M1690">
        <v>8</v>
      </c>
      <c r="N1690" t="s">
        <v>41</v>
      </c>
      <c r="O1690" t="s">
        <v>30</v>
      </c>
      <c r="P1690">
        <v>3.8665063193538001</v>
      </c>
      <c r="Q1690">
        <v>0.90013436915968503</v>
      </c>
      <c r="R1690">
        <v>7.2244868928004502</v>
      </c>
      <c r="S1690">
        <v>195</v>
      </c>
      <c r="T1690">
        <v>59</v>
      </c>
      <c r="U1690">
        <v>667.83283349574504</v>
      </c>
      <c r="V1690">
        <v>1.9300361881785201E-3</v>
      </c>
      <c r="W1690">
        <v>3016588.7782820002</v>
      </c>
      <c r="X1690" t="s">
        <v>28</v>
      </c>
      <c r="Y1690">
        <f>1-302-826-7287</f>
        <v>-8414</v>
      </c>
    </row>
    <row r="1691" spans="1:25" x14ac:dyDescent="0.35">
      <c r="A1691">
        <v>36.431853434979502</v>
      </c>
      <c r="B1691">
        <v>-114.613733301867</v>
      </c>
      <c r="C1691" t="s">
        <v>29</v>
      </c>
      <c r="D1691">
        <v>38.982826416296</v>
      </c>
      <c r="E1691">
        <v>4</v>
      </c>
      <c r="F1691">
        <v>531</v>
      </c>
      <c r="G1691">
        <v>2</v>
      </c>
      <c r="H1691">
        <v>3</v>
      </c>
      <c r="I1691">
        <v>1962</v>
      </c>
      <c r="J1691">
        <v>0</v>
      </c>
      <c r="K1691">
        <v>0</v>
      </c>
      <c r="L1691">
        <v>1</v>
      </c>
      <c r="M1691">
        <v>6</v>
      </c>
      <c r="N1691" t="s">
        <v>26</v>
      </c>
      <c r="O1691" t="s">
        <v>27</v>
      </c>
      <c r="P1691">
        <v>9.8019994937164707</v>
      </c>
      <c r="Q1691">
        <v>0.58194441940789998</v>
      </c>
      <c r="R1691">
        <v>6.4289740187331201</v>
      </c>
      <c r="S1691">
        <v>87</v>
      </c>
      <c r="T1691">
        <v>46</v>
      </c>
      <c r="U1691">
        <v>856.12114489788803</v>
      </c>
      <c r="V1691">
        <v>1.1299435028248501E-2</v>
      </c>
      <c r="W1691">
        <v>651095.39669601398</v>
      </c>
      <c r="X1691" t="s">
        <v>38</v>
      </c>
      <c r="Y1691">
        <f>1-902-209-5513</f>
        <v>-6623</v>
      </c>
    </row>
    <row r="1692" spans="1:25" x14ac:dyDescent="0.35">
      <c r="A1692">
        <v>38.044874261464699</v>
      </c>
      <c r="B1692">
        <v>-116.84768914114601</v>
      </c>
      <c r="C1692" t="s">
        <v>29</v>
      </c>
      <c r="D1692">
        <v>6.6849236519642004</v>
      </c>
      <c r="E1692">
        <v>1</v>
      </c>
      <c r="F1692">
        <v>4412</v>
      </c>
      <c r="G1692">
        <v>5</v>
      </c>
      <c r="H1692">
        <v>3</v>
      </c>
      <c r="I1692">
        <v>1984</v>
      </c>
      <c r="J1692">
        <v>0</v>
      </c>
      <c r="K1692">
        <v>0</v>
      </c>
      <c r="L1692">
        <v>1</v>
      </c>
      <c r="M1692">
        <v>13</v>
      </c>
      <c r="N1692" t="s">
        <v>26</v>
      </c>
      <c r="O1692" t="s">
        <v>30</v>
      </c>
      <c r="P1692">
        <v>7.5510498009364104</v>
      </c>
      <c r="Q1692">
        <v>1.2289091866869699</v>
      </c>
      <c r="R1692">
        <v>0.70287074770462299</v>
      </c>
      <c r="S1692">
        <v>129</v>
      </c>
      <c r="T1692">
        <v>28</v>
      </c>
      <c r="U1692">
        <v>530.69353335748997</v>
      </c>
      <c r="V1692">
        <v>2.9465095194922898E-3</v>
      </c>
      <c r="W1692">
        <v>2742387.6227571298</v>
      </c>
      <c r="X1692" t="s">
        <v>38</v>
      </c>
      <c r="Y1692">
        <f>1-854-494-3594</f>
        <v>-4941</v>
      </c>
    </row>
    <row r="1693" spans="1:25" x14ac:dyDescent="0.35">
      <c r="A1693">
        <v>40.891435086515301</v>
      </c>
      <c r="B1693">
        <v>-118.996062948508</v>
      </c>
      <c r="C1693" t="s">
        <v>34</v>
      </c>
      <c r="D1693">
        <v>1.92051709363892</v>
      </c>
      <c r="E1693">
        <v>9</v>
      </c>
      <c r="F1693">
        <v>692</v>
      </c>
      <c r="G1693">
        <v>4</v>
      </c>
      <c r="H1693">
        <v>1</v>
      </c>
      <c r="I1693">
        <v>1995</v>
      </c>
      <c r="J1693">
        <v>0</v>
      </c>
      <c r="K1693">
        <v>0</v>
      </c>
      <c r="L1693">
        <v>0</v>
      </c>
      <c r="M1693">
        <v>10</v>
      </c>
      <c r="N1693" t="s">
        <v>35</v>
      </c>
      <c r="O1693" t="s">
        <v>27</v>
      </c>
      <c r="P1693">
        <v>2.9892033755907801</v>
      </c>
      <c r="Q1693">
        <v>1.8075756915707699</v>
      </c>
      <c r="R1693">
        <v>8.7711140654589403</v>
      </c>
      <c r="S1693">
        <v>193</v>
      </c>
      <c r="T1693">
        <v>44</v>
      </c>
      <c r="U1693">
        <v>216.02802765509699</v>
      </c>
      <c r="V1693">
        <v>1.44508670520231E-2</v>
      </c>
      <c r="W1693">
        <v>351085.61043969501</v>
      </c>
      <c r="X1693" t="s">
        <v>33</v>
      </c>
      <c r="Y1693">
        <f>1-451-977-7060</f>
        <v>-8487</v>
      </c>
    </row>
    <row r="1694" spans="1:25" x14ac:dyDescent="0.35">
      <c r="A1694">
        <v>39.081631865444798</v>
      </c>
      <c r="B1694">
        <v>-119.85722461995201</v>
      </c>
      <c r="C1694" t="s">
        <v>34</v>
      </c>
      <c r="D1694">
        <v>20.631779315447201</v>
      </c>
      <c r="E1694">
        <v>5</v>
      </c>
      <c r="F1694">
        <v>3160</v>
      </c>
      <c r="G1694">
        <v>5</v>
      </c>
      <c r="H1694">
        <v>2</v>
      </c>
      <c r="I1694">
        <v>1990</v>
      </c>
      <c r="J1694">
        <v>1</v>
      </c>
      <c r="K1694">
        <v>0</v>
      </c>
      <c r="L1694">
        <v>1</v>
      </c>
      <c r="M1694">
        <v>8</v>
      </c>
      <c r="N1694" t="s">
        <v>26</v>
      </c>
      <c r="O1694" t="s">
        <v>32</v>
      </c>
      <c r="P1694">
        <v>2.35859718414169</v>
      </c>
      <c r="Q1694">
        <v>1.16410255251354</v>
      </c>
      <c r="R1694">
        <v>5.4564703159207797</v>
      </c>
      <c r="S1694">
        <v>67</v>
      </c>
      <c r="T1694">
        <v>41</v>
      </c>
      <c r="U1694">
        <v>918.23422577701103</v>
      </c>
      <c r="V1694">
        <v>2.5316455696202502E-3</v>
      </c>
      <c r="W1694">
        <v>3118963.0164532098</v>
      </c>
      <c r="X1694" t="s">
        <v>39</v>
      </c>
      <c r="Y1694">
        <f>1-293-947-6333</f>
        <v>-7572</v>
      </c>
    </row>
    <row r="1695" spans="1:25" x14ac:dyDescent="0.35">
      <c r="A1695">
        <v>36.768864244298399</v>
      </c>
      <c r="B1695">
        <v>-123.902720177077</v>
      </c>
      <c r="C1695" t="s">
        <v>25</v>
      </c>
      <c r="D1695">
        <v>30.3953205604586</v>
      </c>
      <c r="E1695">
        <v>4</v>
      </c>
      <c r="F1695">
        <v>3592</v>
      </c>
      <c r="G1695">
        <v>3</v>
      </c>
      <c r="H1695">
        <v>3</v>
      </c>
      <c r="I1695">
        <v>2018</v>
      </c>
      <c r="J1695">
        <v>0</v>
      </c>
      <c r="K1695">
        <v>1</v>
      </c>
      <c r="L1695">
        <v>0</v>
      </c>
      <c r="M1695">
        <v>10</v>
      </c>
      <c r="N1695" t="s">
        <v>37</v>
      </c>
      <c r="O1695" t="s">
        <v>27</v>
      </c>
      <c r="P1695">
        <v>11.172201642749499</v>
      </c>
      <c r="Q1695">
        <v>1.0781511167197</v>
      </c>
      <c r="R1695">
        <v>4.9337517772334598</v>
      </c>
      <c r="S1695">
        <v>0</v>
      </c>
      <c r="T1695">
        <v>43</v>
      </c>
      <c r="U1695">
        <v>382.77524134217401</v>
      </c>
      <c r="V1695">
        <v>2.7839643652561199E-3</v>
      </c>
      <c r="W1695">
        <v>1795454.6101730899</v>
      </c>
      <c r="X1695" t="s">
        <v>28</v>
      </c>
      <c r="Y1695">
        <f>1-278-806-2829</f>
        <v>-3912</v>
      </c>
    </row>
    <row r="1696" spans="1:25" x14ac:dyDescent="0.35">
      <c r="A1696">
        <v>34.968481674925201</v>
      </c>
      <c r="B1696">
        <v>-114.433557370305</v>
      </c>
      <c r="C1696" t="s">
        <v>34</v>
      </c>
      <c r="D1696">
        <v>48.090193132070603</v>
      </c>
      <c r="E1696">
        <v>8</v>
      </c>
      <c r="F1696">
        <v>1401</v>
      </c>
      <c r="G1696">
        <v>4</v>
      </c>
      <c r="H1696">
        <v>2</v>
      </c>
      <c r="I1696">
        <v>1991</v>
      </c>
      <c r="J1696">
        <v>0</v>
      </c>
      <c r="K1696">
        <v>0</v>
      </c>
      <c r="L1696">
        <v>1</v>
      </c>
      <c r="M1696">
        <v>10</v>
      </c>
      <c r="N1696" t="s">
        <v>41</v>
      </c>
      <c r="O1696" t="s">
        <v>27</v>
      </c>
      <c r="P1696">
        <v>5.5147273572416697</v>
      </c>
      <c r="Q1696">
        <v>1.7411080208660299</v>
      </c>
      <c r="R1696">
        <v>7.3297258600947499</v>
      </c>
      <c r="S1696">
        <v>58</v>
      </c>
      <c r="T1696">
        <v>22</v>
      </c>
      <c r="U1696">
        <v>452.26253608262903</v>
      </c>
      <c r="V1696">
        <v>7.1377587437544601E-3</v>
      </c>
      <c r="W1696">
        <v>860332.76591710199</v>
      </c>
      <c r="X1696" t="s">
        <v>38</v>
      </c>
      <c r="Y1696">
        <f>1-369-604-7186</f>
        <v>-8158</v>
      </c>
    </row>
    <row r="1697" spans="1:25" x14ac:dyDescent="0.35">
      <c r="A1697">
        <v>38.747462417666704</v>
      </c>
      <c r="B1697">
        <v>-119.413446221882</v>
      </c>
      <c r="C1697" t="s">
        <v>34</v>
      </c>
      <c r="D1697">
        <v>24.743473309825401</v>
      </c>
      <c r="E1697">
        <v>2</v>
      </c>
      <c r="F1697">
        <v>1608</v>
      </c>
      <c r="G1697">
        <v>4</v>
      </c>
      <c r="H1697">
        <v>3</v>
      </c>
      <c r="I1697">
        <v>1974</v>
      </c>
      <c r="J1697">
        <v>0</v>
      </c>
      <c r="K1697">
        <v>1</v>
      </c>
      <c r="L1697">
        <v>1</v>
      </c>
      <c r="M1697">
        <v>6</v>
      </c>
      <c r="N1697" t="s">
        <v>37</v>
      </c>
      <c r="O1697" t="s">
        <v>32</v>
      </c>
      <c r="P1697">
        <v>12.3096429513574</v>
      </c>
      <c r="Q1697">
        <v>1.7516495017300899</v>
      </c>
      <c r="R1697">
        <v>7.5070690165859704</v>
      </c>
      <c r="S1697">
        <v>135</v>
      </c>
      <c r="T1697">
        <v>59</v>
      </c>
      <c r="U1697">
        <v>584.85503305696102</v>
      </c>
      <c r="V1697">
        <v>3.7313432835820799E-3</v>
      </c>
      <c r="W1697">
        <v>1345029.4420716499</v>
      </c>
      <c r="X1697" t="s">
        <v>42</v>
      </c>
      <c r="Y1697">
        <f>1-504-548-1435</f>
        <v>-2486</v>
      </c>
    </row>
    <row r="1698" spans="1:25" x14ac:dyDescent="0.35">
      <c r="A1698">
        <v>40.107058588987698</v>
      </c>
      <c r="B1698">
        <v>-118.453767905525</v>
      </c>
      <c r="C1698" t="s">
        <v>29</v>
      </c>
      <c r="D1698">
        <v>34.624470122278197</v>
      </c>
      <c r="E1698">
        <v>8</v>
      </c>
      <c r="F1698">
        <v>1589</v>
      </c>
      <c r="G1698">
        <v>4</v>
      </c>
      <c r="H1698">
        <v>2</v>
      </c>
      <c r="I1698">
        <v>1976</v>
      </c>
      <c r="J1698">
        <v>0</v>
      </c>
      <c r="K1698">
        <v>0</v>
      </c>
      <c r="L1698">
        <v>0</v>
      </c>
      <c r="M1698">
        <v>2</v>
      </c>
      <c r="N1698" t="s">
        <v>41</v>
      </c>
      <c r="O1698" t="s">
        <v>27</v>
      </c>
      <c r="P1698">
        <v>12.1618053181442</v>
      </c>
      <c r="Q1698">
        <v>0.66907717295589797</v>
      </c>
      <c r="R1698">
        <v>5.5435531206189701</v>
      </c>
      <c r="S1698">
        <v>46</v>
      </c>
      <c r="T1698">
        <v>57</v>
      </c>
      <c r="U1698">
        <v>598.23503973871004</v>
      </c>
      <c r="V1698">
        <v>1.2586532410320901E-3</v>
      </c>
      <c r="W1698">
        <v>1247124.7607040999</v>
      </c>
      <c r="X1698" t="s">
        <v>44</v>
      </c>
      <c r="Y1698">
        <f>1-727-426-6306</f>
        <v>-7458</v>
      </c>
    </row>
    <row r="1699" spans="1:25" x14ac:dyDescent="0.35">
      <c r="A1699">
        <v>40.259405029158202</v>
      </c>
      <c r="B1699">
        <v>-117.704466679867</v>
      </c>
      <c r="C1699" t="s">
        <v>25</v>
      </c>
      <c r="D1699">
        <v>29.658653368804501</v>
      </c>
      <c r="E1699">
        <v>9</v>
      </c>
      <c r="F1699">
        <v>3403</v>
      </c>
      <c r="G1699">
        <v>2</v>
      </c>
      <c r="H1699">
        <v>3</v>
      </c>
      <c r="I1699">
        <v>2016</v>
      </c>
      <c r="J1699">
        <v>0</v>
      </c>
      <c r="K1699">
        <v>1</v>
      </c>
      <c r="L1699">
        <v>1</v>
      </c>
      <c r="M1699">
        <v>10</v>
      </c>
      <c r="N1699" t="s">
        <v>41</v>
      </c>
      <c r="O1699" t="s">
        <v>32</v>
      </c>
      <c r="P1699">
        <v>11.979472895149099</v>
      </c>
      <c r="Q1699">
        <v>0.74499551602080305</v>
      </c>
      <c r="R1699">
        <v>1.4949254209693601</v>
      </c>
      <c r="S1699">
        <v>13</v>
      </c>
      <c r="T1699">
        <v>51</v>
      </c>
      <c r="U1699">
        <v>259.94994982280502</v>
      </c>
      <c r="V1699">
        <v>2.9385836027034898E-3</v>
      </c>
      <c r="W1699">
        <v>1315786.8943080299</v>
      </c>
      <c r="X1699" t="s">
        <v>42</v>
      </c>
      <c r="Y1699">
        <f>1-721-882-4154</f>
        <v>-5756</v>
      </c>
    </row>
    <row r="1700" spans="1:25" x14ac:dyDescent="0.35">
      <c r="A1700">
        <v>34.667202681042099</v>
      </c>
      <c r="B1700">
        <v>-115.399030286276</v>
      </c>
      <c r="C1700" t="s">
        <v>25</v>
      </c>
      <c r="D1700">
        <v>40.551452027355097</v>
      </c>
      <c r="E1700">
        <v>5</v>
      </c>
      <c r="F1700">
        <v>1868</v>
      </c>
      <c r="G1700">
        <v>1</v>
      </c>
      <c r="H1700">
        <v>1</v>
      </c>
      <c r="I1700">
        <v>1952</v>
      </c>
      <c r="J1700">
        <v>0</v>
      </c>
      <c r="K1700">
        <v>1</v>
      </c>
      <c r="L1700">
        <v>0</v>
      </c>
      <c r="M1700">
        <v>10</v>
      </c>
      <c r="N1700" t="s">
        <v>35</v>
      </c>
      <c r="O1700" t="s">
        <v>32</v>
      </c>
      <c r="P1700">
        <v>13.811459581080699</v>
      </c>
      <c r="Q1700">
        <v>0.85327890563248798</v>
      </c>
      <c r="R1700">
        <v>3.5846005302301398</v>
      </c>
      <c r="S1700">
        <v>184</v>
      </c>
      <c r="T1700">
        <v>70</v>
      </c>
      <c r="U1700">
        <v>584.70363847852002</v>
      </c>
      <c r="V1700">
        <v>5.3533190578158403E-3</v>
      </c>
      <c r="W1700">
        <v>1261810.91858234</v>
      </c>
      <c r="X1700" t="s">
        <v>33</v>
      </c>
      <c r="Y1700">
        <f>1-577-905-3430</f>
        <v>-4911</v>
      </c>
    </row>
    <row r="1701" spans="1:25" x14ac:dyDescent="0.35">
      <c r="A1701">
        <v>37.672481771293299</v>
      </c>
      <c r="B1701">
        <v>-118.927688280455</v>
      </c>
      <c r="C1701" t="s">
        <v>29</v>
      </c>
      <c r="D1701">
        <v>42.173841802064601</v>
      </c>
      <c r="E1701">
        <v>4</v>
      </c>
      <c r="F1701">
        <v>3431</v>
      </c>
      <c r="G1701">
        <v>4</v>
      </c>
      <c r="H1701">
        <v>3</v>
      </c>
      <c r="I1701">
        <v>1985</v>
      </c>
      <c r="J1701">
        <v>1</v>
      </c>
      <c r="K1701">
        <v>1</v>
      </c>
      <c r="L1701">
        <v>0</v>
      </c>
      <c r="M1701">
        <v>4</v>
      </c>
      <c r="N1701" t="s">
        <v>26</v>
      </c>
      <c r="O1701" t="s">
        <v>30</v>
      </c>
      <c r="P1701">
        <v>6.2112418930595403</v>
      </c>
      <c r="Q1701">
        <v>1.1441485308324599</v>
      </c>
      <c r="R1701">
        <v>1.522317124887</v>
      </c>
      <c r="S1701">
        <v>181</v>
      </c>
      <c r="T1701">
        <v>50</v>
      </c>
      <c r="U1701">
        <v>579.50279936468905</v>
      </c>
      <c r="V1701">
        <v>1.16584086272223E-3</v>
      </c>
      <c r="W1701">
        <v>2329914.6185754598</v>
      </c>
      <c r="X1701" t="s">
        <v>39</v>
      </c>
      <c r="Y1701">
        <f>1-602-260-9011</f>
        <v>-9872</v>
      </c>
    </row>
    <row r="1702" spans="1:25" x14ac:dyDescent="0.35">
      <c r="A1702">
        <v>37.3089270793281</v>
      </c>
      <c r="B1702">
        <v>-122.74258466565</v>
      </c>
      <c r="C1702" t="s">
        <v>34</v>
      </c>
      <c r="D1702">
        <v>35.478433862348098</v>
      </c>
      <c r="E1702">
        <v>0</v>
      </c>
      <c r="F1702">
        <v>2048</v>
      </c>
      <c r="G1702">
        <v>5</v>
      </c>
      <c r="H1702">
        <v>3</v>
      </c>
      <c r="I1702">
        <v>2010</v>
      </c>
      <c r="J1702">
        <v>0</v>
      </c>
      <c r="K1702">
        <v>0</v>
      </c>
      <c r="L1702">
        <v>0</v>
      </c>
      <c r="M1702">
        <v>6</v>
      </c>
      <c r="N1702" t="s">
        <v>41</v>
      </c>
      <c r="O1702" t="s">
        <v>27</v>
      </c>
      <c r="P1702">
        <v>11.3785691637342</v>
      </c>
      <c r="Q1702">
        <v>0.73423790607325401</v>
      </c>
      <c r="R1702">
        <v>4.2993379376462197</v>
      </c>
      <c r="S1702">
        <v>20</v>
      </c>
      <c r="T1702">
        <v>23</v>
      </c>
      <c r="U1702">
        <v>311.302530238663</v>
      </c>
      <c r="V1702">
        <v>2.9296875E-3</v>
      </c>
      <c r="W1702">
        <v>999208.007365959</v>
      </c>
      <c r="X1702" t="s">
        <v>31</v>
      </c>
      <c r="Y1702">
        <f>1-594-212-6802</f>
        <v>-7607</v>
      </c>
    </row>
    <row r="1703" spans="1:25" x14ac:dyDescent="0.35">
      <c r="A1703">
        <v>41.092398501734202</v>
      </c>
      <c r="B1703">
        <v>-120.704305052915</v>
      </c>
      <c r="C1703" t="s">
        <v>25</v>
      </c>
      <c r="D1703">
        <v>28.863855639932002</v>
      </c>
      <c r="E1703">
        <v>9</v>
      </c>
      <c r="F1703">
        <v>4290</v>
      </c>
      <c r="G1703">
        <v>2</v>
      </c>
      <c r="H1703">
        <v>3</v>
      </c>
      <c r="I1703">
        <v>1975</v>
      </c>
      <c r="J1703">
        <v>1</v>
      </c>
      <c r="K1703">
        <v>1</v>
      </c>
      <c r="L1703">
        <v>0</v>
      </c>
      <c r="M1703">
        <v>10</v>
      </c>
      <c r="N1703" t="s">
        <v>35</v>
      </c>
      <c r="O1703" t="s">
        <v>30</v>
      </c>
      <c r="P1703">
        <v>14.2302875163428</v>
      </c>
      <c r="Q1703">
        <v>1.0104729013110201</v>
      </c>
      <c r="R1703">
        <v>1.8033080862127699</v>
      </c>
      <c r="S1703">
        <v>172</v>
      </c>
      <c r="T1703">
        <v>68</v>
      </c>
      <c r="U1703">
        <v>932.65579015492801</v>
      </c>
      <c r="V1703">
        <v>2.3310023310023301E-3</v>
      </c>
      <c r="W1703">
        <v>4370529.5987325301</v>
      </c>
      <c r="X1703" t="s">
        <v>40</v>
      </c>
      <c r="Y1703">
        <f>1-951-454-4579</f>
        <v>-5983</v>
      </c>
    </row>
    <row r="1704" spans="1:25" x14ac:dyDescent="0.35">
      <c r="A1704">
        <v>33.987989882135103</v>
      </c>
      <c r="B1704">
        <v>-121.07079610500401</v>
      </c>
      <c r="C1704" t="s">
        <v>25</v>
      </c>
      <c r="D1704">
        <v>13.6207439530125</v>
      </c>
      <c r="E1704">
        <v>5</v>
      </c>
      <c r="F1704">
        <v>3160</v>
      </c>
      <c r="G1704">
        <v>4</v>
      </c>
      <c r="H1704">
        <v>3</v>
      </c>
      <c r="I1704">
        <v>1975</v>
      </c>
      <c r="J1704">
        <v>0</v>
      </c>
      <c r="K1704">
        <v>0</v>
      </c>
      <c r="L1704">
        <v>1</v>
      </c>
      <c r="M1704">
        <v>7</v>
      </c>
      <c r="N1704" t="s">
        <v>35</v>
      </c>
      <c r="O1704" t="s">
        <v>30</v>
      </c>
      <c r="P1704">
        <v>10.000617919939501</v>
      </c>
      <c r="Q1704">
        <v>1.3366210203518101</v>
      </c>
      <c r="R1704">
        <v>1.2089668071621</v>
      </c>
      <c r="S1704">
        <v>143</v>
      </c>
      <c r="T1704">
        <v>29</v>
      </c>
      <c r="U1704">
        <v>885.96262812977795</v>
      </c>
      <c r="V1704">
        <v>2.2151898734177199E-3</v>
      </c>
      <c r="W1704">
        <v>3064729.54541909</v>
      </c>
      <c r="X1704" t="s">
        <v>42</v>
      </c>
      <c r="Y1704">
        <f>1-462-785-4742</f>
        <v>-5988</v>
      </c>
    </row>
    <row r="1705" spans="1:25" x14ac:dyDescent="0.35">
      <c r="A1705">
        <v>38.188991969939003</v>
      </c>
      <c r="B1705">
        <v>-114.366537322623</v>
      </c>
      <c r="C1705" t="s">
        <v>25</v>
      </c>
      <c r="D1705">
        <v>1.2843010472952501</v>
      </c>
      <c r="E1705">
        <v>8</v>
      </c>
      <c r="F1705">
        <v>3304</v>
      </c>
      <c r="G1705">
        <v>3</v>
      </c>
      <c r="H1705">
        <v>3</v>
      </c>
      <c r="I1705">
        <v>2003</v>
      </c>
      <c r="J1705">
        <v>0</v>
      </c>
      <c r="K1705">
        <v>0</v>
      </c>
      <c r="L1705">
        <v>1</v>
      </c>
      <c r="M1705">
        <v>6</v>
      </c>
      <c r="N1705" t="s">
        <v>41</v>
      </c>
      <c r="O1705" t="s">
        <v>27</v>
      </c>
      <c r="P1705">
        <v>12.476696548919</v>
      </c>
      <c r="Q1705">
        <v>2.253317059509</v>
      </c>
      <c r="R1705">
        <v>4.1576722526081697</v>
      </c>
      <c r="S1705">
        <v>8</v>
      </c>
      <c r="T1705">
        <v>26</v>
      </c>
      <c r="U1705">
        <v>517.84885563745297</v>
      </c>
      <c r="V1705">
        <v>1.8159806295399499E-3</v>
      </c>
      <c r="W1705">
        <v>2056763.2858303101</v>
      </c>
      <c r="X1705" t="s">
        <v>38</v>
      </c>
      <c r="Y1705">
        <f>1-910-308-4390</f>
        <v>-5607</v>
      </c>
    </row>
    <row r="1706" spans="1:25" x14ac:dyDescent="0.35">
      <c r="A1706">
        <v>37.234741990618403</v>
      </c>
      <c r="B1706">
        <v>-121.289047902492</v>
      </c>
      <c r="C1706" t="s">
        <v>25</v>
      </c>
      <c r="D1706">
        <v>36.103900271638899</v>
      </c>
      <c r="E1706">
        <v>5</v>
      </c>
      <c r="F1706">
        <v>3897</v>
      </c>
      <c r="G1706">
        <v>3</v>
      </c>
      <c r="H1706">
        <v>2</v>
      </c>
      <c r="I1706">
        <v>1957</v>
      </c>
      <c r="J1706">
        <v>1</v>
      </c>
      <c r="K1706">
        <v>1</v>
      </c>
      <c r="L1706">
        <v>0</v>
      </c>
      <c r="M1706">
        <v>3</v>
      </c>
      <c r="N1706" t="s">
        <v>41</v>
      </c>
      <c r="O1706" t="s">
        <v>30</v>
      </c>
      <c r="P1706">
        <v>11.184356435997399</v>
      </c>
      <c r="Q1706">
        <v>0.55238927659923798</v>
      </c>
      <c r="R1706">
        <v>4.3896473646944703</v>
      </c>
      <c r="S1706">
        <v>12</v>
      </c>
      <c r="T1706">
        <v>61</v>
      </c>
      <c r="U1706">
        <v>324.41640352609301</v>
      </c>
      <c r="V1706">
        <v>7.6982294072363297E-4</v>
      </c>
      <c r="W1706">
        <v>1580218.7191295</v>
      </c>
      <c r="X1706" t="s">
        <v>33</v>
      </c>
      <c r="Y1706">
        <f>1-781-481-8397</f>
        <v>-9658</v>
      </c>
    </row>
    <row r="1707" spans="1:25" x14ac:dyDescent="0.35">
      <c r="A1707">
        <v>36.376591738084898</v>
      </c>
      <c r="B1707">
        <v>-116.489500602804</v>
      </c>
      <c r="C1707" t="s">
        <v>34</v>
      </c>
      <c r="D1707">
        <v>2.1125657288253099</v>
      </c>
      <c r="E1707">
        <v>2</v>
      </c>
      <c r="F1707">
        <v>1602</v>
      </c>
      <c r="G1707">
        <v>2</v>
      </c>
      <c r="H1707">
        <v>3</v>
      </c>
      <c r="I1707">
        <v>1990</v>
      </c>
      <c r="J1707">
        <v>0</v>
      </c>
      <c r="K1707">
        <v>1</v>
      </c>
      <c r="L1707">
        <v>0</v>
      </c>
      <c r="M1707">
        <v>4</v>
      </c>
      <c r="N1707" t="s">
        <v>41</v>
      </c>
      <c r="O1707" t="s">
        <v>30</v>
      </c>
      <c r="P1707">
        <v>8.6202773817872291</v>
      </c>
      <c r="Q1707">
        <v>1.9879755102530301</v>
      </c>
      <c r="R1707">
        <v>7.7553371096978099</v>
      </c>
      <c r="S1707">
        <v>135</v>
      </c>
      <c r="T1707">
        <v>66</v>
      </c>
      <c r="U1707">
        <v>229.28737459432801</v>
      </c>
      <c r="V1707">
        <v>2.49687890137328E-3</v>
      </c>
      <c r="W1707">
        <v>706793.91196847497</v>
      </c>
      <c r="X1707" t="s">
        <v>44</v>
      </c>
      <c r="Y1707">
        <f>1-490-686-5755</f>
        <v>-6930</v>
      </c>
    </row>
    <row r="1708" spans="1:25" x14ac:dyDescent="0.35">
      <c r="A1708">
        <v>37.381964012117798</v>
      </c>
      <c r="B1708">
        <v>-122.455692026901</v>
      </c>
      <c r="C1708" t="s">
        <v>34</v>
      </c>
      <c r="D1708">
        <v>29.320958575761999</v>
      </c>
      <c r="E1708">
        <v>5</v>
      </c>
      <c r="F1708">
        <v>751</v>
      </c>
      <c r="G1708">
        <v>5</v>
      </c>
      <c r="H1708">
        <v>1</v>
      </c>
      <c r="I1708">
        <v>1976</v>
      </c>
      <c r="J1708">
        <v>1</v>
      </c>
      <c r="K1708">
        <v>0</v>
      </c>
      <c r="L1708">
        <v>1</v>
      </c>
      <c r="M1708">
        <v>10</v>
      </c>
      <c r="N1708" t="s">
        <v>35</v>
      </c>
      <c r="O1708" t="s">
        <v>30</v>
      </c>
      <c r="P1708">
        <v>12.555093339241299</v>
      </c>
      <c r="Q1708">
        <v>1.1877369964509601</v>
      </c>
      <c r="R1708">
        <v>2.46795315194252</v>
      </c>
      <c r="S1708">
        <v>152</v>
      </c>
      <c r="T1708">
        <v>32</v>
      </c>
      <c r="U1708">
        <v>507.34811026443998</v>
      </c>
      <c r="V1708">
        <v>1.3315579227696399E-2</v>
      </c>
      <c r="W1708">
        <v>691150.33365733805</v>
      </c>
      <c r="X1708" t="s">
        <v>42</v>
      </c>
      <c r="Y1708">
        <f>1-277-947-9271</f>
        <v>-10494</v>
      </c>
    </row>
    <row r="1709" spans="1:25" x14ac:dyDescent="0.35">
      <c r="A1709">
        <v>33.921302325280799</v>
      </c>
      <c r="B1709">
        <v>-115.536194316104</v>
      </c>
      <c r="C1709" t="s">
        <v>29</v>
      </c>
      <c r="D1709">
        <v>42.920470717619999</v>
      </c>
      <c r="E1709">
        <v>7</v>
      </c>
      <c r="F1709">
        <v>2274</v>
      </c>
      <c r="G1709">
        <v>1</v>
      </c>
      <c r="H1709">
        <v>3</v>
      </c>
      <c r="I1709">
        <v>2020</v>
      </c>
      <c r="J1709">
        <v>1</v>
      </c>
      <c r="K1709">
        <v>1</v>
      </c>
      <c r="L1709">
        <v>1</v>
      </c>
      <c r="M1709">
        <v>2</v>
      </c>
      <c r="N1709" t="s">
        <v>41</v>
      </c>
      <c r="O1709" t="s">
        <v>32</v>
      </c>
      <c r="P1709">
        <v>3.4169405054386499</v>
      </c>
      <c r="Q1709">
        <v>0.74332552431437005</v>
      </c>
      <c r="R1709">
        <v>7.7831125682223901</v>
      </c>
      <c r="S1709">
        <v>107</v>
      </c>
      <c r="T1709">
        <v>58</v>
      </c>
      <c r="U1709">
        <v>741.01741901575099</v>
      </c>
      <c r="V1709">
        <v>8.7950747581354402E-4</v>
      </c>
      <c r="W1709">
        <v>2002673.00733208</v>
      </c>
      <c r="X1709" t="s">
        <v>44</v>
      </c>
      <c r="Y1709">
        <f>1-571-363-2218</f>
        <v>-3151</v>
      </c>
    </row>
    <row r="1710" spans="1:25" x14ac:dyDescent="0.35">
      <c r="A1710">
        <v>37.524564764661903</v>
      </c>
      <c r="B1710">
        <v>-115.301802446275</v>
      </c>
      <c r="C1710" t="s">
        <v>25</v>
      </c>
      <c r="D1710">
        <v>24.863342976776</v>
      </c>
      <c r="E1710">
        <v>0</v>
      </c>
      <c r="F1710">
        <v>3342</v>
      </c>
      <c r="G1710">
        <v>4</v>
      </c>
      <c r="H1710">
        <v>1</v>
      </c>
      <c r="I1710">
        <v>1968</v>
      </c>
      <c r="J1710">
        <v>0</v>
      </c>
      <c r="K1710">
        <v>1</v>
      </c>
      <c r="L1710">
        <v>1</v>
      </c>
      <c r="M1710">
        <v>6</v>
      </c>
      <c r="N1710" t="s">
        <v>26</v>
      </c>
      <c r="O1710" t="s">
        <v>32</v>
      </c>
      <c r="P1710">
        <v>4.3261609911688197</v>
      </c>
      <c r="Q1710">
        <v>1.2498228619045599</v>
      </c>
      <c r="R1710">
        <v>9.6378072258416001</v>
      </c>
      <c r="S1710">
        <v>7</v>
      </c>
      <c r="T1710">
        <v>43</v>
      </c>
      <c r="U1710">
        <v>633.86143191167298</v>
      </c>
      <c r="V1710">
        <v>1.79533213644524E-3</v>
      </c>
      <c r="W1710">
        <v>2340773.40202486</v>
      </c>
      <c r="X1710" t="s">
        <v>36</v>
      </c>
      <c r="Y1710">
        <f>1-325-211-6260</f>
        <v>-6795</v>
      </c>
    </row>
    <row r="1711" spans="1:25" x14ac:dyDescent="0.35">
      <c r="A1711">
        <v>35.716028383512999</v>
      </c>
      <c r="B1711">
        <v>-122.776365244212</v>
      </c>
      <c r="C1711" t="s">
        <v>25</v>
      </c>
      <c r="D1711">
        <v>11.202408055007201</v>
      </c>
      <c r="E1711">
        <v>4</v>
      </c>
      <c r="F1711">
        <v>2326</v>
      </c>
      <c r="G1711">
        <v>3</v>
      </c>
      <c r="H1711">
        <v>3</v>
      </c>
      <c r="I1711">
        <v>1991</v>
      </c>
      <c r="J1711">
        <v>0</v>
      </c>
      <c r="K1711">
        <v>0</v>
      </c>
      <c r="L1711">
        <v>1</v>
      </c>
      <c r="M1711">
        <v>8</v>
      </c>
      <c r="N1711" t="s">
        <v>26</v>
      </c>
      <c r="O1711" t="s">
        <v>32</v>
      </c>
      <c r="P1711">
        <v>2.0995890294231701</v>
      </c>
      <c r="Q1711">
        <v>1.5254949417594399</v>
      </c>
      <c r="R1711">
        <v>8.6484154060754701</v>
      </c>
      <c r="S1711">
        <v>89</v>
      </c>
      <c r="T1711">
        <v>41</v>
      </c>
      <c r="U1711">
        <v>688.10300792806504</v>
      </c>
      <c r="V1711">
        <v>3.4393809114359399E-3</v>
      </c>
      <c r="W1711">
        <v>1844407.23568501</v>
      </c>
      <c r="X1711" t="s">
        <v>38</v>
      </c>
      <c r="Y1711">
        <f>1-580-765-1093</f>
        <v>-2437</v>
      </c>
    </row>
    <row r="1712" spans="1:25" x14ac:dyDescent="0.35">
      <c r="A1712">
        <v>38.949394704654999</v>
      </c>
      <c r="B1712">
        <v>-116.70964920445699</v>
      </c>
      <c r="C1712" t="s">
        <v>29</v>
      </c>
      <c r="D1712">
        <v>46.610641141838002</v>
      </c>
      <c r="E1712">
        <v>0</v>
      </c>
      <c r="F1712">
        <v>3333</v>
      </c>
      <c r="G1712">
        <v>3</v>
      </c>
      <c r="H1712">
        <v>3</v>
      </c>
      <c r="I1712">
        <v>1977</v>
      </c>
      <c r="J1712">
        <v>0</v>
      </c>
      <c r="K1712">
        <v>1</v>
      </c>
      <c r="L1712">
        <v>1</v>
      </c>
      <c r="M1712">
        <v>4</v>
      </c>
      <c r="N1712" t="s">
        <v>41</v>
      </c>
      <c r="O1712" t="s">
        <v>30</v>
      </c>
      <c r="P1712">
        <v>13.9772900610983</v>
      </c>
      <c r="Q1712">
        <v>0.94454370604639704</v>
      </c>
      <c r="R1712">
        <v>5.2951429676717501</v>
      </c>
      <c r="S1712">
        <v>63</v>
      </c>
      <c r="T1712">
        <v>77</v>
      </c>
      <c r="U1712">
        <v>556.37093478537497</v>
      </c>
      <c r="V1712">
        <v>1.2001200120012E-3</v>
      </c>
      <c r="W1712">
        <v>2215612.9886481501</v>
      </c>
      <c r="X1712" t="s">
        <v>36</v>
      </c>
      <c r="Y1712">
        <f>1-972-816-9286</f>
        <v>-11073</v>
      </c>
    </row>
    <row r="1713" spans="1:25" x14ac:dyDescent="0.35">
      <c r="A1713">
        <v>34.119900343838403</v>
      </c>
      <c r="B1713">
        <v>-119.249989520567</v>
      </c>
      <c r="C1713" t="s">
        <v>34</v>
      </c>
      <c r="D1713">
        <v>27.5450356171899</v>
      </c>
      <c r="E1713">
        <v>4</v>
      </c>
      <c r="F1713">
        <v>2993</v>
      </c>
      <c r="G1713">
        <v>5</v>
      </c>
      <c r="H1713">
        <v>1</v>
      </c>
      <c r="I1713">
        <v>1989</v>
      </c>
      <c r="J1713">
        <v>0</v>
      </c>
      <c r="K1713">
        <v>1</v>
      </c>
      <c r="L1713">
        <v>1</v>
      </c>
      <c r="M1713">
        <v>11</v>
      </c>
      <c r="N1713" t="s">
        <v>41</v>
      </c>
      <c r="O1713" t="s">
        <v>30</v>
      </c>
      <c r="P1713">
        <v>9.1665560224746798</v>
      </c>
      <c r="Q1713">
        <v>0.962721356097618</v>
      </c>
      <c r="R1713">
        <v>3.7306720371266202</v>
      </c>
      <c r="S1713">
        <v>44</v>
      </c>
      <c r="T1713">
        <v>21</v>
      </c>
      <c r="U1713">
        <v>895.73318397588002</v>
      </c>
      <c r="V1713">
        <v>3.67524223187437E-3</v>
      </c>
      <c r="W1713">
        <v>3124311.52098832</v>
      </c>
      <c r="X1713" t="s">
        <v>31</v>
      </c>
      <c r="Y1713">
        <f>1-467-512-6260</f>
        <v>-7238</v>
      </c>
    </row>
    <row r="1714" spans="1:25" x14ac:dyDescent="0.35">
      <c r="A1714">
        <v>32.502471985695699</v>
      </c>
      <c r="B1714">
        <v>-123.544732586278</v>
      </c>
      <c r="C1714" t="s">
        <v>29</v>
      </c>
      <c r="D1714">
        <v>42.227552674363203</v>
      </c>
      <c r="E1714">
        <v>8</v>
      </c>
      <c r="F1714">
        <v>2224</v>
      </c>
      <c r="G1714">
        <v>3</v>
      </c>
      <c r="H1714">
        <v>3</v>
      </c>
      <c r="I1714">
        <v>2007</v>
      </c>
      <c r="J1714">
        <v>0</v>
      </c>
      <c r="K1714">
        <v>0</v>
      </c>
      <c r="L1714">
        <v>1</v>
      </c>
      <c r="M1714">
        <v>8</v>
      </c>
      <c r="N1714" t="s">
        <v>41</v>
      </c>
      <c r="O1714" t="s">
        <v>27</v>
      </c>
      <c r="P1714">
        <v>11.6558082376726</v>
      </c>
      <c r="Q1714">
        <v>1.8633212443413101</v>
      </c>
      <c r="R1714">
        <v>4.6618539963102901</v>
      </c>
      <c r="S1714">
        <v>68</v>
      </c>
      <c r="T1714">
        <v>38</v>
      </c>
      <c r="U1714">
        <v>805.80137390411096</v>
      </c>
      <c r="V1714">
        <v>3.5971223021582701E-3</v>
      </c>
      <c r="W1714">
        <v>2027065.17293903</v>
      </c>
      <c r="X1714" t="s">
        <v>43</v>
      </c>
      <c r="Y1714">
        <f>1-756-148-6533</f>
        <v>-7436</v>
      </c>
    </row>
    <row r="1715" spans="1:25" x14ac:dyDescent="0.35">
      <c r="A1715">
        <v>34.875880628570201</v>
      </c>
      <c r="B1715">
        <v>-120.897478610183</v>
      </c>
      <c r="C1715" t="s">
        <v>34</v>
      </c>
      <c r="D1715">
        <v>37.702198358890897</v>
      </c>
      <c r="E1715">
        <v>7</v>
      </c>
      <c r="F1715">
        <v>2676</v>
      </c>
      <c r="G1715">
        <v>4</v>
      </c>
      <c r="H1715">
        <v>2</v>
      </c>
      <c r="I1715">
        <v>1992</v>
      </c>
      <c r="J1715">
        <v>1</v>
      </c>
      <c r="K1715">
        <v>0</v>
      </c>
      <c r="L1715">
        <v>1</v>
      </c>
      <c r="M1715">
        <v>7</v>
      </c>
      <c r="N1715" t="s">
        <v>35</v>
      </c>
      <c r="O1715" t="s">
        <v>32</v>
      </c>
      <c r="P1715">
        <v>4.0113223399956999</v>
      </c>
      <c r="Q1715">
        <v>0.51398408924917105</v>
      </c>
      <c r="R1715">
        <v>5.1295152578633498</v>
      </c>
      <c r="S1715">
        <v>117</v>
      </c>
      <c r="T1715">
        <v>48</v>
      </c>
      <c r="U1715">
        <v>883.21044757750894</v>
      </c>
      <c r="V1715">
        <v>2.61584454409566E-3</v>
      </c>
      <c r="W1715">
        <v>2635403.7261040802</v>
      </c>
      <c r="X1715" t="s">
        <v>39</v>
      </c>
      <c r="Y1715">
        <f>1-566-667-5385</f>
        <v>-6617</v>
      </c>
    </row>
    <row r="1716" spans="1:25" x14ac:dyDescent="0.35">
      <c r="A1716">
        <v>35.153208407605902</v>
      </c>
      <c r="B1716">
        <v>-117.469634880562</v>
      </c>
      <c r="C1716" t="s">
        <v>25</v>
      </c>
      <c r="D1716">
        <v>12.733703203491499</v>
      </c>
      <c r="E1716">
        <v>4</v>
      </c>
      <c r="F1716">
        <v>1334</v>
      </c>
      <c r="G1716">
        <v>1</v>
      </c>
      <c r="H1716">
        <v>3</v>
      </c>
      <c r="I1716">
        <v>2005</v>
      </c>
      <c r="J1716">
        <v>0</v>
      </c>
      <c r="K1716">
        <v>1</v>
      </c>
      <c r="L1716">
        <v>0</v>
      </c>
      <c r="M1716">
        <v>14</v>
      </c>
      <c r="N1716" t="s">
        <v>37</v>
      </c>
      <c r="O1716" t="s">
        <v>30</v>
      </c>
      <c r="P1716">
        <v>12.3538058612159</v>
      </c>
      <c r="Q1716">
        <v>1.88877205528417</v>
      </c>
      <c r="R1716">
        <v>1.9496846850423</v>
      </c>
      <c r="S1716">
        <v>121</v>
      </c>
      <c r="T1716">
        <v>72</v>
      </c>
      <c r="U1716">
        <v>258.13319387236203</v>
      </c>
      <c r="V1716">
        <v>1.0494752623688101E-2</v>
      </c>
      <c r="W1716">
        <v>739630.27730077005</v>
      </c>
      <c r="X1716" t="s">
        <v>44</v>
      </c>
      <c r="Y1716">
        <f>1-954-505-4436</f>
        <v>-5894</v>
      </c>
    </row>
    <row r="1717" spans="1:25" x14ac:dyDescent="0.35">
      <c r="A1717">
        <v>34.018652946531702</v>
      </c>
      <c r="B1717">
        <v>-121.747545168033</v>
      </c>
      <c r="C1717" t="s">
        <v>34</v>
      </c>
      <c r="D1717">
        <v>17.279292074529302</v>
      </c>
      <c r="E1717">
        <v>9</v>
      </c>
      <c r="F1717">
        <v>4174</v>
      </c>
      <c r="G1717">
        <v>5</v>
      </c>
      <c r="H1717">
        <v>1</v>
      </c>
      <c r="I1717">
        <v>1952</v>
      </c>
      <c r="J1717">
        <v>0</v>
      </c>
      <c r="K1717">
        <v>1</v>
      </c>
      <c r="L1717">
        <v>1</v>
      </c>
      <c r="M1717">
        <v>2</v>
      </c>
      <c r="N1717" t="s">
        <v>41</v>
      </c>
      <c r="O1717" t="s">
        <v>27</v>
      </c>
      <c r="P1717">
        <v>8.9304604297363994</v>
      </c>
      <c r="Q1717">
        <v>1.8112584398527301</v>
      </c>
      <c r="R1717">
        <v>7.05453598946995</v>
      </c>
      <c r="S1717">
        <v>71</v>
      </c>
      <c r="T1717">
        <v>52</v>
      </c>
      <c r="U1717">
        <v>363.44628307757802</v>
      </c>
      <c r="V1717">
        <v>4.79156684235745E-4</v>
      </c>
      <c r="W1717">
        <v>1872112.49148268</v>
      </c>
      <c r="X1717" t="s">
        <v>42</v>
      </c>
      <c r="Y1717">
        <f>1-386-275-8003</f>
        <v>-8663</v>
      </c>
    </row>
    <row r="1718" spans="1:25" x14ac:dyDescent="0.35">
      <c r="A1718">
        <v>37.703342468636002</v>
      </c>
      <c r="B1718">
        <v>-119.45293312386499</v>
      </c>
      <c r="C1718" t="s">
        <v>29</v>
      </c>
      <c r="D1718">
        <v>32.593943028323601</v>
      </c>
      <c r="E1718">
        <v>0</v>
      </c>
      <c r="F1718">
        <v>4966</v>
      </c>
      <c r="G1718">
        <v>4</v>
      </c>
      <c r="H1718">
        <v>3</v>
      </c>
      <c r="I1718">
        <v>2001</v>
      </c>
      <c r="J1718">
        <v>1</v>
      </c>
      <c r="K1718">
        <v>1</v>
      </c>
      <c r="L1718">
        <v>0</v>
      </c>
      <c r="M1718">
        <v>10</v>
      </c>
      <c r="N1718" t="s">
        <v>26</v>
      </c>
      <c r="O1718" t="s">
        <v>30</v>
      </c>
      <c r="P1718">
        <v>7.93736523623146</v>
      </c>
      <c r="Q1718">
        <v>0.56036574493546498</v>
      </c>
      <c r="R1718">
        <v>0.80315794170268395</v>
      </c>
      <c r="S1718">
        <v>124</v>
      </c>
      <c r="T1718">
        <v>77</v>
      </c>
      <c r="U1718">
        <v>252.125128519074</v>
      </c>
      <c r="V1718">
        <v>2.0136931131695501E-3</v>
      </c>
      <c r="W1718">
        <v>1707307.83752214</v>
      </c>
      <c r="X1718" t="s">
        <v>31</v>
      </c>
      <c r="Y1718">
        <f>1-686-341-2655</f>
        <v>-3681</v>
      </c>
    </row>
    <row r="1719" spans="1:25" x14ac:dyDescent="0.35">
      <c r="A1719">
        <v>35.095531356188403</v>
      </c>
      <c r="B1719">
        <v>-124.22122354957099</v>
      </c>
      <c r="C1719" t="s">
        <v>29</v>
      </c>
      <c r="D1719">
        <v>19.518601550485801</v>
      </c>
      <c r="E1719">
        <v>7</v>
      </c>
      <c r="F1719">
        <v>984</v>
      </c>
      <c r="G1719">
        <v>2</v>
      </c>
      <c r="H1719">
        <v>1</v>
      </c>
      <c r="I1719">
        <v>1976</v>
      </c>
      <c r="J1719">
        <v>0</v>
      </c>
      <c r="K1719">
        <v>1</v>
      </c>
      <c r="L1719">
        <v>1</v>
      </c>
      <c r="M1719">
        <v>4</v>
      </c>
      <c r="N1719" t="s">
        <v>35</v>
      </c>
      <c r="O1719" t="s">
        <v>27</v>
      </c>
      <c r="P1719">
        <v>4.0642593894496999</v>
      </c>
      <c r="Q1719">
        <v>1.5218176611651999</v>
      </c>
      <c r="R1719">
        <v>4.8710424720943601</v>
      </c>
      <c r="S1719">
        <v>127</v>
      </c>
      <c r="T1719">
        <v>57</v>
      </c>
      <c r="U1719">
        <v>835.25605309047899</v>
      </c>
      <c r="V1719">
        <v>4.0650406504065002E-3</v>
      </c>
      <c r="W1719">
        <v>1039138.63324266</v>
      </c>
      <c r="X1719" t="s">
        <v>31</v>
      </c>
      <c r="Y1719">
        <f>1-947-270-4550</f>
        <v>-5766</v>
      </c>
    </row>
    <row r="1720" spans="1:25" x14ac:dyDescent="0.35">
      <c r="A1720">
        <v>38.860879778374802</v>
      </c>
      <c r="B1720">
        <v>-123.47876004829099</v>
      </c>
      <c r="C1720" t="s">
        <v>25</v>
      </c>
      <c r="D1720">
        <v>47.5389646297943</v>
      </c>
      <c r="E1720">
        <v>0</v>
      </c>
      <c r="F1720">
        <v>3652</v>
      </c>
      <c r="G1720">
        <v>4</v>
      </c>
      <c r="H1720">
        <v>3</v>
      </c>
      <c r="I1720">
        <v>1951</v>
      </c>
      <c r="J1720">
        <v>1</v>
      </c>
      <c r="K1720">
        <v>1</v>
      </c>
      <c r="L1720">
        <v>1</v>
      </c>
      <c r="M1720">
        <v>13</v>
      </c>
      <c r="N1720" t="s">
        <v>26</v>
      </c>
      <c r="O1720" t="s">
        <v>27</v>
      </c>
      <c r="P1720">
        <v>3.6364195943247402</v>
      </c>
      <c r="Q1720">
        <v>1.8172380471583101</v>
      </c>
      <c r="R1720">
        <v>8.3569322052741999</v>
      </c>
      <c r="S1720">
        <v>142</v>
      </c>
      <c r="T1720">
        <v>67</v>
      </c>
      <c r="U1720">
        <v>425.51552524876399</v>
      </c>
      <c r="V1720">
        <v>3.55969331872946E-3</v>
      </c>
      <c r="W1720">
        <v>1851562.19736266</v>
      </c>
      <c r="X1720" t="s">
        <v>31</v>
      </c>
      <c r="Y1720">
        <f>1-909-764-4029</f>
        <v>-5701</v>
      </c>
    </row>
    <row r="1721" spans="1:25" x14ac:dyDescent="0.35">
      <c r="A1721">
        <v>40.265964859731099</v>
      </c>
      <c r="B1721">
        <v>-123.728141765366</v>
      </c>
      <c r="C1721" t="s">
        <v>29</v>
      </c>
      <c r="D1721">
        <v>47.300756422823603</v>
      </c>
      <c r="E1721">
        <v>6</v>
      </c>
      <c r="F1721">
        <v>4701</v>
      </c>
      <c r="G1721">
        <v>4</v>
      </c>
      <c r="H1721">
        <v>1</v>
      </c>
      <c r="I1721">
        <v>1985</v>
      </c>
      <c r="J1721">
        <v>1</v>
      </c>
      <c r="K1721">
        <v>1</v>
      </c>
      <c r="L1721">
        <v>1</v>
      </c>
      <c r="M1721">
        <v>13</v>
      </c>
      <c r="N1721" t="s">
        <v>37</v>
      </c>
      <c r="O1721" t="s">
        <v>30</v>
      </c>
      <c r="P1721">
        <v>3.5191277266659902</v>
      </c>
      <c r="Q1721">
        <v>1.4994953510292801</v>
      </c>
      <c r="R1721">
        <v>2.16202246282863</v>
      </c>
      <c r="S1721">
        <v>125</v>
      </c>
      <c r="T1721">
        <v>77</v>
      </c>
      <c r="U1721">
        <v>567.38812117248199</v>
      </c>
      <c r="V1721">
        <v>2.7653690704105499E-3</v>
      </c>
      <c r="W1721">
        <v>3100697.0059876498</v>
      </c>
      <c r="X1721" t="s">
        <v>43</v>
      </c>
      <c r="Y1721">
        <f>1-452-812-7667</f>
        <v>-8930</v>
      </c>
    </row>
    <row r="1722" spans="1:25" x14ac:dyDescent="0.35">
      <c r="A1722">
        <v>38.083093500076103</v>
      </c>
      <c r="B1722">
        <v>-116.04603234062699</v>
      </c>
      <c r="C1722" t="s">
        <v>34</v>
      </c>
      <c r="D1722">
        <v>7.8862344903975998</v>
      </c>
      <c r="E1722">
        <v>1</v>
      </c>
      <c r="F1722">
        <v>4187</v>
      </c>
      <c r="G1722">
        <v>2</v>
      </c>
      <c r="H1722">
        <v>3</v>
      </c>
      <c r="I1722">
        <v>1969</v>
      </c>
      <c r="J1722">
        <v>1</v>
      </c>
      <c r="K1722">
        <v>1</v>
      </c>
      <c r="L1722">
        <v>1</v>
      </c>
      <c r="M1722">
        <v>6</v>
      </c>
      <c r="N1722" t="s">
        <v>41</v>
      </c>
      <c r="O1722" t="s">
        <v>32</v>
      </c>
      <c r="P1722">
        <v>11.516523325686499</v>
      </c>
      <c r="Q1722">
        <v>2.1050567590625402</v>
      </c>
      <c r="R1722">
        <v>0.17454968206239099</v>
      </c>
      <c r="S1722">
        <v>85</v>
      </c>
      <c r="T1722">
        <v>58</v>
      </c>
      <c r="U1722">
        <v>315.25293272970998</v>
      </c>
      <c r="V1722">
        <v>1.4330069262001399E-3</v>
      </c>
      <c r="W1722">
        <v>1639710.23005048</v>
      </c>
      <c r="X1722" t="s">
        <v>39</v>
      </c>
      <c r="Y1722">
        <f>1-311-805-8875</f>
        <v>-9990</v>
      </c>
    </row>
    <row r="1723" spans="1:25" x14ac:dyDescent="0.35">
      <c r="A1723">
        <v>34.586464161278101</v>
      </c>
      <c r="B1723">
        <v>-122.50007565519699</v>
      </c>
      <c r="C1723" t="s">
        <v>29</v>
      </c>
      <c r="D1723">
        <v>19.416127787743999</v>
      </c>
      <c r="E1723">
        <v>5</v>
      </c>
      <c r="F1723">
        <v>4777</v>
      </c>
      <c r="G1723">
        <v>1</v>
      </c>
      <c r="H1723">
        <v>2</v>
      </c>
      <c r="I1723">
        <v>1953</v>
      </c>
      <c r="J1723">
        <v>1</v>
      </c>
      <c r="K1723">
        <v>1</v>
      </c>
      <c r="L1723">
        <v>0</v>
      </c>
      <c r="M1723">
        <v>12</v>
      </c>
      <c r="N1723" t="s">
        <v>35</v>
      </c>
      <c r="O1723" t="s">
        <v>32</v>
      </c>
      <c r="P1723">
        <v>5.2794834933497103</v>
      </c>
      <c r="Q1723">
        <v>2.2245108639554698</v>
      </c>
      <c r="R1723">
        <v>0.538092031289649</v>
      </c>
      <c r="S1723">
        <v>87</v>
      </c>
      <c r="T1723">
        <v>26</v>
      </c>
      <c r="U1723">
        <v>225.447345829581</v>
      </c>
      <c r="V1723">
        <v>2.5120368432070299E-3</v>
      </c>
      <c r="W1723">
        <v>1211654.2043137799</v>
      </c>
      <c r="X1723" t="s">
        <v>42</v>
      </c>
      <c r="Y1723">
        <f>1-918-511-9996</f>
        <v>-11424</v>
      </c>
    </row>
    <row r="1724" spans="1:25" x14ac:dyDescent="0.35">
      <c r="A1724">
        <v>39.129493656155901</v>
      </c>
      <c r="B1724">
        <v>-115.24968804984999</v>
      </c>
      <c r="C1724" t="s">
        <v>25</v>
      </c>
      <c r="D1724">
        <v>14.048585181940499</v>
      </c>
      <c r="E1724">
        <v>9</v>
      </c>
      <c r="F1724">
        <v>4598</v>
      </c>
      <c r="G1724">
        <v>1</v>
      </c>
      <c r="H1724">
        <v>3</v>
      </c>
      <c r="I1724">
        <v>1953</v>
      </c>
      <c r="J1724">
        <v>0</v>
      </c>
      <c r="K1724">
        <v>1</v>
      </c>
      <c r="L1724">
        <v>0</v>
      </c>
      <c r="M1724">
        <v>7</v>
      </c>
      <c r="N1724" t="s">
        <v>35</v>
      </c>
      <c r="O1724" t="s">
        <v>30</v>
      </c>
      <c r="P1724">
        <v>6.94294021164509</v>
      </c>
      <c r="Q1724">
        <v>1.4604708050364801</v>
      </c>
      <c r="R1724">
        <v>8.7220560581919599</v>
      </c>
      <c r="S1724">
        <v>14</v>
      </c>
      <c r="T1724">
        <v>42</v>
      </c>
      <c r="U1724">
        <v>379.57277114968798</v>
      </c>
      <c r="V1724">
        <v>1.5224010439321401E-3</v>
      </c>
      <c r="W1724">
        <v>1925217.10098047</v>
      </c>
      <c r="X1724" t="s">
        <v>40</v>
      </c>
      <c r="Y1724">
        <f>1-574-961-2716</f>
        <v>-4250</v>
      </c>
    </row>
    <row r="1725" spans="1:25" x14ac:dyDescent="0.35">
      <c r="A1725">
        <v>38.240517123573397</v>
      </c>
      <c r="B1725">
        <v>-121.40469870111301</v>
      </c>
      <c r="C1725" t="s">
        <v>29</v>
      </c>
      <c r="D1725">
        <v>10.7290242395019</v>
      </c>
      <c r="E1725">
        <v>3</v>
      </c>
      <c r="F1725">
        <v>1553</v>
      </c>
      <c r="G1725">
        <v>2</v>
      </c>
      <c r="H1725">
        <v>1</v>
      </c>
      <c r="I1725">
        <v>1974</v>
      </c>
      <c r="J1725">
        <v>0</v>
      </c>
      <c r="K1725">
        <v>1</v>
      </c>
      <c r="L1725">
        <v>0</v>
      </c>
      <c r="M1725">
        <v>2</v>
      </c>
      <c r="N1725" t="s">
        <v>37</v>
      </c>
      <c r="O1725" t="s">
        <v>27</v>
      </c>
      <c r="P1725">
        <v>5.5166378676126797</v>
      </c>
      <c r="Q1725">
        <v>1.12433185501658</v>
      </c>
      <c r="R1725">
        <v>3.2680373511315599</v>
      </c>
      <c r="S1725">
        <v>20</v>
      </c>
      <c r="T1725">
        <v>65</v>
      </c>
      <c r="U1725">
        <v>797.71636251206905</v>
      </c>
      <c r="V1725">
        <v>1.28783000643915E-3</v>
      </c>
      <c r="W1725">
        <v>1392403.0263338799</v>
      </c>
      <c r="X1725" t="s">
        <v>39</v>
      </c>
      <c r="Y1725">
        <f>1-964-575-9594</f>
        <v>-11132</v>
      </c>
    </row>
    <row r="1726" spans="1:25" x14ac:dyDescent="0.35">
      <c r="A1726">
        <v>36.755573393947401</v>
      </c>
      <c r="B1726">
        <v>-119.253759361747</v>
      </c>
      <c r="C1726" t="s">
        <v>29</v>
      </c>
      <c r="D1726">
        <v>19.681451918041699</v>
      </c>
      <c r="E1726">
        <v>3</v>
      </c>
      <c r="F1726">
        <v>4000</v>
      </c>
      <c r="G1726">
        <v>4</v>
      </c>
      <c r="H1726">
        <v>1</v>
      </c>
      <c r="I1726">
        <v>1953</v>
      </c>
      <c r="J1726">
        <v>1</v>
      </c>
      <c r="K1726">
        <v>0</v>
      </c>
      <c r="L1726">
        <v>0</v>
      </c>
      <c r="M1726">
        <v>10</v>
      </c>
      <c r="N1726" t="s">
        <v>37</v>
      </c>
      <c r="O1726" t="s">
        <v>27</v>
      </c>
      <c r="P1726">
        <v>8.1232801451267793</v>
      </c>
      <c r="Q1726">
        <v>0.73111026437979199</v>
      </c>
      <c r="R1726">
        <v>0.69601447032697505</v>
      </c>
      <c r="S1726">
        <v>109</v>
      </c>
      <c r="T1726">
        <v>33</v>
      </c>
      <c r="U1726">
        <v>879.48457211468894</v>
      </c>
      <c r="V1726">
        <v>2.5000000000000001E-3</v>
      </c>
      <c r="W1726">
        <v>3773927.9720690101</v>
      </c>
      <c r="X1726" t="s">
        <v>43</v>
      </c>
      <c r="Y1726">
        <f>1-824-878-3738</f>
        <v>-5439</v>
      </c>
    </row>
    <row r="1727" spans="1:25" x14ac:dyDescent="0.35">
      <c r="A1727">
        <v>41.041153670179298</v>
      </c>
      <c r="B1727">
        <v>-116.324463793227</v>
      </c>
      <c r="C1727" t="s">
        <v>29</v>
      </c>
      <c r="D1727">
        <v>44.106969653024699</v>
      </c>
      <c r="E1727">
        <v>6</v>
      </c>
      <c r="F1727">
        <v>4812</v>
      </c>
      <c r="G1727">
        <v>4</v>
      </c>
      <c r="H1727">
        <v>2</v>
      </c>
      <c r="I1727">
        <v>1998</v>
      </c>
      <c r="J1727">
        <v>0</v>
      </c>
      <c r="K1727">
        <v>0</v>
      </c>
      <c r="L1727">
        <v>1</v>
      </c>
      <c r="M1727">
        <v>9</v>
      </c>
      <c r="N1727" t="s">
        <v>35</v>
      </c>
      <c r="O1727" t="s">
        <v>27</v>
      </c>
      <c r="P1727">
        <v>4.5658274537141397</v>
      </c>
      <c r="Q1727">
        <v>2.4698843997381901</v>
      </c>
      <c r="R1727">
        <v>6.8373782389140301</v>
      </c>
      <c r="S1727">
        <v>70</v>
      </c>
      <c r="T1727">
        <v>25</v>
      </c>
      <c r="U1727">
        <v>654.78717490092401</v>
      </c>
      <c r="V1727">
        <v>1.8703241895261799E-3</v>
      </c>
      <c r="W1727">
        <v>3482961.3949702601</v>
      </c>
      <c r="X1727" t="s">
        <v>42</v>
      </c>
      <c r="Y1727">
        <f>1-353-218-5371</f>
        <v>-5941</v>
      </c>
    </row>
    <row r="1728" spans="1:25" x14ac:dyDescent="0.35">
      <c r="A1728">
        <v>36.133013446628603</v>
      </c>
      <c r="B1728">
        <v>-119.074758278066</v>
      </c>
      <c r="C1728" t="s">
        <v>34</v>
      </c>
      <c r="D1728">
        <v>38.574314026647301</v>
      </c>
      <c r="E1728">
        <v>3</v>
      </c>
      <c r="F1728">
        <v>1377</v>
      </c>
      <c r="G1728">
        <v>5</v>
      </c>
      <c r="H1728">
        <v>3</v>
      </c>
      <c r="I1728">
        <v>1959</v>
      </c>
      <c r="J1728">
        <v>1</v>
      </c>
      <c r="K1728">
        <v>0</v>
      </c>
      <c r="L1728">
        <v>0</v>
      </c>
      <c r="M1728">
        <v>5</v>
      </c>
      <c r="N1728" t="s">
        <v>37</v>
      </c>
      <c r="O1728" t="s">
        <v>30</v>
      </c>
      <c r="P1728">
        <v>4.6643893706839199</v>
      </c>
      <c r="Q1728">
        <v>2.3026503948844299</v>
      </c>
      <c r="R1728">
        <v>9.4993818405553707</v>
      </c>
      <c r="S1728">
        <v>195</v>
      </c>
      <c r="T1728">
        <v>72</v>
      </c>
      <c r="U1728">
        <v>632.86039768106298</v>
      </c>
      <c r="V1728">
        <v>3.6310820624546099E-3</v>
      </c>
      <c r="W1728">
        <v>1098411.2479220701</v>
      </c>
      <c r="X1728" t="s">
        <v>38</v>
      </c>
      <c r="Y1728">
        <f>1-937-524-6961</f>
        <v>-8421</v>
      </c>
    </row>
    <row r="1729" spans="1:25" x14ac:dyDescent="0.35">
      <c r="A1729">
        <v>37.418098965584399</v>
      </c>
      <c r="B1729">
        <v>-119.990501360723</v>
      </c>
      <c r="C1729" t="s">
        <v>25</v>
      </c>
      <c r="D1729">
        <v>12.428917106278</v>
      </c>
      <c r="E1729">
        <v>9</v>
      </c>
      <c r="F1729">
        <v>1896</v>
      </c>
      <c r="G1729">
        <v>2</v>
      </c>
      <c r="H1729">
        <v>1</v>
      </c>
      <c r="I1729">
        <v>2008</v>
      </c>
      <c r="J1729">
        <v>1</v>
      </c>
      <c r="K1729">
        <v>0</v>
      </c>
      <c r="L1729">
        <v>1</v>
      </c>
      <c r="M1729">
        <v>2</v>
      </c>
      <c r="N1729" t="s">
        <v>41</v>
      </c>
      <c r="O1729" t="s">
        <v>32</v>
      </c>
      <c r="P1729">
        <v>7.8705553843000304</v>
      </c>
      <c r="Q1729">
        <v>0.60214112375511697</v>
      </c>
      <c r="R1729">
        <v>2.3398848699561099</v>
      </c>
      <c r="S1729">
        <v>135</v>
      </c>
      <c r="T1729">
        <v>45</v>
      </c>
      <c r="U1729">
        <v>462.69603045030601</v>
      </c>
      <c r="V1729">
        <v>1.0548523206751E-3</v>
      </c>
      <c r="W1729">
        <v>1117989.7275527699</v>
      </c>
      <c r="X1729" t="s">
        <v>36</v>
      </c>
      <c r="Y1729">
        <f>1-252-682-4547</f>
        <v>-5480</v>
      </c>
    </row>
    <row r="1730" spans="1:25" x14ac:dyDescent="0.35">
      <c r="A1730">
        <v>39.491615752371203</v>
      </c>
      <c r="B1730">
        <v>-120.489912281472</v>
      </c>
      <c r="C1730" t="s">
        <v>25</v>
      </c>
      <c r="D1730">
        <v>41.733031209919503</v>
      </c>
      <c r="E1730">
        <v>7</v>
      </c>
      <c r="F1730">
        <v>4807</v>
      </c>
      <c r="G1730">
        <v>2</v>
      </c>
      <c r="H1730">
        <v>3</v>
      </c>
      <c r="I1730">
        <v>1986</v>
      </c>
      <c r="J1730">
        <v>0</v>
      </c>
      <c r="K1730">
        <v>0</v>
      </c>
      <c r="L1730">
        <v>0</v>
      </c>
      <c r="M1730">
        <v>14</v>
      </c>
      <c r="N1730" t="s">
        <v>37</v>
      </c>
      <c r="O1730" t="s">
        <v>32</v>
      </c>
      <c r="P1730">
        <v>8.9313962690718203</v>
      </c>
      <c r="Q1730">
        <v>1.1906506637430601</v>
      </c>
      <c r="R1730">
        <v>3.3572511316036602</v>
      </c>
      <c r="S1730">
        <v>175</v>
      </c>
      <c r="T1730">
        <v>44</v>
      </c>
      <c r="U1730">
        <v>965.23514806162996</v>
      </c>
      <c r="V1730">
        <v>2.91241938839192E-3</v>
      </c>
      <c r="W1730">
        <v>4792519.13140532</v>
      </c>
      <c r="X1730" t="s">
        <v>31</v>
      </c>
      <c r="Y1730">
        <f>1-209-600-6074</f>
        <v>-6882</v>
      </c>
    </row>
    <row r="1731" spans="1:25" x14ac:dyDescent="0.35">
      <c r="A1731">
        <v>37.788250856277898</v>
      </c>
      <c r="B1731">
        <v>-117.870861273675</v>
      </c>
      <c r="C1731" t="s">
        <v>29</v>
      </c>
      <c r="D1731">
        <v>49.416996270488397</v>
      </c>
      <c r="E1731">
        <v>6</v>
      </c>
      <c r="F1731">
        <v>4431</v>
      </c>
      <c r="G1731">
        <v>3</v>
      </c>
      <c r="H1731">
        <v>3</v>
      </c>
      <c r="I1731">
        <v>1995</v>
      </c>
      <c r="J1731">
        <v>1</v>
      </c>
      <c r="K1731">
        <v>1</v>
      </c>
      <c r="L1731">
        <v>0</v>
      </c>
      <c r="M1731">
        <v>14</v>
      </c>
      <c r="N1731" t="s">
        <v>35</v>
      </c>
      <c r="O1731" t="s">
        <v>32</v>
      </c>
      <c r="P1731">
        <v>14.991355283995899</v>
      </c>
      <c r="Q1731">
        <v>2.1045167960894502</v>
      </c>
      <c r="R1731">
        <v>0.65744673155856403</v>
      </c>
      <c r="S1731">
        <v>29</v>
      </c>
      <c r="T1731">
        <v>24</v>
      </c>
      <c r="U1731">
        <v>376.00728500575502</v>
      </c>
      <c r="V1731">
        <v>3.1595576619273301E-3</v>
      </c>
      <c r="W1731">
        <v>2203301.8766581002</v>
      </c>
      <c r="X1731" t="s">
        <v>43</v>
      </c>
      <c r="Y1731">
        <f>1-557-902-5575</f>
        <v>-7033</v>
      </c>
    </row>
    <row r="1732" spans="1:25" x14ac:dyDescent="0.35">
      <c r="A1732">
        <v>39.010168642140698</v>
      </c>
      <c r="B1732">
        <v>-120.94776594911001</v>
      </c>
      <c r="C1732" t="s">
        <v>29</v>
      </c>
      <c r="D1732">
        <v>7.6897573271438997</v>
      </c>
      <c r="E1732">
        <v>1</v>
      </c>
      <c r="F1732">
        <v>2054</v>
      </c>
      <c r="G1732">
        <v>4</v>
      </c>
      <c r="H1732">
        <v>2</v>
      </c>
      <c r="I1732">
        <v>1957</v>
      </c>
      <c r="J1732">
        <v>1</v>
      </c>
      <c r="K1732">
        <v>0</v>
      </c>
      <c r="L1732">
        <v>1</v>
      </c>
      <c r="M1732">
        <v>4</v>
      </c>
      <c r="N1732" t="s">
        <v>41</v>
      </c>
      <c r="O1732" t="s">
        <v>27</v>
      </c>
      <c r="P1732">
        <v>8.5637433619839101</v>
      </c>
      <c r="Q1732">
        <v>1.1862185772002201</v>
      </c>
      <c r="R1732">
        <v>4.7606953563073402</v>
      </c>
      <c r="S1732">
        <v>22</v>
      </c>
      <c r="T1732">
        <v>62</v>
      </c>
      <c r="U1732">
        <v>817.56994998647701</v>
      </c>
      <c r="V1732">
        <v>1.9474196689386501E-3</v>
      </c>
      <c r="W1732">
        <v>1904660.0747496299</v>
      </c>
      <c r="X1732" t="s">
        <v>38</v>
      </c>
      <c r="Y1732">
        <f>1-283-195-8762</f>
        <v>-9239</v>
      </c>
    </row>
    <row r="1733" spans="1:25" x14ac:dyDescent="0.35">
      <c r="A1733">
        <v>38.724727307559597</v>
      </c>
      <c r="B1733">
        <v>-114.733366165535</v>
      </c>
      <c r="C1733" t="s">
        <v>29</v>
      </c>
      <c r="D1733">
        <v>31.353842450482698</v>
      </c>
      <c r="E1733">
        <v>9</v>
      </c>
      <c r="F1733">
        <v>1795</v>
      </c>
      <c r="G1733">
        <v>3</v>
      </c>
      <c r="H1733">
        <v>3</v>
      </c>
      <c r="I1733">
        <v>1988</v>
      </c>
      <c r="J1733">
        <v>1</v>
      </c>
      <c r="K1733">
        <v>1</v>
      </c>
      <c r="L1733">
        <v>1</v>
      </c>
      <c r="M1733">
        <v>12</v>
      </c>
      <c r="N1733" t="s">
        <v>37</v>
      </c>
      <c r="O1733" t="s">
        <v>32</v>
      </c>
      <c r="P1733">
        <v>11.859719777329399</v>
      </c>
      <c r="Q1733">
        <v>1.26708555968578</v>
      </c>
      <c r="R1733">
        <v>9.1181174958866595</v>
      </c>
      <c r="S1733">
        <v>27</v>
      </c>
      <c r="T1733">
        <v>40</v>
      </c>
      <c r="U1733">
        <v>805.86926012671302</v>
      </c>
      <c r="V1733">
        <v>6.6852367688022196E-3</v>
      </c>
      <c r="W1733">
        <v>1947939.06360877</v>
      </c>
      <c r="X1733" t="s">
        <v>42</v>
      </c>
      <c r="Y1733">
        <f>1-585-961-2925</f>
        <v>-4470</v>
      </c>
    </row>
    <row r="1734" spans="1:25" x14ac:dyDescent="0.35">
      <c r="A1734">
        <v>38.971727157087003</v>
      </c>
      <c r="B1734">
        <v>-120.029267532844</v>
      </c>
      <c r="C1734" t="s">
        <v>29</v>
      </c>
      <c r="D1734">
        <v>35.266855079323499</v>
      </c>
      <c r="E1734">
        <v>6</v>
      </c>
      <c r="F1734">
        <v>1521</v>
      </c>
      <c r="G1734">
        <v>5</v>
      </c>
      <c r="H1734">
        <v>1</v>
      </c>
      <c r="I1734">
        <v>1968</v>
      </c>
      <c r="J1734">
        <v>0</v>
      </c>
      <c r="K1734">
        <v>0</v>
      </c>
      <c r="L1734">
        <v>1</v>
      </c>
      <c r="M1734">
        <v>8</v>
      </c>
      <c r="N1734" t="s">
        <v>26</v>
      </c>
      <c r="O1734" t="s">
        <v>27</v>
      </c>
      <c r="P1734">
        <v>11.5599073053737</v>
      </c>
      <c r="Q1734">
        <v>1.3316642500357201</v>
      </c>
      <c r="R1734">
        <v>5.6680234918016197</v>
      </c>
      <c r="S1734">
        <v>132</v>
      </c>
      <c r="T1734">
        <v>30</v>
      </c>
      <c r="U1734">
        <v>671.75062642255398</v>
      </c>
      <c r="V1734">
        <v>5.2596975673898701E-3</v>
      </c>
      <c r="W1734">
        <v>1284243.25620683</v>
      </c>
      <c r="X1734" t="s">
        <v>31</v>
      </c>
      <c r="Y1734">
        <f>1-216-367-9847</f>
        <v>-10429</v>
      </c>
    </row>
    <row r="1735" spans="1:25" x14ac:dyDescent="0.35">
      <c r="A1735">
        <v>41.524180013489101</v>
      </c>
      <c r="B1735">
        <v>-114.619211317714</v>
      </c>
      <c r="C1735" t="s">
        <v>25</v>
      </c>
      <c r="D1735">
        <v>46.212274719118902</v>
      </c>
      <c r="E1735">
        <v>2</v>
      </c>
      <c r="F1735">
        <v>3659</v>
      </c>
      <c r="G1735">
        <v>1</v>
      </c>
      <c r="H1735">
        <v>3</v>
      </c>
      <c r="I1735">
        <v>2021</v>
      </c>
      <c r="J1735">
        <v>0</v>
      </c>
      <c r="K1735">
        <v>1</v>
      </c>
      <c r="L1735">
        <v>0</v>
      </c>
      <c r="M1735">
        <v>12</v>
      </c>
      <c r="N1735" t="s">
        <v>26</v>
      </c>
      <c r="O1735" t="s">
        <v>27</v>
      </c>
      <c r="P1735">
        <v>14.0037243914512</v>
      </c>
      <c r="Q1735">
        <v>0.96224590650474495</v>
      </c>
      <c r="R1735">
        <v>6.6158378903929496</v>
      </c>
      <c r="S1735">
        <v>129</v>
      </c>
      <c r="T1735">
        <v>60</v>
      </c>
      <c r="U1735">
        <v>251.50014908198801</v>
      </c>
      <c r="V1735">
        <v>3.2795845859524401E-3</v>
      </c>
      <c r="W1735">
        <v>1187581.8002725299</v>
      </c>
      <c r="X1735" t="s">
        <v>43</v>
      </c>
      <c r="Y1735">
        <f>1-449-723-1592</f>
        <v>-2763</v>
      </c>
    </row>
    <row r="1736" spans="1:25" x14ac:dyDescent="0.35">
      <c r="A1736">
        <v>37.4805112895951</v>
      </c>
      <c r="B1736">
        <v>-120.07318029367801</v>
      </c>
      <c r="C1736" t="s">
        <v>29</v>
      </c>
      <c r="D1736">
        <v>46.351714570342097</v>
      </c>
      <c r="E1736">
        <v>3</v>
      </c>
      <c r="F1736">
        <v>4878</v>
      </c>
      <c r="G1736">
        <v>2</v>
      </c>
      <c r="H1736">
        <v>2</v>
      </c>
      <c r="I1736">
        <v>1952</v>
      </c>
      <c r="J1736">
        <v>0</v>
      </c>
      <c r="K1736">
        <v>0</v>
      </c>
      <c r="L1736">
        <v>0</v>
      </c>
      <c r="M1736">
        <v>4</v>
      </c>
      <c r="N1736" t="s">
        <v>26</v>
      </c>
      <c r="O1736" t="s">
        <v>30</v>
      </c>
      <c r="P1736">
        <v>9.1415794740060807</v>
      </c>
      <c r="Q1736">
        <v>1.7925445096154899</v>
      </c>
      <c r="R1736">
        <v>6.3935621483217497</v>
      </c>
      <c r="S1736">
        <v>123</v>
      </c>
      <c r="T1736">
        <v>62</v>
      </c>
      <c r="U1736">
        <v>502.84466677456498</v>
      </c>
      <c r="V1736">
        <v>8.2000820008200001E-4</v>
      </c>
      <c r="W1736">
        <v>2540895.1332018301</v>
      </c>
      <c r="X1736" t="s">
        <v>38</v>
      </c>
      <c r="Y1736">
        <f>1-706-251-1902</f>
        <v>-2858</v>
      </c>
    </row>
    <row r="1737" spans="1:25" x14ac:dyDescent="0.35">
      <c r="A1737">
        <v>34.178837810859498</v>
      </c>
      <c r="B1737">
        <v>-120.584940003916</v>
      </c>
      <c r="C1737" t="s">
        <v>29</v>
      </c>
      <c r="D1737">
        <v>40.3001471547853</v>
      </c>
      <c r="E1737">
        <v>3</v>
      </c>
      <c r="F1737">
        <v>4026</v>
      </c>
      <c r="G1737">
        <v>5</v>
      </c>
      <c r="H1737">
        <v>3</v>
      </c>
      <c r="I1737">
        <v>1965</v>
      </c>
      <c r="J1737">
        <v>1</v>
      </c>
      <c r="K1737">
        <v>1</v>
      </c>
      <c r="L1737">
        <v>1</v>
      </c>
      <c r="M1737">
        <v>14</v>
      </c>
      <c r="N1737" t="s">
        <v>41</v>
      </c>
      <c r="O1737" t="s">
        <v>30</v>
      </c>
      <c r="P1737">
        <v>5.0687384181172801</v>
      </c>
      <c r="Q1737">
        <v>1.8548226413286899</v>
      </c>
      <c r="R1737">
        <v>3.8226946680501301</v>
      </c>
      <c r="S1737">
        <v>127</v>
      </c>
      <c r="T1737">
        <v>21</v>
      </c>
      <c r="U1737">
        <v>937.52432821740604</v>
      </c>
      <c r="V1737">
        <v>3.47739692001987E-3</v>
      </c>
      <c r="W1737">
        <v>4189239.0803886</v>
      </c>
      <c r="X1737" t="s">
        <v>33</v>
      </c>
      <c r="Y1737">
        <f>1-818-128-8328</f>
        <v>-9273</v>
      </c>
    </row>
    <row r="1738" spans="1:25" x14ac:dyDescent="0.35">
      <c r="A1738">
        <v>38.108780722526099</v>
      </c>
      <c r="B1738">
        <v>-122.546322103744</v>
      </c>
      <c r="C1738" t="s">
        <v>34</v>
      </c>
      <c r="D1738">
        <v>30.279601801699599</v>
      </c>
      <c r="E1738">
        <v>5</v>
      </c>
      <c r="F1738">
        <v>1236</v>
      </c>
      <c r="G1738">
        <v>5</v>
      </c>
      <c r="H1738">
        <v>1</v>
      </c>
      <c r="I1738">
        <v>1958</v>
      </c>
      <c r="J1738">
        <v>1</v>
      </c>
      <c r="K1738">
        <v>0</v>
      </c>
      <c r="L1738">
        <v>1</v>
      </c>
      <c r="M1738">
        <v>2</v>
      </c>
      <c r="N1738" t="s">
        <v>37</v>
      </c>
      <c r="O1738" t="s">
        <v>27</v>
      </c>
      <c r="P1738">
        <v>12.0435651945992</v>
      </c>
      <c r="Q1738">
        <v>2.22405813100118</v>
      </c>
      <c r="R1738">
        <v>3.4008384203090398</v>
      </c>
      <c r="S1738">
        <v>86</v>
      </c>
      <c r="T1738">
        <v>54</v>
      </c>
      <c r="U1738">
        <v>576.15222628220602</v>
      </c>
      <c r="V1738">
        <v>1.6181229773462699E-3</v>
      </c>
      <c r="W1738">
        <v>1085705.0896394299</v>
      </c>
      <c r="X1738" t="s">
        <v>43</v>
      </c>
      <c r="Y1738">
        <f>1-299-134-6498</f>
        <v>-6930</v>
      </c>
    </row>
    <row r="1739" spans="1:25" x14ac:dyDescent="0.35">
      <c r="A1739">
        <v>36.326302302673199</v>
      </c>
      <c r="B1739">
        <v>-122.413429475239</v>
      </c>
      <c r="C1739" t="s">
        <v>29</v>
      </c>
      <c r="D1739">
        <v>5.9973234478896202</v>
      </c>
      <c r="E1739">
        <v>9</v>
      </c>
      <c r="F1739">
        <v>775</v>
      </c>
      <c r="G1739">
        <v>3</v>
      </c>
      <c r="H1739">
        <v>3</v>
      </c>
      <c r="I1739">
        <v>1967</v>
      </c>
      <c r="J1739">
        <v>1</v>
      </c>
      <c r="K1739">
        <v>0</v>
      </c>
      <c r="L1739">
        <v>1</v>
      </c>
      <c r="M1739">
        <v>10</v>
      </c>
      <c r="N1739" t="s">
        <v>35</v>
      </c>
      <c r="O1739" t="s">
        <v>30</v>
      </c>
      <c r="P1739">
        <v>8.7987538430041994</v>
      </c>
      <c r="Q1739">
        <v>0.57273911277512002</v>
      </c>
      <c r="R1739">
        <v>9.7646831881537697</v>
      </c>
      <c r="S1739">
        <v>99</v>
      </c>
      <c r="T1739">
        <v>71</v>
      </c>
      <c r="U1739">
        <v>645.92069534950701</v>
      </c>
      <c r="V1739">
        <v>1.2903225806451601E-2</v>
      </c>
      <c r="W1739">
        <v>779235.16061296104</v>
      </c>
      <c r="X1739" t="s">
        <v>40</v>
      </c>
      <c r="Y1739">
        <f>1-697-911-2211</f>
        <v>-3818</v>
      </c>
    </row>
    <row r="1740" spans="1:25" x14ac:dyDescent="0.35">
      <c r="A1740">
        <v>35.795740641961203</v>
      </c>
      <c r="B1740">
        <v>-119.593008721055</v>
      </c>
      <c r="C1740" t="s">
        <v>25</v>
      </c>
      <c r="D1740">
        <v>45.505235096968597</v>
      </c>
      <c r="E1740">
        <v>1</v>
      </c>
      <c r="F1740">
        <v>2378</v>
      </c>
      <c r="G1740">
        <v>4</v>
      </c>
      <c r="H1740">
        <v>2</v>
      </c>
      <c r="I1740">
        <v>2008</v>
      </c>
      <c r="J1740">
        <v>0</v>
      </c>
      <c r="K1740">
        <v>1</v>
      </c>
      <c r="L1740">
        <v>1</v>
      </c>
      <c r="M1740">
        <v>6</v>
      </c>
      <c r="N1740" t="s">
        <v>37</v>
      </c>
      <c r="O1740" t="s">
        <v>32</v>
      </c>
      <c r="P1740">
        <v>8.1396193163261295</v>
      </c>
      <c r="Q1740">
        <v>0.56495707450674304</v>
      </c>
      <c r="R1740">
        <v>3.35714503998136</v>
      </c>
      <c r="S1740">
        <v>62</v>
      </c>
      <c r="T1740">
        <v>31</v>
      </c>
      <c r="U1740">
        <v>787.21397053538897</v>
      </c>
      <c r="V1740">
        <v>2.52312867956265E-3</v>
      </c>
      <c r="W1740">
        <v>2333334.2451318302</v>
      </c>
      <c r="X1740" t="s">
        <v>44</v>
      </c>
      <c r="Y1740">
        <f>1-707-344-6425</f>
        <v>-7475</v>
      </c>
    </row>
    <row r="1741" spans="1:25" x14ac:dyDescent="0.35">
      <c r="A1741">
        <v>40.680297059509797</v>
      </c>
      <c r="B1741">
        <v>-124.230208339396</v>
      </c>
      <c r="C1741" t="s">
        <v>29</v>
      </c>
      <c r="D1741">
        <v>25.708455759231899</v>
      </c>
      <c r="E1741">
        <v>8</v>
      </c>
      <c r="F1741">
        <v>3009</v>
      </c>
      <c r="G1741">
        <v>4</v>
      </c>
      <c r="H1741">
        <v>2</v>
      </c>
      <c r="I1741">
        <v>1959</v>
      </c>
      <c r="J1741">
        <v>1</v>
      </c>
      <c r="K1741">
        <v>0</v>
      </c>
      <c r="L1741">
        <v>1</v>
      </c>
      <c r="M1741">
        <v>7</v>
      </c>
      <c r="N1741" t="s">
        <v>35</v>
      </c>
      <c r="O1741" t="s">
        <v>30</v>
      </c>
      <c r="P1741">
        <v>3.6929392582465601</v>
      </c>
      <c r="Q1741">
        <v>2.4259114506474</v>
      </c>
      <c r="R1741">
        <v>5.74691809466949</v>
      </c>
      <c r="S1741">
        <v>11</v>
      </c>
      <c r="T1741">
        <v>51</v>
      </c>
      <c r="U1741">
        <v>814.48297768591499</v>
      </c>
      <c r="V1741">
        <v>2.32635427052176E-3</v>
      </c>
      <c r="W1741">
        <v>2710983.61500519</v>
      </c>
      <c r="X1741" t="s">
        <v>38</v>
      </c>
      <c r="Y1741">
        <f>1-486-296-4316</f>
        <v>-5097</v>
      </c>
    </row>
    <row r="1742" spans="1:25" x14ac:dyDescent="0.35">
      <c r="A1742">
        <v>38.798440329585503</v>
      </c>
      <c r="B1742">
        <v>-119.33782144640701</v>
      </c>
      <c r="C1742" t="s">
        <v>34</v>
      </c>
      <c r="D1742">
        <v>41.263885593228899</v>
      </c>
      <c r="E1742">
        <v>9</v>
      </c>
      <c r="F1742">
        <v>1182</v>
      </c>
      <c r="G1742">
        <v>1</v>
      </c>
      <c r="H1742">
        <v>2</v>
      </c>
      <c r="I1742">
        <v>1975</v>
      </c>
      <c r="J1742">
        <v>0</v>
      </c>
      <c r="K1742">
        <v>0</v>
      </c>
      <c r="L1742">
        <v>0</v>
      </c>
      <c r="M1742">
        <v>13</v>
      </c>
      <c r="N1742" t="s">
        <v>37</v>
      </c>
      <c r="O1742" t="s">
        <v>27</v>
      </c>
      <c r="P1742">
        <v>3.1590865986921099</v>
      </c>
      <c r="Q1742">
        <v>1.2089758568548199</v>
      </c>
      <c r="R1742">
        <v>5.1697308880574404</v>
      </c>
      <c r="S1742">
        <v>10</v>
      </c>
      <c r="T1742">
        <v>31</v>
      </c>
      <c r="U1742">
        <v>416.54552059532898</v>
      </c>
      <c r="V1742">
        <v>1.0998307952622599E-2</v>
      </c>
      <c r="W1742">
        <v>474758.22898299899</v>
      </c>
      <c r="X1742" t="s">
        <v>40</v>
      </c>
      <c r="Y1742">
        <f>1-865-232-9740</f>
        <v>-10836</v>
      </c>
    </row>
    <row r="1743" spans="1:25" x14ac:dyDescent="0.35">
      <c r="A1743">
        <v>40.143954452494498</v>
      </c>
      <c r="B1743">
        <v>-118.33381512903</v>
      </c>
      <c r="C1743" t="s">
        <v>25</v>
      </c>
      <c r="D1743">
        <v>28.732759031361301</v>
      </c>
      <c r="E1743">
        <v>1</v>
      </c>
      <c r="F1743">
        <v>719</v>
      </c>
      <c r="G1743">
        <v>2</v>
      </c>
      <c r="H1743">
        <v>2</v>
      </c>
      <c r="I1743">
        <v>2006</v>
      </c>
      <c r="J1743">
        <v>1</v>
      </c>
      <c r="K1743">
        <v>0</v>
      </c>
      <c r="L1743">
        <v>0</v>
      </c>
      <c r="M1743">
        <v>14</v>
      </c>
      <c r="N1743" t="s">
        <v>41</v>
      </c>
      <c r="O1743" t="s">
        <v>27</v>
      </c>
      <c r="P1743">
        <v>13.4775367223793</v>
      </c>
      <c r="Q1743">
        <v>2.3834444682962701</v>
      </c>
      <c r="R1743">
        <v>1.7475188440740901</v>
      </c>
      <c r="S1743">
        <v>12</v>
      </c>
      <c r="T1743">
        <v>71</v>
      </c>
      <c r="U1743">
        <v>741.33933677292202</v>
      </c>
      <c r="V1743">
        <v>1.9471488178025E-2</v>
      </c>
      <c r="W1743">
        <v>722839.06166377198</v>
      </c>
      <c r="X1743" t="s">
        <v>31</v>
      </c>
      <c r="Y1743">
        <f>1-351-314-3868</f>
        <v>-4532</v>
      </c>
    </row>
    <row r="1744" spans="1:25" x14ac:dyDescent="0.35">
      <c r="A1744">
        <v>35.551439594200602</v>
      </c>
      <c r="B1744">
        <v>-122.32228225262</v>
      </c>
      <c r="C1744" t="s">
        <v>29</v>
      </c>
      <c r="D1744">
        <v>37.519409356425797</v>
      </c>
      <c r="E1744">
        <v>5</v>
      </c>
      <c r="F1744">
        <v>3935</v>
      </c>
      <c r="G1744">
        <v>2</v>
      </c>
      <c r="H1744">
        <v>1</v>
      </c>
      <c r="I1744">
        <v>2002</v>
      </c>
      <c r="J1744">
        <v>0</v>
      </c>
      <c r="K1744">
        <v>0</v>
      </c>
      <c r="L1744">
        <v>0</v>
      </c>
      <c r="M1744">
        <v>3</v>
      </c>
      <c r="N1744" t="s">
        <v>35</v>
      </c>
      <c r="O1744" t="s">
        <v>27</v>
      </c>
      <c r="P1744">
        <v>12.4024530222585</v>
      </c>
      <c r="Q1744">
        <v>2.32763953317684</v>
      </c>
      <c r="R1744">
        <v>1.08199054642296</v>
      </c>
      <c r="S1744">
        <v>167</v>
      </c>
      <c r="T1744">
        <v>34</v>
      </c>
      <c r="U1744">
        <v>248.93347150484701</v>
      </c>
      <c r="V1744">
        <v>7.6238881829733096E-4</v>
      </c>
      <c r="W1744">
        <v>1129109.0848184701</v>
      </c>
      <c r="X1744" t="s">
        <v>43</v>
      </c>
      <c r="Y1744">
        <f>1-700-556-3931</f>
        <v>-5186</v>
      </c>
    </row>
    <row r="1745" spans="1:25" x14ac:dyDescent="0.35">
      <c r="A1745">
        <v>34.8158322665047</v>
      </c>
      <c r="B1745">
        <v>-119.60087540997</v>
      </c>
      <c r="C1745" t="s">
        <v>34</v>
      </c>
      <c r="D1745">
        <v>47.911340984581898</v>
      </c>
      <c r="E1745">
        <v>2</v>
      </c>
      <c r="F1745">
        <v>506</v>
      </c>
      <c r="G1745">
        <v>5</v>
      </c>
      <c r="H1745">
        <v>3</v>
      </c>
      <c r="I1745">
        <v>1994</v>
      </c>
      <c r="J1745">
        <v>0</v>
      </c>
      <c r="K1745">
        <v>0</v>
      </c>
      <c r="L1745">
        <v>0</v>
      </c>
      <c r="M1745">
        <v>5</v>
      </c>
      <c r="N1745" t="s">
        <v>26</v>
      </c>
      <c r="O1745" t="s">
        <v>30</v>
      </c>
      <c r="P1745">
        <v>14.470101629064899</v>
      </c>
      <c r="Q1745">
        <v>0.77001374108115095</v>
      </c>
      <c r="R1745">
        <v>3.0145714735953599</v>
      </c>
      <c r="S1745">
        <v>61</v>
      </c>
      <c r="T1745">
        <v>79</v>
      </c>
      <c r="U1745">
        <v>926.01997542199695</v>
      </c>
      <c r="V1745">
        <v>9.8814229249011808E-3</v>
      </c>
      <c r="W1745">
        <v>974717.21913860098</v>
      </c>
      <c r="X1745" t="s">
        <v>43</v>
      </c>
      <c r="Y1745">
        <f>1-565-810-2453</f>
        <v>-3827</v>
      </c>
    </row>
    <row r="1746" spans="1:25" x14ac:dyDescent="0.35">
      <c r="A1746">
        <v>37.737144416389</v>
      </c>
      <c r="B1746">
        <v>-121.814957631629</v>
      </c>
      <c r="C1746" t="s">
        <v>29</v>
      </c>
      <c r="D1746">
        <v>38.2797530511857</v>
      </c>
      <c r="E1746">
        <v>2</v>
      </c>
      <c r="F1746">
        <v>579</v>
      </c>
      <c r="G1746">
        <v>2</v>
      </c>
      <c r="H1746">
        <v>3</v>
      </c>
      <c r="I1746">
        <v>2018</v>
      </c>
      <c r="J1746">
        <v>1</v>
      </c>
      <c r="K1746">
        <v>1</v>
      </c>
      <c r="L1746">
        <v>0</v>
      </c>
      <c r="M1746">
        <v>5</v>
      </c>
      <c r="N1746" t="s">
        <v>26</v>
      </c>
      <c r="O1746" t="s">
        <v>27</v>
      </c>
      <c r="P1746">
        <v>3.7020208618756798</v>
      </c>
      <c r="Q1746">
        <v>1.3736180678707</v>
      </c>
      <c r="R1746">
        <v>4.0951425902981198</v>
      </c>
      <c r="S1746">
        <v>37</v>
      </c>
      <c r="T1746">
        <v>45</v>
      </c>
      <c r="U1746">
        <v>666.49341215397897</v>
      </c>
      <c r="V1746">
        <v>8.6355785837651106E-3</v>
      </c>
      <c r="W1746">
        <v>735184.17033664603</v>
      </c>
      <c r="X1746" t="s">
        <v>42</v>
      </c>
      <c r="Y1746">
        <f>1-795-903-4611</f>
        <v>-6308</v>
      </c>
    </row>
    <row r="1747" spans="1:25" x14ac:dyDescent="0.35">
      <c r="A1747">
        <v>37.503690802253502</v>
      </c>
      <c r="B1747">
        <v>-114.96898566935501</v>
      </c>
      <c r="C1747" t="s">
        <v>29</v>
      </c>
      <c r="D1747">
        <v>14.271453363464</v>
      </c>
      <c r="E1747">
        <v>8</v>
      </c>
      <c r="F1747">
        <v>4227</v>
      </c>
      <c r="G1747">
        <v>3</v>
      </c>
      <c r="H1747">
        <v>3</v>
      </c>
      <c r="I1747">
        <v>1969</v>
      </c>
      <c r="J1747">
        <v>0</v>
      </c>
      <c r="K1747">
        <v>1</v>
      </c>
      <c r="L1747">
        <v>0</v>
      </c>
      <c r="M1747">
        <v>2</v>
      </c>
      <c r="N1747" t="s">
        <v>26</v>
      </c>
      <c r="O1747" t="s">
        <v>30</v>
      </c>
      <c r="P1747">
        <v>12.7763410044866</v>
      </c>
      <c r="Q1747">
        <v>1.9596500967695101</v>
      </c>
      <c r="R1747">
        <v>3.2911409966734002</v>
      </c>
      <c r="S1747">
        <v>137</v>
      </c>
      <c r="T1747">
        <v>55</v>
      </c>
      <c r="U1747">
        <v>389.00695054494003</v>
      </c>
      <c r="V1747">
        <v>4.7314880529926602E-4</v>
      </c>
      <c r="W1747">
        <v>2007758.46566958</v>
      </c>
      <c r="X1747" t="s">
        <v>31</v>
      </c>
      <c r="Y1747">
        <f>1-976-684-4212</f>
        <v>-5871</v>
      </c>
    </row>
    <row r="1748" spans="1:25" x14ac:dyDescent="0.35">
      <c r="A1748">
        <v>36.504948764736604</v>
      </c>
      <c r="B1748">
        <v>-119.61732113383501</v>
      </c>
      <c r="C1748" t="s">
        <v>29</v>
      </c>
      <c r="D1748">
        <v>34.904747091629098</v>
      </c>
      <c r="E1748">
        <v>8</v>
      </c>
      <c r="F1748">
        <v>3215</v>
      </c>
      <c r="G1748">
        <v>3</v>
      </c>
      <c r="H1748">
        <v>3</v>
      </c>
      <c r="I1748">
        <v>1981</v>
      </c>
      <c r="J1748">
        <v>0</v>
      </c>
      <c r="K1748">
        <v>1</v>
      </c>
      <c r="L1748">
        <v>1</v>
      </c>
      <c r="M1748">
        <v>7</v>
      </c>
      <c r="N1748" t="s">
        <v>35</v>
      </c>
      <c r="O1748" t="s">
        <v>27</v>
      </c>
      <c r="P1748">
        <v>11.4563667383068</v>
      </c>
      <c r="Q1748">
        <v>1.9119705194065599</v>
      </c>
      <c r="R1748">
        <v>2.2371937558517998</v>
      </c>
      <c r="S1748">
        <v>131</v>
      </c>
      <c r="T1748">
        <v>24</v>
      </c>
      <c r="U1748">
        <v>737.07750401307999</v>
      </c>
      <c r="V1748">
        <v>2.17729393468118E-3</v>
      </c>
      <c r="W1748">
        <v>2725503.9309175601</v>
      </c>
      <c r="X1748" t="s">
        <v>31</v>
      </c>
      <c r="Y1748">
        <f>1-305-453-9716</f>
        <v>-10473</v>
      </c>
    </row>
    <row r="1749" spans="1:25" x14ac:dyDescent="0.35">
      <c r="A1749">
        <v>33.202340014229101</v>
      </c>
      <c r="B1749">
        <v>-119.98070064063501</v>
      </c>
      <c r="C1749" t="s">
        <v>34</v>
      </c>
      <c r="D1749">
        <v>13.4114011086115</v>
      </c>
      <c r="E1749">
        <v>5</v>
      </c>
      <c r="F1749">
        <v>922</v>
      </c>
      <c r="G1749">
        <v>2</v>
      </c>
      <c r="H1749">
        <v>1</v>
      </c>
      <c r="I1749">
        <v>1980</v>
      </c>
      <c r="J1749">
        <v>1</v>
      </c>
      <c r="K1749">
        <v>0</v>
      </c>
      <c r="L1749">
        <v>1</v>
      </c>
      <c r="M1749">
        <v>5</v>
      </c>
      <c r="N1749" t="s">
        <v>41</v>
      </c>
      <c r="O1749" t="s">
        <v>32</v>
      </c>
      <c r="P1749">
        <v>11.114450369139901</v>
      </c>
      <c r="Q1749">
        <v>0.92562659970404804</v>
      </c>
      <c r="R1749">
        <v>6.3607507396974698</v>
      </c>
      <c r="S1749">
        <v>64</v>
      </c>
      <c r="T1749">
        <v>23</v>
      </c>
      <c r="U1749">
        <v>614.41858405099902</v>
      </c>
      <c r="V1749">
        <v>5.4229934924078004E-3</v>
      </c>
      <c r="W1749">
        <v>809043.84175259306</v>
      </c>
      <c r="X1749" t="s">
        <v>43</v>
      </c>
      <c r="Y1749">
        <f>1-622-850-7811</f>
        <v>-9282</v>
      </c>
    </row>
    <row r="1750" spans="1:25" x14ac:dyDescent="0.35">
      <c r="A1750">
        <v>38.770959836392798</v>
      </c>
      <c r="B1750">
        <v>-117.081848438832</v>
      </c>
      <c r="C1750" t="s">
        <v>34</v>
      </c>
      <c r="D1750">
        <v>23.979359976351201</v>
      </c>
      <c r="E1750">
        <v>6</v>
      </c>
      <c r="F1750">
        <v>3627</v>
      </c>
      <c r="G1750">
        <v>5</v>
      </c>
      <c r="H1750">
        <v>2</v>
      </c>
      <c r="I1750">
        <v>2004</v>
      </c>
      <c r="J1750">
        <v>1</v>
      </c>
      <c r="K1750">
        <v>0</v>
      </c>
      <c r="L1750">
        <v>0</v>
      </c>
      <c r="M1750">
        <v>8</v>
      </c>
      <c r="N1750" t="s">
        <v>35</v>
      </c>
      <c r="O1750" t="s">
        <v>30</v>
      </c>
      <c r="P1750">
        <v>2.1944554803512202</v>
      </c>
      <c r="Q1750">
        <v>1.4201664883235401</v>
      </c>
      <c r="R1750">
        <v>6.3888637886005801</v>
      </c>
      <c r="S1750">
        <v>62</v>
      </c>
      <c r="T1750">
        <v>58</v>
      </c>
      <c r="U1750">
        <v>918.34416340854295</v>
      </c>
      <c r="V1750">
        <v>2.2056796250344598E-3</v>
      </c>
      <c r="W1750">
        <v>3610185.57274978</v>
      </c>
      <c r="X1750" t="s">
        <v>36</v>
      </c>
      <c r="Y1750">
        <f>1-903-412-7954</f>
        <v>-9268</v>
      </c>
    </row>
    <row r="1751" spans="1:25" x14ac:dyDescent="0.35">
      <c r="A1751">
        <v>41.161432779706097</v>
      </c>
      <c r="B1751">
        <v>-119.4997864213</v>
      </c>
      <c r="C1751" t="s">
        <v>29</v>
      </c>
      <c r="D1751">
        <v>27.884977369620501</v>
      </c>
      <c r="E1751">
        <v>8</v>
      </c>
      <c r="F1751">
        <v>2119</v>
      </c>
      <c r="G1751">
        <v>2</v>
      </c>
      <c r="H1751">
        <v>3</v>
      </c>
      <c r="I1751">
        <v>1974</v>
      </c>
      <c r="J1751">
        <v>0</v>
      </c>
      <c r="K1751">
        <v>1</v>
      </c>
      <c r="L1751">
        <v>1</v>
      </c>
      <c r="M1751">
        <v>5</v>
      </c>
      <c r="N1751" t="s">
        <v>35</v>
      </c>
      <c r="O1751" t="s">
        <v>32</v>
      </c>
      <c r="P1751">
        <v>11.7737752553444</v>
      </c>
      <c r="Q1751">
        <v>2.1294434287187398</v>
      </c>
      <c r="R1751">
        <v>1.3893713550968301</v>
      </c>
      <c r="S1751">
        <v>176</v>
      </c>
      <c r="T1751">
        <v>72</v>
      </c>
      <c r="U1751">
        <v>717.06356806148494</v>
      </c>
      <c r="V1751">
        <v>2.3596035865974499E-3</v>
      </c>
      <c r="W1751">
        <v>1868915.1338273899</v>
      </c>
      <c r="X1751" t="s">
        <v>43</v>
      </c>
      <c r="Y1751">
        <f>1-513-155-5825</f>
        <v>-6492</v>
      </c>
    </row>
    <row r="1752" spans="1:25" x14ac:dyDescent="0.35">
      <c r="A1752">
        <v>40.305027647306503</v>
      </c>
      <c r="B1752">
        <v>-121.298009876865</v>
      </c>
      <c r="C1752" t="s">
        <v>25</v>
      </c>
      <c r="D1752">
        <v>39.358519382375398</v>
      </c>
      <c r="E1752">
        <v>6</v>
      </c>
      <c r="F1752">
        <v>2717</v>
      </c>
      <c r="G1752">
        <v>5</v>
      </c>
      <c r="H1752">
        <v>1</v>
      </c>
      <c r="I1752">
        <v>1968</v>
      </c>
      <c r="J1752">
        <v>1</v>
      </c>
      <c r="K1752">
        <v>0</v>
      </c>
      <c r="L1752">
        <v>0</v>
      </c>
      <c r="M1752">
        <v>13</v>
      </c>
      <c r="N1752" t="s">
        <v>26</v>
      </c>
      <c r="O1752" t="s">
        <v>30</v>
      </c>
      <c r="P1752">
        <v>10.8063518581589</v>
      </c>
      <c r="Q1752">
        <v>1.17994804430845</v>
      </c>
      <c r="R1752">
        <v>1.5750343975663801</v>
      </c>
      <c r="S1752">
        <v>53</v>
      </c>
      <c r="T1752">
        <v>34</v>
      </c>
      <c r="U1752">
        <v>545.13822098982496</v>
      </c>
      <c r="V1752">
        <v>4.78468899521531E-3</v>
      </c>
      <c r="W1752">
        <v>1895579.7538630201</v>
      </c>
      <c r="X1752" t="s">
        <v>28</v>
      </c>
      <c r="Y1752">
        <f>1-716-939-3130</f>
        <v>-4784</v>
      </c>
    </row>
    <row r="1753" spans="1:25" x14ac:dyDescent="0.35">
      <c r="A1753">
        <v>37.279391346416197</v>
      </c>
      <c r="B1753">
        <v>-117.099120511075</v>
      </c>
      <c r="C1753" t="s">
        <v>34</v>
      </c>
      <c r="D1753">
        <v>31.517144155752199</v>
      </c>
      <c r="E1753">
        <v>8</v>
      </c>
      <c r="F1753">
        <v>4222</v>
      </c>
      <c r="G1753">
        <v>1</v>
      </c>
      <c r="H1753">
        <v>3</v>
      </c>
      <c r="I1753">
        <v>1959</v>
      </c>
      <c r="J1753">
        <v>0</v>
      </c>
      <c r="K1753">
        <v>0</v>
      </c>
      <c r="L1753">
        <v>0</v>
      </c>
      <c r="M1753">
        <v>7</v>
      </c>
      <c r="N1753" t="s">
        <v>41</v>
      </c>
      <c r="O1753" t="s">
        <v>27</v>
      </c>
      <c r="P1753">
        <v>10.1154679887721</v>
      </c>
      <c r="Q1753">
        <v>1.63964267522054</v>
      </c>
      <c r="R1753">
        <v>3.2937057145021198</v>
      </c>
      <c r="S1753">
        <v>22</v>
      </c>
      <c r="T1753">
        <v>31</v>
      </c>
      <c r="U1753">
        <v>957.94233689528005</v>
      </c>
      <c r="V1753">
        <v>1.65798199905258E-3</v>
      </c>
      <c r="W1753">
        <v>4142003.6176027898</v>
      </c>
      <c r="X1753" t="s">
        <v>33</v>
      </c>
      <c r="Y1753">
        <f>1-996-828-8956</f>
        <v>-10779</v>
      </c>
    </row>
    <row r="1754" spans="1:25" x14ac:dyDescent="0.35">
      <c r="A1754">
        <v>32.845772501983703</v>
      </c>
      <c r="B1754">
        <v>-119.21961664274301</v>
      </c>
      <c r="C1754" t="s">
        <v>34</v>
      </c>
      <c r="D1754">
        <v>40.919551252803601</v>
      </c>
      <c r="E1754">
        <v>5</v>
      </c>
      <c r="F1754">
        <v>4602</v>
      </c>
      <c r="G1754">
        <v>3</v>
      </c>
      <c r="H1754">
        <v>2</v>
      </c>
      <c r="I1754">
        <v>1980</v>
      </c>
      <c r="J1754">
        <v>1</v>
      </c>
      <c r="K1754">
        <v>0</v>
      </c>
      <c r="L1754">
        <v>1</v>
      </c>
      <c r="M1754">
        <v>9</v>
      </c>
      <c r="N1754" t="s">
        <v>37</v>
      </c>
      <c r="O1754" t="s">
        <v>32</v>
      </c>
      <c r="P1754">
        <v>4.7677432722263902</v>
      </c>
      <c r="Q1754">
        <v>1.1383607667073801</v>
      </c>
      <c r="R1754">
        <v>3.11813627826109</v>
      </c>
      <c r="S1754">
        <v>73</v>
      </c>
      <c r="T1754">
        <v>71</v>
      </c>
      <c r="U1754">
        <v>411.68636233074699</v>
      </c>
      <c r="V1754">
        <v>1.9556714471968698E-3</v>
      </c>
      <c r="W1754">
        <v>2156633.02222382</v>
      </c>
      <c r="X1754" t="s">
        <v>39</v>
      </c>
      <c r="Y1754">
        <f>1-533-860-8370</f>
        <v>-9762</v>
      </c>
    </row>
    <row r="1755" spans="1:25" x14ac:dyDescent="0.35">
      <c r="A1755">
        <v>38.007004724857701</v>
      </c>
      <c r="B1755">
        <v>-117.06289638045</v>
      </c>
      <c r="C1755" t="s">
        <v>29</v>
      </c>
      <c r="D1755">
        <v>48.973197442995897</v>
      </c>
      <c r="E1755">
        <v>6</v>
      </c>
      <c r="F1755">
        <v>3226</v>
      </c>
      <c r="G1755">
        <v>2</v>
      </c>
      <c r="H1755">
        <v>1</v>
      </c>
      <c r="I1755">
        <v>1984</v>
      </c>
      <c r="J1755">
        <v>0</v>
      </c>
      <c r="K1755">
        <v>1</v>
      </c>
      <c r="L1755">
        <v>1</v>
      </c>
      <c r="M1755">
        <v>4</v>
      </c>
      <c r="N1755" t="s">
        <v>37</v>
      </c>
      <c r="O1755" t="s">
        <v>27</v>
      </c>
      <c r="P1755">
        <v>12.7102228757186</v>
      </c>
      <c r="Q1755">
        <v>1.5799166787958101</v>
      </c>
      <c r="R1755">
        <v>4.7333524183198197</v>
      </c>
      <c r="S1755">
        <v>121</v>
      </c>
      <c r="T1755">
        <v>30</v>
      </c>
      <c r="U1755">
        <v>391.90503510327699</v>
      </c>
      <c r="V1755">
        <v>1.2399256044637299E-3</v>
      </c>
      <c r="W1755">
        <v>1587459.25094101</v>
      </c>
      <c r="X1755" t="s">
        <v>38</v>
      </c>
      <c r="Y1755">
        <f>1-316-908-5848</f>
        <v>-7071</v>
      </c>
    </row>
    <row r="1756" spans="1:25" x14ac:dyDescent="0.35">
      <c r="A1756">
        <v>40.365041531533798</v>
      </c>
      <c r="B1756">
        <v>-124.134028906596</v>
      </c>
      <c r="C1756" t="s">
        <v>25</v>
      </c>
      <c r="D1756">
        <v>49.804757306874002</v>
      </c>
      <c r="E1756">
        <v>6</v>
      </c>
      <c r="F1756">
        <v>4648</v>
      </c>
      <c r="G1756">
        <v>5</v>
      </c>
      <c r="H1756">
        <v>1</v>
      </c>
      <c r="I1756">
        <v>1974</v>
      </c>
      <c r="J1756">
        <v>0</v>
      </c>
      <c r="K1756">
        <v>1</v>
      </c>
      <c r="L1756">
        <v>0</v>
      </c>
      <c r="M1756">
        <v>4</v>
      </c>
      <c r="N1756" t="s">
        <v>26</v>
      </c>
      <c r="O1756" t="s">
        <v>27</v>
      </c>
      <c r="P1756">
        <v>6.8528550134495996</v>
      </c>
      <c r="Q1756">
        <v>0.828059473757224</v>
      </c>
      <c r="R1756">
        <v>5.4850991375829201</v>
      </c>
      <c r="S1756">
        <v>45</v>
      </c>
      <c r="T1756">
        <v>74</v>
      </c>
      <c r="U1756">
        <v>562.34489129078395</v>
      </c>
      <c r="V1756">
        <v>8.6058519793459501E-4</v>
      </c>
      <c r="W1756">
        <v>2973782.6832031999</v>
      </c>
      <c r="X1756" t="s">
        <v>42</v>
      </c>
      <c r="Y1756">
        <f>1-829-831-9907</f>
        <v>-11566</v>
      </c>
    </row>
    <row r="1757" spans="1:25" x14ac:dyDescent="0.35">
      <c r="A1757">
        <v>37.577055571086397</v>
      </c>
      <c r="B1757">
        <v>-119.499877022078</v>
      </c>
      <c r="C1757" t="s">
        <v>29</v>
      </c>
      <c r="D1757">
        <v>34.558617661439399</v>
      </c>
      <c r="E1757">
        <v>6</v>
      </c>
      <c r="F1757">
        <v>3976</v>
      </c>
      <c r="G1757">
        <v>1</v>
      </c>
      <c r="H1757">
        <v>1</v>
      </c>
      <c r="I1757">
        <v>1969</v>
      </c>
      <c r="J1757">
        <v>0</v>
      </c>
      <c r="K1757">
        <v>1</v>
      </c>
      <c r="L1757">
        <v>1</v>
      </c>
      <c r="M1757">
        <v>9</v>
      </c>
      <c r="N1757" t="s">
        <v>35</v>
      </c>
      <c r="O1757" t="s">
        <v>32</v>
      </c>
      <c r="P1757">
        <v>10.3956917511917</v>
      </c>
      <c r="Q1757">
        <v>1.7770553008860801</v>
      </c>
      <c r="R1757">
        <v>9.8874571976554506</v>
      </c>
      <c r="S1757">
        <v>110</v>
      </c>
      <c r="T1757">
        <v>50</v>
      </c>
      <c r="U1757">
        <v>675.89379236997695</v>
      </c>
      <c r="V1757">
        <v>2.2635814889336E-3</v>
      </c>
      <c r="W1757">
        <v>2932464.6548855999</v>
      </c>
      <c r="X1757" t="s">
        <v>38</v>
      </c>
      <c r="Y1757">
        <f>1-404-728-1059</f>
        <v>-2190</v>
      </c>
    </row>
    <row r="1758" spans="1:25" x14ac:dyDescent="0.35">
      <c r="A1758">
        <v>36.005274697628003</v>
      </c>
      <c r="B1758">
        <v>-114.588088533469</v>
      </c>
      <c r="C1758" t="s">
        <v>34</v>
      </c>
      <c r="D1758">
        <v>8.3542793707661893</v>
      </c>
      <c r="E1758">
        <v>6</v>
      </c>
      <c r="F1758">
        <v>3013</v>
      </c>
      <c r="G1758">
        <v>5</v>
      </c>
      <c r="H1758">
        <v>1</v>
      </c>
      <c r="I1758">
        <v>2003</v>
      </c>
      <c r="J1758">
        <v>0</v>
      </c>
      <c r="K1758">
        <v>1</v>
      </c>
      <c r="L1758">
        <v>1</v>
      </c>
      <c r="M1758">
        <v>5</v>
      </c>
      <c r="N1758" t="s">
        <v>37</v>
      </c>
      <c r="O1758" t="s">
        <v>30</v>
      </c>
      <c r="P1758">
        <v>5.8887494286266904</v>
      </c>
      <c r="Q1758">
        <v>1.5487466159829599</v>
      </c>
      <c r="R1758">
        <v>5.9199380381319102</v>
      </c>
      <c r="S1758">
        <v>7</v>
      </c>
      <c r="T1758">
        <v>26</v>
      </c>
      <c r="U1758">
        <v>742.44072472953405</v>
      </c>
      <c r="V1758">
        <v>1.6594756057085899E-3</v>
      </c>
      <c r="W1758">
        <v>2601345.27474974</v>
      </c>
      <c r="X1758" t="s">
        <v>44</v>
      </c>
      <c r="Y1758">
        <f>1-909-787-4307</f>
        <v>-6002</v>
      </c>
    </row>
    <row r="1759" spans="1:25" x14ac:dyDescent="0.35">
      <c r="A1759">
        <v>36.759756522544102</v>
      </c>
      <c r="B1759">
        <v>-115.71664180815699</v>
      </c>
      <c r="C1759" t="s">
        <v>34</v>
      </c>
      <c r="D1759">
        <v>31.723311192778301</v>
      </c>
      <c r="E1759">
        <v>7</v>
      </c>
      <c r="F1759">
        <v>1152</v>
      </c>
      <c r="G1759">
        <v>5</v>
      </c>
      <c r="H1759">
        <v>1</v>
      </c>
      <c r="I1759">
        <v>1982</v>
      </c>
      <c r="J1759">
        <v>1</v>
      </c>
      <c r="K1759">
        <v>1</v>
      </c>
      <c r="L1759">
        <v>1</v>
      </c>
      <c r="M1759">
        <v>2</v>
      </c>
      <c r="N1759" t="s">
        <v>37</v>
      </c>
      <c r="O1759" t="s">
        <v>30</v>
      </c>
      <c r="P1759">
        <v>12.5131629108386</v>
      </c>
      <c r="Q1759">
        <v>0.96299212467194395</v>
      </c>
      <c r="R1759">
        <v>6.1042755049258099</v>
      </c>
      <c r="S1759">
        <v>142</v>
      </c>
      <c r="T1759">
        <v>61</v>
      </c>
      <c r="U1759">
        <v>635.97895177925898</v>
      </c>
      <c r="V1759">
        <v>1.7361111111111099E-3</v>
      </c>
      <c r="W1759">
        <v>1243103.73492973</v>
      </c>
      <c r="X1759" t="s">
        <v>33</v>
      </c>
      <c r="Y1759">
        <f>1-566-926-9251</f>
        <v>-10742</v>
      </c>
    </row>
    <row r="1760" spans="1:25" x14ac:dyDescent="0.35">
      <c r="A1760">
        <v>36.225679140333803</v>
      </c>
      <c r="B1760">
        <v>-123.334997360534</v>
      </c>
      <c r="C1760" t="s">
        <v>25</v>
      </c>
      <c r="D1760">
        <v>7.9280147742758098</v>
      </c>
      <c r="E1760">
        <v>4</v>
      </c>
      <c r="F1760">
        <v>911</v>
      </c>
      <c r="G1760">
        <v>5</v>
      </c>
      <c r="H1760">
        <v>1</v>
      </c>
      <c r="I1760">
        <v>2012</v>
      </c>
      <c r="J1760">
        <v>0</v>
      </c>
      <c r="K1760">
        <v>0</v>
      </c>
      <c r="L1760">
        <v>1</v>
      </c>
      <c r="M1760">
        <v>10</v>
      </c>
      <c r="N1760" t="s">
        <v>35</v>
      </c>
      <c r="O1760" t="s">
        <v>30</v>
      </c>
      <c r="P1760">
        <v>3.05810061471513</v>
      </c>
      <c r="Q1760">
        <v>1.1287050071145801</v>
      </c>
      <c r="R1760">
        <v>8.3932731819088708</v>
      </c>
      <c r="S1760">
        <v>101</v>
      </c>
      <c r="T1760">
        <v>34</v>
      </c>
      <c r="U1760">
        <v>668.79568812436003</v>
      </c>
      <c r="V1760">
        <v>1.09769484083424E-2</v>
      </c>
      <c r="W1760">
        <v>939529.61561912997</v>
      </c>
      <c r="X1760" t="s">
        <v>39</v>
      </c>
      <c r="Y1760">
        <f>1-241-573-7677</f>
        <v>-8490</v>
      </c>
    </row>
    <row r="1761" spans="1:25" x14ac:dyDescent="0.35">
      <c r="A1761">
        <v>39.070411820610197</v>
      </c>
      <c r="B1761">
        <v>-115.68135232758399</v>
      </c>
      <c r="C1761" t="s">
        <v>34</v>
      </c>
      <c r="D1761">
        <v>16.790200866024598</v>
      </c>
      <c r="E1761">
        <v>9</v>
      </c>
      <c r="F1761">
        <v>3502</v>
      </c>
      <c r="G1761">
        <v>4</v>
      </c>
      <c r="H1761">
        <v>1</v>
      </c>
      <c r="I1761">
        <v>1979</v>
      </c>
      <c r="J1761">
        <v>0</v>
      </c>
      <c r="K1761">
        <v>1</v>
      </c>
      <c r="L1761">
        <v>1</v>
      </c>
      <c r="M1761">
        <v>12</v>
      </c>
      <c r="N1761" t="s">
        <v>35</v>
      </c>
      <c r="O1761" t="s">
        <v>32</v>
      </c>
      <c r="P1761">
        <v>14.0045526093467</v>
      </c>
      <c r="Q1761">
        <v>0.967087860385065</v>
      </c>
      <c r="R1761">
        <v>7.9982943440524803</v>
      </c>
      <c r="S1761">
        <v>105</v>
      </c>
      <c r="T1761">
        <v>72</v>
      </c>
      <c r="U1761">
        <v>282.126124384398</v>
      </c>
      <c r="V1761">
        <v>3.4266133637921099E-3</v>
      </c>
      <c r="W1761">
        <v>1343257.60225595</v>
      </c>
      <c r="X1761" t="s">
        <v>38</v>
      </c>
      <c r="Y1761">
        <f>1-950-217-1415</f>
        <v>-2581</v>
      </c>
    </row>
    <row r="1762" spans="1:25" x14ac:dyDescent="0.35">
      <c r="A1762">
        <v>35.143526946468903</v>
      </c>
      <c r="B1762">
        <v>-122.511720545743</v>
      </c>
      <c r="C1762" t="s">
        <v>34</v>
      </c>
      <c r="D1762">
        <v>44.124466207576702</v>
      </c>
      <c r="E1762">
        <v>3</v>
      </c>
      <c r="F1762">
        <v>1511</v>
      </c>
      <c r="G1762">
        <v>2</v>
      </c>
      <c r="H1762">
        <v>3</v>
      </c>
      <c r="I1762">
        <v>1978</v>
      </c>
      <c r="J1762">
        <v>1</v>
      </c>
      <c r="K1762">
        <v>0</v>
      </c>
      <c r="L1762">
        <v>0</v>
      </c>
      <c r="M1762">
        <v>7</v>
      </c>
      <c r="N1762" t="s">
        <v>37</v>
      </c>
      <c r="O1762" t="s">
        <v>30</v>
      </c>
      <c r="P1762">
        <v>3.9586130870473499</v>
      </c>
      <c r="Q1762">
        <v>0.65279075989691404</v>
      </c>
      <c r="R1762">
        <v>5.0600978926916298</v>
      </c>
      <c r="S1762">
        <v>90</v>
      </c>
      <c r="T1762">
        <v>34</v>
      </c>
      <c r="U1762">
        <v>734.48259915292601</v>
      </c>
      <c r="V1762">
        <v>4.6326935804103199E-3</v>
      </c>
      <c r="W1762">
        <v>1269805.5596767</v>
      </c>
      <c r="X1762" t="s">
        <v>43</v>
      </c>
      <c r="Y1762">
        <f>1-498-357-5363</f>
        <v>-6217</v>
      </c>
    </row>
    <row r="1763" spans="1:25" x14ac:dyDescent="0.35">
      <c r="A1763">
        <v>40.723447279044599</v>
      </c>
      <c r="B1763">
        <v>-117.152668011912</v>
      </c>
      <c r="C1763" t="s">
        <v>29</v>
      </c>
      <c r="D1763">
        <v>44.6630340557221</v>
      </c>
      <c r="E1763">
        <v>3</v>
      </c>
      <c r="F1763">
        <v>4398</v>
      </c>
      <c r="G1763">
        <v>5</v>
      </c>
      <c r="H1763">
        <v>3</v>
      </c>
      <c r="I1763">
        <v>1965</v>
      </c>
      <c r="J1763">
        <v>1</v>
      </c>
      <c r="K1763">
        <v>1</v>
      </c>
      <c r="L1763">
        <v>0</v>
      </c>
      <c r="M1763">
        <v>11</v>
      </c>
      <c r="N1763" t="s">
        <v>26</v>
      </c>
      <c r="O1763" t="s">
        <v>30</v>
      </c>
      <c r="P1763">
        <v>6.2630705909436903</v>
      </c>
      <c r="Q1763">
        <v>2.1548198055187502</v>
      </c>
      <c r="R1763">
        <v>2.2394943581431801</v>
      </c>
      <c r="S1763">
        <v>112</v>
      </c>
      <c r="T1763">
        <v>66</v>
      </c>
      <c r="U1763">
        <v>885.92879461246002</v>
      </c>
      <c r="V1763">
        <v>2.50113688040018E-3</v>
      </c>
      <c r="W1763">
        <v>4410018.7275101896</v>
      </c>
      <c r="X1763" t="s">
        <v>44</v>
      </c>
      <c r="Y1763">
        <f>1-571-931-5103</f>
        <v>-6604</v>
      </c>
    </row>
    <row r="1764" spans="1:25" x14ac:dyDescent="0.35">
      <c r="A1764">
        <v>41.266422403565002</v>
      </c>
      <c r="B1764">
        <v>-123.438029240609</v>
      </c>
      <c r="C1764" t="s">
        <v>34</v>
      </c>
      <c r="D1764">
        <v>4.9902023279634404</v>
      </c>
      <c r="E1764">
        <v>3</v>
      </c>
      <c r="F1764">
        <v>3764</v>
      </c>
      <c r="G1764">
        <v>2</v>
      </c>
      <c r="H1764">
        <v>3</v>
      </c>
      <c r="I1764">
        <v>1954</v>
      </c>
      <c r="J1764">
        <v>0</v>
      </c>
      <c r="K1764">
        <v>1</v>
      </c>
      <c r="L1764">
        <v>1</v>
      </c>
      <c r="M1764">
        <v>14</v>
      </c>
      <c r="N1764" t="s">
        <v>41</v>
      </c>
      <c r="O1764" t="s">
        <v>32</v>
      </c>
      <c r="P1764">
        <v>11.243337906091099</v>
      </c>
      <c r="Q1764">
        <v>1.7270615409593699</v>
      </c>
      <c r="R1764">
        <v>9.1759145877497001</v>
      </c>
      <c r="S1764">
        <v>38</v>
      </c>
      <c r="T1764">
        <v>41</v>
      </c>
      <c r="U1764">
        <v>215.46692312777799</v>
      </c>
      <c r="V1764">
        <v>3.7194473963868199E-3</v>
      </c>
      <c r="W1764">
        <v>1089980.7730370699</v>
      </c>
      <c r="X1764" t="s">
        <v>40</v>
      </c>
      <c r="Y1764">
        <f>1-460-604-5360</f>
        <v>-6423</v>
      </c>
    </row>
    <row r="1765" spans="1:25" x14ac:dyDescent="0.35">
      <c r="A1765">
        <v>41.425249349074598</v>
      </c>
      <c r="B1765">
        <v>-123.624499592573</v>
      </c>
      <c r="C1765" t="s">
        <v>34</v>
      </c>
      <c r="D1765">
        <v>6.85296275168308</v>
      </c>
      <c r="E1765">
        <v>1</v>
      </c>
      <c r="F1765">
        <v>4675</v>
      </c>
      <c r="G1765">
        <v>2</v>
      </c>
      <c r="H1765">
        <v>2</v>
      </c>
      <c r="I1765">
        <v>1960</v>
      </c>
      <c r="J1765">
        <v>0</v>
      </c>
      <c r="K1765">
        <v>1</v>
      </c>
      <c r="L1765">
        <v>0</v>
      </c>
      <c r="M1765">
        <v>9</v>
      </c>
      <c r="N1765" t="s">
        <v>37</v>
      </c>
      <c r="O1765" t="s">
        <v>30</v>
      </c>
      <c r="P1765">
        <v>3.23127693419625</v>
      </c>
      <c r="Q1765">
        <v>1.20935116970907</v>
      </c>
      <c r="R1765">
        <v>5.0902262094656896</v>
      </c>
      <c r="S1765">
        <v>171</v>
      </c>
      <c r="T1765">
        <v>70</v>
      </c>
      <c r="U1765">
        <v>692.08608016749804</v>
      </c>
      <c r="V1765">
        <v>1.9251336898395699E-3</v>
      </c>
      <c r="W1765">
        <v>3421264.4930171398</v>
      </c>
      <c r="X1765" t="s">
        <v>38</v>
      </c>
      <c r="Y1765">
        <f>1-414-882-1799</f>
        <v>-3094</v>
      </c>
    </row>
    <row r="1766" spans="1:25" x14ac:dyDescent="0.35">
      <c r="A1766">
        <v>41.765825611683503</v>
      </c>
      <c r="B1766">
        <v>-118.35184620960899</v>
      </c>
      <c r="C1766" t="s">
        <v>29</v>
      </c>
      <c r="D1766">
        <v>3.3963515322254598</v>
      </c>
      <c r="E1766">
        <v>1</v>
      </c>
      <c r="F1766">
        <v>2648</v>
      </c>
      <c r="G1766">
        <v>3</v>
      </c>
      <c r="H1766">
        <v>2</v>
      </c>
      <c r="I1766">
        <v>2007</v>
      </c>
      <c r="J1766">
        <v>1</v>
      </c>
      <c r="K1766">
        <v>1</v>
      </c>
      <c r="L1766">
        <v>1</v>
      </c>
      <c r="M1766">
        <v>9</v>
      </c>
      <c r="N1766" t="s">
        <v>26</v>
      </c>
      <c r="O1766" t="s">
        <v>30</v>
      </c>
      <c r="P1766">
        <v>10.7740175409398</v>
      </c>
      <c r="Q1766">
        <v>1.76348413357034</v>
      </c>
      <c r="R1766">
        <v>3.5156114937245402</v>
      </c>
      <c r="S1766">
        <v>126</v>
      </c>
      <c r="T1766">
        <v>48</v>
      </c>
      <c r="U1766">
        <v>794.35492914636495</v>
      </c>
      <c r="V1766">
        <v>3.3987915407854901E-3</v>
      </c>
      <c r="W1766">
        <v>2514138.0668984</v>
      </c>
      <c r="X1766" t="s">
        <v>44</v>
      </c>
      <c r="Y1766">
        <f>1-976-446-8616</f>
        <v>-10037</v>
      </c>
    </row>
    <row r="1767" spans="1:25" x14ac:dyDescent="0.35">
      <c r="A1767">
        <v>41.318013576466903</v>
      </c>
      <c r="B1767">
        <v>-115.694363010966</v>
      </c>
      <c r="C1767" t="s">
        <v>29</v>
      </c>
      <c r="D1767">
        <v>12.157847182996999</v>
      </c>
      <c r="E1767">
        <v>9</v>
      </c>
      <c r="F1767">
        <v>3938</v>
      </c>
      <c r="G1767">
        <v>1</v>
      </c>
      <c r="H1767">
        <v>2</v>
      </c>
      <c r="I1767">
        <v>1978</v>
      </c>
      <c r="J1767">
        <v>0</v>
      </c>
      <c r="K1767">
        <v>0</v>
      </c>
      <c r="L1767">
        <v>0</v>
      </c>
      <c r="M1767">
        <v>2</v>
      </c>
      <c r="N1767" t="s">
        <v>26</v>
      </c>
      <c r="O1767" t="s">
        <v>27</v>
      </c>
      <c r="P1767">
        <v>4.4862786316376004</v>
      </c>
      <c r="Q1767">
        <v>1.5165174138464099</v>
      </c>
      <c r="R1767">
        <v>2.6810328706517899</v>
      </c>
      <c r="S1767">
        <v>100</v>
      </c>
      <c r="T1767">
        <v>25</v>
      </c>
      <c r="U1767">
        <v>577.48741750414695</v>
      </c>
      <c r="V1767">
        <v>5.0787201625190404E-4</v>
      </c>
      <c r="W1767">
        <v>2374760.2395892199</v>
      </c>
      <c r="X1767" t="s">
        <v>39</v>
      </c>
      <c r="Y1767">
        <f>1-390-489-9028</f>
        <v>-9906</v>
      </c>
    </row>
    <row r="1768" spans="1:25" x14ac:dyDescent="0.35">
      <c r="A1768">
        <v>36.131873902616</v>
      </c>
      <c r="B1768">
        <v>-117.501927685913</v>
      </c>
      <c r="C1768" t="s">
        <v>25</v>
      </c>
      <c r="D1768">
        <v>27.409029884579699</v>
      </c>
      <c r="E1768">
        <v>1</v>
      </c>
      <c r="F1768">
        <v>2669</v>
      </c>
      <c r="G1768">
        <v>5</v>
      </c>
      <c r="H1768">
        <v>3</v>
      </c>
      <c r="I1768">
        <v>1957</v>
      </c>
      <c r="J1768">
        <v>0</v>
      </c>
      <c r="K1768">
        <v>0</v>
      </c>
      <c r="L1768">
        <v>0</v>
      </c>
      <c r="M1768">
        <v>4</v>
      </c>
      <c r="N1768" t="s">
        <v>37</v>
      </c>
      <c r="O1768" t="s">
        <v>32</v>
      </c>
      <c r="P1768">
        <v>7.4067314337306396</v>
      </c>
      <c r="Q1768">
        <v>0.77032281608456499</v>
      </c>
      <c r="R1768">
        <v>2.51673154737259</v>
      </c>
      <c r="S1768">
        <v>130</v>
      </c>
      <c r="T1768">
        <v>59</v>
      </c>
      <c r="U1768">
        <v>745.818121903784</v>
      </c>
      <c r="V1768">
        <v>1.49868864743349E-3</v>
      </c>
      <c r="W1768">
        <v>2292941.2020601099</v>
      </c>
      <c r="X1768" t="s">
        <v>33</v>
      </c>
      <c r="Y1768">
        <f>1-791-946-5432</f>
        <v>-7168</v>
      </c>
    </row>
    <row r="1769" spans="1:25" x14ac:dyDescent="0.35">
      <c r="A1769">
        <v>38.988113793872998</v>
      </c>
      <c r="B1769">
        <v>-118.166250730776</v>
      </c>
      <c r="C1769" t="s">
        <v>25</v>
      </c>
      <c r="D1769">
        <v>29.608261024697299</v>
      </c>
      <c r="E1769">
        <v>0</v>
      </c>
      <c r="F1769">
        <v>3984</v>
      </c>
      <c r="G1769">
        <v>5</v>
      </c>
      <c r="H1769">
        <v>3</v>
      </c>
      <c r="I1769">
        <v>2021</v>
      </c>
      <c r="J1769">
        <v>0</v>
      </c>
      <c r="K1769">
        <v>1</v>
      </c>
      <c r="L1769">
        <v>1</v>
      </c>
      <c r="M1769">
        <v>4</v>
      </c>
      <c r="N1769" t="s">
        <v>35</v>
      </c>
      <c r="O1769" t="s">
        <v>30</v>
      </c>
      <c r="P1769">
        <v>10.680635088912901</v>
      </c>
      <c r="Q1769">
        <v>0.52472197345913896</v>
      </c>
      <c r="R1769">
        <v>7.8211407303139202</v>
      </c>
      <c r="S1769">
        <v>163</v>
      </c>
      <c r="T1769">
        <v>23</v>
      </c>
      <c r="U1769">
        <v>882.46702149922805</v>
      </c>
      <c r="V1769">
        <v>1.00401606425702E-3</v>
      </c>
      <c r="W1769">
        <v>3986788.9633276002</v>
      </c>
      <c r="X1769" t="s">
        <v>40</v>
      </c>
      <c r="Y1769">
        <f>1-790-348-8778</f>
        <v>-9915</v>
      </c>
    </row>
    <row r="1770" spans="1:25" x14ac:dyDescent="0.35">
      <c r="A1770">
        <v>32.6833685249563</v>
      </c>
      <c r="B1770">
        <v>-118.953733889886</v>
      </c>
      <c r="C1770" t="s">
        <v>29</v>
      </c>
      <c r="D1770">
        <v>8.0889851970903504</v>
      </c>
      <c r="E1770">
        <v>9</v>
      </c>
      <c r="F1770">
        <v>3946</v>
      </c>
      <c r="G1770">
        <v>3</v>
      </c>
      <c r="H1770">
        <v>1</v>
      </c>
      <c r="I1770">
        <v>2002</v>
      </c>
      <c r="J1770">
        <v>1</v>
      </c>
      <c r="K1770">
        <v>0</v>
      </c>
      <c r="L1770">
        <v>1</v>
      </c>
      <c r="M1770">
        <v>12</v>
      </c>
      <c r="N1770" t="s">
        <v>35</v>
      </c>
      <c r="O1770" t="s">
        <v>30</v>
      </c>
      <c r="P1770">
        <v>12.2228278249301</v>
      </c>
      <c r="Q1770">
        <v>1.43862049387036</v>
      </c>
      <c r="R1770">
        <v>4.9872256235029404</v>
      </c>
      <c r="S1770">
        <v>26</v>
      </c>
      <c r="T1770">
        <v>63</v>
      </c>
      <c r="U1770">
        <v>530.94832400489395</v>
      </c>
      <c r="V1770">
        <v>3.0410542321338001E-3</v>
      </c>
      <c r="W1770">
        <v>2448702.1632071701</v>
      </c>
      <c r="X1770" t="s">
        <v>42</v>
      </c>
      <c r="Y1770">
        <f>1-265-262-7964</f>
        <v>-8490</v>
      </c>
    </row>
    <row r="1771" spans="1:25" x14ac:dyDescent="0.35">
      <c r="A1771">
        <v>36.321376962008202</v>
      </c>
      <c r="B1771">
        <v>-123.20312118222201</v>
      </c>
      <c r="C1771" t="s">
        <v>34</v>
      </c>
      <c r="D1771">
        <v>16.164642668485801</v>
      </c>
      <c r="E1771">
        <v>3</v>
      </c>
      <c r="F1771">
        <v>1724</v>
      </c>
      <c r="G1771">
        <v>4</v>
      </c>
      <c r="H1771">
        <v>2</v>
      </c>
      <c r="I1771">
        <v>1976</v>
      </c>
      <c r="J1771">
        <v>0</v>
      </c>
      <c r="K1771">
        <v>0</v>
      </c>
      <c r="L1771">
        <v>1</v>
      </c>
      <c r="M1771">
        <v>14</v>
      </c>
      <c r="N1771" t="s">
        <v>26</v>
      </c>
      <c r="O1771" t="s">
        <v>30</v>
      </c>
      <c r="P1771">
        <v>7.8255476916866202</v>
      </c>
      <c r="Q1771">
        <v>0.546559882520956</v>
      </c>
      <c r="R1771">
        <v>4.9496175063227597</v>
      </c>
      <c r="S1771">
        <v>89</v>
      </c>
      <c r="T1771">
        <v>21</v>
      </c>
      <c r="U1771">
        <v>495.65078778561002</v>
      </c>
      <c r="V1771">
        <v>8.1206496519721505E-3</v>
      </c>
      <c r="W1771">
        <v>1143758.3313183901</v>
      </c>
      <c r="X1771" t="s">
        <v>40</v>
      </c>
      <c r="Y1771">
        <f>1-207-425-7299</f>
        <v>-7930</v>
      </c>
    </row>
    <row r="1772" spans="1:25" x14ac:dyDescent="0.35">
      <c r="A1772">
        <v>40.723399199732697</v>
      </c>
      <c r="B1772">
        <v>-120.50158574010101</v>
      </c>
      <c r="C1772" t="s">
        <v>25</v>
      </c>
      <c r="D1772">
        <v>32.135796658550703</v>
      </c>
      <c r="E1772">
        <v>4</v>
      </c>
      <c r="F1772">
        <v>3982</v>
      </c>
      <c r="G1772">
        <v>3</v>
      </c>
      <c r="H1772">
        <v>2</v>
      </c>
      <c r="I1772">
        <v>1997</v>
      </c>
      <c r="J1772">
        <v>0</v>
      </c>
      <c r="K1772">
        <v>1</v>
      </c>
      <c r="L1772">
        <v>1</v>
      </c>
      <c r="M1772">
        <v>6</v>
      </c>
      <c r="N1772" t="s">
        <v>37</v>
      </c>
      <c r="O1772" t="s">
        <v>27</v>
      </c>
      <c r="P1772">
        <v>8.40505541108781</v>
      </c>
      <c r="Q1772">
        <v>0.73219612604193895</v>
      </c>
      <c r="R1772">
        <v>4.3523051366016299</v>
      </c>
      <c r="S1772">
        <v>160</v>
      </c>
      <c r="T1772">
        <v>33</v>
      </c>
      <c r="U1772">
        <v>920.25580367164298</v>
      </c>
      <c r="V1772">
        <v>1.5067805123053701E-3</v>
      </c>
      <c r="W1772">
        <v>3936848.1938106501</v>
      </c>
      <c r="X1772" t="s">
        <v>28</v>
      </c>
      <c r="Y1772">
        <f>1-428-475-6752</f>
        <v>-7654</v>
      </c>
    </row>
    <row r="1773" spans="1:25" x14ac:dyDescent="0.35">
      <c r="A1773">
        <v>34.585528713549202</v>
      </c>
      <c r="B1773">
        <v>-117.370819258636</v>
      </c>
      <c r="C1773" t="s">
        <v>25</v>
      </c>
      <c r="D1773">
        <v>20.969729632473701</v>
      </c>
      <c r="E1773">
        <v>9</v>
      </c>
      <c r="F1773">
        <v>2819</v>
      </c>
      <c r="G1773">
        <v>3</v>
      </c>
      <c r="H1773">
        <v>3</v>
      </c>
      <c r="I1773">
        <v>1999</v>
      </c>
      <c r="J1773">
        <v>0</v>
      </c>
      <c r="K1773">
        <v>0</v>
      </c>
      <c r="L1773">
        <v>1</v>
      </c>
      <c r="M1773">
        <v>2</v>
      </c>
      <c r="N1773" t="s">
        <v>35</v>
      </c>
      <c r="O1773" t="s">
        <v>30</v>
      </c>
      <c r="P1773">
        <v>10.3616775109936</v>
      </c>
      <c r="Q1773">
        <v>1.12160338158635</v>
      </c>
      <c r="R1773">
        <v>9.7541391262391599</v>
      </c>
      <c r="S1773">
        <v>71</v>
      </c>
      <c r="T1773">
        <v>36</v>
      </c>
      <c r="U1773">
        <v>291.97660844726101</v>
      </c>
      <c r="V1773">
        <v>7.0947144377438804E-4</v>
      </c>
      <c r="W1773">
        <v>1073650.6461708201</v>
      </c>
      <c r="X1773" t="s">
        <v>39</v>
      </c>
      <c r="Y1773">
        <f>1-589-460-1502</f>
        <v>-2550</v>
      </c>
    </row>
    <row r="1774" spans="1:25" x14ac:dyDescent="0.35">
      <c r="A1774">
        <v>38.733019952294697</v>
      </c>
      <c r="B1774">
        <v>-119.31827037575999</v>
      </c>
      <c r="C1774" t="s">
        <v>25</v>
      </c>
      <c r="D1774">
        <v>49.693733845929899</v>
      </c>
      <c r="E1774">
        <v>0</v>
      </c>
      <c r="F1774">
        <v>2490</v>
      </c>
      <c r="G1774">
        <v>1</v>
      </c>
      <c r="H1774">
        <v>1</v>
      </c>
      <c r="I1774">
        <v>2022</v>
      </c>
      <c r="J1774">
        <v>0</v>
      </c>
      <c r="K1774">
        <v>0</v>
      </c>
      <c r="L1774">
        <v>1</v>
      </c>
      <c r="M1774">
        <v>9</v>
      </c>
      <c r="N1774" t="s">
        <v>35</v>
      </c>
      <c r="O1774" t="s">
        <v>27</v>
      </c>
      <c r="P1774">
        <v>12.6860383528801</v>
      </c>
      <c r="Q1774">
        <v>0.895305485018422</v>
      </c>
      <c r="R1774">
        <v>6.7787033939715604</v>
      </c>
      <c r="S1774">
        <v>102</v>
      </c>
      <c r="T1774">
        <v>32</v>
      </c>
      <c r="U1774">
        <v>996.90688949006199</v>
      </c>
      <c r="V1774">
        <v>3.6144578313253E-3</v>
      </c>
      <c r="W1774">
        <v>2648042.7057535001</v>
      </c>
      <c r="X1774" t="s">
        <v>44</v>
      </c>
      <c r="Y1774">
        <f>1-699-573-5519</f>
        <v>-6790</v>
      </c>
    </row>
    <row r="1775" spans="1:25" x14ac:dyDescent="0.35">
      <c r="A1775">
        <v>39.200876780327199</v>
      </c>
      <c r="B1775">
        <v>-117.062631997221</v>
      </c>
      <c r="C1775" t="s">
        <v>29</v>
      </c>
      <c r="D1775">
        <v>5.6169782559750496</v>
      </c>
      <c r="E1775">
        <v>9</v>
      </c>
      <c r="F1775">
        <v>2080</v>
      </c>
      <c r="G1775">
        <v>4</v>
      </c>
      <c r="H1775">
        <v>1</v>
      </c>
      <c r="I1775">
        <v>1952</v>
      </c>
      <c r="J1775">
        <v>1</v>
      </c>
      <c r="K1775">
        <v>0</v>
      </c>
      <c r="L1775">
        <v>1</v>
      </c>
      <c r="M1775">
        <v>2</v>
      </c>
      <c r="N1775" t="s">
        <v>26</v>
      </c>
      <c r="O1775" t="s">
        <v>30</v>
      </c>
      <c r="P1775">
        <v>4.6795548523662802</v>
      </c>
      <c r="Q1775">
        <v>1.9577171230714601</v>
      </c>
      <c r="R1775">
        <v>6.5105267404048401</v>
      </c>
      <c r="S1775">
        <v>22</v>
      </c>
      <c r="T1775">
        <v>47</v>
      </c>
      <c r="U1775">
        <v>347.85800098723502</v>
      </c>
      <c r="V1775">
        <v>9.6153846153846105E-4</v>
      </c>
      <c r="W1775">
        <v>999689.57964759495</v>
      </c>
      <c r="X1775" t="s">
        <v>43</v>
      </c>
      <c r="Y1775">
        <f>1-269-353-3878</f>
        <v>-4499</v>
      </c>
    </row>
    <row r="1776" spans="1:25" x14ac:dyDescent="0.35">
      <c r="A1776">
        <v>36.098532365540201</v>
      </c>
      <c r="B1776">
        <v>-114.983035630396</v>
      </c>
      <c r="C1776" t="s">
        <v>25</v>
      </c>
      <c r="D1776">
        <v>22.168850252283001</v>
      </c>
      <c r="E1776">
        <v>3</v>
      </c>
      <c r="F1776">
        <v>2839</v>
      </c>
      <c r="G1776">
        <v>5</v>
      </c>
      <c r="H1776">
        <v>1</v>
      </c>
      <c r="I1776">
        <v>1997</v>
      </c>
      <c r="J1776">
        <v>0</v>
      </c>
      <c r="K1776">
        <v>1</v>
      </c>
      <c r="L1776">
        <v>1</v>
      </c>
      <c r="M1776">
        <v>8</v>
      </c>
      <c r="N1776" t="s">
        <v>41</v>
      </c>
      <c r="O1776" t="s">
        <v>32</v>
      </c>
      <c r="P1776">
        <v>5.0486155127974</v>
      </c>
      <c r="Q1776">
        <v>0.99337235430449899</v>
      </c>
      <c r="R1776">
        <v>0.71326451616090902</v>
      </c>
      <c r="S1776">
        <v>31</v>
      </c>
      <c r="T1776">
        <v>36</v>
      </c>
      <c r="U1776">
        <v>479.13162338010198</v>
      </c>
      <c r="V1776">
        <v>2.8178936245156702E-3</v>
      </c>
      <c r="W1776">
        <v>1803545.01400383</v>
      </c>
      <c r="X1776" t="s">
        <v>28</v>
      </c>
      <c r="Y1776">
        <f>1-264-404-4053</f>
        <v>-4720</v>
      </c>
    </row>
    <row r="1777" spans="1:25" x14ac:dyDescent="0.35">
      <c r="A1777">
        <v>41.812644184692701</v>
      </c>
      <c r="B1777">
        <v>-120.61232396233</v>
      </c>
      <c r="C1777" t="s">
        <v>25</v>
      </c>
      <c r="D1777">
        <v>32.0197457020233</v>
      </c>
      <c r="E1777">
        <v>5</v>
      </c>
      <c r="F1777">
        <v>4748</v>
      </c>
      <c r="G1777">
        <v>5</v>
      </c>
      <c r="H1777">
        <v>3</v>
      </c>
      <c r="I1777">
        <v>1967</v>
      </c>
      <c r="J1777">
        <v>1</v>
      </c>
      <c r="K1777">
        <v>1</v>
      </c>
      <c r="L1777">
        <v>1</v>
      </c>
      <c r="M1777">
        <v>11</v>
      </c>
      <c r="N1777" t="s">
        <v>41</v>
      </c>
      <c r="O1777" t="s">
        <v>30</v>
      </c>
      <c r="P1777">
        <v>4.2481791982282404</v>
      </c>
      <c r="Q1777">
        <v>2.4755970519741299</v>
      </c>
      <c r="R1777">
        <v>7.7623508734860502</v>
      </c>
      <c r="S1777">
        <v>9</v>
      </c>
      <c r="T1777">
        <v>65</v>
      </c>
      <c r="U1777">
        <v>852.38723182024705</v>
      </c>
      <c r="V1777">
        <v>2.3167649536647E-3</v>
      </c>
      <c r="W1777">
        <v>4377652.0674615698</v>
      </c>
      <c r="X1777" t="s">
        <v>40</v>
      </c>
      <c r="Y1777">
        <f>1-300-808-6308</f>
        <v>-7415</v>
      </c>
    </row>
    <row r="1778" spans="1:25" x14ac:dyDescent="0.35">
      <c r="A1778">
        <v>37.932207269803399</v>
      </c>
      <c r="B1778">
        <v>-119.22440423373401</v>
      </c>
      <c r="C1778" t="s">
        <v>29</v>
      </c>
      <c r="D1778">
        <v>29.029256231067201</v>
      </c>
      <c r="E1778">
        <v>9</v>
      </c>
      <c r="F1778">
        <v>4700</v>
      </c>
      <c r="G1778">
        <v>4</v>
      </c>
      <c r="H1778">
        <v>1</v>
      </c>
      <c r="I1778">
        <v>1989</v>
      </c>
      <c r="J1778">
        <v>0</v>
      </c>
      <c r="K1778">
        <v>0</v>
      </c>
      <c r="L1778">
        <v>0</v>
      </c>
      <c r="M1778">
        <v>2</v>
      </c>
      <c r="N1778" t="s">
        <v>37</v>
      </c>
      <c r="O1778" t="s">
        <v>30</v>
      </c>
      <c r="P1778">
        <v>2.8016324001618198</v>
      </c>
      <c r="Q1778">
        <v>2.4043113611310098</v>
      </c>
      <c r="R1778">
        <v>1.9109008478259299</v>
      </c>
      <c r="S1778">
        <v>197</v>
      </c>
      <c r="T1778">
        <v>77</v>
      </c>
      <c r="U1778">
        <v>420.31664872602698</v>
      </c>
      <c r="V1778">
        <v>4.2553191489361702E-4</v>
      </c>
      <c r="W1778">
        <v>2174871.3918502401</v>
      </c>
      <c r="X1778" t="s">
        <v>38</v>
      </c>
      <c r="Y1778">
        <f>1-297-832-9848</f>
        <v>-10976</v>
      </c>
    </row>
    <row r="1779" spans="1:25" x14ac:dyDescent="0.35">
      <c r="A1779">
        <v>39.716241373140903</v>
      </c>
      <c r="B1779">
        <v>-114.749165144252</v>
      </c>
      <c r="C1779" t="s">
        <v>29</v>
      </c>
      <c r="D1779">
        <v>2.1524192437401202</v>
      </c>
      <c r="E1779">
        <v>1</v>
      </c>
      <c r="F1779">
        <v>1537</v>
      </c>
      <c r="G1779">
        <v>2</v>
      </c>
      <c r="H1779">
        <v>1</v>
      </c>
      <c r="I1779">
        <v>2001</v>
      </c>
      <c r="J1779">
        <v>1</v>
      </c>
      <c r="K1779">
        <v>0</v>
      </c>
      <c r="L1779">
        <v>1</v>
      </c>
      <c r="M1779">
        <v>14</v>
      </c>
      <c r="N1779" t="s">
        <v>26</v>
      </c>
      <c r="O1779" t="s">
        <v>27</v>
      </c>
      <c r="P1779">
        <v>9.5823337554211996</v>
      </c>
      <c r="Q1779">
        <v>2.1984964189282699</v>
      </c>
      <c r="R1779">
        <v>6.3697360462751398</v>
      </c>
      <c r="S1779">
        <v>4</v>
      </c>
      <c r="T1779">
        <v>58</v>
      </c>
      <c r="U1779">
        <v>437.63846025412198</v>
      </c>
      <c r="V1779">
        <v>9.1086532205595303E-3</v>
      </c>
      <c r="W1779">
        <v>883612.11494534498</v>
      </c>
      <c r="X1779" t="s">
        <v>43</v>
      </c>
      <c r="Y1779">
        <f>1-293-509-1070</f>
        <v>-1871</v>
      </c>
    </row>
    <row r="1780" spans="1:25" x14ac:dyDescent="0.35">
      <c r="A1780">
        <v>35.495298099168998</v>
      </c>
      <c r="B1780">
        <v>-119.956393545358</v>
      </c>
      <c r="C1780" t="s">
        <v>29</v>
      </c>
      <c r="D1780">
        <v>18.803818687711601</v>
      </c>
      <c r="E1780">
        <v>5</v>
      </c>
      <c r="F1780">
        <v>3655</v>
      </c>
      <c r="G1780">
        <v>3</v>
      </c>
      <c r="H1780">
        <v>2</v>
      </c>
      <c r="I1780">
        <v>1978</v>
      </c>
      <c r="J1780">
        <v>1</v>
      </c>
      <c r="K1780">
        <v>0</v>
      </c>
      <c r="L1780">
        <v>0</v>
      </c>
      <c r="M1780">
        <v>6</v>
      </c>
      <c r="N1780" t="s">
        <v>26</v>
      </c>
      <c r="O1780" t="s">
        <v>32</v>
      </c>
      <c r="P1780">
        <v>11.3172113770304</v>
      </c>
      <c r="Q1780">
        <v>0.74195359016768203</v>
      </c>
      <c r="R1780">
        <v>7.5150763665253004</v>
      </c>
      <c r="S1780">
        <v>123</v>
      </c>
      <c r="T1780">
        <v>59</v>
      </c>
      <c r="U1780">
        <v>309.80820792867002</v>
      </c>
      <c r="V1780">
        <v>1.64158686730506E-3</v>
      </c>
      <c r="W1780">
        <v>1406350.5190459101</v>
      </c>
      <c r="X1780" t="s">
        <v>42</v>
      </c>
      <c r="Y1780">
        <f>1-467-901-2023</f>
        <v>-3390</v>
      </c>
    </row>
    <row r="1781" spans="1:25" x14ac:dyDescent="0.35">
      <c r="A1781">
        <v>39.748873140214101</v>
      </c>
      <c r="B1781">
        <v>-120.873771919543</v>
      </c>
      <c r="C1781" t="s">
        <v>34</v>
      </c>
      <c r="D1781">
        <v>38.522011438377099</v>
      </c>
      <c r="E1781">
        <v>3</v>
      </c>
      <c r="F1781">
        <v>3215</v>
      </c>
      <c r="G1781">
        <v>4</v>
      </c>
      <c r="H1781">
        <v>2</v>
      </c>
      <c r="I1781">
        <v>2001</v>
      </c>
      <c r="J1781">
        <v>0</v>
      </c>
      <c r="K1781">
        <v>0</v>
      </c>
      <c r="L1781">
        <v>1</v>
      </c>
      <c r="M1781">
        <v>10</v>
      </c>
      <c r="N1781" t="s">
        <v>41</v>
      </c>
      <c r="O1781" t="s">
        <v>30</v>
      </c>
      <c r="P1781">
        <v>13.521740360355899</v>
      </c>
      <c r="Q1781">
        <v>1.36946322449139</v>
      </c>
      <c r="R1781">
        <v>1.82714860435285</v>
      </c>
      <c r="S1781">
        <v>67</v>
      </c>
      <c r="T1781">
        <v>79</v>
      </c>
      <c r="U1781">
        <v>973.57656921171701</v>
      </c>
      <c r="V1781">
        <v>3.1104199066874002E-3</v>
      </c>
      <c r="W1781">
        <v>3455240.3358124499</v>
      </c>
      <c r="X1781" t="s">
        <v>36</v>
      </c>
      <c r="Y1781">
        <f>1-296-981-1732</f>
        <v>-3008</v>
      </c>
    </row>
    <row r="1782" spans="1:25" x14ac:dyDescent="0.35">
      <c r="A1782">
        <v>33.029353248853397</v>
      </c>
      <c r="B1782">
        <v>-123.416743254217</v>
      </c>
      <c r="C1782" t="s">
        <v>29</v>
      </c>
      <c r="D1782">
        <v>27.6342316245821</v>
      </c>
      <c r="E1782">
        <v>6</v>
      </c>
      <c r="F1782">
        <v>1176</v>
      </c>
      <c r="G1782">
        <v>4</v>
      </c>
      <c r="H1782">
        <v>1</v>
      </c>
      <c r="I1782">
        <v>1990</v>
      </c>
      <c r="J1782">
        <v>1</v>
      </c>
      <c r="K1782">
        <v>0</v>
      </c>
      <c r="L1782">
        <v>0</v>
      </c>
      <c r="M1782">
        <v>3</v>
      </c>
      <c r="N1782" t="s">
        <v>37</v>
      </c>
      <c r="O1782" t="s">
        <v>27</v>
      </c>
      <c r="P1782">
        <v>14.9378819397503</v>
      </c>
      <c r="Q1782">
        <v>1.3342512872899399</v>
      </c>
      <c r="R1782">
        <v>3.4298090190349999</v>
      </c>
      <c r="S1782">
        <v>57</v>
      </c>
      <c r="T1782">
        <v>36</v>
      </c>
      <c r="U1782">
        <v>360.81598094960901</v>
      </c>
      <c r="V1782">
        <v>2.5510204081632599E-3</v>
      </c>
      <c r="W1782">
        <v>809277.33178918995</v>
      </c>
      <c r="X1782" t="s">
        <v>43</v>
      </c>
      <c r="Y1782">
        <f>1-731-135-2668</f>
        <v>-3533</v>
      </c>
    </row>
    <row r="1783" spans="1:25" x14ac:dyDescent="0.35">
      <c r="A1783">
        <v>33.950267683488001</v>
      </c>
      <c r="B1783">
        <v>-121.072778617705</v>
      </c>
      <c r="C1783" t="s">
        <v>29</v>
      </c>
      <c r="D1783">
        <v>45.8000363659947</v>
      </c>
      <c r="E1783">
        <v>5</v>
      </c>
      <c r="F1783">
        <v>1383</v>
      </c>
      <c r="G1783">
        <v>2</v>
      </c>
      <c r="H1783">
        <v>3</v>
      </c>
      <c r="I1783">
        <v>1988</v>
      </c>
      <c r="J1783">
        <v>1</v>
      </c>
      <c r="K1783">
        <v>0</v>
      </c>
      <c r="L1783">
        <v>1</v>
      </c>
      <c r="M1783">
        <v>6</v>
      </c>
      <c r="N1783" t="s">
        <v>37</v>
      </c>
      <c r="O1783" t="s">
        <v>32</v>
      </c>
      <c r="P1783">
        <v>5.5824924850564104</v>
      </c>
      <c r="Q1783">
        <v>0.96170129365840795</v>
      </c>
      <c r="R1783">
        <v>2.8034513326754502</v>
      </c>
      <c r="S1783">
        <v>192</v>
      </c>
      <c r="T1783">
        <v>65</v>
      </c>
      <c r="U1783">
        <v>823.47527828910495</v>
      </c>
      <c r="V1783">
        <v>4.3383947939262396E-3</v>
      </c>
      <c r="W1783">
        <v>1373686.59974954</v>
      </c>
      <c r="X1783" t="s">
        <v>33</v>
      </c>
      <c r="Y1783">
        <f>1-452-566-4753</f>
        <v>-5770</v>
      </c>
    </row>
    <row r="1784" spans="1:25" x14ac:dyDescent="0.35">
      <c r="A1784">
        <v>35.348635065859298</v>
      </c>
      <c r="B1784">
        <v>-115.665736441484</v>
      </c>
      <c r="C1784" t="s">
        <v>34</v>
      </c>
      <c r="D1784">
        <v>19.502280947671501</v>
      </c>
      <c r="E1784">
        <v>9</v>
      </c>
      <c r="F1784">
        <v>3403</v>
      </c>
      <c r="G1784">
        <v>4</v>
      </c>
      <c r="H1784">
        <v>3</v>
      </c>
      <c r="I1784">
        <v>2005</v>
      </c>
      <c r="J1784">
        <v>1</v>
      </c>
      <c r="K1784">
        <v>0</v>
      </c>
      <c r="L1784">
        <v>0</v>
      </c>
      <c r="M1784">
        <v>9</v>
      </c>
      <c r="N1784" t="s">
        <v>41</v>
      </c>
      <c r="O1784" t="s">
        <v>32</v>
      </c>
      <c r="P1784">
        <v>10.658272109729699</v>
      </c>
      <c r="Q1784">
        <v>2.10184577468296</v>
      </c>
      <c r="R1784">
        <v>9.9654370279303208</v>
      </c>
      <c r="S1784">
        <v>31</v>
      </c>
      <c r="T1784">
        <v>53</v>
      </c>
      <c r="U1784">
        <v>582.69908802662303</v>
      </c>
      <c r="V1784">
        <v>2.6447252424331401E-3</v>
      </c>
      <c r="W1784">
        <v>2344587.7552081901</v>
      </c>
      <c r="X1784" t="s">
        <v>39</v>
      </c>
      <c r="Y1784">
        <f>1-653-314-9802</f>
        <v>-10768</v>
      </c>
    </row>
    <row r="1785" spans="1:25" x14ac:dyDescent="0.35">
      <c r="A1785">
        <v>35.305765344362698</v>
      </c>
      <c r="B1785">
        <v>-115.878059642465</v>
      </c>
      <c r="C1785" t="s">
        <v>34</v>
      </c>
      <c r="D1785">
        <v>10.223159579472</v>
      </c>
      <c r="E1785">
        <v>5</v>
      </c>
      <c r="F1785">
        <v>3650</v>
      </c>
      <c r="G1785">
        <v>2</v>
      </c>
      <c r="H1785">
        <v>3</v>
      </c>
      <c r="I1785">
        <v>1980</v>
      </c>
      <c r="J1785">
        <v>0</v>
      </c>
      <c r="K1785">
        <v>1</v>
      </c>
      <c r="L1785">
        <v>1</v>
      </c>
      <c r="M1785">
        <v>5</v>
      </c>
      <c r="N1785" t="s">
        <v>35</v>
      </c>
      <c r="O1785" t="s">
        <v>30</v>
      </c>
      <c r="P1785">
        <v>4.8161557864763704</v>
      </c>
      <c r="Q1785">
        <v>2.0496377064521401</v>
      </c>
      <c r="R1785">
        <v>7.9806966549717098</v>
      </c>
      <c r="S1785">
        <v>51</v>
      </c>
      <c r="T1785">
        <v>23</v>
      </c>
      <c r="U1785">
        <v>578.52978868581397</v>
      </c>
      <c r="V1785">
        <v>1.3698630136986299E-3</v>
      </c>
      <c r="W1785">
        <v>2413289.2502430002</v>
      </c>
      <c r="X1785" t="s">
        <v>42</v>
      </c>
      <c r="Y1785">
        <f>1-554-229-4826</f>
        <v>-5608</v>
      </c>
    </row>
    <row r="1786" spans="1:25" x14ac:dyDescent="0.35">
      <c r="A1786">
        <v>37.149048524171</v>
      </c>
      <c r="B1786">
        <v>-120.557097438387</v>
      </c>
      <c r="C1786" t="s">
        <v>29</v>
      </c>
      <c r="D1786">
        <v>38.376864091499002</v>
      </c>
      <c r="E1786">
        <v>6</v>
      </c>
      <c r="F1786">
        <v>3635</v>
      </c>
      <c r="G1786">
        <v>2</v>
      </c>
      <c r="H1786">
        <v>1</v>
      </c>
      <c r="I1786">
        <v>1960</v>
      </c>
      <c r="J1786">
        <v>1</v>
      </c>
      <c r="K1786">
        <v>0</v>
      </c>
      <c r="L1786">
        <v>1</v>
      </c>
      <c r="M1786">
        <v>14</v>
      </c>
      <c r="N1786" t="s">
        <v>35</v>
      </c>
      <c r="O1786" t="s">
        <v>32</v>
      </c>
      <c r="P1786">
        <v>3.2556822836238699</v>
      </c>
      <c r="Q1786">
        <v>2.3801608280013999</v>
      </c>
      <c r="R1786">
        <v>0.663744878934586</v>
      </c>
      <c r="S1786">
        <v>8</v>
      </c>
      <c r="T1786">
        <v>26</v>
      </c>
      <c r="U1786">
        <v>887.57698913370598</v>
      </c>
      <c r="V1786">
        <v>3.8514442916093498E-3</v>
      </c>
      <c r="W1786">
        <v>3423991.7834839202</v>
      </c>
      <c r="X1786" t="s">
        <v>43</v>
      </c>
      <c r="Y1786">
        <f>1-333-800-6906</f>
        <v>-8038</v>
      </c>
    </row>
    <row r="1787" spans="1:25" x14ac:dyDescent="0.35">
      <c r="A1787">
        <v>33.615616689888</v>
      </c>
      <c r="B1787">
        <v>-123.86418637099899</v>
      </c>
      <c r="C1787" t="s">
        <v>25</v>
      </c>
      <c r="D1787">
        <v>48.805285945255797</v>
      </c>
      <c r="E1787">
        <v>0</v>
      </c>
      <c r="F1787">
        <v>930</v>
      </c>
      <c r="G1787">
        <v>1</v>
      </c>
      <c r="H1787">
        <v>1</v>
      </c>
      <c r="I1787">
        <v>1969</v>
      </c>
      <c r="J1787">
        <v>1</v>
      </c>
      <c r="K1787">
        <v>1</v>
      </c>
      <c r="L1787">
        <v>0</v>
      </c>
      <c r="M1787">
        <v>9</v>
      </c>
      <c r="N1787" t="s">
        <v>26</v>
      </c>
      <c r="O1787" t="s">
        <v>32</v>
      </c>
      <c r="P1787">
        <v>11.3727218048837</v>
      </c>
      <c r="Q1787">
        <v>1.75778432871992</v>
      </c>
      <c r="R1787">
        <v>6.7631629822821999</v>
      </c>
      <c r="S1787">
        <v>43</v>
      </c>
      <c r="T1787">
        <v>64</v>
      </c>
      <c r="U1787">
        <v>571.333564296389</v>
      </c>
      <c r="V1787">
        <v>9.6774193548387101E-3</v>
      </c>
      <c r="W1787">
        <v>736226.41988717404</v>
      </c>
      <c r="X1787" t="s">
        <v>33</v>
      </c>
      <c r="Y1787">
        <f>1-299-292-5834</f>
        <v>-6424</v>
      </c>
    </row>
    <row r="1788" spans="1:25" x14ac:dyDescent="0.35">
      <c r="A1788">
        <v>36.3078267721394</v>
      </c>
      <c r="B1788">
        <v>-116.426253313628</v>
      </c>
      <c r="C1788" t="s">
        <v>29</v>
      </c>
      <c r="D1788">
        <v>6.0852058630543304</v>
      </c>
      <c r="E1788">
        <v>7</v>
      </c>
      <c r="F1788">
        <v>2659</v>
      </c>
      <c r="G1788">
        <v>5</v>
      </c>
      <c r="H1788">
        <v>1</v>
      </c>
      <c r="I1788">
        <v>1962</v>
      </c>
      <c r="J1788">
        <v>1</v>
      </c>
      <c r="K1788">
        <v>0</v>
      </c>
      <c r="L1788">
        <v>0</v>
      </c>
      <c r="M1788">
        <v>14</v>
      </c>
      <c r="N1788" t="s">
        <v>37</v>
      </c>
      <c r="O1788" t="s">
        <v>32</v>
      </c>
      <c r="P1788">
        <v>2.7507795900687202</v>
      </c>
      <c r="Q1788">
        <v>1.4089847426422499</v>
      </c>
      <c r="R1788">
        <v>8.3784306414567808</v>
      </c>
      <c r="S1788">
        <v>108</v>
      </c>
      <c r="T1788">
        <v>53</v>
      </c>
      <c r="U1788">
        <v>314.34821850908997</v>
      </c>
      <c r="V1788">
        <v>5.2651372696502401E-3</v>
      </c>
      <c r="W1788">
        <v>1033118.55243196</v>
      </c>
      <c r="X1788" t="s">
        <v>33</v>
      </c>
      <c r="Y1788">
        <f>1-335-454-8646</f>
        <v>-9434</v>
      </c>
    </row>
    <row r="1789" spans="1:25" x14ac:dyDescent="0.35">
      <c r="A1789">
        <v>35.582460876215201</v>
      </c>
      <c r="B1789">
        <v>-122.988766483779</v>
      </c>
      <c r="C1789" t="s">
        <v>29</v>
      </c>
      <c r="D1789">
        <v>45.693506787636501</v>
      </c>
      <c r="E1789">
        <v>0</v>
      </c>
      <c r="F1789">
        <v>4722</v>
      </c>
      <c r="G1789">
        <v>4</v>
      </c>
      <c r="H1789">
        <v>1</v>
      </c>
      <c r="I1789">
        <v>1991</v>
      </c>
      <c r="J1789">
        <v>1</v>
      </c>
      <c r="K1789">
        <v>0</v>
      </c>
      <c r="L1789">
        <v>0</v>
      </c>
      <c r="M1789">
        <v>2</v>
      </c>
      <c r="N1789" t="s">
        <v>26</v>
      </c>
      <c r="O1789" t="s">
        <v>32</v>
      </c>
      <c r="P1789">
        <v>10.0334013638575</v>
      </c>
      <c r="Q1789">
        <v>2.3271678396762501</v>
      </c>
      <c r="R1789">
        <v>1.46815325475589</v>
      </c>
      <c r="S1789">
        <v>91</v>
      </c>
      <c r="T1789">
        <v>70</v>
      </c>
      <c r="U1789">
        <v>205.57075710789101</v>
      </c>
      <c r="V1789">
        <v>4.2354934349851702E-4</v>
      </c>
      <c r="W1789">
        <v>1279069.81768254</v>
      </c>
      <c r="X1789" t="s">
        <v>42</v>
      </c>
      <c r="Y1789">
        <f>1-704-503-6114</f>
        <v>-7320</v>
      </c>
    </row>
    <row r="1790" spans="1:25" x14ac:dyDescent="0.35">
      <c r="A1790">
        <v>37.991464087271297</v>
      </c>
      <c r="B1790">
        <v>-116.751763725464</v>
      </c>
      <c r="C1790" t="s">
        <v>29</v>
      </c>
      <c r="D1790">
        <v>31.210745436782599</v>
      </c>
      <c r="E1790">
        <v>9</v>
      </c>
      <c r="F1790">
        <v>2956</v>
      </c>
      <c r="G1790">
        <v>3</v>
      </c>
      <c r="H1790">
        <v>2</v>
      </c>
      <c r="I1790">
        <v>1954</v>
      </c>
      <c r="J1790">
        <v>1</v>
      </c>
      <c r="K1790">
        <v>0</v>
      </c>
      <c r="L1790">
        <v>1</v>
      </c>
      <c r="M1790">
        <v>11</v>
      </c>
      <c r="N1790" t="s">
        <v>26</v>
      </c>
      <c r="O1790" t="s">
        <v>27</v>
      </c>
      <c r="P1790">
        <v>13.218399896431301</v>
      </c>
      <c r="Q1790">
        <v>0.782948430677603</v>
      </c>
      <c r="R1790">
        <v>6.5047087140192801</v>
      </c>
      <c r="S1790">
        <v>22</v>
      </c>
      <c r="T1790">
        <v>64</v>
      </c>
      <c r="U1790">
        <v>666.50016691901999</v>
      </c>
      <c r="V1790">
        <v>3.7212449255750999E-3</v>
      </c>
      <c r="W1790">
        <v>2278860.58961026</v>
      </c>
      <c r="X1790" t="s">
        <v>33</v>
      </c>
      <c r="Y1790">
        <f>1-723-447-8435</f>
        <v>-9604</v>
      </c>
    </row>
    <row r="1791" spans="1:25" x14ac:dyDescent="0.35">
      <c r="A1791">
        <v>36.3237143827103</v>
      </c>
      <c r="B1791">
        <v>-116.282351137604</v>
      </c>
      <c r="C1791" t="s">
        <v>29</v>
      </c>
      <c r="D1791">
        <v>1.6881761824485699</v>
      </c>
      <c r="E1791">
        <v>9</v>
      </c>
      <c r="F1791">
        <v>2071</v>
      </c>
      <c r="G1791">
        <v>1</v>
      </c>
      <c r="H1791">
        <v>2</v>
      </c>
      <c r="I1791">
        <v>1980</v>
      </c>
      <c r="J1791">
        <v>1</v>
      </c>
      <c r="K1791">
        <v>0</v>
      </c>
      <c r="L1791">
        <v>0</v>
      </c>
      <c r="M1791">
        <v>4</v>
      </c>
      <c r="N1791" t="s">
        <v>41</v>
      </c>
      <c r="O1791" t="s">
        <v>30</v>
      </c>
      <c r="P1791">
        <v>2.8195629635586501</v>
      </c>
      <c r="Q1791">
        <v>1.1022781013162499</v>
      </c>
      <c r="R1791">
        <v>7.9610071770616599</v>
      </c>
      <c r="S1791">
        <v>166</v>
      </c>
      <c r="T1791">
        <v>57</v>
      </c>
      <c r="U1791">
        <v>370.30813959846699</v>
      </c>
      <c r="V1791">
        <v>1.9314340898116799E-3</v>
      </c>
      <c r="W1791">
        <v>873779.30383355299</v>
      </c>
      <c r="X1791" t="s">
        <v>39</v>
      </c>
      <c r="Y1791">
        <f>1-267-682-1329</f>
        <v>-2277</v>
      </c>
    </row>
    <row r="1792" spans="1:25" x14ac:dyDescent="0.35">
      <c r="A1792">
        <v>41.760264422065198</v>
      </c>
      <c r="B1792">
        <v>-115.440250261823</v>
      </c>
      <c r="C1792" t="s">
        <v>34</v>
      </c>
      <c r="D1792">
        <v>47.880518630617601</v>
      </c>
      <c r="E1792">
        <v>9</v>
      </c>
      <c r="F1792">
        <v>613</v>
      </c>
      <c r="G1792">
        <v>2</v>
      </c>
      <c r="H1792">
        <v>2</v>
      </c>
      <c r="I1792">
        <v>2002</v>
      </c>
      <c r="J1792">
        <v>0</v>
      </c>
      <c r="K1792">
        <v>1</v>
      </c>
      <c r="L1792">
        <v>0</v>
      </c>
      <c r="M1792">
        <v>12</v>
      </c>
      <c r="N1792" t="s">
        <v>37</v>
      </c>
      <c r="O1792" t="s">
        <v>30</v>
      </c>
      <c r="P1792">
        <v>13.888888925972299</v>
      </c>
      <c r="Q1792">
        <v>1.13602638903799</v>
      </c>
      <c r="R1792">
        <v>5.3668110580316402</v>
      </c>
      <c r="S1792">
        <v>27</v>
      </c>
      <c r="T1792">
        <v>69</v>
      </c>
      <c r="U1792">
        <v>855.47194335619804</v>
      </c>
      <c r="V1792">
        <v>1.9575856443719401E-2</v>
      </c>
      <c r="W1792">
        <v>862282.82706205896</v>
      </c>
      <c r="X1792" t="s">
        <v>44</v>
      </c>
      <c r="Y1792">
        <f>1-972-338-1001</f>
        <v>-2310</v>
      </c>
    </row>
    <row r="1793" spans="1:25" x14ac:dyDescent="0.35">
      <c r="A1793">
        <v>41.225975213153099</v>
      </c>
      <c r="B1793">
        <v>-117.643411641306</v>
      </c>
      <c r="C1793" t="s">
        <v>34</v>
      </c>
      <c r="D1793">
        <v>45.443236763795902</v>
      </c>
      <c r="E1793">
        <v>3</v>
      </c>
      <c r="F1793">
        <v>1418</v>
      </c>
      <c r="G1793">
        <v>5</v>
      </c>
      <c r="H1793">
        <v>2</v>
      </c>
      <c r="I1793">
        <v>1951</v>
      </c>
      <c r="J1793">
        <v>1</v>
      </c>
      <c r="K1793">
        <v>1</v>
      </c>
      <c r="L1793">
        <v>0</v>
      </c>
      <c r="M1793">
        <v>6</v>
      </c>
      <c r="N1793" t="s">
        <v>26</v>
      </c>
      <c r="O1793" t="s">
        <v>27</v>
      </c>
      <c r="P1793">
        <v>9.4651838624233608</v>
      </c>
      <c r="Q1793">
        <v>0.86881170695479804</v>
      </c>
      <c r="R1793">
        <v>3.8869412536209902E-2</v>
      </c>
      <c r="S1793">
        <v>150</v>
      </c>
      <c r="T1793">
        <v>24</v>
      </c>
      <c r="U1793">
        <v>606.38089737890198</v>
      </c>
      <c r="V1793">
        <v>4.2313117066290502E-3</v>
      </c>
      <c r="W1793">
        <v>1240087.4782750399</v>
      </c>
      <c r="X1793" t="s">
        <v>36</v>
      </c>
      <c r="Y1793">
        <f>1-461-436-2264</f>
        <v>-3160</v>
      </c>
    </row>
    <row r="1794" spans="1:25" x14ac:dyDescent="0.35">
      <c r="A1794">
        <v>41.262749877020397</v>
      </c>
      <c r="B1794">
        <v>-118.761707199097</v>
      </c>
      <c r="C1794" t="s">
        <v>34</v>
      </c>
      <c r="D1794">
        <v>38.000975296063601</v>
      </c>
      <c r="E1794">
        <v>9</v>
      </c>
      <c r="F1794">
        <v>3454</v>
      </c>
      <c r="G1794">
        <v>5</v>
      </c>
      <c r="H1794">
        <v>2</v>
      </c>
      <c r="I1794">
        <v>1977</v>
      </c>
      <c r="J1794">
        <v>0</v>
      </c>
      <c r="K1794">
        <v>0</v>
      </c>
      <c r="L1794">
        <v>0</v>
      </c>
      <c r="M1794">
        <v>14</v>
      </c>
      <c r="N1794" t="s">
        <v>26</v>
      </c>
      <c r="O1794" t="s">
        <v>27</v>
      </c>
      <c r="P1794">
        <v>3.3235597092775899</v>
      </c>
      <c r="Q1794">
        <v>2.0295483448562699</v>
      </c>
      <c r="R1794">
        <v>1.1587859372079501</v>
      </c>
      <c r="S1794">
        <v>105</v>
      </c>
      <c r="T1794">
        <v>67</v>
      </c>
      <c r="U1794">
        <v>278.09273026830903</v>
      </c>
      <c r="V1794">
        <v>4.05327156919513E-3</v>
      </c>
      <c r="W1794">
        <v>1235600.48794049</v>
      </c>
      <c r="X1794" t="s">
        <v>38</v>
      </c>
      <c r="Y1794">
        <f>1-370-579-8862</f>
        <v>-9810</v>
      </c>
    </row>
    <row r="1795" spans="1:25" x14ac:dyDescent="0.35">
      <c r="A1795">
        <v>34.508686429111201</v>
      </c>
      <c r="B1795">
        <v>-118.90116597652001</v>
      </c>
      <c r="C1795" t="s">
        <v>25</v>
      </c>
      <c r="D1795">
        <v>47.213484126873098</v>
      </c>
      <c r="E1795">
        <v>9</v>
      </c>
      <c r="F1795">
        <v>2570</v>
      </c>
      <c r="G1795">
        <v>1</v>
      </c>
      <c r="H1795">
        <v>1</v>
      </c>
      <c r="I1795">
        <v>2005</v>
      </c>
      <c r="J1795">
        <v>0</v>
      </c>
      <c r="K1795">
        <v>0</v>
      </c>
      <c r="L1795">
        <v>0</v>
      </c>
      <c r="M1795">
        <v>2</v>
      </c>
      <c r="N1795" t="s">
        <v>26</v>
      </c>
      <c r="O1795" t="s">
        <v>30</v>
      </c>
      <c r="P1795">
        <v>13.5676558354587</v>
      </c>
      <c r="Q1795">
        <v>1.36199139967605</v>
      </c>
      <c r="R1795">
        <v>9.0504801362506697</v>
      </c>
      <c r="S1795">
        <v>89</v>
      </c>
      <c r="T1795">
        <v>55</v>
      </c>
      <c r="U1795">
        <v>426.81400111653102</v>
      </c>
      <c r="V1795">
        <v>7.7821011673151702E-4</v>
      </c>
      <c r="W1795">
        <v>1169424.50461003</v>
      </c>
      <c r="X1795" t="s">
        <v>40</v>
      </c>
      <c r="Y1795">
        <f>1-209-874-9379</f>
        <v>-10461</v>
      </c>
    </row>
    <row r="1796" spans="1:25" x14ac:dyDescent="0.35">
      <c r="A1796">
        <v>34.068199812596397</v>
      </c>
      <c r="B1796">
        <v>-116.77919469216199</v>
      </c>
      <c r="C1796" t="s">
        <v>34</v>
      </c>
      <c r="D1796">
        <v>23.610537522112701</v>
      </c>
      <c r="E1796">
        <v>6</v>
      </c>
      <c r="F1796">
        <v>2236</v>
      </c>
      <c r="G1796">
        <v>5</v>
      </c>
      <c r="H1796">
        <v>3</v>
      </c>
      <c r="I1796">
        <v>1983</v>
      </c>
      <c r="J1796">
        <v>1</v>
      </c>
      <c r="K1796">
        <v>1</v>
      </c>
      <c r="L1796">
        <v>0</v>
      </c>
      <c r="M1796">
        <v>9</v>
      </c>
      <c r="N1796" t="s">
        <v>35</v>
      </c>
      <c r="O1796" t="s">
        <v>32</v>
      </c>
      <c r="P1796">
        <v>12.3476466098817</v>
      </c>
      <c r="Q1796">
        <v>2.1284499967332202</v>
      </c>
      <c r="R1796">
        <v>7.7177861958727902</v>
      </c>
      <c r="S1796">
        <v>146</v>
      </c>
      <c r="T1796">
        <v>33</v>
      </c>
      <c r="U1796">
        <v>750.07103904435303</v>
      </c>
      <c r="V1796">
        <v>4.0250447227191399E-3</v>
      </c>
      <c r="W1796">
        <v>2107615.3663602402</v>
      </c>
      <c r="X1796" t="s">
        <v>33</v>
      </c>
      <c r="Y1796">
        <f>1-410-713-9443</f>
        <v>-10565</v>
      </c>
    </row>
    <row r="1797" spans="1:25" x14ac:dyDescent="0.35">
      <c r="A1797">
        <v>37.5325947749349</v>
      </c>
      <c r="B1797">
        <v>-122.885725890359</v>
      </c>
      <c r="C1797" t="s">
        <v>25</v>
      </c>
      <c r="D1797">
        <v>34.018634015614801</v>
      </c>
      <c r="E1797">
        <v>0</v>
      </c>
      <c r="F1797">
        <v>3805</v>
      </c>
      <c r="G1797">
        <v>1</v>
      </c>
      <c r="H1797">
        <v>1</v>
      </c>
      <c r="I1797">
        <v>2020</v>
      </c>
      <c r="J1797">
        <v>1</v>
      </c>
      <c r="K1797">
        <v>0</v>
      </c>
      <c r="L1797">
        <v>1</v>
      </c>
      <c r="M1797">
        <v>2</v>
      </c>
      <c r="N1797" t="s">
        <v>41</v>
      </c>
      <c r="O1797" t="s">
        <v>30</v>
      </c>
      <c r="P1797">
        <v>14.0864944768112</v>
      </c>
      <c r="Q1797">
        <v>0.75580722638584796</v>
      </c>
      <c r="R1797">
        <v>6.5906855290527702</v>
      </c>
      <c r="S1797">
        <v>6</v>
      </c>
      <c r="T1797">
        <v>28</v>
      </c>
      <c r="U1797">
        <v>714.51017211964302</v>
      </c>
      <c r="V1797">
        <v>5.2562417871221997E-4</v>
      </c>
      <c r="W1797">
        <v>2944110.2763845799</v>
      </c>
      <c r="X1797" t="s">
        <v>33</v>
      </c>
      <c r="Y1797">
        <f>1-787-875-8154</f>
        <v>-9815</v>
      </c>
    </row>
    <row r="1798" spans="1:25" x14ac:dyDescent="0.35">
      <c r="A1798">
        <v>36.8951079439016</v>
      </c>
      <c r="B1798">
        <v>-115.220164474927</v>
      </c>
      <c r="C1798" t="s">
        <v>25</v>
      </c>
      <c r="D1798">
        <v>27.5148103113536</v>
      </c>
      <c r="E1798">
        <v>7</v>
      </c>
      <c r="F1798">
        <v>3291</v>
      </c>
      <c r="G1798">
        <v>3</v>
      </c>
      <c r="H1798">
        <v>1</v>
      </c>
      <c r="I1798">
        <v>1955</v>
      </c>
      <c r="J1798">
        <v>1</v>
      </c>
      <c r="K1798">
        <v>0</v>
      </c>
      <c r="L1798">
        <v>1</v>
      </c>
      <c r="M1798">
        <v>7</v>
      </c>
      <c r="N1798" t="s">
        <v>35</v>
      </c>
      <c r="O1798" t="s">
        <v>27</v>
      </c>
      <c r="P1798">
        <v>6.4474420917452004</v>
      </c>
      <c r="Q1798">
        <v>1.08303226729075</v>
      </c>
      <c r="R1798">
        <v>5.6183604727460299</v>
      </c>
      <c r="S1798">
        <v>144</v>
      </c>
      <c r="T1798">
        <v>54</v>
      </c>
      <c r="U1798">
        <v>928.98254624546496</v>
      </c>
      <c r="V1798">
        <v>2.1270130659374002E-3</v>
      </c>
      <c r="W1798">
        <v>3193455.8210408702</v>
      </c>
      <c r="X1798" t="s">
        <v>40</v>
      </c>
      <c r="Y1798">
        <f>1-457-520-5066</f>
        <v>-6042</v>
      </c>
    </row>
    <row r="1799" spans="1:25" x14ac:dyDescent="0.35">
      <c r="A1799">
        <v>41.841066686511397</v>
      </c>
      <c r="B1799">
        <v>-123.193453276409</v>
      </c>
      <c r="C1799" t="s">
        <v>25</v>
      </c>
      <c r="D1799">
        <v>8.1795324985585403</v>
      </c>
      <c r="E1799">
        <v>3</v>
      </c>
      <c r="F1799">
        <v>3119</v>
      </c>
      <c r="G1799">
        <v>3</v>
      </c>
      <c r="H1799">
        <v>2</v>
      </c>
      <c r="I1799">
        <v>2020</v>
      </c>
      <c r="J1799">
        <v>1</v>
      </c>
      <c r="K1799">
        <v>0</v>
      </c>
      <c r="L1799">
        <v>0</v>
      </c>
      <c r="M1799">
        <v>7</v>
      </c>
      <c r="N1799" t="s">
        <v>41</v>
      </c>
      <c r="O1799" t="s">
        <v>27</v>
      </c>
      <c r="P1799">
        <v>2.7682533482094498</v>
      </c>
      <c r="Q1799">
        <v>2.2246891853581001</v>
      </c>
      <c r="R1799">
        <v>0.58959065122691601</v>
      </c>
      <c r="S1799">
        <v>74</v>
      </c>
      <c r="T1799">
        <v>47</v>
      </c>
      <c r="U1799">
        <v>522.523666979636</v>
      </c>
      <c r="V1799">
        <v>2.2443090734209602E-3</v>
      </c>
      <c r="W1799">
        <v>1850129.2539104701</v>
      </c>
      <c r="X1799" t="s">
        <v>43</v>
      </c>
      <c r="Y1799">
        <f>1-340-758-4718</f>
        <v>-5815</v>
      </c>
    </row>
    <row r="1800" spans="1:25" x14ac:dyDescent="0.35">
      <c r="A1800">
        <v>39.490438638752302</v>
      </c>
      <c r="B1800">
        <v>-118.731312863862</v>
      </c>
      <c r="C1800" t="s">
        <v>34</v>
      </c>
      <c r="D1800">
        <v>23.6671303438671</v>
      </c>
      <c r="E1800">
        <v>4</v>
      </c>
      <c r="F1800">
        <v>4853</v>
      </c>
      <c r="G1800">
        <v>3</v>
      </c>
      <c r="H1800">
        <v>3</v>
      </c>
      <c r="I1800">
        <v>2010</v>
      </c>
      <c r="J1800">
        <v>0</v>
      </c>
      <c r="K1800">
        <v>0</v>
      </c>
      <c r="L1800">
        <v>1</v>
      </c>
      <c r="M1800">
        <v>2</v>
      </c>
      <c r="N1800" t="s">
        <v>26</v>
      </c>
      <c r="O1800" t="s">
        <v>32</v>
      </c>
      <c r="P1800">
        <v>6.5977318097659099</v>
      </c>
      <c r="Q1800">
        <v>0.71147830982698901</v>
      </c>
      <c r="R1800">
        <v>6.8638035229848002</v>
      </c>
      <c r="S1800">
        <v>130</v>
      </c>
      <c r="T1800">
        <v>62</v>
      </c>
      <c r="U1800">
        <v>270.65887165837898</v>
      </c>
      <c r="V1800">
        <v>4.1211621677313001E-4</v>
      </c>
      <c r="W1800">
        <v>1557553.93135024</v>
      </c>
      <c r="X1800" t="s">
        <v>40</v>
      </c>
      <c r="Y1800">
        <f>1-255-216-6653</f>
        <v>-7123</v>
      </c>
    </row>
    <row r="1801" spans="1:25" x14ac:dyDescent="0.35">
      <c r="A1801">
        <v>32.516472767824098</v>
      </c>
      <c r="B1801">
        <v>-117.54756888365699</v>
      </c>
      <c r="C1801" t="s">
        <v>29</v>
      </c>
      <c r="D1801">
        <v>15.5471364216934</v>
      </c>
      <c r="E1801">
        <v>6</v>
      </c>
      <c r="F1801">
        <v>2356</v>
      </c>
      <c r="G1801">
        <v>1</v>
      </c>
      <c r="H1801">
        <v>2</v>
      </c>
      <c r="I1801">
        <v>1993</v>
      </c>
      <c r="J1801">
        <v>0</v>
      </c>
      <c r="K1801">
        <v>0</v>
      </c>
      <c r="L1801">
        <v>0</v>
      </c>
      <c r="M1801">
        <v>8</v>
      </c>
      <c r="N1801" t="s">
        <v>37</v>
      </c>
      <c r="O1801" t="s">
        <v>30</v>
      </c>
      <c r="P1801">
        <v>12.250383244217501</v>
      </c>
      <c r="Q1801">
        <v>1.7808128598630799</v>
      </c>
      <c r="R1801">
        <v>9.75437790522931</v>
      </c>
      <c r="S1801">
        <v>56</v>
      </c>
      <c r="T1801">
        <v>71</v>
      </c>
      <c r="U1801">
        <v>959.73578002686202</v>
      </c>
      <c r="V1801">
        <v>3.3955857385398898E-3</v>
      </c>
      <c r="W1801">
        <v>2415201.0626095999</v>
      </c>
      <c r="X1801" t="s">
        <v>28</v>
      </c>
      <c r="Y1801">
        <f>1-873-990-7391</f>
        <v>-9253</v>
      </c>
    </row>
    <row r="1802" spans="1:25" x14ac:dyDescent="0.35">
      <c r="A1802">
        <v>34.522659911467798</v>
      </c>
      <c r="B1802">
        <v>-123.61218135127299</v>
      </c>
      <c r="C1802" t="s">
        <v>34</v>
      </c>
      <c r="D1802">
        <v>38.151449140372698</v>
      </c>
      <c r="E1802">
        <v>4</v>
      </c>
      <c r="F1802">
        <v>4630</v>
      </c>
      <c r="G1802">
        <v>2</v>
      </c>
      <c r="H1802">
        <v>2</v>
      </c>
      <c r="I1802">
        <v>1984</v>
      </c>
      <c r="J1802">
        <v>1</v>
      </c>
      <c r="K1802">
        <v>1</v>
      </c>
      <c r="L1802">
        <v>1</v>
      </c>
      <c r="M1802">
        <v>5</v>
      </c>
      <c r="N1802" t="s">
        <v>37</v>
      </c>
      <c r="O1802" t="s">
        <v>27</v>
      </c>
      <c r="P1802">
        <v>5.2184712574646399</v>
      </c>
      <c r="Q1802">
        <v>1.8570129759814</v>
      </c>
      <c r="R1802">
        <v>7.6127654564844596</v>
      </c>
      <c r="S1802">
        <v>192</v>
      </c>
      <c r="T1802">
        <v>53</v>
      </c>
      <c r="U1802">
        <v>263.45816500977901</v>
      </c>
      <c r="V1802">
        <v>1.07991360691144E-3</v>
      </c>
      <c r="W1802">
        <v>1431650.0446065201</v>
      </c>
      <c r="X1802" t="s">
        <v>31</v>
      </c>
      <c r="Y1802">
        <f>1-470-713-7248</f>
        <v>-8430</v>
      </c>
    </row>
    <row r="1803" spans="1:25" x14ac:dyDescent="0.35">
      <c r="A1803">
        <v>37.9294228427447</v>
      </c>
      <c r="B1803">
        <v>-120.588297359127</v>
      </c>
      <c r="C1803" t="s">
        <v>34</v>
      </c>
      <c r="D1803">
        <v>16.184975236521002</v>
      </c>
      <c r="E1803">
        <v>3</v>
      </c>
      <c r="F1803">
        <v>502</v>
      </c>
      <c r="G1803">
        <v>5</v>
      </c>
      <c r="H1803">
        <v>1</v>
      </c>
      <c r="I1803">
        <v>1965</v>
      </c>
      <c r="J1803">
        <v>1</v>
      </c>
      <c r="K1803">
        <v>0</v>
      </c>
      <c r="L1803">
        <v>1</v>
      </c>
      <c r="M1803">
        <v>14</v>
      </c>
      <c r="N1803" t="s">
        <v>35</v>
      </c>
      <c r="O1803" t="s">
        <v>30</v>
      </c>
      <c r="P1803">
        <v>11.2508258780673</v>
      </c>
      <c r="Q1803">
        <v>1.41849569318574</v>
      </c>
      <c r="R1803">
        <v>6.6264048928711903</v>
      </c>
      <c r="S1803">
        <v>41</v>
      </c>
      <c r="T1803">
        <v>30</v>
      </c>
      <c r="U1803">
        <v>389.209389436712</v>
      </c>
      <c r="V1803">
        <v>2.78884462151394E-2</v>
      </c>
      <c r="W1803">
        <v>470589.72357867198</v>
      </c>
      <c r="X1803" t="s">
        <v>39</v>
      </c>
      <c r="Y1803">
        <f>1-387-875-7918</f>
        <v>-9179</v>
      </c>
    </row>
    <row r="1804" spans="1:25" x14ac:dyDescent="0.35">
      <c r="A1804">
        <v>36.015716342419701</v>
      </c>
      <c r="B1804">
        <v>-122.07596935482201</v>
      </c>
      <c r="C1804" t="s">
        <v>29</v>
      </c>
      <c r="D1804">
        <v>30.772693332409599</v>
      </c>
      <c r="E1804">
        <v>8</v>
      </c>
      <c r="F1804">
        <v>4550</v>
      </c>
      <c r="G1804">
        <v>2</v>
      </c>
      <c r="H1804">
        <v>3</v>
      </c>
      <c r="I1804">
        <v>1975</v>
      </c>
      <c r="J1804">
        <v>1</v>
      </c>
      <c r="K1804">
        <v>0</v>
      </c>
      <c r="L1804">
        <v>1</v>
      </c>
      <c r="M1804">
        <v>13</v>
      </c>
      <c r="N1804" t="s">
        <v>41</v>
      </c>
      <c r="O1804" t="s">
        <v>30</v>
      </c>
      <c r="P1804">
        <v>11.656858950496099</v>
      </c>
      <c r="Q1804">
        <v>1.5616954959429601</v>
      </c>
      <c r="R1804">
        <v>2.7245401197133901</v>
      </c>
      <c r="S1804">
        <v>190</v>
      </c>
      <c r="T1804">
        <v>53</v>
      </c>
      <c r="U1804">
        <v>225.07848230788099</v>
      </c>
      <c r="V1804">
        <v>2.8571428571428502E-3</v>
      </c>
      <c r="W1804">
        <v>1329093.1339746399</v>
      </c>
      <c r="X1804" t="s">
        <v>31</v>
      </c>
      <c r="Y1804">
        <f>1-243-854-8551</f>
        <v>-9647</v>
      </c>
    </row>
    <row r="1805" spans="1:25" x14ac:dyDescent="0.35">
      <c r="A1805">
        <v>40.606622518376298</v>
      </c>
      <c r="B1805">
        <v>-121.67908505149001</v>
      </c>
      <c r="C1805" t="s">
        <v>34</v>
      </c>
      <c r="D1805">
        <v>34.082030614737903</v>
      </c>
      <c r="E1805">
        <v>3</v>
      </c>
      <c r="F1805">
        <v>2705</v>
      </c>
      <c r="G1805">
        <v>2</v>
      </c>
      <c r="H1805">
        <v>2</v>
      </c>
      <c r="I1805">
        <v>1989</v>
      </c>
      <c r="J1805">
        <v>1</v>
      </c>
      <c r="K1805">
        <v>0</v>
      </c>
      <c r="L1805">
        <v>1</v>
      </c>
      <c r="M1805">
        <v>12</v>
      </c>
      <c r="N1805" t="s">
        <v>41</v>
      </c>
      <c r="O1805" t="s">
        <v>30</v>
      </c>
      <c r="P1805">
        <v>14.381652828294699</v>
      </c>
      <c r="Q1805">
        <v>1.7660498043125199</v>
      </c>
      <c r="R1805">
        <v>4.3468164745188798</v>
      </c>
      <c r="S1805">
        <v>77</v>
      </c>
      <c r="T1805">
        <v>29</v>
      </c>
      <c r="U1805">
        <v>391.46737513867498</v>
      </c>
      <c r="V1805">
        <v>4.4362292051756003E-3</v>
      </c>
      <c r="W1805">
        <v>1332495.1611385101</v>
      </c>
      <c r="X1805" t="s">
        <v>42</v>
      </c>
      <c r="Y1805">
        <f>1-977-209-8447</f>
        <v>-9632</v>
      </c>
    </row>
    <row r="1806" spans="1:25" x14ac:dyDescent="0.35">
      <c r="A1806">
        <v>35.473866412524302</v>
      </c>
      <c r="B1806">
        <v>-121.52019710155901</v>
      </c>
      <c r="C1806" t="s">
        <v>29</v>
      </c>
      <c r="D1806">
        <v>7.2867490357596596</v>
      </c>
      <c r="E1806">
        <v>4</v>
      </c>
      <c r="F1806">
        <v>919</v>
      </c>
      <c r="G1806">
        <v>3</v>
      </c>
      <c r="H1806">
        <v>3</v>
      </c>
      <c r="I1806">
        <v>1995</v>
      </c>
      <c r="J1806">
        <v>0</v>
      </c>
      <c r="K1806">
        <v>0</v>
      </c>
      <c r="L1806">
        <v>1</v>
      </c>
      <c r="M1806">
        <v>3</v>
      </c>
      <c r="N1806" t="s">
        <v>41</v>
      </c>
      <c r="O1806" t="s">
        <v>32</v>
      </c>
      <c r="P1806">
        <v>8.5272796319398996</v>
      </c>
      <c r="Q1806">
        <v>1.1700090782403101</v>
      </c>
      <c r="R1806">
        <v>6.55188564807231</v>
      </c>
      <c r="S1806">
        <v>26</v>
      </c>
      <c r="T1806">
        <v>55</v>
      </c>
      <c r="U1806">
        <v>883.80932390989506</v>
      </c>
      <c r="V1806">
        <v>3.2644178454842199E-3</v>
      </c>
      <c r="W1806">
        <v>1122495.12506871</v>
      </c>
      <c r="X1806" t="s">
        <v>43</v>
      </c>
      <c r="Y1806">
        <f>1-233-414-9090</f>
        <v>-9736</v>
      </c>
    </row>
    <row r="1807" spans="1:25" x14ac:dyDescent="0.35">
      <c r="A1807">
        <v>40.2987904804748</v>
      </c>
      <c r="B1807">
        <v>-121.173993711789</v>
      </c>
      <c r="C1807" t="s">
        <v>29</v>
      </c>
      <c r="D1807">
        <v>19.3484400560063</v>
      </c>
      <c r="E1807">
        <v>9</v>
      </c>
      <c r="F1807">
        <v>4776</v>
      </c>
      <c r="G1807">
        <v>5</v>
      </c>
      <c r="H1807">
        <v>3</v>
      </c>
      <c r="I1807">
        <v>2014</v>
      </c>
      <c r="J1807">
        <v>1</v>
      </c>
      <c r="K1807">
        <v>1</v>
      </c>
      <c r="L1807">
        <v>1</v>
      </c>
      <c r="M1807">
        <v>5</v>
      </c>
      <c r="N1807" t="s">
        <v>37</v>
      </c>
      <c r="O1807" t="s">
        <v>32</v>
      </c>
      <c r="P1807">
        <v>4.0214590734592504</v>
      </c>
      <c r="Q1807">
        <v>2.1332141117076602</v>
      </c>
      <c r="R1807">
        <v>5.1263486588090696</v>
      </c>
      <c r="S1807">
        <v>88</v>
      </c>
      <c r="T1807">
        <v>56</v>
      </c>
      <c r="U1807">
        <v>997.90501676870804</v>
      </c>
      <c r="V1807">
        <v>1.0469011725293101E-3</v>
      </c>
      <c r="W1807">
        <v>5220963.9604073204</v>
      </c>
      <c r="X1807" t="s">
        <v>36</v>
      </c>
      <c r="Y1807">
        <f>1-339-319-1879</f>
        <v>-2536</v>
      </c>
    </row>
    <row r="1808" spans="1:25" x14ac:dyDescent="0.35">
      <c r="A1808">
        <v>33.865740289723597</v>
      </c>
      <c r="B1808">
        <v>-121.398078158633</v>
      </c>
      <c r="C1808" t="s">
        <v>34</v>
      </c>
      <c r="D1808">
        <v>27.085147139662102</v>
      </c>
      <c r="E1808">
        <v>6</v>
      </c>
      <c r="F1808">
        <v>536</v>
      </c>
      <c r="G1808">
        <v>2</v>
      </c>
      <c r="H1808">
        <v>1</v>
      </c>
      <c r="I1808">
        <v>1993</v>
      </c>
      <c r="J1808">
        <v>0</v>
      </c>
      <c r="K1808">
        <v>0</v>
      </c>
      <c r="L1808">
        <v>0</v>
      </c>
      <c r="M1808">
        <v>14</v>
      </c>
      <c r="N1808" t="s">
        <v>37</v>
      </c>
      <c r="O1808" t="s">
        <v>30</v>
      </c>
      <c r="P1808">
        <v>12.355510821427</v>
      </c>
      <c r="Q1808">
        <v>0.87089887794716603</v>
      </c>
      <c r="R1808">
        <v>1.7795073526344001</v>
      </c>
      <c r="S1808">
        <v>138</v>
      </c>
      <c r="T1808">
        <v>34</v>
      </c>
      <c r="U1808">
        <v>225.40269161419101</v>
      </c>
      <c r="V1808">
        <v>2.6119402985074602E-2</v>
      </c>
      <c r="W1808">
        <v>333979.74889321299</v>
      </c>
      <c r="X1808" t="s">
        <v>39</v>
      </c>
      <c r="Y1808">
        <f>1-242-910-7048</f>
        <v>-8199</v>
      </c>
    </row>
    <row r="1809" spans="1:25" x14ac:dyDescent="0.35">
      <c r="A1809">
        <v>35.268339243057703</v>
      </c>
      <c r="B1809">
        <v>-121.16802770371901</v>
      </c>
      <c r="C1809" t="s">
        <v>29</v>
      </c>
      <c r="D1809">
        <v>8.4165968932339599</v>
      </c>
      <c r="E1809">
        <v>8</v>
      </c>
      <c r="F1809">
        <v>2282</v>
      </c>
      <c r="G1809">
        <v>1</v>
      </c>
      <c r="H1809">
        <v>3</v>
      </c>
      <c r="I1809">
        <v>1979</v>
      </c>
      <c r="J1809">
        <v>1</v>
      </c>
      <c r="K1809">
        <v>1</v>
      </c>
      <c r="L1809">
        <v>0</v>
      </c>
      <c r="M1809">
        <v>12</v>
      </c>
      <c r="N1809" t="s">
        <v>26</v>
      </c>
      <c r="O1809" t="s">
        <v>27</v>
      </c>
      <c r="P1809">
        <v>13.305696444326299</v>
      </c>
      <c r="Q1809">
        <v>1.0103086163874999</v>
      </c>
      <c r="R1809">
        <v>3.7997345456610399</v>
      </c>
      <c r="S1809">
        <v>186</v>
      </c>
      <c r="T1809">
        <v>29</v>
      </c>
      <c r="U1809">
        <v>817.31867308157405</v>
      </c>
      <c r="V1809">
        <v>5.2585451358457399E-3</v>
      </c>
      <c r="W1809">
        <v>2110650.0691118101</v>
      </c>
      <c r="X1809" t="s">
        <v>31</v>
      </c>
      <c r="Y1809">
        <f>1-283-231-9726</f>
        <v>-10239</v>
      </c>
    </row>
    <row r="1810" spans="1:25" x14ac:dyDescent="0.35">
      <c r="A1810">
        <v>37.643494058341197</v>
      </c>
      <c r="B1810">
        <v>-116.36325404106999</v>
      </c>
      <c r="C1810" t="s">
        <v>29</v>
      </c>
      <c r="D1810">
        <v>9.2869752785503792</v>
      </c>
      <c r="E1810">
        <v>1</v>
      </c>
      <c r="F1810">
        <v>4340</v>
      </c>
      <c r="G1810">
        <v>4</v>
      </c>
      <c r="H1810">
        <v>1</v>
      </c>
      <c r="I1810">
        <v>1982</v>
      </c>
      <c r="J1810">
        <v>1</v>
      </c>
      <c r="K1810">
        <v>1</v>
      </c>
      <c r="L1810">
        <v>0</v>
      </c>
      <c r="M1810">
        <v>12</v>
      </c>
      <c r="N1810" t="s">
        <v>37</v>
      </c>
      <c r="O1810" t="s">
        <v>30</v>
      </c>
      <c r="P1810">
        <v>13.137758131962499</v>
      </c>
      <c r="Q1810">
        <v>0.68788496024539203</v>
      </c>
      <c r="R1810">
        <v>8.9827370199620198</v>
      </c>
      <c r="S1810">
        <v>189</v>
      </c>
      <c r="T1810">
        <v>40</v>
      </c>
      <c r="U1810">
        <v>205.01293562562901</v>
      </c>
      <c r="V1810">
        <v>2.76497695852534E-3</v>
      </c>
      <c r="W1810">
        <v>1285991.4266942199</v>
      </c>
      <c r="X1810" t="s">
        <v>33</v>
      </c>
      <c r="Y1810">
        <f>1-272-223-4267</f>
        <v>-4761</v>
      </c>
    </row>
    <row r="1811" spans="1:25" x14ac:dyDescent="0.35">
      <c r="A1811">
        <v>35.940177745881698</v>
      </c>
      <c r="B1811">
        <v>-123.554977008693</v>
      </c>
      <c r="C1811" t="s">
        <v>29</v>
      </c>
      <c r="D1811">
        <v>25.569744426195999</v>
      </c>
      <c r="E1811">
        <v>0</v>
      </c>
      <c r="F1811">
        <v>4866</v>
      </c>
      <c r="G1811">
        <v>3</v>
      </c>
      <c r="H1811">
        <v>2</v>
      </c>
      <c r="I1811">
        <v>1970</v>
      </c>
      <c r="J1811">
        <v>0</v>
      </c>
      <c r="K1811">
        <v>1</v>
      </c>
      <c r="L1811">
        <v>0</v>
      </c>
      <c r="M1811">
        <v>10</v>
      </c>
      <c r="N1811" t="s">
        <v>37</v>
      </c>
      <c r="O1811" t="s">
        <v>32</v>
      </c>
      <c r="P1811">
        <v>8.2334306053096107</v>
      </c>
      <c r="Q1811">
        <v>1.70960923342163</v>
      </c>
      <c r="R1811">
        <v>1.4507438246909801</v>
      </c>
      <c r="S1811">
        <v>91</v>
      </c>
      <c r="T1811">
        <v>22</v>
      </c>
      <c r="U1811">
        <v>791.03826482919703</v>
      </c>
      <c r="V1811">
        <v>2.0550760378133899E-3</v>
      </c>
      <c r="W1811">
        <v>4101324.8197375298</v>
      </c>
      <c r="X1811" t="s">
        <v>42</v>
      </c>
      <c r="Y1811">
        <f>1-538-139-6613</f>
        <v>-7289</v>
      </c>
    </row>
    <row r="1812" spans="1:25" x14ac:dyDescent="0.35">
      <c r="A1812">
        <v>40.232931604015199</v>
      </c>
      <c r="B1812">
        <v>-116.87353100647</v>
      </c>
      <c r="C1812" t="s">
        <v>29</v>
      </c>
      <c r="D1812">
        <v>35.948435342762998</v>
      </c>
      <c r="E1812">
        <v>1</v>
      </c>
      <c r="F1812">
        <v>1676</v>
      </c>
      <c r="G1812">
        <v>1</v>
      </c>
      <c r="H1812">
        <v>2</v>
      </c>
      <c r="I1812">
        <v>1990</v>
      </c>
      <c r="J1812">
        <v>0</v>
      </c>
      <c r="K1812">
        <v>0</v>
      </c>
      <c r="L1812">
        <v>1</v>
      </c>
      <c r="M1812">
        <v>13</v>
      </c>
      <c r="N1812" t="s">
        <v>35</v>
      </c>
      <c r="O1812" t="s">
        <v>32</v>
      </c>
      <c r="P1812">
        <v>4.8620719404253796</v>
      </c>
      <c r="Q1812">
        <v>0.55679787399210201</v>
      </c>
      <c r="R1812">
        <v>5.7731261061552601</v>
      </c>
      <c r="S1812">
        <v>53</v>
      </c>
      <c r="T1812">
        <v>47</v>
      </c>
      <c r="U1812">
        <v>429.08233820470002</v>
      </c>
      <c r="V1812">
        <v>7.7565632458233801E-3</v>
      </c>
      <c r="W1812">
        <v>795252.46127900097</v>
      </c>
      <c r="X1812" t="s">
        <v>44</v>
      </c>
      <c r="Y1812">
        <f>1-250-694-4921</f>
        <v>-5864</v>
      </c>
    </row>
    <row r="1813" spans="1:25" x14ac:dyDescent="0.35">
      <c r="A1813">
        <v>40.116150764378297</v>
      </c>
      <c r="B1813">
        <v>-115.322361660954</v>
      </c>
      <c r="C1813" t="s">
        <v>29</v>
      </c>
      <c r="D1813">
        <v>27.608697809996201</v>
      </c>
      <c r="E1813">
        <v>5</v>
      </c>
      <c r="F1813">
        <v>1925</v>
      </c>
      <c r="G1813">
        <v>2</v>
      </c>
      <c r="H1813">
        <v>3</v>
      </c>
      <c r="I1813">
        <v>2000</v>
      </c>
      <c r="J1813">
        <v>0</v>
      </c>
      <c r="K1813">
        <v>0</v>
      </c>
      <c r="L1813">
        <v>1</v>
      </c>
      <c r="M1813">
        <v>14</v>
      </c>
      <c r="N1813" t="s">
        <v>26</v>
      </c>
      <c r="O1813" t="s">
        <v>32</v>
      </c>
      <c r="P1813">
        <v>11.7849325348776</v>
      </c>
      <c r="Q1813">
        <v>0.57314276638221795</v>
      </c>
      <c r="R1813">
        <v>7.5767313850745603</v>
      </c>
      <c r="S1813">
        <v>97</v>
      </c>
      <c r="T1813">
        <v>30</v>
      </c>
      <c r="U1813">
        <v>477.08170370541802</v>
      </c>
      <c r="V1813">
        <v>7.2727272727272701E-3</v>
      </c>
      <c r="W1813">
        <v>1097924.45712839</v>
      </c>
      <c r="X1813" t="s">
        <v>43</v>
      </c>
      <c r="Y1813">
        <f>1-919-709-3500</f>
        <v>-5127</v>
      </c>
    </row>
    <row r="1814" spans="1:25" x14ac:dyDescent="0.35">
      <c r="A1814">
        <v>40.144536213737297</v>
      </c>
      <c r="B1814">
        <v>-119.378713942343</v>
      </c>
      <c r="C1814" t="s">
        <v>34</v>
      </c>
      <c r="D1814">
        <v>9.9989718901800106</v>
      </c>
      <c r="E1814">
        <v>2</v>
      </c>
      <c r="F1814">
        <v>534</v>
      </c>
      <c r="G1814">
        <v>3</v>
      </c>
      <c r="H1814">
        <v>2</v>
      </c>
      <c r="I1814">
        <v>1997</v>
      </c>
      <c r="J1814">
        <v>1</v>
      </c>
      <c r="K1814">
        <v>1</v>
      </c>
      <c r="L1814">
        <v>0</v>
      </c>
      <c r="M1814">
        <v>3</v>
      </c>
      <c r="N1814" t="s">
        <v>35</v>
      </c>
      <c r="O1814" t="s">
        <v>32</v>
      </c>
      <c r="P1814">
        <v>6.7224975905828002</v>
      </c>
      <c r="Q1814">
        <v>1.8358378181317601</v>
      </c>
      <c r="R1814">
        <v>4.4700109337851703</v>
      </c>
      <c r="S1814">
        <v>133</v>
      </c>
      <c r="T1814">
        <v>49</v>
      </c>
      <c r="U1814">
        <v>923.44238790318002</v>
      </c>
      <c r="V1814">
        <v>5.6179775280898797E-3</v>
      </c>
      <c r="W1814">
        <v>761113.48901849799</v>
      </c>
      <c r="X1814" t="s">
        <v>44</v>
      </c>
      <c r="Y1814">
        <f>1-227-183-9713</f>
        <v>-10122</v>
      </c>
    </row>
    <row r="1815" spans="1:25" x14ac:dyDescent="0.35">
      <c r="A1815">
        <v>37.917444764035601</v>
      </c>
      <c r="B1815">
        <v>-118.96248043002799</v>
      </c>
      <c r="C1815" t="s">
        <v>29</v>
      </c>
      <c r="D1815">
        <v>1.60408450883999</v>
      </c>
      <c r="E1815">
        <v>8</v>
      </c>
      <c r="F1815">
        <v>4208</v>
      </c>
      <c r="G1815">
        <v>2</v>
      </c>
      <c r="H1815">
        <v>1</v>
      </c>
      <c r="I1815">
        <v>1972</v>
      </c>
      <c r="J1815">
        <v>1</v>
      </c>
      <c r="K1815">
        <v>0</v>
      </c>
      <c r="L1815">
        <v>0</v>
      </c>
      <c r="M1815">
        <v>11</v>
      </c>
      <c r="N1815" t="s">
        <v>35</v>
      </c>
      <c r="O1815" t="s">
        <v>30</v>
      </c>
      <c r="P1815">
        <v>7.5768707670348698</v>
      </c>
      <c r="Q1815">
        <v>1.06489331114648</v>
      </c>
      <c r="R1815">
        <v>4.5070687828884299</v>
      </c>
      <c r="S1815">
        <v>55</v>
      </c>
      <c r="T1815">
        <v>71</v>
      </c>
      <c r="U1815">
        <v>968.22911096609403</v>
      </c>
      <c r="V1815">
        <v>2.6140684410646299E-3</v>
      </c>
      <c r="W1815">
        <v>4194595.8239992196</v>
      </c>
      <c r="X1815" t="s">
        <v>43</v>
      </c>
      <c r="Y1815">
        <f>1-898-866-7782</f>
        <v>-9545</v>
      </c>
    </row>
    <row r="1816" spans="1:25" x14ac:dyDescent="0.35">
      <c r="A1816">
        <v>37.853007747716603</v>
      </c>
      <c r="B1816">
        <v>-115.859270184785</v>
      </c>
      <c r="C1816" t="s">
        <v>25</v>
      </c>
      <c r="D1816">
        <v>39.188271781540301</v>
      </c>
      <c r="E1816">
        <v>6</v>
      </c>
      <c r="F1816">
        <v>2628</v>
      </c>
      <c r="G1816">
        <v>2</v>
      </c>
      <c r="H1816">
        <v>3</v>
      </c>
      <c r="I1816">
        <v>2001</v>
      </c>
      <c r="J1816">
        <v>1</v>
      </c>
      <c r="K1816">
        <v>1</v>
      </c>
      <c r="L1816">
        <v>1</v>
      </c>
      <c r="M1816">
        <v>12</v>
      </c>
      <c r="N1816" t="s">
        <v>37</v>
      </c>
      <c r="O1816" t="s">
        <v>32</v>
      </c>
      <c r="P1816">
        <v>9.9137457395799302</v>
      </c>
      <c r="Q1816">
        <v>2.3274591808359402</v>
      </c>
      <c r="R1816">
        <v>5.1066317473953298</v>
      </c>
      <c r="S1816">
        <v>146</v>
      </c>
      <c r="T1816">
        <v>78</v>
      </c>
      <c r="U1816">
        <v>479.94718708646502</v>
      </c>
      <c r="V1816">
        <v>4.5662100456621002E-3</v>
      </c>
      <c r="W1816">
        <v>1663305.61215023</v>
      </c>
      <c r="X1816" t="s">
        <v>40</v>
      </c>
      <c r="Y1816">
        <f>1-750-585-4095</f>
        <v>-5429</v>
      </c>
    </row>
    <row r="1817" spans="1:25" x14ac:dyDescent="0.35">
      <c r="A1817">
        <v>38.808745708292797</v>
      </c>
      <c r="B1817">
        <v>-122.284329093986</v>
      </c>
      <c r="C1817" t="s">
        <v>25</v>
      </c>
      <c r="D1817">
        <v>5.0517336653025904</v>
      </c>
      <c r="E1817">
        <v>6</v>
      </c>
      <c r="F1817">
        <v>1535</v>
      </c>
      <c r="G1817">
        <v>1</v>
      </c>
      <c r="H1817">
        <v>3</v>
      </c>
      <c r="I1817">
        <v>2002</v>
      </c>
      <c r="J1817">
        <v>1</v>
      </c>
      <c r="K1817">
        <v>1</v>
      </c>
      <c r="L1817">
        <v>1</v>
      </c>
      <c r="M1817">
        <v>10</v>
      </c>
      <c r="N1817" t="s">
        <v>37</v>
      </c>
      <c r="O1817" t="s">
        <v>32</v>
      </c>
      <c r="P1817">
        <v>6.3743795608375002</v>
      </c>
      <c r="Q1817">
        <v>0.724021109045902</v>
      </c>
      <c r="R1817">
        <v>0.274384556983987</v>
      </c>
      <c r="S1817">
        <v>67</v>
      </c>
      <c r="T1817">
        <v>44</v>
      </c>
      <c r="U1817">
        <v>733.52265126133602</v>
      </c>
      <c r="V1817">
        <v>6.5146579804560203E-3</v>
      </c>
      <c r="W1817">
        <v>1442912.31406156</v>
      </c>
      <c r="X1817" t="s">
        <v>43</v>
      </c>
      <c r="Y1817">
        <f>1-341-893-1936</f>
        <v>-3169</v>
      </c>
    </row>
    <row r="1818" spans="1:25" x14ac:dyDescent="0.35">
      <c r="A1818">
        <v>38.1199842821961</v>
      </c>
      <c r="B1818">
        <v>-114.583965152619</v>
      </c>
      <c r="C1818" t="s">
        <v>34</v>
      </c>
      <c r="D1818">
        <v>13.569736278238601</v>
      </c>
      <c r="E1818">
        <v>7</v>
      </c>
      <c r="F1818">
        <v>3869</v>
      </c>
      <c r="G1818">
        <v>3</v>
      </c>
      <c r="H1818">
        <v>3</v>
      </c>
      <c r="I1818">
        <v>2014</v>
      </c>
      <c r="J1818">
        <v>1</v>
      </c>
      <c r="K1818">
        <v>0</v>
      </c>
      <c r="L1818">
        <v>1</v>
      </c>
      <c r="M1818">
        <v>4</v>
      </c>
      <c r="N1818" t="s">
        <v>37</v>
      </c>
      <c r="O1818" t="s">
        <v>27</v>
      </c>
      <c r="P1818">
        <v>5.9803063830474299</v>
      </c>
      <c r="Q1818">
        <v>0.84095240176728803</v>
      </c>
      <c r="R1818">
        <v>0.73314824433150105</v>
      </c>
      <c r="S1818">
        <v>105</v>
      </c>
      <c r="T1818">
        <v>52</v>
      </c>
      <c r="U1818">
        <v>978.19684656518996</v>
      </c>
      <c r="V1818">
        <v>1.0338588782631099E-3</v>
      </c>
      <c r="W1818">
        <v>4104091.2995623299</v>
      </c>
      <c r="X1818" t="s">
        <v>43</v>
      </c>
      <c r="Y1818">
        <f>1-650-402-6589</f>
        <v>-7640</v>
      </c>
    </row>
    <row r="1819" spans="1:25" x14ac:dyDescent="0.35">
      <c r="A1819">
        <v>33.256316386641302</v>
      </c>
      <c r="B1819">
        <v>-119.278434397347</v>
      </c>
      <c r="C1819" t="s">
        <v>25</v>
      </c>
      <c r="D1819">
        <v>11.452248559989499</v>
      </c>
      <c r="E1819">
        <v>9</v>
      </c>
      <c r="F1819">
        <v>3155</v>
      </c>
      <c r="G1819">
        <v>3</v>
      </c>
      <c r="H1819">
        <v>1</v>
      </c>
      <c r="I1819">
        <v>1959</v>
      </c>
      <c r="J1819">
        <v>1</v>
      </c>
      <c r="K1819">
        <v>1</v>
      </c>
      <c r="L1819">
        <v>0</v>
      </c>
      <c r="M1819">
        <v>3</v>
      </c>
      <c r="N1819" t="s">
        <v>41</v>
      </c>
      <c r="O1819" t="s">
        <v>32</v>
      </c>
      <c r="P1819">
        <v>9.0910979169517301</v>
      </c>
      <c r="Q1819">
        <v>2.1702810709617499</v>
      </c>
      <c r="R1819">
        <v>7.8795056760459898</v>
      </c>
      <c r="S1819">
        <v>0</v>
      </c>
      <c r="T1819">
        <v>56</v>
      </c>
      <c r="U1819">
        <v>991.33557737954402</v>
      </c>
      <c r="V1819">
        <v>9.5087163232963499E-4</v>
      </c>
      <c r="W1819">
        <v>3391996.7821645499</v>
      </c>
      <c r="X1819" t="s">
        <v>40</v>
      </c>
      <c r="Y1819">
        <f>1-987-644-2001</f>
        <v>-3631</v>
      </c>
    </row>
    <row r="1820" spans="1:25" x14ac:dyDescent="0.35">
      <c r="A1820">
        <v>33.514131893947003</v>
      </c>
      <c r="B1820">
        <v>-121.210007252734</v>
      </c>
      <c r="C1820" t="s">
        <v>29</v>
      </c>
      <c r="D1820">
        <v>17.641395631567999</v>
      </c>
      <c r="E1820">
        <v>2</v>
      </c>
      <c r="F1820">
        <v>4692</v>
      </c>
      <c r="G1820">
        <v>3</v>
      </c>
      <c r="H1820">
        <v>2</v>
      </c>
      <c r="I1820">
        <v>2015</v>
      </c>
      <c r="J1820">
        <v>1</v>
      </c>
      <c r="K1820">
        <v>0</v>
      </c>
      <c r="L1820">
        <v>0</v>
      </c>
      <c r="M1820">
        <v>2</v>
      </c>
      <c r="N1820" t="s">
        <v>37</v>
      </c>
      <c r="O1820" t="s">
        <v>30</v>
      </c>
      <c r="P1820">
        <v>10.608812327063101</v>
      </c>
      <c r="Q1820">
        <v>1.7627861108440499</v>
      </c>
      <c r="R1820">
        <v>0.73221028916965403</v>
      </c>
      <c r="S1820">
        <v>184</v>
      </c>
      <c r="T1820">
        <v>65</v>
      </c>
      <c r="U1820">
        <v>380.92464431714802</v>
      </c>
      <c r="V1820">
        <v>4.2625745950554102E-4</v>
      </c>
      <c r="W1820">
        <v>2062981.47455164</v>
      </c>
      <c r="X1820" t="s">
        <v>39</v>
      </c>
      <c r="Y1820">
        <f>1-604-452-7423</f>
        <v>-8478</v>
      </c>
    </row>
    <row r="1821" spans="1:25" x14ac:dyDescent="0.35">
      <c r="A1821">
        <v>38.2063663874806</v>
      </c>
      <c r="B1821">
        <v>-114.942184758351</v>
      </c>
      <c r="C1821" t="s">
        <v>29</v>
      </c>
      <c r="D1821">
        <v>30.981333169540601</v>
      </c>
      <c r="E1821">
        <v>4</v>
      </c>
      <c r="F1821">
        <v>4834</v>
      </c>
      <c r="G1821">
        <v>1</v>
      </c>
      <c r="H1821">
        <v>2</v>
      </c>
      <c r="I1821">
        <v>2004</v>
      </c>
      <c r="J1821">
        <v>1</v>
      </c>
      <c r="K1821">
        <v>1</v>
      </c>
      <c r="L1821">
        <v>1</v>
      </c>
      <c r="M1821">
        <v>12</v>
      </c>
      <c r="N1821" t="s">
        <v>37</v>
      </c>
      <c r="O1821" t="s">
        <v>27</v>
      </c>
      <c r="P1821">
        <v>10.401601433092701</v>
      </c>
      <c r="Q1821">
        <v>1.2800088800848901</v>
      </c>
      <c r="R1821">
        <v>7.6594409654426299</v>
      </c>
      <c r="S1821">
        <v>49</v>
      </c>
      <c r="T1821">
        <v>63</v>
      </c>
      <c r="U1821">
        <v>297.16324501991102</v>
      </c>
      <c r="V1821">
        <v>2.48241621845262E-3</v>
      </c>
      <c r="W1821">
        <v>1803657.4411500201</v>
      </c>
      <c r="X1821" t="s">
        <v>33</v>
      </c>
      <c r="Y1821">
        <f>1-711-474-2741</f>
        <v>-3925</v>
      </c>
    </row>
    <row r="1822" spans="1:25" x14ac:dyDescent="0.35">
      <c r="A1822">
        <v>39.207665386749802</v>
      </c>
      <c r="B1822">
        <v>-120.918083375878</v>
      </c>
      <c r="C1822" t="s">
        <v>25</v>
      </c>
      <c r="D1822">
        <v>17.288507430384399</v>
      </c>
      <c r="E1822">
        <v>0</v>
      </c>
      <c r="F1822">
        <v>4998</v>
      </c>
      <c r="G1822">
        <v>4</v>
      </c>
      <c r="H1822">
        <v>1</v>
      </c>
      <c r="I1822">
        <v>1965</v>
      </c>
      <c r="J1822">
        <v>0</v>
      </c>
      <c r="K1822">
        <v>1</v>
      </c>
      <c r="L1822">
        <v>1</v>
      </c>
      <c r="M1822">
        <v>10</v>
      </c>
      <c r="N1822" t="s">
        <v>26</v>
      </c>
      <c r="O1822" t="s">
        <v>32</v>
      </c>
      <c r="P1822">
        <v>7.0422711708767904</v>
      </c>
      <c r="Q1822">
        <v>2.0601689654740998</v>
      </c>
      <c r="R1822">
        <v>1.1595419658620101</v>
      </c>
      <c r="S1822">
        <v>11</v>
      </c>
      <c r="T1822">
        <v>69</v>
      </c>
      <c r="U1822">
        <v>715.940319388906</v>
      </c>
      <c r="V1822">
        <v>2.00080032012805E-3</v>
      </c>
      <c r="W1822">
        <v>3908832.0249501402</v>
      </c>
      <c r="X1822" t="s">
        <v>36</v>
      </c>
      <c r="Y1822">
        <f>1-260-319-3612</f>
        <v>-4190</v>
      </c>
    </row>
    <row r="1823" spans="1:25" x14ac:dyDescent="0.35">
      <c r="A1823">
        <v>41.250825670694297</v>
      </c>
      <c r="B1823">
        <v>-114.38902664514799</v>
      </c>
      <c r="C1823" t="s">
        <v>25</v>
      </c>
      <c r="D1823">
        <v>24.875723445161402</v>
      </c>
      <c r="E1823">
        <v>2</v>
      </c>
      <c r="F1823">
        <v>2033</v>
      </c>
      <c r="G1823">
        <v>5</v>
      </c>
      <c r="H1823">
        <v>3</v>
      </c>
      <c r="I1823">
        <v>1959</v>
      </c>
      <c r="J1823">
        <v>0</v>
      </c>
      <c r="K1823">
        <v>0</v>
      </c>
      <c r="L1823">
        <v>0</v>
      </c>
      <c r="M1823">
        <v>4</v>
      </c>
      <c r="N1823" t="s">
        <v>35</v>
      </c>
      <c r="O1823" t="s">
        <v>32</v>
      </c>
      <c r="P1823">
        <v>13.759969589983299</v>
      </c>
      <c r="Q1823">
        <v>1.4151301733983801</v>
      </c>
      <c r="R1823">
        <v>0.84684490049884498</v>
      </c>
      <c r="S1823">
        <v>197</v>
      </c>
      <c r="T1823">
        <v>69</v>
      </c>
      <c r="U1823">
        <v>408.21411661067901</v>
      </c>
      <c r="V1823">
        <v>1.96753566158386E-3</v>
      </c>
      <c r="W1823">
        <v>1129504.07292617</v>
      </c>
      <c r="X1823" t="s">
        <v>36</v>
      </c>
      <c r="Y1823">
        <f>1-516-574-5288</f>
        <v>-6377</v>
      </c>
    </row>
    <row r="1824" spans="1:25" x14ac:dyDescent="0.35">
      <c r="A1824">
        <v>33.776230488823103</v>
      </c>
      <c r="B1824">
        <v>-114.964742171262</v>
      </c>
      <c r="C1824" t="s">
        <v>25</v>
      </c>
      <c r="D1824">
        <v>18.4650911503036</v>
      </c>
      <c r="E1824">
        <v>1</v>
      </c>
      <c r="F1824">
        <v>3641</v>
      </c>
      <c r="G1824">
        <v>5</v>
      </c>
      <c r="H1824">
        <v>1</v>
      </c>
      <c r="I1824">
        <v>1991</v>
      </c>
      <c r="J1824">
        <v>1</v>
      </c>
      <c r="K1824">
        <v>1</v>
      </c>
      <c r="L1824">
        <v>0</v>
      </c>
      <c r="M1824">
        <v>13</v>
      </c>
      <c r="N1824" t="s">
        <v>41</v>
      </c>
      <c r="O1824" t="s">
        <v>27</v>
      </c>
      <c r="P1824">
        <v>5.02019269246584</v>
      </c>
      <c r="Q1824">
        <v>1.5843000592179699</v>
      </c>
      <c r="R1824">
        <v>2.5210673904528802</v>
      </c>
      <c r="S1824">
        <v>194</v>
      </c>
      <c r="T1824">
        <v>61</v>
      </c>
      <c r="U1824">
        <v>533.15002019334599</v>
      </c>
      <c r="V1824">
        <v>3.5704476792089998E-3</v>
      </c>
      <c r="W1824">
        <v>2264239.9797368399</v>
      </c>
      <c r="X1824" t="s">
        <v>33</v>
      </c>
      <c r="Y1824">
        <f>1-320-982-6001</f>
        <v>-7302</v>
      </c>
    </row>
    <row r="1825" spans="1:25" x14ac:dyDescent="0.35">
      <c r="A1825">
        <v>39.389292368365197</v>
      </c>
      <c r="B1825">
        <v>-121.92069561469999</v>
      </c>
      <c r="C1825" t="s">
        <v>34</v>
      </c>
      <c r="D1825">
        <v>26.606908012667802</v>
      </c>
      <c r="E1825">
        <v>0</v>
      </c>
      <c r="F1825">
        <v>1263</v>
      </c>
      <c r="G1825">
        <v>3</v>
      </c>
      <c r="H1825">
        <v>2</v>
      </c>
      <c r="I1825">
        <v>1959</v>
      </c>
      <c r="J1825">
        <v>0</v>
      </c>
      <c r="K1825">
        <v>0</v>
      </c>
      <c r="L1825">
        <v>1</v>
      </c>
      <c r="M1825">
        <v>5</v>
      </c>
      <c r="N1825" t="s">
        <v>26</v>
      </c>
      <c r="O1825" t="s">
        <v>30</v>
      </c>
      <c r="P1825">
        <v>3.6251872863568999</v>
      </c>
      <c r="Q1825">
        <v>1.5672972214390299</v>
      </c>
      <c r="R1825">
        <v>3.9859844328444298</v>
      </c>
      <c r="S1825">
        <v>62</v>
      </c>
      <c r="T1825">
        <v>45</v>
      </c>
      <c r="U1825">
        <v>760.82599894345503</v>
      </c>
      <c r="V1825">
        <v>3.95882818685669E-3</v>
      </c>
      <c r="W1825">
        <v>1032026.6693579101</v>
      </c>
      <c r="X1825" t="s">
        <v>33</v>
      </c>
      <c r="Y1825">
        <f>1-432-638-5934</f>
        <v>-7003</v>
      </c>
    </row>
    <row r="1826" spans="1:25" x14ac:dyDescent="0.35">
      <c r="A1826">
        <v>38.576199803452297</v>
      </c>
      <c r="B1826">
        <v>-120.704480212805</v>
      </c>
      <c r="C1826" t="s">
        <v>25</v>
      </c>
      <c r="D1826">
        <v>6.5012210960196697</v>
      </c>
      <c r="E1826">
        <v>3</v>
      </c>
      <c r="F1826">
        <v>1082</v>
      </c>
      <c r="G1826">
        <v>2</v>
      </c>
      <c r="H1826">
        <v>3</v>
      </c>
      <c r="I1826">
        <v>2003</v>
      </c>
      <c r="J1826">
        <v>0</v>
      </c>
      <c r="K1826">
        <v>0</v>
      </c>
      <c r="L1826">
        <v>1</v>
      </c>
      <c r="M1826">
        <v>2</v>
      </c>
      <c r="N1826" t="s">
        <v>35</v>
      </c>
      <c r="O1826" t="s">
        <v>30</v>
      </c>
      <c r="P1826">
        <v>12.987471227919199</v>
      </c>
      <c r="Q1826">
        <v>0.630506657379444</v>
      </c>
      <c r="R1826">
        <v>3.6126350732335801</v>
      </c>
      <c r="S1826">
        <v>119</v>
      </c>
      <c r="T1826">
        <v>44</v>
      </c>
      <c r="U1826">
        <v>358.37712700853001</v>
      </c>
      <c r="V1826">
        <v>1.8484288354898299E-3</v>
      </c>
      <c r="W1826">
        <v>663428.91279758397</v>
      </c>
      <c r="X1826" t="s">
        <v>31</v>
      </c>
      <c r="Y1826">
        <f>1-763-487-2020</f>
        <v>-3269</v>
      </c>
    </row>
    <row r="1827" spans="1:25" x14ac:dyDescent="0.35">
      <c r="A1827">
        <v>32.554567076326897</v>
      </c>
      <c r="B1827">
        <v>-117.587370617627</v>
      </c>
      <c r="C1827" t="s">
        <v>25</v>
      </c>
      <c r="D1827">
        <v>4.2617415866615902</v>
      </c>
      <c r="E1827">
        <v>1</v>
      </c>
      <c r="F1827">
        <v>996</v>
      </c>
      <c r="G1827">
        <v>5</v>
      </c>
      <c r="H1827">
        <v>2</v>
      </c>
      <c r="I1827">
        <v>1975</v>
      </c>
      <c r="J1827">
        <v>1</v>
      </c>
      <c r="K1827">
        <v>0</v>
      </c>
      <c r="L1827">
        <v>0</v>
      </c>
      <c r="M1827">
        <v>12</v>
      </c>
      <c r="N1827" t="s">
        <v>35</v>
      </c>
      <c r="O1827" t="s">
        <v>27</v>
      </c>
      <c r="P1827">
        <v>3.8403250566149199</v>
      </c>
      <c r="Q1827">
        <v>1.1276628257066601</v>
      </c>
      <c r="R1827">
        <v>3.0803223605750998</v>
      </c>
      <c r="S1827">
        <v>41</v>
      </c>
      <c r="T1827">
        <v>40</v>
      </c>
      <c r="U1827">
        <v>979.71488702602403</v>
      </c>
      <c r="V1827">
        <v>1.20481927710843E-2</v>
      </c>
      <c r="W1827">
        <v>1358511.87378397</v>
      </c>
      <c r="X1827" t="s">
        <v>43</v>
      </c>
      <c r="Y1827">
        <f>1-662-375-4477</f>
        <v>-5513</v>
      </c>
    </row>
    <row r="1828" spans="1:25" x14ac:dyDescent="0.35">
      <c r="A1828">
        <v>32.892301739863697</v>
      </c>
      <c r="B1828">
        <v>-121.823586246696</v>
      </c>
      <c r="C1828" t="s">
        <v>29</v>
      </c>
      <c r="D1828">
        <v>47.107555710912798</v>
      </c>
      <c r="E1828">
        <v>2</v>
      </c>
      <c r="F1828">
        <v>4901</v>
      </c>
      <c r="G1828">
        <v>5</v>
      </c>
      <c r="H1828">
        <v>3</v>
      </c>
      <c r="I1828">
        <v>1984</v>
      </c>
      <c r="J1828">
        <v>0</v>
      </c>
      <c r="K1828">
        <v>1</v>
      </c>
      <c r="L1828">
        <v>0</v>
      </c>
      <c r="M1828">
        <v>5</v>
      </c>
      <c r="N1828" t="s">
        <v>37</v>
      </c>
      <c r="O1828" t="s">
        <v>32</v>
      </c>
      <c r="P1828">
        <v>3.4037577345281802</v>
      </c>
      <c r="Q1828">
        <v>1.6716729469905001</v>
      </c>
      <c r="R1828">
        <v>0.88529958804211495</v>
      </c>
      <c r="S1828">
        <v>158</v>
      </c>
      <c r="T1828">
        <v>31</v>
      </c>
      <c r="U1828">
        <v>298.92808717166201</v>
      </c>
      <c r="V1828">
        <v>1.020199959192E-3</v>
      </c>
      <c r="W1828">
        <v>1918871.2341253301</v>
      </c>
      <c r="X1828" t="s">
        <v>44</v>
      </c>
      <c r="Y1828">
        <f>1-284-349-8543</f>
        <v>-9175</v>
      </c>
    </row>
    <row r="1829" spans="1:25" x14ac:dyDescent="0.35">
      <c r="A1829">
        <v>40.278796297770299</v>
      </c>
      <c r="B1829">
        <v>-123.15186502074</v>
      </c>
      <c r="C1829" t="s">
        <v>34</v>
      </c>
      <c r="D1829">
        <v>31.885218672512</v>
      </c>
      <c r="E1829">
        <v>1</v>
      </c>
      <c r="F1829">
        <v>3957</v>
      </c>
      <c r="G1829">
        <v>5</v>
      </c>
      <c r="H1829">
        <v>3</v>
      </c>
      <c r="I1829">
        <v>1991</v>
      </c>
      <c r="J1829">
        <v>1</v>
      </c>
      <c r="K1829">
        <v>1</v>
      </c>
      <c r="L1829">
        <v>0</v>
      </c>
      <c r="M1829">
        <v>8</v>
      </c>
      <c r="N1829" t="s">
        <v>37</v>
      </c>
      <c r="O1829" t="s">
        <v>30</v>
      </c>
      <c r="P1829">
        <v>14.6785619463414</v>
      </c>
      <c r="Q1829">
        <v>2.1872975930361398</v>
      </c>
      <c r="R1829">
        <v>1.7776447246906499</v>
      </c>
      <c r="S1829">
        <v>102</v>
      </c>
      <c r="T1829">
        <v>53</v>
      </c>
      <c r="U1829">
        <v>579.89904372522994</v>
      </c>
      <c r="V1829">
        <v>2.02173363659337E-3</v>
      </c>
      <c r="W1829">
        <v>2892817.0176268201</v>
      </c>
      <c r="X1829" t="s">
        <v>38</v>
      </c>
      <c r="Y1829">
        <f>1-255-144-4977</f>
        <v>-5375</v>
      </c>
    </row>
    <row r="1830" spans="1:25" x14ac:dyDescent="0.35">
      <c r="A1830">
        <v>32.9457952427151</v>
      </c>
      <c r="B1830">
        <v>-122.102906768632</v>
      </c>
      <c r="C1830" t="s">
        <v>34</v>
      </c>
      <c r="D1830">
        <v>37.887607795278299</v>
      </c>
      <c r="E1830">
        <v>5</v>
      </c>
      <c r="F1830">
        <v>3598</v>
      </c>
      <c r="G1830">
        <v>2</v>
      </c>
      <c r="H1830">
        <v>2</v>
      </c>
      <c r="I1830">
        <v>2004</v>
      </c>
      <c r="J1830">
        <v>1</v>
      </c>
      <c r="K1830">
        <v>0</v>
      </c>
      <c r="L1830">
        <v>0</v>
      </c>
      <c r="M1830">
        <v>10</v>
      </c>
      <c r="N1830" t="s">
        <v>41</v>
      </c>
      <c r="O1830" t="s">
        <v>27</v>
      </c>
      <c r="P1830">
        <v>7.7765055965859</v>
      </c>
      <c r="Q1830">
        <v>0.75670760799115</v>
      </c>
      <c r="R1830">
        <v>3.6352002568708901</v>
      </c>
      <c r="S1830">
        <v>79</v>
      </c>
      <c r="T1830">
        <v>28</v>
      </c>
      <c r="U1830">
        <v>866.32242155383994</v>
      </c>
      <c r="V1830">
        <v>2.7793218454696999E-3</v>
      </c>
      <c r="W1830">
        <v>3280606.43154578</v>
      </c>
      <c r="X1830" t="s">
        <v>42</v>
      </c>
      <c r="Y1830">
        <f>1-267-446-8383</f>
        <v>-9095</v>
      </c>
    </row>
    <row r="1831" spans="1:25" x14ac:dyDescent="0.35">
      <c r="A1831">
        <v>38.809279470597801</v>
      </c>
      <c r="B1831">
        <v>-114.635907218643</v>
      </c>
      <c r="C1831" t="s">
        <v>34</v>
      </c>
      <c r="D1831">
        <v>3.4804261904602898</v>
      </c>
      <c r="E1831">
        <v>6</v>
      </c>
      <c r="F1831">
        <v>4467</v>
      </c>
      <c r="G1831">
        <v>4</v>
      </c>
      <c r="H1831">
        <v>1</v>
      </c>
      <c r="I1831">
        <v>2015</v>
      </c>
      <c r="J1831">
        <v>1</v>
      </c>
      <c r="K1831">
        <v>1</v>
      </c>
      <c r="L1831">
        <v>1</v>
      </c>
      <c r="M1831">
        <v>10</v>
      </c>
      <c r="N1831" t="s">
        <v>41</v>
      </c>
      <c r="O1831" t="s">
        <v>32</v>
      </c>
      <c r="P1831">
        <v>9.4205291130538207</v>
      </c>
      <c r="Q1831">
        <v>0.83864810345469398</v>
      </c>
      <c r="R1831">
        <v>9.0077099067375599</v>
      </c>
      <c r="S1831">
        <v>169</v>
      </c>
      <c r="T1831">
        <v>69</v>
      </c>
      <c r="U1831">
        <v>538.40390552082999</v>
      </c>
      <c r="V1831">
        <v>2.2386389075442102E-3</v>
      </c>
      <c r="W1831">
        <v>2819730.9574558502</v>
      </c>
      <c r="X1831" t="s">
        <v>42</v>
      </c>
      <c r="Y1831">
        <f>1-532-669-9780</f>
        <v>-10980</v>
      </c>
    </row>
    <row r="1832" spans="1:25" x14ac:dyDescent="0.35">
      <c r="A1832">
        <v>39.705933228326799</v>
      </c>
      <c r="B1832">
        <v>-115.331248395643</v>
      </c>
      <c r="C1832" t="s">
        <v>25</v>
      </c>
      <c r="D1832">
        <v>38.208379707110403</v>
      </c>
      <c r="E1832">
        <v>9</v>
      </c>
      <c r="F1832">
        <v>1916</v>
      </c>
      <c r="G1832">
        <v>1</v>
      </c>
      <c r="H1832">
        <v>3</v>
      </c>
      <c r="I1832">
        <v>1991</v>
      </c>
      <c r="J1832">
        <v>0</v>
      </c>
      <c r="K1832">
        <v>1</v>
      </c>
      <c r="L1832">
        <v>1</v>
      </c>
      <c r="M1832">
        <v>9</v>
      </c>
      <c r="N1832" t="s">
        <v>41</v>
      </c>
      <c r="O1832" t="s">
        <v>27</v>
      </c>
      <c r="P1832">
        <v>12.341854588335</v>
      </c>
      <c r="Q1832">
        <v>0.79762827341002496</v>
      </c>
      <c r="R1832">
        <v>8.60873006828262</v>
      </c>
      <c r="S1832">
        <v>157</v>
      </c>
      <c r="T1832">
        <v>23</v>
      </c>
      <c r="U1832">
        <v>594.73180033446204</v>
      </c>
      <c r="V1832">
        <v>4.6972860125260897E-3</v>
      </c>
      <c r="W1832">
        <v>1522692.7827296101</v>
      </c>
      <c r="X1832" t="s">
        <v>38</v>
      </c>
      <c r="Y1832">
        <f>1-922-800-7357</f>
        <v>-9078</v>
      </c>
    </row>
    <row r="1833" spans="1:25" x14ac:dyDescent="0.35">
      <c r="A1833">
        <v>40.846121738954501</v>
      </c>
      <c r="B1833">
        <v>-115.75565280228101</v>
      </c>
      <c r="C1833" t="s">
        <v>25</v>
      </c>
      <c r="D1833">
        <v>15.520547535766299</v>
      </c>
      <c r="E1833">
        <v>5</v>
      </c>
      <c r="F1833">
        <v>1153</v>
      </c>
      <c r="G1833">
        <v>4</v>
      </c>
      <c r="H1833">
        <v>3</v>
      </c>
      <c r="I1833">
        <v>1977</v>
      </c>
      <c r="J1833">
        <v>1</v>
      </c>
      <c r="K1833">
        <v>1</v>
      </c>
      <c r="L1833">
        <v>1</v>
      </c>
      <c r="M1833">
        <v>7</v>
      </c>
      <c r="N1833" t="s">
        <v>26</v>
      </c>
      <c r="O1833" t="s">
        <v>30</v>
      </c>
      <c r="P1833">
        <v>4.0961033115187702</v>
      </c>
      <c r="Q1833">
        <v>1.1180475129615</v>
      </c>
      <c r="R1833">
        <v>7.68708552962421</v>
      </c>
      <c r="S1833">
        <v>20</v>
      </c>
      <c r="T1833">
        <v>75</v>
      </c>
      <c r="U1833">
        <v>676.67624232383696</v>
      </c>
      <c r="V1833">
        <v>6.0711188204683403E-3</v>
      </c>
      <c r="W1833">
        <v>1190532.1090327799</v>
      </c>
      <c r="X1833" t="s">
        <v>33</v>
      </c>
      <c r="Y1833">
        <f>1-826-689-4056</f>
        <v>-5570</v>
      </c>
    </row>
    <row r="1834" spans="1:25" x14ac:dyDescent="0.35">
      <c r="A1834">
        <v>40.670933050119103</v>
      </c>
      <c r="B1834">
        <v>-114.21369937034299</v>
      </c>
      <c r="C1834" t="s">
        <v>25</v>
      </c>
      <c r="D1834">
        <v>5.9240383801666097</v>
      </c>
      <c r="E1834">
        <v>2</v>
      </c>
      <c r="F1834">
        <v>1896</v>
      </c>
      <c r="G1834">
        <v>3</v>
      </c>
      <c r="H1834">
        <v>1</v>
      </c>
      <c r="I1834">
        <v>1975</v>
      </c>
      <c r="J1834">
        <v>0</v>
      </c>
      <c r="K1834">
        <v>1</v>
      </c>
      <c r="L1834">
        <v>1</v>
      </c>
      <c r="M1834">
        <v>10</v>
      </c>
      <c r="N1834" t="s">
        <v>41</v>
      </c>
      <c r="O1834" t="s">
        <v>27</v>
      </c>
      <c r="P1834">
        <v>2.25191510710731</v>
      </c>
      <c r="Q1834">
        <v>0.97906250085386803</v>
      </c>
      <c r="R1834">
        <v>6.1068932875506201</v>
      </c>
      <c r="S1834">
        <v>60</v>
      </c>
      <c r="T1834">
        <v>48</v>
      </c>
      <c r="U1834">
        <v>763.67991092503098</v>
      </c>
      <c r="V1834">
        <v>5.2742616033755203E-3</v>
      </c>
      <c r="W1834">
        <v>1687905.77085202</v>
      </c>
      <c r="X1834" t="s">
        <v>31</v>
      </c>
      <c r="Y1834">
        <f>1-233-661-5120</f>
        <v>-6013</v>
      </c>
    </row>
    <row r="1835" spans="1:25" x14ac:dyDescent="0.35">
      <c r="A1835">
        <v>33.850523412952299</v>
      </c>
      <c r="B1835">
        <v>-119.159631798636</v>
      </c>
      <c r="C1835" t="s">
        <v>34</v>
      </c>
      <c r="D1835">
        <v>37.058652447321997</v>
      </c>
      <c r="E1835">
        <v>5</v>
      </c>
      <c r="F1835">
        <v>2681</v>
      </c>
      <c r="G1835">
        <v>1</v>
      </c>
      <c r="H1835">
        <v>3</v>
      </c>
      <c r="I1835">
        <v>1986</v>
      </c>
      <c r="J1835">
        <v>0</v>
      </c>
      <c r="K1835">
        <v>1</v>
      </c>
      <c r="L1835">
        <v>1</v>
      </c>
      <c r="M1835">
        <v>10</v>
      </c>
      <c r="N1835" t="s">
        <v>37</v>
      </c>
      <c r="O1835" t="s">
        <v>32</v>
      </c>
      <c r="P1835">
        <v>7.4692848097100901</v>
      </c>
      <c r="Q1835">
        <v>1.69663010042303</v>
      </c>
      <c r="R1835">
        <v>3.1225937001776001</v>
      </c>
      <c r="S1835">
        <v>3</v>
      </c>
      <c r="T1835">
        <v>46</v>
      </c>
      <c r="U1835">
        <v>960.06535079949401</v>
      </c>
      <c r="V1835">
        <v>3.7299515106303601E-3</v>
      </c>
      <c r="W1835">
        <v>2918532.7029518401</v>
      </c>
      <c r="X1835" t="s">
        <v>33</v>
      </c>
      <c r="Y1835">
        <f>1-454-603-2716</f>
        <v>-3772</v>
      </c>
    </row>
    <row r="1836" spans="1:25" x14ac:dyDescent="0.35">
      <c r="A1836">
        <v>36.765111012863102</v>
      </c>
      <c r="B1836">
        <v>-124.16819076996001</v>
      </c>
      <c r="C1836" t="s">
        <v>29</v>
      </c>
      <c r="D1836">
        <v>11.274584979648701</v>
      </c>
      <c r="E1836">
        <v>0</v>
      </c>
      <c r="F1836">
        <v>3845</v>
      </c>
      <c r="G1836">
        <v>4</v>
      </c>
      <c r="H1836">
        <v>3</v>
      </c>
      <c r="I1836">
        <v>1972</v>
      </c>
      <c r="J1836">
        <v>0</v>
      </c>
      <c r="K1836">
        <v>0</v>
      </c>
      <c r="L1836">
        <v>0</v>
      </c>
      <c r="M1836">
        <v>5</v>
      </c>
      <c r="N1836" t="s">
        <v>35</v>
      </c>
      <c r="O1836" t="s">
        <v>27</v>
      </c>
      <c r="P1836">
        <v>6.5378185327211904</v>
      </c>
      <c r="Q1836">
        <v>1.6657148636959</v>
      </c>
      <c r="R1836">
        <v>4.7362631510585</v>
      </c>
      <c r="S1836">
        <v>119</v>
      </c>
      <c r="T1836">
        <v>66</v>
      </c>
      <c r="U1836">
        <v>835.87807393778201</v>
      </c>
      <c r="V1836">
        <v>1.3003901170351099E-3</v>
      </c>
      <c r="W1836">
        <v>3416543.7188278302</v>
      </c>
      <c r="X1836" t="s">
        <v>33</v>
      </c>
      <c r="Y1836">
        <f>1-610-491-2548</f>
        <v>-3648</v>
      </c>
    </row>
    <row r="1837" spans="1:25" x14ac:dyDescent="0.35">
      <c r="A1837">
        <v>33.723909798003099</v>
      </c>
      <c r="B1837">
        <v>-121.136110031336</v>
      </c>
      <c r="C1837" t="s">
        <v>34</v>
      </c>
      <c r="D1837">
        <v>6.4965762711559201</v>
      </c>
      <c r="E1837">
        <v>9</v>
      </c>
      <c r="F1837">
        <v>1035</v>
      </c>
      <c r="G1837">
        <v>2</v>
      </c>
      <c r="H1837">
        <v>1</v>
      </c>
      <c r="I1837">
        <v>2015</v>
      </c>
      <c r="J1837">
        <v>1</v>
      </c>
      <c r="K1837">
        <v>1</v>
      </c>
      <c r="L1837">
        <v>0</v>
      </c>
      <c r="M1837">
        <v>5</v>
      </c>
      <c r="N1837" t="s">
        <v>35</v>
      </c>
      <c r="O1837" t="s">
        <v>32</v>
      </c>
      <c r="P1837">
        <v>3.8684885702715599</v>
      </c>
      <c r="Q1837">
        <v>1.45676113541673</v>
      </c>
      <c r="R1837">
        <v>8.9032641210925991</v>
      </c>
      <c r="S1837">
        <v>52</v>
      </c>
      <c r="T1837">
        <v>76</v>
      </c>
      <c r="U1837">
        <v>507.58410587654498</v>
      </c>
      <c r="V1837">
        <v>4.8309178743961298E-3</v>
      </c>
      <c r="W1837">
        <v>773989.66767858597</v>
      </c>
      <c r="X1837" t="s">
        <v>28</v>
      </c>
      <c r="Y1837">
        <f>1-380-348-7268</f>
        <v>-7995</v>
      </c>
    </row>
    <row r="1838" spans="1:25" x14ac:dyDescent="0.35">
      <c r="A1838">
        <v>34.0782081490851</v>
      </c>
      <c r="B1838">
        <v>-120.12076398557301</v>
      </c>
      <c r="C1838" t="s">
        <v>34</v>
      </c>
      <c r="D1838">
        <v>20.6908657840942</v>
      </c>
      <c r="E1838">
        <v>4</v>
      </c>
      <c r="F1838">
        <v>4777</v>
      </c>
      <c r="G1838">
        <v>4</v>
      </c>
      <c r="H1838">
        <v>2</v>
      </c>
      <c r="I1838">
        <v>1976</v>
      </c>
      <c r="J1838">
        <v>0</v>
      </c>
      <c r="K1838">
        <v>0</v>
      </c>
      <c r="L1838">
        <v>0</v>
      </c>
      <c r="M1838">
        <v>6</v>
      </c>
      <c r="N1838" t="s">
        <v>37</v>
      </c>
      <c r="O1838" t="s">
        <v>32</v>
      </c>
      <c r="P1838">
        <v>3.6407313615430899</v>
      </c>
      <c r="Q1838">
        <v>1.7148182674069401</v>
      </c>
      <c r="R1838">
        <v>7.5317500296939803</v>
      </c>
      <c r="S1838">
        <v>140</v>
      </c>
      <c r="T1838">
        <v>39</v>
      </c>
      <c r="U1838">
        <v>589.00529251907597</v>
      </c>
      <c r="V1838">
        <v>1.2560184216035099E-3</v>
      </c>
      <c r="W1838">
        <v>2958330.8240598901</v>
      </c>
      <c r="X1838" t="s">
        <v>38</v>
      </c>
      <c r="Y1838">
        <f>1-916-107-5762</f>
        <v>-6784</v>
      </c>
    </row>
    <row r="1839" spans="1:25" x14ac:dyDescent="0.35">
      <c r="A1839">
        <v>38.234753890552597</v>
      </c>
      <c r="B1839">
        <v>-121.972929258683</v>
      </c>
      <c r="C1839" t="s">
        <v>34</v>
      </c>
      <c r="D1839">
        <v>33.711255048817399</v>
      </c>
      <c r="E1839">
        <v>3</v>
      </c>
      <c r="F1839">
        <v>2209</v>
      </c>
      <c r="G1839">
        <v>3</v>
      </c>
      <c r="H1839">
        <v>1</v>
      </c>
      <c r="I1839">
        <v>1991</v>
      </c>
      <c r="J1839">
        <v>1</v>
      </c>
      <c r="K1839">
        <v>1</v>
      </c>
      <c r="L1839">
        <v>1</v>
      </c>
      <c r="M1839">
        <v>2</v>
      </c>
      <c r="N1839" t="s">
        <v>35</v>
      </c>
      <c r="O1839" t="s">
        <v>30</v>
      </c>
      <c r="P1839">
        <v>2.82734478409321</v>
      </c>
      <c r="Q1839">
        <v>1.9418782390060401</v>
      </c>
      <c r="R1839">
        <v>5.1607483817787401</v>
      </c>
      <c r="S1839">
        <v>84</v>
      </c>
      <c r="T1839">
        <v>54</v>
      </c>
      <c r="U1839">
        <v>307.23447280100299</v>
      </c>
      <c r="V1839">
        <v>9.0538705296514205E-4</v>
      </c>
      <c r="W1839">
        <v>987000.18583556905</v>
      </c>
      <c r="X1839" t="s">
        <v>36</v>
      </c>
      <c r="Y1839">
        <f>1-943-240-9665</f>
        <v>-10847</v>
      </c>
    </row>
    <row r="1840" spans="1:25" x14ac:dyDescent="0.35">
      <c r="A1840">
        <v>38.003617339920702</v>
      </c>
      <c r="B1840">
        <v>-115.249283996535</v>
      </c>
      <c r="C1840" t="s">
        <v>29</v>
      </c>
      <c r="D1840">
        <v>49.742676033054401</v>
      </c>
      <c r="E1840">
        <v>4</v>
      </c>
      <c r="F1840">
        <v>3059</v>
      </c>
      <c r="G1840">
        <v>4</v>
      </c>
      <c r="H1840">
        <v>1</v>
      </c>
      <c r="I1840">
        <v>2019</v>
      </c>
      <c r="J1840">
        <v>1</v>
      </c>
      <c r="K1840">
        <v>1</v>
      </c>
      <c r="L1840">
        <v>0</v>
      </c>
      <c r="M1840">
        <v>11</v>
      </c>
      <c r="N1840" t="s">
        <v>35</v>
      </c>
      <c r="O1840" t="s">
        <v>27</v>
      </c>
      <c r="P1840">
        <v>9.3948514143704394</v>
      </c>
      <c r="Q1840">
        <v>1.05647994087987</v>
      </c>
      <c r="R1840">
        <v>7.9443479296630599</v>
      </c>
      <c r="S1840">
        <v>80</v>
      </c>
      <c r="T1840">
        <v>71</v>
      </c>
      <c r="U1840">
        <v>946.31692339422</v>
      </c>
      <c r="V1840">
        <v>3.5959463877084001E-3</v>
      </c>
      <c r="W1840">
        <v>3359342.2025464801</v>
      </c>
      <c r="X1840" t="s">
        <v>43</v>
      </c>
      <c r="Y1840">
        <f>1-762-285-9212</f>
        <v>-10258</v>
      </c>
    </row>
    <row r="1841" spans="1:25" x14ac:dyDescent="0.35">
      <c r="A1841">
        <v>37.262857100502401</v>
      </c>
      <c r="B1841">
        <v>-118.782991024891</v>
      </c>
      <c r="C1841" t="s">
        <v>29</v>
      </c>
      <c r="D1841">
        <v>37.732731627659</v>
      </c>
      <c r="E1841">
        <v>6</v>
      </c>
      <c r="F1841">
        <v>3813</v>
      </c>
      <c r="G1841">
        <v>3</v>
      </c>
      <c r="H1841">
        <v>1</v>
      </c>
      <c r="I1841">
        <v>1950</v>
      </c>
      <c r="J1841">
        <v>1</v>
      </c>
      <c r="K1841">
        <v>1</v>
      </c>
      <c r="L1841">
        <v>1</v>
      </c>
      <c r="M1841">
        <v>7</v>
      </c>
      <c r="N1841" t="s">
        <v>37</v>
      </c>
      <c r="O1841" t="s">
        <v>27</v>
      </c>
      <c r="P1841">
        <v>11.889233742913699</v>
      </c>
      <c r="Q1841">
        <v>2.4723982271399998</v>
      </c>
      <c r="R1841">
        <v>8.3370662565986091</v>
      </c>
      <c r="S1841">
        <v>24</v>
      </c>
      <c r="T1841">
        <v>21</v>
      </c>
      <c r="U1841">
        <v>761.53202218161005</v>
      </c>
      <c r="V1841">
        <v>1.8358248098610001E-3</v>
      </c>
      <c r="W1841">
        <v>3244404.5530987298</v>
      </c>
      <c r="X1841" t="s">
        <v>40</v>
      </c>
      <c r="Y1841">
        <f>1-455-100-8275</f>
        <v>-8829</v>
      </c>
    </row>
    <row r="1842" spans="1:25" x14ac:dyDescent="0.35">
      <c r="A1842">
        <v>38.794907795605198</v>
      </c>
      <c r="B1842">
        <v>-114.739068228653</v>
      </c>
      <c r="C1842" t="s">
        <v>34</v>
      </c>
      <c r="D1842">
        <v>9.9397906641740708</v>
      </c>
      <c r="E1842">
        <v>5</v>
      </c>
      <c r="F1842">
        <v>1269</v>
      </c>
      <c r="G1842">
        <v>1</v>
      </c>
      <c r="H1842">
        <v>1</v>
      </c>
      <c r="I1842">
        <v>1971</v>
      </c>
      <c r="J1842">
        <v>1</v>
      </c>
      <c r="K1842">
        <v>0</v>
      </c>
      <c r="L1842">
        <v>0</v>
      </c>
      <c r="M1842">
        <v>7</v>
      </c>
      <c r="N1842" t="s">
        <v>35</v>
      </c>
      <c r="O1842" t="s">
        <v>27</v>
      </c>
      <c r="P1842">
        <v>13.569868109240399</v>
      </c>
      <c r="Q1842">
        <v>1.7853919251436501</v>
      </c>
      <c r="R1842">
        <v>1.6204440324018301</v>
      </c>
      <c r="S1842">
        <v>34</v>
      </c>
      <c r="T1842">
        <v>45</v>
      </c>
      <c r="U1842">
        <v>860.70931402182998</v>
      </c>
      <c r="V1842">
        <v>5.51615445232466E-3</v>
      </c>
      <c r="W1842">
        <v>1165764.77879923</v>
      </c>
      <c r="X1842" t="s">
        <v>42</v>
      </c>
      <c r="Y1842">
        <f>1-433-179-3306</f>
        <v>-3917</v>
      </c>
    </row>
    <row r="1843" spans="1:25" x14ac:dyDescent="0.35">
      <c r="A1843">
        <v>34.258230485744697</v>
      </c>
      <c r="B1843">
        <v>-117.483155996424</v>
      </c>
      <c r="C1843" t="s">
        <v>29</v>
      </c>
      <c r="D1843">
        <v>3.67981661920494</v>
      </c>
      <c r="E1843">
        <v>0</v>
      </c>
      <c r="F1843">
        <v>1276</v>
      </c>
      <c r="G1843">
        <v>2</v>
      </c>
      <c r="H1843">
        <v>3</v>
      </c>
      <c r="I1843">
        <v>1989</v>
      </c>
      <c r="J1843">
        <v>1</v>
      </c>
      <c r="K1843">
        <v>0</v>
      </c>
      <c r="L1843">
        <v>0</v>
      </c>
      <c r="M1843">
        <v>2</v>
      </c>
      <c r="N1843" t="s">
        <v>37</v>
      </c>
      <c r="O1843" t="s">
        <v>27</v>
      </c>
      <c r="P1843">
        <v>12.363967658041</v>
      </c>
      <c r="Q1843">
        <v>1.38357805343656</v>
      </c>
      <c r="R1843">
        <v>6.2346149474942401</v>
      </c>
      <c r="S1843">
        <v>43</v>
      </c>
      <c r="T1843">
        <v>45</v>
      </c>
      <c r="U1843">
        <v>721.97618100247098</v>
      </c>
      <c r="V1843">
        <v>1.5673981191222501E-3</v>
      </c>
      <c r="W1843">
        <v>1232947.4764467799</v>
      </c>
      <c r="X1843" t="s">
        <v>39</v>
      </c>
      <c r="Y1843">
        <f>1-513-553-9629</f>
        <v>-10694</v>
      </c>
    </row>
    <row r="1844" spans="1:25" x14ac:dyDescent="0.35">
      <c r="A1844">
        <v>36.623217586115302</v>
      </c>
      <c r="B1844">
        <v>-123.994033354229</v>
      </c>
      <c r="C1844" t="s">
        <v>34</v>
      </c>
      <c r="D1844">
        <v>49.376791294742503</v>
      </c>
      <c r="E1844">
        <v>4</v>
      </c>
      <c r="F1844">
        <v>3921</v>
      </c>
      <c r="G1844">
        <v>1</v>
      </c>
      <c r="H1844">
        <v>1</v>
      </c>
      <c r="I1844">
        <v>1990</v>
      </c>
      <c r="J1844">
        <v>0</v>
      </c>
      <c r="K1844">
        <v>0</v>
      </c>
      <c r="L1844">
        <v>1</v>
      </c>
      <c r="M1844">
        <v>7</v>
      </c>
      <c r="N1844" t="s">
        <v>26</v>
      </c>
      <c r="O1844" t="s">
        <v>32</v>
      </c>
      <c r="P1844">
        <v>9.6339067262626799</v>
      </c>
      <c r="Q1844">
        <v>2.0578346529970801</v>
      </c>
      <c r="R1844">
        <v>7.1804340699078004</v>
      </c>
      <c r="S1844">
        <v>132</v>
      </c>
      <c r="T1844">
        <v>53</v>
      </c>
      <c r="U1844">
        <v>771.17600636390705</v>
      </c>
      <c r="V1844">
        <v>1.7852588625350599E-3</v>
      </c>
      <c r="W1844">
        <v>3103740.09411581</v>
      </c>
      <c r="X1844" t="s">
        <v>42</v>
      </c>
      <c r="Y1844">
        <f>1-666-708-8249</f>
        <v>-9622</v>
      </c>
    </row>
    <row r="1845" spans="1:25" x14ac:dyDescent="0.35">
      <c r="A1845">
        <v>36.543780884270802</v>
      </c>
      <c r="B1845">
        <v>-119.904314501245</v>
      </c>
      <c r="C1845" t="s">
        <v>25</v>
      </c>
      <c r="D1845">
        <v>16.471121387393801</v>
      </c>
      <c r="E1845">
        <v>1</v>
      </c>
      <c r="F1845">
        <v>1359</v>
      </c>
      <c r="G1845">
        <v>5</v>
      </c>
      <c r="H1845">
        <v>2</v>
      </c>
      <c r="I1845">
        <v>1975</v>
      </c>
      <c r="J1845">
        <v>1</v>
      </c>
      <c r="K1845">
        <v>0</v>
      </c>
      <c r="L1845">
        <v>1</v>
      </c>
      <c r="M1845">
        <v>11</v>
      </c>
      <c r="N1845" t="s">
        <v>35</v>
      </c>
      <c r="O1845" t="s">
        <v>30</v>
      </c>
      <c r="P1845">
        <v>13.9920424279423</v>
      </c>
      <c r="Q1845">
        <v>1.63358548991195</v>
      </c>
      <c r="R1845">
        <v>7.61180515864719</v>
      </c>
      <c r="S1845">
        <v>175</v>
      </c>
      <c r="T1845">
        <v>62</v>
      </c>
      <c r="U1845">
        <v>403.29891530853598</v>
      </c>
      <c r="V1845">
        <v>8.0941869021339194E-3</v>
      </c>
      <c r="W1845">
        <v>954671.06717137701</v>
      </c>
      <c r="X1845" t="s">
        <v>38</v>
      </c>
      <c r="Y1845">
        <f>1-897-712-8507</f>
        <v>-10115</v>
      </c>
    </row>
    <row r="1846" spans="1:25" x14ac:dyDescent="0.35">
      <c r="A1846">
        <v>37.906254251224098</v>
      </c>
      <c r="B1846">
        <v>-123.462563876693</v>
      </c>
      <c r="C1846" t="s">
        <v>34</v>
      </c>
      <c r="D1846">
        <v>4.8297921259679102</v>
      </c>
      <c r="E1846">
        <v>1</v>
      </c>
      <c r="F1846">
        <v>1420</v>
      </c>
      <c r="G1846">
        <v>1</v>
      </c>
      <c r="H1846">
        <v>2</v>
      </c>
      <c r="I1846">
        <v>2014</v>
      </c>
      <c r="J1846">
        <v>0</v>
      </c>
      <c r="K1846">
        <v>0</v>
      </c>
      <c r="L1846">
        <v>1</v>
      </c>
      <c r="M1846">
        <v>7</v>
      </c>
      <c r="N1846" t="s">
        <v>41</v>
      </c>
      <c r="O1846" t="s">
        <v>32</v>
      </c>
      <c r="P1846">
        <v>4.10794530412368</v>
      </c>
      <c r="Q1846">
        <v>1.32951773303517</v>
      </c>
      <c r="R1846">
        <v>3.3789626169898699</v>
      </c>
      <c r="S1846">
        <v>93</v>
      </c>
      <c r="T1846">
        <v>48</v>
      </c>
      <c r="U1846">
        <v>922.836258737202</v>
      </c>
      <c r="V1846">
        <v>4.9295774647887302E-3</v>
      </c>
      <c r="W1846">
        <v>1499569.25317862</v>
      </c>
      <c r="X1846" t="s">
        <v>40</v>
      </c>
      <c r="Y1846">
        <f>1-995-667-1205</f>
        <v>-2866</v>
      </c>
    </row>
    <row r="1847" spans="1:25" x14ac:dyDescent="0.35">
      <c r="A1847">
        <v>36.744904257581801</v>
      </c>
      <c r="B1847">
        <v>-120.771532498936</v>
      </c>
      <c r="C1847" t="s">
        <v>29</v>
      </c>
      <c r="D1847">
        <v>34.438212992812701</v>
      </c>
      <c r="E1847">
        <v>5</v>
      </c>
      <c r="F1847">
        <v>2895</v>
      </c>
      <c r="G1847">
        <v>2</v>
      </c>
      <c r="H1847">
        <v>2</v>
      </c>
      <c r="I1847">
        <v>1986</v>
      </c>
      <c r="J1847">
        <v>1</v>
      </c>
      <c r="K1847">
        <v>0</v>
      </c>
      <c r="L1847">
        <v>0</v>
      </c>
      <c r="M1847">
        <v>14</v>
      </c>
      <c r="N1847" t="s">
        <v>37</v>
      </c>
      <c r="O1847" t="s">
        <v>27</v>
      </c>
      <c r="P1847">
        <v>2.6804119096822498</v>
      </c>
      <c r="Q1847">
        <v>2.49850528788701</v>
      </c>
      <c r="R1847">
        <v>9.7429545107994203E-2</v>
      </c>
      <c r="S1847">
        <v>188</v>
      </c>
      <c r="T1847">
        <v>22</v>
      </c>
      <c r="U1847">
        <v>332.68213926351399</v>
      </c>
      <c r="V1847">
        <v>4.83592400690846E-3</v>
      </c>
      <c r="W1847">
        <v>1071280.38491793</v>
      </c>
      <c r="X1847" t="s">
        <v>43</v>
      </c>
      <c r="Y1847">
        <f>1-212-544-7123</f>
        <v>-7878</v>
      </c>
    </row>
    <row r="1848" spans="1:25" x14ac:dyDescent="0.35">
      <c r="A1848">
        <v>37.270223450024503</v>
      </c>
      <c r="B1848">
        <v>-121.97115056160099</v>
      </c>
      <c r="C1848" t="s">
        <v>29</v>
      </c>
      <c r="D1848">
        <v>32.199055424676899</v>
      </c>
      <c r="E1848">
        <v>8</v>
      </c>
      <c r="F1848">
        <v>1648</v>
      </c>
      <c r="G1848">
        <v>1</v>
      </c>
      <c r="H1848">
        <v>3</v>
      </c>
      <c r="I1848">
        <v>2021</v>
      </c>
      <c r="J1848">
        <v>1</v>
      </c>
      <c r="K1848">
        <v>1</v>
      </c>
      <c r="L1848">
        <v>0</v>
      </c>
      <c r="M1848">
        <v>7</v>
      </c>
      <c r="N1848" t="s">
        <v>41</v>
      </c>
      <c r="O1848" t="s">
        <v>30</v>
      </c>
      <c r="P1848">
        <v>3.9144827789967498</v>
      </c>
      <c r="Q1848">
        <v>2.40464133899258</v>
      </c>
      <c r="R1848">
        <v>6.8700286863662301</v>
      </c>
      <c r="S1848">
        <v>177</v>
      </c>
      <c r="T1848">
        <v>77</v>
      </c>
      <c r="U1848">
        <v>783.86451231071999</v>
      </c>
      <c r="V1848">
        <v>4.2475728155339804E-3</v>
      </c>
      <c r="W1848">
        <v>1603449.4298364001</v>
      </c>
      <c r="X1848" t="s">
        <v>33</v>
      </c>
      <c r="Y1848">
        <f>1-722-176-1177</f>
        <v>-2074</v>
      </c>
    </row>
    <row r="1849" spans="1:25" x14ac:dyDescent="0.35">
      <c r="A1849">
        <v>40.128936469320202</v>
      </c>
      <c r="B1849">
        <v>-118.214165065054</v>
      </c>
      <c r="C1849" t="s">
        <v>25</v>
      </c>
      <c r="D1849">
        <v>32.3998388450634</v>
      </c>
      <c r="E1849">
        <v>1</v>
      </c>
      <c r="F1849">
        <v>3815</v>
      </c>
      <c r="G1849">
        <v>4</v>
      </c>
      <c r="H1849">
        <v>2</v>
      </c>
      <c r="I1849">
        <v>1961</v>
      </c>
      <c r="J1849">
        <v>1</v>
      </c>
      <c r="K1849">
        <v>0</v>
      </c>
      <c r="L1849">
        <v>1</v>
      </c>
      <c r="M1849">
        <v>6</v>
      </c>
      <c r="N1849" t="s">
        <v>41</v>
      </c>
      <c r="O1849" t="s">
        <v>32</v>
      </c>
      <c r="P1849">
        <v>6.2648321487075203</v>
      </c>
      <c r="Q1849">
        <v>1.8961837384418101</v>
      </c>
      <c r="R1849">
        <v>4.9811766350103399</v>
      </c>
      <c r="S1849">
        <v>53</v>
      </c>
      <c r="T1849">
        <v>62</v>
      </c>
      <c r="U1849">
        <v>396.25376016553503</v>
      </c>
      <c r="V1849">
        <v>1.5727391874180801E-3</v>
      </c>
      <c r="W1849">
        <v>1877764.3931932</v>
      </c>
      <c r="X1849" t="s">
        <v>31</v>
      </c>
      <c r="Y1849">
        <f>1-824-434-1750</f>
        <v>-3007</v>
      </c>
    </row>
    <row r="1850" spans="1:25" x14ac:dyDescent="0.35">
      <c r="A1850">
        <v>40.570571398361203</v>
      </c>
      <c r="B1850">
        <v>-122.49663675483001</v>
      </c>
      <c r="C1850" t="s">
        <v>29</v>
      </c>
      <c r="D1850">
        <v>9.2009811776046906</v>
      </c>
      <c r="E1850">
        <v>5</v>
      </c>
      <c r="F1850">
        <v>1050</v>
      </c>
      <c r="G1850">
        <v>3</v>
      </c>
      <c r="H1850">
        <v>3</v>
      </c>
      <c r="I1850">
        <v>1969</v>
      </c>
      <c r="J1850">
        <v>0</v>
      </c>
      <c r="K1850">
        <v>1</v>
      </c>
      <c r="L1850">
        <v>0</v>
      </c>
      <c r="M1850">
        <v>12</v>
      </c>
      <c r="N1850" t="s">
        <v>41</v>
      </c>
      <c r="O1850" t="s">
        <v>30</v>
      </c>
      <c r="P1850">
        <v>5.0199777058414696</v>
      </c>
      <c r="Q1850">
        <v>2.2326689659448</v>
      </c>
      <c r="R1850">
        <v>9.3385125289693498</v>
      </c>
      <c r="S1850">
        <v>77</v>
      </c>
      <c r="T1850">
        <v>42</v>
      </c>
      <c r="U1850">
        <v>614.54251389874003</v>
      </c>
      <c r="V1850">
        <v>1.1428571428571401E-2</v>
      </c>
      <c r="W1850">
        <v>895989.911803492</v>
      </c>
      <c r="X1850" t="s">
        <v>28</v>
      </c>
      <c r="Y1850">
        <f>1-207-406-4514</f>
        <v>-5126</v>
      </c>
    </row>
    <row r="1851" spans="1:25" x14ac:dyDescent="0.35">
      <c r="A1851">
        <v>39.214544111412501</v>
      </c>
      <c r="B1851">
        <v>-120.25045937869299</v>
      </c>
      <c r="C1851" t="s">
        <v>34</v>
      </c>
      <c r="D1851">
        <v>36.641664135887297</v>
      </c>
      <c r="E1851">
        <v>6</v>
      </c>
      <c r="F1851">
        <v>4305</v>
      </c>
      <c r="G1851">
        <v>1</v>
      </c>
      <c r="H1851">
        <v>2</v>
      </c>
      <c r="I1851">
        <v>1967</v>
      </c>
      <c r="J1851">
        <v>1</v>
      </c>
      <c r="K1851">
        <v>1</v>
      </c>
      <c r="L1851">
        <v>1</v>
      </c>
      <c r="M1851">
        <v>12</v>
      </c>
      <c r="N1851" t="s">
        <v>41</v>
      </c>
      <c r="O1851" t="s">
        <v>27</v>
      </c>
      <c r="P1851">
        <v>11.6676906687285</v>
      </c>
      <c r="Q1851">
        <v>2.4375467092076599</v>
      </c>
      <c r="R1851">
        <v>4.4038540020346897</v>
      </c>
      <c r="S1851">
        <v>115</v>
      </c>
      <c r="T1851">
        <v>33</v>
      </c>
      <c r="U1851">
        <v>360.81773660932998</v>
      </c>
      <c r="V1851">
        <v>2.7874564459930301E-3</v>
      </c>
      <c r="W1851">
        <v>1763102.21315282</v>
      </c>
      <c r="X1851" t="s">
        <v>39</v>
      </c>
      <c r="Y1851">
        <f>1-386-579-1534</f>
        <v>-2498</v>
      </c>
    </row>
    <row r="1852" spans="1:25" x14ac:dyDescent="0.35">
      <c r="A1852">
        <v>39.428504249017699</v>
      </c>
      <c r="B1852">
        <v>-121.587663549049</v>
      </c>
      <c r="C1852" t="s">
        <v>29</v>
      </c>
      <c r="D1852">
        <v>9.3417664382521899</v>
      </c>
      <c r="E1852">
        <v>5</v>
      </c>
      <c r="F1852">
        <v>3884</v>
      </c>
      <c r="G1852">
        <v>1</v>
      </c>
      <c r="H1852">
        <v>3</v>
      </c>
      <c r="I1852">
        <v>1968</v>
      </c>
      <c r="J1852">
        <v>1</v>
      </c>
      <c r="K1852">
        <v>0</v>
      </c>
      <c r="L1852">
        <v>0</v>
      </c>
      <c r="M1852">
        <v>5</v>
      </c>
      <c r="N1852" t="s">
        <v>26</v>
      </c>
      <c r="O1852" t="s">
        <v>27</v>
      </c>
      <c r="P1852">
        <v>10.8782792464817</v>
      </c>
      <c r="Q1852">
        <v>0.86608810124984603</v>
      </c>
      <c r="R1852">
        <v>4.0079475809266798</v>
      </c>
      <c r="S1852">
        <v>65</v>
      </c>
      <c r="T1852">
        <v>37</v>
      </c>
      <c r="U1852">
        <v>702.25549068478404</v>
      </c>
      <c r="V1852">
        <v>1.2873326467559201E-3</v>
      </c>
      <c r="W1852">
        <v>2912046.4301598398</v>
      </c>
      <c r="X1852" t="s">
        <v>40</v>
      </c>
      <c r="Y1852">
        <f>1-223-622-1664</f>
        <v>-2508</v>
      </c>
    </row>
    <row r="1853" spans="1:25" x14ac:dyDescent="0.35">
      <c r="A1853">
        <v>41.988980755593602</v>
      </c>
      <c r="B1853">
        <v>-118.030253652377</v>
      </c>
      <c r="C1853" t="s">
        <v>25</v>
      </c>
      <c r="D1853">
        <v>13.8472771555682</v>
      </c>
      <c r="E1853">
        <v>7</v>
      </c>
      <c r="F1853">
        <v>2071</v>
      </c>
      <c r="G1853">
        <v>5</v>
      </c>
      <c r="H1853">
        <v>2</v>
      </c>
      <c r="I1853">
        <v>1975</v>
      </c>
      <c r="J1853">
        <v>1</v>
      </c>
      <c r="K1853">
        <v>1</v>
      </c>
      <c r="L1853">
        <v>0</v>
      </c>
      <c r="M1853">
        <v>9</v>
      </c>
      <c r="N1853" t="s">
        <v>41</v>
      </c>
      <c r="O1853" t="s">
        <v>32</v>
      </c>
      <c r="P1853">
        <v>7.0099791733041998</v>
      </c>
      <c r="Q1853">
        <v>2.2300259771330002</v>
      </c>
      <c r="R1853">
        <v>2.01034873943069</v>
      </c>
      <c r="S1853">
        <v>90</v>
      </c>
      <c r="T1853">
        <v>62</v>
      </c>
      <c r="U1853">
        <v>531.06544283823405</v>
      </c>
      <c r="V1853">
        <v>4.3457267020762897E-3</v>
      </c>
      <c r="W1853">
        <v>1439988.69980789</v>
      </c>
      <c r="X1853" t="s">
        <v>33</v>
      </c>
      <c r="Y1853">
        <f>1-727-501-2185</f>
        <v>-3412</v>
      </c>
    </row>
    <row r="1854" spans="1:25" x14ac:dyDescent="0.35">
      <c r="A1854">
        <v>36.888655978165403</v>
      </c>
      <c r="B1854">
        <v>-119.237609277576</v>
      </c>
      <c r="C1854" t="s">
        <v>25</v>
      </c>
      <c r="D1854">
        <v>28.4451994707354</v>
      </c>
      <c r="E1854">
        <v>6</v>
      </c>
      <c r="F1854">
        <v>4011</v>
      </c>
      <c r="G1854">
        <v>5</v>
      </c>
      <c r="H1854">
        <v>3</v>
      </c>
      <c r="I1854">
        <v>2008</v>
      </c>
      <c r="J1854">
        <v>1</v>
      </c>
      <c r="K1854">
        <v>1</v>
      </c>
      <c r="L1854">
        <v>1</v>
      </c>
      <c r="M1854">
        <v>6</v>
      </c>
      <c r="N1854" t="s">
        <v>37</v>
      </c>
      <c r="O1854" t="s">
        <v>32</v>
      </c>
      <c r="P1854">
        <v>9.9517981679966301</v>
      </c>
      <c r="Q1854">
        <v>0.96194560668223394</v>
      </c>
      <c r="R1854">
        <v>6.3067552248618002</v>
      </c>
      <c r="S1854">
        <v>88</v>
      </c>
      <c r="T1854">
        <v>70</v>
      </c>
      <c r="U1854">
        <v>951.27837440904</v>
      </c>
      <c r="V1854">
        <v>1.49588631264023E-3</v>
      </c>
      <c r="W1854">
        <v>4313398.0312184198</v>
      </c>
      <c r="X1854" t="s">
        <v>38</v>
      </c>
      <c r="Y1854">
        <f>1-383-192-6775</f>
        <v>-7349</v>
      </c>
    </row>
    <row r="1855" spans="1:25" x14ac:dyDescent="0.35">
      <c r="A1855">
        <v>36.1280359829547</v>
      </c>
      <c r="B1855">
        <v>-114.675978536459</v>
      </c>
      <c r="C1855" t="s">
        <v>34</v>
      </c>
      <c r="D1855">
        <v>24.439365610767499</v>
      </c>
      <c r="E1855">
        <v>8</v>
      </c>
      <c r="F1855">
        <v>4402</v>
      </c>
      <c r="G1855">
        <v>3</v>
      </c>
      <c r="H1855">
        <v>3</v>
      </c>
      <c r="I1855">
        <v>2007</v>
      </c>
      <c r="J1855">
        <v>0</v>
      </c>
      <c r="K1855">
        <v>1</v>
      </c>
      <c r="L1855">
        <v>0</v>
      </c>
      <c r="M1855">
        <v>13</v>
      </c>
      <c r="N1855" t="s">
        <v>35</v>
      </c>
      <c r="O1855" t="s">
        <v>32</v>
      </c>
      <c r="P1855">
        <v>11.4183540919488</v>
      </c>
      <c r="Q1855">
        <v>0.92924600927554302</v>
      </c>
      <c r="R1855">
        <v>2.11863512752605</v>
      </c>
      <c r="S1855">
        <v>7</v>
      </c>
      <c r="T1855">
        <v>47</v>
      </c>
      <c r="U1855">
        <v>866.83221664253699</v>
      </c>
      <c r="V1855">
        <v>2.9532030895047701E-3</v>
      </c>
      <c r="W1855">
        <v>4205536.3208112</v>
      </c>
      <c r="X1855" t="s">
        <v>36</v>
      </c>
      <c r="Y1855">
        <f>1-979-847-7549</f>
        <v>-9374</v>
      </c>
    </row>
    <row r="1856" spans="1:25" x14ac:dyDescent="0.35">
      <c r="A1856">
        <v>39.094090987531096</v>
      </c>
      <c r="B1856">
        <v>-115.8431652143</v>
      </c>
      <c r="C1856" t="s">
        <v>34</v>
      </c>
      <c r="D1856">
        <v>18.082427767073799</v>
      </c>
      <c r="E1856">
        <v>8</v>
      </c>
      <c r="F1856">
        <v>3046</v>
      </c>
      <c r="G1856">
        <v>4</v>
      </c>
      <c r="H1856">
        <v>3</v>
      </c>
      <c r="I1856">
        <v>1989</v>
      </c>
      <c r="J1856">
        <v>1</v>
      </c>
      <c r="K1856">
        <v>1</v>
      </c>
      <c r="L1856">
        <v>0</v>
      </c>
      <c r="M1856">
        <v>4</v>
      </c>
      <c r="N1856" t="s">
        <v>26</v>
      </c>
      <c r="O1856" t="s">
        <v>27</v>
      </c>
      <c r="P1856">
        <v>11.6035509484455</v>
      </c>
      <c r="Q1856">
        <v>1.6838206753571801</v>
      </c>
      <c r="R1856">
        <v>0.99002832261974705</v>
      </c>
      <c r="S1856">
        <v>149</v>
      </c>
      <c r="T1856">
        <v>30</v>
      </c>
      <c r="U1856">
        <v>376.10198126455799</v>
      </c>
      <c r="V1856">
        <v>1.3131976362442501E-3</v>
      </c>
      <c r="W1856">
        <v>1629571.59724212</v>
      </c>
      <c r="X1856" t="s">
        <v>40</v>
      </c>
      <c r="Y1856">
        <f>1-720-380-3604</f>
        <v>-4703</v>
      </c>
    </row>
    <row r="1857" spans="1:25" x14ac:dyDescent="0.35">
      <c r="A1857">
        <v>39.036444422919097</v>
      </c>
      <c r="B1857">
        <v>-119.07627185095799</v>
      </c>
      <c r="C1857" t="s">
        <v>34</v>
      </c>
      <c r="D1857">
        <v>15.009451154814199</v>
      </c>
      <c r="E1857">
        <v>2</v>
      </c>
      <c r="F1857">
        <v>1628</v>
      </c>
      <c r="G1857">
        <v>4</v>
      </c>
      <c r="H1857">
        <v>1</v>
      </c>
      <c r="I1857">
        <v>1980</v>
      </c>
      <c r="J1857">
        <v>1</v>
      </c>
      <c r="K1857">
        <v>1</v>
      </c>
      <c r="L1857">
        <v>0</v>
      </c>
      <c r="M1857">
        <v>3</v>
      </c>
      <c r="N1857" t="s">
        <v>26</v>
      </c>
      <c r="O1857" t="s">
        <v>32</v>
      </c>
      <c r="P1857">
        <v>10.3202795386361</v>
      </c>
      <c r="Q1857">
        <v>2.2040020629449399</v>
      </c>
      <c r="R1857">
        <v>3.32076887026474</v>
      </c>
      <c r="S1857">
        <v>179</v>
      </c>
      <c r="T1857">
        <v>27</v>
      </c>
      <c r="U1857">
        <v>908.79352577171596</v>
      </c>
      <c r="V1857">
        <v>1.84275184275184E-3</v>
      </c>
      <c r="W1857">
        <v>1837633.0675012299</v>
      </c>
      <c r="X1857" t="s">
        <v>42</v>
      </c>
      <c r="Y1857">
        <f>1-608-435-3361</f>
        <v>-4403</v>
      </c>
    </row>
    <row r="1858" spans="1:25" x14ac:dyDescent="0.35">
      <c r="A1858">
        <v>36.4238783308707</v>
      </c>
      <c r="B1858">
        <v>-116.53671170590501</v>
      </c>
      <c r="C1858" t="s">
        <v>29</v>
      </c>
      <c r="D1858">
        <v>10.4700626727544</v>
      </c>
      <c r="E1858">
        <v>2</v>
      </c>
      <c r="F1858">
        <v>3589</v>
      </c>
      <c r="G1858">
        <v>3</v>
      </c>
      <c r="H1858">
        <v>1</v>
      </c>
      <c r="I1858">
        <v>2009</v>
      </c>
      <c r="J1858">
        <v>1</v>
      </c>
      <c r="K1858">
        <v>1</v>
      </c>
      <c r="L1858">
        <v>0</v>
      </c>
      <c r="M1858">
        <v>14</v>
      </c>
      <c r="N1858" t="s">
        <v>37</v>
      </c>
      <c r="O1858" t="s">
        <v>30</v>
      </c>
      <c r="P1858">
        <v>2.3575108253570898</v>
      </c>
      <c r="Q1858">
        <v>1.2156206604485</v>
      </c>
      <c r="R1858">
        <v>1.8447251139798999</v>
      </c>
      <c r="S1858">
        <v>25</v>
      </c>
      <c r="T1858">
        <v>69</v>
      </c>
      <c r="U1858">
        <v>596.98285725056701</v>
      </c>
      <c r="V1858">
        <v>3.90080802451936E-3</v>
      </c>
      <c r="W1858">
        <v>2393580.07295103</v>
      </c>
      <c r="X1858" t="s">
        <v>39</v>
      </c>
      <c r="Y1858">
        <f>1-752-756-8928</f>
        <v>-10435</v>
      </c>
    </row>
    <row r="1859" spans="1:25" x14ac:dyDescent="0.35">
      <c r="A1859">
        <v>38.7523489153984</v>
      </c>
      <c r="B1859">
        <v>-122.255318565632</v>
      </c>
      <c r="C1859" t="s">
        <v>29</v>
      </c>
      <c r="D1859">
        <v>41.673483642980301</v>
      </c>
      <c r="E1859">
        <v>8</v>
      </c>
      <c r="F1859">
        <v>1010</v>
      </c>
      <c r="G1859">
        <v>3</v>
      </c>
      <c r="H1859">
        <v>2</v>
      </c>
      <c r="I1859">
        <v>1993</v>
      </c>
      <c r="J1859">
        <v>0</v>
      </c>
      <c r="K1859">
        <v>0</v>
      </c>
      <c r="L1859">
        <v>0</v>
      </c>
      <c r="M1859">
        <v>4</v>
      </c>
      <c r="N1859" t="s">
        <v>41</v>
      </c>
      <c r="O1859" t="s">
        <v>32</v>
      </c>
      <c r="P1859">
        <v>2.9708356065823498</v>
      </c>
      <c r="Q1859">
        <v>1.9464859136788799</v>
      </c>
      <c r="R1859">
        <v>8.95558932791673</v>
      </c>
      <c r="S1859">
        <v>175</v>
      </c>
      <c r="T1859">
        <v>36</v>
      </c>
      <c r="U1859">
        <v>763.71984936530396</v>
      </c>
      <c r="V1859">
        <v>3.9603960396039596E-3</v>
      </c>
      <c r="W1859">
        <v>896531.15161634097</v>
      </c>
      <c r="X1859" t="s">
        <v>39</v>
      </c>
      <c r="Y1859">
        <f>1-225-911-6184</f>
        <v>-7319</v>
      </c>
    </row>
    <row r="1860" spans="1:25" x14ac:dyDescent="0.35">
      <c r="A1860">
        <v>38.342200798591101</v>
      </c>
      <c r="B1860">
        <v>-119.715449598333</v>
      </c>
      <c r="C1860" t="s">
        <v>25</v>
      </c>
      <c r="D1860">
        <v>13.285037797292199</v>
      </c>
      <c r="E1860">
        <v>6</v>
      </c>
      <c r="F1860">
        <v>3778</v>
      </c>
      <c r="G1860">
        <v>4</v>
      </c>
      <c r="H1860">
        <v>2</v>
      </c>
      <c r="I1860">
        <v>1963</v>
      </c>
      <c r="J1860">
        <v>0</v>
      </c>
      <c r="K1860">
        <v>0</v>
      </c>
      <c r="L1860">
        <v>0</v>
      </c>
      <c r="M1860">
        <v>14</v>
      </c>
      <c r="N1860" t="s">
        <v>35</v>
      </c>
      <c r="O1860" t="s">
        <v>30</v>
      </c>
      <c r="P1860">
        <v>11.231177271923199</v>
      </c>
      <c r="Q1860">
        <v>1.7100082207798399</v>
      </c>
      <c r="R1860">
        <v>2.9569384175871098</v>
      </c>
      <c r="S1860">
        <v>132</v>
      </c>
      <c r="T1860">
        <v>31</v>
      </c>
      <c r="U1860">
        <v>875.22087151895005</v>
      </c>
      <c r="V1860">
        <v>3.7056643726839501E-3</v>
      </c>
      <c r="W1860">
        <v>3499029.1876447699</v>
      </c>
      <c r="X1860" t="s">
        <v>44</v>
      </c>
      <c r="Y1860">
        <f>1-543-564-3451</f>
        <v>-4557</v>
      </c>
    </row>
    <row r="1861" spans="1:25" x14ac:dyDescent="0.35">
      <c r="A1861">
        <v>41.355832101498102</v>
      </c>
      <c r="B1861">
        <v>-116.87057872491</v>
      </c>
      <c r="C1861" t="s">
        <v>25</v>
      </c>
      <c r="D1861">
        <v>25.133907631807901</v>
      </c>
      <c r="E1861">
        <v>8</v>
      </c>
      <c r="F1861">
        <v>3629</v>
      </c>
      <c r="G1861">
        <v>2</v>
      </c>
      <c r="H1861">
        <v>2</v>
      </c>
      <c r="I1861">
        <v>1950</v>
      </c>
      <c r="J1861">
        <v>1</v>
      </c>
      <c r="K1861">
        <v>0</v>
      </c>
      <c r="L1861">
        <v>1</v>
      </c>
      <c r="M1861">
        <v>5</v>
      </c>
      <c r="N1861" t="s">
        <v>41</v>
      </c>
      <c r="O1861" t="s">
        <v>30</v>
      </c>
      <c r="P1861">
        <v>13.644715071061899</v>
      </c>
      <c r="Q1861">
        <v>2.0605373652047998</v>
      </c>
      <c r="R1861">
        <v>4.2475344865174502</v>
      </c>
      <c r="S1861">
        <v>6</v>
      </c>
      <c r="T1861">
        <v>40</v>
      </c>
      <c r="U1861">
        <v>451.34360484284798</v>
      </c>
      <c r="V1861">
        <v>1.3777900248002201E-3</v>
      </c>
      <c r="W1861">
        <v>1922457.4178875301</v>
      </c>
      <c r="X1861" t="s">
        <v>40</v>
      </c>
      <c r="Y1861">
        <f>1-763-607-7772</f>
        <v>-9141</v>
      </c>
    </row>
    <row r="1862" spans="1:25" x14ac:dyDescent="0.35">
      <c r="A1862">
        <v>36.249324289381299</v>
      </c>
      <c r="B1862">
        <v>-116.764386086152</v>
      </c>
      <c r="C1862" t="s">
        <v>25</v>
      </c>
      <c r="D1862">
        <v>26.979580961061501</v>
      </c>
      <c r="E1862">
        <v>3</v>
      </c>
      <c r="F1862">
        <v>532</v>
      </c>
      <c r="G1862">
        <v>2</v>
      </c>
      <c r="H1862">
        <v>2</v>
      </c>
      <c r="I1862">
        <v>1996</v>
      </c>
      <c r="J1862">
        <v>1</v>
      </c>
      <c r="K1862">
        <v>0</v>
      </c>
      <c r="L1862">
        <v>0</v>
      </c>
      <c r="M1862">
        <v>14</v>
      </c>
      <c r="N1862" t="s">
        <v>35</v>
      </c>
      <c r="O1862" t="s">
        <v>27</v>
      </c>
      <c r="P1862">
        <v>8.8442230757470703</v>
      </c>
      <c r="Q1862">
        <v>0.71498990235804505</v>
      </c>
      <c r="R1862">
        <v>9.2313664294474798</v>
      </c>
      <c r="S1862">
        <v>128</v>
      </c>
      <c r="T1862">
        <v>49</v>
      </c>
      <c r="U1862">
        <v>788.97830917755596</v>
      </c>
      <c r="V1862">
        <v>2.6315789473684199E-2</v>
      </c>
      <c r="W1862">
        <v>603700.74294770195</v>
      </c>
      <c r="X1862" t="s">
        <v>31</v>
      </c>
      <c r="Y1862">
        <f>1-908-844-5920</f>
        <v>-7671</v>
      </c>
    </row>
    <row r="1863" spans="1:25" x14ac:dyDescent="0.35">
      <c r="A1863">
        <v>34.697753820568302</v>
      </c>
      <c r="B1863">
        <v>-123.50243258017299</v>
      </c>
      <c r="C1863" t="s">
        <v>25</v>
      </c>
      <c r="D1863">
        <v>2.78438419120087</v>
      </c>
      <c r="E1863">
        <v>0</v>
      </c>
      <c r="F1863">
        <v>3519</v>
      </c>
      <c r="G1863">
        <v>2</v>
      </c>
      <c r="H1863">
        <v>1</v>
      </c>
      <c r="I1863">
        <v>2008</v>
      </c>
      <c r="J1863">
        <v>1</v>
      </c>
      <c r="K1863">
        <v>0</v>
      </c>
      <c r="L1863">
        <v>0</v>
      </c>
      <c r="M1863">
        <v>3</v>
      </c>
      <c r="N1863" t="s">
        <v>26</v>
      </c>
      <c r="O1863" t="s">
        <v>27</v>
      </c>
      <c r="P1863">
        <v>14.073517352461799</v>
      </c>
      <c r="Q1863">
        <v>0.50760263467536104</v>
      </c>
      <c r="R1863">
        <v>7.4230179295237502</v>
      </c>
      <c r="S1863">
        <v>91</v>
      </c>
      <c r="T1863">
        <v>23</v>
      </c>
      <c r="U1863">
        <v>825.75704503675399</v>
      </c>
      <c r="V1863">
        <v>8.5251491901108204E-4</v>
      </c>
      <c r="W1863">
        <v>3166177.0409798599</v>
      </c>
      <c r="X1863" t="s">
        <v>38</v>
      </c>
      <c r="Y1863">
        <f>1-988-313-3411</f>
        <v>-4711</v>
      </c>
    </row>
    <row r="1864" spans="1:25" x14ac:dyDescent="0.35">
      <c r="A1864">
        <v>35.345469500732698</v>
      </c>
      <c r="B1864">
        <v>-122.35063118572501</v>
      </c>
      <c r="C1864" t="s">
        <v>25</v>
      </c>
      <c r="D1864">
        <v>11.130374086778399</v>
      </c>
      <c r="E1864">
        <v>5</v>
      </c>
      <c r="F1864">
        <v>1626</v>
      </c>
      <c r="G1864">
        <v>4</v>
      </c>
      <c r="H1864">
        <v>1</v>
      </c>
      <c r="I1864">
        <v>1979</v>
      </c>
      <c r="J1864">
        <v>0</v>
      </c>
      <c r="K1864">
        <v>0</v>
      </c>
      <c r="L1864">
        <v>0</v>
      </c>
      <c r="M1864">
        <v>14</v>
      </c>
      <c r="N1864" t="s">
        <v>37</v>
      </c>
      <c r="O1864" t="s">
        <v>32</v>
      </c>
      <c r="P1864">
        <v>11.0859758906973</v>
      </c>
      <c r="Q1864">
        <v>0.78849685064753205</v>
      </c>
      <c r="R1864">
        <v>4.7338826988841802</v>
      </c>
      <c r="S1864">
        <v>170</v>
      </c>
      <c r="T1864">
        <v>49</v>
      </c>
      <c r="U1864">
        <v>838.333522053357</v>
      </c>
      <c r="V1864">
        <v>8.6100861008609995E-3</v>
      </c>
      <c r="W1864">
        <v>1552680.2473351699</v>
      </c>
      <c r="X1864" t="s">
        <v>31</v>
      </c>
      <c r="Y1864">
        <f>1-552-315-6453</f>
        <v>-7319</v>
      </c>
    </row>
    <row r="1865" spans="1:25" x14ac:dyDescent="0.35">
      <c r="A1865">
        <v>38.559288797515698</v>
      </c>
      <c r="B1865">
        <v>-114.935291172795</v>
      </c>
      <c r="C1865" t="s">
        <v>34</v>
      </c>
      <c r="D1865">
        <v>39.210551170762699</v>
      </c>
      <c r="E1865">
        <v>1</v>
      </c>
      <c r="F1865">
        <v>1884</v>
      </c>
      <c r="G1865">
        <v>4</v>
      </c>
      <c r="H1865">
        <v>2</v>
      </c>
      <c r="I1865">
        <v>2001</v>
      </c>
      <c r="J1865">
        <v>0</v>
      </c>
      <c r="K1865">
        <v>1</v>
      </c>
      <c r="L1865">
        <v>0</v>
      </c>
      <c r="M1865">
        <v>11</v>
      </c>
      <c r="N1865" t="s">
        <v>26</v>
      </c>
      <c r="O1865" t="s">
        <v>27</v>
      </c>
      <c r="P1865">
        <v>11.3380565920259</v>
      </c>
      <c r="Q1865">
        <v>0.68294807318053896</v>
      </c>
      <c r="R1865">
        <v>2.63058262017142</v>
      </c>
      <c r="S1865">
        <v>50</v>
      </c>
      <c r="T1865">
        <v>23</v>
      </c>
      <c r="U1865">
        <v>275.00774122290397</v>
      </c>
      <c r="V1865">
        <v>5.8386411889596599E-3</v>
      </c>
      <c r="W1865">
        <v>980749.75094221998</v>
      </c>
      <c r="X1865" t="s">
        <v>40</v>
      </c>
      <c r="Y1865">
        <f>1-835-128-1822</f>
        <v>-2784</v>
      </c>
    </row>
    <row r="1866" spans="1:25" x14ac:dyDescent="0.35">
      <c r="A1866">
        <v>35.265624704100802</v>
      </c>
      <c r="B1866">
        <v>-119.45695651593699</v>
      </c>
      <c r="C1866" t="s">
        <v>34</v>
      </c>
      <c r="D1866">
        <v>30.282604522122799</v>
      </c>
      <c r="E1866">
        <v>2</v>
      </c>
      <c r="F1866">
        <v>1556</v>
      </c>
      <c r="G1866">
        <v>4</v>
      </c>
      <c r="H1866">
        <v>2</v>
      </c>
      <c r="I1866">
        <v>1970</v>
      </c>
      <c r="J1866">
        <v>1</v>
      </c>
      <c r="K1866">
        <v>0</v>
      </c>
      <c r="L1866">
        <v>1</v>
      </c>
      <c r="M1866">
        <v>5</v>
      </c>
      <c r="N1866" t="s">
        <v>41</v>
      </c>
      <c r="O1866" t="s">
        <v>32</v>
      </c>
      <c r="P1866">
        <v>7.7413022719957496</v>
      </c>
      <c r="Q1866">
        <v>1.7210392183909899</v>
      </c>
      <c r="R1866">
        <v>3.1164499062831199</v>
      </c>
      <c r="S1866">
        <v>98</v>
      </c>
      <c r="T1866">
        <v>75</v>
      </c>
      <c r="U1866">
        <v>646.19834785157298</v>
      </c>
      <c r="V1866">
        <v>3.2133676092544901E-3</v>
      </c>
      <c r="W1866">
        <v>1242432.1248729001</v>
      </c>
      <c r="X1866" t="s">
        <v>40</v>
      </c>
      <c r="Y1866">
        <f>1-214-558-9825</f>
        <v>-10596</v>
      </c>
    </row>
    <row r="1867" spans="1:25" x14ac:dyDescent="0.35">
      <c r="A1867">
        <v>39.548366855771498</v>
      </c>
      <c r="B1867">
        <v>-116.92521912146999</v>
      </c>
      <c r="C1867" t="s">
        <v>34</v>
      </c>
      <c r="D1867">
        <v>11.398756825812599</v>
      </c>
      <c r="E1867">
        <v>9</v>
      </c>
      <c r="F1867">
        <v>758</v>
      </c>
      <c r="G1867">
        <v>5</v>
      </c>
      <c r="H1867">
        <v>2</v>
      </c>
      <c r="I1867">
        <v>1961</v>
      </c>
      <c r="J1867">
        <v>0</v>
      </c>
      <c r="K1867">
        <v>0</v>
      </c>
      <c r="L1867">
        <v>1</v>
      </c>
      <c r="M1867">
        <v>10</v>
      </c>
      <c r="N1867" t="s">
        <v>26</v>
      </c>
      <c r="O1867" t="s">
        <v>30</v>
      </c>
      <c r="P1867">
        <v>6.3465666444437998</v>
      </c>
      <c r="Q1867">
        <v>1.21167659783517</v>
      </c>
      <c r="R1867">
        <v>6.1438903288365401</v>
      </c>
      <c r="S1867">
        <v>1</v>
      </c>
      <c r="T1867">
        <v>36</v>
      </c>
      <c r="U1867">
        <v>262.14253748691198</v>
      </c>
      <c r="V1867">
        <v>1.3192612137203101E-2</v>
      </c>
      <c r="W1867">
        <v>501279.64302463998</v>
      </c>
      <c r="X1867" t="s">
        <v>44</v>
      </c>
      <c r="Y1867">
        <f>1-509-889-7080</f>
        <v>-8477</v>
      </c>
    </row>
    <row r="1868" spans="1:25" x14ac:dyDescent="0.35">
      <c r="A1868">
        <v>38.245796629166399</v>
      </c>
      <c r="B1868">
        <v>-121.681422428094</v>
      </c>
      <c r="C1868" t="s">
        <v>29</v>
      </c>
      <c r="D1868">
        <v>1.4521045408373501</v>
      </c>
      <c r="E1868">
        <v>1</v>
      </c>
      <c r="F1868">
        <v>512</v>
      </c>
      <c r="G1868">
        <v>1</v>
      </c>
      <c r="H1868">
        <v>1</v>
      </c>
      <c r="I1868">
        <v>2022</v>
      </c>
      <c r="J1868">
        <v>0</v>
      </c>
      <c r="K1868">
        <v>1</v>
      </c>
      <c r="L1868">
        <v>1</v>
      </c>
      <c r="M1868">
        <v>10</v>
      </c>
      <c r="N1868" t="s">
        <v>35</v>
      </c>
      <c r="O1868" t="s">
        <v>32</v>
      </c>
      <c r="P1868">
        <v>3.60992273814706</v>
      </c>
      <c r="Q1868">
        <v>1.2052924217388801</v>
      </c>
      <c r="R1868">
        <v>1.61579067422792</v>
      </c>
      <c r="S1868">
        <v>145</v>
      </c>
      <c r="T1868">
        <v>73</v>
      </c>
      <c r="U1868">
        <v>380.55921972407998</v>
      </c>
      <c r="V1868">
        <v>1.953125E-2</v>
      </c>
      <c r="W1868">
        <v>415077.01184143499</v>
      </c>
      <c r="X1868" t="s">
        <v>42</v>
      </c>
      <c r="Y1868">
        <f>1-729-256-7741</f>
        <v>-8725</v>
      </c>
    </row>
    <row r="1869" spans="1:25" x14ac:dyDescent="0.35">
      <c r="A1869">
        <v>38.4920652075958</v>
      </c>
      <c r="B1869">
        <v>-116.38638387623401</v>
      </c>
      <c r="C1869" t="s">
        <v>34</v>
      </c>
      <c r="D1869">
        <v>41.193680530228498</v>
      </c>
      <c r="E1869">
        <v>7</v>
      </c>
      <c r="F1869">
        <v>3915</v>
      </c>
      <c r="G1869">
        <v>5</v>
      </c>
      <c r="H1869">
        <v>1</v>
      </c>
      <c r="I1869">
        <v>1996</v>
      </c>
      <c r="J1869">
        <v>1</v>
      </c>
      <c r="K1869">
        <v>0</v>
      </c>
      <c r="L1869">
        <v>0</v>
      </c>
      <c r="M1869">
        <v>4</v>
      </c>
      <c r="N1869" t="s">
        <v>37</v>
      </c>
      <c r="O1869" t="s">
        <v>30</v>
      </c>
      <c r="P1869">
        <v>11.9000450538483</v>
      </c>
      <c r="Q1869">
        <v>1.9335056371272501</v>
      </c>
      <c r="R1869">
        <v>8.9296135215242405</v>
      </c>
      <c r="S1869">
        <v>122</v>
      </c>
      <c r="T1869">
        <v>71</v>
      </c>
      <c r="U1869">
        <v>886.05146150484995</v>
      </c>
      <c r="V1869">
        <v>1.02171136653895E-3</v>
      </c>
      <c r="W1869">
        <v>3775139.4576576701</v>
      </c>
      <c r="X1869" t="s">
        <v>33</v>
      </c>
      <c r="Y1869">
        <f>1-849-848-6378</f>
        <v>-8074</v>
      </c>
    </row>
    <row r="1870" spans="1:25" x14ac:dyDescent="0.35">
      <c r="A1870">
        <v>40.823134917076899</v>
      </c>
      <c r="B1870">
        <v>-115.761633672136</v>
      </c>
      <c r="C1870" t="s">
        <v>25</v>
      </c>
      <c r="D1870">
        <v>48.311070729902198</v>
      </c>
      <c r="E1870">
        <v>3</v>
      </c>
      <c r="F1870">
        <v>4437</v>
      </c>
      <c r="G1870">
        <v>4</v>
      </c>
      <c r="H1870">
        <v>3</v>
      </c>
      <c r="I1870">
        <v>1999</v>
      </c>
      <c r="J1870">
        <v>0</v>
      </c>
      <c r="K1870">
        <v>1</v>
      </c>
      <c r="L1870">
        <v>0</v>
      </c>
      <c r="M1870">
        <v>10</v>
      </c>
      <c r="N1870" t="s">
        <v>41</v>
      </c>
      <c r="O1870" t="s">
        <v>32</v>
      </c>
      <c r="P1870">
        <v>13.445250512165901</v>
      </c>
      <c r="Q1870">
        <v>1.3030286742572099</v>
      </c>
      <c r="R1870">
        <v>8.0308283904668105</v>
      </c>
      <c r="S1870">
        <v>110</v>
      </c>
      <c r="T1870">
        <v>75</v>
      </c>
      <c r="U1870">
        <v>412.662255795372</v>
      </c>
      <c r="V1870">
        <v>2.25377507324769E-3</v>
      </c>
      <c r="W1870">
        <v>2295100.1604543198</v>
      </c>
      <c r="X1870" t="s">
        <v>39</v>
      </c>
      <c r="Y1870">
        <f>1-562-654-8966</f>
        <v>-10181</v>
      </c>
    </row>
    <row r="1871" spans="1:25" x14ac:dyDescent="0.35">
      <c r="A1871">
        <v>37.379906748393203</v>
      </c>
      <c r="B1871">
        <v>-119.26120416402399</v>
      </c>
      <c r="C1871" t="s">
        <v>29</v>
      </c>
      <c r="D1871">
        <v>23.510102316291501</v>
      </c>
      <c r="E1871">
        <v>1</v>
      </c>
      <c r="F1871">
        <v>1299</v>
      </c>
      <c r="G1871">
        <v>2</v>
      </c>
      <c r="H1871">
        <v>3</v>
      </c>
      <c r="I1871">
        <v>2001</v>
      </c>
      <c r="J1871">
        <v>1</v>
      </c>
      <c r="K1871">
        <v>1</v>
      </c>
      <c r="L1871">
        <v>0</v>
      </c>
      <c r="M1871">
        <v>3</v>
      </c>
      <c r="N1871" t="s">
        <v>26</v>
      </c>
      <c r="O1871" t="s">
        <v>27</v>
      </c>
      <c r="P1871">
        <v>9.9695512838267195</v>
      </c>
      <c r="Q1871">
        <v>0.77822933629761704</v>
      </c>
      <c r="R1871">
        <v>4.9931967593270397</v>
      </c>
      <c r="S1871">
        <v>162</v>
      </c>
      <c r="T1871">
        <v>29</v>
      </c>
      <c r="U1871">
        <v>910.737303900401</v>
      </c>
      <c r="V1871">
        <v>2.3094688221708998E-3</v>
      </c>
      <c r="W1871">
        <v>1548150.2582636201</v>
      </c>
      <c r="X1871" t="s">
        <v>39</v>
      </c>
      <c r="Y1871">
        <f>1-287-374-1623</f>
        <v>-2283</v>
      </c>
    </row>
    <row r="1872" spans="1:25" x14ac:dyDescent="0.35">
      <c r="A1872">
        <v>37.750455875271498</v>
      </c>
      <c r="B1872">
        <v>-121.825167934554</v>
      </c>
      <c r="C1872" t="s">
        <v>25</v>
      </c>
      <c r="D1872">
        <v>1.2909416073824</v>
      </c>
      <c r="E1872">
        <v>8</v>
      </c>
      <c r="F1872">
        <v>4083</v>
      </c>
      <c r="G1872">
        <v>1</v>
      </c>
      <c r="H1872">
        <v>2</v>
      </c>
      <c r="I1872">
        <v>1972</v>
      </c>
      <c r="J1872">
        <v>0</v>
      </c>
      <c r="K1872">
        <v>0</v>
      </c>
      <c r="L1872">
        <v>0</v>
      </c>
      <c r="M1872">
        <v>10</v>
      </c>
      <c r="N1872" t="s">
        <v>35</v>
      </c>
      <c r="O1872" t="s">
        <v>30</v>
      </c>
      <c r="P1872">
        <v>6.6986128567489098</v>
      </c>
      <c r="Q1872">
        <v>2.2676429778595</v>
      </c>
      <c r="R1872">
        <v>4.6766164172579003</v>
      </c>
      <c r="S1872">
        <v>105</v>
      </c>
      <c r="T1872">
        <v>70</v>
      </c>
      <c r="U1872">
        <v>532.80958738955405</v>
      </c>
      <c r="V1872">
        <v>2.4491795248591701E-3</v>
      </c>
      <c r="W1872">
        <v>2242410.2283686702</v>
      </c>
      <c r="X1872" t="s">
        <v>43</v>
      </c>
      <c r="Y1872">
        <f>1-489-599-6133</f>
        <v>-7220</v>
      </c>
    </row>
    <row r="1873" spans="1:25" x14ac:dyDescent="0.35">
      <c r="A1873">
        <v>38.568949752786502</v>
      </c>
      <c r="B1873">
        <v>-117.952214826234</v>
      </c>
      <c r="C1873" t="s">
        <v>29</v>
      </c>
      <c r="D1873">
        <v>1.3810023862051</v>
      </c>
      <c r="E1873">
        <v>6</v>
      </c>
      <c r="F1873">
        <v>1691</v>
      </c>
      <c r="G1873">
        <v>4</v>
      </c>
      <c r="H1873">
        <v>2</v>
      </c>
      <c r="I1873">
        <v>2020</v>
      </c>
      <c r="J1873">
        <v>0</v>
      </c>
      <c r="K1873">
        <v>1</v>
      </c>
      <c r="L1873">
        <v>1</v>
      </c>
      <c r="M1873">
        <v>6</v>
      </c>
      <c r="N1873" t="s">
        <v>41</v>
      </c>
      <c r="O1873" t="s">
        <v>30</v>
      </c>
      <c r="P1873">
        <v>10.1668145495641</v>
      </c>
      <c r="Q1873">
        <v>1.89673766754474</v>
      </c>
      <c r="R1873">
        <v>3.6403912584842599</v>
      </c>
      <c r="S1873">
        <v>121</v>
      </c>
      <c r="T1873">
        <v>60</v>
      </c>
      <c r="U1873">
        <v>608.22840310167601</v>
      </c>
      <c r="V1873">
        <v>3.5481963335304502E-3</v>
      </c>
      <c r="W1873">
        <v>1429128.9350234999</v>
      </c>
      <c r="X1873" t="s">
        <v>42</v>
      </c>
      <c r="Y1873">
        <f>1-769-903-8272</f>
        <v>-9943</v>
      </c>
    </row>
    <row r="1874" spans="1:25" x14ac:dyDescent="0.35">
      <c r="A1874">
        <v>32.5478110496651</v>
      </c>
      <c r="B1874">
        <v>-118.70338913448499</v>
      </c>
      <c r="C1874" t="s">
        <v>34</v>
      </c>
      <c r="D1874">
        <v>30.933501855143401</v>
      </c>
      <c r="E1874">
        <v>5</v>
      </c>
      <c r="F1874">
        <v>1607</v>
      </c>
      <c r="G1874">
        <v>5</v>
      </c>
      <c r="H1874">
        <v>3</v>
      </c>
      <c r="I1874">
        <v>2010</v>
      </c>
      <c r="J1874">
        <v>0</v>
      </c>
      <c r="K1874">
        <v>1</v>
      </c>
      <c r="L1874">
        <v>1</v>
      </c>
      <c r="M1874">
        <v>7</v>
      </c>
      <c r="N1874" t="s">
        <v>37</v>
      </c>
      <c r="O1874" t="s">
        <v>30</v>
      </c>
      <c r="P1874">
        <v>14.034048390312099</v>
      </c>
      <c r="Q1874">
        <v>0.99476151511479505</v>
      </c>
      <c r="R1874">
        <v>3.89341877784249</v>
      </c>
      <c r="S1874">
        <v>192</v>
      </c>
      <c r="T1874">
        <v>61</v>
      </c>
      <c r="U1874">
        <v>297.13238038972401</v>
      </c>
      <c r="V1874">
        <v>4.3559427504666999E-3</v>
      </c>
      <c r="W1874">
        <v>1071078.4550759499</v>
      </c>
      <c r="X1874" t="s">
        <v>42</v>
      </c>
      <c r="Y1874">
        <f>1-269-706-8024</f>
        <v>-8998</v>
      </c>
    </row>
    <row r="1875" spans="1:25" x14ac:dyDescent="0.35">
      <c r="A1875">
        <v>37.576145501996201</v>
      </c>
      <c r="B1875">
        <v>-119.516320116515</v>
      </c>
      <c r="C1875" t="s">
        <v>34</v>
      </c>
      <c r="D1875">
        <v>6.6085446517303703</v>
      </c>
      <c r="E1875">
        <v>5</v>
      </c>
      <c r="F1875">
        <v>4572</v>
      </c>
      <c r="G1875">
        <v>2</v>
      </c>
      <c r="H1875">
        <v>2</v>
      </c>
      <c r="I1875">
        <v>2003</v>
      </c>
      <c r="J1875">
        <v>1</v>
      </c>
      <c r="K1875">
        <v>1</v>
      </c>
      <c r="L1875">
        <v>1</v>
      </c>
      <c r="M1875">
        <v>12</v>
      </c>
      <c r="N1875" t="s">
        <v>35</v>
      </c>
      <c r="O1875" t="s">
        <v>30</v>
      </c>
      <c r="P1875">
        <v>9.3722291147172498</v>
      </c>
      <c r="Q1875">
        <v>1.3443468460899901</v>
      </c>
      <c r="R1875">
        <v>6.5018109208725301</v>
      </c>
      <c r="S1875">
        <v>59</v>
      </c>
      <c r="T1875">
        <v>36</v>
      </c>
      <c r="U1875">
        <v>357.11136190518698</v>
      </c>
      <c r="V1875">
        <v>2.62467191601049E-3</v>
      </c>
      <c r="W1875">
        <v>1998517.2378086499</v>
      </c>
      <c r="X1875" t="s">
        <v>38</v>
      </c>
      <c r="Y1875">
        <f>1-347-370-2973</f>
        <v>-3689</v>
      </c>
    </row>
    <row r="1876" spans="1:25" x14ac:dyDescent="0.35">
      <c r="A1876">
        <v>32.669903800931003</v>
      </c>
      <c r="B1876">
        <v>-122.750897072981</v>
      </c>
      <c r="C1876" t="s">
        <v>25</v>
      </c>
      <c r="D1876">
        <v>44.1663273319597</v>
      </c>
      <c r="E1876">
        <v>1</v>
      </c>
      <c r="F1876">
        <v>1131</v>
      </c>
      <c r="G1876">
        <v>3</v>
      </c>
      <c r="H1876">
        <v>2</v>
      </c>
      <c r="I1876">
        <v>1986</v>
      </c>
      <c r="J1876">
        <v>0</v>
      </c>
      <c r="K1876">
        <v>0</v>
      </c>
      <c r="L1876">
        <v>0</v>
      </c>
      <c r="M1876">
        <v>9</v>
      </c>
      <c r="N1876" t="s">
        <v>26</v>
      </c>
      <c r="O1876" t="s">
        <v>30</v>
      </c>
      <c r="P1876">
        <v>8.6169279910689696</v>
      </c>
      <c r="Q1876">
        <v>1.2578580883837001</v>
      </c>
      <c r="R1876">
        <v>3.5476731947826199</v>
      </c>
      <c r="S1876">
        <v>14</v>
      </c>
      <c r="T1876">
        <v>60</v>
      </c>
      <c r="U1876">
        <v>435.61719001089801</v>
      </c>
      <c r="V1876">
        <v>7.9575596816976093E-3</v>
      </c>
      <c r="W1876">
        <v>668094.01129596203</v>
      </c>
      <c r="X1876" t="s">
        <v>39</v>
      </c>
      <c r="Y1876">
        <f>1-492-528-3647</f>
        <v>-4666</v>
      </c>
    </row>
    <row r="1877" spans="1:25" x14ac:dyDescent="0.35">
      <c r="A1877">
        <v>33.855921944120603</v>
      </c>
      <c r="B1877">
        <v>-124.30066271867</v>
      </c>
      <c r="C1877" t="s">
        <v>34</v>
      </c>
      <c r="D1877">
        <v>19.2942592752173</v>
      </c>
      <c r="E1877">
        <v>3</v>
      </c>
      <c r="F1877">
        <v>1300</v>
      </c>
      <c r="G1877">
        <v>5</v>
      </c>
      <c r="H1877">
        <v>2</v>
      </c>
      <c r="I1877">
        <v>1995</v>
      </c>
      <c r="J1877">
        <v>1</v>
      </c>
      <c r="K1877">
        <v>0</v>
      </c>
      <c r="L1877">
        <v>0</v>
      </c>
      <c r="M1877">
        <v>13</v>
      </c>
      <c r="N1877" t="s">
        <v>37</v>
      </c>
      <c r="O1877" t="s">
        <v>30</v>
      </c>
      <c r="P1877">
        <v>3.18761983547535</v>
      </c>
      <c r="Q1877">
        <v>0.80973109560621104</v>
      </c>
      <c r="R1877">
        <v>2.6318284369441001</v>
      </c>
      <c r="S1877">
        <v>69</v>
      </c>
      <c r="T1877">
        <v>50</v>
      </c>
      <c r="U1877">
        <v>347.963576363892</v>
      </c>
      <c r="V1877">
        <v>0.01</v>
      </c>
      <c r="W1877">
        <v>786479.05647424795</v>
      </c>
      <c r="X1877" t="s">
        <v>39</v>
      </c>
      <c r="Y1877">
        <f>1-902-694-3044</f>
        <v>-4639</v>
      </c>
    </row>
    <row r="1878" spans="1:25" x14ac:dyDescent="0.35">
      <c r="A1878">
        <v>40.1819309145692</v>
      </c>
      <c r="B1878">
        <v>-115.220586584885</v>
      </c>
      <c r="C1878" t="s">
        <v>29</v>
      </c>
      <c r="D1878">
        <v>2.5283499568343202</v>
      </c>
      <c r="E1878">
        <v>6</v>
      </c>
      <c r="F1878">
        <v>4552</v>
      </c>
      <c r="G1878">
        <v>3</v>
      </c>
      <c r="H1878">
        <v>3</v>
      </c>
      <c r="I1878">
        <v>1966</v>
      </c>
      <c r="J1878">
        <v>0</v>
      </c>
      <c r="K1878">
        <v>0</v>
      </c>
      <c r="L1878">
        <v>1</v>
      </c>
      <c r="M1878">
        <v>6</v>
      </c>
      <c r="N1878" t="s">
        <v>26</v>
      </c>
      <c r="O1878" t="s">
        <v>32</v>
      </c>
      <c r="P1878">
        <v>2.6512262311922399</v>
      </c>
      <c r="Q1878">
        <v>1.61133829755316</v>
      </c>
      <c r="R1878">
        <v>9.8326043621886505</v>
      </c>
      <c r="S1878">
        <v>188</v>
      </c>
      <c r="T1878">
        <v>51</v>
      </c>
      <c r="U1878">
        <v>721.38808385030302</v>
      </c>
      <c r="V1878">
        <v>1.3181019332161601E-3</v>
      </c>
      <c r="W1878">
        <v>3425836.5530674201</v>
      </c>
      <c r="X1878" t="s">
        <v>28</v>
      </c>
      <c r="Y1878">
        <f>1-626-388-8170</f>
        <v>-9183</v>
      </c>
    </row>
    <row r="1879" spans="1:25" x14ac:dyDescent="0.35">
      <c r="A1879">
        <v>41.722595854534603</v>
      </c>
      <c r="B1879">
        <v>-121.699262716731</v>
      </c>
      <c r="C1879" t="s">
        <v>34</v>
      </c>
      <c r="D1879">
        <v>1.8983780969435999</v>
      </c>
      <c r="E1879">
        <v>9</v>
      </c>
      <c r="F1879">
        <v>3402</v>
      </c>
      <c r="G1879">
        <v>1</v>
      </c>
      <c r="H1879">
        <v>3</v>
      </c>
      <c r="I1879">
        <v>2004</v>
      </c>
      <c r="J1879">
        <v>1</v>
      </c>
      <c r="K1879">
        <v>0</v>
      </c>
      <c r="L1879">
        <v>0</v>
      </c>
      <c r="M1879">
        <v>9</v>
      </c>
      <c r="N1879" t="s">
        <v>41</v>
      </c>
      <c r="O1879" t="s">
        <v>27</v>
      </c>
      <c r="P1879">
        <v>11.055696986362699</v>
      </c>
      <c r="Q1879">
        <v>1.53633719057811</v>
      </c>
      <c r="R1879">
        <v>7.3111375585361698</v>
      </c>
      <c r="S1879">
        <v>184</v>
      </c>
      <c r="T1879">
        <v>32</v>
      </c>
      <c r="U1879">
        <v>268.68170480683</v>
      </c>
      <c r="V1879">
        <v>2.6455026455026402E-3</v>
      </c>
      <c r="W1879">
        <v>1177467.0917873001</v>
      </c>
      <c r="X1879" t="s">
        <v>28</v>
      </c>
      <c r="Y1879">
        <f>1-666-375-7506</f>
        <v>-8546</v>
      </c>
    </row>
    <row r="1880" spans="1:25" x14ac:dyDescent="0.35">
      <c r="A1880">
        <v>34.862537514668198</v>
      </c>
      <c r="B1880">
        <v>-120.71675590887899</v>
      </c>
      <c r="C1880" t="s">
        <v>34</v>
      </c>
      <c r="D1880">
        <v>12.816142812473201</v>
      </c>
      <c r="E1880">
        <v>6</v>
      </c>
      <c r="F1880">
        <v>3400</v>
      </c>
      <c r="G1880">
        <v>2</v>
      </c>
      <c r="H1880">
        <v>3</v>
      </c>
      <c r="I1880">
        <v>1962</v>
      </c>
      <c r="J1880">
        <v>1</v>
      </c>
      <c r="K1880">
        <v>1</v>
      </c>
      <c r="L1880">
        <v>0</v>
      </c>
      <c r="M1880">
        <v>3</v>
      </c>
      <c r="N1880" t="s">
        <v>37</v>
      </c>
      <c r="O1880" t="s">
        <v>30</v>
      </c>
      <c r="P1880">
        <v>4.3638831197989498</v>
      </c>
      <c r="Q1880">
        <v>1.68822067959954</v>
      </c>
      <c r="R1880">
        <v>6.0305407516056002</v>
      </c>
      <c r="S1880">
        <v>97</v>
      </c>
      <c r="T1880">
        <v>38</v>
      </c>
      <c r="U1880">
        <v>744.40492964965995</v>
      </c>
      <c r="V1880">
        <v>8.8235294117646997E-4</v>
      </c>
      <c r="W1880">
        <v>2765210.6290179798</v>
      </c>
      <c r="X1880" t="s">
        <v>44</v>
      </c>
      <c r="Y1880">
        <f>1-263-508-3747</f>
        <v>-4517</v>
      </c>
    </row>
    <row r="1881" spans="1:25" x14ac:dyDescent="0.35">
      <c r="A1881">
        <v>41.510713598357</v>
      </c>
      <c r="B1881">
        <v>-120.506413386384</v>
      </c>
      <c r="C1881" t="s">
        <v>25</v>
      </c>
      <c r="D1881">
        <v>19.5187666568917</v>
      </c>
      <c r="E1881">
        <v>7</v>
      </c>
      <c r="F1881">
        <v>1219</v>
      </c>
      <c r="G1881">
        <v>4</v>
      </c>
      <c r="H1881">
        <v>1</v>
      </c>
      <c r="I1881">
        <v>1992</v>
      </c>
      <c r="J1881">
        <v>1</v>
      </c>
      <c r="K1881">
        <v>0</v>
      </c>
      <c r="L1881">
        <v>1</v>
      </c>
      <c r="M1881">
        <v>5</v>
      </c>
      <c r="N1881" t="s">
        <v>41</v>
      </c>
      <c r="O1881" t="s">
        <v>30</v>
      </c>
      <c r="P1881">
        <v>2.05353716970997</v>
      </c>
      <c r="Q1881">
        <v>1.39689771051694</v>
      </c>
      <c r="R1881">
        <v>1.3267809460355799</v>
      </c>
      <c r="S1881">
        <v>33</v>
      </c>
      <c r="T1881">
        <v>55</v>
      </c>
      <c r="U1881">
        <v>787.55133947772299</v>
      </c>
      <c r="V1881">
        <v>4.1017227235438797E-3</v>
      </c>
      <c r="W1881">
        <v>1239264.7492708601</v>
      </c>
      <c r="X1881" t="s">
        <v>43</v>
      </c>
      <c r="Y1881">
        <f>1-698-399-6921</f>
        <v>-8017</v>
      </c>
    </row>
    <row r="1882" spans="1:25" x14ac:dyDescent="0.35">
      <c r="A1882">
        <v>35.775744434384301</v>
      </c>
      <c r="B1882">
        <v>-117.11059481084099</v>
      </c>
      <c r="C1882" t="s">
        <v>29</v>
      </c>
      <c r="D1882">
        <v>44.763680122618702</v>
      </c>
      <c r="E1882">
        <v>9</v>
      </c>
      <c r="F1882">
        <v>4695</v>
      </c>
      <c r="G1882">
        <v>2</v>
      </c>
      <c r="H1882">
        <v>2</v>
      </c>
      <c r="I1882">
        <v>1985</v>
      </c>
      <c r="J1882">
        <v>0</v>
      </c>
      <c r="K1882">
        <v>0</v>
      </c>
      <c r="L1882">
        <v>0</v>
      </c>
      <c r="M1882">
        <v>14</v>
      </c>
      <c r="N1882" t="s">
        <v>37</v>
      </c>
      <c r="O1882" t="s">
        <v>30</v>
      </c>
      <c r="P1882">
        <v>14.962937019686599</v>
      </c>
      <c r="Q1882">
        <v>1.19437019415608</v>
      </c>
      <c r="R1882">
        <v>7.9448768514050796</v>
      </c>
      <c r="S1882">
        <v>37</v>
      </c>
      <c r="T1882">
        <v>64</v>
      </c>
      <c r="U1882">
        <v>446.04841040638098</v>
      </c>
      <c r="V1882">
        <v>2.9818956336528199E-3</v>
      </c>
      <c r="W1882">
        <v>2224371.88117699</v>
      </c>
      <c r="X1882" t="s">
        <v>43</v>
      </c>
      <c r="Y1882">
        <f>1-859-350-1787</f>
        <v>-2995</v>
      </c>
    </row>
    <row r="1883" spans="1:25" x14ac:dyDescent="0.35">
      <c r="A1883">
        <v>37.240457095333298</v>
      </c>
      <c r="B1883">
        <v>-116.41809186486201</v>
      </c>
      <c r="C1883" t="s">
        <v>34</v>
      </c>
      <c r="D1883">
        <v>23.712863460075599</v>
      </c>
      <c r="E1883">
        <v>4</v>
      </c>
      <c r="F1883">
        <v>3149</v>
      </c>
      <c r="G1883">
        <v>1</v>
      </c>
      <c r="H1883">
        <v>1</v>
      </c>
      <c r="I1883">
        <v>2019</v>
      </c>
      <c r="J1883">
        <v>1</v>
      </c>
      <c r="K1883">
        <v>0</v>
      </c>
      <c r="L1883">
        <v>0</v>
      </c>
      <c r="M1883">
        <v>7</v>
      </c>
      <c r="N1883" t="s">
        <v>37</v>
      </c>
      <c r="O1883" t="s">
        <v>30</v>
      </c>
      <c r="P1883">
        <v>7.6695934783042601</v>
      </c>
      <c r="Q1883">
        <v>1.0612683763808901</v>
      </c>
      <c r="R1883">
        <v>8.9279938610362493</v>
      </c>
      <c r="S1883">
        <v>136</v>
      </c>
      <c r="T1883">
        <v>51</v>
      </c>
      <c r="U1883">
        <v>934.69248098059904</v>
      </c>
      <c r="V1883">
        <v>2.2229279136233701E-3</v>
      </c>
      <c r="W1883">
        <v>3034588.6322867102</v>
      </c>
      <c r="X1883" t="s">
        <v>43</v>
      </c>
      <c r="Y1883">
        <f>1-959-508-8670</f>
        <v>-10136</v>
      </c>
    </row>
    <row r="1884" spans="1:25" x14ac:dyDescent="0.35">
      <c r="A1884">
        <v>36.127616816304503</v>
      </c>
      <c r="B1884">
        <v>-114.821353083959</v>
      </c>
      <c r="C1884" t="s">
        <v>29</v>
      </c>
      <c r="D1884">
        <v>11.5472759890599</v>
      </c>
      <c r="E1884">
        <v>6</v>
      </c>
      <c r="F1884">
        <v>1020</v>
      </c>
      <c r="G1884">
        <v>2</v>
      </c>
      <c r="H1884">
        <v>2</v>
      </c>
      <c r="I1884">
        <v>2001</v>
      </c>
      <c r="J1884">
        <v>0</v>
      </c>
      <c r="K1884">
        <v>1</v>
      </c>
      <c r="L1884">
        <v>0</v>
      </c>
      <c r="M1884">
        <v>14</v>
      </c>
      <c r="N1884" t="s">
        <v>35</v>
      </c>
      <c r="O1884" t="s">
        <v>30</v>
      </c>
      <c r="P1884">
        <v>12.139595612944801</v>
      </c>
      <c r="Q1884">
        <v>2.4302480109995601</v>
      </c>
      <c r="R1884">
        <v>6.5154258081388301</v>
      </c>
      <c r="S1884">
        <v>120</v>
      </c>
      <c r="T1884">
        <v>37</v>
      </c>
      <c r="U1884">
        <v>964.03486505036994</v>
      </c>
      <c r="V1884">
        <v>1.37254901960784E-2</v>
      </c>
      <c r="W1884">
        <v>1266554.55534482</v>
      </c>
      <c r="X1884" t="s">
        <v>40</v>
      </c>
      <c r="Y1884">
        <f>1-309-381-7301</f>
        <v>-7990</v>
      </c>
    </row>
    <row r="1885" spans="1:25" x14ac:dyDescent="0.35">
      <c r="A1885">
        <v>32.774677321139698</v>
      </c>
      <c r="B1885">
        <v>-123.26885109396299</v>
      </c>
      <c r="C1885" t="s">
        <v>25</v>
      </c>
      <c r="D1885">
        <v>19.393973828066699</v>
      </c>
      <c r="E1885">
        <v>6</v>
      </c>
      <c r="F1885">
        <v>701</v>
      </c>
      <c r="G1885">
        <v>4</v>
      </c>
      <c r="H1885">
        <v>1</v>
      </c>
      <c r="I1885">
        <v>1981</v>
      </c>
      <c r="J1885">
        <v>0</v>
      </c>
      <c r="K1885">
        <v>1</v>
      </c>
      <c r="L1885">
        <v>1</v>
      </c>
      <c r="M1885">
        <v>9</v>
      </c>
      <c r="N1885" t="s">
        <v>26</v>
      </c>
      <c r="O1885" t="s">
        <v>27</v>
      </c>
      <c r="P1885">
        <v>4.0568777910698399</v>
      </c>
      <c r="Q1885">
        <v>2.31727094964628</v>
      </c>
      <c r="R1885">
        <v>4.98889827529191</v>
      </c>
      <c r="S1885">
        <v>14</v>
      </c>
      <c r="T1885">
        <v>45</v>
      </c>
      <c r="U1885">
        <v>706.26206207730695</v>
      </c>
      <c r="V1885">
        <v>1.28388017118402E-2</v>
      </c>
      <c r="W1885">
        <v>792494.70031040895</v>
      </c>
      <c r="X1885" t="s">
        <v>38</v>
      </c>
      <c r="Y1885">
        <f>1-907-887-1242</f>
        <v>-3035</v>
      </c>
    </row>
    <row r="1886" spans="1:25" x14ac:dyDescent="0.35">
      <c r="A1886">
        <v>35.546182595905798</v>
      </c>
      <c r="B1886">
        <v>-114.928761201025</v>
      </c>
      <c r="C1886" t="s">
        <v>29</v>
      </c>
      <c r="D1886">
        <v>49.532707818579503</v>
      </c>
      <c r="E1886">
        <v>6</v>
      </c>
      <c r="F1886">
        <v>2411</v>
      </c>
      <c r="G1886">
        <v>4</v>
      </c>
      <c r="H1886">
        <v>1</v>
      </c>
      <c r="I1886">
        <v>1975</v>
      </c>
      <c r="J1886">
        <v>0</v>
      </c>
      <c r="K1886">
        <v>0</v>
      </c>
      <c r="L1886">
        <v>0</v>
      </c>
      <c r="M1886">
        <v>4</v>
      </c>
      <c r="N1886" t="s">
        <v>41</v>
      </c>
      <c r="O1886" t="s">
        <v>27</v>
      </c>
      <c r="P1886">
        <v>13.341290944720299</v>
      </c>
      <c r="Q1886">
        <v>0.86354809272647504</v>
      </c>
      <c r="R1886">
        <v>8.0219407147886308</v>
      </c>
      <c r="S1886">
        <v>129</v>
      </c>
      <c r="T1886">
        <v>68</v>
      </c>
      <c r="U1886">
        <v>983.46519222504503</v>
      </c>
      <c r="V1886">
        <v>1.65906262961426E-3</v>
      </c>
      <c r="W1886">
        <v>2633345.2964088498</v>
      </c>
      <c r="X1886" t="s">
        <v>39</v>
      </c>
      <c r="Y1886">
        <f>1-724-664-4114</f>
        <v>-5501</v>
      </c>
    </row>
    <row r="1887" spans="1:25" x14ac:dyDescent="0.35">
      <c r="A1887">
        <v>38.936375207689899</v>
      </c>
      <c r="B1887">
        <v>-122.825677708361</v>
      </c>
      <c r="C1887" t="s">
        <v>25</v>
      </c>
      <c r="D1887">
        <v>47.7923132749115</v>
      </c>
      <c r="E1887">
        <v>9</v>
      </c>
      <c r="F1887">
        <v>986</v>
      </c>
      <c r="G1887">
        <v>3</v>
      </c>
      <c r="H1887">
        <v>3</v>
      </c>
      <c r="I1887">
        <v>1975</v>
      </c>
      <c r="J1887">
        <v>1</v>
      </c>
      <c r="K1887">
        <v>1</v>
      </c>
      <c r="L1887">
        <v>1</v>
      </c>
      <c r="M1887">
        <v>3</v>
      </c>
      <c r="N1887" t="s">
        <v>37</v>
      </c>
      <c r="O1887" t="s">
        <v>32</v>
      </c>
      <c r="P1887">
        <v>11.3269904230074</v>
      </c>
      <c r="Q1887">
        <v>0.728254781121351</v>
      </c>
      <c r="R1887">
        <v>1.5425309653908399</v>
      </c>
      <c r="S1887">
        <v>96</v>
      </c>
      <c r="T1887">
        <v>44</v>
      </c>
      <c r="U1887">
        <v>866.05902198462002</v>
      </c>
      <c r="V1887">
        <v>3.04259634888438E-3</v>
      </c>
      <c r="W1887">
        <v>1260226.0195345001</v>
      </c>
      <c r="X1887" t="s">
        <v>31</v>
      </c>
      <c r="Y1887">
        <f>1-938-177-5932</f>
        <v>-7046</v>
      </c>
    </row>
    <row r="1888" spans="1:25" x14ac:dyDescent="0.35">
      <c r="A1888">
        <v>37.442025028748397</v>
      </c>
      <c r="B1888">
        <v>-117.25860939722899</v>
      </c>
      <c r="C1888" t="s">
        <v>29</v>
      </c>
      <c r="D1888">
        <v>13.0904163182632</v>
      </c>
      <c r="E1888">
        <v>3</v>
      </c>
      <c r="F1888">
        <v>1457</v>
      </c>
      <c r="G1888">
        <v>2</v>
      </c>
      <c r="H1888">
        <v>1</v>
      </c>
      <c r="I1888">
        <v>2005</v>
      </c>
      <c r="J1888">
        <v>0</v>
      </c>
      <c r="K1888">
        <v>1</v>
      </c>
      <c r="L1888">
        <v>1</v>
      </c>
      <c r="M1888">
        <v>8</v>
      </c>
      <c r="N1888" t="s">
        <v>26</v>
      </c>
      <c r="O1888" t="s">
        <v>27</v>
      </c>
      <c r="P1888">
        <v>8.1649564629008893</v>
      </c>
      <c r="Q1888">
        <v>2.1687041851488198</v>
      </c>
      <c r="R1888">
        <v>3.74572751918374</v>
      </c>
      <c r="S1888">
        <v>157</v>
      </c>
      <c r="T1888">
        <v>56</v>
      </c>
      <c r="U1888">
        <v>973.07430335911999</v>
      </c>
      <c r="V1888">
        <v>5.4907343857240904E-3</v>
      </c>
      <c r="W1888">
        <v>1712393.76895936</v>
      </c>
      <c r="X1888" t="s">
        <v>36</v>
      </c>
      <c r="Y1888">
        <f>1-795-274-5402</f>
        <v>-6470</v>
      </c>
    </row>
    <row r="1889" spans="1:25" x14ac:dyDescent="0.35">
      <c r="A1889">
        <v>35.783697184564197</v>
      </c>
      <c r="B1889">
        <v>-124.04918740533</v>
      </c>
      <c r="C1889" t="s">
        <v>34</v>
      </c>
      <c r="D1889">
        <v>26.247861632025</v>
      </c>
      <c r="E1889">
        <v>6</v>
      </c>
      <c r="F1889">
        <v>4739</v>
      </c>
      <c r="G1889">
        <v>1</v>
      </c>
      <c r="H1889">
        <v>3</v>
      </c>
      <c r="I1889">
        <v>1991</v>
      </c>
      <c r="J1889">
        <v>0</v>
      </c>
      <c r="K1889">
        <v>0</v>
      </c>
      <c r="L1889">
        <v>1</v>
      </c>
      <c r="M1889">
        <v>13</v>
      </c>
      <c r="N1889" t="s">
        <v>41</v>
      </c>
      <c r="O1889" t="s">
        <v>27</v>
      </c>
      <c r="P1889">
        <v>14.6676307198824</v>
      </c>
      <c r="Q1889">
        <v>0.52882360945901297</v>
      </c>
      <c r="R1889">
        <v>3.3943102075278602</v>
      </c>
      <c r="S1889">
        <v>167</v>
      </c>
      <c r="T1889">
        <v>41</v>
      </c>
      <c r="U1889">
        <v>906.42806999316304</v>
      </c>
      <c r="V1889">
        <v>2.7431947668284402E-3</v>
      </c>
      <c r="W1889">
        <v>4612173.4527928103</v>
      </c>
      <c r="X1889" t="s">
        <v>40</v>
      </c>
      <c r="Y1889">
        <f>1-290-268-2911</f>
        <v>-3468</v>
      </c>
    </row>
    <row r="1890" spans="1:25" x14ac:dyDescent="0.35">
      <c r="A1890">
        <v>32.544963012811998</v>
      </c>
      <c r="B1890">
        <v>-123.9281309758</v>
      </c>
      <c r="C1890" t="s">
        <v>25</v>
      </c>
      <c r="D1890">
        <v>13.415454630849201</v>
      </c>
      <c r="E1890">
        <v>4</v>
      </c>
      <c r="F1890">
        <v>2606</v>
      </c>
      <c r="G1890">
        <v>3</v>
      </c>
      <c r="H1890">
        <v>3</v>
      </c>
      <c r="I1890">
        <v>1998</v>
      </c>
      <c r="J1890">
        <v>1</v>
      </c>
      <c r="K1890">
        <v>0</v>
      </c>
      <c r="L1890">
        <v>1</v>
      </c>
      <c r="M1890">
        <v>3</v>
      </c>
      <c r="N1890" t="s">
        <v>37</v>
      </c>
      <c r="O1890" t="s">
        <v>27</v>
      </c>
      <c r="P1890">
        <v>6.3715513421515997</v>
      </c>
      <c r="Q1890">
        <v>1.88098922549307</v>
      </c>
      <c r="R1890">
        <v>1.43989160801322</v>
      </c>
      <c r="S1890">
        <v>33</v>
      </c>
      <c r="T1890">
        <v>35</v>
      </c>
      <c r="U1890">
        <v>284.89534519716699</v>
      </c>
      <c r="V1890">
        <v>1.15118956254796E-3</v>
      </c>
      <c r="W1890">
        <v>1131217.48002465</v>
      </c>
      <c r="X1890" t="s">
        <v>42</v>
      </c>
      <c r="Y1890">
        <f>1-595-199-5112</f>
        <v>-5905</v>
      </c>
    </row>
    <row r="1891" spans="1:25" x14ac:dyDescent="0.35">
      <c r="A1891">
        <v>33.608811370251999</v>
      </c>
      <c r="B1891">
        <v>-117.173293283205</v>
      </c>
      <c r="C1891" t="s">
        <v>29</v>
      </c>
      <c r="D1891">
        <v>15.438049669942</v>
      </c>
      <c r="E1891">
        <v>5</v>
      </c>
      <c r="F1891">
        <v>2182</v>
      </c>
      <c r="G1891">
        <v>5</v>
      </c>
      <c r="H1891">
        <v>1</v>
      </c>
      <c r="I1891">
        <v>1999</v>
      </c>
      <c r="J1891">
        <v>0</v>
      </c>
      <c r="K1891">
        <v>1</v>
      </c>
      <c r="L1891">
        <v>1</v>
      </c>
      <c r="M1891">
        <v>8</v>
      </c>
      <c r="N1891" t="s">
        <v>26</v>
      </c>
      <c r="O1891" t="s">
        <v>27</v>
      </c>
      <c r="P1891">
        <v>7.1178437817026898</v>
      </c>
      <c r="Q1891">
        <v>1.38345138932859</v>
      </c>
      <c r="R1891">
        <v>7.9571869979610401</v>
      </c>
      <c r="S1891">
        <v>97</v>
      </c>
      <c r="T1891">
        <v>44</v>
      </c>
      <c r="U1891">
        <v>772.93432273182702</v>
      </c>
      <c r="V1891">
        <v>3.6663611365719499E-3</v>
      </c>
      <c r="W1891">
        <v>2113257.8734895298</v>
      </c>
      <c r="X1891" t="s">
        <v>28</v>
      </c>
      <c r="Y1891">
        <f>1-446-544-3631</f>
        <v>-4620</v>
      </c>
    </row>
    <row r="1892" spans="1:25" x14ac:dyDescent="0.35">
      <c r="A1892">
        <v>37.2319363095786</v>
      </c>
      <c r="B1892">
        <v>-115.899848556476</v>
      </c>
      <c r="C1892" t="s">
        <v>29</v>
      </c>
      <c r="D1892">
        <v>15.3865595652022</v>
      </c>
      <c r="E1892">
        <v>1</v>
      </c>
      <c r="F1892">
        <v>1621</v>
      </c>
      <c r="G1892">
        <v>2</v>
      </c>
      <c r="H1892">
        <v>3</v>
      </c>
      <c r="I1892">
        <v>1996</v>
      </c>
      <c r="J1892">
        <v>1</v>
      </c>
      <c r="K1892">
        <v>1</v>
      </c>
      <c r="L1892">
        <v>1</v>
      </c>
      <c r="M1892">
        <v>9</v>
      </c>
      <c r="N1892" t="s">
        <v>26</v>
      </c>
      <c r="O1892" t="s">
        <v>30</v>
      </c>
      <c r="P1892">
        <v>6.4686706183758202</v>
      </c>
      <c r="Q1892">
        <v>1.06276103124192</v>
      </c>
      <c r="R1892">
        <v>2.8122337572167302</v>
      </c>
      <c r="S1892">
        <v>147</v>
      </c>
      <c r="T1892">
        <v>74</v>
      </c>
      <c r="U1892">
        <v>290.012299433061</v>
      </c>
      <c r="V1892">
        <v>5.5521283158544103E-3</v>
      </c>
      <c r="W1892">
        <v>795548.16807730903</v>
      </c>
      <c r="X1892" t="s">
        <v>39</v>
      </c>
      <c r="Y1892">
        <f>1-892-402-1962</f>
        <v>-3255</v>
      </c>
    </row>
    <row r="1893" spans="1:25" x14ac:dyDescent="0.35">
      <c r="A1893">
        <v>33.134138271693402</v>
      </c>
      <c r="B1893">
        <v>-122.241924463923</v>
      </c>
      <c r="C1893" t="s">
        <v>29</v>
      </c>
      <c r="D1893">
        <v>17.122094258040999</v>
      </c>
      <c r="E1893">
        <v>0</v>
      </c>
      <c r="F1893">
        <v>1560</v>
      </c>
      <c r="G1893">
        <v>3</v>
      </c>
      <c r="H1893">
        <v>3</v>
      </c>
      <c r="I1893">
        <v>1988</v>
      </c>
      <c r="J1893">
        <v>0</v>
      </c>
      <c r="K1893">
        <v>0</v>
      </c>
      <c r="L1893">
        <v>0</v>
      </c>
      <c r="M1893">
        <v>6</v>
      </c>
      <c r="N1893" t="s">
        <v>37</v>
      </c>
      <c r="O1893" t="s">
        <v>32</v>
      </c>
      <c r="P1893">
        <v>14.7262878318377</v>
      </c>
      <c r="Q1893">
        <v>0.99690379886970903</v>
      </c>
      <c r="R1893">
        <v>3.3585681184628502</v>
      </c>
      <c r="S1893">
        <v>160</v>
      </c>
      <c r="T1893">
        <v>49</v>
      </c>
      <c r="U1893">
        <v>920.534816223799</v>
      </c>
      <c r="V1893">
        <v>3.8461538461538399E-3</v>
      </c>
      <c r="W1893">
        <v>1755651.98733147</v>
      </c>
      <c r="X1893" t="s">
        <v>43</v>
      </c>
      <c r="Y1893">
        <f>1-784-410-1861</f>
        <v>-3054</v>
      </c>
    </row>
    <row r="1894" spans="1:25" x14ac:dyDescent="0.35">
      <c r="A1894">
        <v>40.474328140867797</v>
      </c>
      <c r="B1894">
        <v>-114.233740635559</v>
      </c>
      <c r="C1894" t="s">
        <v>29</v>
      </c>
      <c r="D1894">
        <v>5.8661491410969404</v>
      </c>
      <c r="E1894">
        <v>8</v>
      </c>
      <c r="F1894">
        <v>4822</v>
      </c>
      <c r="G1894">
        <v>5</v>
      </c>
      <c r="H1894">
        <v>1</v>
      </c>
      <c r="I1894">
        <v>1959</v>
      </c>
      <c r="J1894">
        <v>1</v>
      </c>
      <c r="K1894">
        <v>0</v>
      </c>
      <c r="L1894">
        <v>0</v>
      </c>
      <c r="M1894">
        <v>3</v>
      </c>
      <c r="N1894" t="s">
        <v>35</v>
      </c>
      <c r="O1894" t="s">
        <v>32</v>
      </c>
      <c r="P1894">
        <v>3.1905110490209001</v>
      </c>
      <c r="Q1894">
        <v>2.4906087849516299</v>
      </c>
      <c r="R1894">
        <v>7.3127554125826899</v>
      </c>
      <c r="S1894">
        <v>21</v>
      </c>
      <c r="T1894">
        <v>39</v>
      </c>
      <c r="U1894">
        <v>608.48775119834602</v>
      </c>
      <c r="V1894">
        <v>6.2214848610534998E-4</v>
      </c>
      <c r="W1894">
        <v>3171384.7493219101</v>
      </c>
      <c r="X1894" t="s">
        <v>43</v>
      </c>
      <c r="Y1894">
        <f>1-846-339-1234</f>
        <v>-2418</v>
      </c>
    </row>
    <row r="1895" spans="1:25" x14ac:dyDescent="0.35">
      <c r="A1895">
        <v>40.849735599987703</v>
      </c>
      <c r="B1895">
        <v>-120.080999671379</v>
      </c>
      <c r="C1895" t="s">
        <v>29</v>
      </c>
      <c r="D1895">
        <v>43.626296325628303</v>
      </c>
      <c r="E1895">
        <v>4</v>
      </c>
      <c r="F1895">
        <v>3431</v>
      </c>
      <c r="G1895">
        <v>2</v>
      </c>
      <c r="H1895">
        <v>2</v>
      </c>
      <c r="I1895">
        <v>1985</v>
      </c>
      <c r="J1895">
        <v>0</v>
      </c>
      <c r="K1895">
        <v>0</v>
      </c>
      <c r="L1895">
        <v>1</v>
      </c>
      <c r="M1895">
        <v>8</v>
      </c>
      <c r="N1895" t="s">
        <v>41</v>
      </c>
      <c r="O1895" t="s">
        <v>30</v>
      </c>
      <c r="P1895">
        <v>11.959353393124299</v>
      </c>
      <c r="Q1895">
        <v>1.4294200799075201</v>
      </c>
      <c r="R1895">
        <v>2.4165656140807701</v>
      </c>
      <c r="S1895">
        <v>3</v>
      </c>
      <c r="T1895">
        <v>43</v>
      </c>
      <c r="U1895">
        <v>484.35549373062702</v>
      </c>
      <c r="V1895">
        <v>2.3316817254444701E-3</v>
      </c>
      <c r="W1895">
        <v>1868684.55970949</v>
      </c>
      <c r="X1895" t="s">
        <v>44</v>
      </c>
      <c r="Y1895">
        <f>1-805-545-3454</f>
        <v>-4803</v>
      </c>
    </row>
    <row r="1896" spans="1:25" x14ac:dyDescent="0.35">
      <c r="A1896">
        <v>34.409745170070799</v>
      </c>
      <c r="B1896">
        <v>-123.66337492165999</v>
      </c>
      <c r="C1896" t="s">
        <v>34</v>
      </c>
      <c r="D1896">
        <v>36.355677532869301</v>
      </c>
      <c r="E1896">
        <v>2</v>
      </c>
      <c r="F1896">
        <v>1513</v>
      </c>
      <c r="G1896">
        <v>1</v>
      </c>
      <c r="H1896">
        <v>1</v>
      </c>
      <c r="I1896">
        <v>2004</v>
      </c>
      <c r="J1896">
        <v>1</v>
      </c>
      <c r="K1896">
        <v>0</v>
      </c>
      <c r="L1896">
        <v>1</v>
      </c>
      <c r="M1896">
        <v>7</v>
      </c>
      <c r="N1896" t="s">
        <v>35</v>
      </c>
      <c r="O1896" t="s">
        <v>32</v>
      </c>
      <c r="P1896">
        <v>5.4375585435943101</v>
      </c>
      <c r="Q1896">
        <v>1.5445402829576</v>
      </c>
      <c r="R1896">
        <v>8.8505282995063101</v>
      </c>
      <c r="S1896">
        <v>69</v>
      </c>
      <c r="T1896">
        <v>67</v>
      </c>
      <c r="U1896">
        <v>446.95457635589003</v>
      </c>
      <c r="V1896">
        <v>4.6265697290152003E-3</v>
      </c>
      <c r="W1896">
        <v>846636.61639918096</v>
      </c>
      <c r="X1896" t="s">
        <v>38</v>
      </c>
      <c r="Y1896">
        <f>1-407-875-6258</f>
        <v>-7539</v>
      </c>
    </row>
    <row r="1897" spans="1:25" x14ac:dyDescent="0.35">
      <c r="A1897">
        <v>39.154072880913603</v>
      </c>
      <c r="B1897">
        <v>-121.469466702741</v>
      </c>
      <c r="C1897" t="s">
        <v>25</v>
      </c>
      <c r="D1897">
        <v>39.139467232801401</v>
      </c>
      <c r="E1897">
        <v>8</v>
      </c>
      <c r="F1897">
        <v>1720</v>
      </c>
      <c r="G1897">
        <v>4</v>
      </c>
      <c r="H1897">
        <v>1</v>
      </c>
      <c r="I1897">
        <v>1993</v>
      </c>
      <c r="J1897">
        <v>0</v>
      </c>
      <c r="K1897">
        <v>1</v>
      </c>
      <c r="L1897">
        <v>0</v>
      </c>
      <c r="M1897">
        <v>2</v>
      </c>
      <c r="N1897" t="s">
        <v>35</v>
      </c>
      <c r="O1897" t="s">
        <v>30</v>
      </c>
      <c r="P1897">
        <v>2.53214994387274</v>
      </c>
      <c r="Q1897">
        <v>2.0478963605145801</v>
      </c>
      <c r="R1897">
        <v>3.6848929906222998</v>
      </c>
      <c r="S1897">
        <v>182</v>
      </c>
      <c r="T1897">
        <v>60</v>
      </c>
      <c r="U1897">
        <v>403.11570962262101</v>
      </c>
      <c r="V1897">
        <v>1.1627906976744099E-3</v>
      </c>
      <c r="W1897">
        <v>923757.66261427698</v>
      </c>
      <c r="X1897" t="s">
        <v>40</v>
      </c>
      <c r="Y1897">
        <f>1-527-667-1020</f>
        <v>-2213</v>
      </c>
    </row>
    <row r="1898" spans="1:25" x14ac:dyDescent="0.35">
      <c r="A1898">
        <v>39.333819270247403</v>
      </c>
      <c r="B1898">
        <v>-121.220761248739</v>
      </c>
      <c r="C1898" t="s">
        <v>25</v>
      </c>
      <c r="D1898">
        <v>36.9606005785976</v>
      </c>
      <c r="E1898">
        <v>3</v>
      </c>
      <c r="F1898">
        <v>2529</v>
      </c>
      <c r="G1898">
        <v>2</v>
      </c>
      <c r="H1898">
        <v>2</v>
      </c>
      <c r="I1898">
        <v>2004</v>
      </c>
      <c r="J1898">
        <v>1</v>
      </c>
      <c r="K1898">
        <v>1</v>
      </c>
      <c r="L1898">
        <v>1</v>
      </c>
      <c r="M1898">
        <v>5</v>
      </c>
      <c r="N1898" t="s">
        <v>41</v>
      </c>
      <c r="O1898" t="s">
        <v>32</v>
      </c>
      <c r="P1898">
        <v>14.196887415349</v>
      </c>
      <c r="Q1898">
        <v>2.4530521194355899</v>
      </c>
      <c r="R1898">
        <v>4.8335710010009896</v>
      </c>
      <c r="S1898">
        <v>137</v>
      </c>
      <c r="T1898">
        <v>36</v>
      </c>
      <c r="U1898">
        <v>968.66777931753097</v>
      </c>
      <c r="V1898">
        <v>1.9770660340055301E-3</v>
      </c>
      <c r="W1898">
        <v>2822706.1347299502</v>
      </c>
      <c r="X1898" t="s">
        <v>39</v>
      </c>
      <c r="Y1898">
        <f>1-826-979-1009</f>
        <v>-2813</v>
      </c>
    </row>
    <row r="1899" spans="1:25" x14ac:dyDescent="0.35">
      <c r="A1899">
        <v>39.936198364662097</v>
      </c>
      <c r="B1899">
        <v>-122.632171714484</v>
      </c>
      <c r="C1899" t="s">
        <v>25</v>
      </c>
      <c r="D1899">
        <v>43.535190395416102</v>
      </c>
      <c r="E1899">
        <v>1</v>
      </c>
      <c r="F1899">
        <v>2721</v>
      </c>
      <c r="G1899">
        <v>4</v>
      </c>
      <c r="H1899">
        <v>3</v>
      </c>
      <c r="I1899">
        <v>2000</v>
      </c>
      <c r="J1899">
        <v>0</v>
      </c>
      <c r="K1899">
        <v>1</v>
      </c>
      <c r="L1899">
        <v>0</v>
      </c>
      <c r="M1899">
        <v>14</v>
      </c>
      <c r="N1899" t="s">
        <v>35</v>
      </c>
      <c r="O1899" t="s">
        <v>30</v>
      </c>
      <c r="P1899">
        <v>13.6741033478148</v>
      </c>
      <c r="Q1899">
        <v>2.3681821718021698</v>
      </c>
      <c r="R1899">
        <v>9.9671042751662497</v>
      </c>
      <c r="S1899">
        <v>19</v>
      </c>
      <c r="T1899">
        <v>67</v>
      </c>
      <c r="U1899">
        <v>927.36059138093503</v>
      </c>
      <c r="V1899">
        <v>5.1451672179345801E-3</v>
      </c>
      <c r="W1899">
        <v>2948948.9719741601</v>
      </c>
      <c r="X1899" t="s">
        <v>38</v>
      </c>
      <c r="Y1899">
        <f>1-600-318-6433</f>
        <v>-7350</v>
      </c>
    </row>
    <row r="1900" spans="1:25" x14ac:dyDescent="0.35">
      <c r="A1900">
        <v>35.306619296056802</v>
      </c>
      <c r="B1900">
        <v>-116.037512169463</v>
      </c>
      <c r="C1900" t="s">
        <v>29</v>
      </c>
      <c r="D1900">
        <v>43.830256622385797</v>
      </c>
      <c r="E1900">
        <v>1</v>
      </c>
      <c r="F1900">
        <v>2532</v>
      </c>
      <c r="G1900">
        <v>1</v>
      </c>
      <c r="H1900">
        <v>1</v>
      </c>
      <c r="I1900">
        <v>2014</v>
      </c>
      <c r="J1900">
        <v>1</v>
      </c>
      <c r="K1900">
        <v>0</v>
      </c>
      <c r="L1900">
        <v>0</v>
      </c>
      <c r="M1900">
        <v>11</v>
      </c>
      <c r="N1900" t="s">
        <v>41</v>
      </c>
      <c r="O1900" t="s">
        <v>30</v>
      </c>
      <c r="P1900">
        <v>5.8306313599222799</v>
      </c>
      <c r="Q1900">
        <v>2.0257450994269299</v>
      </c>
      <c r="R1900">
        <v>3.4739605106398699</v>
      </c>
      <c r="S1900">
        <v>122</v>
      </c>
      <c r="T1900">
        <v>74</v>
      </c>
      <c r="U1900">
        <v>225.020623982514</v>
      </c>
      <c r="V1900">
        <v>4.3443917851500704E-3</v>
      </c>
      <c r="W1900">
        <v>628475.26266472402</v>
      </c>
      <c r="X1900" t="s">
        <v>44</v>
      </c>
      <c r="Y1900">
        <f>1-512-600-5594</f>
        <v>-6705</v>
      </c>
    </row>
    <row r="1901" spans="1:25" x14ac:dyDescent="0.35">
      <c r="A1901">
        <v>35.779249911574603</v>
      </c>
      <c r="B1901">
        <v>-115.846166324865</v>
      </c>
      <c r="C1901" t="s">
        <v>29</v>
      </c>
      <c r="D1901">
        <v>44.272110934040001</v>
      </c>
      <c r="E1901">
        <v>0</v>
      </c>
      <c r="F1901">
        <v>2917</v>
      </c>
      <c r="G1901">
        <v>5</v>
      </c>
      <c r="H1901">
        <v>2</v>
      </c>
      <c r="I1901">
        <v>2019</v>
      </c>
      <c r="J1901">
        <v>1</v>
      </c>
      <c r="K1901">
        <v>1</v>
      </c>
      <c r="L1901">
        <v>1</v>
      </c>
      <c r="M1901">
        <v>6</v>
      </c>
      <c r="N1901" t="s">
        <v>37</v>
      </c>
      <c r="O1901" t="s">
        <v>32</v>
      </c>
      <c r="P1901">
        <v>4.4366816649586598</v>
      </c>
      <c r="Q1901">
        <v>0.78005633390861395</v>
      </c>
      <c r="R1901">
        <v>8.2676475957829396</v>
      </c>
      <c r="S1901">
        <v>153</v>
      </c>
      <c r="T1901">
        <v>75</v>
      </c>
      <c r="U1901">
        <v>567.62755887980302</v>
      </c>
      <c r="V1901">
        <v>2.0569077819677698E-3</v>
      </c>
      <c r="W1901">
        <v>2078667.5765630801</v>
      </c>
      <c r="X1901" t="s">
        <v>36</v>
      </c>
      <c r="Y1901">
        <f>1-457-791-6217</f>
        <v>-7464</v>
      </c>
    </row>
    <row r="1902" spans="1:25" x14ac:dyDescent="0.35">
      <c r="A1902">
        <v>40.3196480385689</v>
      </c>
      <c r="B1902">
        <v>-119.364717349548</v>
      </c>
      <c r="C1902" t="s">
        <v>34</v>
      </c>
      <c r="D1902">
        <v>7.9034589793860803</v>
      </c>
      <c r="E1902">
        <v>1</v>
      </c>
      <c r="F1902">
        <v>1884</v>
      </c>
      <c r="G1902">
        <v>4</v>
      </c>
      <c r="H1902">
        <v>2</v>
      </c>
      <c r="I1902">
        <v>1959</v>
      </c>
      <c r="J1902">
        <v>0</v>
      </c>
      <c r="K1902">
        <v>1</v>
      </c>
      <c r="L1902">
        <v>1</v>
      </c>
      <c r="M1902">
        <v>13</v>
      </c>
      <c r="N1902" t="s">
        <v>35</v>
      </c>
      <c r="O1902" t="s">
        <v>30</v>
      </c>
      <c r="P1902">
        <v>11.9406450808226</v>
      </c>
      <c r="Q1902">
        <v>0.79057858750037202</v>
      </c>
      <c r="R1902">
        <v>6.5738090020872999</v>
      </c>
      <c r="S1902">
        <v>195</v>
      </c>
      <c r="T1902">
        <v>22</v>
      </c>
      <c r="U1902">
        <v>375.84680367809602</v>
      </c>
      <c r="V1902">
        <v>6.9002123142250498E-3</v>
      </c>
      <c r="W1902">
        <v>992334.89630704897</v>
      </c>
      <c r="X1902" t="s">
        <v>39</v>
      </c>
      <c r="Y1902">
        <f>1-473-554-3033</f>
        <v>-4059</v>
      </c>
    </row>
    <row r="1903" spans="1:25" x14ac:dyDescent="0.35">
      <c r="A1903">
        <v>34.933783894957898</v>
      </c>
      <c r="B1903">
        <v>-121.201353030806</v>
      </c>
      <c r="C1903" t="s">
        <v>29</v>
      </c>
      <c r="D1903">
        <v>9.9656124807282591</v>
      </c>
      <c r="E1903">
        <v>9</v>
      </c>
      <c r="F1903">
        <v>2130</v>
      </c>
      <c r="G1903">
        <v>4</v>
      </c>
      <c r="H1903">
        <v>1</v>
      </c>
      <c r="I1903">
        <v>2011</v>
      </c>
      <c r="J1903">
        <v>0</v>
      </c>
      <c r="K1903">
        <v>1</v>
      </c>
      <c r="L1903">
        <v>0</v>
      </c>
      <c r="M1903">
        <v>13</v>
      </c>
      <c r="N1903" t="s">
        <v>37</v>
      </c>
      <c r="O1903" t="s">
        <v>30</v>
      </c>
      <c r="P1903">
        <v>4.9614566813744698</v>
      </c>
      <c r="Q1903">
        <v>1.21552127033143</v>
      </c>
      <c r="R1903">
        <v>2.0213770836513301</v>
      </c>
      <c r="S1903">
        <v>25</v>
      </c>
      <c r="T1903">
        <v>33</v>
      </c>
      <c r="U1903">
        <v>656.26392392981404</v>
      </c>
      <c r="V1903">
        <v>6.1032863849765197E-3</v>
      </c>
      <c r="W1903">
        <v>1725018.82905853</v>
      </c>
      <c r="X1903" t="s">
        <v>31</v>
      </c>
      <c r="Y1903">
        <f>1-710-832-7824</f>
        <v>-9365</v>
      </c>
    </row>
    <row r="1904" spans="1:25" x14ac:dyDescent="0.35">
      <c r="A1904">
        <v>40.509608579148903</v>
      </c>
      <c r="B1904">
        <v>-124.058926803413</v>
      </c>
      <c r="C1904" t="s">
        <v>29</v>
      </c>
      <c r="D1904">
        <v>33.031786801415898</v>
      </c>
      <c r="E1904">
        <v>5</v>
      </c>
      <c r="F1904">
        <v>4294</v>
      </c>
      <c r="G1904">
        <v>1</v>
      </c>
      <c r="H1904">
        <v>2</v>
      </c>
      <c r="I1904">
        <v>1961</v>
      </c>
      <c r="J1904">
        <v>0</v>
      </c>
      <c r="K1904">
        <v>1</v>
      </c>
      <c r="L1904">
        <v>1</v>
      </c>
      <c r="M1904">
        <v>9</v>
      </c>
      <c r="N1904" t="s">
        <v>41</v>
      </c>
      <c r="O1904" t="s">
        <v>27</v>
      </c>
      <c r="P1904">
        <v>5.9103922918721397</v>
      </c>
      <c r="Q1904">
        <v>1.36346574045344</v>
      </c>
      <c r="R1904">
        <v>8.01969186999467</v>
      </c>
      <c r="S1904">
        <v>26</v>
      </c>
      <c r="T1904">
        <v>76</v>
      </c>
      <c r="U1904">
        <v>308.02211320145801</v>
      </c>
      <c r="V1904">
        <v>2.0959478341872301E-3</v>
      </c>
      <c r="W1904">
        <v>1516183.5762577399</v>
      </c>
      <c r="X1904" t="s">
        <v>28</v>
      </c>
      <c r="Y1904">
        <f>1-996-579-2325</f>
        <v>-3899</v>
      </c>
    </row>
    <row r="1905" spans="1:25" x14ac:dyDescent="0.35">
      <c r="A1905">
        <v>40.943214462579199</v>
      </c>
      <c r="B1905">
        <v>-124.24051180409</v>
      </c>
      <c r="C1905" t="s">
        <v>29</v>
      </c>
      <c r="D1905">
        <v>18.515400210004501</v>
      </c>
      <c r="E1905">
        <v>5</v>
      </c>
      <c r="F1905">
        <v>1278</v>
      </c>
      <c r="G1905">
        <v>5</v>
      </c>
      <c r="H1905">
        <v>3</v>
      </c>
      <c r="I1905">
        <v>1988</v>
      </c>
      <c r="J1905">
        <v>0</v>
      </c>
      <c r="K1905">
        <v>1</v>
      </c>
      <c r="L1905">
        <v>1</v>
      </c>
      <c r="M1905">
        <v>3</v>
      </c>
      <c r="N1905" t="s">
        <v>35</v>
      </c>
      <c r="O1905" t="s">
        <v>32</v>
      </c>
      <c r="P1905">
        <v>6.0525468476419597</v>
      </c>
      <c r="Q1905">
        <v>1.77027806946055</v>
      </c>
      <c r="R1905">
        <v>2.1710131070975298</v>
      </c>
      <c r="S1905">
        <v>15</v>
      </c>
      <c r="T1905">
        <v>65</v>
      </c>
      <c r="U1905">
        <v>239.46225771125799</v>
      </c>
      <c r="V1905">
        <v>2.34741784037558E-3</v>
      </c>
      <c r="W1905">
        <v>706682.36779129505</v>
      </c>
      <c r="X1905" t="s">
        <v>39</v>
      </c>
      <c r="Y1905">
        <f>1-867-207-1460</f>
        <v>-2533</v>
      </c>
    </row>
    <row r="1906" spans="1:25" x14ac:dyDescent="0.35">
      <c r="A1906">
        <v>40.611771928965503</v>
      </c>
      <c r="B1906">
        <v>-119.27741438899</v>
      </c>
      <c r="C1906" t="s">
        <v>34</v>
      </c>
      <c r="D1906">
        <v>48.964010164123302</v>
      </c>
      <c r="E1906">
        <v>4</v>
      </c>
      <c r="F1906">
        <v>1472</v>
      </c>
      <c r="G1906">
        <v>4</v>
      </c>
      <c r="H1906">
        <v>3</v>
      </c>
      <c r="I1906">
        <v>1979</v>
      </c>
      <c r="J1906">
        <v>1</v>
      </c>
      <c r="K1906">
        <v>1</v>
      </c>
      <c r="L1906">
        <v>0</v>
      </c>
      <c r="M1906">
        <v>3</v>
      </c>
      <c r="N1906" t="s">
        <v>41</v>
      </c>
      <c r="O1906" t="s">
        <v>32</v>
      </c>
      <c r="P1906">
        <v>9.6518939624244702</v>
      </c>
      <c r="Q1906">
        <v>1.1684714406962</v>
      </c>
      <c r="R1906">
        <v>9.2752741158912397E-2</v>
      </c>
      <c r="S1906">
        <v>191</v>
      </c>
      <c r="T1906">
        <v>34</v>
      </c>
      <c r="U1906">
        <v>300.79192251540098</v>
      </c>
      <c r="V1906">
        <v>2.03804347826086E-3</v>
      </c>
      <c r="W1906">
        <v>865516.18421017902</v>
      </c>
      <c r="X1906" t="s">
        <v>42</v>
      </c>
      <c r="Y1906">
        <f>1-302-331-8622</f>
        <v>-9254</v>
      </c>
    </row>
    <row r="1907" spans="1:25" x14ac:dyDescent="0.35">
      <c r="A1907">
        <v>41.362583966231902</v>
      </c>
      <c r="B1907">
        <v>-114.739501943519</v>
      </c>
      <c r="C1907" t="s">
        <v>34</v>
      </c>
      <c r="D1907">
        <v>11.515749145808201</v>
      </c>
      <c r="E1907">
        <v>0</v>
      </c>
      <c r="F1907">
        <v>760</v>
      </c>
      <c r="G1907">
        <v>4</v>
      </c>
      <c r="H1907">
        <v>1</v>
      </c>
      <c r="I1907">
        <v>2005</v>
      </c>
      <c r="J1907">
        <v>1</v>
      </c>
      <c r="K1907">
        <v>0</v>
      </c>
      <c r="L1907">
        <v>1</v>
      </c>
      <c r="M1907">
        <v>4</v>
      </c>
      <c r="N1907" t="s">
        <v>41</v>
      </c>
      <c r="O1907" t="s">
        <v>30</v>
      </c>
      <c r="P1907">
        <v>6.5452581577106503</v>
      </c>
      <c r="Q1907">
        <v>1.90266931581294</v>
      </c>
      <c r="R1907">
        <v>4.5768059728015302</v>
      </c>
      <c r="S1907">
        <v>143</v>
      </c>
      <c r="T1907">
        <v>34</v>
      </c>
      <c r="U1907">
        <v>862.07661098820495</v>
      </c>
      <c r="V1907">
        <v>5.2631578947368403E-3</v>
      </c>
      <c r="W1907">
        <v>969538.10435519298</v>
      </c>
      <c r="X1907" t="s">
        <v>28</v>
      </c>
      <c r="Y1907">
        <f>1-848-819-5996</f>
        <v>-7662</v>
      </c>
    </row>
    <row r="1908" spans="1:25" x14ac:dyDescent="0.35">
      <c r="A1908">
        <v>40.827065712091802</v>
      </c>
      <c r="B1908">
        <v>-121.95403861736899</v>
      </c>
      <c r="C1908" t="s">
        <v>34</v>
      </c>
      <c r="D1908">
        <v>2.9615533316847902</v>
      </c>
      <c r="E1908">
        <v>5</v>
      </c>
      <c r="F1908">
        <v>1882</v>
      </c>
      <c r="G1908">
        <v>2</v>
      </c>
      <c r="H1908">
        <v>1</v>
      </c>
      <c r="I1908">
        <v>1980</v>
      </c>
      <c r="J1908">
        <v>1</v>
      </c>
      <c r="K1908">
        <v>0</v>
      </c>
      <c r="L1908">
        <v>0</v>
      </c>
      <c r="M1908">
        <v>14</v>
      </c>
      <c r="N1908" t="s">
        <v>26</v>
      </c>
      <c r="O1908" t="s">
        <v>30</v>
      </c>
      <c r="P1908">
        <v>8.2927583215026992</v>
      </c>
      <c r="Q1908">
        <v>0.79467459596786605</v>
      </c>
      <c r="R1908">
        <v>0.93011700916615903</v>
      </c>
      <c r="S1908">
        <v>42</v>
      </c>
      <c r="T1908">
        <v>26</v>
      </c>
      <c r="U1908">
        <v>615.40822908750704</v>
      </c>
      <c r="V1908">
        <v>7.4388947927736399E-3</v>
      </c>
      <c r="W1908">
        <v>1269162.3126867299</v>
      </c>
      <c r="X1908" t="s">
        <v>42</v>
      </c>
      <c r="Y1908">
        <f>1-783-873-3233</f>
        <v>-4888</v>
      </c>
    </row>
    <row r="1909" spans="1:25" x14ac:dyDescent="0.35">
      <c r="A1909">
        <v>41.054445631306599</v>
      </c>
      <c r="B1909">
        <v>-120.510462786358</v>
      </c>
      <c r="C1909" t="s">
        <v>34</v>
      </c>
      <c r="D1909">
        <v>15.489533392772101</v>
      </c>
      <c r="E1909">
        <v>0</v>
      </c>
      <c r="F1909">
        <v>1661</v>
      </c>
      <c r="G1909">
        <v>1</v>
      </c>
      <c r="H1909">
        <v>1</v>
      </c>
      <c r="I1909">
        <v>2020</v>
      </c>
      <c r="J1909">
        <v>0</v>
      </c>
      <c r="K1909">
        <v>0</v>
      </c>
      <c r="L1909">
        <v>0</v>
      </c>
      <c r="M1909">
        <v>8</v>
      </c>
      <c r="N1909" t="s">
        <v>35</v>
      </c>
      <c r="O1909" t="s">
        <v>32</v>
      </c>
      <c r="P1909">
        <v>8.4086650342195899</v>
      </c>
      <c r="Q1909">
        <v>1.04843273472586</v>
      </c>
      <c r="R1909">
        <v>2.6883983739197599E-2</v>
      </c>
      <c r="S1909">
        <v>13</v>
      </c>
      <c r="T1909">
        <v>52</v>
      </c>
      <c r="U1909">
        <v>428.49746334901999</v>
      </c>
      <c r="V1909">
        <v>4.8163756773028296E-3</v>
      </c>
      <c r="W1909">
        <v>862501.69985027495</v>
      </c>
      <c r="X1909" t="s">
        <v>39</v>
      </c>
      <c r="Y1909">
        <f>1-274-708-2784</f>
        <v>-3765</v>
      </c>
    </row>
    <row r="1910" spans="1:25" x14ac:dyDescent="0.35">
      <c r="A1910">
        <v>35.9794270980438</v>
      </c>
      <c r="B1910">
        <v>-119.940494128681</v>
      </c>
      <c r="C1910" t="s">
        <v>25</v>
      </c>
      <c r="D1910">
        <v>14.245333763720501</v>
      </c>
      <c r="E1910">
        <v>3</v>
      </c>
      <c r="F1910">
        <v>3929</v>
      </c>
      <c r="G1910">
        <v>4</v>
      </c>
      <c r="H1910">
        <v>1</v>
      </c>
      <c r="I1910">
        <v>1981</v>
      </c>
      <c r="J1910">
        <v>0</v>
      </c>
      <c r="K1910">
        <v>1</v>
      </c>
      <c r="L1910">
        <v>1</v>
      </c>
      <c r="M1910">
        <v>7</v>
      </c>
      <c r="N1910" t="s">
        <v>26</v>
      </c>
      <c r="O1910" t="s">
        <v>32</v>
      </c>
      <c r="P1910">
        <v>8.9982781378125996</v>
      </c>
      <c r="Q1910">
        <v>2.1813849780371601</v>
      </c>
      <c r="R1910">
        <v>9.7668825169653601</v>
      </c>
      <c r="S1910">
        <v>43</v>
      </c>
      <c r="T1910">
        <v>47</v>
      </c>
      <c r="U1910">
        <v>237.37622977746901</v>
      </c>
      <c r="V1910">
        <v>1.7816238228556801E-3</v>
      </c>
      <c r="W1910">
        <v>1298119.4245954601</v>
      </c>
      <c r="X1910" t="s">
        <v>28</v>
      </c>
      <c r="Y1910">
        <f>1-848-276-5440</f>
        <v>-6563</v>
      </c>
    </row>
    <row r="1911" spans="1:25" x14ac:dyDescent="0.35">
      <c r="A1911">
        <v>36.166828101670099</v>
      </c>
      <c r="B1911">
        <v>-123.734072678789</v>
      </c>
      <c r="C1911" t="s">
        <v>29</v>
      </c>
      <c r="D1911">
        <v>32.292862190620099</v>
      </c>
      <c r="E1911">
        <v>7</v>
      </c>
      <c r="F1911">
        <v>4987</v>
      </c>
      <c r="G1911">
        <v>2</v>
      </c>
      <c r="H1911">
        <v>2</v>
      </c>
      <c r="I1911">
        <v>1961</v>
      </c>
      <c r="J1911">
        <v>0</v>
      </c>
      <c r="K1911">
        <v>0</v>
      </c>
      <c r="L1911">
        <v>0</v>
      </c>
      <c r="M1911">
        <v>11</v>
      </c>
      <c r="N1911" t="s">
        <v>26</v>
      </c>
      <c r="O1911" t="s">
        <v>27</v>
      </c>
      <c r="P1911">
        <v>5.8724614717502703</v>
      </c>
      <c r="Q1911">
        <v>1.5594040946759999</v>
      </c>
      <c r="R1911">
        <v>6.7935186530324199</v>
      </c>
      <c r="S1911">
        <v>142</v>
      </c>
      <c r="T1911">
        <v>33</v>
      </c>
      <c r="U1911">
        <v>830.89977323266703</v>
      </c>
      <c r="V1911">
        <v>2.2057349107679901E-3</v>
      </c>
      <c r="W1911">
        <v>4160625.2273215</v>
      </c>
      <c r="X1911" t="s">
        <v>28</v>
      </c>
      <c r="Y1911">
        <f>1-900-442-3531</f>
        <v>-4872</v>
      </c>
    </row>
    <row r="1912" spans="1:25" x14ac:dyDescent="0.35">
      <c r="A1912">
        <v>35.764570608383103</v>
      </c>
      <c r="B1912">
        <v>-121.693225188578</v>
      </c>
      <c r="C1912" t="s">
        <v>29</v>
      </c>
      <c r="D1912">
        <v>7.8246463331645497</v>
      </c>
      <c r="E1912">
        <v>0</v>
      </c>
      <c r="F1912">
        <v>3609</v>
      </c>
      <c r="G1912">
        <v>2</v>
      </c>
      <c r="H1912">
        <v>2</v>
      </c>
      <c r="I1912">
        <v>1974</v>
      </c>
      <c r="J1912">
        <v>0</v>
      </c>
      <c r="K1912">
        <v>0</v>
      </c>
      <c r="L1912">
        <v>1</v>
      </c>
      <c r="M1912">
        <v>14</v>
      </c>
      <c r="N1912" t="s">
        <v>41</v>
      </c>
      <c r="O1912" t="s">
        <v>32</v>
      </c>
      <c r="P1912">
        <v>5.4986765653512899</v>
      </c>
      <c r="Q1912">
        <v>2.0124440843324898</v>
      </c>
      <c r="R1912">
        <v>8.65812622449344</v>
      </c>
      <c r="S1912">
        <v>31</v>
      </c>
      <c r="T1912">
        <v>54</v>
      </c>
      <c r="U1912">
        <v>989.10523962962202</v>
      </c>
      <c r="V1912">
        <v>3.8791909116098599E-3</v>
      </c>
      <c r="W1912">
        <v>3703379.39977491</v>
      </c>
      <c r="X1912" t="s">
        <v>38</v>
      </c>
      <c r="Y1912">
        <f>1-452-390-3717</f>
        <v>-4558</v>
      </c>
    </row>
    <row r="1913" spans="1:25" x14ac:dyDescent="0.35">
      <c r="A1913">
        <v>39.531761138505502</v>
      </c>
      <c r="B1913">
        <v>-123.616550597778</v>
      </c>
      <c r="C1913" t="s">
        <v>34</v>
      </c>
      <c r="D1913">
        <v>29.017578427233499</v>
      </c>
      <c r="E1913">
        <v>8</v>
      </c>
      <c r="F1913">
        <v>1969</v>
      </c>
      <c r="G1913">
        <v>3</v>
      </c>
      <c r="H1913">
        <v>3</v>
      </c>
      <c r="I1913">
        <v>1962</v>
      </c>
      <c r="J1913">
        <v>0</v>
      </c>
      <c r="K1913">
        <v>1</v>
      </c>
      <c r="L1913">
        <v>1</v>
      </c>
      <c r="M1913">
        <v>6</v>
      </c>
      <c r="N1913" t="s">
        <v>41</v>
      </c>
      <c r="O1913" t="s">
        <v>30</v>
      </c>
      <c r="P1913">
        <v>2.3281162530177801</v>
      </c>
      <c r="Q1913">
        <v>1.4161630881559299</v>
      </c>
      <c r="R1913">
        <v>5.41135434210209</v>
      </c>
      <c r="S1913">
        <v>158</v>
      </c>
      <c r="T1913">
        <v>64</v>
      </c>
      <c r="U1913">
        <v>390.75208901782298</v>
      </c>
      <c r="V1913">
        <v>3.0472320975114199E-3</v>
      </c>
      <c r="W1913">
        <v>987448.84368849697</v>
      </c>
      <c r="X1913" t="s">
        <v>28</v>
      </c>
      <c r="Y1913">
        <f>1-335-452-7228</f>
        <v>-8014</v>
      </c>
    </row>
    <row r="1914" spans="1:25" x14ac:dyDescent="0.35">
      <c r="A1914">
        <v>37.989840855698802</v>
      </c>
      <c r="B1914">
        <v>-114.97429880347499</v>
      </c>
      <c r="C1914" t="s">
        <v>34</v>
      </c>
      <c r="D1914">
        <v>4.5418762070704801</v>
      </c>
      <c r="E1914">
        <v>1</v>
      </c>
      <c r="F1914">
        <v>2395</v>
      </c>
      <c r="G1914">
        <v>5</v>
      </c>
      <c r="H1914">
        <v>2</v>
      </c>
      <c r="I1914">
        <v>2018</v>
      </c>
      <c r="J1914">
        <v>1</v>
      </c>
      <c r="K1914">
        <v>0</v>
      </c>
      <c r="L1914">
        <v>0</v>
      </c>
      <c r="M1914">
        <v>10</v>
      </c>
      <c r="N1914" t="s">
        <v>37</v>
      </c>
      <c r="O1914" t="s">
        <v>27</v>
      </c>
      <c r="P1914">
        <v>3.8440749842594002</v>
      </c>
      <c r="Q1914">
        <v>1.23952838096833</v>
      </c>
      <c r="R1914">
        <v>8.1496241951551003</v>
      </c>
      <c r="S1914">
        <v>143</v>
      </c>
      <c r="T1914">
        <v>21</v>
      </c>
      <c r="U1914">
        <v>273.35956983761599</v>
      </c>
      <c r="V1914">
        <v>4.1753653444676396E-3</v>
      </c>
      <c r="W1914">
        <v>1023782.78568586</v>
      </c>
      <c r="X1914" t="s">
        <v>39</v>
      </c>
      <c r="Y1914">
        <f>1-889-960-2034</f>
        <v>-3882</v>
      </c>
    </row>
    <row r="1915" spans="1:25" x14ac:dyDescent="0.35">
      <c r="A1915">
        <v>34.512942155042303</v>
      </c>
      <c r="B1915">
        <v>-123.978829369495</v>
      </c>
      <c r="C1915" t="s">
        <v>29</v>
      </c>
      <c r="D1915">
        <v>29.696971686742401</v>
      </c>
      <c r="E1915">
        <v>6</v>
      </c>
      <c r="F1915">
        <v>1865</v>
      </c>
      <c r="G1915">
        <v>4</v>
      </c>
      <c r="H1915">
        <v>1</v>
      </c>
      <c r="I1915">
        <v>1952</v>
      </c>
      <c r="J1915">
        <v>1</v>
      </c>
      <c r="K1915">
        <v>1</v>
      </c>
      <c r="L1915">
        <v>0</v>
      </c>
      <c r="M1915">
        <v>3</v>
      </c>
      <c r="N1915" t="s">
        <v>37</v>
      </c>
      <c r="O1915" t="s">
        <v>27</v>
      </c>
      <c r="P1915">
        <v>5.9893499589024799</v>
      </c>
      <c r="Q1915">
        <v>0.52616540090929498</v>
      </c>
      <c r="R1915">
        <v>6.7357676260216097</v>
      </c>
      <c r="S1915">
        <v>178</v>
      </c>
      <c r="T1915">
        <v>69</v>
      </c>
      <c r="U1915">
        <v>925.27978283457196</v>
      </c>
      <c r="V1915">
        <v>1.6085790884718401E-3</v>
      </c>
      <c r="W1915">
        <v>1986525.16512217</v>
      </c>
      <c r="X1915" t="s">
        <v>40</v>
      </c>
      <c r="Y1915">
        <f>1-771-214-9487</f>
        <v>-10471</v>
      </c>
    </row>
    <row r="1916" spans="1:25" x14ac:dyDescent="0.35">
      <c r="A1916">
        <v>37.300381960803897</v>
      </c>
      <c r="B1916">
        <v>-119.738026494574</v>
      </c>
      <c r="C1916" t="s">
        <v>34</v>
      </c>
      <c r="D1916">
        <v>36.908137868324303</v>
      </c>
      <c r="E1916">
        <v>6</v>
      </c>
      <c r="F1916">
        <v>4567</v>
      </c>
      <c r="G1916">
        <v>2</v>
      </c>
      <c r="H1916">
        <v>1</v>
      </c>
      <c r="I1916">
        <v>1966</v>
      </c>
      <c r="J1916">
        <v>0</v>
      </c>
      <c r="K1916">
        <v>0</v>
      </c>
      <c r="L1916">
        <v>1</v>
      </c>
      <c r="M1916">
        <v>5</v>
      </c>
      <c r="N1916" t="s">
        <v>41</v>
      </c>
      <c r="O1916" t="s">
        <v>30</v>
      </c>
      <c r="P1916">
        <v>14.3752757669525</v>
      </c>
      <c r="Q1916">
        <v>1.3145779844229499</v>
      </c>
      <c r="R1916">
        <v>5.9779749918400897</v>
      </c>
      <c r="S1916">
        <v>163</v>
      </c>
      <c r="T1916">
        <v>46</v>
      </c>
      <c r="U1916">
        <v>243.36982909072799</v>
      </c>
      <c r="V1916">
        <v>1.09481059776658E-3</v>
      </c>
      <c r="W1916">
        <v>1242537.84809058</v>
      </c>
      <c r="X1916" t="s">
        <v>44</v>
      </c>
      <c r="Y1916">
        <f>1-619-882-2076</f>
        <v>-3576</v>
      </c>
    </row>
    <row r="1917" spans="1:25" x14ac:dyDescent="0.35">
      <c r="A1917">
        <v>41.518256831080997</v>
      </c>
      <c r="B1917">
        <v>-123.06818000265901</v>
      </c>
      <c r="C1917" t="s">
        <v>29</v>
      </c>
      <c r="D1917">
        <v>18.023422150974302</v>
      </c>
      <c r="E1917">
        <v>8</v>
      </c>
      <c r="F1917">
        <v>4096</v>
      </c>
      <c r="G1917">
        <v>4</v>
      </c>
      <c r="H1917">
        <v>1</v>
      </c>
      <c r="I1917">
        <v>1978</v>
      </c>
      <c r="J1917">
        <v>1</v>
      </c>
      <c r="K1917">
        <v>0</v>
      </c>
      <c r="L1917">
        <v>0</v>
      </c>
      <c r="M1917">
        <v>8</v>
      </c>
      <c r="N1917" t="s">
        <v>37</v>
      </c>
      <c r="O1917" t="s">
        <v>27</v>
      </c>
      <c r="P1917">
        <v>12.692295924298699</v>
      </c>
      <c r="Q1917">
        <v>1.9923511516032899</v>
      </c>
      <c r="R1917">
        <v>5.15003848599798</v>
      </c>
      <c r="S1917">
        <v>176</v>
      </c>
      <c r="T1917">
        <v>39</v>
      </c>
      <c r="U1917">
        <v>310.936670055702</v>
      </c>
      <c r="V1917">
        <v>1.953125E-3</v>
      </c>
      <c r="W1917">
        <v>1576483.3370268401</v>
      </c>
      <c r="X1917" t="s">
        <v>33</v>
      </c>
      <c r="Y1917">
        <f>1-256-434-4647</f>
        <v>-5336</v>
      </c>
    </row>
    <row r="1918" spans="1:25" x14ac:dyDescent="0.35">
      <c r="A1918">
        <v>32.636322179515403</v>
      </c>
      <c r="B1918">
        <v>-114.417237489474</v>
      </c>
      <c r="C1918" t="s">
        <v>29</v>
      </c>
      <c r="D1918">
        <v>8.6118752675714205</v>
      </c>
      <c r="E1918">
        <v>2</v>
      </c>
      <c r="F1918">
        <v>2941</v>
      </c>
      <c r="G1918">
        <v>5</v>
      </c>
      <c r="H1918">
        <v>2</v>
      </c>
      <c r="I1918">
        <v>1969</v>
      </c>
      <c r="J1918">
        <v>1</v>
      </c>
      <c r="K1918">
        <v>1</v>
      </c>
      <c r="L1918">
        <v>1</v>
      </c>
      <c r="M1918">
        <v>8</v>
      </c>
      <c r="N1918" t="s">
        <v>37</v>
      </c>
      <c r="O1918" t="s">
        <v>27</v>
      </c>
      <c r="P1918">
        <v>5.8120784330917301</v>
      </c>
      <c r="Q1918">
        <v>0.96550281784319603</v>
      </c>
      <c r="R1918">
        <v>7.0109514318362498</v>
      </c>
      <c r="S1918">
        <v>69</v>
      </c>
      <c r="T1918">
        <v>35</v>
      </c>
      <c r="U1918">
        <v>495.555026351484</v>
      </c>
      <c r="V1918">
        <v>2.7201632097925798E-3</v>
      </c>
      <c r="W1918">
        <v>1966497.30098158</v>
      </c>
      <c r="X1918" t="s">
        <v>40</v>
      </c>
      <c r="Y1918">
        <f>1-672-691-3344</f>
        <v>-4706</v>
      </c>
    </row>
    <row r="1919" spans="1:25" x14ac:dyDescent="0.35">
      <c r="A1919">
        <v>38.390308698696401</v>
      </c>
      <c r="B1919">
        <v>-115.95147434139599</v>
      </c>
      <c r="C1919" t="s">
        <v>29</v>
      </c>
      <c r="D1919">
        <v>5.2672200660958497</v>
      </c>
      <c r="E1919">
        <v>6</v>
      </c>
      <c r="F1919">
        <v>4155</v>
      </c>
      <c r="G1919">
        <v>2</v>
      </c>
      <c r="H1919">
        <v>2</v>
      </c>
      <c r="I1919">
        <v>1964</v>
      </c>
      <c r="J1919">
        <v>1</v>
      </c>
      <c r="K1919">
        <v>0</v>
      </c>
      <c r="L1919">
        <v>1</v>
      </c>
      <c r="M1919">
        <v>13</v>
      </c>
      <c r="N1919" t="s">
        <v>41</v>
      </c>
      <c r="O1919" t="s">
        <v>27</v>
      </c>
      <c r="P1919">
        <v>3.7296475394713702</v>
      </c>
      <c r="Q1919">
        <v>1.6960314584142</v>
      </c>
      <c r="R1919">
        <v>1.1737951279957</v>
      </c>
      <c r="S1919">
        <v>59</v>
      </c>
      <c r="T1919">
        <v>26</v>
      </c>
      <c r="U1919">
        <v>699.18847735489896</v>
      </c>
      <c r="V1919">
        <v>3.1287605294825502E-3</v>
      </c>
      <c r="W1919">
        <v>3021586.3548026402</v>
      </c>
      <c r="X1919" t="s">
        <v>39</v>
      </c>
      <c r="Y1919">
        <f>1-785-428-6703</f>
        <v>-7915</v>
      </c>
    </row>
    <row r="1920" spans="1:25" x14ac:dyDescent="0.35">
      <c r="A1920">
        <v>36.744842102330097</v>
      </c>
      <c r="B1920">
        <v>-115.727093757695</v>
      </c>
      <c r="C1920" t="s">
        <v>34</v>
      </c>
      <c r="D1920">
        <v>37.117716441088803</v>
      </c>
      <c r="E1920">
        <v>3</v>
      </c>
      <c r="F1920">
        <v>4041</v>
      </c>
      <c r="G1920">
        <v>5</v>
      </c>
      <c r="H1920">
        <v>1</v>
      </c>
      <c r="I1920">
        <v>2000</v>
      </c>
      <c r="J1920">
        <v>1</v>
      </c>
      <c r="K1920">
        <v>1</v>
      </c>
      <c r="L1920">
        <v>1</v>
      </c>
      <c r="M1920">
        <v>9</v>
      </c>
      <c r="N1920" t="s">
        <v>37</v>
      </c>
      <c r="O1920" t="s">
        <v>27</v>
      </c>
      <c r="P1920">
        <v>7.3558160975446096</v>
      </c>
      <c r="Q1920">
        <v>2.4502394084085202</v>
      </c>
      <c r="R1920">
        <v>9.1209041134985007</v>
      </c>
      <c r="S1920">
        <v>100</v>
      </c>
      <c r="T1920">
        <v>54</v>
      </c>
      <c r="U1920">
        <v>928.21063464426095</v>
      </c>
      <c r="V1920">
        <v>2.2271714922048901E-3</v>
      </c>
      <c r="W1920">
        <v>4290801.0950737596</v>
      </c>
      <c r="X1920" t="s">
        <v>40</v>
      </c>
      <c r="Y1920">
        <f>1-534-777-2099</f>
        <v>-3409</v>
      </c>
    </row>
    <row r="1921" spans="1:25" x14ac:dyDescent="0.35">
      <c r="A1921">
        <v>41.245189139013299</v>
      </c>
      <c r="B1921">
        <v>-114.68387890009301</v>
      </c>
      <c r="C1921" t="s">
        <v>25</v>
      </c>
      <c r="D1921">
        <v>34.515348976015801</v>
      </c>
      <c r="E1921">
        <v>1</v>
      </c>
      <c r="F1921">
        <v>927</v>
      </c>
      <c r="G1921">
        <v>4</v>
      </c>
      <c r="H1921">
        <v>1</v>
      </c>
      <c r="I1921">
        <v>2011</v>
      </c>
      <c r="J1921">
        <v>1</v>
      </c>
      <c r="K1921">
        <v>1</v>
      </c>
      <c r="L1921">
        <v>0</v>
      </c>
      <c r="M1921">
        <v>2</v>
      </c>
      <c r="N1921" t="s">
        <v>26</v>
      </c>
      <c r="O1921" t="s">
        <v>30</v>
      </c>
      <c r="P1921">
        <v>14.1958649765012</v>
      </c>
      <c r="Q1921">
        <v>0.66062410458010101</v>
      </c>
      <c r="R1921">
        <v>5.8696132414569702</v>
      </c>
      <c r="S1921">
        <v>23</v>
      </c>
      <c r="T1921">
        <v>56</v>
      </c>
      <c r="U1921">
        <v>578.03976726503197</v>
      </c>
      <c r="V1921">
        <v>2.15749730312837E-3</v>
      </c>
      <c r="W1921">
        <v>1063861.2302367401</v>
      </c>
      <c r="X1921" t="s">
        <v>44</v>
      </c>
      <c r="Y1921">
        <f>1-995-258-4580</f>
        <v>-5832</v>
      </c>
    </row>
    <row r="1922" spans="1:25" x14ac:dyDescent="0.35">
      <c r="A1922">
        <v>36.973608875754401</v>
      </c>
      <c r="B1922">
        <v>-118.74996585922101</v>
      </c>
      <c r="C1922" t="s">
        <v>34</v>
      </c>
      <c r="D1922">
        <v>16.343970024024902</v>
      </c>
      <c r="E1922">
        <v>5</v>
      </c>
      <c r="F1922">
        <v>3646</v>
      </c>
      <c r="G1922">
        <v>2</v>
      </c>
      <c r="H1922">
        <v>2</v>
      </c>
      <c r="I1922">
        <v>1992</v>
      </c>
      <c r="J1922">
        <v>1</v>
      </c>
      <c r="K1922">
        <v>1</v>
      </c>
      <c r="L1922">
        <v>0</v>
      </c>
      <c r="M1922">
        <v>4</v>
      </c>
      <c r="N1922" t="s">
        <v>41</v>
      </c>
      <c r="O1922" t="s">
        <v>32</v>
      </c>
      <c r="P1922">
        <v>13.736152024113601</v>
      </c>
      <c r="Q1922">
        <v>1.78967667342953</v>
      </c>
      <c r="R1922">
        <v>2.05309527797893</v>
      </c>
      <c r="S1922">
        <v>58</v>
      </c>
      <c r="T1922">
        <v>57</v>
      </c>
      <c r="U1922">
        <v>390.28229607452198</v>
      </c>
      <c r="V1922">
        <v>1.09709270433351E-3</v>
      </c>
      <c r="W1922">
        <v>1726455.97660404</v>
      </c>
      <c r="X1922" t="s">
        <v>40</v>
      </c>
      <c r="Y1922">
        <f>1-363-522-3375</f>
        <v>-4259</v>
      </c>
    </row>
    <row r="1923" spans="1:25" x14ac:dyDescent="0.35">
      <c r="A1923">
        <v>41.996466815343297</v>
      </c>
      <c r="B1923">
        <v>-123.72509581606801</v>
      </c>
      <c r="C1923" t="s">
        <v>29</v>
      </c>
      <c r="D1923">
        <v>17.833348717465899</v>
      </c>
      <c r="E1923">
        <v>7</v>
      </c>
      <c r="F1923">
        <v>2901</v>
      </c>
      <c r="G1923">
        <v>5</v>
      </c>
      <c r="H1923">
        <v>2</v>
      </c>
      <c r="I1923">
        <v>2001</v>
      </c>
      <c r="J1923">
        <v>0</v>
      </c>
      <c r="K1923">
        <v>0</v>
      </c>
      <c r="L1923">
        <v>0</v>
      </c>
      <c r="M1923">
        <v>8</v>
      </c>
      <c r="N1923" t="s">
        <v>35</v>
      </c>
      <c r="O1923" t="s">
        <v>32</v>
      </c>
      <c r="P1923">
        <v>3.8050335749145399</v>
      </c>
      <c r="Q1923">
        <v>1.8567416009094999</v>
      </c>
      <c r="R1923">
        <v>0.43395977722649098</v>
      </c>
      <c r="S1923">
        <v>119</v>
      </c>
      <c r="T1923">
        <v>36</v>
      </c>
      <c r="U1923">
        <v>237.80322826228399</v>
      </c>
      <c r="V1923">
        <v>2.75766976904515E-3</v>
      </c>
      <c r="W1923">
        <v>1024431.0799026</v>
      </c>
      <c r="X1923" t="s">
        <v>28</v>
      </c>
      <c r="Y1923">
        <f>1-330-822-1617</f>
        <v>-2768</v>
      </c>
    </row>
    <row r="1924" spans="1:25" x14ac:dyDescent="0.35">
      <c r="A1924">
        <v>35.213675494476</v>
      </c>
      <c r="B1924">
        <v>-120.96067236284399</v>
      </c>
      <c r="C1924" t="s">
        <v>25</v>
      </c>
      <c r="D1924">
        <v>2.4020788573704199</v>
      </c>
      <c r="E1924">
        <v>9</v>
      </c>
      <c r="F1924">
        <v>2663</v>
      </c>
      <c r="G1924">
        <v>5</v>
      </c>
      <c r="H1924">
        <v>1</v>
      </c>
      <c r="I1924">
        <v>1978</v>
      </c>
      <c r="J1924">
        <v>1</v>
      </c>
      <c r="K1924">
        <v>0</v>
      </c>
      <c r="L1924">
        <v>0</v>
      </c>
      <c r="M1924">
        <v>6</v>
      </c>
      <c r="N1924" t="s">
        <v>26</v>
      </c>
      <c r="O1924" t="s">
        <v>32</v>
      </c>
      <c r="P1924">
        <v>12.3515108979321</v>
      </c>
      <c r="Q1924">
        <v>2.08310811128502</v>
      </c>
      <c r="R1924">
        <v>2.99178497112608</v>
      </c>
      <c r="S1924">
        <v>40</v>
      </c>
      <c r="T1924">
        <v>61</v>
      </c>
      <c r="U1924">
        <v>339.74336797565002</v>
      </c>
      <c r="V1924">
        <v>2.2530980097634199E-3</v>
      </c>
      <c r="W1924">
        <v>1221477.53842805</v>
      </c>
      <c r="X1924" t="s">
        <v>43</v>
      </c>
      <c r="Y1924">
        <f>1-836-650-7499</f>
        <v>-8984</v>
      </c>
    </row>
    <row r="1925" spans="1:25" x14ac:dyDescent="0.35">
      <c r="A1925">
        <v>40.505899246289097</v>
      </c>
      <c r="B1925">
        <v>-123.513887564672</v>
      </c>
      <c r="C1925" t="s">
        <v>34</v>
      </c>
      <c r="D1925">
        <v>41.895545596767199</v>
      </c>
      <c r="E1925">
        <v>0</v>
      </c>
      <c r="F1925">
        <v>2407</v>
      </c>
      <c r="G1925">
        <v>1</v>
      </c>
      <c r="H1925">
        <v>2</v>
      </c>
      <c r="I1925">
        <v>1979</v>
      </c>
      <c r="J1925">
        <v>0</v>
      </c>
      <c r="K1925">
        <v>1</v>
      </c>
      <c r="L1925">
        <v>0</v>
      </c>
      <c r="M1925">
        <v>4</v>
      </c>
      <c r="N1925" t="s">
        <v>35</v>
      </c>
      <c r="O1925" t="s">
        <v>32</v>
      </c>
      <c r="P1925">
        <v>4.44121154566478</v>
      </c>
      <c r="Q1925">
        <v>1.3662935112908901</v>
      </c>
      <c r="R1925">
        <v>9.8958036925028097</v>
      </c>
      <c r="S1925">
        <v>75</v>
      </c>
      <c r="T1925">
        <v>57</v>
      </c>
      <c r="U1925">
        <v>862.17972677327396</v>
      </c>
      <c r="V1925">
        <v>1.6618196925633499E-3</v>
      </c>
      <c r="W1925">
        <v>2203442.7692948598</v>
      </c>
      <c r="X1925" t="s">
        <v>36</v>
      </c>
      <c r="Y1925">
        <f>1-787-466-1667</f>
        <v>-2919</v>
      </c>
    </row>
    <row r="1926" spans="1:25" x14ac:dyDescent="0.35">
      <c r="A1926">
        <v>32.867244632105901</v>
      </c>
      <c r="B1926">
        <v>-119.85447388662</v>
      </c>
      <c r="C1926" t="s">
        <v>25</v>
      </c>
      <c r="D1926">
        <v>9.5491604358541</v>
      </c>
      <c r="E1926">
        <v>4</v>
      </c>
      <c r="F1926">
        <v>3939</v>
      </c>
      <c r="G1926">
        <v>5</v>
      </c>
      <c r="H1926">
        <v>3</v>
      </c>
      <c r="I1926">
        <v>1984</v>
      </c>
      <c r="J1926">
        <v>0</v>
      </c>
      <c r="K1926">
        <v>1</v>
      </c>
      <c r="L1926">
        <v>0</v>
      </c>
      <c r="M1926">
        <v>6</v>
      </c>
      <c r="N1926" t="s">
        <v>26</v>
      </c>
      <c r="O1926" t="s">
        <v>30</v>
      </c>
      <c r="P1926">
        <v>14.7183819819062</v>
      </c>
      <c r="Q1926">
        <v>2.0759456475484601</v>
      </c>
      <c r="R1926">
        <v>3.4336095668006901</v>
      </c>
      <c r="S1926">
        <v>185</v>
      </c>
      <c r="T1926">
        <v>68</v>
      </c>
      <c r="U1926">
        <v>801.65823727081602</v>
      </c>
      <c r="V1926">
        <v>1.52322924600152E-3</v>
      </c>
      <c r="W1926">
        <v>3523545.4686251101</v>
      </c>
      <c r="X1926" t="s">
        <v>36</v>
      </c>
      <c r="Y1926">
        <f>1-486-856-3437</f>
        <v>-4778</v>
      </c>
    </row>
    <row r="1927" spans="1:25" x14ac:dyDescent="0.35">
      <c r="A1927">
        <v>38.119159988278597</v>
      </c>
      <c r="B1927">
        <v>-118.738973744432</v>
      </c>
      <c r="C1927" t="s">
        <v>25</v>
      </c>
      <c r="D1927">
        <v>10.788355843852999</v>
      </c>
      <c r="E1927">
        <v>9</v>
      </c>
      <c r="F1927">
        <v>3182</v>
      </c>
      <c r="G1927">
        <v>4</v>
      </c>
      <c r="H1927">
        <v>1</v>
      </c>
      <c r="I1927">
        <v>1989</v>
      </c>
      <c r="J1927">
        <v>0</v>
      </c>
      <c r="K1927">
        <v>1</v>
      </c>
      <c r="L1927">
        <v>1</v>
      </c>
      <c r="M1927">
        <v>3</v>
      </c>
      <c r="N1927" t="s">
        <v>35</v>
      </c>
      <c r="O1927" t="s">
        <v>32</v>
      </c>
      <c r="P1927">
        <v>11.2881061174824</v>
      </c>
      <c r="Q1927">
        <v>2.2660592850922199</v>
      </c>
      <c r="R1927">
        <v>8.5493830269264297</v>
      </c>
      <c r="S1927">
        <v>58</v>
      </c>
      <c r="T1927">
        <v>51</v>
      </c>
      <c r="U1927">
        <v>850.85777086953203</v>
      </c>
      <c r="V1927">
        <v>9.42803268384663E-4</v>
      </c>
      <c r="W1927">
        <v>3017991.79184948</v>
      </c>
      <c r="X1927" t="s">
        <v>28</v>
      </c>
      <c r="Y1927">
        <f>1-405-421-5050</f>
        <v>-5875</v>
      </c>
    </row>
    <row r="1928" spans="1:25" x14ac:dyDescent="0.35">
      <c r="A1928">
        <v>39.798242882201897</v>
      </c>
      <c r="B1928">
        <v>-122.285184001152</v>
      </c>
      <c r="C1928" t="s">
        <v>34</v>
      </c>
      <c r="D1928">
        <v>35.4434376330044</v>
      </c>
      <c r="E1928">
        <v>8</v>
      </c>
      <c r="F1928">
        <v>4445</v>
      </c>
      <c r="G1928">
        <v>2</v>
      </c>
      <c r="H1928">
        <v>2</v>
      </c>
      <c r="I1928">
        <v>1950</v>
      </c>
      <c r="J1928">
        <v>1</v>
      </c>
      <c r="K1928">
        <v>1</v>
      </c>
      <c r="L1928">
        <v>1</v>
      </c>
      <c r="M1928">
        <v>12</v>
      </c>
      <c r="N1928" t="s">
        <v>41</v>
      </c>
      <c r="O1928" t="s">
        <v>32</v>
      </c>
      <c r="P1928">
        <v>14.554093087237799</v>
      </c>
      <c r="Q1928">
        <v>1.5943768198388</v>
      </c>
      <c r="R1928">
        <v>6.0600332755450603</v>
      </c>
      <c r="S1928">
        <v>4</v>
      </c>
      <c r="T1928">
        <v>77</v>
      </c>
      <c r="U1928">
        <v>862.01385328128595</v>
      </c>
      <c r="V1928">
        <v>2.6996625421822199E-3</v>
      </c>
      <c r="W1928">
        <v>4244320.1086820504</v>
      </c>
      <c r="X1928" t="s">
        <v>28</v>
      </c>
      <c r="Y1928">
        <f>1-266-134-1859</f>
        <v>-2258</v>
      </c>
    </row>
    <row r="1929" spans="1:25" x14ac:dyDescent="0.35">
      <c r="A1929">
        <v>36.784494404894197</v>
      </c>
      <c r="B1929">
        <v>-115.639085673625</v>
      </c>
      <c r="C1929" t="s">
        <v>29</v>
      </c>
      <c r="D1929">
        <v>30.404998362230099</v>
      </c>
      <c r="E1929">
        <v>5</v>
      </c>
      <c r="F1929">
        <v>2563</v>
      </c>
      <c r="G1929">
        <v>3</v>
      </c>
      <c r="H1929">
        <v>3</v>
      </c>
      <c r="I1929">
        <v>2006</v>
      </c>
      <c r="J1929">
        <v>0</v>
      </c>
      <c r="K1929">
        <v>1</v>
      </c>
      <c r="L1929">
        <v>0</v>
      </c>
      <c r="M1929">
        <v>8</v>
      </c>
      <c r="N1929" t="s">
        <v>26</v>
      </c>
      <c r="O1929" t="s">
        <v>27</v>
      </c>
      <c r="P1929">
        <v>11.285046923218101</v>
      </c>
      <c r="Q1929">
        <v>1.3962511366794801</v>
      </c>
      <c r="R1929">
        <v>0.73168445063474197</v>
      </c>
      <c r="S1929">
        <v>103</v>
      </c>
      <c r="T1929">
        <v>33</v>
      </c>
      <c r="U1929">
        <v>754.08901380602504</v>
      </c>
      <c r="V1929">
        <v>3.1213421771361599E-3</v>
      </c>
      <c r="W1929">
        <v>2300454.9491378199</v>
      </c>
      <c r="X1929" t="s">
        <v>38</v>
      </c>
      <c r="Y1929">
        <f>1-560-363-6792</f>
        <v>-7714</v>
      </c>
    </row>
    <row r="1930" spans="1:25" x14ac:dyDescent="0.35">
      <c r="A1930">
        <v>38.454105789933003</v>
      </c>
      <c r="B1930">
        <v>-121.920211428923</v>
      </c>
      <c r="C1930" t="s">
        <v>29</v>
      </c>
      <c r="D1930">
        <v>43.929382943210399</v>
      </c>
      <c r="E1930">
        <v>6</v>
      </c>
      <c r="F1930">
        <v>4560</v>
      </c>
      <c r="G1930">
        <v>2</v>
      </c>
      <c r="H1930">
        <v>2</v>
      </c>
      <c r="I1930">
        <v>1956</v>
      </c>
      <c r="J1930">
        <v>0</v>
      </c>
      <c r="K1930">
        <v>1</v>
      </c>
      <c r="L1930">
        <v>0</v>
      </c>
      <c r="M1930">
        <v>10</v>
      </c>
      <c r="N1930" t="s">
        <v>37</v>
      </c>
      <c r="O1930" t="s">
        <v>30</v>
      </c>
      <c r="P1930">
        <v>6.8891651307333399</v>
      </c>
      <c r="Q1930">
        <v>0.79960067204094198</v>
      </c>
      <c r="R1930">
        <v>0.21960874324021701</v>
      </c>
      <c r="S1930">
        <v>79</v>
      </c>
      <c r="T1930">
        <v>68</v>
      </c>
      <c r="U1930">
        <v>729.01626236190202</v>
      </c>
      <c r="V1930">
        <v>2.1929824561403499E-3</v>
      </c>
      <c r="W1930">
        <v>3574136.1896010898</v>
      </c>
      <c r="X1930" t="s">
        <v>28</v>
      </c>
      <c r="Y1930">
        <f>1-716-748-2568</f>
        <v>-4031</v>
      </c>
    </row>
    <row r="1931" spans="1:25" x14ac:dyDescent="0.35">
      <c r="A1931">
        <v>40.794337661660599</v>
      </c>
      <c r="B1931">
        <v>-116.347172353009</v>
      </c>
      <c r="C1931" t="s">
        <v>25</v>
      </c>
      <c r="D1931">
        <v>4.5237540593691996</v>
      </c>
      <c r="E1931">
        <v>4</v>
      </c>
      <c r="F1931">
        <v>2003</v>
      </c>
      <c r="G1931">
        <v>4</v>
      </c>
      <c r="H1931">
        <v>2</v>
      </c>
      <c r="I1931">
        <v>1998</v>
      </c>
      <c r="J1931">
        <v>0</v>
      </c>
      <c r="K1931">
        <v>1</v>
      </c>
      <c r="L1931">
        <v>0</v>
      </c>
      <c r="M1931">
        <v>8</v>
      </c>
      <c r="N1931" t="s">
        <v>41</v>
      </c>
      <c r="O1931" t="s">
        <v>30</v>
      </c>
      <c r="P1931">
        <v>9.7646616751087993</v>
      </c>
      <c r="Q1931">
        <v>2.0058418150240098</v>
      </c>
      <c r="R1931">
        <v>5.4316102789708802</v>
      </c>
      <c r="S1931">
        <v>74</v>
      </c>
      <c r="T1931">
        <v>73</v>
      </c>
      <c r="U1931">
        <v>256.64780606147201</v>
      </c>
      <c r="V1931">
        <v>3.99400898652022E-3</v>
      </c>
      <c r="W1931">
        <v>865744.68624287797</v>
      </c>
      <c r="X1931" t="s">
        <v>43</v>
      </c>
      <c r="Y1931">
        <f>1-540-771-1690</f>
        <v>-3000</v>
      </c>
    </row>
    <row r="1932" spans="1:25" x14ac:dyDescent="0.35">
      <c r="A1932">
        <v>39.429871454717102</v>
      </c>
      <c r="B1932">
        <v>-117.78700926170001</v>
      </c>
      <c r="C1932" t="s">
        <v>25</v>
      </c>
      <c r="D1932">
        <v>32.310885000440301</v>
      </c>
      <c r="E1932">
        <v>9</v>
      </c>
      <c r="F1932">
        <v>1491</v>
      </c>
      <c r="G1932">
        <v>1</v>
      </c>
      <c r="H1932">
        <v>3</v>
      </c>
      <c r="I1932">
        <v>1956</v>
      </c>
      <c r="J1932">
        <v>0</v>
      </c>
      <c r="K1932">
        <v>1</v>
      </c>
      <c r="L1932">
        <v>1</v>
      </c>
      <c r="M1932">
        <v>2</v>
      </c>
      <c r="N1932" t="s">
        <v>26</v>
      </c>
      <c r="O1932" t="s">
        <v>30</v>
      </c>
      <c r="P1932">
        <v>4.3451224334194301</v>
      </c>
      <c r="Q1932">
        <v>2.41835334327775</v>
      </c>
      <c r="R1932">
        <v>8.6444659535721904</v>
      </c>
      <c r="S1932">
        <v>199</v>
      </c>
      <c r="T1932">
        <v>26</v>
      </c>
      <c r="U1932">
        <v>586.77690247289297</v>
      </c>
      <c r="V1932">
        <v>1.34138162307176E-3</v>
      </c>
      <c r="W1932">
        <v>1057860.43793315</v>
      </c>
      <c r="X1932" t="s">
        <v>39</v>
      </c>
      <c r="Y1932">
        <f>1-331-459-6033</f>
        <v>-6822</v>
      </c>
    </row>
    <row r="1933" spans="1:25" x14ac:dyDescent="0.35">
      <c r="A1933">
        <v>41.863392254418201</v>
      </c>
      <c r="B1933">
        <v>-122.315604259822</v>
      </c>
      <c r="C1933" t="s">
        <v>29</v>
      </c>
      <c r="D1933">
        <v>38.414340097187399</v>
      </c>
      <c r="E1933">
        <v>5</v>
      </c>
      <c r="F1933">
        <v>4328</v>
      </c>
      <c r="G1933">
        <v>4</v>
      </c>
      <c r="H1933">
        <v>2</v>
      </c>
      <c r="I1933">
        <v>2016</v>
      </c>
      <c r="J1933">
        <v>1</v>
      </c>
      <c r="K1933">
        <v>1</v>
      </c>
      <c r="L1933">
        <v>1</v>
      </c>
      <c r="M1933">
        <v>5</v>
      </c>
      <c r="N1933" t="s">
        <v>26</v>
      </c>
      <c r="O1933" t="s">
        <v>27</v>
      </c>
      <c r="P1933">
        <v>3.82878672817374</v>
      </c>
      <c r="Q1933">
        <v>2.0119206708537498</v>
      </c>
      <c r="R1933">
        <v>8.1400457938184392</v>
      </c>
      <c r="S1933">
        <v>73</v>
      </c>
      <c r="T1933">
        <v>69</v>
      </c>
      <c r="U1933">
        <v>535.544198608893</v>
      </c>
      <c r="V1933">
        <v>1.15526802218114E-3</v>
      </c>
      <c r="W1933">
        <v>2740247.27669403</v>
      </c>
      <c r="X1933" t="s">
        <v>31</v>
      </c>
      <c r="Y1933">
        <f>1-320-144-4489</f>
        <v>-4952</v>
      </c>
    </row>
    <row r="1934" spans="1:25" x14ac:dyDescent="0.35">
      <c r="A1934">
        <v>34.696347378049801</v>
      </c>
      <c r="B1934">
        <v>-119.333761502779</v>
      </c>
      <c r="C1934" t="s">
        <v>25</v>
      </c>
      <c r="D1934">
        <v>34.041490299411002</v>
      </c>
      <c r="E1934">
        <v>2</v>
      </c>
      <c r="F1934">
        <v>1276</v>
      </c>
      <c r="G1934">
        <v>3</v>
      </c>
      <c r="H1934">
        <v>3</v>
      </c>
      <c r="I1934">
        <v>1950</v>
      </c>
      <c r="J1934">
        <v>0</v>
      </c>
      <c r="K1934">
        <v>1</v>
      </c>
      <c r="L1934">
        <v>0</v>
      </c>
      <c r="M1934">
        <v>12</v>
      </c>
      <c r="N1934" t="s">
        <v>26</v>
      </c>
      <c r="O1934" t="s">
        <v>32</v>
      </c>
      <c r="P1934">
        <v>3.28848782889066</v>
      </c>
      <c r="Q1934">
        <v>2.45372235442936</v>
      </c>
      <c r="R1934">
        <v>3.73210728129063</v>
      </c>
      <c r="S1934">
        <v>17</v>
      </c>
      <c r="T1934">
        <v>62</v>
      </c>
      <c r="U1934">
        <v>498.79681056392798</v>
      </c>
      <c r="V1934">
        <v>9.4043887147335394E-3</v>
      </c>
      <c r="W1934">
        <v>827293.75004256202</v>
      </c>
      <c r="X1934" t="s">
        <v>38</v>
      </c>
      <c r="Y1934">
        <f>1-211-851-7228</f>
        <v>-8289</v>
      </c>
    </row>
    <row r="1935" spans="1:25" x14ac:dyDescent="0.35">
      <c r="A1935">
        <v>38.675680549200102</v>
      </c>
      <c r="B1935">
        <v>-116.902671754491</v>
      </c>
      <c r="C1935" t="s">
        <v>29</v>
      </c>
      <c r="D1935">
        <v>4.9206578744323801</v>
      </c>
      <c r="E1935">
        <v>4</v>
      </c>
      <c r="F1935">
        <v>1760</v>
      </c>
      <c r="G1935">
        <v>2</v>
      </c>
      <c r="H1935">
        <v>2</v>
      </c>
      <c r="I1935">
        <v>2002</v>
      </c>
      <c r="J1935">
        <v>0</v>
      </c>
      <c r="K1935">
        <v>1</v>
      </c>
      <c r="L1935">
        <v>0</v>
      </c>
      <c r="M1935">
        <v>13</v>
      </c>
      <c r="N1935" t="s">
        <v>26</v>
      </c>
      <c r="O1935" t="s">
        <v>32</v>
      </c>
      <c r="P1935">
        <v>11.3058228338462</v>
      </c>
      <c r="Q1935">
        <v>2.2550293356109199</v>
      </c>
      <c r="R1935">
        <v>5.0623994514754599E-2</v>
      </c>
      <c r="S1935">
        <v>130</v>
      </c>
      <c r="T1935">
        <v>39</v>
      </c>
      <c r="U1935">
        <v>256.93123908206798</v>
      </c>
      <c r="V1935">
        <v>7.3863636363636302E-3</v>
      </c>
      <c r="W1935">
        <v>791007.45887087495</v>
      </c>
      <c r="X1935" t="s">
        <v>38</v>
      </c>
      <c r="Y1935">
        <f>1-715-560-7010</f>
        <v>-8284</v>
      </c>
    </row>
    <row r="1936" spans="1:25" x14ac:dyDescent="0.35">
      <c r="A1936">
        <v>33.280643062168799</v>
      </c>
      <c r="B1936">
        <v>-115.605674449864</v>
      </c>
      <c r="C1936" t="s">
        <v>29</v>
      </c>
      <c r="D1936">
        <v>40.457966960841802</v>
      </c>
      <c r="E1936">
        <v>8</v>
      </c>
      <c r="F1936">
        <v>4955</v>
      </c>
      <c r="G1936">
        <v>1</v>
      </c>
      <c r="H1936">
        <v>1</v>
      </c>
      <c r="I1936">
        <v>1991</v>
      </c>
      <c r="J1936">
        <v>1</v>
      </c>
      <c r="K1936">
        <v>0</v>
      </c>
      <c r="L1936">
        <v>1</v>
      </c>
      <c r="M1936">
        <v>14</v>
      </c>
      <c r="N1936" t="s">
        <v>26</v>
      </c>
      <c r="O1936" t="s">
        <v>30</v>
      </c>
      <c r="P1936">
        <v>2.2879385624985402</v>
      </c>
      <c r="Q1936">
        <v>0.71607396614604701</v>
      </c>
      <c r="R1936">
        <v>8.4383615107961596</v>
      </c>
      <c r="S1936">
        <v>124</v>
      </c>
      <c r="T1936">
        <v>33</v>
      </c>
      <c r="U1936">
        <v>335.14087099049999</v>
      </c>
      <c r="V1936">
        <v>2.8254288597376301E-3</v>
      </c>
      <c r="W1936">
        <v>1750106.38826884</v>
      </c>
      <c r="X1936" t="s">
        <v>33</v>
      </c>
      <c r="Y1936">
        <f>1-713-354-4505</f>
        <v>-5571</v>
      </c>
    </row>
    <row r="1937" spans="1:25" x14ac:dyDescent="0.35">
      <c r="A1937">
        <v>39.032482470133203</v>
      </c>
      <c r="B1937">
        <v>-124.064271131222</v>
      </c>
      <c r="C1937" t="s">
        <v>29</v>
      </c>
      <c r="D1937">
        <v>6.1903865420956397</v>
      </c>
      <c r="E1937">
        <v>5</v>
      </c>
      <c r="F1937">
        <v>4756</v>
      </c>
      <c r="G1937">
        <v>1</v>
      </c>
      <c r="H1937">
        <v>3</v>
      </c>
      <c r="I1937">
        <v>2022</v>
      </c>
      <c r="J1937">
        <v>0</v>
      </c>
      <c r="K1937">
        <v>0</v>
      </c>
      <c r="L1937">
        <v>0</v>
      </c>
      <c r="M1937">
        <v>12</v>
      </c>
      <c r="N1937" t="s">
        <v>26</v>
      </c>
      <c r="O1937" t="s">
        <v>32</v>
      </c>
      <c r="P1937">
        <v>11.6790377090012</v>
      </c>
      <c r="Q1937">
        <v>1.2466511730690599</v>
      </c>
      <c r="R1937">
        <v>1.73952043124541</v>
      </c>
      <c r="S1937">
        <v>5</v>
      </c>
      <c r="T1937">
        <v>62</v>
      </c>
      <c r="U1937">
        <v>958.30904701719305</v>
      </c>
      <c r="V1937">
        <v>2.52312867956265E-3</v>
      </c>
      <c r="W1937">
        <v>4874188.1010769801</v>
      </c>
      <c r="X1937" t="s">
        <v>42</v>
      </c>
      <c r="Y1937">
        <f>1-560-139-2630</f>
        <v>-3328</v>
      </c>
    </row>
    <row r="1938" spans="1:25" x14ac:dyDescent="0.35">
      <c r="A1938">
        <v>33.862405946297102</v>
      </c>
      <c r="B1938">
        <v>-120.907039559982</v>
      </c>
      <c r="C1938" t="s">
        <v>25</v>
      </c>
      <c r="D1938">
        <v>21.253479873000899</v>
      </c>
      <c r="E1938">
        <v>8</v>
      </c>
      <c r="F1938">
        <v>2642</v>
      </c>
      <c r="G1938">
        <v>5</v>
      </c>
      <c r="H1938">
        <v>1</v>
      </c>
      <c r="I1938">
        <v>1960</v>
      </c>
      <c r="J1938">
        <v>0</v>
      </c>
      <c r="K1938">
        <v>0</v>
      </c>
      <c r="L1938">
        <v>1</v>
      </c>
      <c r="M1938">
        <v>8</v>
      </c>
      <c r="N1938" t="s">
        <v>35</v>
      </c>
      <c r="O1938" t="s">
        <v>32</v>
      </c>
      <c r="P1938">
        <v>8.3260493023309508</v>
      </c>
      <c r="Q1938">
        <v>2.1767266064139599</v>
      </c>
      <c r="R1938">
        <v>9.8126452545871103</v>
      </c>
      <c r="S1938">
        <v>3</v>
      </c>
      <c r="T1938">
        <v>59</v>
      </c>
      <c r="U1938">
        <v>878.64870576707699</v>
      </c>
      <c r="V1938">
        <v>3.0280090840272499E-3</v>
      </c>
      <c r="W1938">
        <v>2596732.6369647598</v>
      </c>
      <c r="X1938" t="s">
        <v>28</v>
      </c>
      <c r="Y1938">
        <f>1-464-796-1095</f>
        <v>-2354</v>
      </c>
    </row>
    <row r="1939" spans="1:25" x14ac:dyDescent="0.35">
      <c r="A1939">
        <v>35.198027470538797</v>
      </c>
      <c r="B1939">
        <v>-120.684523787465</v>
      </c>
      <c r="C1939" t="s">
        <v>29</v>
      </c>
      <c r="D1939">
        <v>28.397211197733998</v>
      </c>
      <c r="E1939">
        <v>1</v>
      </c>
      <c r="F1939">
        <v>4825</v>
      </c>
      <c r="G1939">
        <v>2</v>
      </c>
      <c r="H1939">
        <v>3</v>
      </c>
      <c r="I1939">
        <v>2000</v>
      </c>
      <c r="J1939">
        <v>1</v>
      </c>
      <c r="K1939">
        <v>0</v>
      </c>
      <c r="L1939">
        <v>0</v>
      </c>
      <c r="M1939">
        <v>5</v>
      </c>
      <c r="N1939" t="s">
        <v>37</v>
      </c>
      <c r="O1939" t="s">
        <v>27</v>
      </c>
      <c r="P1939">
        <v>5.56602177459947</v>
      </c>
      <c r="Q1939">
        <v>1.2164169304641701</v>
      </c>
      <c r="R1939">
        <v>0.48567591042057801</v>
      </c>
      <c r="S1939">
        <v>125</v>
      </c>
      <c r="T1939">
        <v>45</v>
      </c>
      <c r="U1939">
        <v>392.26027815974902</v>
      </c>
      <c r="V1939">
        <v>1.03626943005181E-3</v>
      </c>
      <c r="W1939">
        <v>2054691.41129163</v>
      </c>
      <c r="X1939" t="s">
        <v>44</v>
      </c>
      <c r="Y1939">
        <f>1-319-390-1594</f>
        <v>-2302</v>
      </c>
    </row>
    <row r="1940" spans="1:25" x14ac:dyDescent="0.35">
      <c r="A1940">
        <v>41.806495990044802</v>
      </c>
      <c r="B1940">
        <v>-118.418689689277</v>
      </c>
      <c r="C1940" t="s">
        <v>25</v>
      </c>
      <c r="D1940">
        <v>22.7894250500289</v>
      </c>
      <c r="E1940">
        <v>7</v>
      </c>
      <c r="F1940">
        <v>1478</v>
      </c>
      <c r="G1940">
        <v>1</v>
      </c>
      <c r="H1940">
        <v>1</v>
      </c>
      <c r="I1940">
        <v>1961</v>
      </c>
      <c r="J1940">
        <v>1</v>
      </c>
      <c r="K1940">
        <v>0</v>
      </c>
      <c r="L1940">
        <v>1</v>
      </c>
      <c r="M1940">
        <v>8</v>
      </c>
      <c r="N1940" t="s">
        <v>26</v>
      </c>
      <c r="O1940" t="s">
        <v>30</v>
      </c>
      <c r="P1940">
        <v>12.3191487653263</v>
      </c>
      <c r="Q1940">
        <v>2.0874509804122998</v>
      </c>
      <c r="R1940">
        <v>0.41211517061973602</v>
      </c>
      <c r="S1940">
        <v>97</v>
      </c>
      <c r="T1940">
        <v>62</v>
      </c>
      <c r="U1940">
        <v>748.89299113057905</v>
      </c>
      <c r="V1940">
        <v>5.4127198917456E-3</v>
      </c>
      <c r="W1940">
        <v>1245314.6389766301</v>
      </c>
      <c r="X1940" t="s">
        <v>40</v>
      </c>
      <c r="Y1940">
        <f>1-311-224-5273</f>
        <v>-5807</v>
      </c>
    </row>
    <row r="1941" spans="1:25" x14ac:dyDescent="0.35">
      <c r="A1941">
        <v>32.949220623628101</v>
      </c>
      <c r="B1941">
        <v>-123.079721890499</v>
      </c>
      <c r="C1941" t="s">
        <v>25</v>
      </c>
      <c r="D1941">
        <v>37.623536449492498</v>
      </c>
      <c r="E1941">
        <v>8</v>
      </c>
      <c r="F1941">
        <v>645</v>
      </c>
      <c r="G1941">
        <v>3</v>
      </c>
      <c r="H1941">
        <v>3</v>
      </c>
      <c r="I1941">
        <v>1960</v>
      </c>
      <c r="J1941">
        <v>1</v>
      </c>
      <c r="K1941">
        <v>0</v>
      </c>
      <c r="L1941">
        <v>0</v>
      </c>
      <c r="M1941">
        <v>5</v>
      </c>
      <c r="N1941" t="s">
        <v>41</v>
      </c>
      <c r="O1941" t="s">
        <v>30</v>
      </c>
      <c r="P1941">
        <v>12.8308861545444</v>
      </c>
      <c r="Q1941">
        <v>2.1538539982721701</v>
      </c>
      <c r="R1941">
        <v>9.4487575615787893</v>
      </c>
      <c r="S1941">
        <v>144</v>
      </c>
      <c r="T1941">
        <v>22</v>
      </c>
      <c r="U1941">
        <v>462.56257354270201</v>
      </c>
      <c r="V1941">
        <v>7.7519379844961196E-3</v>
      </c>
      <c r="W1941">
        <v>560926.76823123801</v>
      </c>
      <c r="X1941" t="s">
        <v>36</v>
      </c>
      <c r="Y1941">
        <f>1-871-103-9182</f>
        <v>-10155</v>
      </c>
    </row>
    <row r="1942" spans="1:25" x14ac:dyDescent="0.35">
      <c r="A1942">
        <v>39.019559800978598</v>
      </c>
      <c r="B1942">
        <v>-122.604111455839</v>
      </c>
      <c r="C1942" t="s">
        <v>29</v>
      </c>
      <c r="D1942">
        <v>4.8369379122570502</v>
      </c>
      <c r="E1942">
        <v>4</v>
      </c>
      <c r="F1942">
        <v>1254</v>
      </c>
      <c r="G1942">
        <v>5</v>
      </c>
      <c r="H1942">
        <v>2</v>
      </c>
      <c r="I1942">
        <v>2006</v>
      </c>
      <c r="J1942">
        <v>0</v>
      </c>
      <c r="K1942">
        <v>1</v>
      </c>
      <c r="L1942">
        <v>0</v>
      </c>
      <c r="M1942">
        <v>14</v>
      </c>
      <c r="N1942" t="s">
        <v>26</v>
      </c>
      <c r="O1942" t="s">
        <v>27</v>
      </c>
      <c r="P1942">
        <v>10.8608671227726</v>
      </c>
      <c r="Q1942">
        <v>2.1953231817361099</v>
      </c>
      <c r="R1942">
        <v>2.9997742788589798</v>
      </c>
      <c r="S1942">
        <v>167</v>
      </c>
      <c r="T1942">
        <v>37</v>
      </c>
      <c r="U1942">
        <v>417.18115472396897</v>
      </c>
      <c r="V1942">
        <v>1.1164274322169E-2</v>
      </c>
      <c r="W1942">
        <v>979645.27855923004</v>
      </c>
      <c r="X1942" t="s">
        <v>38</v>
      </c>
      <c r="Y1942">
        <f>1-612-190-1652</f>
        <v>-2453</v>
      </c>
    </row>
    <row r="1943" spans="1:25" x14ac:dyDescent="0.35">
      <c r="A1943">
        <v>36.178263488295499</v>
      </c>
      <c r="B1943">
        <v>-120.810284052272</v>
      </c>
      <c r="C1943" t="s">
        <v>25</v>
      </c>
      <c r="D1943">
        <v>36.643154607743</v>
      </c>
      <c r="E1943">
        <v>8</v>
      </c>
      <c r="F1943">
        <v>1981</v>
      </c>
      <c r="G1943">
        <v>1</v>
      </c>
      <c r="H1943">
        <v>3</v>
      </c>
      <c r="I1943">
        <v>1953</v>
      </c>
      <c r="J1943">
        <v>0</v>
      </c>
      <c r="K1943">
        <v>0</v>
      </c>
      <c r="L1943">
        <v>1</v>
      </c>
      <c r="M1943">
        <v>2</v>
      </c>
      <c r="N1943" t="s">
        <v>26</v>
      </c>
      <c r="O1943" t="s">
        <v>27</v>
      </c>
      <c r="P1943">
        <v>4.1740067170269803</v>
      </c>
      <c r="Q1943">
        <v>0.68254127459914804</v>
      </c>
      <c r="R1943">
        <v>8.6327667300407693</v>
      </c>
      <c r="S1943">
        <v>76</v>
      </c>
      <c r="T1943">
        <v>58</v>
      </c>
      <c r="U1943">
        <v>727.63287381578402</v>
      </c>
      <c r="V1943">
        <v>1.0095911155981799E-3</v>
      </c>
      <c r="W1943">
        <v>1501330.1969687799</v>
      </c>
      <c r="X1943" t="s">
        <v>36</v>
      </c>
      <c r="Y1943">
        <f>1-525-886-2605</f>
        <v>-4015</v>
      </c>
    </row>
    <row r="1944" spans="1:25" x14ac:dyDescent="0.35">
      <c r="A1944">
        <v>32.540037331457697</v>
      </c>
      <c r="B1944">
        <v>-116.66565850764199</v>
      </c>
      <c r="C1944" t="s">
        <v>25</v>
      </c>
      <c r="D1944">
        <v>19.414878907950701</v>
      </c>
      <c r="E1944">
        <v>0</v>
      </c>
      <c r="F1944">
        <v>3563</v>
      </c>
      <c r="G1944">
        <v>3</v>
      </c>
      <c r="H1944">
        <v>1</v>
      </c>
      <c r="I1944">
        <v>2001</v>
      </c>
      <c r="J1944">
        <v>1</v>
      </c>
      <c r="K1944">
        <v>0</v>
      </c>
      <c r="L1944">
        <v>0</v>
      </c>
      <c r="M1944">
        <v>14</v>
      </c>
      <c r="N1944" t="s">
        <v>41</v>
      </c>
      <c r="O1944" t="s">
        <v>32</v>
      </c>
      <c r="P1944">
        <v>3.1549507500520702</v>
      </c>
      <c r="Q1944">
        <v>0.70261768813843595</v>
      </c>
      <c r="R1944">
        <v>2.6019961868327002</v>
      </c>
      <c r="S1944">
        <v>182</v>
      </c>
      <c r="T1944">
        <v>54</v>
      </c>
      <c r="U1944">
        <v>743.22962828478001</v>
      </c>
      <c r="V1944">
        <v>3.9292730844793702E-3</v>
      </c>
      <c r="W1944">
        <v>2797223.7616047799</v>
      </c>
      <c r="X1944" t="s">
        <v>39</v>
      </c>
      <c r="Y1944">
        <f>1-461-737-3763</f>
        <v>-4960</v>
      </c>
    </row>
    <row r="1945" spans="1:25" x14ac:dyDescent="0.35">
      <c r="A1945">
        <v>35.108021802537699</v>
      </c>
      <c r="B1945">
        <v>-114.06280391119201</v>
      </c>
      <c r="C1945" t="s">
        <v>34</v>
      </c>
      <c r="D1945">
        <v>4.5246769562023301</v>
      </c>
      <c r="E1945">
        <v>3</v>
      </c>
      <c r="F1945">
        <v>1082</v>
      </c>
      <c r="G1945">
        <v>4</v>
      </c>
      <c r="H1945">
        <v>1</v>
      </c>
      <c r="I1945">
        <v>2019</v>
      </c>
      <c r="J1945">
        <v>1</v>
      </c>
      <c r="K1945">
        <v>1</v>
      </c>
      <c r="L1945">
        <v>1</v>
      </c>
      <c r="M1945">
        <v>12</v>
      </c>
      <c r="N1945" t="s">
        <v>26</v>
      </c>
      <c r="O1945" t="s">
        <v>27</v>
      </c>
      <c r="P1945">
        <v>12.150992902847401</v>
      </c>
      <c r="Q1945">
        <v>0.59390376019136504</v>
      </c>
      <c r="R1945">
        <v>2.0222137976782002</v>
      </c>
      <c r="S1945">
        <v>175</v>
      </c>
      <c r="T1945">
        <v>69</v>
      </c>
      <c r="U1945">
        <v>315.27563721332399</v>
      </c>
      <c r="V1945">
        <v>1.1090573012939E-2</v>
      </c>
      <c r="W1945">
        <v>788168.13340183103</v>
      </c>
      <c r="X1945" t="s">
        <v>33</v>
      </c>
      <c r="Y1945">
        <f>1-869-211-5051</f>
        <v>-6130</v>
      </c>
    </row>
    <row r="1946" spans="1:25" x14ac:dyDescent="0.35">
      <c r="A1946">
        <v>41.726802145522903</v>
      </c>
      <c r="B1946">
        <v>-116.045130051314</v>
      </c>
      <c r="C1946" t="s">
        <v>34</v>
      </c>
      <c r="D1946">
        <v>40.978537077622903</v>
      </c>
      <c r="E1946">
        <v>4</v>
      </c>
      <c r="F1946">
        <v>4045</v>
      </c>
      <c r="G1946">
        <v>1</v>
      </c>
      <c r="H1946">
        <v>3</v>
      </c>
      <c r="I1946">
        <v>2021</v>
      </c>
      <c r="J1946">
        <v>0</v>
      </c>
      <c r="K1946">
        <v>1</v>
      </c>
      <c r="L1946">
        <v>0</v>
      </c>
      <c r="M1946">
        <v>9</v>
      </c>
      <c r="N1946" t="s">
        <v>41</v>
      </c>
      <c r="O1946" t="s">
        <v>32</v>
      </c>
      <c r="P1946">
        <v>7.48897889534733</v>
      </c>
      <c r="Q1946">
        <v>2.0628761516386702</v>
      </c>
      <c r="R1946">
        <v>6.9407590186436403</v>
      </c>
      <c r="S1946">
        <v>186</v>
      </c>
      <c r="T1946">
        <v>31</v>
      </c>
      <c r="U1946">
        <v>557.69104130794005</v>
      </c>
      <c r="V1946">
        <v>2.2249690976514202E-3</v>
      </c>
      <c r="W1946">
        <v>2459682.4507596502</v>
      </c>
      <c r="X1946" t="s">
        <v>36</v>
      </c>
      <c r="Y1946">
        <f>1-847-736-9173</f>
        <v>-10755</v>
      </c>
    </row>
    <row r="1947" spans="1:25" x14ac:dyDescent="0.35">
      <c r="A1947">
        <v>33.689781852791398</v>
      </c>
      <c r="B1947">
        <v>-118.869386350925</v>
      </c>
      <c r="C1947" t="s">
        <v>34</v>
      </c>
      <c r="D1947">
        <v>4.5525710636049297</v>
      </c>
      <c r="E1947">
        <v>0</v>
      </c>
      <c r="F1947">
        <v>1636</v>
      </c>
      <c r="G1947">
        <v>3</v>
      </c>
      <c r="H1947">
        <v>1</v>
      </c>
      <c r="I1947">
        <v>1967</v>
      </c>
      <c r="J1947">
        <v>1</v>
      </c>
      <c r="K1947">
        <v>0</v>
      </c>
      <c r="L1947">
        <v>1</v>
      </c>
      <c r="M1947">
        <v>3</v>
      </c>
      <c r="N1947" t="s">
        <v>26</v>
      </c>
      <c r="O1947" t="s">
        <v>27</v>
      </c>
      <c r="P1947">
        <v>2.6384509375298499</v>
      </c>
      <c r="Q1947">
        <v>1.87365190081427</v>
      </c>
      <c r="R1947">
        <v>4.5026064728770203</v>
      </c>
      <c r="S1947">
        <v>70</v>
      </c>
      <c r="T1947">
        <v>36</v>
      </c>
      <c r="U1947">
        <v>928.01974883609398</v>
      </c>
      <c r="V1947">
        <v>1.83374083129584E-3</v>
      </c>
      <c r="W1947">
        <v>1733069.0826256699</v>
      </c>
      <c r="X1947" t="s">
        <v>43</v>
      </c>
      <c r="Y1947">
        <f>1-426-514-7669</f>
        <v>-8608</v>
      </c>
    </row>
    <row r="1948" spans="1:25" x14ac:dyDescent="0.35">
      <c r="A1948">
        <v>33.215594990927002</v>
      </c>
      <c r="B1948">
        <v>-117.477827714792</v>
      </c>
      <c r="C1948" t="s">
        <v>25</v>
      </c>
      <c r="D1948">
        <v>11.4410372504473</v>
      </c>
      <c r="E1948">
        <v>7</v>
      </c>
      <c r="F1948">
        <v>4618</v>
      </c>
      <c r="G1948">
        <v>5</v>
      </c>
      <c r="H1948">
        <v>3</v>
      </c>
      <c r="I1948">
        <v>1963</v>
      </c>
      <c r="J1948">
        <v>1</v>
      </c>
      <c r="K1948">
        <v>0</v>
      </c>
      <c r="L1948">
        <v>1</v>
      </c>
      <c r="M1948">
        <v>2</v>
      </c>
      <c r="N1948" t="s">
        <v>35</v>
      </c>
      <c r="O1948" t="s">
        <v>30</v>
      </c>
      <c r="P1948">
        <v>12.804037372653299</v>
      </c>
      <c r="Q1948">
        <v>1.0845078838907101</v>
      </c>
      <c r="R1948">
        <v>3.71130335865415</v>
      </c>
      <c r="S1948">
        <v>36</v>
      </c>
      <c r="T1948">
        <v>57</v>
      </c>
      <c r="U1948">
        <v>922.35182579557295</v>
      </c>
      <c r="V1948">
        <v>4.3308791684711897E-4</v>
      </c>
      <c r="W1948">
        <v>4754070.5126000699</v>
      </c>
      <c r="X1948" t="s">
        <v>43</v>
      </c>
      <c r="Y1948">
        <f>1-400-288-2131</f>
        <v>-2818</v>
      </c>
    </row>
    <row r="1949" spans="1:25" x14ac:dyDescent="0.35">
      <c r="A1949">
        <v>38.781940833147601</v>
      </c>
      <c r="B1949">
        <v>-121.566222612163</v>
      </c>
      <c r="C1949" t="s">
        <v>25</v>
      </c>
      <c r="D1949">
        <v>23.699539526008898</v>
      </c>
      <c r="E1949">
        <v>6</v>
      </c>
      <c r="F1949">
        <v>3674</v>
      </c>
      <c r="G1949">
        <v>3</v>
      </c>
      <c r="H1949">
        <v>2</v>
      </c>
      <c r="I1949">
        <v>1973</v>
      </c>
      <c r="J1949">
        <v>0</v>
      </c>
      <c r="K1949">
        <v>0</v>
      </c>
      <c r="L1949">
        <v>1</v>
      </c>
      <c r="M1949">
        <v>2</v>
      </c>
      <c r="N1949" t="s">
        <v>26</v>
      </c>
      <c r="O1949" t="s">
        <v>30</v>
      </c>
      <c r="P1949">
        <v>6.3646939214982998</v>
      </c>
      <c r="Q1949">
        <v>0.98253670386893199</v>
      </c>
      <c r="R1949">
        <v>3.5958366298204401</v>
      </c>
      <c r="S1949">
        <v>26</v>
      </c>
      <c r="T1949">
        <v>65</v>
      </c>
      <c r="U1949">
        <v>721.661697687892</v>
      </c>
      <c r="V1949">
        <v>5.4436581382689097E-4</v>
      </c>
      <c r="W1949">
        <v>2801862.3551237001</v>
      </c>
      <c r="X1949" t="s">
        <v>38</v>
      </c>
      <c r="Y1949">
        <f>1-275-426-1007</f>
        <v>-1707</v>
      </c>
    </row>
    <row r="1950" spans="1:25" x14ac:dyDescent="0.35">
      <c r="A1950">
        <v>33.601598091797598</v>
      </c>
      <c r="B1950">
        <v>-114.595710676333</v>
      </c>
      <c r="C1950" t="s">
        <v>34</v>
      </c>
      <c r="D1950">
        <v>9.4846362919828699</v>
      </c>
      <c r="E1950">
        <v>6</v>
      </c>
      <c r="F1950">
        <v>2812</v>
      </c>
      <c r="G1950">
        <v>1</v>
      </c>
      <c r="H1950">
        <v>2</v>
      </c>
      <c r="I1950">
        <v>1982</v>
      </c>
      <c r="J1950">
        <v>0</v>
      </c>
      <c r="K1950">
        <v>1</v>
      </c>
      <c r="L1950">
        <v>1</v>
      </c>
      <c r="M1950">
        <v>3</v>
      </c>
      <c r="N1950" t="s">
        <v>26</v>
      </c>
      <c r="O1950" t="s">
        <v>30</v>
      </c>
      <c r="P1950">
        <v>2.3590924991866999</v>
      </c>
      <c r="Q1950">
        <v>1.7099730053878299</v>
      </c>
      <c r="R1950">
        <v>1.4250707696218099</v>
      </c>
      <c r="S1950">
        <v>145</v>
      </c>
      <c r="T1950">
        <v>25</v>
      </c>
      <c r="U1950">
        <v>591.23374097630006</v>
      </c>
      <c r="V1950">
        <v>1.0668563300142201E-3</v>
      </c>
      <c r="W1950">
        <v>1808751.31361232</v>
      </c>
      <c r="X1950" t="s">
        <v>39</v>
      </c>
      <c r="Y1950">
        <f>1-694-932-6341</f>
        <v>-7966</v>
      </c>
    </row>
    <row r="1951" spans="1:25" x14ac:dyDescent="0.35">
      <c r="A1951">
        <v>37.919763898220403</v>
      </c>
      <c r="B1951">
        <v>-114.68905481893999</v>
      </c>
      <c r="C1951" t="s">
        <v>29</v>
      </c>
      <c r="D1951">
        <v>31.6131907195604</v>
      </c>
      <c r="E1951">
        <v>9</v>
      </c>
      <c r="F1951">
        <v>716</v>
      </c>
      <c r="G1951">
        <v>5</v>
      </c>
      <c r="H1951">
        <v>3</v>
      </c>
      <c r="I1951">
        <v>1990</v>
      </c>
      <c r="J1951">
        <v>0</v>
      </c>
      <c r="K1951">
        <v>0</v>
      </c>
      <c r="L1951">
        <v>1</v>
      </c>
      <c r="M1951">
        <v>7</v>
      </c>
      <c r="N1951" t="s">
        <v>35</v>
      </c>
      <c r="O1951" t="s">
        <v>27</v>
      </c>
      <c r="P1951">
        <v>14.959903591748599</v>
      </c>
      <c r="Q1951">
        <v>1.92040255945835</v>
      </c>
      <c r="R1951">
        <v>0.42009219553410798</v>
      </c>
      <c r="S1951">
        <v>132</v>
      </c>
      <c r="T1951">
        <v>78</v>
      </c>
      <c r="U1951">
        <v>617.10827051931994</v>
      </c>
      <c r="V1951">
        <v>9.7765363128491604E-3</v>
      </c>
      <c r="W1951">
        <v>827282.05391288095</v>
      </c>
      <c r="X1951" t="s">
        <v>36</v>
      </c>
      <c r="Y1951">
        <f>1-484-475-4633</f>
        <v>-5591</v>
      </c>
    </row>
    <row r="1952" spans="1:25" x14ac:dyDescent="0.35">
      <c r="A1952">
        <v>35.209767993594198</v>
      </c>
      <c r="B1952">
        <v>-118.581329755469</v>
      </c>
      <c r="C1952" t="s">
        <v>34</v>
      </c>
      <c r="D1952">
        <v>5.2720782703660101</v>
      </c>
      <c r="E1952">
        <v>5</v>
      </c>
      <c r="F1952">
        <v>1833</v>
      </c>
      <c r="G1952">
        <v>2</v>
      </c>
      <c r="H1952">
        <v>2</v>
      </c>
      <c r="I1952">
        <v>2014</v>
      </c>
      <c r="J1952">
        <v>0</v>
      </c>
      <c r="K1952">
        <v>1</v>
      </c>
      <c r="L1952">
        <v>1</v>
      </c>
      <c r="M1952">
        <v>9</v>
      </c>
      <c r="N1952" t="s">
        <v>26</v>
      </c>
      <c r="O1952" t="s">
        <v>30</v>
      </c>
      <c r="P1952">
        <v>13.732212564456001</v>
      </c>
      <c r="Q1952">
        <v>1.14584201329113</v>
      </c>
      <c r="R1952">
        <v>7.0474276855523401</v>
      </c>
      <c r="S1952">
        <v>173</v>
      </c>
      <c r="T1952">
        <v>47</v>
      </c>
      <c r="U1952">
        <v>947.63218149182603</v>
      </c>
      <c r="V1952">
        <v>4.90998363338788E-3</v>
      </c>
      <c r="W1952">
        <v>2098966.8787122499</v>
      </c>
      <c r="X1952" t="s">
        <v>31</v>
      </c>
      <c r="Y1952">
        <f>1-692-600-6137</f>
        <v>-7428</v>
      </c>
    </row>
    <row r="1953" spans="1:25" x14ac:dyDescent="0.35">
      <c r="A1953">
        <v>40.056372287417503</v>
      </c>
      <c r="B1953">
        <v>-116.259413741842</v>
      </c>
      <c r="C1953" t="s">
        <v>25</v>
      </c>
      <c r="D1953">
        <v>4.5459777538243404</v>
      </c>
      <c r="E1953">
        <v>1</v>
      </c>
      <c r="F1953">
        <v>1618</v>
      </c>
      <c r="G1953">
        <v>2</v>
      </c>
      <c r="H1953">
        <v>1</v>
      </c>
      <c r="I1953">
        <v>2011</v>
      </c>
      <c r="J1953">
        <v>0</v>
      </c>
      <c r="K1953">
        <v>1</v>
      </c>
      <c r="L1953">
        <v>1</v>
      </c>
      <c r="M1953">
        <v>8</v>
      </c>
      <c r="N1953" t="s">
        <v>35</v>
      </c>
      <c r="O1953" t="s">
        <v>30</v>
      </c>
      <c r="P1953">
        <v>8.6102057880664393</v>
      </c>
      <c r="Q1953">
        <v>1.40424103457012</v>
      </c>
      <c r="R1953">
        <v>0.89358466793017699</v>
      </c>
      <c r="S1953">
        <v>178</v>
      </c>
      <c r="T1953">
        <v>22</v>
      </c>
      <c r="U1953">
        <v>817.87633282786999</v>
      </c>
      <c r="V1953">
        <v>4.9443757725587097E-3</v>
      </c>
      <c r="W1953">
        <v>1488511.65182174</v>
      </c>
      <c r="X1953" t="s">
        <v>43</v>
      </c>
      <c r="Y1953">
        <f>1-284-820-3368</f>
        <v>-4471</v>
      </c>
    </row>
    <row r="1954" spans="1:25" x14ac:dyDescent="0.35">
      <c r="A1954">
        <v>34.663189864798198</v>
      </c>
      <c r="B1954">
        <v>-114.437979782101</v>
      </c>
      <c r="C1954" t="s">
        <v>29</v>
      </c>
      <c r="D1954">
        <v>9.2607799355821108</v>
      </c>
      <c r="E1954">
        <v>7</v>
      </c>
      <c r="F1954">
        <v>4740</v>
      </c>
      <c r="G1954">
        <v>2</v>
      </c>
      <c r="H1954">
        <v>2</v>
      </c>
      <c r="I1954">
        <v>1973</v>
      </c>
      <c r="J1954">
        <v>0</v>
      </c>
      <c r="K1954">
        <v>0</v>
      </c>
      <c r="L1954">
        <v>1</v>
      </c>
      <c r="M1954">
        <v>8</v>
      </c>
      <c r="N1954" t="s">
        <v>41</v>
      </c>
      <c r="O1954" t="s">
        <v>27</v>
      </c>
      <c r="P1954">
        <v>14.3798669993971</v>
      </c>
      <c r="Q1954">
        <v>2.3891920289125799</v>
      </c>
      <c r="R1954">
        <v>5.3716263513650597</v>
      </c>
      <c r="S1954">
        <v>72</v>
      </c>
      <c r="T1954">
        <v>77</v>
      </c>
      <c r="U1954">
        <v>761.28254147370205</v>
      </c>
      <c r="V1954">
        <v>1.6877637130801599E-3</v>
      </c>
      <c r="W1954">
        <v>3735888.33254488</v>
      </c>
      <c r="X1954" t="s">
        <v>44</v>
      </c>
      <c r="Y1954">
        <f>1-696-331-4392</f>
        <v>-5418</v>
      </c>
    </row>
    <row r="1955" spans="1:25" x14ac:dyDescent="0.35">
      <c r="A1955">
        <v>33.817805268947701</v>
      </c>
      <c r="B1955">
        <v>-114.63479704225099</v>
      </c>
      <c r="C1955" t="s">
        <v>25</v>
      </c>
      <c r="D1955">
        <v>40.390418580180302</v>
      </c>
      <c r="E1955">
        <v>4</v>
      </c>
      <c r="F1955">
        <v>4290</v>
      </c>
      <c r="G1955">
        <v>2</v>
      </c>
      <c r="H1955">
        <v>1</v>
      </c>
      <c r="I1955">
        <v>1996</v>
      </c>
      <c r="J1955">
        <v>1</v>
      </c>
      <c r="K1955">
        <v>1</v>
      </c>
      <c r="L1955">
        <v>1</v>
      </c>
      <c r="M1955">
        <v>5</v>
      </c>
      <c r="N1955" t="s">
        <v>35</v>
      </c>
      <c r="O1955" t="s">
        <v>30</v>
      </c>
      <c r="P1955">
        <v>2.3003502250409</v>
      </c>
      <c r="Q1955">
        <v>2.2860437782867402</v>
      </c>
      <c r="R1955">
        <v>0.99277053053449305</v>
      </c>
      <c r="S1955">
        <v>118</v>
      </c>
      <c r="T1955">
        <v>60</v>
      </c>
      <c r="U1955">
        <v>928.06240580204098</v>
      </c>
      <c r="V1955">
        <v>1.1655011655011601E-3</v>
      </c>
      <c r="W1955">
        <v>4242329.7210165896</v>
      </c>
      <c r="X1955" t="s">
        <v>39</v>
      </c>
      <c r="Y1955">
        <f>1-692-265-4261</f>
        <v>-5217</v>
      </c>
    </row>
    <row r="1956" spans="1:25" x14ac:dyDescent="0.35">
      <c r="A1956">
        <v>40.210956000501703</v>
      </c>
      <c r="B1956">
        <v>-115.546825435147</v>
      </c>
      <c r="C1956" t="s">
        <v>25</v>
      </c>
      <c r="D1956">
        <v>47.506730107611297</v>
      </c>
      <c r="E1956">
        <v>0</v>
      </c>
      <c r="F1956">
        <v>3701</v>
      </c>
      <c r="G1956">
        <v>4</v>
      </c>
      <c r="H1956">
        <v>3</v>
      </c>
      <c r="I1956">
        <v>1986</v>
      </c>
      <c r="J1956">
        <v>0</v>
      </c>
      <c r="K1956">
        <v>1</v>
      </c>
      <c r="L1956">
        <v>0</v>
      </c>
      <c r="M1956">
        <v>10</v>
      </c>
      <c r="N1956" t="s">
        <v>41</v>
      </c>
      <c r="O1956" t="s">
        <v>32</v>
      </c>
      <c r="P1956">
        <v>11.071479833789599</v>
      </c>
      <c r="Q1956">
        <v>1.5397070559413599</v>
      </c>
      <c r="R1956">
        <v>0.163435155722265</v>
      </c>
      <c r="S1956">
        <v>163</v>
      </c>
      <c r="T1956">
        <v>70</v>
      </c>
      <c r="U1956">
        <v>978.22140448472499</v>
      </c>
      <c r="V1956">
        <v>2.7019724398811098E-3</v>
      </c>
      <c r="W1956">
        <v>4116701.0212985999</v>
      </c>
      <c r="X1956" t="s">
        <v>44</v>
      </c>
      <c r="Y1956">
        <f>1-964-497-8835</f>
        <v>-10295</v>
      </c>
    </row>
    <row r="1957" spans="1:25" x14ac:dyDescent="0.35">
      <c r="A1957">
        <v>32.628344514283697</v>
      </c>
      <c r="B1957">
        <v>-119.90993016192699</v>
      </c>
      <c r="C1957" t="s">
        <v>34</v>
      </c>
      <c r="D1957">
        <v>35.150598233213401</v>
      </c>
      <c r="E1957">
        <v>4</v>
      </c>
      <c r="F1957">
        <v>794</v>
      </c>
      <c r="G1957">
        <v>3</v>
      </c>
      <c r="H1957">
        <v>3</v>
      </c>
      <c r="I1957">
        <v>1993</v>
      </c>
      <c r="J1957">
        <v>0</v>
      </c>
      <c r="K1957">
        <v>1</v>
      </c>
      <c r="L1957">
        <v>0</v>
      </c>
      <c r="M1957">
        <v>2</v>
      </c>
      <c r="N1957" t="s">
        <v>41</v>
      </c>
      <c r="O1957" t="s">
        <v>32</v>
      </c>
      <c r="P1957">
        <v>5.6694931550238401</v>
      </c>
      <c r="Q1957">
        <v>0.65029421476451599</v>
      </c>
      <c r="R1957">
        <v>9.0333069718982593</v>
      </c>
      <c r="S1957">
        <v>199</v>
      </c>
      <c r="T1957">
        <v>22</v>
      </c>
      <c r="U1957">
        <v>893.97381357056395</v>
      </c>
      <c r="V1957">
        <v>2.5188916876574298E-3</v>
      </c>
      <c r="W1957">
        <v>1030182.14620997</v>
      </c>
      <c r="X1957" t="s">
        <v>36</v>
      </c>
      <c r="Y1957">
        <f>1-775-624-2154</f>
        <v>-3552</v>
      </c>
    </row>
    <row r="1958" spans="1:25" x14ac:dyDescent="0.35">
      <c r="A1958">
        <v>37.144617845734899</v>
      </c>
      <c r="B1958">
        <v>-123.45800623964</v>
      </c>
      <c r="C1958" t="s">
        <v>29</v>
      </c>
      <c r="D1958">
        <v>10.0594672554419</v>
      </c>
      <c r="E1958">
        <v>9</v>
      </c>
      <c r="F1958">
        <v>822</v>
      </c>
      <c r="G1958">
        <v>4</v>
      </c>
      <c r="H1958">
        <v>1</v>
      </c>
      <c r="I1958">
        <v>1951</v>
      </c>
      <c r="J1958">
        <v>1</v>
      </c>
      <c r="K1958">
        <v>0</v>
      </c>
      <c r="L1958">
        <v>1</v>
      </c>
      <c r="M1958">
        <v>6</v>
      </c>
      <c r="N1958" t="s">
        <v>41</v>
      </c>
      <c r="O1958" t="s">
        <v>27</v>
      </c>
      <c r="P1958">
        <v>13.427285892853201</v>
      </c>
      <c r="Q1958">
        <v>1.3593833677140099</v>
      </c>
      <c r="R1958">
        <v>5.7387759343986398</v>
      </c>
      <c r="S1958">
        <v>149</v>
      </c>
      <c r="T1958">
        <v>30</v>
      </c>
      <c r="U1958">
        <v>419.26886850101999</v>
      </c>
      <c r="V1958">
        <v>7.2992700729926996E-3</v>
      </c>
      <c r="W1958">
        <v>661085.10364814603</v>
      </c>
      <c r="X1958" t="s">
        <v>42</v>
      </c>
      <c r="Y1958">
        <f>1-558-391-3460</f>
        <v>-4408</v>
      </c>
    </row>
    <row r="1959" spans="1:25" x14ac:dyDescent="0.35">
      <c r="A1959">
        <v>33.481809511135403</v>
      </c>
      <c r="B1959">
        <v>-118.243569635336</v>
      </c>
      <c r="C1959" t="s">
        <v>29</v>
      </c>
      <c r="D1959">
        <v>19.7895798564589</v>
      </c>
      <c r="E1959">
        <v>3</v>
      </c>
      <c r="F1959">
        <v>2860</v>
      </c>
      <c r="G1959">
        <v>3</v>
      </c>
      <c r="H1959">
        <v>3</v>
      </c>
      <c r="I1959">
        <v>2006</v>
      </c>
      <c r="J1959">
        <v>1</v>
      </c>
      <c r="K1959">
        <v>0</v>
      </c>
      <c r="L1959">
        <v>1</v>
      </c>
      <c r="M1959">
        <v>14</v>
      </c>
      <c r="N1959" t="s">
        <v>41</v>
      </c>
      <c r="O1959" t="s">
        <v>30</v>
      </c>
      <c r="P1959">
        <v>3.7505315295494799</v>
      </c>
      <c r="Q1959">
        <v>1.4211315149140999</v>
      </c>
      <c r="R1959">
        <v>3.8489986181009002</v>
      </c>
      <c r="S1959">
        <v>181</v>
      </c>
      <c r="T1959">
        <v>70</v>
      </c>
      <c r="U1959">
        <v>235.71692970469601</v>
      </c>
      <c r="V1959">
        <v>4.8951048951048903E-3</v>
      </c>
      <c r="W1959">
        <v>925179.29531810002</v>
      </c>
      <c r="X1959" t="s">
        <v>36</v>
      </c>
      <c r="Y1959">
        <f>1-882-554-2883</f>
        <v>-4318</v>
      </c>
    </row>
    <row r="1960" spans="1:25" x14ac:dyDescent="0.35">
      <c r="A1960">
        <v>41.722234034354798</v>
      </c>
      <c r="B1960">
        <v>-114.193940294106</v>
      </c>
      <c r="C1960" t="s">
        <v>29</v>
      </c>
      <c r="D1960">
        <v>20.233524642014601</v>
      </c>
      <c r="E1960">
        <v>4</v>
      </c>
      <c r="F1960">
        <v>2517</v>
      </c>
      <c r="G1960">
        <v>2</v>
      </c>
      <c r="H1960">
        <v>2</v>
      </c>
      <c r="I1960">
        <v>2022</v>
      </c>
      <c r="J1960">
        <v>0</v>
      </c>
      <c r="K1960">
        <v>1</v>
      </c>
      <c r="L1960">
        <v>1</v>
      </c>
      <c r="M1960">
        <v>11</v>
      </c>
      <c r="N1960" t="s">
        <v>35</v>
      </c>
      <c r="O1960" t="s">
        <v>30</v>
      </c>
      <c r="P1960">
        <v>11.5539400396916</v>
      </c>
      <c r="Q1960">
        <v>1.8801162764422601</v>
      </c>
      <c r="R1960">
        <v>8.1043532570965198</v>
      </c>
      <c r="S1960">
        <v>67</v>
      </c>
      <c r="T1960">
        <v>74</v>
      </c>
      <c r="U1960">
        <v>310.18010658986702</v>
      </c>
      <c r="V1960">
        <v>4.3702820818434596E-3</v>
      </c>
      <c r="W1960">
        <v>1166837.0864005899</v>
      </c>
      <c r="X1960" t="s">
        <v>28</v>
      </c>
      <c r="Y1960">
        <f>1-617-532-8092</f>
        <v>-9240</v>
      </c>
    </row>
    <row r="1961" spans="1:25" x14ac:dyDescent="0.35">
      <c r="A1961">
        <v>38.460538777109797</v>
      </c>
      <c r="B1961">
        <v>-123.763941452873</v>
      </c>
      <c r="C1961" t="s">
        <v>25</v>
      </c>
      <c r="D1961">
        <v>49.839204978011999</v>
      </c>
      <c r="E1961">
        <v>2</v>
      </c>
      <c r="F1961">
        <v>2600</v>
      </c>
      <c r="G1961">
        <v>1</v>
      </c>
      <c r="H1961">
        <v>1</v>
      </c>
      <c r="I1961">
        <v>1978</v>
      </c>
      <c r="J1961">
        <v>0</v>
      </c>
      <c r="K1961">
        <v>1</v>
      </c>
      <c r="L1961">
        <v>0</v>
      </c>
      <c r="M1961">
        <v>4</v>
      </c>
      <c r="N1961" t="s">
        <v>35</v>
      </c>
      <c r="O1961" t="s">
        <v>27</v>
      </c>
      <c r="P1961">
        <v>12.832264419026799</v>
      </c>
      <c r="Q1961">
        <v>1.3741623377566601</v>
      </c>
      <c r="R1961">
        <v>4.18922769043128</v>
      </c>
      <c r="S1961">
        <v>105</v>
      </c>
      <c r="T1961">
        <v>79</v>
      </c>
      <c r="U1961">
        <v>753.98711539411602</v>
      </c>
      <c r="V1961">
        <v>1.53846153846153E-3</v>
      </c>
      <c r="W1961">
        <v>2096338.8189248401</v>
      </c>
      <c r="X1961" t="s">
        <v>43</v>
      </c>
      <c r="Y1961">
        <f>1-869-587-9880</f>
        <v>-11335</v>
      </c>
    </row>
    <row r="1962" spans="1:25" x14ac:dyDescent="0.35">
      <c r="A1962">
        <v>36.014803447842297</v>
      </c>
      <c r="B1962">
        <v>-117.62173563115</v>
      </c>
      <c r="C1962" t="s">
        <v>34</v>
      </c>
      <c r="D1962">
        <v>32.704229205550703</v>
      </c>
      <c r="E1962">
        <v>0</v>
      </c>
      <c r="F1962">
        <v>2577</v>
      </c>
      <c r="G1962">
        <v>1</v>
      </c>
      <c r="H1962">
        <v>2</v>
      </c>
      <c r="I1962">
        <v>2003</v>
      </c>
      <c r="J1962">
        <v>0</v>
      </c>
      <c r="K1962">
        <v>1</v>
      </c>
      <c r="L1962">
        <v>0</v>
      </c>
      <c r="M1962">
        <v>12</v>
      </c>
      <c r="N1962" t="s">
        <v>41</v>
      </c>
      <c r="O1962" t="s">
        <v>32</v>
      </c>
      <c r="P1962">
        <v>3.8844060384808601</v>
      </c>
      <c r="Q1962">
        <v>1.6604013148379</v>
      </c>
      <c r="R1962">
        <v>0.57679950391649004</v>
      </c>
      <c r="S1962">
        <v>96</v>
      </c>
      <c r="T1962">
        <v>70</v>
      </c>
      <c r="U1962">
        <v>323.20657222345301</v>
      </c>
      <c r="V1962">
        <v>4.6565774155995299E-3</v>
      </c>
      <c r="W1962">
        <v>1009036.8411939699</v>
      </c>
      <c r="X1962" t="s">
        <v>38</v>
      </c>
      <c r="Y1962">
        <f>1-319-429-2233</f>
        <v>-2980</v>
      </c>
    </row>
    <row r="1963" spans="1:25" x14ac:dyDescent="0.35">
      <c r="A1963">
        <v>40.573318102932397</v>
      </c>
      <c r="B1963">
        <v>-118.88470544243</v>
      </c>
      <c r="C1963" t="s">
        <v>29</v>
      </c>
      <c r="D1963">
        <v>35.527381006509401</v>
      </c>
      <c r="E1963">
        <v>0</v>
      </c>
      <c r="F1963">
        <v>2274</v>
      </c>
      <c r="G1963">
        <v>2</v>
      </c>
      <c r="H1963">
        <v>3</v>
      </c>
      <c r="I1963">
        <v>2000</v>
      </c>
      <c r="J1963">
        <v>1</v>
      </c>
      <c r="K1963">
        <v>0</v>
      </c>
      <c r="L1963">
        <v>0</v>
      </c>
      <c r="M1963">
        <v>2</v>
      </c>
      <c r="N1963" t="s">
        <v>35</v>
      </c>
      <c r="O1963" t="s">
        <v>30</v>
      </c>
      <c r="P1963">
        <v>5.2263608824920702</v>
      </c>
      <c r="Q1963">
        <v>0.88987384201211805</v>
      </c>
      <c r="R1963">
        <v>0.94452205763979702</v>
      </c>
      <c r="S1963">
        <v>74</v>
      </c>
      <c r="T1963">
        <v>55</v>
      </c>
      <c r="U1963">
        <v>667.49727179634601</v>
      </c>
      <c r="V1963">
        <v>8.7950747581354402E-4</v>
      </c>
      <c r="W1963">
        <v>1802447.36800339</v>
      </c>
      <c r="X1963" t="s">
        <v>33</v>
      </c>
      <c r="Y1963">
        <f>1-984-147-1624</f>
        <v>-2754</v>
      </c>
    </row>
    <row r="1964" spans="1:25" x14ac:dyDescent="0.35">
      <c r="A1964">
        <v>35.925766980548097</v>
      </c>
      <c r="B1964">
        <v>-116.17549626290101</v>
      </c>
      <c r="C1964" t="s">
        <v>34</v>
      </c>
      <c r="D1964">
        <v>36.030884106765903</v>
      </c>
      <c r="E1964">
        <v>1</v>
      </c>
      <c r="F1964">
        <v>2474</v>
      </c>
      <c r="G1964">
        <v>2</v>
      </c>
      <c r="H1964">
        <v>2</v>
      </c>
      <c r="I1964">
        <v>2008</v>
      </c>
      <c r="J1964">
        <v>0</v>
      </c>
      <c r="K1964">
        <v>0</v>
      </c>
      <c r="L1964">
        <v>1</v>
      </c>
      <c r="M1964">
        <v>3</v>
      </c>
      <c r="N1964" t="s">
        <v>35</v>
      </c>
      <c r="O1964" t="s">
        <v>27</v>
      </c>
      <c r="P1964">
        <v>11.8489323082146</v>
      </c>
      <c r="Q1964">
        <v>0.90963931416894805</v>
      </c>
      <c r="R1964">
        <v>3.8272526607239401</v>
      </c>
      <c r="S1964">
        <v>129</v>
      </c>
      <c r="T1964">
        <v>45</v>
      </c>
      <c r="U1964">
        <v>976.565775491821</v>
      </c>
      <c r="V1964">
        <v>1.2126111560226301E-3</v>
      </c>
      <c r="W1964">
        <v>2647969.5967284199</v>
      </c>
      <c r="X1964" t="s">
        <v>38</v>
      </c>
      <c r="Y1964">
        <f>1-949-338-5568</f>
        <v>-6854</v>
      </c>
    </row>
    <row r="1965" spans="1:25" x14ac:dyDescent="0.35">
      <c r="A1965">
        <v>37.622666173989003</v>
      </c>
      <c r="B1965">
        <v>-114.35957454472</v>
      </c>
      <c r="C1965" t="s">
        <v>25</v>
      </c>
      <c r="D1965">
        <v>31.764032035247201</v>
      </c>
      <c r="E1965">
        <v>0</v>
      </c>
      <c r="F1965">
        <v>3887</v>
      </c>
      <c r="G1965">
        <v>5</v>
      </c>
      <c r="H1965">
        <v>1</v>
      </c>
      <c r="I1965">
        <v>1953</v>
      </c>
      <c r="J1965">
        <v>1</v>
      </c>
      <c r="K1965">
        <v>1</v>
      </c>
      <c r="L1965">
        <v>0</v>
      </c>
      <c r="M1965">
        <v>10</v>
      </c>
      <c r="N1965" t="s">
        <v>26</v>
      </c>
      <c r="O1965" t="s">
        <v>30</v>
      </c>
      <c r="P1965">
        <v>13.376195295367101</v>
      </c>
      <c r="Q1965">
        <v>2.44358993895777</v>
      </c>
      <c r="R1965">
        <v>5.1834063491205598</v>
      </c>
      <c r="S1965">
        <v>25</v>
      </c>
      <c r="T1965">
        <v>24</v>
      </c>
      <c r="U1965">
        <v>255.09368745461001</v>
      </c>
      <c r="V1965">
        <v>2.5726781579624301E-3</v>
      </c>
      <c r="W1965">
        <v>1396681.2906887301</v>
      </c>
      <c r="X1965" t="s">
        <v>36</v>
      </c>
      <c r="Y1965">
        <f>1-722-409-9670</f>
        <v>-10800</v>
      </c>
    </row>
    <row r="1966" spans="1:25" x14ac:dyDescent="0.35">
      <c r="A1966">
        <v>41.912839772987702</v>
      </c>
      <c r="B1966">
        <v>-118.43387684959799</v>
      </c>
      <c r="C1966" t="s">
        <v>25</v>
      </c>
      <c r="D1966">
        <v>37.1262529818259</v>
      </c>
      <c r="E1966">
        <v>3</v>
      </c>
      <c r="F1966">
        <v>2373</v>
      </c>
      <c r="G1966">
        <v>2</v>
      </c>
      <c r="H1966">
        <v>2</v>
      </c>
      <c r="I1966">
        <v>1972</v>
      </c>
      <c r="J1966">
        <v>0</v>
      </c>
      <c r="K1966">
        <v>1</v>
      </c>
      <c r="L1966">
        <v>0</v>
      </c>
      <c r="M1966">
        <v>2</v>
      </c>
      <c r="N1966" t="s">
        <v>41</v>
      </c>
      <c r="O1966" t="s">
        <v>32</v>
      </c>
      <c r="P1966">
        <v>12.893469493683099</v>
      </c>
      <c r="Q1966">
        <v>0.80272980836119001</v>
      </c>
      <c r="R1966">
        <v>6.4792580195668297</v>
      </c>
      <c r="S1966">
        <v>105</v>
      </c>
      <c r="T1966">
        <v>49</v>
      </c>
      <c r="U1966">
        <v>703.86258767125605</v>
      </c>
      <c r="V1966">
        <v>8.42815002107037E-4</v>
      </c>
      <c r="W1966">
        <v>1941742.4436661799</v>
      </c>
      <c r="X1966" t="s">
        <v>33</v>
      </c>
      <c r="Y1966">
        <f>1-526-326-2444</f>
        <v>-3295</v>
      </c>
    </row>
    <row r="1967" spans="1:25" x14ac:dyDescent="0.35">
      <c r="A1967">
        <v>40.354744949149897</v>
      </c>
      <c r="B1967">
        <v>-116.25801215537599</v>
      </c>
      <c r="C1967" t="s">
        <v>34</v>
      </c>
      <c r="D1967">
        <v>17.060275206861199</v>
      </c>
      <c r="E1967">
        <v>3</v>
      </c>
      <c r="F1967">
        <v>2451</v>
      </c>
      <c r="G1967">
        <v>1</v>
      </c>
      <c r="H1967">
        <v>2</v>
      </c>
      <c r="I1967">
        <v>2007</v>
      </c>
      <c r="J1967">
        <v>0</v>
      </c>
      <c r="K1967">
        <v>0</v>
      </c>
      <c r="L1967">
        <v>1</v>
      </c>
      <c r="M1967">
        <v>3</v>
      </c>
      <c r="N1967" t="s">
        <v>26</v>
      </c>
      <c r="O1967" t="s">
        <v>27</v>
      </c>
      <c r="P1967">
        <v>7.84852928255469</v>
      </c>
      <c r="Q1967">
        <v>0.81249814913719598</v>
      </c>
      <c r="R1967">
        <v>4.2835487471691502</v>
      </c>
      <c r="S1967">
        <v>82</v>
      </c>
      <c r="T1967">
        <v>50</v>
      </c>
      <c r="U1967">
        <v>205.057104720453</v>
      </c>
      <c r="V1967">
        <v>1.2239902080783301E-3</v>
      </c>
      <c r="W1967">
        <v>691882.31305676501</v>
      </c>
      <c r="X1967" t="s">
        <v>44</v>
      </c>
      <c r="Y1967">
        <f>1-200-129-9189</f>
        <v>-9517</v>
      </c>
    </row>
    <row r="1968" spans="1:25" x14ac:dyDescent="0.35">
      <c r="A1968">
        <v>34.181293269877301</v>
      </c>
      <c r="B1968">
        <v>-121.08133812379199</v>
      </c>
      <c r="C1968" t="s">
        <v>25</v>
      </c>
      <c r="D1968">
        <v>17.254498462694499</v>
      </c>
      <c r="E1968">
        <v>3</v>
      </c>
      <c r="F1968">
        <v>4652</v>
      </c>
      <c r="G1968">
        <v>3</v>
      </c>
      <c r="H1968">
        <v>2</v>
      </c>
      <c r="I1968">
        <v>2010</v>
      </c>
      <c r="J1968">
        <v>1</v>
      </c>
      <c r="K1968">
        <v>1</v>
      </c>
      <c r="L1968">
        <v>0</v>
      </c>
      <c r="M1968">
        <v>14</v>
      </c>
      <c r="N1968" t="s">
        <v>26</v>
      </c>
      <c r="O1968" t="s">
        <v>30</v>
      </c>
      <c r="P1968">
        <v>5.48529429266799</v>
      </c>
      <c r="Q1968">
        <v>2.4559425262221501</v>
      </c>
      <c r="R1968">
        <v>8.6882003802367507</v>
      </c>
      <c r="S1968">
        <v>133</v>
      </c>
      <c r="T1968">
        <v>48</v>
      </c>
      <c r="U1968">
        <v>579.34118771459998</v>
      </c>
      <c r="V1968">
        <v>3.0094582975064401E-3</v>
      </c>
      <c r="W1968">
        <v>2999409.0586050702</v>
      </c>
      <c r="X1968" t="s">
        <v>42</v>
      </c>
      <c r="Y1968">
        <f>1-377-604-6442</f>
        <v>-7422</v>
      </c>
    </row>
    <row r="1969" spans="1:25" x14ac:dyDescent="0.35">
      <c r="A1969">
        <v>36.840269871862802</v>
      </c>
      <c r="B1969">
        <v>-117.593445312394</v>
      </c>
      <c r="C1969" t="s">
        <v>34</v>
      </c>
      <c r="D1969">
        <v>21.226689569132901</v>
      </c>
      <c r="E1969">
        <v>0</v>
      </c>
      <c r="F1969">
        <v>4388</v>
      </c>
      <c r="G1969">
        <v>4</v>
      </c>
      <c r="H1969">
        <v>2</v>
      </c>
      <c r="I1969">
        <v>1991</v>
      </c>
      <c r="J1969">
        <v>0</v>
      </c>
      <c r="K1969">
        <v>0</v>
      </c>
      <c r="L1969">
        <v>1</v>
      </c>
      <c r="M1969">
        <v>14</v>
      </c>
      <c r="N1969" t="s">
        <v>41</v>
      </c>
      <c r="O1969" t="s">
        <v>32</v>
      </c>
      <c r="P1969">
        <v>4.2564080056096198</v>
      </c>
      <c r="Q1969">
        <v>2.0142689377395699</v>
      </c>
      <c r="R1969">
        <v>6.5473170774773202</v>
      </c>
      <c r="S1969">
        <v>187</v>
      </c>
      <c r="T1969">
        <v>68</v>
      </c>
      <c r="U1969">
        <v>253.51943633417201</v>
      </c>
      <c r="V1969">
        <v>3.1905195989060998E-3</v>
      </c>
      <c r="W1969">
        <v>1416053.7112328</v>
      </c>
      <c r="X1969" t="s">
        <v>33</v>
      </c>
      <c r="Y1969">
        <f>1-780-886-7554</f>
        <v>-9219</v>
      </c>
    </row>
    <row r="1970" spans="1:25" x14ac:dyDescent="0.35">
      <c r="A1970">
        <v>34.309655822211496</v>
      </c>
      <c r="B1970">
        <v>-119.103032580206</v>
      </c>
      <c r="C1970" t="s">
        <v>34</v>
      </c>
      <c r="D1970">
        <v>31.721830783233901</v>
      </c>
      <c r="E1970">
        <v>6</v>
      </c>
      <c r="F1970">
        <v>4105</v>
      </c>
      <c r="G1970">
        <v>4</v>
      </c>
      <c r="H1970">
        <v>2</v>
      </c>
      <c r="I1970">
        <v>1997</v>
      </c>
      <c r="J1970">
        <v>1</v>
      </c>
      <c r="K1970">
        <v>0</v>
      </c>
      <c r="L1970">
        <v>1</v>
      </c>
      <c r="M1970">
        <v>13</v>
      </c>
      <c r="N1970" t="s">
        <v>41</v>
      </c>
      <c r="O1970" t="s">
        <v>27</v>
      </c>
      <c r="P1970">
        <v>10.9102769887301</v>
      </c>
      <c r="Q1970">
        <v>1.6902506578544501</v>
      </c>
      <c r="R1970">
        <v>5.1928932032740303</v>
      </c>
      <c r="S1970">
        <v>184</v>
      </c>
      <c r="T1970">
        <v>40</v>
      </c>
      <c r="U1970">
        <v>603.07835739521704</v>
      </c>
      <c r="V1970">
        <v>3.1668696711327602E-3</v>
      </c>
      <c r="W1970">
        <v>2842047.02568438</v>
      </c>
      <c r="X1970" t="s">
        <v>44</v>
      </c>
      <c r="Y1970">
        <f>1-619-841-1725</f>
        <v>-3184</v>
      </c>
    </row>
    <row r="1971" spans="1:25" x14ac:dyDescent="0.35">
      <c r="A1971">
        <v>34.186715551233902</v>
      </c>
      <c r="B1971">
        <v>-119.074679917117</v>
      </c>
      <c r="C1971" t="s">
        <v>25</v>
      </c>
      <c r="D1971">
        <v>28.143515031844402</v>
      </c>
      <c r="E1971">
        <v>0</v>
      </c>
      <c r="F1971">
        <v>1650</v>
      </c>
      <c r="G1971">
        <v>4</v>
      </c>
      <c r="H1971">
        <v>1</v>
      </c>
      <c r="I1971">
        <v>1954</v>
      </c>
      <c r="J1971">
        <v>1</v>
      </c>
      <c r="K1971">
        <v>1</v>
      </c>
      <c r="L1971">
        <v>0</v>
      </c>
      <c r="M1971">
        <v>14</v>
      </c>
      <c r="N1971" t="s">
        <v>37</v>
      </c>
      <c r="O1971" t="s">
        <v>30</v>
      </c>
      <c r="P1971">
        <v>9.3618979377061304</v>
      </c>
      <c r="Q1971">
        <v>1.49385139728535</v>
      </c>
      <c r="R1971">
        <v>6.1278159865180699</v>
      </c>
      <c r="S1971">
        <v>142</v>
      </c>
      <c r="T1971">
        <v>54</v>
      </c>
      <c r="U1971">
        <v>901.85117176474103</v>
      </c>
      <c r="V1971">
        <v>8.4848484848484805E-3</v>
      </c>
      <c r="W1971">
        <v>1845459.06138472</v>
      </c>
      <c r="X1971" t="s">
        <v>44</v>
      </c>
      <c r="Y1971">
        <f>1-534-477-3610</f>
        <v>-4620</v>
      </c>
    </row>
    <row r="1972" spans="1:25" x14ac:dyDescent="0.35">
      <c r="A1972">
        <v>38.443836161198902</v>
      </c>
      <c r="B1972">
        <v>-117.77635685994299</v>
      </c>
      <c r="C1972" t="s">
        <v>34</v>
      </c>
      <c r="D1972">
        <v>14.365495641826699</v>
      </c>
      <c r="E1972">
        <v>9</v>
      </c>
      <c r="F1972">
        <v>1618</v>
      </c>
      <c r="G1972">
        <v>4</v>
      </c>
      <c r="H1972">
        <v>3</v>
      </c>
      <c r="I1972">
        <v>2002</v>
      </c>
      <c r="J1972">
        <v>0</v>
      </c>
      <c r="K1972">
        <v>1</v>
      </c>
      <c r="L1972">
        <v>0</v>
      </c>
      <c r="M1972">
        <v>13</v>
      </c>
      <c r="N1972" t="s">
        <v>41</v>
      </c>
      <c r="O1972" t="s">
        <v>30</v>
      </c>
      <c r="P1972">
        <v>14.759666554237</v>
      </c>
      <c r="Q1972">
        <v>1.8161563199566499</v>
      </c>
      <c r="R1972">
        <v>5.5147390778774099</v>
      </c>
      <c r="S1972">
        <v>85</v>
      </c>
      <c r="T1972">
        <v>22</v>
      </c>
      <c r="U1972">
        <v>985.15394874558604</v>
      </c>
      <c r="V1972">
        <v>8.0346106304079092E-3</v>
      </c>
      <c r="W1972">
        <v>2032797.88636748</v>
      </c>
      <c r="X1972" t="s">
        <v>38</v>
      </c>
      <c r="Y1972">
        <f>1-402-753-5108</f>
        <v>-6262</v>
      </c>
    </row>
    <row r="1973" spans="1:25" x14ac:dyDescent="0.35">
      <c r="A1973">
        <v>38.6639576512273</v>
      </c>
      <c r="B1973">
        <v>-120.905969476582</v>
      </c>
      <c r="C1973" t="s">
        <v>25</v>
      </c>
      <c r="D1973">
        <v>18.414519966618901</v>
      </c>
      <c r="E1973">
        <v>3</v>
      </c>
      <c r="F1973">
        <v>1472</v>
      </c>
      <c r="G1973">
        <v>1</v>
      </c>
      <c r="H1973">
        <v>2</v>
      </c>
      <c r="I1973">
        <v>1970</v>
      </c>
      <c r="J1973">
        <v>0</v>
      </c>
      <c r="K1973">
        <v>0</v>
      </c>
      <c r="L1973">
        <v>0</v>
      </c>
      <c r="M1973">
        <v>13</v>
      </c>
      <c r="N1973" t="s">
        <v>41</v>
      </c>
      <c r="O1973" t="s">
        <v>30</v>
      </c>
      <c r="P1973">
        <v>14.848161174180801</v>
      </c>
      <c r="Q1973">
        <v>2.4093523058778801</v>
      </c>
      <c r="R1973">
        <v>3.9023391181703899E-2</v>
      </c>
      <c r="S1973">
        <v>93</v>
      </c>
      <c r="T1973">
        <v>49</v>
      </c>
      <c r="U1973">
        <v>613.83296145611496</v>
      </c>
      <c r="V1973">
        <v>8.8315217391304306E-3</v>
      </c>
      <c r="W1973">
        <v>1055466.1943441301</v>
      </c>
      <c r="X1973" t="s">
        <v>38</v>
      </c>
      <c r="Y1973">
        <f>1-233-602-3579</f>
        <v>-4413</v>
      </c>
    </row>
    <row r="1974" spans="1:25" x14ac:dyDescent="0.35">
      <c r="A1974">
        <v>35.378868255432899</v>
      </c>
      <c r="B1974">
        <v>-123.040486827915</v>
      </c>
      <c r="C1974" t="s">
        <v>29</v>
      </c>
      <c r="D1974">
        <v>32.940205644505497</v>
      </c>
      <c r="E1974">
        <v>3</v>
      </c>
      <c r="F1974">
        <v>4513</v>
      </c>
      <c r="G1974">
        <v>2</v>
      </c>
      <c r="H1974">
        <v>1</v>
      </c>
      <c r="I1974">
        <v>1957</v>
      </c>
      <c r="J1974">
        <v>0</v>
      </c>
      <c r="K1974">
        <v>0</v>
      </c>
      <c r="L1974">
        <v>1</v>
      </c>
      <c r="M1974">
        <v>7</v>
      </c>
      <c r="N1974" t="s">
        <v>41</v>
      </c>
      <c r="O1974" t="s">
        <v>32</v>
      </c>
      <c r="P1974">
        <v>9.3029709977595498</v>
      </c>
      <c r="Q1974">
        <v>1.74315797836779</v>
      </c>
      <c r="R1974">
        <v>1.02906013619943</v>
      </c>
      <c r="S1974">
        <v>97</v>
      </c>
      <c r="T1974">
        <v>71</v>
      </c>
      <c r="U1974">
        <v>677.31259502076</v>
      </c>
      <c r="V1974">
        <v>1.5510746731664E-3</v>
      </c>
      <c r="W1974">
        <v>3186132.6817169301</v>
      </c>
      <c r="X1974" t="s">
        <v>36</v>
      </c>
      <c r="Y1974">
        <f>1-277-347-5271</f>
        <v>-5894</v>
      </c>
    </row>
    <row r="1975" spans="1:25" x14ac:dyDescent="0.35">
      <c r="A1975">
        <v>39.514701598916098</v>
      </c>
      <c r="B1975">
        <v>-117.717988717561</v>
      </c>
      <c r="C1975" t="s">
        <v>34</v>
      </c>
      <c r="D1975">
        <v>26.013801093658302</v>
      </c>
      <c r="E1975">
        <v>9</v>
      </c>
      <c r="F1975">
        <v>3514</v>
      </c>
      <c r="G1975">
        <v>4</v>
      </c>
      <c r="H1975">
        <v>2</v>
      </c>
      <c r="I1975">
        <v>2005</v>
      </c>
      <c r="J1975">
        <v>1</v>
      </c>
      <c r="K1975">
        <v>0</v>
      </c>
      <c r="L1975">
        <v>1</v>
      </c>
      <c r="M1975">
        <v>8</v>
      </c>
      <c r="N1975" t="s">
        <v>26</v>
      </c>
      <c r="O1975" t="s">
        <v>30</v>
      </c>
      <c r="P1975">
        <v>13.497916936679401</v>
      </c>
      <c r="Q1975">
        <v>0.89905138299435094</v>
      </c>
      <c r="R1975">
        <v>6.6370028625110002</v>
      </c>
      <c r="S1975">
        <v>10</v>
      </c>
      <c r="T1975">
        <v>29</v>
      </c>
      <c r="U1975">
        <v>472.45362358282802</v>
      </c>
      <c r="V1975">
        <v>2.27660785429709E-3</v>
      </c>
      <c r="W1975">
        <v>2191250.47992829</v>
      </c>
      <c r="X1975" t="s">
        <v>31</v>
      </c>
      <c r="Y1975">
        <f>1-726-423-2728</f>
        <v>-3876</v>
      </c>
    </row>
    <row r="1976" spans="1:25" x14ac:dyDescent="0.35">
      <c r="A1976">
        <v>41.145871129091098</v>
      </c>
      <c r="B1976">
        <v>-116.750751356503</v>
      </c>
      <c r="C1976" t="s">
        <v>29</v>
      </c>
      <c r="D1976">
        <v>5.3855763521898998</v>
      </c>
      <c r="E1976">
        <v>8</v>
      </c>
      <c r="F1976">
        <v>3617</v>
      </c>
      <c r="G1976">
        <v>3</v>
      </c>
      <c r="H1976">
        <v>2</v>
      </c>
      <c r="I1976">
        <v>2007</v>
      </c>
      <c r="J1976">
        <v>1</v>
      </c>
      <c r="K1976">
        <v>1</v>
      </c>
      <c r="L1976">
        <v>1</v>
      </c>
      <c r="M1976">
        <v>6</v>
      </c>
      <c r="N1976" t="s">
        <v>26</v>
      </c>
      <c r="O1976" t="s">
        <v>27</v>
      </c>
      <c r="P1976">
        <v>3.3768810150224602</v>
      </c>
      <c r="Q1976">
        <v>1.0492133603235501</v>
      </c>
      <c r="R1976">
        <v>3.34487946672041</v>
      </c>
      <c r="S1976">
        <v>62</v>
      </c>
      <c r="T1976">
        <v>23</v>
      </c>
      <c r="U1976">
        <v>971.17756006315699</v>
      </c>
      <c r="V1976">
        <v>1.65883328725463E-3</v>
      </c>
      <c r="W1976">
        <v>3864833.6095949998</v>
      </c>
      <c r="X1976" t="s">
        <v>28</v>
      </c>
      <c r="Y1976">
        <f>1-311-419-3421</f>
        <v>-4150</v>
      </c>
    </row>
    <row r="1977" spans="1:25" x14ac:dyDescent="0.35">
      <c r="A1977">
        <v>39.143308589371898</v>
      </c>
      <c r="B1977">
        <v>-118.580853332033</v>
      </c>
      <c r="C1977" t="s">
        <v>25</v>
      </c>
      <c r="D1977">
        <v>27.933348550959401</v>
      </c>
      <c r="E1977">
        <v>7</v>
      </c>
      <c r="F1977">
        <v>3566</v>
      </c>
      <c r="G1977">
        <v>1</v>
      </c>
      <c r="H1977">
        <v>2</v>
      </c>
      <c r="I1977">
        <v>1963</v>
      </c>
      <c r="J1977">
        <v>0</v>
      </c>
      <c r="K1977">
        <v>1</v>
      </c>
      <c r="L1977">
        <v>1</v>
      </c>
      <c r="M1977">
        <v>4</v>
      </c>
      <c r="N1977" t="s">
        <v>35</v>
      </c>
      <c r="O1977" t="s">
        <v>30</v>
      </c>
      <c r="P1977">
        <v>7.9523247281025098</v>
      </c>
      <c r="Q1977">
        <v>2.1916756681791201</v>
      </c>
      <c r="R1977">
        <v>4.0016034337455197</v>
      </c>
      <c r="S1977">
        <v>145</v>
      </c>
      <c r="T1977">
        <v>68</v>
      </c>
      <c r="U1977">
        <v>662.01319749227002</v>
      </c>
      <c r="V1977">
        <v>1.12170499158721E-3</v>
      </c>
      <c r="W1977">
        <v>2606058.2378343102</v>
      </c>
      <c r="X1977" t="s">
        <v>44</v>
      </c>
      <c r="Y1977">
        <f>1-732-633-3455</f>
        <v>-4819</v>
      </c>
    </row>
    <row r="1978" spans="1:25" x14ac:dyDescent="0.35">
      <c r="A1978">
        <v>34.7480853218673</v>
      </c>
      <c r="B1978">
        <v>-120.485349335528</v>
      </c>
      <c r="C1978" t="s">
        <v>25</v>
      </c>
      <c r="D1978">
        <v>15.1681732991006</v>
      </c>
      <c r="E1978">
        <v>3</v>
      </c>
      <c r="F1978">
        <v>3562</v>
      </c>
      <c r="G1978">
        <v>1</v>
      </c>
      <c r="H1978">
        <v>3</v>
      </c>
      <c r="I1978">
        <v>1964</v>
      </c>
      <c r="J1978">
        <v>0</v>
      </c>
      <c r="K1978">
        <v>0</v>
      </c>
      <c r="L1978">
        <v>0</v>
      </c>
      <c r="M1978">
        <v>2</v>
      </c>
      <c r="N1978" t="s">
        <v>37</v>
      </c>
      <c r="O1978" t="s">
        <v>30</v>
      </c>
      <c r="P1978">
        <v>5.8344205823014699</v>
      </c>
      <c r="Q1978">
        <v>1.8136789092925401</v>
      </c>
      <c r="R1978">
        <v>8.4810234723104898</v>
      </c>
      <c r="S1978">
        <v>79</v>
      </c>
      <c r="T1978">
        <v>46</v>
      </c>
      <c r="U1978">
        <v>822.90188128210002</v>
      </c>
      <c r="V1978">
        <v>5.6148231330713E-4</v>
      </c>
      <c r="W1978">
        <v>2990389.0771135199</v>
      </c>
      <c r="X1978" t="s">
        <v>38</v>
      </c>
      <c r="Y1978">
        <f>1-962-542-3929</f>
        <v>-5432</v>
      </c>
    </row>
    <row r="1979" spans="1:25" x14ac:dyDescent="0.35">
      <c r="A1979">
        <v>36.1628630238583</v>
      </c>
      <c r="B1979">
        <v>-123.236130459356</v>
      </c>
      <c r="C1979" t="s">
        <v>34</v>
      </c>
      <c r="D1979">
        <v>32.569992733467402</v>
      </c>
      <c r="E1979">
        <v>2</v>
      </c>
      <c r="F1979">
        <v>3108</v>
      </c>
      <c r="G1979">
        <v>1</v>
      </c>
      <c r="H1979">
        <v>3</v>
      </c>
      <c r="I1979">
        <v>2015</v>
      </c>
      <c r="J1979">
        <v>0</v>
      </c>
      <c r="K1979">
        <v>1</v>
      </c>
      <c r="L1979">
        <v>0</v>
      </c>
      <c r="M1979">
        <v>12</v>
      </c>
      <c r="N1979" t="s">
        <v>35</v>
      </c>
      <c r="O1979" t="s">
        <v>27</v>
      </c>
      <c r="P1979">
        <v>12.6151999254174</v>
      </c>
      <c r="Q1979">
        <v>0.83872286362483295</v>
      </c>
      <c r="R1979">
        <v>3.8203199546076201</v>
      </c>
      <c r="S1979">
        <v>183</v>
      </c>
      <c r="T1979">
        <v>70</v>
      </c>
      <c r="U1979">
        <v>758.50908987516095</v>
      </c>
      <c r="V1979">
        <v>3.8610038610038598E-3</v>
      </c>
      <c r="W1979">
        <v>2635341.06765293</v>
      </c>
      <c r="X1979" t="s">
        <v>42</v>
      </c>
      <c r="Y1979">
        <f>1-560-684-3188</f>
        <v>-4431</v>
      </c>
    </row>
    <row r="1980" spans="1:25" x14ac:dyDescent="0.35">
      <c r="A1980">
        <v>34.633396341335903</v>
      </c>
      <c r="B1980">
        <v>-115.332561234149</v>
      </c>
      <c r="C1980" t="s">
        <v>25</v>
      </c>
      <c r="D1980">
        <v>23.686412410729201</v>
      </c>
      <c r="E1980">
        <v>8</v>
      </c>
      <c r="F1980">
        <v>2009</v>
      </c>
      <c r="G1980">
        <v>4</v>
      </c>
      <c r="H1980">
        <v>3</v>
      </c>
      <c r="I1980">
        <v>1986</v>
      </c>
      <c r="J1980">
        <v>0</v>
      </c>
      <c r="K1980">
        <v>0</v>
      </c>
      <c r="L1980">
        <v>0</v>
      </c>
      <c r="M1980">
        <v>9</v>
      </c>
      <c r="N1980" t="s">
        <v>41</v>
      </c>
      <c r="O1980" t="s">
        <v>30</v>
      </c>
      <c r="P1980">
        <v>6.8941870835660897</v>
      </c>
      <c r="Q1980">
        <v>1.38590626242837</v>
      </c>
      <c r="R1980">
        <v>6.4490656588354396</v>
      </c>
      <c r="S1980">
        <v>149</v>
      </c>
      <c r="T1980">
        <v>76</v>
      </c>
      <c r="U1980">
        <v>884.20511832897398</v>
      </c>
      <c r="V1980">
        <v>4.4798407167745101E-3</v>
      </c>
      <c r="W1980">
        <v>1979506.32312369</v>
      </c>
      <c r="X1980" t="s">
        <v>44</v>
      </c>
      <c r="Y1980">
        <f>1-429-521-2676</f>
        <v>-3625</v>
      </c>
    </row>
    <row r="1981" spans="1:25" x14ac:dyDescent="0.35">
      <c r="A1981">
        <v>32.980538744123002</v>
      </c>
      <c r="B1981">
        <v>-122.561174235309</v>
      </c>
      <c r="C1981" t="s">
        <v>25</v>
      </c>
      <c r="D1981">
        <v>16.533305354138601</v>
      </c>
      <c r="E1981">
        <v>3</v>
      </c>
      <c r="F1981">
        <v>694</v>
      </c>
      <c r="G1981">
        <v>3</v>
      </c>
      <c r="H1981">
        <v>2</v>
      </c>
      <c r="I1981">
        <v>1973</v>
      </c>
      <c r="J1981">
        <v>1</v>
      </c>
      <c r="K1981">
        <v>1</v>
      </c>
      <c r="L1981">
        <v>1</v>
      </c>
      <c r="M1981">
        <v>6</v>
      </c>
      <c r="N1981" t="s">
        <v>35</v>
      </c>
      <c r="O1981" t="s">
        <v>30</v>
      </c>
      <c r="P1981">
        <v>7.6032635705937297</v>
      </c>
      <c r="Q1981">
        <v>0.552863683828827</v>
      </c>
      <c r="R1981">
        <v>6.9079476452698296</v>
      </c>
      <c r="S1981">
        <v>160</v>
      </c>
      <c r="T1981">
        <v>29</v>
      </c>
      <c r="U1981">
        <v>951.86233913376998</v>
      </c>
      <c r="V1981">
        <v>8.6455331412103702E-3</v>
      </c>
      <c r="W1981">
        <v>1011023.31666999</v>
      </c>
      <c r="X1981" t="s">
        <v>33</v>
      </c>
      <c r="Y1981">
        <f>1-254-520-3587</f>
        <v>-4360</v>
      </c>
    </row>
    <row r="1982" spans="1:25" x14ac:dyDescent="0.35">
      <c r="A1982">
        <v>35.581244459825399</v>
      </c>
      <c r="B1982">
        <v>-117.128195734568</v>
      </c>
      <c r="C1982" t="s">
        <v>29</v>
      </c>
      <c r="D1982">
        <v>22.136662757322799</v>
      </c>
      <c r="E1982">
        <v>3</v>
      </c>
      <c r="F1982">
        <v>3925</v>
      </c>
      <c r="G1982">
        <v>4</v>
      </c>
      <c r="H1982">
        <v>3</v>
      </c>
      <c r="I1982">
        <v>1975</v>
      </c>
      <c r="J1982">
        <v>1</v>
      </c>
      <c r="K1982">
        <v>1</v>
      </c>
      <c r="L1982">
        <v>1</v>
      </c>
      <c r="M1982">
        <v>7</v>
      </c>
      <c r="N1982" t="s">
        <v>37</v>
      </c>
      <c r="O1982" t="s">
        <v>27</v>
      </c>
      <c r="P1982">
        <v>14.9598666187636</v>
      </c>
      <c r="Q1982">
        <v>1.9941158627630799</v>
      </c>
      <c r="R1982">
        <v>8.5090058352364899</v>
      </c>
      <c r="S1982">
        <v>199</v>
      </c>
      <c r="T1982">
        <v>46</v>
      </c>
      <c r="U1982">
        <v>639.56814936558499</v>
      </c>
      <c r="V1982">
        <v>1.7834394904458499E-3</v>
      </c>
      <c r="W1982">
        <v>2973858.3510933002</v>
      </c>
      <c r="X1982" t="s">
        <v>36</v>
      </c>
      <c r="Y1982">
        <f>1-572-686-3757</f>
        <v>-5014</v>
      </c>
    </row>
    <row r="1983" spans="1:25" x14ac:dyDescent="0.35">
      <c r="A1983">
        <v>40.702946614919902</v>
      </c>
      <c r="B1983">
        <v>-115.725206062373</v>
      </c>
      <c r="C1983" t="s">
        <v>34</v>
      </c>
      <c r="D1983">
        <v>46.975072142704697</v>
      </c>
      <c r="E1983">
        <v>1</v>
      </c>
      <c r="F1983">
        <v>1414</v>
      </c>
      <c r="G1983">
        <v>3</v>
      </c>
      <c r="H1983">
        <v>2</v>
      </c>
      <c r="I1983">
        <v>1978</v>
      </c>
      <c r="J1983">
        <v>1</v>
      </c>
      <c r="K1983">
        <v>0</v>
      </c>
      <c r="L1983">
        <v>0</v>
      </c>
      <c r="M1983">
        <v>9</v>
      </c>
      <c r="N1983" t="s">
        <v>26</v>
      </c>
      <c r="O1983" t="s">
        <v>32</v>
      </c>
      <c r="P1983">
        <v>11.557879249076001</v>
      </c>
      <c r="Q1983">
        <v>0.796547770702001</v>
      </c>
      <c r="R1983">
        <v>4.5046915930805502</v>
      </c>
      <c r="S1983">
        <v>178</v>
      </c>
      <c r="T1983">
        <v>29</v>
      </c>
      <c r="U1983">
        <v>517.81518395817204</v>
      </c>
      <c r="V1983">
        <v>6.36492220650636E-3</v>
      </c>
      <c r="W1983">
        <v>940006.70077847503</v>
      </c>
      <c r="X1983" t="s">
        <v>31</v>
      </c>
      <c r="Y1983">
        <f>1-613-348-9881</f>
        <v>-10841</v>
      </c>
    </row>
    <row r="1984" spans="1:25" x14ac:dyDescent="0.35">
      <c r="A1984">
        <v>40.013262077517197</v>
      </c>
      <c r="B1984">
        <v>-117.738741250893</v>
      </c>
      <c r="C1984" t="s">
        <v>25</v>
      </c>
      <c r="D1984">
        <v>36.191519625140899</v>
      </c>
      <c r="E1984">
        <v>2</v>
      </c>
      <c r="F1984">
        <v>3040</v>
      </c>
      <c r="G1984">
        <v>3</v>
      </c>
      <c r="H1984">
        <v>1</v>
      </c>
      <c r="I1984">
        <v>2003</v>
      </c>
      <c r="J1984">
        <v>0</v>
      </c>
      <c r="K1984">
        <v>1</v>
      </c>
      <c r="L1984">
        <v>1</v>
      </c>
      <c r="M1984">
        <v>13</v>
      </c>
      <c r="N1984" t="s">
        <v>26</v>
      </c>
      <c r="O1984" t="s">
        <v>30</v>
      </c>
      <c r="P1984">
        <v>2.54919618381465</v>
      </c>
      <c r="Q1984">
        <v>1.8018146211766199</v>
      </c>
      <c r="R1984">
        <v>3.7452137114670099</v>
      </c>
      <c r="S1984">
        <v>57</v>
      </c>
      <c r="T1984">
        <v>49</v>
      </c>
      <c r="U1984">
        <v>463.30415813647602</v>
      </c>
      <c r="V1984">
        <v>4.2763157894736802E-3</v>
      </c>
      <c r="W1984">
        <v>1699730.6683718299</v>
      </c>
      <c r="X1984" t="s">
        <v>39</v>
      </c>
      <c r="Y1984">
        <f>1-347-121-6824</f>
        <v>-7291</v>
      </c>
    </row>
    <row r="1985" spans="1:25" x14ac:dyDescent="0.35">
      <c r="A1985">
        <v>38.576039388709297</v>
      </c>
      <c r="B1985">
        <v>-116.20075829252001</v>
      </c>
      <c r="C1985" t="s">
        <v>34</v>
      </c>
      <c r="D1985">
        <v>3.80356451878052</v>
      </c>
      <c r="E1985">
        <v>4</v>
      </c>
      <c r="F1985">
        <v>3723</v>
      </c>
      <c r="G1985">
        <v>2</v>
      </c>
      <c r="H1985">
        <v>1</v>
      </c>
      <c r="I1985">
        <v>1971</v>
      </c>
      <c r="J1985">
        <v>1</v>
      </c>
      <c r="K1985">
        <v>1</v>
      </c>
      <c r="L1985">
        <v>0</v>
      </c>
      <c r="M1985">
        <v>7</v>
      </c>
      <c r="N1985" t="s">
        <v>26</v>
      </c>
      <c r="O1985" t="s">
        <v>27</v>
      </c>
      <c r="P1985">
        <v>6.9137954362640102</v>
      </c>
      <c r="Q1985">
        <v>1.46117193761565</v>
      </c>
      <c r="R1985">
        <v>1.9777269265366</v>
      </c>
      <c r="S1985">
        <v>54</v>
      </c>
      <c r="T1985">
        <v>36</v>
      </c>
      <c r="U1985">
        <v>909.53830689347899</v>
      </c>
      <c r="V1985">
        <v>1.8802041364491E-3</v>
      </c>
      <c r="W1985">
        <v>3632414.8826134</v>
      </c>
      <c r="X1985" t="s">
        <v>28</v>
      </c>
      <c r="Y1985">
        <f>1-324-882-3331</f>
        <v>-4536</v>
      </c>
    </row>
    <row r="1986" spans="1:25" x14ac:dyDescent="0.35">
      <c r="A1986">
        <v>34.5222310850897</v>
      </c>
      <c r="B1986">
        <v>-121.810853851384</v>
      </c>
      <c r="C1986" t="s">
        <v>34</v>
      </c>
      <c r="D1986">
        <v>27.097755842752001</v>
      </c>
      <c r="E1986">
        <v>0</v>
      </c>
      <c r="F1986">
        <v>1536</v>
      </c>
      <c r="G1986">
        <v>3</v>
      </c>
      <c r="H1986">
        <v>1</v>
      </c>
      <c r="I1986">
        <v>2011</v>
      </c>
      <c r="J1986">
        <v>0</v>
      </c>
      <c r="K1986">
        <v>1</v>
      </c>
      <c r="L1986">
        <v>1</v>
      </c>
      <c r="M1986">
        <v>2</v>
      </c>
      <c r="N1986" t="s">
        <v>26</v>
      </c>
      <c r="O1986" t="s">
        <v>30</v>
      </c>
      <c r="P1986">
        <v>10.364633781606299</v>
      </c>
      <c r="Q1986">
        <v>0.98856612836781699</v>
      </c>
      <c r="R1986">
        <v>8.5050127704641003</v>
      </c>
      <c r="S1986">
        <v>112</v>
      </c>
      <c r="T1986">
        <v>59</v>
      </c>
      <c r="U1986">
        <v>967.90717471017103</v>
      </c>
      <c r="V1986">
        <v>1.30208333333333E-3</v>
      </c>
      <c r="W1986">
        <v>1882208.02711645</v>
      </c>
      <c r="X1986" t="s">
        <v>43</v>
      </c>
      <c r="Y1986">
        <f>1-418-422-9607</f>
        <v>-10446</v>
      </c>
    </row>
    <row r="1987" spans="1:25" x14ac:dyDescent="0.35">
      <c r="A1987">
        <v>34.966108529057799</v>
      </c>
      <c r="B1987">
        <v>-117.62919272504401</v>
      </c>
      <c r="C1987" t="s">
        <v>29</v>
      </c>
      <c r="D1987">
        <v>28.814748594910199</v>
      </c>
      <c r="E1987">
        <v>6</v>
      </c>
      <c r="F1987">
        <v>3607</v>
      </c>
      <c r="G1987">
        <v>1</v>
      </c>
      <c r="H1987">
        <v>2</v>
      </c>
      <c r="I1987">
        <v>1988</v>
      </c>
      <c r="J1987">
        <v>1</v>
      </c>
      <c r="K1987">
        <v>0</v>
      </c>
      <c r="L1987">
        <v>1</v>
      </c>
      <c r="M1987">
        <v>10</v>
      </c>
      <c r="N1987" t="s">
        <v>37</v>
      </c>
      <c r="O1987" t="s">
        <v>30</v>
      </c>
      <c r="P1987">
        <v>2.53312453326232</v>
      </c>
      <c r="Q1987">
        <v>2.2690813831661401</v>
      </c>
      <c r="R1987">
        <v>8.36129313076923</v>
      </c>
      <c r="S1987">
        <v>184</v>
      </c>
      <c r="T1987">
        <v>21</v>
      </c>
      <c r="U1987">
        <v>447.110590050383</v>
      </c>
      <c r="V1987">
        <v>2.77238702522872E-3</v>
      </c>
      <c r="W1987">
        <v>1763867.3922210601</v>
      </c>
      <c r="X1987" t="s">
        <v>36</v>
      </c>
      <c r="Y1987">
        <f>1-896-425-3092</f>
        <v>-4412</v>
      </c>
    </row>
    <row r="1988" spans="1:25" x14ac:dyDescent="0.35">
      <c r="A1988">
        <v>37.443919277884497</v>
      </c>
      <c r="B1988">
        <v>-118.640902014693</v>
      </c>
      <c r="C1988" t="s">
        <v>34</v>
      </c>
      <c r="D1988">
        <v>7.54063223642361</v>
      </c>
      <c r="E1988">
        <v>4</v>
      </c>
      <c r="F1988">
        <v>3725</v>
      </c>
      <c r="G1988">
        <v>4</v>
      </c>
      <c r="H1988">
        <v>3</v>
      </c>
      <c r="I1988">
        <v>1960</v>
      </c>
      <c r="J1988">
        <v>0</v>
      </c>
      <c r="K1988">
        <v>1</v>
      </c>
      <c r="L1988">
        <v>1</v>
      </c>
      <c r="M1988">
        <v>9</v>
      </c>
      <c r="N1988" t="s">
        <v>37</v>
      </c>
      <c r="O1988" t="s">
        <v>27</v>
      </c>
      <c r="P1988">
        <v>12.542278109436801</v>
      </c>
      <c r="Q1988">
        <v>1.3184094779678399</v>
      </c>
      <c r="R1988">
        <v>9.2759632873315496</v>
      </c>
      <c r="S1988">
        <v>140</v>
      </c>
      <c r="T1988">
        <v>76</v>
      </c>
      <c r="U1988">
        <v>860.178789388327</v>
      </c>
      <c r="V1988">
        <v>2.4161073825503302E-3</v>
      </c>
      <c r="W1988">
        <v>3642986.3216881901</v>
      </c>
      <c r="X1988" t="s">
        <v>33</v>
      </c>
      <c r="Y1988">
        <f>1-607-542-9522</f>
        <v>-10670</v>
      </c>
    </row>
    <row r="1989" spans="1:25" x14ac:dyDescent="0.35">
      <c r="A1989">
        <v>36.025635551603003</v>
      </c>
      <c r="B1989">
        <v>-122.371881946003</v>
      </c>
      <c r="C1989" t="s">
        <v>25</v>
      </c>
      <c r="D1989">
        <v>14.5465192211883</v>
      </c>
      <c r="E1989">
        <v>4</v>
      </c>
      <c r="F1989">
        <v>1578</v>
      </c>
      <c r="G1989">
        <v>4</v>
      </c>
      <c r="H1989">
        <v>3</v>
      </c>
      <c r="I1989">
        <v>1978</v>
      </c>
      <c r="J1989">
        <v>0</v>
      </c>
      <c r="K1989">
        <v>0</v>
      </c>
      <c r="L1989">
        <v>1</v>
      </c>
      <c r="M1989">
        <v>11</v>
      </c>
      <c r="N1989" t="s">
        <v>37</v>
      </c>
      <c r="O1989" t="s">
        <v>27</v>
      </c>
      <c r="P1989">
        <v>9.7988257415393392</v>
      </c>
      <c r="Q1989">
        <v>0.87729190248993405</v>
      </c>
      <c r="R1989">
        <v>2.0379351927249201</v>
      </c>
      <c r="S1989">
        <v>23</v>
      </c>
      <c r="T1989">
        <v>40</v>
      </c>
      <c r="U1989">
        <v>361.04374037393001</v>
      </c>
      <c r="V1989">
        <v>6.9708491761723704E-3</v>
      </c>
      <c r="W1989">
        <v>890412.97158242099</v>
      </c>
      <c r="X1989" t="s">
        <v>36</v>
      </c>
      <c r="Y1989">
        <f>1-782-547-2340</f>
        <v>-3668</v>
      </c>
    </row>
    <row r="1990" spans="1:25" x14ac:dyDescent="0.35">
      <c r="A1990">
        <v>35.890294275494</v>
      </c>
      <c r="B1990">
        <v>-117.30889883465299</v>
      </c>
      <c r="C1990" t="s">
        <v>34</v>
      </c>
      <c r="D1990">
        <v>31.387469912975199</v>
      </c>
      <c r="E1990">
        <v>4</v>
      </c>
      <c r="F1990">
        <v>4308</v>
      </c>
      <c r="G1990">
        <v>4</v>
      </c>
      <c r="H1990">
        <v>3</v>
      </c>
      <c r="I1990">
        <v>1997</v>
      </c>
      <c r="J1990">
        <v>0</v>
      </c>
      <c r="K1990">
        <v>1</v>
      </c>
      <c r="L1990">
        <v>0</v>
      </c>
      <c r="M1990">
        <v>9</v>
      </c>
      <c r="N1990" t="s">
        <v>37</v>
      </c>
      <c r="O1990" t="s">
        <v>30</v>
      </c>
      <c r="P1990">
        <v>14.803856536753701</v>
      </c>
      <c r="Q1990">
        <v>0.84491145110673704</v>
      </c>
      <c r="R1990">
        <v>1.4761903078329499</v>
      </c>
      <c r="S1990">
        <v>5</v>
      </c>
      <c r="T1990">
        <v>59</v>
      </c>
      <c r="U1990">
        <v>758.40770240566701</v>
      </c>
      <c r="V1990">
        <v>2.08913649025069E-3</v>
      </c>
      <c r="W1990">
        <v>3642004.10449766</v>
      </c>
      <c r="X1990" t="s">
        <v>44</v>
      </c>
      <c r="Y1990">
        <f>1-651-261-4675</f>
        <v>-5586</v>
      </c>
    </row>
    <row r="1991" spans="1:25" x14ac:dyDescent="0.35">
      <c r="A1991">
        <v>40.645795830108703</v>
      </c>
      <c r="B1991">
        <v>-120.81373456841</v>
      </c>
      <c r="C1991" t="s">
        <v>34</v>
      </c>
      <c r="D1991">
        <v>45.730140949254498</v>
      </c>
      <c r="E1991">
        <v>5</v>
      </c>
      <c r="F1991">
        <v>3347</v>
      </c>
      <c r="G1991">
        <v>5</v>
      </c>
      <c r="H1991">
        <v>2</v>
      </c>
      <c r="I1991">
        <v>1952</v>
      </c>
      <c r="J1991">
        <v>1</v>
      </c>
      <c r="K1991">
        <v>1</v>
      </c>
      <c r="L1991">
        <v>0</v>
      </c>
      <c r="M1991">
        <v>12</v>
      </c>
      <c r="N1991" t="s">
        <v>35</v>
      </c>
      <c r="O1991" t="s">
        <v>32</v>
      </c>
      <c r="P1991">
        <v>12.650551881397501</v>
      </c>
      <c r="Q1991">
        <v>1.40552339786269</v>
      </c>
      <c r="R1991">
        <v>6.9181562533580303</v>
      </c>
      <c r="S1991">
        <v>18</v>
      </c>
      <c r="T1991">
        <v>44</v>
      </c>
      <c r="U1991">
        <v>672.635253652286</v>
      </c>
      <c r="V1991">
        <v>3.5853002688975202E-3</v>
      </c>
      <c r="W1991">
        <v>2618017.1030481299</v>
      </c>
      <c r="X1991" t="s">
        <v>39</v>
      </c>
      <c r="Y1991">
        <f>1-542-639-2992</f>
        <v>-4172</v>
      </c>
    </row>
    <row r="1992" spans="1:25" x14ac:dyDescent="0.35">
      <c r="A1992">
        <v>36.8193849898582</v>
      </c>
      <c r="B1992">
        <v>-118.63976331999</v>
      </c>
      <c r="C1992" t="s">
        <v>25</v>
      </c>
      <c r="D1992">
        <v>25.808993075788798</v>
      </c>
      <c r="E1992">
        <v>9</v>
      </c>
      <c r="F1992">
        <v>3770</v>
      </c>
      <c r="G1992">
        <v>3</v>
      </c>
      <c r="H1992">
        <v>1</v>
      </c>
      <c r="I1992">
        <v>2016</v>
      </c>
      <c r="J1992">
        <v>1</v>
      </c>
      <c r="K1992">
        <v>0</v>
      </c>
      <c r="L1992">
        <v>0</v>
      </c>
      <c r="M1992">
        <v>3</v>
      </c>
      <c r="N1992" t="s">
        <v>35</v>
      </c>
      <c r="O1992" t="s">
        <v>32</v>
      </c>
      <c r="P1992">
        <v>4.8298224010904098</v>
      </c>
      <c r="Q1992">
        <v>0.56432251139965595</v>
      </c>
      <c r="R1992">
        <v>9.6665235647180694</v>
      </c>
      <c r="S1992">
        <v>169</v>
      </c>
      <c r="T1992">
        <v>57</v>
      </c>
      <c r="U1992">
        <v>311.75675475510798</v>
      </c>
      <c r="V1992">
        <v>7.9575596816976104E-4</v>
      </c>
      <c r="W1992">
        <v>1372576.57422197</v>
      </c>
      <c r="X1992" t="s">
        <v>28</v>
      </c>
      <c r="Y1992">
        <f>1-826-240-1178</f>
        <v>-2243</v>
      </c>
    </row>
    <row r="1993" spans="1:25" x14ac:dyDescent="0.35">
      <c r="A1993">
        <v>38.397725246122299</v>
      </c>
      <c r="B1993">
        <v>-120.81564210745201</v>
      </c>
      <c r="C1993" t="s">
        <v>29</v>
      </c>
      <c r="D1993">
        <v>24.238471627459699</v>
      </c>
      <c r="E1993">
        <v>8</v>
      </c>
      <c r="F1993">
        <v>1448</v>
      </c>
      <c r="G1993">
        <v>3</v>
      </c>
      <c r="H1993">
        <v>1</v>
      </c>
      <c r="I1993">
        <v>1996</v>
      </c>
      <c r="J1993">
        <v>0</v>
      </c>
      <c r="K1993">
        <v>0</v>
      </c>
      <c r="L1993">
        <v>0</v>
      </c>
      <c r="M1993">
        <v>6</v>
      </c>
      <c r="N1993" t="s">
        <v>26</v>
      </c>
      <c r="O1993" t="s">
        <v>32</v>
      </c>
      <c r="P1993">
        <v>3.5720765731069002</v>
      </c>
      <c r="Q1993">
        <v>1.15812152307432</v>
      </c>
      <c r="R1993">
        <v>0.607428525221969</v>
      </c>
      <c r="S1993">
        <v>143</v>
      </c>
      <c r="T1993">
        <v>64</v>
      </c>
      <c r="U1993">
        <v>577.30484135872405</v>
      </c>
      <c r="V1993">
        <v>4.1436464088397702E-3</v>
      </c>
      <c r="W1993">
        <v>906058.31976997596</v>
      </c>
      <c r="X1993" t="s">
        <v>40</v>
      </c>
      <c r="Y1993">
        <f>1-878-861-9559</f>
        <v>-11297</v>
      </c>
    </row>
    <row r="1994" spans="1:25" x14ac:dyDescent="0.35">
      <c r="A1994">
        <v>36.340396977804403</v>
      </c>
      <c r="B1994">
        <v>-122.105496966384</v>
      </c>
      <c r="C1994" t="s">
        <v>29</v>
      </c>
      <c r="D1994">
        <v>48.858166432074</v>
      </c>
      <c r="E1994">
        <v>3</v>
      </c>
      <c r="F1994">
        <v>1052</v>
      </c>
      <c r="G1994">
        <v>1</v>
      </c>
      <c r="H1994">
        <v>3</v>
      </c>
      <c r="I1994">
        <v>1979</v>
      </c>
      <c r="J1994">
        <v>0</v>
      </c>
      <c r="K1994">
        <v>0</v>
      </c>
      <c r="L1994">
        <v>1</v>
      </c>
      <c r="M1994">
        <v>5</v>
      </c>
      <c r="N1994" t="s">
        <v>37</v>
      </c>
      <c r="O1994" t="s">
        <v>32</v>
      </c>
      <c r="P1994">
        <v>4.0146368097420098</v>
      </c>
      <c r="Q1994">
        <v>1.2619060467044301</v>
      </c>
      <c r="R1994">
        <v>9.6078590421851402</v>
      </c>
      <c r="S1994">
        <v>187</v>
      </c>
      <c r="T1994">
        <v>26</v>
      </c>
      <c r="U1994">
        <v>413.50781497051503</v>
      </c>
      <c r="V1994">
        <v>4.7528517110266098E-3</v>
      </c>
      <c r="W1994">
        <v>509728.71294695901</v>
      </c>
      <c r="X1994" t="s">
        <v>40</v>
      </c>
      <c r="Y1994">
        <f>1-572-184-3125</f>
        <v>-3880</v>
      </c>
    </row>
    <row r="1995" spans="1:25" x14ac:dyDescent="0.35">
      <c r="A1995">
        <v>39.541623453696403</v>
      </c>
      <c r="B1995">
        <v>-120.458587011662</v>
      </c>
      <c r="C1995" t="s">
        <v>34</v>
      </c>
      <c r="D1995">
        <v>29.521749511773798</v>
      </c>
      <c r="E1995">
        <v>9</v>
      </c>
      <c r="F1995">
        <v>4507</v>
      </c>
      <c r="G1995">
        <v>4</v>
      </c>
      <c r="H1995">
        <v>1</v>
      </c>
      <c r="I1995">
        <v>2002</v>
      </c>
      <c r="J1995">
        <v>0</v>
      </c>
      <c r="K1995">
        <v>0</v>
      </c>
      <c r="L1995">
        <v>0</v>
      </c>
      <c r="M1995">
        <v>3</v>
      </c>
      <c r="N1995" t="s">
        <v>41</v>
      </c>
      <c r="O1995" t="s">
        <v>30</v>
      </c>
      <c r="P1995">
        <v>2.5679877210642901</v>
      </c>
      <c r="Q1995">
        <v>1.3816636191173</v>
      </c>
      <c r="R1995">
        <v>0.31580487073101898</v>
      </c>
      <c r="S1995">
        <v>187</v>
      </c>
      <c r="T1995">
        <v>41</v>
      </c>
      <c r="U1995">
        <v>425.96923478210999</v>
      </c>
      <c r="V1995">
        <v>6.6563124029287704E-4</v>
      </c>
      <c r="W1995">
        <v>2083213.7255943201</v>
      </c>
      <c r="X1995" t="s">
        <v>36</v>
      </c>
      <c r="Y1995">
        <f>1-794-423-9565</f>
        <v>-10781</v>
      </c>
    </row>
    <row r="1996" spans="1:25" x14ac:dyDescent="0.35">
      <c r="A1996">
        <v>32.933798247902502</v>
      </c>
      <c r="B1996">
        <v>-124.254876480844</v>
      </c>
      <c r="C1996" t="s">
        <v>29</v>
      </c>
      <c r="D1996">
        <v>26.247119297059498</v>
      </c>
      <c r="E1996">
        <v>4</v>
      </c>
      <c r="F1996">
        <v>572</v>
      </c>
      <c r="G1996">
        <v>5</v>
      </c>
      <c r="H1996">
        <v>3</v>
      </c>
      <c r="I1996">
        <v>1954</v>
      </c>
      <c r="J1996">
        <v>1</v>
      </c>
      <c r="K1996">
        <v>0</v>
      </c>
      <c r="L1996">
        <v>0</v>
      </c>
      <c r="M1996">
        <v>8</v>
      </c>
      <c r="N1996" t="s">
        <v>26</v>
      </c>
      <c r="O1996" t="s">
        <v>30</v>
      </c>
      <c r="P1996">
        <v>9.0411263099591004</v>
      </c>
      <c r="Q1996">
        <v>1.9017833586120201</v>
      </c>
      <c r="R1996">
        <v>5.7676585484793801</v>
      </c>
      <c r="S1996">
        <v>140</v>
      </c>
      <c r="T1996">
        <v>38</v>
      </c>
      <c r="U1996">
        <v>489.44027126733403</v>
      </c>
      <c r="V1996">
        <v>1.3986013986013899E-2</v>
      </c>
      <c r="W1996">
        <v>661573.88126424304</v>
      </c>
      <c r="X1996" t="s">
        <v>38</v>
      </c>
      <c r="Y1996">
        <f>1-249-244-8052</f>
        <v>-8544</v>
      </c>
    </row>
    <row r="1997" spans="1:25" x14ac:dyDescent="0.35">
      <c r="A1997">
        <v>34.434851668192003</v>
      </c>
      <c r="B1997">
        <v>-118.324000251706</v>
      </c>
      <c r="C1997" t="s">
        <v>34</v>
      </c>
      <c r="D1997">
        <v>17.566317824593298</v>
      </c>
      <c r="E1997">
        <v>4</v>
      </c>
      <c r="F1997">
        <v>700</v>
      </c>
      <c r="G1997">
        <v>4</v>
      </c>
      <c r="H1997">
        <v>1</v>
      </c>
      <c r="I1997">
        <v>1993</v>
      </c>
      <c r="J1997">
        <v>0</v>
      </c>
      <c r="K1997">
        <v>0</v>
      </c>
      <c r="L1997">
        <v>0</v>
      </c>
      <c r="M1997">
        <v>4</v>
      </c>
      <c r="N1997" t="s">
        <v>37</v>
      </c>
      <c r="O1997" t="s">
        <v>30</v>
      </c>
      <c r="P1997">
        <v>14.270615108621101</v>
      </c>
      <c r="Q1997">
        <v>1.8157804100310599</v>
      </c>
      <c r="R1997">
        <v>0.357443226801409</v>
      </c>
      <c r="S1997">
        <v>161</v>
      </c>
      <c r="T1997">
        <v>38</v>
      </c>
      <c r="U1997">
        <v>480.839313524891</v>
      </c>
      <c r="V1997">
        <v>5.7142857142857099E-3</v>
      </c>
      <c r="W1997">
        <v>585735.00782455201</v>
      </c>
      <c r="X1997" t="s">
        <v>28</v>
      </c>
      <c r="Y1997">
        <f>1-651-918-4704</f>
        <v>-6272</v>
      </c>
    </row>
    <row r="1998" spans="1:25" x14ac:dyDescent="0.35">
      <c r="A1998">
        <v>37.012945477304001</v>
      </c>
      <c r="B1998">
        <v>-119.599578511624</v>
      </c>
      <c r="C1998" t="s">
        <v>34</v>
      </c>
      <c r="D1998">
        <v>11.782236104769501</v>
      </c>
      <c r="E1998">
        <v>1</v>
      </c>
      <c r="F1998">
        <v>3728</v>
      </c>
      <c r="G1998">
        <v>1</v>
      </c>
      <c r="H1998">
        <v>2</v>
      </c>
      <c r="I1998">
        <v>2002</v>
      </c>
      <c r="J1998">
        <v>0</v>
      </c>
      <c r="K1998">
        <v>0</v>
      </c>
      <c r="L1998">
        <v>0</v>
      </c>
      <c r="M1998">
        <v>11</v>
      </c>
      <c r="N1998" t="s">
        <v>41</v>
      </c>
      <c r="O1998" t="s">
        <v>30</v>
      </c>
      <c r="P1998">
        <v>4.0752062042148101</v>
      </c>
      <c r="Q1998">
        <v>0.658608905826497</v>
      </c>
      <c r="R1998">
        <v>0.87333266840708401</v>
      </c>
      <c r="S1998">
        <v>34</v>
      </c>
      <c r="T1998">
        <v>56</v>
      </c>
      <c r="U1998">
        <v>440.095960736508</v>
      </c>
      <c r="V1998">
        <v>2.9506437768240302E-3</v>
      </c>
      <c r="W1998">
        <v>1686370.4170243701</v>
      </c>
      <c r="X1998" t="s">
        <v>39</v>
      </c>
      <c r="Y1998">
        <f>1-642-517-9145</f>
        <v>-10303</v>
      </c>
    </row>
    <row r="1999" spans="1:25" x14ac:dyDescent="0.35">
      <c r="A1999">
        <v>34.190344230159901</v>
      </c>
      <c r="B1999">
        <v>-122.714904262205</v>
      </c>
      <c r="C1999" t="s">
        <v>29</v>
      </c>
      <c r="D1999">
        <v>45.787254051081803</v>
      </c>
      <c r="E1999">
        <v>8</v>
      </c>
      <c r="F1999">
        <v>2942</v>
      </c>
      <c r="G1999">
        <v>1</v>
      </c>
      <c r="H1999">
        <v>2</v>
      </c>
      <c r="I1999">
        <v>2003</v>
      </c>
      <c r="J1999">
        <v>0</v>
      </c>
      <c r="K1999">
        <v>0</v>
      </c>
      <c r="L1999">
        <v>1</v>
      </c>
      <c r="M1999">
        <v>14</v>
      </c>
      <c r="N1999" t="s">
        <v>26</v>
      </c>
      <c r="O1999" t="s">
        <v>32</v>
      </c>
      <c r="P1999">
        <v>13.395888987927799</v>
      </c>
      <c r="Q1999">
        <v>1.66354883312935</v>
      </c>
      <c r="R1999">
        <v>0.65291239893359099</v>
      </c>
      <c r="S1999">
        <v>94</v>
      </c>
      <c r="T1999">
        <v>76</v>
      </c>
      <c r="U1999">
        <v>322.67494456008802</v>
      </c>
      <c r="V1999">
        <v>4.7586675730795303E-3</v>
      </c>
      <c r="W1999">
        <v>1192116.64117935</v>
      </c>
      <c r="X1999" t="s">
        <v>42</v>
      </c>
      <c r="Y1999">
        <f>1-646-466-7043</f>
        <v>-8154</v>
      </c>
    </row>
    <row r="2000" spans="1:25" x14ac:dyDescent="0.35">
      <c r="A2000">
        <v>36.712779569482201</v>
      </c>
      <c r="B2000">
        <v>-122.243917293145</v>
      </c>
      <c r="C2000" t="s">
        <v>34</v>
      </c>
      <c r="D2000">
        <v>12.026412701238799</v>
      </c>
      <c r="E2000">
        <v>4</v>
      </c>
      <c r="F2000">
        <v>1543</v>
      </c>
      <c r="G2000">
        <v>3</v>
      </c>
      <c r="H2000">
        <v>3</v>
      </c>
      <c r="I2000">
        <v>1957</v>
      </c>
      <c r="J2000">
        <v>1</v>
      </c>
      <c r="K2000">
        <v>0</v>
      </c>
      <c r="L2000">
        <v>1</v>
      </c>
      <c r="M2000">
        <v>12</v>
      </c>
      <c r="N2000" t="s">
        <v>37</v>
      </c>
      <c r="O2000" t="s">
        <v>32</v>
      </c>
      <c r="P2000">
        <v>12.8839035809085</v>
      </c>
      <c r="Q2000">
        <v>0.97855246461872802</v>
      </c>
      <c r="R2000">
        <v>9.5872495728401805</v>
      </c>
      <c r="S2000">
        <v>96</v>
      </c>
      <c r="T2000">
        <v>36</v>
      </c>
      <c r="U2000">
        <v>706.51068283913401</v>
      </c>
      <c r="V2000">
        <v>7.7770576798444502E-3</v>
      </c>
      <c r="W2000">
        <v>1314500.7191721101</v>
      </c>
      <c r="X2000" t="s">
        <v>31</v>
      </c>
      <c r="Y2000">
        <f>1-447-389-3296</f>
        <v>-4131</v>
      </c>
    </row>
    <row r="2001" spans="1:25" x14ac:dyDescent="0.35">
      <c r="A2001">
        <v>37.962093943636098</v>
      </c>
      <c r="B2001">
        <v>-122.43046052761601</v>
      </c>
      <c r="C2001" t="s">
        <v>34</v>
      </c>
      <c r="D2001">
        <v>25.661035868192201</v>
      </c>
      <c r="E2001">
        <v>5</v>
      </c>
      <c r="F2001">
        <v>3654</v>
      </c>
      <c r="G2001">
        <v>5</v>
      </c>
      <c r="H2001">
        <v>2</v>
      </c>
      <c r="I2001">
        <v>1966</v>
      </c>
      <c r="J2001">
        <v>1</v>
      </c>
      <c r="K2001">
        <v>0</v>
      </c>
      <c r="L2001">
        <v>1</v>
      </c>
      <c r="M2001">
        <v>6</v>
      </c>
      <c r="N2001" t="s">
        <v>26</v>
      </c>
      <c r="O2001" t="s">
        <v>32</v>
      </c>
      <c r="P2001">
        <v>13.175786069755301</v>
      </c>
      <c r="Q2001">
        <v>1.5839790500058899</v>
      </c>
      <c r="R2001">
        <v>6.0753523036503498</v>
      </c>
      <c r="S2001">
        <v>102</v>
      </c>
      <c r="T2001">
        <v>62</v>
      </c>
      <c r="U2001">
        <v>456.10206115438598</v>
      </c>
      <c r="V2001">
        <v>1.64203612479474E-3</v>
      </c>
      <c r="W2001">
        <v>2052134.01735445</v>
      </c>
      <c r="X2001" t="s">
        <v>43</v>
      </c>
      <c r="Y2001">
        <f>1-689-819-7626</f>
        <v>-9133</v>
      </c>
    </row>
    <row r="2002" spans="1:25" x14ac:dyDescent="0.35">
      <c r="A2002">
        <v>35.385518979492304</v>
      </c>
      <c r="B2002">
        <v>-119.177254032843</v>
      </c>
      <c r="C2002" t="s">
        <v>29</v>
      </c>
      <c r="D2002">
        <v>28.816210584150301</v>
      </c>
      <c r="E2002">
        <v>0</v>
      </c>
      <c r="F2002">
        <v>3859</v>
      </c>
      <c r="G2002">
        <v>3</v>
      </c>
      <c r="H2002">
        <v>1</v>
      </c>
      <c r="I2002">
        <v>2016</v>
      </c>
      <c r="J2002">
        <v>1</v>
      </c>
      <c r="K2002">
        <v>0</v>
      </c>
      <c r="L2002">
        <v>0</v>
      </c>
      <c r="M2002">
        <v>4</v>
      </c>
      <c r="N2002" t="s">
        <v>37</v>
      </c>
      <c r="O2002" t="s">
        <v>30</v>
      </c>
      <c r="P2002">
        <v>6.89556290548669</v>
      </c>
      <c r="Q2002">
        <v>2.0163730908009998</v>
      </c>
      <c r="R2002">
        <v>5.4899533166295003</v>
      </c>
      <c r="S2002">
        <v>111</v>
      </c>
      <c r="T2002">
        <v>73</v>
      </c>
      <c r="U2002">
        <v>993.10659498620805</v>
      </c>
      <c r="V2002">
        <v>1.0365379632029E-3</v>
      </c>
      <c r="W2002">
        <v>4058990.27408092</v>
      </c>
      <c r="X2002" t="s">
        <v>38</v>
      </c>
      <c r="Y2002">
        <f>1-681-935-9874</f>
        <v>-11489</v>
      </c>
    </row>
    <row r="2003" spans="1:25" x14ac:dyDescent="0.35">
      <c r="A2003">
        <v>34.847600019804503</v>
      </c>
      <c r="B2003">
        <v>-117.69092987125001</v>
      </c>
      <c r="C2003" t="s">
        <v>29</v>
      </c>
      <c r="D2003">
        <v>40.414684113768701</v>
      </c>
      <c r="E2003">
        <v>7</v>
      </c>
      <c r="F2003">
        <v>3970</v>
      </c>
      <c r="G2003">
        <v>1</v>
      </c>
      <c r="H2003">
        <v>1</v>
      </c>
      <c r="I2003">
        <v>1974</v>
      </c>
      <c r="J2003">
        <v>1</v>
      </c>
      <c r="K2003">
        <v>0</v>
      </c>
      <c r="L2003">
        <v>0</v>
      </c>
      <c r="M2003">
        <v>9</v>
      </c>
      <c r="N2003" t="s">
        <v>35</v>
      </c>
      <c r="O2003" t="s">
        <v>30</v>
      </c>
      <c r="P2003">
        <v>11.554880549873801</v>
      </c>
      <c r="Q2003">
        <v>0.98456640062997902</v>
      </c>
      <c r="R2003">
        <v>4.5239469179454002</v>
      </c>
      <c r="S2003">
        <v>84</v>
      </c>
      <c r="T2003">
        <v>25</v>
      </c>
      <c r="U2003">
        <v>439.101052720827</v>
      </c>
      <c r="V2003">
        <v>2.2670025188916798E-3</v>
      </c>
      <c r="W2003">
        <v>1983640.8246096</v>
      </c>
      <c r="X2003" t="s">
        <v>44</v>
      </c>
      <c r="Y2003">
        <f>1-817-391-6766</f>
        <v>-7973</v>
      </c>
    </row>
    <row r="2004" spans="1:25" x14ac:dyDescent="0.35">
      <c r="A2004">
        <v>38.042058606667297</v>
      </c>
      <c r="B2004">
        <v>-121.45933042100199</v>
      </c>
      <c r="C2004" t="s">
        <v>34</v>
      </c>
      <c r="D2004">
        <v>22.034820280768901</v>
      </c>
      <c r="E2004">
        <v>8</v>
      </c>
      <c r="F2004">
        <v>1224</v>
      </c>
      <c r="G2004">
        <v>3</v>
      </c>
      <c r="H2004">
        <v>2</v>
      </c>
      <c r="I2004">
        <v>1981</v>
      </c>
      <c r="J2004">
        <v>1</v>
      </c>
      <c r="K2004">
        <v>1</v>
      </c>
      <c r="L2004">
        <v>0</v>
      </c>
      <c r="M2004">
        <v>6</v>
      </c>
      <c r="N2004" t="s">
        <v>41</v>
      </c>
      <c r="O2004" t="s">
        <v>32</v>
      </c>
      <c r="P2004">
        <v>8.6810245875454104</v>
      </c>
      <c r="Q2004">
        <v>1.10194061262077</v>
      </c>
      <c r="R2004">
        <v>1.3984576299268501</v>
      </c>
      <c r="S2004">
        <v>193</v>
      </c>
      <c r="T2004">
        <v>31</v>
      </c>
      <c r="U2004">
        <v>312.90263900947298</v>
      </c>
      <c r="V2004">
        <v>4.9019607843137202E-3</v>
      </c>
      <c r="W2004">
        <v>736586.90746143705</v>
      </c>
      <c r="X2004" t="s">
        <v>38</v>
      </c>
      <c r="Y2004">
        <f>1-437-622-5544</f>
        <v>-6602</v>
      </c>
    </row>
    <row r="2005" spans="1:25" x14ac:dyDescent="0.35">
      <c r="A2005">
        <v>37.776047641852699</v>
      </c>
      <c r="B2005">
        <v>-123.578384175427</v>
      </c>
      <c r="C2005" t="s">
        <v>34</v>
      </c>
      <c r="D2005">
        <v>33.127832942246798</v>
      </c>
      <c r="E2005">
        <v>2</v>
      </c>
      <c r="F2005">
        <v>4389</v>
      </c>
      <c r="G2005">
        <v>1</v>
      </c>
      <c r="H2005">
        <v>2</v>
      </c>
      <c r="I2005">
        <v>2015</v>
      </c>
      <c r="J2005">
        <v>1</v>
      </c>
      <c r="K2005">
        <v>0</v>
      </c>
      <c r="L2005">
        <v>0</v>
      </c>
      <c r="M2005">
        <v>8</v>
      </c>
      <c r="N2005" t="s">
        <v>37</v>
      </c>
      <c r="O2005" t="s">
        <v>27</v>
      </c>
      <c r="P2005">
        <v>11.2562319238436</v>
      </c>
      <c r="Q2005">
        <v>1.98881190818107</v>
      </c>
      <c r="R2005">
        <v>7.5556756811790304</v>
      </c>
      <c r="S2005">
        <v>128</v>
      </c>
      <c r="T2005">
        <v>71</v>
      </c>
      <c r="U2005">
        <v>862.82597612835104</v>
      </c>
      <c r="V2005">
        <v>1.8227386648439199E-3</v>
      </c>
      <c r="W2005">
        <v>3977370.3702111202</v>
      </c>
      <c r="X2005" t="s">
        <v>40</v>
      </c>
      <c r="Y2005">
        <f>1-729-258-3142</f>
        <v>-4128</v>
      </c>
    </row>
    <row r="2006" spans="1:25" x14ac:dyDescent="0.35">
      <c r="A2006">
        <v>39.240793484090602</v>
      </c>
      <c r="B2006">
        <v>-123.153929478802</v>
      </c>
      <c r="C2006" t="s">
        <v>25</v>
      </c>
      <c r="D2006">
        <v>8.4024428546501895</v>
      </c>
      <c r="E2006">
        <v>4</v>
      </c>
      <c r="F2006">
        <v>1220</v>
      </c>
      <c r="G2006">
        <v>4</v>
      </c>
      <c r="H2006">
        <v>2</v>
      </c>
      <c r="I2006">
        <v>1974</v>
      </c>
      <c r="J2006">
        <v>0</v>
      </c>
      <c r="K2006">
        <v>1</v>
      </c>
      <c r="L2006">
        <v>0</v>
      </c>
      <c r="M2006">
        <v>14</v>
      </c>
      <c r="N2006" t="s">
        <v>35</v>
      </c>
      <c r="O2006" t="s">
        <v>30</v>
      </c>
      <c r="P2006">
        <v>8.3384000896997499</v>
      </c>
      <c r="Q2006">
        <v>1.7342586368375701</v>
      </c>
      <c r="R2006">
        <v>0.31777309964324801</v>
      </c>
      <c r="S2006">
        <v>149</v>
      </c>
      <c r="T2006">
        <v>64</v>
      </c>
      <c r="U2006">
        <v>992.08201347770205</v>
      </c>
      <c r="V2006">
        <v>1.14754098360655E-2</v>
      </c>
      <c r="W2006">
        <v>1526638.6840363899</v>
      </c>
      <c r="X2006" t="s">
        <v>42</v>
      </c>
      <c r="Y2006">
        <f>1-592-808-7648</f>
        <v>-9047</v>
      </c>
    </row>
    <row r="2007" spans="1:25" x14ac:dyDescent="0.35">
      <c r="A2007">
        <v>33.277078730471999</v>
      </c>
      <c r="B2007">
        <v>-116.53307184786399</v>
      </c>
      <c r="C2007" t="s">
        <v>25</v>
      </c>
      <c r="D2007">
        <v>43.843409017667</v>
      </c>
      <c r="E2007">
        <v>6</v>
      </c>
      <c r="F2007">
        <v>2247</v>
      </c>
      <c r="G2007">
        <v>4</v>
      </c>
      <c r="H2007">
        <v>3</v>
      </c>
      <c r="I2007">
        <v>1997</v>
      </c>
      <c r="J2007">
        <v>0</v>
      </c>
      <c r="K2007">
        <v>1</v>
      </c>
      <c r="L2007">
        <v>1</v>
      </c>
      <c r="M2007">
        <v>4</v>
      </c>
      <c r="N2007" t="s">
        <v>41</v>
      </c>
      <c r="O2007" t="s">
        <v>32</v>
      </c>
      <c r="P2007">
        <v>3.6391897031387299</v>
      </c>
      <c r="Q2007">
        <v>0.54330339321187904</v>
      </c>
      <c r="R2007">
        <v>8.8912224282337302</v>
      </c>
      <c r="S2007">
        <v>81</v>
      </c>
      <c r="T2007">
        <v>61</v>
      </c>
      <c r="U2007">
        <v>395.77391510886002</v>
      </c>
      <c r="V2007">
        <v>1.7801513128615899E-3</v>
      </c>
      <c r="W2007">
        <v>1218896.4900704699</v>
      </c>
      <c r="X2007" t="s">
        <v>40</v>
      </c>
      <c r="Y2007">
        <f>1-593-706-3534</f>
        <v>-4832</v>
      </c>
    </row>
    <row r="2008" spans="1:25" x14ac:dyDescent="0.35">
      <c r="A2008">
        <v>33.474499758244399</v>
      </c>
      <c r="B2008">
        <v>-123.880378322769</v>
      </c>
      <c r="C2008" t="s">
        <v>25</v>
      </c>
      <c r="D2008">
        <v>47.382920503048901</v>
      </c>
      <c r="E2008">
        <v>8</v>
      </c>
      <c r="F2008">
        <v>4190</v>
      </c>
      <c r="G2008">
        <v>3</v>
      </c>
      <c r="H2008">
        <v>3</v>
      </c>
      <c r="I2008">
        <v>1997</v>
      </c>
      <c r="J2008">
        <v>1</v>
      </c>
      <c r="K2008">
        <v>1</v>
      </c>
      <c r="L2008">
        <v>1</v>
      </c>
      <c r="M2008">
        <v>8</v>
      </c>
      <c r="N2008" t="s">
        <v>26</v>
      </c>
      <c r="O2008" t="s">
        <v>30</v>
      </c>
      <c r="P2008">
        <v>10.4017535987703</v>
      </c>
      <c r="Q2008">
        <v>1.0976331448552099</v>
      </c>
      <c r="R2008">
        <v>9.27472462659175</v>
      </c>
      <c r="S2008">
        <v>106</v>
      </c>
      <c r="T2008">
        <v>48</v>
      </c>
      <c r="U2008">
        <v>362.79123005867399</v>
      </c>
      <c r="V2008">
        <v>1.9093078758949801E-3</v>
      </c>
      <c r="W2008">
        <v>1854725.4383952201</v>
      </c>
      <c r="X2008" t="s">
        <v>31</v>
      </c>
      <c r="Y2008">
        <f>1-429-746-3397</f>
        <v>-4571</v>
      </c>
    </row>
    <row r="2009" spans="1:25" x14ac:dyDescent="0.35">
      <c r="A2009">
        <v>40.966074982025603</v>
      </c>
      <c r="B2009">
        <v>-123.424330161973</v>
      </c>
      <c r="C2009" t="s">
        <v>29</v>
      </c>
      <c r="D2009">
        <v>41.011551652238502</v>
      </c>
      <c r="E2009">
        <v>8</v>
      </c>
      <c r="F2009">
        <v>1689</v>
      </c>
      <c r="G2009">
        <v>3</v>
      </c>
      <c r="H2009">
        <v>2</v>
      </c>
      <c r="I2009">
        <v>1978</v>
      </c>
      <c r="J2009">
        <v>1</v>
      </c>
      <c r="K2009">
        <v>0</v>
      </c>
      <c r="L2009">
        <v>1</v>
      </c>
      <c r="M2009">
        <v>11</v>
      </c>
      <c r="N2009" t="s">
        <v>41</v>
      </c>
      <c r="O2009" t="s">
        <v>32</v>
      </c>
      <c r="P2009">
        <v>6.3872387345324402</v>
      </c>
      <c r="Q2009">
        <v>2.3741554760163299</v>
      </c>
      <c r="R2009">
        <v>1.9410208075871</v>
      </c>
      <c r="S2009">
        <v>166</v>
      </c>
      <c r="T2009">
        <v>25</v>
      </c>
      <c r="U2009">
        <v>420.36678478640999</v>
      </c>
      <c r="V2009">
        <v>6.5127294256956698E-3</v>
      </c>
      <c r="W2009">
        <v>904851.27929467696</v>
      </c>
      <c r="X2009" t="s">
        <v>39</v>
      </c>
      <c r="Y2009">
        <f>1-382-125-4722</f>
        <v>-5228</v>
      </c>
    </row>
    <row r="2010" spans="1:25" x14ac:dyDescent="0.35">
      <c r="A2010">
        <v>33.544675674346003</v>
      </c>
      <c r="B2010">
        <v>-122.422815865389</v>
      </c>
      <c r="C2010" t="s">
        <v>34</v>
      </c>
      <c r="D2010">
        <v>40.248791729287198</v>
      </c>
      <c r="E2010">
        <v>7</v>
      </c>
      <c r="F2010">
        <v>3355</v>
      </c>
      <c r="G2010">
        <v>5</v>
      </c>
      <c r="H2010">
        <v>1</v>
      </c>
      <c r="I2010">
        <v>1960</v>
      </c>
      <c r="J2010">
        <v>1</v>
      </c>
      <c r="K2010">
        <v>1</v>
      </c>
      <c r="L2010">
        <v>1</v>
      </c>
      <c r="M2010">
        <v>5</v>
      </c>
      <c r="N2010" t="s">
        <v>41</v>
      </c>
      <c r="O2010" t="s">
        <v>32</v>
      </c>
      <c r="P2010">
        <v>9.3263412370888403</v>
      </c>
      <c r="Q2010">
        <v>1.1264332264810399</v>
      </c>
      <c r="R2010">
        <v>0.86002694194300899</v>
      </c>
      <c r="S2010">
        <v>76</v>
      </c>
      <c r="T2010">
        <v>31</v>
      </c>
      <c r="U2010">
        <v>988.99795173638404</v>
      </c>
      <c r="V2010">
        <v>1.4903129657228001E-3</v>
      </c>
      <c r="W2010">
        <v>3821735.6949666301</v>
      </c>
      <c r="X2010" t="s">
        <v>44</v>
      </c>
      <c r="Y2010">
        <f>1-450-495-1181</f>
        <v>-2125</v>
      </c>
    </row>
    <row r="2011" spans="1:25" x14ac:dyDescent="0.35">
      <c r="A2011">
        <v>34.884374771570798</v>
      </c>
      <c r="B2011">
        <v>-121.627709968498</v>
      </c>
      <c r="C2011" t="s">
        <v>25</v>
      </c>
      <c r="D2011">
        <v>12.7382763219174</v>
      </c>
      <c r="E2011">
        <v>4</v>
      </c>
      <c r="F2011">
        <v>856</v>
      </c>
      <c r="G2011">
        <v>4</v>
      </c>
      <c r="H2011">
        <v>2</v>
      </c>
      <c r="I2011">
        <v>2014</v>
      </c>
      <c r="J2011">
        <v>1</v>
      </c>
      <c r="K2011">
        <v>1</v>
      </c>
      <c r="L2011">
        <v>0</v>
      </c>
      <c r="M2011">
        <v>5</v>
      </c>
      <c r="N2011" t="s">
        <v>37</v>
      </c>
      <c r="O2011" t="s">
        <v>27</v>
      </c>
      <c r="P2011">
        <v>10.0623373070691</v>
      </c>
      <c r="Q2011">
        <v>0.757103282590608</v>
      </c>
      <c r="R2011">
        <v>7.9702425238428196</v>
      </c>
      <c r="S2011">
        <v>167</v>
      </c>
      <c r="T2011">
        <v>69</v>
      </c>
      <c r="U2011">
        <v>988.41957926962402</v>
      </c>
      <c r="V2011">
        <v>5.8411214953271E-3</v>
      </c>
      <c r="W2011">
        <v>1234253.31782516</v>
      </c>
      <c r="X2011" t="s">
        <v>40</v>
      </c>
      <c r="Y2011">
        <f>1-531-760-5607</f>
        <v>-6897</v>
      </c>
    </row>
    <row r="2012" spans="1:25" x14ac:dyDescent="0.35">
      <c r="A2012">
        <v>37.066345054801999</v>
      </c>
      <c r="B2012">
        <v>-116.137447698336</v>
      </c>
      <c r="C2012" t="s">
        <v>29</v>
      </c>
      <c r="D2012">
        <v>13.215675155252899</v>
      </c>
      <c r="E2012">
        <v>9</v>
      </c>
      <c r="F2012">
        <v>2243</v>
      </c>
      <c r="G2012">
        <v>4</v>
      </c>
      <c r="H2012">
        <v>1</v>
      </c>
      <c r="I2012">
        <v>2007</v>
      </c>
      <c r="J2012">
        <v>1</v>
      </c>
      <c r="K2012">
        <v>0</v>
      </c>
      <c r="L2012">
        <v>1</v>
      </c>
      <c r="M2012">
        <v>11</v>
      </c>
      <c r="N2012" t="s">
        <v>37</v>
      </c>
      <c r="O2012" t="s">
        <v>27</v>
      </c>
      <c r="P2012">
        <v>5.9315097871374203</v>
      </c>
      <c r="Q2012">
        <v>0.61144055675514797</v>
      </c>
      <c r="R2012">
        <v>6.6986240047237704</v>
      </c>
      <c r="S2012">
        <v>74</v>
      </c>
      <c r="T2012">
        <v>62</v>
      </c>
      <c r="U2012">
        <v>230.20156600321101</v>
      </c>
      <c r="V2012">
        <v>4.90414623272403E-3</v>
      </c>
      <c r="W2012">
        <v>872882.92808294995</v>
      </c>
      <c r="X2012" t="s">
        <v>42</v>
      </c>
      <c r="Y2012">
        <f>1-879-103-4443</f>
        <v>-5424</v>
      </c>
    </row>
    <row r="2013" spans="1:25" x14ac:dyDescent="0.35">
      <c r="A2013">
        <v>33.451264551182</v>
      </c>
      <c r="B2013">
        <v>-115.988324934139</v>
      </c>
      <c r="C2013" t="s">
        <v>29</v>
      </c>
      <c r="D2013">
        <v>11.6192731308095</v>
      </c>
      <c r="E2013">
        <v>9</v>
      </c>
      <c r="F2013">
        <v>3509</v>
      </c>
      <c r="G2013">
        <v>5</v>
      </c>
      <c r="H2013">
        <v>2</v>
      </c>
      <c r="I2013">
        <v>2020</v>
      </c>
      <c r="J2013">
        <v>1</v>
      </c>
      <c r="K2013">
        <v>1</v>
      </c>
      <c r="L2013">
        <v>0</v>
      </c>
      <c r="M2013">
        <v>12</v>
      </c>
      <c r="N2013" t="s">
        <v>26</v>
      </c>
      <c r="O2013" t="s">
        <v>30</v>
      </c>
      <c r="P2013">
        <v>14.975833543106599</v>
      </c>
      <c r="Q2013">
        <v>1.94619918544177</v>
      </c>
      <c r="R2013">
        <v>2.4513830668249099</v>
      </c>
      <c r="S2013">
        <v>199</v>
      </c>
      <c r="T2013">
        <v>70</v>
      </c>
      <c r="U2013">
        <v>532.97302432028005</v>
      </c>
      <c r="V2013">
        <v>3.4197777144485599E-3</v>
      </c>
      <c r="W2013">
        <v>2319568.8735040701</v>
      </c>
      <c r="X2013" t="s">
        <v>38</v>
      </c>
      <c r="Y2013">
        <f>1-953-470-2076</f>
        <v>-3498</v>
      </c>
    </row>
    <row r="2014" spans="1:25" x14ac:dyDescent="0.35">
      <c r="A2014">
        <v>38.3934152671346</v>
      </c>
      <c r="B2014">
        <v>-118.896090777776</v>
      </c>
      <c r="C2014" t="s">
        <v>34</v>
      </c>
      <c r="D2014">
        <v>35.730708049524502</v>
      </c>
      <c r="E2014">
        <v>1</v>
      </c>
      <c r="F2014">
        <v>2222</v>
      </c>
      <c r="G2014">
        <v>4</v>
      </c>
      <c r="H2014">
        <v>1</v>
      </c>
      <c r="I2014">
        <v>1954</v>
      </c>
      <c r="J2014">
        <v>1</v>
      </c>
      <c r="K2014">
        <v>0</v>
      </c>
      <c r="L2014">
        <v>0</v>
      </c>
      <c r="M2014">
        <v>7</v>
      </c>
      <c r="N2014" t="s">
        <v>37</v>
      </c>
      <c r="O2014" t="s">
        <v>30</v>
      </c>
      <c r="P2014">
        <v>8.9119653977337698</v>
      </c>
      <c r="Q2014">
        <v>1.3024497548879499</v>
      </c>
      <c r="R2014">
        <v>3.3898970938633499</v>
      </c>
      <c r="S2014">
        <v>94</v>
      </c>
      <c r="T2014">
        <v>72</v>
      </c>
      <c r="U2014">
        <v>964.48384411180302</v>
      </c>
      <c r="V2014">
        <v>3.1503150315031498E-3</v>
      </c>
      <c r="W2014">
        <v>2233494.6117402101</v>
      </c>
      <c r="X2014" t="s">
        <v>36</v>
      </c>
      <c r="Y2014">
        <f>1-545-158-6531</f>
        <v>-7233</v>
      </c>
    </row>
    <row r="2015" spans="1:25" x14ac:dyDescent="0.35">
      <c r="A2015">
        <v>39.672346529266598</v>
      </c>
      <c r="B2015">
        <v>-118.29333169405299</v>
      </c>
      <c r="C2015" t="s">
        <v>25</v>
      </c>
      <c r="D2015">
        <v>24.314712381871399</v>
      </c>
      <c r="E2015">
        <v>3</v>
      </c>
      <c r="F2015">
        <v>4188</v>
      </c>
      <c r="G2015">
        <v>4</v>
      </c>
      <c r="H2015">
        <v>3</v>
      </c>
      <c r="I2015">
        <v>1968</v>
      </c>
      <c r="J2015">
        <v>0</v>
      </c>
      <c r="K2015">
        <v>0</v>
      </c>
      <c r="L2015">
        <v>1</v>
      </c>
      <c r="M2015">
        <v>2</v>
      </c>
      <c r="N2015" t="s">
        <v>41</v>
      </c>
      <c r="O2015" t="s">
        <v>32</v>
      </c>
      <c r="P2015">
        <v>14.6218651596164</v>
      </c>
      <c r="Q2015">
        <v>0.52301328892572796</v>
      </c>
      <c r="R2015">
        <v>9.3192168174316095</v>
      </c>
      <c r="S2015">
        <v>172</v>
      </c>
      <c r="T2015">
        <v>36</v>
      </c>
      <c r="U2015">
        <v>346.91833767786699</v>
      </c>
      <c r="V2015">
        <v>4.7755491881566297E-4</v>
      </c>
      <c r="W2015">
        <v>1732854.6047723</v>
      </c>
      <c r="X2015" t="s">
        <v>43</v>
      </c>
      <c r="Y2015">
        <f>1-763-320-1556</f>
        <v>-2638</v>
      </c>
    </row>
    <row r="2016" spans="1:25" x14ac:dyDescent="0.35">
      <c r="A2016">
        <v>36.153270281062497</v>
      </c>
      <c r="B2016">
        <v>-115.767497249892</v>
      </c>
      <c r="C2016" t="s">
        <v>25</v>
      </c>
      <c r="D2016">
        <v>49.607277459270399</v>
      </c>
      <c r="E2016">
        <v>1</v>
      </c>
      <c r="F2016">
        <v>1076</v>
      </c>
      <c r="G2016">
        <v>5</v>
      </c>
      <c r="H2016">
        <v>1</v>
      </c>
      <c r="I2016">
        <v>1955</v>
      </c>
      <c r="J2016">
        <v>0</v>
      </c>
      <c r="K2016">
        <v>1</v>
      </c>
      <c r="L2016">
        <v>1</v>
      </c>
      <c r="M2016">
        <v>9</v>
      </c>
      <c r="N2016" t="s">
        <v>26</v>
      </c>
      <c r="O2016" t="s">
        <v>32</v>
      </c>
      <c r="P2016">
        <v>7.06801383135564</v>
      </c>
      <c r="Q2016">
        <v>2.0153654731941</v>
      </c>
      <c r="R2016">
        <v>6.8243497514657898</v>
      </c>
      <c r="S2016">
        <v>100</v>
      </c>
      <c r="T2016">
        <v>25</v>
      </c>
      <c r="U2016">
        <v>616.38453422221096</v>
      </c>
      <c r="V2016">
        <v>8.36431226765799E-3</v>
      </c>
      <c r="W2016">
        <v>1058136.0402682601</v>
      </c>
      <c r="X2016" t="s">
        <v>39</v>
      </c>
      <c r="Y2016">
        <f>1-396-555-8106</f>
        <v>-9056</v>
      </c>
    </row>
    <row r="2017" spans="1:25" x14ac:dyDescent="0.35">
      <c r="A2017">
        <v>35.918672072813798</v>
      </c>
      <c r="B2017">
        <v>-121.368480307029</v>
      </c>
      <c r="C2017" t="s">
        <v>25</v>
      </c>
      <c r="D2017">
        <v>37.829818392062798</v>
      </c>
      <c r="E2017">
        <v>8</v>
      </c>
      <c r="F2017">
        <v>3210</v>
      </c>
      <c r="G2017">
        <v>4</v>
      </c>
      <c r="H2017">
        <v>2</v>
      </c>
      <c r="I2017">
        <v>1993</v>
      </c>
      <c r="J2017">
        <v>1</v>
      </c>
      <c r="K2017">
        <v>0</v>
      </c>
      <c r="L2017">
        <v>1</v>
      </c>
      <c r="M2017">
        <v>12</v>
      </c>
      <c r="N2017" t="s">
        <v>26</v>
      </c>
      <c r="O2017" t="s">
        <v>30</v>
      </c>
      <c r="P2017">
        <v>3.0102942223225502</v>
      </c>
      <c r="Q2017">
        <v>0.75701408389824898</v>
      </c>
      <c r="R2017">
        <v>6.7436967038555098</v>
      </c>
      <c r="S2017">
        <v>181</v>
      </c>
      <c r="T2017">
        <v>31</v>
      </c>
      <c r="U2017">
        <v>919.91919256025699</v>
      </c>
      <c r="V2017">
        <v>3.7383177570093399E-3</v>
      </c>
      <c r="W2017">
        <v>3204551.0654181698</v>
      </c>
      <c r="X2017" t="s">
        <v>43</v>
      </c>
      <c r="Y2017">
        <f>1-905-544-4919</f>
        <v>-6367</v>
      </c>
    </row>
    <row r="2018" spans="1:25" x14ac:dyDescent="0.35">
      <c r="A2018">
        <v>35.255717602743601</v>
      </c>
      <c r="B2018">
        <v>-120.77812474788701</v>
      </c>
      <c r="C2018" t="s">
        <v>25</v>
      </c>
      <c r="D2018">
        <v>8.1926770884565894</v>
      </c>
      <c r="E2018">
        <v>4</v>
      </c>
      <c r="F2018">
        <v>3920</v>
      </c>
      <c r="G2018">
        <v>5</v>
      </c>
      <c r="H2018">
        <v>2</v>
      </c>
      <c r="I2018">
        <v>2003</v>
      </c>
      <c r="J2018">
        <v>1</v>
      </c>
      <c r="K2018">
        <v>0</v>
      </c>
      <c r="L2018">
        <v>0</v>
      </c>
      <c r="M2018">
        <v>14</v>
      </c>
      <c r="N2018" t="s">
        <v>37</v>
      </c>
      <c r="O2018" t="s">
        <v>30</v>
      </c>
      <c r="P2018">
        <v>14.9157276386318</v>
      </c>
      <c r="Q2018">
        <v>0.96430176717138305</v>
      </c>
      <c r="R2018">
        <v>6.6467069929809401</v>
      </c>
      <c r="S2018">
        <v>153</v>
      </c>
      <c r="T2018">
        <v>32</v>
      </c>
      <c r="U2018">
        <v>476.42290759033199</v>
      </c>
      <c r="V2018">
        <v>3.57142857142857E-3</v>
      </c>
      <c r="W2018">
        <v>2310033.4200399602</v>
      </c>
      <c r="X2018" t="s">
        <v>39</v>
      </c>
      <c r="Y2018">
        <f>1-650-962-4000</f>
        <v>-5611</v>
      </c>
    </row>
    <row r="2019" spans="1:25" x14ac:dyDescent="0.35">
      <c r="A2019">
        <v>36.518658661035097</v>
      </c>
      <c r="B2019">
        <v>-124.356600883764</v>
      </c>
      <c r="C2019" t="s">
        <v>25</v>
      </c>
      <c r="D2019">
        <v>1.8904718257976101</v>
      </c>
      <c r="E2019">
        <v>1</v>
      </c>
      <c r="F2019">
        <v>753</v>
      </c>
      <c r="G2019">
        <v>3</v>
      </c>
      <c r="H2019">
        <v>1</v>
      </c>
      <c r="I2019">
        <v>1956</v>
      </c>
      <c r="J2019">
        <v>1</v>
      </c>
      <c r="K2019">
        <v>0</v>
      </c>
      <c r="L2019">
        <v>0</v>
      </c>
      <c r="M2019">
        <v>3</v>
      </c>
      <c r="N2019" t="s">
        <v>41</v>
      </c>
      <c r="O2019" t="s">
        <v>32</v>
      </c>
      <c r="P2019">
        <v>4.6720566497515197</v>
      </c>
      <c r="Q2019">
        <v>2.3463298592502202</v>
      </c>
      <c r="R2019">
        <v>2.6172147540212798</v>
      </c>
      <c r="S2019">
        <v>96</v>
      </c>
      <c r="T2019">
        <v>60</v>
      </c>
      <c r="U2019">
        <v>318.58996097465598</v>
      </c>
      <c r="V2019">
        <v>3.9840637450199202E-3</v>
      </c>
      <c r="W2019">
        <v>375578.81647277198</v>
      </c>
      <c r="X2019" t="s">
        <v>43</v>
      </c>
      <c r="Y2019">
        <f>1-411-216-6213</f>
        <v>-6839</v>
      </c>
    </row>
    <row r="2020" spans="1:25" x14ac:dyDescent="0.35">
      <c r="A2020">
        <v>41.414325791179103</v>
      </c>
      <c r="B2020">
        <v>-114.23473326452201</v>
      </c>
      <c r="C2020" t="s">
        <v>34</v>
      </c>
      <c r="D2020">
        <v>35.3719868440675</v>
      </c>
      <c r="E2020">
        <v>7</v>
      </c>
      <c r="F2020">
        <v>4723</v>
      </c>
      <c r="G2020">
        <v>5</v>
      </c>
      <c r="H2020">
        <v>2</v>
      </c>
      <c r="I2020">
        <v>1950</v>
      </c>
      <c r="J2020">
        <v>0</v>
      </c>
      <c r="K2020">
        <v>1</v>
      </c>
      <c r="L2020">
        <v>1</v>
      </c>
      <c r="M2020">
        <v>2</v>
      </c>
      <c r="N2020" t="s">
        <v>26</v>
      </c>
      <c r="O2020" t="s">
        <v>30</v>
      </c>
      <c r="P2020">
        <v>13.3748379672521</v>
      </c>
      <c r="Q2020">
        <v>2.1051690443562801</v>
      </c>
      <c r="R2020">
        <v>9.1685929153956405</v>
      </c>
      <c r="S2020">
        <v>176</v>
      </c>
      <c r="T2020">
        <v>67</v>
      </c>
      <c r="U2020">
        <v>781.650786759418</v>
      </c>
      <c r="V2020">
        <v>4.2345966546686401E-4</v>
      </c>
      <c r="W2020">
        <v>4032373.1347797401</v>
      </c>
      <c r="X2020" t="s">
        <v>39</v>
      </c>
      <c r="Y2020">
        <f>1-213-793-5561</f>
        <v>-6566</v>
      </c>
    </row>
    <row r="2021" spans="1:25" x14ac:dyDescent="0.35">
      <c r="A2021">
        <v>39.261344518545201</v>
      </c>
      <c r="B2021">
        <v>-116.761976363299</v>
      </c>
      <c r="C2021" t="s">
        <v>29</v>
      </c>
      <c r="D2021">
        <v>35.377464946138801</v>
      </c>
      <c r="E2021">
        <v>1</v>
      </c>
      <c r="F2021">
        <v>2244</v>
      </c>
      <c r="G2021">
        <v>2</v>
      </c>
      <c r="H2021">
        <v>3</v>
      </c>
      <c r="I2021">
        <v>1980</v>
      </c>
      <c r="J2021">
        <v>1</v>
      </c>
      <c r="K2021">
        <v>1</v>
      </c>
      <c r="L2021">
        <v>1</v>
      </c>
      <c r="M2021">
        <v>8</v>
      </c>
      <c r="N2021" t="s">
        <v>37</v>
      </c>
      <c r="O2021" t="s">
        <v>32</v>
      </c>
      <c r="P2021">
        <v>7.1326309067300597</v>
      </c>
      <c r="Q2021">
        <v>0.64669089154482295</v>
      </c>
      <c r="R2021">
        <v>1.0646922024162899</v>
      </c>
      <c r="S2021">
        <v>59</v>
      </c>
      <c r="T2021">
        <v>41</v>
      </c>
      <c r="U2021">
        <v>707.40775843065205</v>
      </c>
      <c r="V2021">
        <v>3.5650623885918001E-3</v>
      </c>
      <c r="W2021">
        <v>1957969.47172372</v>
      </c>
      <c r="X2021" t="s">
        <v>36</v>
      </c>
      <c r="Y2021">
        <f>1-532-599-6419</f>
        <v>-7549</v>
      </c>
    </row>
    <row r="2022" spans="1:25" x14ac:dyDescent="0.35">
      <c r="A2022">
        <v>36.549332824408701</v>
      </c>
      <c r="B2022">
        <v>-115.46867795484501</v>
      </c>
      <c r="C2022" t="s">
        <v>29</v>
      </c>
      <c r="D2022">
        <v>10.021516389894501</v>
      </c>
      <c r="E2022">
        <v>0</v>
      </c>
      <c r="F2022">
        <v>3186</v>
      </c>
      <c r="G2022">
        <v>1</v>
      </c>
      <c r="H2022">
        <v>3</v>
      </c>
      <c r="I2022">
        <v>1975</v>
      </c>
      <c r="J2022">
        <v>0</v>
      </c>
      <c r="K2022">
        <v>1</v>
      </c>
      <c r="L2022">
        <v>0</v>
      </c>
      <c r="M2022">
        <v>11</v>
      </c>
      <c r="N2022" t="s">
        <v>37</v>
      </c>
      <c r="O2022" t="s">
        <v>30</v>
      </c>
      <c r="P2022">
        <v>3.9390115873759002</v>
      </c>
      <c r="Q2022">
        <v>1.9529917576524001</v>
      </c>
      <c r="R2022">
        <v>3.5033802572535802</v>
      </c>
      <c r="S2022">
        <v>106</v>
      </c>
      <c r="T2022">
        <v>60</v>
      </c>
      <c r="U2022">
        <v>492.56925552562097</v>
      </c>
      <c r="V2022">
        <v>3.4526051475204001E-3</v>
      </c>
      <c r="W2022">
        <v>1763092.83896943</v>
      </c>
      <c r="X2022" t="s">
        <v>38</v>
      </c>
      <c r="Y2022">
        <f>1-354-251-2934</f>
        <v>-3538</v>
      </c>
    </row>
    <row r="2023" spans="1:25" x14ac:dyDescent="0.35">
      <c r="A2023">
        <v>40.863432024039398</v>
      </c>
      <c r="B2023">
        <v>-117.339926582755</v>
      </c>
      <c r="C2023" t="s">
        <v>25</v>
      </c>
      <c r="D2023">
        <v>37.923667656804703</v>
      </c>
      <c r="E2023">
        <v>1</v>
      </c>
      <c r="F2023">
        <v>3191</v>
      </c>
      <c r="G2023">
        <v>3</v>
      </c>
      <c r="H2023">
        <v>2</v>
      </c>
      <c r="I2023">
        <v>2020</v>
      </c>
      <c r="J2023">
        <v>1</v>
      </c>
      <c r="K2023">
        <v>0</v>
      </c>
      <c r="L2023">
        <v>0</v>
      </c>
      <c r="M2023">
        <v>5</v>
      </c>
      <c r="N2023" t="s">
        <v>35</v>
      </c>
      <c r="O2023" t="s">
        <v>30</v>
      </c>
      <c r="P2023">
        <v>13.3329159886667</v>
      </c>
      <c r="Q2023">
        <v>0.58012770378309497</v>
      </c>
      <c r="R2023">
        <v>4.3857070391381301</v>
      </c>
      <c r="S2023">
        <v>25</v>
      </c>
      <c r="T2023">
        <v>70</v>
      </c>
      <c r="U2023">
        <v>747.79968849980503</v>
      </c>
      <c r="V2023">
        <v>1.5669069257286099E-3</v>
      </c>
      <c r="W2023">
        <v>2821447.4638639898</v>
      </c>
      <c r="X2023" t="s">
        <v>39</v>
      </c>
      <c r="Y2023">
        <f>1-422-510-5457</f>
        <v>-6388</v>
      </c>
    </row>
    <row r="2024" spans="1:25" x14ac:dyDescent="0.35">
      <c r="A2024">
        <v>40.978804601763699</v>
      </c>
      <c r="B2024">
        <v>-121.20247011190401</v>
      </c>
      <c r="C2024" t="s">
        <v>29</v>
      </c>
      <c r="D2024">
        <v>48.221835740255699</v>
      </c>
      <c r="E2024">
        <v>3</v>
      </c>
      <c r="F2024">
        <v>2517</v>
      </c>
      <c r="G2024">
        <v>2</v>
      </c>
      <c r="H2024">
        <v>2</v>
      </c>
      <c r="I2024">
        <v>1996</v>
      </c>
      <c r="J2024">
        <v>1</v>
      </c>
      <c r="K2024">
        <v>0</v>
      </c>
      <c r="L2024">
        <v>1</v>
      </c>
      <c r="M2024">
        <v>8</v>
      </c>
      <c r="N2024" t="s">
        <v>41</v>
      </c>
      <c r="O2024" t="s">
        <v>27</v>
      </c>
      <c r="P2024">
        <v>3.9465368944498702</v>
      </c>
      <c r="Q2024">
        <v>1.3301131145373399</v>
      </c>
      <c r="R2024">
        <v>1.60801910274879</v>
      </c>
      <c r="S2024">
        <v>49</v>
      </c>
      <c r="T2024">
        <v>32</v>
      </c>
      <c r="U2024">
        <v>657.50053555302998</v>
      </c>
      <c r="V2024">
        <v>3.17838696861342E-3</v>
      </c>
      <c r="W2024">
        <v>1862084.9568674299</v>
      </c>
      <c r="X2024" t="s">
        <v>42</v>
      </c>
      <c r="Y2024">
        <f>1-433-762-3474</f>
        <v>-4668</v>
      </c>
    </row>
    <row r="2025" spans="1:25" x14ac:dyDescent="0.35">
      <c r="A2025">
        <v>40.795649115232898</v>
      </c>
      <c r="B2025">
        <v>-114.936551397386</v>
      </c>
      <c r="C2025" t="s">
        <v>25</v>
      </c>
      <c r="D2025">
        <v>48.673958847098099</v>
      </c>
      <c r="E2025">
        <v>9</v>
      </c>
      <c r="F2025">
        <v>1766</v>
      </c>
      <c r="G2025">
        <v>2</v>
      </c>
      <c r="H2025">
        <v>2</v>
      </c>
      <c r="I2025">
        <v>2019</v>
      </c>
      <c r="J2025">
        <v>1</v>
      </c>
      <c r="K2025">
        <v>0</v>
      </c>
      <c r="L2025">
        <v>0</v>
      </c>
      <c r="M2025">
        <v>3</v>
      </c>
      <c r="N2025" t="s">
        <v>37</v>
      </c>
      <c r="O2025" t="s">
        <v>30</v>
      </c>
      <c r="P2025">
        <v>10.827269268691801</v>
      </c>
      <c r="Q2025">
        <v>1.09741532304486</v>
      </c>
      <c r="R2025">
        <v>0.370157655204571</v>
      </c>
      <c r="S2025">
        <v>115</v>
      </c>
      <c r="T2025">
        <v>55</v>
      </c>
      <c r="U2025">
        <v>953.04922795100799</v>
      </c>
      <c r="V2025">
        <v>1.6987542468856101E-3</v>
      </c>
      <c r="W2025">
        <v>1977113.2598790899</v>
      </c>
      <c r="X2025" t="s">
        <v>28</v>
      </c>
      <c r="Y2025">
        <f>1-895-652-7841</f>
        <v>-9387</v>
      </c>
    </row>
    <row r="2026" spans="1:25" x14ac:dyDescent="0.35">
      <c r="A2026">
        <v>41.5530993988069</v>
      </c>
      <c r="B2026">
        <v>-117.02806563980999</v>
      </c>
      <c r="C2026" t="s">
        <v>25</v>
      </c>
      <c r="D2026">
        <v>1.0136723510634</v>
      </c>
      <c r="E2026">
        <v>1</v>
      </c>
      <c r="F2026">
        <v>1296</v>
      </c>
      <c r="G2026">
        <v>1</v>
      </c>
      <c r="H2026">
        <v>3</v>
      </c>
      <c r="I2026">
        <v>1985</v>
      </c>
      <c r="J2026">
        <v>1</v>
      </c>
      <c r="K2026">
        <v>0</v>
      </c>
      <c r="L2026">
        <v>1</v>
      </c>
      <c r="M2026">
        <v>13</v>
      </c>
      <c r="N2026" t="s">
        <v>26</v>
      </c>
      <c r="O2026" t="s">
        <v>30</v>
      </c>
      <c r="P2026">
        <v>4.9003525214173997</v>
      </c>
      <c r="Q2026">
        <v>0.64734179518754598</v>
      </c>
      <c r="R2026">
        <v>3.8925609028519799</v>
      </c>
      <c r="S2026">
        <v>12</v>
      </c>
      <c r="T2026">
        <v>42</v>
      </c>
      <c r="U2026">
        <v>712.97748844797104</v>
      </c>
      <c r="V2026">
        <v>1.0030864197530799E-2</v>
      </c>
      <c r="W2026">
        <v>1031749.27824517</v>
      </c>
      <c r="X2026" t="s">
        <v>40</v>
      </c>
      <c r="Y2026">
        <f>1-793-955-4418</f>
        <v>-6165</v>
      </c>
    </row>
    <row r="2027" spans="1:25" x14ac:dyDescent="0.35">
      <c r="A2027">
        <v>41.4993751025278</v>
      </c>
      <c r="B2027">
        <v>-123.880035290759</v>
      </c>
      <c r="C2027" t="s">
        <v>25</v>
      </c>
      <c r="D2027">
        <v>32.832745646932501</v>
      </c>
      <c r="E2027">
        <v>2</v>
      </c>
      <c r="F2027">
        <v>2990</v>
      </c>
      <c r="G2027">
        <v>4</v>
      </c>
      <c r="H2027">
        <v>1</v>
      </c>
      <c r="I2027">
        <v>1964</v>
      </c>
      <c r="J2027">
        <v>1</v>
      </c>
      <c r="K2027">
        <v>0</v>
      </c>
      <c r="L2027">
        <v>1</v>
      </c>
      <c r="M2027">
        <v>6</v>
      </c>
      <c r="N2027" t="s">
        <v>35</v>
      </c>
      <c r="O2027" t="s">
        <v>27</v>
      </c>
      <c r="P2027">
        <v>10.2140087158983</v>
      </c>
      <c r="Q2027">
        <v>0.93050501570006505</v>
      </c>
      <c r="R2027">
        <v>2.3854482581507899</v>
      </c>
      <c r="S2027">
        <v>122</v>
      </c>
      <c r="T2027">
        <v>56</v>
      </c>
      <c r="U2027">
        <v>441.03352392101698</v>
      </c>
      <c r="V2027">
        <v>2.0066889632107E-3</v>
      </c>
      <c r="W2027">
        <v>1587801.25121919</v>
      </c>
      <c r="X2027" t="s">
        <v>31</v>
      </c>
      <c r="Y2027">
        <f>1-764-725-7646</f>
        <v>-9134</v>
      </c>
    </row>
    <row r="2028" spans="1:25" x14ac:dyDescent="0.35">
      <c r="A2028">
        <v>36.556512123607398</v>
      </c>
      <c r="B2028">
        <v>-122.499298320969</v>
      </c>
      <c r="C2028" t="s">
        <v>34</v>
      </c>
      <c r="D2028">
        <v>8.2272725317826101</v>
      </c>
      <c r="E2028">
        <v>4</v>
      </c>
      <c r="F2028">
        <v>4426</v>
      </c>
      <c r="G2028">
        <v>1</v>
      </c>
      <c r="H2028">
        <v>3</v>
      </c>
      <c r="I2028">
        <v>2005</v>
      </c>
      <c r="J2028">
        <v>1</v>
      </c>
      <c r="K2028">
        <v>1</v>
      </c>
      <c r="L2028">
        <v>0</v>
      </c>
      <c r="M2028">
        <v>2</v>
      </c>
      <c r="N2028" t="s">
        <v>41</v>
      </c>
      <c r="O2028" t="s">
        <v>32</v>
      </c>
      <c r="P2028">
        <v>10.7805070192501</v>
      </c>
      <c r="Q2028">
        <v>1.9981255870690799</v>
      </c>
      <c r="R2028">
        <v>4.5293138017724797</v>
      </c>
      <c r="S2028">
        <v>195</v>
      </c>
      <c r="T2028">
        <v>62</v>
      </c>
      <c r="U2028">
        <v>898.01512715625302</v>
      </c>
      <c r="V2028">
        <v>4.5187528242205099E-4</v>
      </c>
      <c r="W2028">
        <v>4316409.6777375899</v>
      </c>
      <c r="X2028" t="s">
        <v>36</v>
      </c>
      <c r="Y2028">
        <f>1-489-332-1952</f>
        <v>-2772</v>
      </c>
    </row>
    <row r="2029" spans="1:25" x14ac:dyDescent="0.35">
      <c r="A2029">
        <v>38.910174206633798</v>
      </c>
      <c r="B2029">
        <v>-118.61415657116</v>
      </c>
      <c r="C2029" t="s">
        <v>34</v>
      </c>
      <c r="D2029">
        <v>10.2912059535656</v>
      </c>
      <c r="E2029">
        <v>6</v>
      </c>
      <c r="F2029">
        <v>601</v>
      </c>
      <c r="G2029">
        <v>3</v>
      </c>
      <c r="H2029">
        <v>2</v>
      </c>
      <c r="I2029">
        <v>1963</v>
      </c>
      <c r="J2029">
        <v>1</v>
      </c>
      <c r="K2029">
        <v>1</v>
      </c>
      <c r="L2029">
        <v>0</v>
      </c>
      <c r="M2029">
        <v>14</v>
      </c>
      <c r="N2029" t="s">
        <v>37</v>
      </c>
      <c r="O2029" t="s">
        <v>27</v>
      </c>
      <c r="P2029">
        <v>9.9571281031052692</v>
      </c>
      <c r="Q2029">
        <v>2.02745978173798</v>
      </c>
      <c r="R2029">
        <v>9.2460243497421892</v>
      </c>
      <c r="S2029">
        <v>22</v>
      </c>
      <c r="T2029">
        <v>73</v>
      </c>
      <c r="U2029">
        <v>497.803115047039</v>
      </c>
      <c r="V2029">
        <v>2.3294509151414299E-2</v>
      </c>
      <c r="W2029">
        <v>563190.63873547397</v>
      </c>
      <c r="X2029" t="s">
        <v>28</v>
      </c>
      <c r="Y2029">
        <f>1-737-454-9889</f>
        <v>-11079</v>
      </c>
    </row>
    <row r="2030" spans="1:25" x14ac:dyDescent="0.35">
      <c r="A2030">
        <v>37.798469804515797</v>
      </c>
      <c r="B2030">
        <v>-118.682995795778</v>
      </c>
      <c r="C2030" t="s">
        <v>25</v>
      </c>
      <c r="D2030">
        <v>14.3749875978974</v>
      </c>
      <c r="E2030">
        <v>8</v>
      </c>
      <c r="F2030">
        <v>4709</v>
      </c>
      <c r="G2030">
        <v>3</v>
      </c>
      <c r="H2030">
        <v>1</v>
      </c>
      <c r="I2030">
        <v>1989</v>
      </c>
      <c r="J2030">
        <v>0</v>
      </c>
      <c r="K2030">
        <v>1</v>
      </c>
      <c r="L2030">
        <v>1</v>
      </c>
      <c r="M2030">
        <v>8</v>
      </c>
      <c r="N2030" t="s">
        <v>41</v>
      </c>
      <c r="O2030" t="s">
        <v>27</v>
      </c>
      <c r="P2030">
        <v>9.0404790066731806</v>
      </c>
      <c r="Q2030">
        <v>1.75696651143347</v>
      </c>
      <c r="R2030">
        <v>1.03397913858427</v>
      </c>
      <c r="S2030">
        <v>176</v>
      </c>
      <c r="T2030">
        <v>61</v>
      </c>
      <c r="U2030">
        <v>507.03036446881299</v>
      </c>
      <c r="V2030">
        <v>1.69887449564663E-3</v>
      </c>
      <c r="W2030">
        <v>2636092.9557526498</v>
      </c>
      <c r="X2030" t="s">
        <v>33</v>
      </c>
      <c r="Y2030">
        <f>1-502-300-5381</f>
        <v>-6182</v>
      </c>
    </row>
    <row r="2031" spans="1:25" x14ac:dyDescent="0.35">
      <c r="A2031">
        <v>39.003384813709602</v>
      </c>
      <c r="B2031">
        <v>-118.392134162887</v>
      </c>
      <c r="C2031" t="s">
        <v>34</v>
      </c>
      <c r="D2031">
        <v>46.4858816963904</v>
      </c>
      <c r="E2031">
        <v>9</v>
      </c>
      <c r="F2031">
        <v>2259</v>
      </c>
      <c r="G2031">
        <v>3</v>
      </c>
      <c r="H2031">
        <v>1</v>
      </c>
      <c r="I2031">
        <v>1992</v>
      </c>
      <c r="J2031">
        <v>1</v>
      </c>
      <c r="K2031">
        <v>0</v>
      </c>
      <c r="L2031">
        <v>1</v>
      </c>
      <c r="M2031">
        <v>8</v>
      </c>
      <c r="N2031" t="s">
        <v>37</v>
      </c>
      <c r="O2031" t="s">
        <v>30</v>
      </c>
      <c r="P2031">
        <v>3.0732572569791099</v>
      </c>
      <c r="Q2031">
        <v>1.0583171475578601</v>
      </c>
      <c r="R2031">
        <v>7.7797266666517304</v>
      </c>
      <c r="S2031">
        <v>194</v>
      </c>
      <c r="T2031">
        <v>53</v>
      </c>
      <c r="U2031">
        <v>965.483914975321</v>
      </c>
      <c r="V2031">
        <v>3.5413899955732599E-3</v>
      </c>
      <c r="W2031">
        <v>2319362.5296872798</v>
      </c>
      <c r="X2031" t="s">
        <v>39</v>
      </c>
      <c r="Y2031">
        <f>1-933-464-4317</f>
        <v>-5713</v>
      </c>
    </row>
    <row r="2032" spans="1:25" x14ac:dyDescent="0.35">
      <c r="A2032">
        <v>39.359060312553403</v>
      </c>
      <c r="B2032">
        <v>-123.288723670602</v>
      </c>
      <c r="C2032" t="s">
        <v>29</v>
      </c>
      <c r="D2032">
        <v>39.354691162514698</v>
      </c>
      <c r="E2032">
        <v>9</v>
      </c>
      <c r="F2032">
        <v>4375</v>
      </c>
      <c r="G2032">
        <v>5</v>
      </c>
      <c r="H2032">
        <v>2</v>
      </c>
      <c r="I2032">
        <v>1988</v>
      </c>
      <c r="J2032">
        <v>0</v>
      </c>
      <c r="K2032">
        <v>1</v>
      </c>
      <c r="L2032">
        <v>1</v>
      </c>
      <c r="M2032">
        <v>9</v>
      </c>
      <c r="N2032" t="s">
        <v>26</v>
      </c>
      <c r="O2032" t="s">
        <v>27</v>
      </c>
      <c r="P2032">
        <v>14.180086958292</v>
      </c>
      <c r="Q2032">
        <v>1.20163447379255</v>
      </c>
      <c r="R2032">
        <v>0.193100230064814</v>
      </c>
      <c r="S2032">
        <v>80</v>
      </c>
      <c r="T2032">
        <v>35</v>
      </c>
      <c r="U2032">
        <v>778.23598698989997</v>
      </c>
      <c r="V2032">
        <v>2.0571428571428498E-3</v>
      </c>
      <c r="W2032">
        <v>3987111.2241082801</v>
      </c>
      <c r="X2032" t="s">
        <v>28</v>
      </c>
      <c r="Y2032">
        <f>1-298-407-2133</f>
        <v>-2837</v>
      </c>
    </row>
    <row r="2033" spans="1:25" x14ac:dyDescent="0.35">
      <c r="A2033">
        <v>39.272421984299399</v>
      </c>
      <c r="B2033">
        <v>-123.913775650416</v>
      </c>
      <c r="C2033" t="s">
        <v>29</v>
      </c>
      <c r="D2033">
        <v>46.792774786917803</v>
      </c>
      <c r="E2033">
        <v>2</v>
      </c>
      <c r="F2033">
        <v>4162</v>
      </c>
      <c r="G2033">
        <v>3</v>
      </c>
      <c r="H2033">
        <v>2</v>
      </c>
      <c r="I2033">
        <v>1954</v>
      </c>
      <c r="J2033">
        <v>0</v>
      </c>
      <c r="K2033">
        <v>0</v>
      </c>
      <c r="L2033">
        <v>1</v>
      </c>
      <c r="M2033">
        <v>13</v>
      </c>
      <c r="N2033" t="s">
        <v>37</v>
      </c>
      <c r="O2033" t="s">
        <v>27</v>
      </c>
      <c r="P2033">
        <v>4.23605402390442</v>
      </c>
      <c r="Q2033">
        <v>1.0593752255737501</v>
      </c>
      <c r="R2033">
        <v>2.2610367658010802</v>
      </c>
      <c r="S2033">
        <v>58</v>
      </c>
      <c r="T2033">
        <v>61</v>
      </c>
      <c r="U2033">
        <v>941.23976787930303</v>
      </c>
      <c r="V2033">
        <v>3.12349831811629E-3</v>
      </c>
      <c r="W2033">
        <v>4052978.5905942898</v>
      </c>
      <c r="X2033" t="s">
        <v>28</v>
      </c>
      <c r="Y2033">
        <f>1-946-525-7721</f>
        <v>-9191</v>
      </c>
    </row>
    <row r="2034" spans="1:25" x14ac:dyDescent="0.35">
      <c r="A2034">
        <v>40.205472296135198</v>
      </c>
      <c r="B2034">
        <v>-115.412117869483</v>
      </c>
      <c r="C2034" t="s">
        <v>29</v>
      </c>
      <c r="D2034">
        <v>27.051194925536599</v>
      </c>
      <c r="E2034">
        <v>4</v>
      </c>
      <c r="F2034">
        <v>2289</v>
      </c>
      <c r="G2034">
        <v>5</v>
      </c>
      <c r="H2034">
        <v>3</v>
      </c>
      <c r="I2034">
        <v>2012</v>
      </c>
      <c r="J2034">
        <v>0</v>
      </c>
      <c r="K2034">
        <v>1</v>
      </c>
      <c r="L2034">
        <v>0</v>
      </c>
      <c r="M2034">
        <v>10</v>
      </c>
      <c r="N2034" t="s">
        <v>37</v>
      </c>
      <c r="O2034" t="s">
        <v>30</v>
      </c>
      <c r="P2034">
        <v>4.9865997588924396</v>
      </c>
      <c r="Q2034">
        <v>0.92156134455855498</v>
      </c>
      <c r="R2034">
        <v>6.4800664692316703</v>
      </c>
      <c r="S2034">
        <v>21</v>
      </c>
      <c r="T2034">
        <v>77</v>
      </c>
      <c r="U2034">
        <v>239.59197688717501</v>
      </c>
      <c r="V2034">
        <v>4.3687199650502403E-3</v>
      </c>
      <c r="W2034">
        <v>1042580.64315131</v>
      </c>
      <c r="X2034" t="s">
        <v>36</v>
      </c>
      <c r="Y2034">
        <f>1-527-346-4832</f>
        <v>-5704</v>
      </c>
    </row>
    <row r="2035" spans="1:25" x14ac:dyDescent="0.35">
      <c r="A2035">
        <v>33.605871883462399</v>
      </c>
      <c r="B2035">
        <v>-121.99421156469499</v>
      </c>
      <c r="C2035" t="s">
        <v>34</v>
      </c>
      <c r="D2035">
        <v>34.649317168332303</v>
      </c>
      <c r="E2035">
        <v>4</v>
      </c>
      <c r="F2035">
        <v>4396</v>
      </c>
      <c r="G2035">
        <v>1</v>
      </c>
      <c r="H2035">
        <v>2</v>
      </c>
      <c r="I2035">
        <v>1950</v>
      </c>
      <c r="J2035">
        <v>1</v>
      </c>
      <c r="K2035">
        <v>1</v>
      </c>
      <c r="L2035">
        <v>0</v>
      </c>
      <c r="M2035">
        <v>6</v>
      </c>
      <c r="N2035" t="s">
        <v>37</v>
      </c>
      <c r="O2035" t="s">
        <v>32</v>
      </c>
      <c r="P2035">
        <v>9.6376987942507508</v>
      </c>
      <c r="Q2035">
        <v>1.23903922053563</v>
      </c>
      <c r="R2035">
        <v>3.73789678076293</v>
      </c>
      <c r="S2035">
        <v>98</v>
      </c>
      <c r="T2035">
        <v>55</v>
      </c>
      <c r="U2035">
        <v>710.18534142195699</v>
      </c>
      <c r="V2035">
        <v>1.3648771610554999E-3</v>
      </c>
      <c r="W2035">
        <v>3227557.7624931498</v>
      </c>
      <c r="X2035" t="s">
        <v>44</v>
      </c>
      <c r="Y2035">
        <f>1-996-733-2810</f>
        <v>-4538</v>
      </c>
    </row>
    <row r="2036" spans="1:25" x14ac:dyDescent="0.35">
      <c r="A2036">
        <v>41.059429342752097</v>
      </c>
      <c r="B2036">
        <v>-122.902014787186</v>
      </c>
      <c r="C2036" t="s">
        <v>34</v>
      </c>
      <c r="D2036">
        <v>12.936180176189501</v>
      </c>
      <c r="E2036">
        <v>1</v>
      </c>
      <c r="F2036">
        <v>1322</v>
      </c>
      <c r="G2036">
        <v>5</v>
      </c>
      <c r="H2036">
        <v>2</v>
      </c>
      <c r="I2036">
        <v>2001</v>
      </c>
      <c r="J2036">
        <v>1</v>
      </c>
      <c r="K2036">
        <v>0</v>
      </c>
      <c r="L2036">
        <v>0</v>
      </c>
      <c r="M2036">
        <v>2</v>
      </c>
      <c r="N2036" t="s">
        <v>37</v>
      </c>
      <c r="O2036" t="s">
        <v>27</v>
      </c>
      <c r="P2036">
        <v>12.411502821048</v>
      </c>
      <c r="Q2036">
        <v>2.3605377558391001</v>
      </c>
      <c r="R2036">
        <v>9.8543709146983094</v>
      </c>
      <c r="S2036">
        <v>125</v>
      </c>
      <c r="T2036">
        <v>59</v>
      </c>
      <c r="U2036">
        <v>669.94037771617104</v>
      </c>
      <c r="V2036">
        <v>1.5128593040847199E-3</v>
      </c>
      <c r="W2036">
        <v>1320200.35279686</v>
      </c>
      <c r="X2036" t="s">
        <v>39</v>
      </c>
      <c r="Y2036">
        <f>1-571-481-9953</f>
        <v>-11004</v>
      </c>
    </row>
    <row r="2037" spans="1:25" x14ac:dyDescent="0.35">
      <c r="A2037">
        <v>33.159756245907701</v>
      </c>
      <c r="B2037">
        <v>-121.47852274163399</v>
      </c>
      <c r="C2037" t="s">
        <v>29</v>
      </c>
      <c r="D2037">
        <v>16.902766786121301</v>
      </c>
      <c r="E2037">
        <v>3</v>
      </c>
      <c r="F2037">
        <v>3064</v>
      </c>
      <c r="G2037">
        <v>3</v>
      </c>
      <c r="H2037">
        <v>1</v>
      </c>
      <c r="I2037">
        <v>2009</v>
      </c>
      <c r="J2037">
        <v>0</v>
      </c>
      <c r="K2037">
        <v>0</v>
      </c>
      <c r="L2037">
        <v>1</v>
      </c>
      <c r="M2037">
        <v>9</v>
      </c>
      <c r="N2037" t="s">
        <v>35</v>
      </c>
      <c r="O2037" t="s">
        <v>30</v>
      </c>
      <c r="P2037">
        <v>11.5075184774887</v>
      </c>
      <c r="Q2037">
        <v>0.56020594790829603</v>
      </c>
      <c r="R2037">
        <v>5.4588729562457301</v>
      </c>
      <c r="S2037">
        <v>43</v>
      </c>
      <c r="T2037">
        <v>38</v>
      </c>
      <c r="U2037">
        <v>486.02178854710797</v>
      </c>
      <c r="V2037">
        <v>2.9373368146214099E-3</v>
      </c>
      <c r="W2037">
        <v>1694032.6819021101</v>
      </c>
      <c r="X2037" t="s">
        <v>42</v>
      </c>
      <c r="Y2037">
        <f>1-387-303-9966</f>
        <v>-10655</v>
      </c>
    </row>
    <row r="2038" spans="1:25" x14ac:dyDescent="0.35">
      <c r="A2038">
        <v>35.323862728799803</v>
      </c>
      <c r="B2038">
        <v>-114.96769773696801</v>
      </c>
      <c r="C2038" t="s">
        <v>29</v>
      </c>
      <c r="D2038">
        <v>31.580305048122799</v>
      </c>
      <c r="E2038">
        <v>7</v>
      </c>
      <c r="F2038">
        <v>3071</v>
      </c>
      <c r="G2038">
        <v>4</v>
      </c>
      <c r="H2038">
        <v>1</v>
      </c>
      <c r="I2038">
        <v>1951</v>
      </c>
      <c r="J2038">
        <v>1</v>
      </c>
      <c r="K2038">
        <v>1</v>
      </c>
      <c r="L2038">
        <v>1</v>
      </c>
      <c r="M2038">
        <v>7</v>
      </c>
      <c r="N2038" t="s">
        <v>26</v>
      </c>
      <c r="O2038" t="s">
        <v>30</v>
      </c>
      <c r="P2038">
        <v>4.2305753915862896</v>
      </c>
      <c r="Q2038">
        <v>1.5920085057419999</v>
      </c>
      <c r="R2038">
        <v>7.6077892701704197</v>
      </c>
      <c r="S2038">
        <v>140</v>
      </c>
      <c r="T2038">
        <v>35</v>
      </c>
      <c r="U2038">
        <v>424.95266438865599</v>
      </c>
      <c r="V2038">
        <v>2.2793878215564898E-3</v>
      </c>
      <c r="W2038">
        <v>1638893.9664147999</v>
      </c>
      <c r="X2038" t="s">
        <v>40</v>
      </c>
      <c r="Y2038">
        <f>1-538-169-1775</f>
        <v>-2481</v>
      </c>
    </row>
    <row r="2039" spans="1:25" x14ac:dyDescent="0.35">
      <c r="A2039">
        <v>38.700005589510198</v>
      </c>
      <c r="B2039">
        <v>-114.10470491552999</v>
      </c>
      <c r="C2039" t="s">
        <v>29</v>
      </c>
      <c r="D2039">
        <v>9.2014980369370605</v>
      </c>
      <c r="E2039">
        <v>3</v>
      </c>
      <c r="F2039">
        <v>2434</v>
      </c>
      <c r="G2039">
        <v>2</v>
      </c>
      <c r="H2039">
        <v>1</v>
      </c>
      <c r="I2039">
        <v>1994</v>
      </c>
      <c r="J2039">
        <v>0</v>
      </c>
      <c r="K2039">
        <v>1</v>
      </c>
      <c r="L2039">
        <v>0</v>
      </c>
      <c r="M2039">
        <v>7</v>
      </c>
      <c r="N2039" t="s">
        <v>35</v>
      </c>
      <c r="O2039" t="s">
        <v>27</v>
      </c>
      <c r="P2039">
        <v>11.0481714578319</v>
      </c>
      <c r="Q2039">
        <v>0.69668810051418295</v>
      </c>
      <c r="R2039">
        <v>4.7460540242274298</v>
      </c>
      <c r="S2039">
        <v>75</v>
      </c>
      <c r="T2039">
        <v>48</v>
      </c>
      <c r="U2039">
        <v>653.329497907563</v>
      </c>
      <c r="V2039">
        <v>2.8759244042727999E-3</v>
      </c>
      <c r="W2039">
        <v>1945211.61545997</v>
      </c>
      <c r="X2039" t="s">
        <v>40</v>
      </c>
      <c r="Y2039">
        <f>1-811-721-9668</f>
        <v>-11199</v>
      </c>
    </row>
    <row r="2040" spans="1:25" x14ac:dyDescent="0.35">
      <c r="A2040">
        <v>36.111181129477799</v>
      </c>
      <c r="B2040">
        <v>-114.924839131246</v>
      </c>
      <c r="C2040" t="s">
        <v>34</v>
      </c>
      <c r="D2040">
        <v>29.716205884119301</v>
      </c>
      <c r="E2040">
        <v>7</v>
      </c>
      <c r="F2040">
        <v>2679</v>
      </c>
      <c r="G2040">
        <v>4</v>
      </c>
      <c r="H2040">
        <v>1</v>
      </c>
      <c r="I2040">
        <v>1976</v>
      </c>
      <c r="J2040">
        <v>0</v>
      </c>
      <c r="K2040">
        <v>1</v>
      </c>
      <c r="L2040">
        <v>0</v>
      </c>
      <c r="M2040">
        <v>7</v>
      </c>
      <c r="N2040" t="s">
        <v>41</v>
      </c>
      <c r="O2040" t="s">
        <v>27</v>
      </c>
      <c r="P2040">
        <v>4.8812000300289196</v>
      </c>
      <c r="Q2040">
        <v>0.810143487052425</v>
      </c>
      <c r="R2040">
        <v>3.8083710755573099</v>
      </c>
      <c r="S2040">
        <v>11</v>
      </c>
      <c r="T2040">
        <v>65</v>
      </c>
      <c r="U2040">
        <v>754.87976214110995</v>
      </c>
      <c r="V2040">
        <v>2.6129152668906302E-3</v>
      </c>
      <c r="W2040">
        <v>2276964.0476466101</v>
      </c>
      <c r="X2040" t="s">
        <v>28</v>
      </c>
      <c r="Y2040">
        <f>1-602-405-8265</f>
        <v>-9271</v>
      </c>
    </row>
    <row r="2041" spans="1:25" x14ac:dyDescent="0.35">
      <c r="A2041">
        <v>33.671462852599603</v>
      </c>
      <c r="B2041">
        <v>-124.022033878603</v>
      </c>
      <c r="C2041" t="s">
        <v>34</v>
      </c>
      <c r="D2041">
        <v>7.5178552526049298</v>
      </c>
      <c r="E2041">
        <v>2</v>
      </c>
      <c r="F2041">
        <v>1097</v>
      </c>
      <c r="G2041">
        <v>1</v>
      </c>
      <c r="H2041">
        <v>3</v>
      </c>
      <c r="I2041">
        <v>1955</v>
      </c>
      <c r="J2041">
        <v>1</v>
      </c>
      <c r="K2041">
        <v>0</v>
      </c>
      <c r="L2041">
        <v>1</v>
      </c>
      <c r="M2041">
        <v>6</v>
      </c>
      <c r="N2041" t="s">
        <v>41</v>
      </c>
      <c r="O2041" t="s">
        <v>27</v>
      </c>
      <c r="P2041">
        <v>13.5647138056191</v>
      </c>
      <c r="Q2041">
        <v>0.53416914187377995</v>
      </c>
      <c r="R2041">
        <v>1.7832854845294901</v>
      </c>
      <c r="S2041">
        <v>193</v>
      </c>
      <c r="T2041">
        <v>58</v>
      </c>
      <c r="U2041">
        <v>543.92872941420796</v>
      </c>
      <c r="V2041">
        <v>5.4694621695533198E-3</v>
      </c>
      <c r="W2041">
        <v>766689.02703861299</v>
      </c>
      <c r="X2041" t="s">
        <v>33</v>
      </c>
      <c r="Y2041">
        <f>1-617-329-8374</f>
        <v>-9319</v>
      </c>
    </row>
    <row r="2042" spans="1:25" x14ac:dyDescent="0.35">
      <c r="A2042">
        <v>37.9858746618062</v>
      </c>
      <c r="B2042">
        <v>-120.118962501585</v>
      </c>
      <c r="C2042" t="s">
        <v>29</v>
      </c>
      <c r="D2042">
        <v>45.782050914249197</v>
      </c>
      <c r="E2042">
        <v>9</v>
      </c>
      <c r="F2042">
        <v>1755</v>
      </c>
      <c r="G2042">
        <v>2</v>
      </c>
      <c r="H2042">
        <v>2</v>
      </c>
      <c r="I2042">
        <v>2022</v>
      </c>
      <c r="J2042">
        <v>1</v>
      </c>
      <c r="K2042">
        <v>1</v>
      </c>
      <c r="L2042">
        <v>1</v>
      </c>
      <c r="M2042">
        <v>14</v>
      </c>
      <c r="N2042" t="s">
        <v>35</v>
      </c>
      <c r="O2042" t="s">
        <v>32</v>
      </c>
      <c r="P2042">
        <v>5.2199104046566598</v>
      </c>
      <c r="Q2042">
        <v>2.1904106326968602</v>
      </c>
      <c r="R2042">
        <v>0.656761905931176</v>
      </c>
      <c r="S2042">
        <v>91</v>
      </c>
      <c r="T2042">
        <v>57</v>
      </c>
      <c r="U2042">
        <v>438.68977755904098</v>
      </c>
      <c r="V2042">
        <v>7.9772079772079708E-3</v>
      </c>
      <c r="W2042">
        <v>1106200.84658108</v>
      </c>
      <c r="X2042" t="s">
        <v>36</v>
      </c>
      <c r="Y2042">
        <f>1-796-331-7344</f>
        <v>-8470</v>
      </c>
    </row>
    <row r="2043" spans="1:25" x14ac:dyDescent="0.35">
      <c r="A2043">
        <v>35.607069856573403</v>
      </c>
      <c r="B2043">
        <v>-116.58018967764001</v>
      </c>
      <c r="C2043" t="s">
        <v>29</v>
      </c>
      <c r="D2043">
        <v>2.14067440536305</v>
      </c>
      <c r="E2043">
        <v>0</v>
      </c>
      <c r="F2043">
        <v>4318</v>
      </c>
      <c r="G2043">
        <v>1</v>
      </c>
      <c r="H2043">
        <v>3</v>
      </c>
      <c r="I2043">
        <v>1988</v>
      </c>
      <c r="J2043">
        <v>0</v>
      </c>
      <c r="K2043">
        <v>1</v>
      </c>
      <c r="L2043">
        <v>1</v>
      </c>
      <c r="M2043">
        <v>12</v>
      </c>
      <c r="N2043" t="s">
        <v>35</v>
      </c>
      <c r="O2043" t="s">
        <v>27</v>
      </c>
      <c r="P2043">
        <v>14.5728807254253</v>
      </c>
      <c r="Q2043">
        <v>0.78912524209157597</v>
      </c>
      <c r="R2043">
        <v>0.59723435161187199</v>
      </c>
      <c r="S2043">
        <v>72</v>
      </c>
      <c r="T2043">
        <v>46</v>
      </c>
      <c r="U2043">
        <v>559.25887025540897</v>
      </c>
      <c r="V2043">
        <v>2.7790643816581698E-3</v>
      </c>
      <c r="W2043">
        <v>2830736.8317124001</v>
      </c>
      <c r="X2043" t="s">
        <v>38</v>
      </c>
      <c r="Y2043">
        <f>1-408-482-7702</f>
        <v>-8591</v>
      </c>
    </row>
    <row r="2044" spans="1:25" x14ac:dyDescent="0.35">
      <c r="A2044">
        <v>37.207139842977099</v>
      </c>
      <c r="B2044">
        <v>-123.54404939421801</v>
      </c>
      <c r="C2044" t="s">
        <v>25</v>
      </c>
      <c r="D2044">
        <v>2.4352467615550899</v>
      </c>
      <c r="E2044">
        <v>5</v>
      </c>
      <c r="F2044">
        <v>2593</v>
      </c>
      <c r="G2044">
        <v>1</v>
      </c>
      <c r="H2044">
        <v>1</v>
      </c>
      <c r="I2044">
        <v>1952</v>
      </c>
      <c r="J2044">
        <v>1</v>
      </c>
      <c r="K2044">
        <v>0</v>
      </c>
      <c r="L2044">
        <v>1</v>
      </c>
      <c r="M2044">
        <v>10</v>
      </c>
      <c r="N2044" t="s">
        <v>37</v>
      </c>
      <c r="O2044" t="s">
        <v>32</v>
      </c>
      <c r="P2044">
        <v>5.8686909231701003</v>
      </c>
      <c r="Q2044">
        <v>1.38484107251695</v>
      </c>
      <c r="R2044">
        <v>2.0094059106002602</v>
      </c>
      <c r="S2044">
        <v>9</v>
      </c>
      <c r="T2044">
        <v>48</v>
      </c>
      <c r="U2044">
        <v>468.39243251427803</v>
      </c>
      <c r="V2044">
        <v>3.85653682992672E-3</v>
      </c>
      <c r="W2044">
        <v>1311042.7534314999</v>
      </c>
      <c r="X2044" t="s">
        <v>39</v>
      </c>
      <c r="Y2044">
        <f>1-230-671-6198</f>
        <v>-7098</v>
      </c>
    </row>
    <row r="2045" spans="1:25" x14ac:dyDescent="0.35">
      <c r="A2045">
        <v>37.825526833844997</v>
      </c>
      <c r="B2045">
        <v>-115.998987016735</v>
      </c>
      <c r="C2045" t="s">
        <v>34</v>
      </c>
      <c r="D2045">
        <v>30.865462258372201</v>
      </c>
      <c r="E2045">
        <v>5</v>
      </c>
      <c r="F2045">
        <v>3747</v>
      </c>
      <c r="G2045">
        <v>3</v>
      </c>
      <c r="H2045">
        <v>2</v>
      </c>
      <c r="I2045">
        <v>1996</v>
      </c>
      <c r="J2045">
        <v>0</v>
      </c>
      <c r="K2045">
        <v>0</v>
      </c>
      <c r="L2045">
        <v>0</v>
      </c>
      <c r="M2045">
        <v>4</v>
      </c>
      <c r="N2045" t="s">
        <v>26</v>
      </c>
      <c r="O2045" t="s">
        <v>27</v>
      </c>
      <c r="P2045">
        <v>3.3612147302790598</v>
      </c>
      <c r="Q2045">
        <v>1.3186090989877399</v>
      </c>
      <c r="R2045">
        <v>9.7936008040243596</v>
      </c>
      <c r="S2045">
        <v>135</v>
      </c>
      <c r="T2045">
        <v>71</v>
      </c>
      <c r="U2045">
        <v>201.59889326923101</v>
      </c>
      <c r="V2045">
        <v>1.0675206832132301E-3</v>
      </c>
      <c r="W2045">
        <v>817639.75852929102</v>
      </c>
      <c r="X2045" t="s">
        <v>38</v>
      </c>
      <c r="Y2045">
        <f>1-367-312-9825</f>
        <v>-10503</v>
      </c>
    </row>
    <row r="2046" spans="1:25" x14ac:dyDescent="0.35">
      <c r="A2046">
        <v>39.222462204501603</v>
      </c>
      <c r="B2046">
        <v>-120.595084939743</v>
      </c>
      <c r="C2046" t="s">
        <v>34</v>
      </c>
      <c r="D2046">
        <v>24.205276188609599</v>
      </c>
      <c r="E2046">
        <v>5</v>
      </c>
      <c r="F2046">
        <v>4471</v>
      </c>
      <c r="G2046">
        <v>4</v>
      </c>
      <c r="H2046">
        <v>3</v>
      </c>
      <c r="I2046">
        <v>2008</v>
      </c>
      <c r="J2046">
        <v>1</v>
      </c>
      <c r="K2046">
        <v>0</v>
      </c>
      <c r="L2046">
        <v>1</v>
      </c>
      <c r="M2046">
        <v>14</v>
      </c>
      <c r="N2046" t="s">
        <v>41</v>
      </c>
      <c r="O2046" t="s">
        <v>30</v>
      </c>
      <c r="P2046">
        <v>3.3157422532496099</v>
      </c>
      <c r="Q2046">
        <v>0.61458278666752597</v>
      </c>
      <c r="R2046">
        <v>7.7518140842479202</v>
      </c>
      <c r="S2046">
        <v>150</v>
      </c>
      <c r="T2046">
        <v>76</v>
      </c>
      <c r="U2046">
        <v>244.18664782546799</v>
      </c>
      <c r="V2046">
        <v>3.1312905390293E-3</v>
      </c>
      <c r="W2046">
        <v>1331634.2883701699</v>
      </c>
      <c r="X2046" t="s">
        <v>31</v>
      </c>
      <c r="Y2046">
        <f>1-975-497-6998</f>
        <v>-8469</v>
      </c>
    </row>
    <row r="2047" spans="1:25" x14ac:dyDescent="0.35">
      <c r="A2047">
        <v>39.130956562745098</v>
      </c>
      <c r="B2047">
        <v>-117.183799184847</v>
      </c>
      <c r="C2047" t="s">
        <v>25</v>
      </c>
      <c r="D2047">
        <v>11.223722083415399</v>
      </c>
      <c r="E2047">
        <v>7</v>
      </c>
      <c r="F2047">
        <v>2421</v>
      </c>
      <c r="G2047">
        <v>3</v>
      </c>
      <c r="H2047">
        <v>3</v>
      </c>
      <c r="I2047">
        <v>1991</v>
      </c>
      <c r="J2047">
        <v>0</v>
      </c>
      <c r="K2047">
        <v>1</v>
      </c>
      <c r="L2047">
        <v>1</v>
      </c>
      <c r="M2047">
        <v>9</v>
      </c>
      <c r="N2047" t="s">
        <v>26</v>
      </c>
      <c r="O2047" t="s">
        <v>32</v>
      </c>
      <c r="P2047">
        <v>8.9883009188753693</v>
      </c>
      <c r="Q2047">
        <v>1.6065406907872899</v>
      </c>
      <c r="R2047">
        <v>6.3638142596045997</v>
      </c>
      <c r="S2047">
        <v>176</v>
      </c>
      <c r="T2047">
        <v>47</v>
      </c>
      <c r="U2047">
        <v>439.96882355622898</v>
      </c>
      <c r="V2047">
        <v>3.7174721189590998E-3</v>
      </c>
      <c r="W2047">
        <v>1472869.2133130301</v>
      </c>
      <c r="X2047" t="s">
        <v>44</v>
      </c>
      <c r="Y2047">
        <f>1-624-207-9696</f>
        <v>-10526</v>
      </c>
    </row>
    <row r="2048" spans="1:25" x14ac:dyDescent="0.35">
      <c r="A2048">
        <v>38.389307002620598</v>
      </c>
      <c r="B2048">
        <v>-120.396308777038</v>
      </c>
      <c r="C2048" t="s">
        <v>25</v>
      </c>
      <c r="D2048">
        <v>31.002146684059799</v>
      </c>
      <c r="E2048">
        <v>4</v>
      </c>
      <c r="F2048">
        <v>1637</v>
      </c>
      <c r="G2048">
        <v>4</v>
      </c>
      <c r="H2048">
        <v>1</v>
      </c>
      <c r="I2048">
        <v>1974</v>
      </c>
      <c r="J2048">
        <v>1</v>
      </c>
      <c r="K2048">
        <v>0</v>
      </c>
      <c r="L2048">
        <v>1</v>
      </c>
      <c r="M2048">
        <v>10</v>
      </c>
      <c r="N2048" t="s">
        <v>35</v>
      </c>
      <c r="O2048" t="s">
        <v>30</v>
      </c>
      <c r="P2048">
        <v>6.9100739034263201</v>
      </c>
      <c r="Q2048">
        <v>1.8941688287101801</v>
      </c>
      <c r="R2048">
        <v>5.7757698089353902</v>
      </c>
      <c r="S2048">
        <v>156</v>
      </c>
      <c r="T2048">
        <v>33</v>
      </c>
      <c r="U2048">
        <v>720.02542060858002</v>
      </c>
      <c r="V2048">
        <v>6.1087354917532003E-3</v>
      </c>
      <c r="W2048">
        <v>1480249.4816724299</v>
      </c>
      <c r="X2048" t="s">
        <v>36</v>
      </c>
      <c r="Y2048">
        <f>1-656-477-5423</f>
        <v>-6555</v>
      </c>
    </row>
    <row r="2049" spans="1:25" x14ac:dyDescent="0.35">
      <c r="A2049">
        <v>39.636462247484097</v>
      </c>
      <c r="B2049">
        <v>-114.77516136317099</v>
      </c>
      <c r="C2049" t="s">
        <v>25</v>
      </c>
      <c r="D2049">
        <v>35.665776951706697</v>
      </c>
      <c r="E2049">
        <v>1</v>
      </c>
      <c r="F2049">
        <v>656</v>
      </c>
      <c r="G2049">
        <v>5</v>
      </c>
      <c r="H2049">
        <v>2</v>
      </c>
      <c r="I2049">
        <v>1969</v>
      </c>
      <c r="J2049">
        <v>1</v>
      </c>
      <c r="K2049">
        <v>1</v>
      </c>
      <c r="L2049">
        <v>1</v>
      </c>
      <c r="M2049">
        <v>8</v>
      </c>
      <c r="N2049" t="s">
        <v>35</v>
      </c>
      <c r="O2049" t="s">
        <v>27</v>
      </c>
      <c r="P2049">
        <v>11.3727314457613</v>
      </c>
      <c r="Q2049">
        <v>0.78401227315553701</v>
      </c>
      <c r="R2049">
        <v>1.2873287296939899</v>
      </c>
      <c r="S2049">
        <v>181</v>
      </c>
      <c r="T2049">
        <v>72</v>
      </c>
      <c r="U2049">
        <v>832.57653933080201</v>
      </c>
      <c r="V2049">
        <v>1.21951219512195E-2</v>
      </c>
      <c r="W2049">
        <v>969367.85495962505</v>
      </c>
      <c r="X2049" t="s">
        <v>43</v>
      </c>
      <c r="Y2049">
        <f>1-243-253-6120</f>
        <v>-6615</v>
      </c>
    </row>
    <row r="2050" spans="1:25" x14ac:dyDescent="0.35">
      <c r="A2050">
        <v>40.034894127023797</v>
      </c>
      <c r="B2050">
        <v>-114.209113474787</v>
      </c>
      <c r="C2050" t="s">
        <v>34</v>
      </c>
      <c r="D2050">
        <v>26.2619832038325</v>
      </c>
      <c r="E2050">
        <v>2</v>
      </c>
      <c r="F2050">
        <v>2825</v>
      </c>
      <c r="G2050">
        <v>3</v>
      </c>
      <c r="H2050">
        <v>2</v>
      </c>
      <c r="I2050">
        <v>1981</v>
      </c>
      <c r="J2050">
        <v>0</v>
      </c>
      <c r="K2050">
        <v>1</v>
      </c>
      <c r="L2050">
        <v>0</v>
      </c>
      <c r="M2050">
        <v>4</v>
      </c>
      <c r="N2050" t="s">
        <v>41</v>
      </c>
      <c r="O2050" t="s">
        <v>32</v>
      </c>
      <c r="P2050">
        <v>12.0513731091488</v>
      </c>
      <c r="Q2050">
        <v>1.7626997681450201</v>
      </c>
      <c r="R2050">
        <v>2.48541616416483</v>
      </c>
      <c r="S2050">
        <v>108</v>
      </c>
      <c r="T2050">
        <v>74</v>
      </c>
      <c r="U2050">
        <v>317.33298446768299</v>
      </c>
      <c r="V2050">
        <v>1.41592920353982E-3</v>
      </c>
      <c r="W2050">
        <v>1270522.9701304999</v>
      </c>
      <c r="X2050" t="s">
        <v>38</v>
      </c>
      <c r="Y2050">
        <f>1-964-800-2369</f>
        <v>-4132</v>
      </c>
    </row>
    <row r="2051" spans="1:25" x14ac:dyDescent="0.35">
      <c r="A2051">
        <v>38.739997154163099</v>
      </c>
      <c r="B2051">
        <v>-120.858245649911</v>
      </c>
      <c r="C2051" t="s">
        <v>34</v>
      </c>
      <c r="D2051">
        <v>40.233835234043802</v>
      </c>
      <c r="E2051">
        <v>8</v>
      </c>
      <c r="F2051">
        <v>3138</v>
      </c>
      <c r="G2051">
        <v>3</v>
      </c>
      <c r="H2051">
        <v>1</v>
      </c>
      <c r="I2051">
        <v>1996</v>
      </c>
      <c r="J2051">
        <v>1</v>
      </c>
      <c r="K2051">
        <v>0</v>
      </c>
      <c r="L2051">
        <v>0</v>
      </c>
      <c r="M2051">
        <v>11</v>
      </c>
      <c r="N2051" t="s">
        <v>41</v>
      </c>
      <c r="O2051" t="s">
        <v>27</v>
      </c>
      <c r="P2051">
        <v>3.0615206818369201</v>
      </c>
      <c r="Q2051">
        <v>1.0457180080148001</v>
      </c>
      <c r="R2051">
        <v>7.9120643913188102</v>
      </c>
      <c r="S2051">
        <v>51</v>
      </c>
      <c r="T2051">
        <v>49</v>
      </c>
      <c r="U2051">
        <v>251.530976883367</v>
      </c>
      <c r="V2051">
        <v>3.50541746335245E-3</v>
      </c>
      <c r="W2051">
        <v>1023870.25713398</v>
      </c>
      <c r="X2051" t="s">
        <v>42</v>
      </c>
      <c r="Y2051">
        <f>1-909-472-5147</f>
        <v>-6527</v>
      </c>
    </row>
    <row r="2052" spans="1:25" x14ac:dyDescent="0.35">
      <c r="A2052">
        <v>38.4010637876152</v>
      </c>
      <c r="B2052">
        <v>-116.85160227135199</v>
      </c>
      <c r="C2052" t="s">
        <v>29</v>
      </c>
      <c r="D2052">
        <v>10.819416325579599</v>
      </c>
      <c r="E2052">
        <v>8</v>
      </c>
      <c r="F2052">
        <v>2093</v>
      </c>
      <c r="G2052">
        <v>2</v>
      </c>
      <c r="H2052">
        <v>2</v>
      </c>
      <c r="I2052">
        <v>1995</v>
      </c>
      <c r="J2052">
        <v>0</v>
      </c>
      <c r="K2052">
        <v>1</v>
      </c>
      <c r="L2052">
        <v>0</v>
      </c>
      <c r="M2052">
        <v>7</v>
      </c>
      <c r="N2052" t="s">
        <v>26</v>
      </c>
      <c r="O2052" t="s">
        <v>32</v>
      </c>
      <c r="P2052">
        <v>9.2299676333609408</v>
      </c>
      <c r="Q2052">
        <v>1.98557327768293</v>
      </c>
      <c r="R2052">
        <v>4.0158502931201001</v>
      </c>
      <c r="S2052">
        <v>124</v>
      </c>
      <c r="T2052">
        <v>52</v>
      </c>
      <c r="U2052">
        <v>629.027030903374</v>
      </c>
      <c r="V2052">
        <v>3.3444816053511701E-3</v>
      </c>
      <c r="W2052">
        <v>1594060.93557575</v>
      </c>
      <c r="X2052" t="s">
        <v>38</v>
      </c>
      <c r="Y2052">
        <f>1-787-242-5139</f>
        <v>-6167</v>
      </c>
    </row>
    <row r="2053" spans="1:25" x14ac:dyDescent="0.35">
      <c r="A2053">
        <v>37.856999180999203</v>
      </c>
      <c r="B2053">
        <v>-123.27871851473</v>
      </c>
      <c r="C2053" t="s">
        <v>25</v>
      </c>
      <c r="D2053">
        <v>28.4145166268164</v>
      </c>
      <c r="E2053">
        <v>1</v>
      </c>
      <c r="F2053">
        <v>4364</v>
      </c>
      <c r="G2053">
        <v>4</v>
      </c>
      <c r="H2053">
        <v>1</v>
      </c>
      <c r="I2053">
        <v>1976</v>
      </c>
      <c r="J2053">
        <v>0</v>
      </c>
      <c r="K2053">
        <v>1</v>
      </c>
      <c r="L2053">
        <v>1</v>
      </c>
      <c r="M2053">
        <v>13</v>
      </c>
      <c r="N2053" t="s">
        <v>35</v>
      </c>
      <c r="O2053" t="s">
        <v>30</v>
      </c>
      <c r="P2053">
        <v>7.5245379068592504</v>
      </c>
      <c r="Q2053">
        <v>0.649210645619267</v>
      </c>
      <c r="R2053">
        <v>0.88186204330345996</v>
      </c>
      <c r="S2053">
        <v>165</v>
      </c>
      <c r="T2053">
        <v>38</v>
      </c>
      <c r="U2053">
        <v>341.38699787367199</v>
      </c>
      <c r="V2053">
        <v>2.97891842346471E-3</v>
      </c>
      <c r="W2053">
        <v>1746446.0561867401</v>
      </c>
      <c r="X2053" t="s">
        <v>39</v>
      </c>
      <c r="Y2053">
        <f>1-963-390-3751</f>
        <v>-5103</v>
      </c>
    </row>
    <row r="2054" spans="1:25" x14ac:dyDescent="0.35">
      <c r="A2054">
        <v>38.503260634589701</v>
      </c>
      <c r="B2054">
        <v>-123.022453832034</v>
      </c>
      <c r="C2054" t="s">
        <v>29</v>
      </c>
      <c r="D2054">
        <v>32.8638505314063</v>
      </c>
      <c r="E2054">
        <v>6</v>
      </c>
      <c r="F2054">
        <v>1489</v>
      </c>
      <c r="G2054">
        <v>3</v>
      </c>
      <c r="H2054">
        <v>3</v>
      </c>
      <c r="I2054">
        <v>1991</v>
      </c>
      <c r="J2054">
        <v>1</v>
      </c>
      <c r="K2054">
        <v>0</v>
      </c>
      <c r="L2054">
        <v>0</v>
      </c>
      <c r="M2054">
        <v>12</v>
      </c>
      <c r="N2054" t="s">
        <v>41</v>
      </c>
      <c r="O2054" t="s">
        <v>30</v>
      </c>
      <c r="P2054">
        <v>3.5862183788419002</v>
      </c>
      <c r="Q2054">
        <v>1.48045663996901</v>
      </c>
      <c r="R2054">
        <v>9.0665199612980292</v>
      </c>
      <c r="S2054">
        <v>74</v>
      </c>
      <c r="T2054">
        <v>57</v>
      </c>
      <c r="U2054">
        <v>352.21495205778098</v>
      </c>
      <c r="V2054">
        <v>8.0591000671591598E-3</v>
      </c>
      <c r="W2054">
        <v>758477.18997690897</v>
      </c>
      <c r="X2054" t="s">
        <v>38</v>
      </c>
      <c r="Y2054">
        <f>1-448-523-4976</f>
        <v>-5946</v>
      </c>
    </row>
    <row r="2055" spans="1:25" x14ac:dyDescent="0.35">
      <c r="A2055">
        <v>40.966056596490198</v>
      </c>
      <c r="B2055">
        <v>-116.339328094851</v>
      </c>
      <c r="C2055" t="s">
        <v>34</v>
      </c>
      <c r="D2055">
        <v>45.268528329240397</v>
      </c>
      <c r="E2055">
        <v>9</v>
      </c>
      <c r="F2055">
        <v>4097</v>
      </c>
      <c r="G2055">
        <v>4</v>
      </c>
      <c r="H2055">
        <v>2</v>
      </c>
      <c r="I2055">
        <v>1981</v>
      </c>
      <c r="J2055">
        <v>0</v>
      </c>
      <c r="K2055">
        <v>1</v>
      </c>
      <c r="L2055">
        <v>0</v>
      </c>
      <c r="M2055">
        <v>13</v>
      </c>
      <c r="N2055" t="s">
        <v>37</v>
      </c>
      <c r="O2055" t="s">
        <v>30</v>
      </c>
      <c r="P2055">
        <v>5.9940906200197901</v>
      </c>
      <c r="Q2055">
        <v>0.900997783410727</v>
      </c>
      <c r="R2055">
        <v>1.5694377485395301</v>
      </c>
      <c r="S2055">
        <v>81</v>
      </c>
      <c r="T2055">
        <v>40</v>
      </c>
      <c r="U2055">
        <v>810.91305680803805</v>
      </c>
      <c r="V2055">
        <v>3.17305345374664E-3</v>
      </c>
      <c r="W2055">
        <v>3597125.99031096</v>
      </c>
      <c r="X2055" t="s">
        <v>44</v>
      </c>
      <c r="Y2055">
        <f>1-424-328-8545</f>
        <v>-9296</v>
      </c>
    </row>
    <row r="2056" spans="1:25" x14ac:dyDescent="0.35">
      <c r="A2056">
        <v>33.041537159563298</v>
      </c>
      <c r="B2056">
        <v>-115.545268772352</v>
      </c>
      <c r="C2056" t="s">
        <v>34</v>
      </c>
      <c r="D2056">
        <v>28.2511965310646</v>
      </c>
      <c r="E2056">
        <v>6</v>
      </c>
      <c r="F2056">
        <v>2134</v>
      </c>
      <c r="G2056">
        <v>5</v>
      </c>
      <c r="H2056">
        <v>3</v>
      </c>
      <c r="I2056">
        <v>1983</v>
      </c>
      <c r="J2056">
        <v>1</v>
      </c>
      <c r="K2056">
        <v>0</v>
      </c>
      <c r="L2056">
        <v>1</v>
      </c>
      <c r="M2056">
        <v>9</v>
      </c>
      <c r="N2056" t="s">
        <v>26</v>
      </c>
      <c r="O2056" t="s">
        <v>30</v>
      </c>
      <c r="P2056">
        <v>13.1340824303168</v>
      </c>
      <c r="Q2056">
        <v>0.723986678876121</v>
      </c>
      <c r="R2056">
        <v>6.2184913052744202</v>
      </c>
      <c r="S2056">
        <v>92</v>
      </c>
      <c r="T2056">
        <v>64</v>
      </c>
      <c r="U2056">
        <v>600.20131589350206</v>
      </c>
      <c r="V2056">
        <v>4.2174320524835896E-3</v>
      </c>
      <c r="W2056">
        <v>1732902.4806280599</v>
      </c>
      <c r="X2056" t="s">
        <v>44</v>
      </c>
      <c r="Y2056">
        <f>1-472-644-6897</f>
        <v>-8012</v>
      </c>
    </row>
    <row r="2057" spans="1:25" x14ac:dyDescent="0.35">
      <c r="A2057">
        <v>33.1906684599697</v>
      </c>
      <c r="B2057">
        <v>-115.284343990919</v>
      </c>
      <c r="C2057" t="s">
        <v>29</v>
      </c>
      <c r="D2057">
        <v>18.955536673437098</v>
      </c>
      <c r="E2057">
        <v>1</v>
      </c>
      <c r="F2057">
        <v>3604</v>
      </c>
      <c r="G2057">
        <v>4</v>
      </c>
      <c r="H2057">
        <v>1</v>
      </c>
      <c r="I2057">
        <v>1993</v>
      </c>
      <c r="J2057">
        <v>1</v>
      </c>
      <c r="K2057">
        <v>0</v>
      </c>
      <c r="L2057">
        <v>0</v>
      </c>
      <c r="M2057">
        <v>11</v>
      </c>
      <c r="N2057" t="s">
        <v>41</v>
      </c>
      <c r="O2057" t="s">
        <v>32</v>
      </c>
      <c r="P2057">
        <v>11.458710957382999</v>
      </c>
      <c r="Q2057">
        <v>0.653995775045357</v>
      </c>
      <c r="R2057">
        <v>6.9799805720971202</v>
      </c>
      <c r="S2057">
        <v>112</v>
      </c>
      <c r="T2057">
        <v>77</v>
      </c>
      <c r="U2057">
        <v>771.28199277930401</v>
      </c>
      <c r="V2057">
        <v>3.0521642619311799E-3</v>
      </c>
      <c r="W2057">
        <v>3050511.0720925</v>
      </c>
      <c r="X2057" t="s">
        <v>33</v>
      </c>
      <c r="Y2057">
        <f>1-545-182-6256</f>
        <v>-6982</v>
      </c>
    </row>
    <row r="2058" spans="1:25" x14ac:dyDescent="0.35">
      <c r="A2058">
        <v>32.746299676185899</v>
      </c>
      <c r="B2058">
        <v>-122.429063454309</v>
      </c>
      <c r="C2058" t="s">
        <v>29</v>
      </c>
      <c r="D2058">
        <v>15.945273815473699</v>
      </c>
      <c r="E2058">
        <v>6</v>
      </c>
      <c r="F2058">
        <v>2134</v>
      </c>
      <c r="G2058">
        <v>2</v>
      </c>
      <c r="H2058">
        <v>1</v>
      </c>
      <c r="I2058">
        <v>2006</v>
      </c>
      <c r="J2058">
        <v>1</v>
      </c>
      <c r="K2058">
        <v>1</v>
      </c>
      <c r="L2058">
        <v>1</v>
      </c>
      <c r="M2058">
        <v>11</v>
      </c>
      <c r="N2058" t="s">
        <v>37</v>
      </c>
      <c r="O2058" t="s">
        <v>32</v>
      </c>
      <c r="P2058">
        <v>7.2006201069432301</v>
      </c>
      <c r="Q2058">
        <v>0.77978751472209196</v>
      </c>
      <c r="R2058">
        <v>6.4285391713267801</v>
      </c>
      <c r="S2058">
        <v>161</v>
      </c>
      <c r="T2058">
        <v>24</v>
      </c>
      <c r="U2058">
        <v>332.811749186123</v>
      </c>
      <c r="V2058">
        <v>5.1546391752577301E-3</v>
      </c>
      <c r="W2058">
        <v>1059215.4984562299</v>
      </c>
      <c r="X2058" t="s">
        <v>43</v>
      </c>
      <c r="Y2058">
        <f>1-881-638-1286</f>
        <v>-2804</v>
      </c>
    </row>
    <row r="2059" spans="1:25" x14ac:dyDescent="0.35">
      <c r="A2059">
        <v>40.597920807376099</v>
      </c>
      <c r="B2059">
        <v>-124.009440900328</v>
      </c>
      <c r="C2059" t="s">
        <v>25</v>
      </c>
      <c r="D2059">
        <v>34.337653896454597</v>
      </c>
      <c r="E2059">
        <v>1</v>
      </c>
      <c r="F2059">
        <v>3559</v>
      </c>
      <c r="G2059">
        <v>1</v>
      </c>
      <c r="H2059">
        <v>2</v>
      </c>
      <c r="I2059">
        <v>2019</v>
      </c>
      <c r="J2059">
        <v>1</v>
      </c>
      <c r="K2059">
        <v>1</v>
      </c>
      <c r="L2059">
        <v>1</v>
      </c>
      <c r="M2059">
        <v>9</v>
      </c>
      <c r="N2059" t="s">
        <v>41</v>
      </c>
      <c r="O2059" t="s">
        <v>32</v>
      </c>
      <c r="P2059">
        <v>6.3431208076876802</v>
      </c>
      <c r="Q2059">
        <v>0.50701327955814102</v>
      </c>
      <c r="R2059">
        <v>5.70932965469318</v>
      </c>
      <c r="S2059">
        <v>114</v>
      </c>
      <c r="T2059">
        <v>61</v>
      </c>
      <c r="U2059">
        <v>263.80412551335598</v>
      </c>
      <c r="V2059">
        <v>2.52880022478224E-3</v>
      </c>
      <c r="W2059">
        <v>1247794.49502021</v>
      </c>
      <c r="X2059" t="s">
        <v>40</v>
      </c>
      <c r="Y2059">
        <f>1-589-831-8549</f>
        <v>-9968</v>
      </c>
    </row>
    <row r="2060" spans="1:25" x14ac:dyDescent="0.35">
      <c r="A2060">
        <v>37.952553324101501</v>
      </c>
      <c r="B2060">
        <v>-121.217610763607</v>
      </c>
      <c r="C2060" t="s">
        <v>25</v>
      </c>
      <c r="D2060">
        <v>19.584611990398699</v>
      </c>
      <c r="E2060">
        <v>7</v>
      </c>
      <c r="F2060">
        <v>2733</v>
      </c>
      <c r="G2060">
        <v>1</v>
      </c>
      <c r="H2060">
        <v>3</v>
      </c>
      <c r="I2060">
        <v>1966</v>
      </c>
      <c r="J2060">
        <v>0</v>
      </c>
      <c r="K2060">
        <v>0</v>
      </c>
      <c r="L2060">
        <v>1</v>
      </c>
      <c r="M2060">
        <v>12</v>
      </c>
      <c r="N2060" t="s">
        <v>26</v>
      </c>
      <c r="O2060" t="s">
        <v>30</v>
      </c>
      <c r="P2060">
        <v>7.19460262483038</v>
      </c>
      <c r="Q2060">
        <v>1.4144818723586301</v>
      </c>
      <c r="R2060">
        <v>0.48536124540006498</v>
      </c>
      <c r="S2060">
        <v>13</v>
      </c>
      <c r="T2060">
        <v>50</v>
      </c>
      <c r="U2060">
        <v>890.56774094362004</v>
      </c>
      <c r="V2060">
        <v>4.3907793633369899E-3</v>
      </c>
      <c r="W2060">
        <v>2579305.5951131899</v>
      </c>
      <c r="X2060" t="s">
        <v>43</v>
      </c>
      <c r="Y2060">
        <f>1-914-288-9933</f>
        <v>-11134</v>
      </c>
    </row>
    <row r="2061" spans="1:25" x14ac:dyDescent="0.35">
      <c r="A2061">
        <v>35.148144023633499</v>
      </c>
      <c r="B2061">
        <v>-115.418881543198</v>
      </c>
      <c r="C2061" t="s">
        <v>34</v>
      </c>
      <c r="D2061">
        <v>21.7796205477364</v>
      </c>
      <c r="E2061">
        <v>4</v>
      </c>
      <c r="F2061">
        <v>3328</v>
      </c>
      <c r="G2061">
        <v>5</v>
      </c>
      <c r="H2061">
        <v>1</v>
      </c>
      <c r="I2061">
        <v>1999</v>
      </c>
      <c r="J2061">
        <v>0</v>
      </c>
      <c r="K2061">
        <v>1</v>
      </c>
      <c r="L2061">
        <v>1</v>
      </c>
      <c r="M2061">
        <v>6</v>
      </c>
      <c r="N2061" t="s">
        <v>26</v>
      </c>
      <c r="O2061" t="s">
        <v>27</v>
      </c>
      <c r="P2061">
        <v>10.608837595235901</v>
      </c>
      <c r="Q2061">
        <v>0.64537720094494699</v>
      </c>
      <c r="R2061">
        <v>0.37142157614244498</v>
      </c>
      <c r="S2061">
        <v>115</v>
      </c>
      <c r="T2061">
        <v>62</v>
      </c>
      <c r="U2061">
        <v>222.333387521134</v>
      </c>
      <c r="V2061">
        <v>1.8028846153846101E-3</v>
      </c>
      <c r="W2061">
        <v>1209752.6190482001</v>
      </c>
      <c r="X2061" t="s">
        <v>38</v>
      </c>
      <c r="Y2061">
        <f>1-442-886-7808</f>
        <v>-9135</v>
      </c>
    </row>
    <row r="2062" spans="1:25" x14ac:dyDescent="0.35">
      <c r="A2062">
        <v>38.774093810109598</v>
      </c>
      <c r="B2062">
        <v>-117.360109582844</v>
      </c>
      <c r="C2062" t="s">
        <v>29</v>
      </c>
      <c r="D2062">
        <v>38.195039234914702</v>
      </c>
      <c r="E2062">
        <v>6</v>
      </c>
      <c r="F2062">
        <v>3859</v>
      </c>
      <c r="G2062">
        <v>3</v>
      </c>
      <c r="H2062">
        <v>2</v>
      </c>
      <c r="I2062">
        <v>1955</v>
      </c>
      <c r="J2062">
        <v>1</v>
      </c>
      <c r="K2062">
        <v>1</v>
      </c>
      <c r="L2062">
        <v>0</v>
      </c>
      <c r="M2062">
        <v>10</v>
      </c>
      <c r="N2062" t="s">
        <v>41</v>
      </c>
      <c r="O2062" t="s">
        <v>30</v>
      </c>
      <c r="P2062">
        <v>7.2728751479905203</v>
      </c>
      <c r="Q2062">
        <v>1.58001261010671</v>
      </c>
      <c r="R2062">
        <v>3.9298623591844102</v>
      </c>
      <c r="S2062">
        <v>22</v>
      </c>
      <c r="T2062">
        <v>60</v>
      </c>
      <c r="U2062">
        <v>728.400372301988</v>
      </c>
      <c r="V2062">
        <v>2.5913449080072499E-3</v>
      </c>
      <c r="W2062">
        <v>3114811.5785465301</v>
      </c>
      <c r="X2062" t="s">
        <v>28</v>
      </c>
      <c r="Y2062">
        <f>1-727-477-6703</f>
        <v>-7906</v>
      </c>
    </row>
    <row r="2063" spans="1:25" x14ac:dyDescent="0.35">
      <c r="A2063">
        <v>40.781767913643698</v>
      </c>
      <c r="B2063">
        <v>-119.090698719511</v>
      </c>
      <c r="C2063" t="s">
        <v>29</v>
      </c>
      <c r="D2063">
        <v>23.833275853992099</v>
      </c>
      <c r="E2063">
        <v>6</v>
      </c>
      <c r="F2063">
        <v>843</v>
      </c>
      <c r="G2063">
        <v>4</v>
      </c>
      <c r="H2063">
        <v>2</v>
      </c>
      <c r="I2063">
        <v>2010</v>
      </c>
      <c r="J2063">
        <v>0</v>
      </c>
      <c r="K2063">
        <v>1</v>
      </c>
      <c r="L2063">
        <v>0</v>
      </c>
      <c r="M2063">
        <v>11</v>
      </c>
      <c r="N2063" t="s">
        <v>37</v>
      </c>
      <c r="O2063" t="s">
        <v>32</v>
      </c>
      <c r="P2063">
        <v>2.3377945779922702</v>
      </c>
      <c r="Q2063">
        <v>0.829414021678751</v>
      </c>
      <c r="R2063">
        <v>2.9784239128912899</v>
      </c>
      <c r="S2063">
        <v>18</v>
      </c>
      <c r="T2063">
        <v>32</v>
      </c>
      <c r="U2063">
        <v>241.72812543910501</v>
      </c>
      <c r="V2063">
        <v>1.3048635824436499E-2</v>
      </c>
      <c r="W2063">
        <v>642450.54991487297</v>
      </c>
      <c r="X2063" t="s">
        <v>33</v>
      </c>
      <c r="Y2063">
        <f>1-797-700-2206</f>
        <v>-3702</v>
      </c>
    </row>
    <row r="2064" spans="1:25" x14ac:dyDescent="0.35">
      <c r="A2064">
        <v>40.6915490242312</v>
      </c>
      <c r="B2064">
        <v>-117.288039257318</v>
      </c>
      <c r="C2064" t="s">
        <v>25</v>
      </c>
      <c r="D2064">
        <v>14.4902009244658</v>
      </c>
      <c r="E2064">
        <v>9</v>
      </c>
      <c r="F2064">
        <v>2713</v>
      </c>
      <c r="G2064">
        <v>3</v>
      </c>
      <c r="H2064">
        <v>1</v>
      </c>
      <c r="I2064">
        <v>1988</v>
      </c>
      <c r="J2064">
        <v>1</v>
      </c>
      <c r="K2064">
        <v>1</v>
      </c>
      <c r="L2064">
        <v>1</v>
      </c>
      <c r="M2064">
        <v>14</v>
      </c>
      <c r="N2064" t="s">
        <v>26</v>
      </c>
      <c r="O2064" t="s">
        <v>30</v>
      </c>
      <c r="P2064">
        <v>2.60965455779073</v>
      </c>
      <c r="Q2064">
        <v>0.78479092103877701</v>
      </c>
      <c r="R2064">
        <v>5.2664441628008998</v>
      </c>
      <c r="S2064">
        <v>87</v>
      </c>
      <c r="T2064">
        <v>71</v>
      </c>
      <c r="U2064">
        <v>380.75380953961599</v>
      </c>
      <c r="V2064">
        <v>5.1603391079985197E-3</v>
      </c>
      <c r="W2064">
        <v>1295291.8547850901</v>
      </c>
      <c r="X2064" t="s">
        <v>33</v>
      </c>
      <c r="Y2064">
        <f>1-209-599-3445</f>
        <v>-4252</v>
      </c>
    </row>
    <row r="2065" spans="1:25" x14ac:dyDescent="0.35">
      <c r="A2065">
        <v>38.075970238500702</v>
      </c>
      <c r="B2065">
        <v>-123.54957852899101</v>
      </c>
      <c r="C2065" t="s">
        <v>34</v>
      </c>
      <c r="D2065">
        <v>45.101461140842098</v>
      </c>
      <c r="E2065">
        <v>0</v>
      </c>
      <c r="F2065">
        <v>3808</v>
      </c>
      <c r="G2065">
        <v>4</v>
      </c>
      <c r="H2065">
        <v>3</v>
      </c>
      <c r="I2065">
        <v>2020</v>
      </c>
      <c r="J2065">
        <v>1</v>
      </c>
      <c r="K2065">
        <v>1</v>
      </c>
      <c r="L2065">
        <v>0</v>
      </c>
      <c r="M2065">
        <v>8</v>
      </c>
      <c r="N2065" t="s">
        <v>41</v>
      </c>
      <c r="O2065" t="s">
        <v>30</v>
      </c>
      <c r="P2065">
        <v>9.9790342970162804</v>
      </c>
      <c r="Q2065">
        <v>0.57010988318186695</v>
      </c>
      <c r="R2065">
        <v>8.4271594380166395</v>
      </c>
      <c r="S2065">
        <v>22</v>
      </c>
      <c r="T2065">
        <v>33</v>
      </c>
      <c r="U2065">
        <v>287.76652596801898</v>
      </c>
      <c r="V2065">
        <v>2.1008403361344498E-3</v>
      </c>
      <c r="W2065">
        <v>1598114.96580126</v>
      </c>
      <c r="X2065" t="s">
        <v>43</v>
      </c>
      <c r="Y2065">
        <f>1-729-170-2278</f>
        <v>-3176</v>
      </c>
    </row>
    <row r="2066" spans="1:25" x14ac:dyDescent="0.35">
      <c r="A2066">
        <v>39.064867593782999</v>
      </c>
      <c r="B2066">
        <v>-123.388208647516</v>
      </c>
      <c r="C2066" t="s">
        <v>34</v>
      </c>
      <c r="D2066">
        <v>8.4615929638467406</v>
      </c>
      <c r="E2066">
        <v>2</v>
      </c>
      <c r="F2066">
        <v>4024</v>
      </c>
      <c r="G2066">
        <v>2</v>
      </c>
      <c r="H2066">
        <v>1</v>
      </c>
      <c r="I2066">
        <v>1995</v>
      </c>
      <c r="J2066">
        <v>1</v>
      </c>
      <c r="K2066">
        <v>1</v>
      </c>
      <c r="L2066">
        <v>0</v>
      </c>
      <c r="M2066">
        <v>2</v>
      </c>
      <c r="N2066" t="s">
        <v>35</v>
      </c>
      <c r="O2066" t="s">
        <v>27</v>
      </c>
      <c r="P2066">
        <v>2.1492599042884901</v>
      </c>
      <c r="Q2066">
        <v>2.00856381772841</v>
      </c>
      <c r="R2066">
        <v>0.33593322806239301</v>
      </c>
      <c r="S2066">
        <v>11</v>
      </c>
      <c r="T2066">
        <v>32</v>
      </c>
      <c r="U2066">
        <v>964.26040067830104</v>
      </c>
      <c r="V2066">
        <v>4.9701789264413503E-4</v>
      </c>
      <c r="W2066">
        <v>4054543.3263199599</v>
      </c>
      <c r="X2066" t="s">
        <v>33</v>
      </c>
      <c r="Y2066">
        <f>1-346-369-7403</f>
        <v>-8117</v>
      </c>
    </row>
    <row r="2067" spans="1:25" x14ac:dyDescent="0.35">
      <c r="A2067">
        <v>34.464148526071497</v>
      </c>
      <c r="B2067">
        <v>-124.4214997422</v>
      </c>
      <c r="C2067" t="s">
        <v>29</v>
      </c>
      <c r="D2067">
        <v>9.1497935750092605</v>
      </c>
      <c r="E2067">
        <v>3</v>
      </c>
      <c r="F2067">
        <v>776</v>
      </c>
      <c r="G2067">
        <v>3</v>
      </c>
      <c r="H2067">
        <v>3</v>
      </c>
      <c r="I2067">
        <v>1996</v>
      </c>
      <c r="J2067">
        <v>0</v>
      </c>
      <c r="K2067">
        <v>0</v>
      </c>
      <c r="L2067">
        <v>1</v>
      </c>
      <c r="M2067">
        <v>9</v>
      </c>
      <c r="N2067" t="s">
        <v>35</v>
      </c>
      <c r="O2067" t="s">
        <v>32</v>
      </c>
      <c r="P2067">
        <v>13.590115417226199</v>
      </c>
      <c r="Q2067">
        <v>2.4282720513731801</v>
      </c>
      <c r="R2067">
        <v>9.7725298684722404</v>
      </c>
      <c r="S2067">
        <v>79</v>
      </c>
      <c r="T2067">
        <v>49</v>
      </c>
      <c r="U2067">
        <v>517.68224709762296</v>
      </c>
      <c r="V2067">
        <v>1.15979381443298E-2</v>
      </c>
      <c r="W2067">
        <v>747219.55695960298</v>
      </c>
      <c r="X2067" t="s">
        <v>38</v>
      </c>
      <c r="Y2067">
        <f>1-238-928-6767</f>
        <v>-7932</v>
      </c>
    </row>
    <row r="2068" spans="1:25" x14ac:dyDescent="0.35">
      <c r="A2068">
        <v>38.478888819881199</v>
      </c>
      <c r="B2068">
        <v>-117.83334136326501</v>
      </c>
      <c r="C2068" t="s">
        <v>29</v>
      </c>
      <c r="D2068">
        <v>37.259537565823699</v>
      </c>
      <c r="E2068">
        <v>9</v>
      </c>
      <c r="F2068">
        <v>4979</v>
      </c>
      <c r="G2068">
        <v>4</v>
      </c>
      <c r="H2068">
        <v>1</v>
      </c>
      <c r="I2068">
        <v>1987</v>
      </c>
      <c r="J2068">
        <v>1</v>
      </c>
      <c r="K2068">
        <v>0</v>
      </c>
      <c r="L2068">
        <v>1</v>
      </c>
      <c r="M2068">
        <v>9</v>
      </c>
      <c r="N2068" t="s">
        <v>26</v>
      </c>
      <c r="O2068" t="s">
        <v>32</v>
      </c>
      <c r="P2068">
        <v>11.0311576613074</v>
      </c>
      <c r="Q2068">
        <v>2.3388238215979</v>
      </c>
      <c r="R2068">
        <v>8.8162937609812992</v>
      </c>
      <c r="S2068">
        <v>95</v>
      </c>
      <c r="T2068">
        <v>78</v>
      </c>
      <c r="U2068">
        <v>248.49423195906201</v>
      </c>
      <c r="V2068">
        <v>1.80759188592086E-3</v>
      </c>
      <c r="W2068">
        <v>1530081.77734632</v>
      </c>
      <c r="X2068" t="s">
        <v>40</v>
      </c>
      <c r="Y2068">
        <f>1-775-595-3566</f>
        <v>-4935</v>
      </c>
    </row>
    <row r="2069" spans="1:25" x14ac:dyDescent="0.35">
      <c r="A2069">
        <v>39.779911593723099</v>
      </c>
      <c r="B2069">
        <v>-115.764114098344</v>
      </c>
      <c r="C2069" t="s">
        <v>25</v>
      </c>
      <c r="D2069">
        <v>29.501507582026498</v>
      </c>
      <c r="E2069">
        <v>5</v>
      </c>
      <c r="F2069">
        <v>901</v>
      </c>
      <c r="G2069">
        <v>3</v>
      </c>
      <c r="H2069">
        <v>2</v>
      </c>
      <c r="I2069">
        <v>1998</v>
      </c>
      <c r="J2069">
        <v>1</v>
      </c>
      <c r="K2069">
        <v>0</v>
      </c>
      <c r="L2069">
        <v>0</v>
      </c>
      <c r="M2069">
        <v>5</v>
      </c>
      <c r="N2069" t="s">
        <v>37</v>
      </c>
      <c r="O2069" t="s">
        <v>27</v>
      </c>
      <c r="P2069">
        <v>14.379299795277101</v>
      </c>
      <c r="Q2069">
        <v>1.8894849582984801</v>
      </c>
      <c r="R2069">
        <v>3.3665070031867801</v>
      </c>
      <c r="S2069">
        <v>140</v>
      </c>
      <c r="T2069">
        <v>54</v>
      </c>
      <c r="U2069">
        <v>570.19557757976895</v>
      </c>
      <c r="V2069">
        <v>5.5493895671476102E-3</v>
      </c>
      <c r="W2069">
        <v>784393.878918175</v>
      </c>
      <c r="X2069" t="s">
        <v>40</v>
      </c>
      <c r="Y2069">
        <f>1-509-216-5040</f>
        <v>-5764</v>
      </c>
    </row>
    <row r="2070" spans="1:25" x14ac:dyDescent="0.35">
      <c r="A2070">
        <v>33.772075751329702</v>
      </c>
      <c r="B2070">
        <v>-115.587843397833</v>
      </c>
      <c r="C2070" t="s">
        <v>25</v>
      </c>
      <c r="D2070">
        <v>47.8210468223334</v>
      </c>
      <c r="E2070">
        <v>2</v>
      </c>
      <c r="F2070">
        <v>2093</v>
      </c>
      <c r="G2070">
        <v>1</v>
      </c>
      <c r="H2070">
        <v>1</v>
      </c>
      <c r="I2070">
        <v>1985</v>
      </c>
      <c r="J2070">
        <v>0</v>
      </c>
      <c r="K2070">
        <v>1</v>
      </c>
      <c r="L2070">
        <v>0</v>
      </c>
      <c r="M2070">
        <v>11</v>
      </c>
      <c r="N2070" t="s">
        <v>37</v>
      </c>
      <c r="O2070" t="s">
        <v>27</v>
      </c>
      <c r="P2070">
        <v>7.4889865870834402</v>
      </c>
      <c r="Q2070">
        <v>1.3677074681714101</v>
      </c>
      <c r="R2070">
        <v>4.27235069946423</v>
      </c>
      <c r="S2070">
        <v>67</v>
      </c>
      <c r="T2070">
        <v>28</v>
      </c>
      <c r="U2070">
        <v>314.98426183631699</v>
      </c>
      <c r="V2070">
        <v>5.2556139512661198E-3</v>
      </c>
      <c r="W2070">
        <v>801942.16949710599</v>
      </c>
      <c r="X2070" t="s">
        <v>43</v>
      </c>
      <c r="Y2070">
        <f>1-215-401-7335</f>
        <v>-7950</v>
      </c>
    </row>
    <row r="2071" spans="1:25" x14ac:dyDescent="0.35">
      <c r="A2071">
        <v>36.007630958687102</v>
      </c>
      <c r="B2071">
        <v>-116.921170606518</v>
      </c>
      <c r="C2071" t="s">
        <v>34</v>
      </c>
      <c r="D2071">
        <v>3.5269968693390501</v>
      </c>
      <c r="E2071">
        <v>6</v>
      </c>
      <c r="F2071">
        <v>3513</v>
      </c>
      <c r="G2071">
        <v>4</v>
      </c>
      <c r="H2071">
        <v>1</v>
      </c>
      <c r="I2071">
        <v>1967</v>
      </c>
      <c r="J2071">
        <v>1</v>
      </c>
      <c r="K2071">
        <v>0</v>
      </c>
      <c r="L2071">
        <v>0</v>
      </c>
      <c r="M2071">
        <v>11</v>
      </c>
      <c r="N2071" t="s">
        <v>37</v>
      </c>
      <c r="O2071" t="s">
        <v>27</v>
      </c>
      <c r="P2071">
        <v>3.4272974538446599</v>
      </c>
      <c r="Q2071">
        <v>1.16447631344527</v>
      </c>
      <c r="R2071">
        <v>3.9382374796997799</v>
      </c>
      <c r="S2071">
        <v>85</v>
      </c>
      <c r="T2071">
        <v>33</v>
      </c>
      <c r="U2071">
        <v>604.95001977459401</v>
      </c>
      <c r="V2071">
        <v>3.13122687161969E-3</v>
      </c>
      <c r="W2071">
        <v>2353152.4005614198</v>
      </c>
      <c r="X2071" t="s">
        <v>43</v>
      </c>
      <c r="Y2071">
        <f>1-826-101-2923</f>
        <v>-3849</v>
      </c>
    </row>
    <row r="2072" spans="1:25" x14ac:dyDescent="0.35">
      <c r="A2072">
        <v>38.732213319799598</v>
      </c>
      <c r="B2072">
        <v>-115.701329437794</v>
      </c>
      <c r="C2072" t="s">
        <v>34</v>
      </c>
      <c r="D2072">
        <v>44.928468434807698</v>
      </c>
      <c r="E2072">
        <v>2</v>
      </c>
      <c r="F2072">
        <v>1870</v>
      </c>
      <c r="G2072">
        <v>5</v>
      </c>
      <c r="H2072">
        <v>3</v>
      </c>
      <c r="I2072">
        <v>1959</v>
      </c>
      <c r="J2072">
        <v>1</v>
      </c>
      <c r="K2072">
        <v>1</v>
      </c>
      <c r="L2072">
        <v>0</v>
      </c>
      <c r="M2072">
        <v>8</v>
      </c>
      <c r="N2072" t="s">
        <v>37</v>
      </c>
      <c r="O2072" t="s">
        <v>27</v>
      </c>
      <c r="P2072">
        <v>3.6744403363170002</v>
      </c>
      <c r="Q2072">
        <v>1.07796609040738</v>
      </c>
      <c r="R2072">
        <v>8.7092045405030802</v>
      </c>
      <c r="S2072">
        <v>180</v>
      </c>
      <c r="T2072">
        <v>32</v>
      </c>
      <c r="U2072">
        <v>507.75684037195202</v>
      </c>
      <c r="V2072">
        <v>4.2780748663101597E-3</v>
      </c>
      <c r="W2072">
        <v>1384597.0186884301</v>
      </c>
      <c r="X2072" t="s">
        <v>38</v>
      </c>
      <c r="Y2072">
        <f>1-223-448-8370</f>
        <v>-9040</v>
      </c>
    </row>
    <row r="2073" spans="1:25" x14ac:dyDescent="0.35">
      <c r="A2073">
        <v>37.2116272766457</v>
      </c>
      <c r="B2073">
        <v>-116.328002762919</v>
      </c>
      <c r="C2073" t="s">
        <v>25</v>
      </c>
      <c r="D2073">
        <v>6.0985836216385501</v>
      </c>
      <c r="E2073">
        <v>2</v>
      </c>
      <c r="F2073">
        <v>2753</v>
      </c>
      <c r="G2073">
        <v>5</v>
      </c>
      <c r="H2073">
        <v>1</v>
      </c>
      <c r="I2073">
        <v>1969</v>
      </c>
      <c r="J2073">
        <v>0</v>
      </c>
      <c r="K2073">
        <v>1</v>
      </c>
      <c r="L2073">
        <v>1</v>
      </c>
      <c r="M2073">
        <v>3</v>
      </c>
      <c r="N2073" t="s">
        <v>26</v>
      </c>
      <c r="O2073" t="s">
        <v>30</v>
      </c>
      <c r="P2073">
        <v>4.0826570519620402</v>
      </c>
      <c r="Q2073">
        <v>2.1951754716009</v>
      </c>
      <c r="R2073">
        <v>1.35332488919975</v>
      </c>
      <c r="S2073">
        <v>187</v>
      </c>
      <c r="T2073">
        <v>58</v>
      </c>
      <c r="U2073">
        <v>340.893094804182</v>
      </c>
      <c r="V2073">
        <v>1.0897203051216801E-3</v>
      </c>
      <c r="W2073">
        <v>1346896.5561096</v>
      </c>
      <c r="X2073" t="s">
        <v>44</v>
      </c>
      <c r="Y2073">
        <f>1-380-607-2432</f>
        <v>-3418</v>
      </c>
    </row>
    <row r="2074" spans="1:25" x14ac:dyDescent="0.35">
      <c r="A2074">
        <v>39.783105251117099</v>
      </c>
      <c r="B2074">
        <v>-117.26009000322099</v>
      </c>
      <c r="C2074" t="s">
        <v>29</v>
      </c>
      <c r="D2074">
        <v>33.778266036613502</v>
      </c>
      <c r="E2074">
        <v>3</v>
      </c>
      <c r="F2074">
        <v>1639</v>
      </c>
      <c r="G2074">
        <v>5</v>
      </c>
      <c r="H2074">
        <v>1</v>
      </c>
      <c r="I2074">
        <v>2016</v>
      </c>
      <c r="J2074">
        <v>0</v>
      </c>
      <c r="K2074">
        <v>0</v>
      </c>
      <c r="L2074">
        <v>1</v>
      </c>
      <c r="M2074">
        <v>2</v>
      </c>
      <c r="N2074" t="s">
        <v>26</v>
      </c>
      <c r="O2074" t="s">
        <v>27</v>
      </c>
      <c r="P2074">
        <v>8.8417687697471994</v>
      </c>
      <c r="Q2074">
        <v>1.22594836173081</v>
      </c>
      <c r="R2074">
        <v>3.2659592656681098</v>
      </c>
      <c r="S2074">
        <v>118</v>
      </c>
      <c r="T2074">
        <v>48</v>
      </c>
      <c r="U2074">
        <v>554.51417180680698</v>
      </c>
      <c r="V2074">
        <v>1.2202562538133001E-3</v>
      </c>
      <c r="W2074">
        <v>1235695.66973635</v>
      </c>
      <c r="X2074" t="s">
        <v>31</v>
      </c>
      <c r="Y2074">
        <f>1-432-494-9453</f>
        <v>-10378</v>
      </c>
    </row>
    <row r="2075" spans="1:25" x14ac:dyDescent="0.35">
      <c r="A2075">
        <v>36.451032332214098</v>
      </c>
      <c r="B2075">
        <v>-121.74748546675301</v>
      </c>
      <c r="C2075" t="s">
        <v>34</v>
      </c>
      <c r="D2075">
        <v>29.772822060093802</v>
      </c>
      <c r="E2075">
        <v>5</v>
      </c>
      <c r="F2075">
        <v>662</v>
      </c>
      <c r="G2075">
        <v>3</v>
      </c>
      <c r="H2075">
        <v>3</v>
      </c>
      <c r="I2075">
        <v>1997</v>
      </c>
      <c r="J2075">
        <v>1</v>
      </c>
      <c r="K2075">
        <v>0</v>
      </c>
      <c r="L2075">
        <v>1</v>
      </c>
      <c r="M2075">
        <v>11</v>
      </c>
      <c r="N2075" t="s">
        <v>26</v>
      </c>
      <c r="O2075" t="s">
        <v>32</v>
      </c>
      <c r="P2075">
        <v>14.331513587616101</v>
      </c>
      <c r="Q2075">
        <v>1.65682780558092</v>
      </c>
      <c r="R2075">
        <v>7.7201727483219296</v>
      </c>
      <c r="S2075">
        <v>136</v>
      </c>
      <c r="T2075">
        <v>48</v>
      </c>
      <c r="U2075">
        <v>292.44381367960602</v>
      </c>
      <c r="V2075">
        <v>1.6616314199395701E-2</v>
      </c>
      <c r="W2075">
        <v>466458.11431640398</v>
      </c>
      <c r="X2075" t="s">
        <v>40</v>
      </c>
      <c r="Y2075">
        <f>1-976-511-7545</f>
        <v>-9031</v>
      </c>
    </row>
    <row r="2076" spans="1:25" x14ac:dyDescent="0.35">
      <c r="A2076">
        <v>40.682774372665897</v>
      </c>
      <c r="B2076">
        <v>-119.723615613497</v>
      </c>
      <c r="C2076" t="s">
        <v>25</v>
      </c>
      <c r="D2076">
        <v>33.1291705145874</v>
      </c>
      <c r="E2076">
        <v>6</v>
      </c>
      <c r="F2076">
        <v>1056</v>
      </c>
      <c r="G2076">
        <v>2</v>
      </c>
      <c r="H2076">
        <v>1</v>
      </c>
      <c r="I2076">
        <v>1989</v>
      </c>
      <c r="J2076">
        <v>0</v>
      </c>
      <c r="K2076">
        <v>1</v>
      </c>
      <c r="L2076">
        <v>0</v>
      </c>
      <c r="M2076">
        <v>4</v>
      </c>
      <c r="N2076" t="s">
        <v>41</v>
      </c>
      <c r="O2076" t="s">
        <v>27</v>
      </c>
      <c r="P2076">
        <v>4.5366586562554998</v>
      </c>
      <c r="Q2076">
        <v>2.2117398788749401</v>
      </c>
      <c r="R2076">
        <v>6.9240595549357904</v>
      </c>
      <c r="S2076">
        <v>158</v>
      </c>
      <c r="T2076">
        <v>50</v>
      </c>
      <c r="U2076">
        <v>821.77616491328502</v>
      </c>
      <c r="V2076">
        <v>3.7878787878787802E-3</v>
      </c>
      <c r="W2076">
        <v>1038854.63001016</v>
      </c>
      <c r="X2076" t="s">
        <v>43</v>
      </c>
      <c r="Y2076">
        <f>1-313-227-3069</f>
        <v>-3608</v>
      </c>
    </row>
    <row r="2077" spans="1:25" x14ac:dyDescent="0.35">
      <c r="A2077">
        <v>35.493212845886603</v>
      </c>
      <c r="B2077">
        <v>-120.610596382426</v>
      </c>
      <c r="C2077" t="s">
        <v>34</v>
      </c>
      <c r="D2077">
        <v>34.099832827334602</v>
      </c>
      <c r="E2077">
        <v>4</v>
      </c>
      <c r="F2077">
        <v>4296</v>
      </c>
      <c r="G2077">
        <v>2</v>
      </c>
      <c r="H2077">
        <v>1</v>
      </c>
      <c r="I2077">
        <v>1992</v>
      </c>
      <c r="J2077">
        <v>0</v>
      </c>
      <c r="K2077">
        <v>1</v>
      </c>
      <c r="L2077">
        <v>0</v>
      </c>
      <c r="M2077">
        <v>13</v>
      </c>
      <c r="N2077" t="s">
        <v>26</v>
      </c>
      <c r="O2077" t="s">
        <v>27</v>
      </c>
      <c r="P2077">
        <v>14.1750057500994</v>
      </c>
      <c r="Q2077">
        <v>0.652224695965124</v>
      </c>
      <c r="R2077">
        <v>6.8327442813290604</v>
      </c>
      <c r="S2077">
        <v>49</v>
      </c>
      <c r="T2077">
        <v>43</v>
      </c>
      <c r="U2077">
        <v>821.85074280977597</v>
      </c>
      <c r="V2077">
        <v>3.0260707635009301E-3</v>
      </c>
      <c r="W2077">
        <v>3843703.3873161902</v>
      </c>
      <c r="X2077" t="s">
        <v>28</v>
      </c>
      <c r="Y2077">
        <f>1-364-861-7846</f>
        <v>-9070</v>
      </c>
    </row>
    <row r="2078" spans="1:25" x14ac:dyDescent="0.35">
      <c r="A2078">
        <v>34.7132103923499</v>
      </c>
      <c r="B2078">
        <v>-122.919224439253</v>
      </c>
      <c r="C2078" t="s">
        <v>29</v>
      </c>
      <c r="D2078">
        <v>20.803787360755098</v>
      </c>
      <c r="E2078">
        <v>4</v>
      </c>
      <c r="F2078">
        <v>4769</v>
      </c>
      <c r="G2078">
        <v>4</v>
      </c>
      <c r="H2078">
        <v>1</v>
      </c>
      <c r="I2078">
        <v>2019</v>
      </c>
      <c r="J2078">
        <v>1</v>
      </c>
      <c r="K2078">
        <v>1</v>
      </c>
      <c r="L2078">
        <v>1</v>
      </c>
      <c r="M2078">
        <v>2</v>
      </c>
      <c r="N2078" t="s">
        <v>35</v>
      </c>
      <c r="O2078" t="s">
        <v>32</v>
      </c>
      <c r="P2078">
        <v>10.4043646022345</v>
      </c>
      <c r="Q2078">
        <v>2.17655023797013</v>
      </c>
      <c r="R2078">
        <v>7.4648550509305602</v>
      </c>
      <c r="S2078">
        <v>161</v>
      </c>
      <c r="T2078">
        <v>32</v>
      </c>
      <c r="U2078">
        <v>332.97547422884401</v>
      </c>
      <c r="V2078">
        <v>4.1937513105472799E-4</v>
      </c>
      <c r="W2078">
        <v>2019227.7762786699</v>
      </c>
      <c r="X2078" t="s">
        <v>39</v>
      </c>
      <c r="Y2078">
        <f>1-798-839-5576</f>
        <v>-7212</v>
      </c>
    </row>
    <row r="2079" spans="1:25" x14ac:dyDescent="0.35">
      <c r="A2079">
        <v>38.359610488764297</v>
      </c>
      <c r="B2079">
        <v>-114.07439687186999</v>
      </c>
      <c r="C2079" t="s">
        <v>29</v>
      </c>
      <c r="D2079">
        <v>14.463641560495599</v>
      </c>
      <c r="E2079">
        <v>8</v>
      </c>
      <c r="F2079">
        <v>4881</v>
      </c>
      <c r="G2079">
        <v>5</v>
      </c>
      <c r="H2079">
        <v>1</v>
      </c>
      <c r="I2079">
        <v>1970</v>
      </c>
      <c r="J2079">
        <v>0</v>
      </c>
      <c r="K2079">
        <v>1</v>
      </c>
      <c r="L2079">
        <v>0</v>
      </c>
      <c r="M2079">
        <v>9</v>
      </c>
      <c r="N2079" t="s">
        <v>37</v>
      </c>
      <c r="O2079" t="s">
        <v>30</v>
      </c>
      <c r="P2079">
        <v>10.266055152293401</v>
      </c>
      <c r="Q2079">
        <v>1.8223596623277301</v>
      </c>
      <c r="R2079">
        <v>1.2543558138570301</v>
      </c>
      <c r="S2079">
        <v>153</v>
      </c>
      <c r="T2079">
        <v>34</v>
      </c>
      <c r="U2079">
        <v>245.038097274949</v>
      </c>
      <c r="V2079">
        <v>1.8438844499078001E-3</v>
      </c>
      <c r="W2079">
        <v>1498692.1417916999</v>
      </c>
      <c r="X2079" t="s">
        <v>33</v>
      </c>
      <c r="Y2079">
        <f>1-475-924-4704</f>
        <v>-6102</v>
      </c>
    </row>
    <row r="2080" spans="1:25" x14ac:dyDescent="0.35">
      <c r="A2080">
        <v>38.413140585447501</v>
      </c>
      <c r="B2080">
        <v>-120.313815889157</v>
      </c>
      <c r="C2080" t="s">
        <v>25</v>
      </c>
      <c r="D2080">
        <v>19.590695126679201</v>
      </c>
      <c r="E2080">
        <v>8</v>
      </c>
      <c r="F2080">
        <v>2194</v>
      </c>
      <c r="G2080">
        <v>1</v>
      </c>
      <c r="H2080">
        <v>2</v>
      </c>
      <c r="I2080">
        <v>1981</v>
      </c>
      <c r="J2080">
        <v>0</v>
      </c>
      <c r="K2080">
        <v>0</v>
      </c>
      <c r="L2080">
        <v>0</v>
      </c>
      <c r="M2080">
        <v>10</v>
      </c>
      <c r="N2080" t="s">
        <v>35</v>
      </c>
      <c r="O2080" t="s">
        <v>27</v>
      </c>
      <c r="P2080">
        <v>11.2434611625002</v>
      </c>
      <c r="Q2080">
        <v>1.18910153002985</v>
      </c>
      <c r="R2080">
        <v>7.1658223395034897</v>
      </c>
      <c r="S2080">
        <v>131</v>
      </c>
      <c r="T2080">
        <v>48</v>
      </c>
      <c r="U2080">
        <v>519.67979992854305</v>
      </c>
      <c r="V2080">
        <v>4.5578851412944304E-3</v>
      </c>
      <c r="W2080">
        <v>1211668.41191773</v>
      </c>
      <c r="X2080" t="s">
        <v>43</v>
      </c>
      <c r="Y2080">
        <f>1-622-620-6594</f>
        <v>-7835</v>
      </c>
    </row>
    <row r="2081" spans="1:25" x14ac:dyDescent="0.35">
      <c r="A2081">
        <v>34.455421730286403</v>
      </c>
      <c r="B2081">
        <v>-120.48516756143999</v>
      </c>
      <c r="C2081" t="s">
        <v>25</v>
      </c>
      <c r="D2081">
        <v>16.575483126214099</v>
      </c>
      <c r="E2081">
        <v>1</v>
      </c>
      <c r="F2081">
        <v>4649</v>
      </c>
      <c r="G2081">
        <v>4</v>
      </c>
      <c r="H2081">
        <v>1</v>
      </c>
      <c r="I2081">
        <v>2003</v>
      </c>
      <c r="J2081">
        <v>1</v>
      </c>
      <c r="K2081">
        <v>1</v>
      </c>
      <c r="L2081">
        <v>0</v>
      </c>
      <c r="M2081">
        <v>12</v>
      </c>
      <c r="N2081" t="s">
        <v>35</v>
      </c>
      <c r="O2081" t="s">
        <v>30</v>
      </c>
      <c r="P2081">
        <v>9.4837716093051192</v>
      </c>
      <c r="Q2081">
        <v>1.3332031090515699</v>
      </c>
      <c r="R2081">
        <v>9.2768163651641995</v>
      </c>
      <c r="S2081">
        <v>103</v>
      </c>
      <c r="T2081">
        <v>21</v>
      </c>
      <c r="U2081">
        <v>392.719124807144</v>
      </c>
      <c r="V2081">
        <v>2.5812002581200198E-3</v>
      </c>
      <c r="W2081">
        <v>2157714.4219514201</v>
      </c>
      <c r="X2081" t="s">
        <v>33</v>
      </c>
      <c r="Y2081">
        <f>1-850-309-3288</f>
        <v>-4446</v>
      </c>
    </row>
    <row r="2082" spans="1:25" x14ac:dyDescent="0.35">
      <c r="A2082">
        <v>37.99064240341</v>
      </c>
      <c r="B2082">
        <v>-118.299693985197</v>
      </c>
      <c r="C2082" t="s">
        <v>25</v>
      </c>
      <c r="D2082">
        <v>29.3864508010208</v>
      </c>
      <c r="E2082">
        <v>9</v>
      </c>
      <c r="F2082">
        <v>3007</v>
      </c>
      <c r="G2082">
        <v>5</v>
      </c>
      <c r="H2082">
        <v>3</v>
      </c>
      <c r="I2082">
        <v>1975</v>
      </c>
      <c r="J2082">
        <v>1</v>
      </c>
      <c r="K2082">
        <v>0</v>
      </c>
      <c r="L2082">
        <v>0</v>
      </c>
      <c r="M2082">
        <v>13</v>
      </c>
      <c r="N2082" t="s">
        <v>41</v>
      </c>
      <c r="O2082" t="s">
        <v>32</v>
      </c>
      <c r="P2082">
        <v>3.7229969669605998</v>
      </c>
      <c r="Q2082">
        <v>0.93125606514081105</v>
      </c>
      <c r="R2082">
        <v>6.9703540971421996</v>
      </c>
      <c r="S2082">
        <v>158</v>
      </c>
      <c r="T2082">
        <v>76</v>
      </c>
      <c r="U2082">
        <v>252.13233849333699</v>
      </c>
      <c r="V2082">
        <v>4.3232457598935802E-3</v>
      </c>
      <c r="W2082">
        <v>1067740.6075971201</v>
      </c>
      <c r="X2082" t="s">
        <v>44</v>
      </c>
      <c r="Y2082">
        <f>1-796-708-9242</f>
        <v>-10745</v>
      </c>
    </row>
    <row r="2083" spans="1:25" x14ac:dyDescent="0.35">
      <c r="A2083">
        <v>38.131399278807002</v>
      </c>
      <c r="B2083">
        <v>-120.474406521349</v>
      </c>
      <c r="C2083" t="s">
        <v>34</v>
      </c>
      <c r="D2083">
        <v>42.876570225171797</v>
      </c>
      <c r="E2083">
        <v>6</v>
      </c>
      <c r="F2083">
        <v>2228</v>
      </c>
      <c r="G2083">
        <v>3</v>
      </c>
      <c r="H2083">
        <v>2</v>
      </c>
      <c r="I2083">
        <v>1962</v>
      </c>
      <c r="J2083">
        <v>1</v>
      </c>
      <c r="K2083">
        <v>0</v>
      </c>
      <c r="L2083">
        <v>0</v>
      </c>
      <c r="M2083">
        <v>13</v>
      </c>
      <c r="N2083" t="s">
        <v>37</v>
      </c>
      <c r="O2083" t="s">
        <v>30</v>
      </c>
      <c r="P2083">
        <v>6.1150864881533202</v>
      </c>
      <c r="Q2083">
        <v>2.2549474343943601</v>
      </c>
      <c r="R2083">
        <v>9.9986889405272397</v>
      </c>
      <c r="S2083">
        <v>13</v>
      </c>
      <c r="T2083">
        <v>73</v>
      </c>
      <c r="U2083">
        <v>867.81575871289704</v>
      </c>
      <c r="V2083">
        <v>5.8348294434470297E-3</v>
      </c>
      <c r="W2083">
        <v>2083763.6852086501</v>
      </c>
      <c r="X2083" t="s">
        <v>28</v>
      </c>
      <c r="Y2083">
        <f>1-929-508-9571</f>
        <v>-11007</v>
      </c>
    </row>
    <row r="2084" spans="1:25" x14ac:dyDescent="0.35">
      <c r="A2084">
        <v>35.063591469220903</v>
      </c>
      <c r="B2084">
        <v>-121.199820751386</v>
      </c>
      <c r="C2084" t="s">
        <v>25</v>
      </c>
      <c r="D2084">
        <v>18.885904645328999</v>
      </c>
      <c r="E2084">
        <v>3</v>
      </c>
      <c r="F2084">
        <v>1755</v>
      </c>
      <c r="G2084">
        <v>4</v>
      </c>
      <c r="H2084">
        <v>2</v>
      </c>
      <c r="I2084">
        <v>1967</v>
      </c>
      <c r="J2084">
        <v>1</v>
      </c>
      <c r="K2084">
        <v>0</v>
      </c>
      <c r="L2084">
        <v>1</v>
      </c>
      <c r="M2084">
        <v>10</v>
      </c>
      <c r="N2084" t="s">
        <v>37</v>
      </c>
      <c r="O2084" t="s">
        <v>27</v>
      </c>
      <c r="P2084">
        <v>11.010793409139101</v>
      </c>
      <c r="Q2084">
        <v>2.1210285456311699</v>
      </c>
      <c r="R2084">
        <v>7.4516484652152997</v>
      </c>
      <c r="S2084">
        <v>115</v>
      </c>
      <c r="T2084">
        <v>59</v>
      </c>
      <c r="U2084">
        <v>717.24944086190499</v>
      </c>
      <c r="V2084">
        <v>5.6980056980056896E-3</v>
      </c>
      <c r="W2084">
        <v>1550181.32750942</v>
      </c>
      <c r="X2084" t="s">
        <v>40</v>
      </c>
      <c r="Y2084">
        <f>1-334-207-7489</f>
        <v>-8029</v>
      </c>
    </row>
    <row r="2085" spans="1:25" x14ac:dyDescent="0.35">
      <c r="A2085">
        <v>35.4456747907074</v>
      </c>
      <c r="B2085">
        <v>-116.019550471977</v>
      </c>
      <c r="C2085" t="s">
        <v>34</v>
      </c>
      <c r="D2085">
        <v>33.017459283560903</v>
      </c>
      <c r="E2085">
        <v>9</v>
      </c>
      <c r="F2085">
        <v>3635</v>
      </c>
      <c r="G2085">
        <v>5</v>
      </c>
      <c r="H2085">
        <v>3</v>
      </c>
      <c r="I2085">
        <v>1967</v>
      </c>
      <c r="J2085">
        <v>1</v>
      </c>
      <c r="K2085">
        <v>1</v>
      </c>
      <c r="L2085">
        <v>1</v>
      </c>
      <c r="M2085">
        <v>12</v>
      </c>
      <c r="N2085" t="s">
        <v>35</v>
      </c>
      <c r="O2085" t="s">
        <v>27</v>
      </c>
      <c r="P2085">
        <v>14.8819076621307</v>
      </c>
      <c r="Q2085">
        <v>1.8781905408778801</v>
      </c>
      <c r="R2085">
        <v>2.7191446699361599</v>
      </c>
      <c r="S2085">
        <v>80</v>
      </c>
      <c r="T2085">
        <v>42</v>
      </c>
      <c r="U2085">
        <v>387.751173515321</v>
      </c>
      <c r="V2085">
        <v>3.3012379642365802E-3</v>
      </c>
      <c r="W2085">
        <v>1886570.4327644999</v>
      </c>
      <c r="X2085" t="s">
        <v>36</v>
      </c>
      <c r="Y2085">
        <f>1-570-950-4068</f>
        <v>-5587</v>
      </c>
    </row>
    <row r="2086" spans="1:25" x14ac:dyDescent="0.35">
      <c r="A2086">
        <v>32.516111240134101</v>
      </c>
      <c r="B2086">
        <v>-116.205326875129</v>
      </c>
      <c r="C2086" t="s">
        <v>29</v>
      </c>
      <c r="D2086">
        <v>13.3818471513388</v>
      </c>
      <c r="E2086">
        <v>6</v>
      </c>
      <c r="F2086">
        <v>4014</v>
      </c>
      <c r="G2086">
        <v>4</v>
      </c>
      <c r="H2086">
        <v>3</v>
      </c>
      <c r="I2086">
        <v>1984</v>
      </c>
      <c r="J2086">
        <v>0</v>
      </c>
      <c r="K2086">
        <v>0</v>
      </c>
      <c r="L2086">
        <v>1</v>
      </c>
      <c r="M2086">
        <v>3</v>
      </c>
      <c r="N2086" t="s">
        <v>35</v>
      </c>
      <c r="O2086" t="s">
        <v>30</v>
      </c>
      <c r="P2086">
        <v>7.1694197178084398</v>
      </c>
      <c r="Q2086">
        <v>1.3155134190592499</v>
      </c>
      <c r="R2086">
        <v>5.8508539667127302</v>
      </c>
      <c r="S2086">
        <v>72</v>
      </c>
      <c r="T2086">
        <v>63</v>
      </c>
      <c r="U2086">
        <v>469.35355006767497</v>
      </c>
      <c r="V2086">
        <v>7.4738415545590403E-4</v>
      </c>
      <c r="W2086">
        <v>2137869.8428106802</v>
      </c>
      <c r="X2086" t="s">
        <v>42</v>
      </c>
      <c r="Y2086">
        <f>1-560-504-1439</f>
        <v>-2502</v>
      </c>
    </row>
    <row r="2087" spans="1:25" x14ac:dyDescent="0.35">
      <c r="A2087">
        <v>33.135295873782503</v>
      </c>
      <c r="B2087">
        <v>-116.448247480077</v>
      </c>
      <c r="C2087" t="s">
        <v>34</v>
      </c>
      <c r="D2087">
        <v>4.0552535036849999</v>
      </c>
      <c r="E2087">
        <v>8</v>
      </c>
      <c r="F2087">
        <v>4167</v>
      </c>
      <c r="G2087">
        <v>3</v>
      </c>
      <c r="H2087">
        <v>3</v>
      </c>
      <c r="I2087">
        <v>1983</v>
      </c>
      <c r="J2087">
        <v>0</v>
      </c>
      <c r="K2087">
        <v>1</v>
      </c>
      <c r="L2087">
        <v>1</v>
      </c>
      <c r="M2087">
        <v>3</v>
      </c>
      <c r="N2087" t="s">
        <v>41</v>
      </c>
      <c r="O2087" t="s">
        <v>32</v>
      </c>
      <c r="P2087">
        <v>4.3214942570029704</v>
      </c>
      <c r="Q2087">
        <v>2.2726767588336498</v>
      </c>
      <c r="R2087">
        <v>5.0033118645964203</v>
      </c>
      <c r="S2087">
        <v>73</v>
      </c>
      <c r="T2087">
        <v>50</v>
      </c>
      <c r="U2087">
        <v>530.930191111971</v>
      </c>
      <c r="V2087">
        <v>7.1994240460763104E-4</v>
      </c>
      <c r="W2087">
        <v>2485500.7542049298</v>
      </c>
      <c r="X2087" t="s">
        <v>40</v>
      </c>
      <c r="Y2087">
        <f>1-427-792-6803</f>
        <v>-8021</v>
      </c>
    </row>
    <row r="2088" spans="1:25" x14ac:dyDescent="0.35">
      <c r="A2088">
        <v>32.897570643550701</v>
      </c>
      <c r="B2088">
        <v>-122.201747004876</v>
      </c>
      <c r="C2088" t="s">
        <v>29</v>
      </c>
      <c r="D2088">
        <v>41.058945054582097</v>
      </c>
      <c r="E2088">
        <v>5</v>
      </c>
      <c r="F2088">
        <v>4306</v>
      </c>
      <c r="G2088">
        <v>3</v>
      </c>
      <c r="H2088">
        <v>1</v>
      </c>
      <c r="I2088">
        <v>1953</v>
      </c>
      <c r="J2088">
        <v>0</v>
      </c>
      <c r="K2088">
        <v>1</v>
      </c>
      <c r="L2088">
        <v>0</v>
      </c>
      <c r="M2088">
        <v>7</v>
      </c>
      <c r="N2088" t="s">
        <v>35</v>
      </c>
      <c r="O2088" t="s">
        <v>27</v>
      </c>
      <c r="P2088">
        <v>8.4922689157232796</v>
      </c>
      <c r="Q2088">
        <v>2.2866999283221299</v>
      </c>
      <c r="R2088">
        <v>9.9630100404841908</v>
      </c>
      <c r="S2088">
        <v>196</v>
      </c>
      <c r="T2088">
        <v>75</v>
      </c>
      <c r="U2088">
        <v>451.59774203804102</v>
      </c>
      <c r="V2088">
        <v>1.6256386437528999E-3</v>
      </c>
      <c r="W2088">
        <v>2058836.4342547599</v>
      </c>
      <c r="X2088" t="s">
        <v>39</v>
      </c>
      <c r="Y2088">
        <f>1-244-930-6373</f>
        <v>-7546</v>
      </c>
    </row>
    <row r="2089" spans="1:25" x14ac:dyDescent="0.35">
      <c r="A2089">
        <v>40.519176566033501</v>
      </c>
      <c r="B2089">
        <v>-115.743080967712</v>
      </c>
      <c r="C2089" t="s">
        <v>29</v>
      </c>
      <c r="D2089">
        <v>34.516823072007398</v>
      </c>
      <c r="E2089">
        <v>2</v>
      </c>
      <c r="F2089">
        <v>646</v>
      </c>
      <c r="G2089">
        <v>1</v>
      </c>
      <c r="H2089">
        <v>3</v>
      </c>
      <c r="I2089">
        <v>1997</v>
      </c>
      <c r="J2089">
        <v>1</v>
      </c>
      <c r="K2089">
        <v>1</v>
      </c>
      <c r="L2089">
        <v>0</v>
      </c>
      <c r="M2089">
        <v>14</v>
      </c>
      <c r="N2089" t="s">
        <v>41</v>
      </c>
      <c r="O2089" t="s">
        <v>27</v>
      </c>
      <c r="P2089">
        <v>2.9154400688240001</v>
      </c>
      <c r="Q2089">
        <v>1.2274492060900799</v>
      </c>
      <c r="R2089">
        <v>4.4290255963790699</v>
      </c>
      <c r="S2089">
        <v>66</v>
      </c>
      <c r="T2089">
        <v>54</v>
      </c>
      <c r="U2089">
        <v>237.41883890335399</v>
      </c>
      <c r="V2089">
        <v>2.16718266253869E-2</v>
      </c>
      <c r="W2089">
        <v>419390.15290050203</v>
      </c>
      <c r="X2089" t="s">
        <v>28</v>
      </c>
      <c r="Y2089">
        <f>1-881-572-9016</f>
        <v>-10468</v>
      </c>
    </row>
    <row r="2090" spans="1:25" x14ac:dyDescent="0.35">
      <c r="A2090">
        <v>38.541097173098102</v>
      </c>
      <c r="B2090">
        <v>-116.651380256141</v>
      </c>
      <c r="C2090" t="s">
        <v>29</v>
      </c>
      <c r="D2090">
        <v>17.729809014629101</v>
      </c>
      <c r="E2090">
        <v>5</v>
      </c>
      <c r="F2090">
        <v>2382</v>
      </c>
      <c r="G2090">
        <v>5</v>
      </c>
      <c r="H2090">
        <v>2</v>
      </c>
      <c r="I2090">
        <v>1998</v>
      </c>
      <c r="J2090">
        <v>0</v>
      </c>
      <c r="K2090">
        <v>1</v>
      </c>
      <c r="L2090">
        <v>1</v>
      </c>
      <c r="M2090">
        <v>10</v>
      </c>
      <c r="N2090" t="s">
        <v>35</v>
      </c>
      <c r="O2090" t="s">
        <v>32</v>
      </c>
      <c r="P2090">
        <v>11.402511518275601</v>
      </c>
      <c r="Q2090">
        <v>2.3621782418535799</v>
      </c>
      <c r="R2090">
        <v>8.5056848135807996</v>
      </c>
      <c r="S2090">
        <v>110</v>
      </c>
      <c r="T2090">
        <v>29</v>
      </c>
      <c r="U2090">
        <v>228.977712712781</v>
      </c>
      <c r="V2090">
        <v>4.1981528127623801E-3</v>
      </c>
      <c r="W2090">
        <v>1012444.2257723199</v>
      </c>
      <c r="X2090" t="s">
        <v>31</v>
      </c>
      <c r="Y2090">
        <f>1-992-925-8469</f>
        <v>-10385</v>
      </c>
    </row>
    <row r="2091" spans="1:25" x14ac:dyDescent="0.35">
      <c r="A2091">
        <v>39.512020845828502</v>
      </c>
      <c r="B2091">
        <v>-117.497235078656</v>
      </c>
      <c r="C2091" t="s">
        <v>29</v>
      </c>
      <c r="D2091">
        <v>42.469817234013099</v>
      </c>
      <c r="E2091">
        <v>0</v>
      </c>
      <c r="F2091">
        <v>1098</v>
      </c>
      <c r="G2091">
        <v>2</v>
      </c>
      <c r="H2091">
        <v>2</v>
      </c>
      <c r="I2091">
        <v>2018</v>
      </c>
      <c r="J2091">
        <v>1</v>
      </c>
      <c r="K2091">
        <v>1</v>
      </c>
      <c r="L2091">
        <v>0</v>
      </c>
      <c r="M2091">
        <v>9</v>
      </c>
      <c r="N2091" t="s">
        <v>35</v>
      </c>
      <c r="O2091" t="s">
        <v>32</v>
      </c>
      <c r="P2091">
        <v>4.7968942707637403</v>
      </c>
      <c r="Q2091">
        <v>2.1480298575828098</v>
      </c>
      <c r="R2091">
        <v>9.6764781185471591</v>
      </c>
      <c r="S2091">
        <v>47</v>
      </c>
      <c r="T2091">
        <v>78</v>
      </c>
      <c r="U2091">
        <v>253.53692059161401</v>
      </c>
      <c r="V2091">
        <v>8.1967213114754103E-3</v>
      </c>
      <c r="W2091">
        <v>539538.27803627495</v>
      </c>
      <c r="X2091" t="s">
        <v>39</v>
      </c>
      <c r="Y2091">
        <f>1-627-940-6236</f>
        <v>-7802</v>
      </c>
    </row>
    <row r="2092" spans="1:25" x14ac:dyDescent="0.35">
      <c r="A2092">
        <v>41.9841436496081</v>
      </c>
      <c r="B2092">
        <v>-120.450051004065</v>
      </c>
      <c r="C2092" t="s">
        <v>34</v>
      </c>
      <c r="D2092">
        <v>9.9898778240614696</v>
      </c>
      <c r="E2092">
        <v>7</v>
      </c>
      <c r="F2092">
        <v>3249</v>
      </c>
      <c r="G2092">
        <v>4</v>
      </c>
      <c r="H2092">
        <v>2</v>
      </c>
      <c r="I2092">
        <v>1961</v>
      </c>
      <c r="J2092">
        <v>0</v>
      </c>
      <c r="K2092">
        <v>0</v>
      </c>
      <c r="L2092">
        <v>1</v>
      </c>
      <c r="M2092">
        <v>11</v>
      </c>
      <c r="N2092" t="s">
        <v>35</v>
      </c>
      <c r="O2092" t="s">
        <v>27</v>
      </c>
      <c r="P2092">
        <v>6.3998212611690999</v>
      </c>
      <c r="Q2092">
        <v>0.808031712364643</v>
      </c>
      <c r="R2092">
        <v>2.4631286686651799</v>
      </c>
      <c r="S2092">
        <v>47</v>
      </c>
      <c r="T2092">
        <v>67</v>
      </c>
      <c r="U2092">
        <v>348.460459170636</v>
      </c>
      <c r="V2092">
        <v>3.3856571252693099E-3</v>
      </c>
      <c r="W2092">
        <v>1395867.96221439</v>
      </c>
      <c r="X2092" t="s">
        <v>43</v>
      </c>
      <c r="Y2092">
        <f>1-732-132-4418</f>
        <v>-5281</v>
      </c>
    </row>
    <row r="2093" spans="1:25" x14ac:dyDescent="0.35">
      <c r="A2093">
        <v>41.152810097975099</v>
      </c>
      <c r="B2093">
        <v>-116.73544942788899</v>
      </c>
      <c r="C2093" t="s">
        <v>29</v>
      </c>
      <c r="D2093">
        <v>40.7581424571433</v>
      </c>
      <c r="E2093">
        <v>0</v>
      </c>
      <c r="F2093">
        <v>936</v>
      </c>
      <c r="G2093">
        <v>2</v>
      </c>
      <c r="H2093">
        <v>2</v>
      </c>
      <c r="I2093">
        <v>1971</v>
      </c>
      <c r="J2093">
        <v>1</v>
      </c>
      <c r="K2093">
        <v>1</v>
      </c>
      <c r="L2093">
        <v>1</v>
      </c>
      <c r="M2093">
        <v>4</v>
      </c>
      <c r="N2093" t="s">
        <v>41</v>
      </c>
      <c r="O2093" t="s">
        <v>30</v>
      </c>
      <c r="P2093">
        <v>13.3325548684425</v>
      </c>
      <c r="Q2093">
        <v>2.0164922526818398</v>
      </c>
      <c r="R2093">
        <v>2.5791817321000798</v>
      </c>
      <c r="S2093">
        <v>78</v>
      </c>
      <c r="T2093">
        <v>63</v>
      </c>
      <c r="U2093">
        <v>479.11742939865002</v>
      </c>
      <c r="V2093">
        <v>4.2735042735042696E-3</v>
      </c>
      <c r="W2093">
        <v>876983.31203097606</v>
      </c>
      <c r="X2093" t="s">
        <v>43</v>
      </c>
      <c r="Y2093">
        <f>1-235-239-1062</f>
        <v>-1535</v>
      </c>
    </row>
    <row r="2094" spans="1:25" x14ac:dyDescent="0.35">
      <c r="A2094">
        <v>38.800444746519602</v>
      </c>
      <c r="B2094">
        <v>-124.062334446016</v>
      </c>
      <c r="C2094" t="s">
        <v>29</v>
      </c>
      <c r="D2094">
        <v>46.925809686620902</v>
      </c>
      <c r="E2094">
        <v>8</v>
      </c>
      <c r="F2094">
        <v>4646</v>
      </c>
      <c r="G2094">
        <v>3</v>
      </c>
      <c r="H2094">
        <v>1</v>
      </c>
      <c r="I2094">
        <v>2008</v>
      </c>
      <c r="J2094">
        <v>0</v>
      </c>
      <c r="K2094">
        <v>0</v>
      </c>
      <c r="L2094">
        <v>1</v>
      </c>
      <c r="M2094">
        <v>7</v>
      </c>
      <c r="N2094" t="s">
        <v>26</v>
      </c>
      <c r="O2094" t="s">
        <v>30</v>
      </c>
      <c r="P2094">
        <v>7.4492715914904899</v>
      </c>
      <c r="Q2094">
        <v>1.01979859011748</v>
      </c>
      <c r="R2094">
        <v>3.2393419604502798</v>
      </c>
      <c r="S2094">
        <v>60</v>
      </c>
      <c r="T2094">
        <v>77</v>
      </c>
      <c r="U2094">
        <v>408.449758045968</v>
      </c>
      <c r="V2094">
        <v>1.50667240637107E-3</v>
      </c>
      <c r="W2094">
        <v>2114264.5075573199</v>
      </c>
      <c r="X2094" t="s">
        <v>28</v>
      </c>
      <c r="Y2094">
        <f>1-528-831-2534</f>
        <v>-3892</v>
      </c>
    </row>
    <row r="2095" spans="1:25" x14ac:dyDescent="0.35">
      <c r="A2095">
        <v>33.865540094701402</v>
      </c>
      <c r="B2095">
        <v>-117.45445148923901</v>
      </c>
      <c r="C2095" t="s">
        <v>29</v>
      </c>
      <c r="D2095">
        <v>27.420323204036901</v>
      </c>
      <c r="E2095">
        <v>2</v>
      </c>
      <c r="F2095">
        <v>3697</v>
      </c>
      <c r="G2095">
        <v>5</v>
      </c>
      <c r="H2095">
        <v>2</v>
      </c>
      <c r="I2095">
        <v>1959</v>
      </c>
      <c r="J2095">
        <v>0</v>
      </c>
      <c r="K2095">
        <v>1</v>
      </c>
      <c r="L2095">
        <v>1</v>
      </c>
      <c r="M2095">
        <v>2</v>
      </c>
      <c r="N2095" t="s">
        <v>35</v>
      </c>
      <c r="O2095" t="s">
        <v>30</v>
      </c>
      <c r="P2095">
        <v>10.5688573139636</v>
      </c>
      <c r="Q2095">
        <v>0.62881299662490298</v>
      </c>
      <c r="R2095">
        <v>9.0469353335440399</v>
      </c>
      <c r="S2095">
        <v>54</v>
      </c>
      <c r="T2095">
        <v>54</v>
      </c>
      <c r="U2095">
        <v>948.82167303553399</v>
      </c>
      <c r="V2095">
        <v>5.4097917230186605E-4</v>
      </c>
      <c r="W2095">
        <v>4037544.7020413</v>
      </c>
      <c r="X2095" t="s">
        <v>39</v>
      </c>
      <c r="Y2095">
        <f>1-919-645-2770</f>
        <v>-4333</v>
      </c>
    </row>
    <row r="2096" spans="1:25" x14ac:dyDescent="0.35">
      <c r="A2096">
        <v>35.952658954213497</v>
      </c>
      <c r="B2096">
        <v>-122.41913469651</v>
      </c>
      <c r="C2096" t="s">
        <v>29</v>
      </c>
      <c r="D2096">
        <v>37.919634220874698</v>
      </c>
      <c r="E2096">
        <v>4</v>
      </c>
      <c r="F2096">
        <v>3802</v>
      </c>
      <c r="G2096">
        <v>3</v>
      </c>
      <c r="H2096">
        <v>1</v>
      </c>
      <c r="I2096">
        <v>1990</v>
      </c>
      <c r="J2096">
        <v>1</v>
      </c>
      <c r="K2096">
        <v>0</v>
      </c>
      <c r="L2096">
        <v>0</v>
      </c>
      <c r="M2096">
        <v>10</v>
      </c>
      <c r="N2096" t="s">
        <v>41</v>
      </c>
      <c r="O2096" t="s">
        <v>30</v>
      </c>
      <c r="P2096">
        <v>12.1715228545609</v>
      </c>
      <c r="Q2096">
        <v>1.53221832562209</v>
      </c>
      <c r="R2096">
        <v>7.6741062218742799</v>
      </c>
      <c r="S2096">
        <v>58</v>
      </c>
      <c r="T2096">
        <v>70</v>
      </c>
      <c r="U2096">
        <v>686.83694163049404</v>
      </c>
      <c r="V2096">
        <v>2.6301946344029401E-3</v>
      </c>
      <c r="W2096">
        <v>2874933.9756621202</v>
      </c>
      <c r="X2096" t="s">
        <v>39</v>
      </c>
      <c r="Y2096">
        <f>1-435-175-1387</f>
        <v>-1996</v>
      </c>
    </row>
    <row r="2097" spans="1:25" x14ac:dyDescent="0.35">
      <c r="A2097">
        <v>37.600748128476802</v>
      </c>
      <c r="B2097">
        <v>-118.59484854660001</v>
      </c>
      <c r="C2097" t="s">
        <v>29</v>
      </c>
      <c r="D2097">
        <v>19.044809684535402</v>
      </c>
      <c r="E2097">
        <v>5</v>
      </c>
      <c r="F2097">
        <v>4665</v>
      </c>
      <c r="G2097">
        <v>1</v>
      </c>
      <c r="H2097">
        <v>3</v>
      </c>
      <c r="I2097">
        <v>1990</v>
      </c>
      <c r="J2097">
        <v>0</v>
      </c>
      <c r="K2097">
        <v>0</v>
      </c>
      <c r="L2097">
        <v>1</v>
      </c>
      <c r="M2097">
        <v>4</v>
      </c>
      <c r="N2097" t="s">
        <v>26</v>
      </c>
      <c r="O2097" t="s">
        <v>32</v>
      </c>
      <c r="P2097">
        <v>11.8699600740397</v>
      </c>
      <c r="Q2097">
        <v>2.0555630560095901</v>
      </c>
      <c r="R2097">
        <v>7.6450847474585002</v>
      </c>
      <c r="S2097">
        <v>94</v>
      </c>
      <c r="T2097">
        <v>58</v>
      </c>
      <c r="U2097">
        <v>415.59302609880098</v>
      </c>
      <c r="V2097">
        <v>8.5744908896034195E-4</v>
      </c>
      <c r="W2097">
        <v>2083821.1349728401</v>
      </c>
      <c r="X2097" t="s">
        <v>33</v>
      </c>
      <c r="Y2097">
        <f>1-978-188-1255</f>
        <v>-2420</v>
      </c>
    </row>
    <row r="2098" spans="1:25" x14ac:dyDescent="0.35">
      <c r="A2098">
        <v>34.763180114305499</v>
      </c>
      <c r="B2098">
        <v>-115.897193763643</v>
      </c>
      <c r="C2098" t="s">
        <v>29</v>
      </c>
      <c r="D2098">
        <v>15.8034709554481</v>
      </c>
      <c r="E2098">
        <v>4</v>
      </c>
      <c r="F2098">
        <v>3634</v>
      </c>
      <c r="G2098">
        <v>5</v>
      </c>
      <c r="H2098">
        <v>1</v>
      </c>
      <c r="I2098">
        <v>1951</v>
      </c>
      <c r="J2098">
        <v>0</v>
      </c>
      <c r="K2098">
        <v>0</v>
      </c>
      <c r="L2098">
        <v>1</v>
      </c>
      <c r="M2098">
        <v>3</v>
      </c>
      <c r="N2098" t="s">
        <v>35</v>
      </c>
      <c r="O2098" t="s">
        <v>32</v>
      </c>
      <c r="P2098">
        <v>13.367657933945001</v>
      </c>
      <c r="Q2098">
        <v>0.791074044904579</v>
      </c>
      <c r="R2098">
        <v>2.6507811110137798</v>
      </c>
      <c r="S2098">
        <v>190</v>
      </c>
      <c r="T2098">
        <v>49</v>
      </c>
      <c r="U2098">
        <v>366.27381951317699</v>
      </c>
      <c r="V2098">
        <v>8.2553659878921296E-4</v>
      </c>
      <c r="W2098">
        <v>1655461.7338124099</v>
      </c>
      <c r="X2098" t="s">
        <v>28</v>
      </c>
      <c r="Y2098">
        <f>1-840-372-7067</f>
        <v>-8278</v>
      </c>
    </row>
    <row r="2099" spans="1:25" x14ac:dyDescent="0.35">
      <c r="A2099">
        <v>36.928564902376401</v>
      </c>
      <c r="B2099">
        <v>-119.73946500531299</v>
      </c>
      <c r="C2099" t="s">
        <v>29</v>
      </c>
      <c r="D2099">
        <v>14.405445970622299</v>
      </c>
      <c r="E2099">
        <v>2</v>
      </c>
      <c r="F2099">
        <v>4372</v>
      </c>
      <c r="G2099">
        <v>4</v>
      </c>
      <c r="H2099">
        <v>2</v>
      </c>
      <c r="I2099">
        <v>1986</v>
      </c>
      <c r="J2099">
        <v>1</v>
      </c>
      <c r="K2099">
        <v>0</v>
      </c>
      <c r="L2099">
        <v>1</v>
      </c>
      <c r="M2099">
        <v>14</v>
      </c>
      <c r="N2099" t="s">
        <v>35</v>
      </c>
      <c r="O2099" t="s">
        <v>27</v>
      </c>
      <c r="P2099">
        <v>13.995908520321199</v>
      </c>
      <c r="Q2099">
        <v>1.2908558049223</v>
      </c>
      <c r="R2099">
        <v>5.25915242622718</v>
      </c>
      <c r="S2099">
        <v>172</v>
      </c>
      <c r="T2099">
        <v>22</v>
      </c>
      <c r="U2099">
        <v>578.00021544311505</v>
      </c>
      <c r="V2099">
        <v>3.20219579139981E-3</v>
      </c>
      <c r="W2099">
        <v>2870093.51737122</v>
      </c>
      <c r="X2099" t="s">
        <v>43</v>
      </c>
      <c r="Y2099">
        <f>1-713-189-4355</f>
        <v>-5256</v>
      </c>
    </row>
    <row r="2100" spans="1:25" x14ac:dyDescent="0.35">
      <c r="A2100">
        <v>35.090095435084201</v>
      </c>
      <c r="B2100">
        <v>-119.755514885463</v>
      </c>
      <c r="C2100" t="s">
        <v>25</v>
      </c>
      <c r="D2100">
        <v>40.682456821404998</v>
      </c>
      <c r="E2100">
        <v>5</v>
      </c>
      <c r="F2100">
        <v>2251</v>
      </c>
      <c r="G2100">
        <v>5</v>
      </c>
      <c r="H2100">
        <v>3</v>
      </c>
      <c r="I2100">
        <v>2010</v>
      </c>
      <c r="J2100">
        <v>0</v>
      </c>
      <c r="K2100">
        <v>1</v>
      </c>
      <c r="L2100">
        <v>1</v>
      </c>
      <c r="M2100">
        <v>3</v>
      </c>
      <c r="N2100" t="s">
        <v>35</v>
      </c>
      <c r="O2100" t="s">
        <v>27</v>
      </c>
      <c r="P2100">
        <v>9.3598991950753501</v>
      </c>
      <c r="Q2100">
        <v>1.80119238287758</v>
      </c>
      <c r="R2100">
        <v>6.3465100763232503</v>
      </c>
      <c r="S2100">
        <v>48</v>
      </c>
      <c r="T2100">
        <v>26</v>
      </c>
      <c r="U2100">
        <v>320.92897683942601</v>
      </c>
      <c r="V2100">
        <v>1.3327410039982201E-3</v>
      </c>
      <c r="W2100">
        <v>1214704.1825719399</v>
      </c>
      <c r="X2100" t="s">
        <v>42</v>
      </c>
      <c r="Y2100">
        <f>1-300-248-9539</f>
        <v>-10086</v>
      </c>
    </row>
    <row r="2101" spans="1:25" x14ac:dyDescent="0.35">
      <c r="A2101">
        <v>36.441241832503401</v>
      </c>
      <c r="B2101">
        <v>-119.589157998413</v>
      </c>
      <c r="C2101" t="s">
        <v>34</v>
      </c>
      <c r="D2101">
        <v>6.4003293869276998</v>
      </c>
      <c r="E2101">
        <v>0</v>
      </c>
      <c r="F2101">
        <v>4714</v>
      </c>
      <c r="G2101">
        <v>2</v>
      </c>
      <c r="H2101">
        <v>3</v>
      </c>
      <c r="I2101">
        <v>1980</v>
      </c>
      <c r="J2101">
        <v>0</v>
      </c>
      <c r="K2101">
        <v>1</v>
      </c>
      <c r="L2101">
        <v>1</v>
      </c>
      <c r="M2101">
        <v>4</v>
      </c>
      <c r="N2101" t="s">
        <v>26</v>
      </c>
      <c r="O2101" t="s">
        <v>30</v>
      </c>
      <c r="P2101">
        <v>11.2846935321238</v>
      </c>
      <c r="Q2101">
        <v>0.90816105868302899</v>
      </c>
      <c r="R2101">
        <v>2.24442199726355</v>
      </c>
      <c r="S2101">
        <v>68</v>
      </c>
      <c r="T2101">
        <v>53</v>
      </c>
      <c r="U2101">
        <v>468.37617804986502</v>
      </c>
      <c r="V2101">
        <v>8.4853627492575295E-4</v>
      </c>
      <c r="W2101">
        <v>2578604.4223797498</v>
      </c>
      <c r="X2101" t="s">
        <v>39</v>
      </c>
      <c r="Y2101">
        <f>1-316-564-8079</f>
        <v>-8958</v>
      </c>
    </row>
    <row r="2102" spans="1:25" x14ac:dyDescent="0.35">
      <c r="A2102">
        <v>33.0082747523142</v>
      </c>
      <c r="B2102">
        <v>-118.650604845987</v>
      </c>
      <c r="C2102" t="s">
        <v>29</v>
      </c>
      <c r="D2102">
        <v>1.80857693936195</v>
      </c>
      <c r="E2102">
        <v>1</v>
      </c>
      <c r="F2102">
        <v>1420</v>
      </c>
      <c r="G2102">
        <v>5</v>
      </c>
      <c r="H2102">
        <v>3</v>
      </c>
      <c r="I2102">
        <v>1994</v>
      </c>
      <c r="J2102">
        <v>0</v>
      </c>
      <c r="K2102">
        <v>1</v>
      </c>
      <c r="L2102">
        <v>1</v>
      </c>
      <c r="M2102">
        <v>4</v>
      </c>
      <c r="N2102" t="s">
        <v>35</v>
      </c>
      <c r="O2102" t="s">
        <v>27</v>
      </c>
      <c r="P2102">
        <v>4.9671559305091897</v>
      </c>
      <c r="Q2102">
        <v>2.1415671814603998</v>
      </c>
      <c r="R2102">
        <v>4.6333354311446699</v>
      </c>
      <c r="S2102">
        <v>71</v>
      </c>
      <c r="T2102">
        <v>29</v>
      </c>
      <c r="U2102">
        <v>994.17514612132095</v>
      </c>
      <c r="V2102">
        <v>2.8169014084507E-3</v>
      </c>
      <c r="W2102">
        <v>1740246.1886258901</v>
      </c>
      <c r="X2102" t="s">
        <v>31</v>
      </c>
      <c r="Y2102">
        <f>1-900-541-9186</f>
        <v>-10626</v>
      </c>
    </row>
    <row r="2103" spans="1:25" x14ac:dyDescent="0.35">
      <c r="A2103">
        <v>36.7889751181416</v>
      </c>
      <c r="B2103">
        <v>-116.691137442703</v>
      </c>
      <c r="C2103" t="s">
        <v>29</v>
      </c>
      <c r="D2103">
        <v>25.7413329382737</v>
      </c>
      <c r="E2103">
        <v>0</v>
      </c>
      <c r="F2103">
        <v>3495</v>
      </c>
      <c r="G2103">
        <v>1</v>
      </c>
      <c r="H2103">
        <v>3</v>
      </c>
      <c r="I2103">
        <v>2019</v>
      </c>
      <c r="J2103">
        <v>0</v>
      </c>
      <c r="K2103">
        <v>1</v>
      </c>
      <c r="L2103">
        <v>1</v>
      </c>
      <c r="M2103">
        <v>11</v>
      </c>
      <c r="N2103" t="s">
        <v>41</v>
      </c>
      <c r="O2103" t="s">
        <v>27</v>
      </c>
      <c r="P2103">
        <v>6.2619741873737196</v>
      </c>
      <c r="Q2103">
        <v>0.95610434511615505</v>
      </c>
      <c r="R2103">
        <v>2.46675333244916</v>
      </c>
      <c r="S2103">
        <v>93</v>
      </c>
      <c r="T2103">
        <v>61</v>
      </c>
      <c r="U2103">
        <v>730.34196050074502</v>
      </c>
      <c r="V2103">
        <v>3.14735336194563E-3</v>
      </c>
      <c r="W2103">
        <v>2870460.8096955302</v>
      </c>
      <c r="X2103" t="s">
        <v>38</v>
      </c>
      <c r="Y2103">
        <f>1-853-567-7277</f>
        <v>-8696</v>
      </c>
    </row>
    <row r="2104" spans="1:25" x14ac:dyDescent="0.35">
      <c r="A2104">
        <v>33.915743735940403</v>
      </c>
      <c r="B2104">
        <v>-122.35304831579001</v>
      </c>
      <c r="C2104" t="s">
        <v>25</v>
      </c>
      <c r="D2104">
        <v>30.007655544074701</v>
      </c>
      <c r="E2104">
        <v>0</v>
      </c>
      <c r="F2104">
        <v>2005</v>
      </c>
      <c r="G2104">
        <v>5</v>
      </c>
      <c r="H2104">
        <v>2</v>
      </c>
      <c r="I2104">
        <v>2013</v>
      </c>
      <c r="J2104">
        <v>1</v>
      </c>
      <c r="K2104">
        <v>1</v>
      </c>
      <c r="L2104">
        <v>1</v>
      </c>
      <c r="M2104">
        <v>5</v>
      </c>
      <c r="N2104" t="s">
        <v>35</v>
      </c>
      <c r="O2104" t="s">
        <v>27</v>
      </c>
      <c r="P2104">
        <v>10.682259769902601</v>
      </c>
      <c r="Q2104">
        <v>2.1227124712574601</v>
      </c>
      <c r="R2104">
        <v>2.4858992499680199</v>
      </c>
      <c r="S2104">
        <v>150</v>
      </c>
      <c r="T2104">
        <v>58</v>
      </c>
      <c r="U2104">
        <v>956.57595781789405</v>
      </c>
      <c r="V2104">
        <v>2.4937655860349101E-3</v>
      </c>
      <c r="W2104">
        <v>2441322.7661506999</v>
      </c>
      <c r="X2104" t="s">
        <v>31</v>
      </c>
      <c r="Y2104">
        <f>1-909-531-9889</f>
        <v>-11328</v>
      </c>
    </row>
    <row r="2105" spans="1:25" x14ac:dyDescent="0.35">
      <c r="A2105">
        <v>40.560504934379502</v>
      </c>
      <c r="B2105">
        <v>-123.438390030695</v>
      </c>
      <c r="C2105" t="s">
        <v>29</v>
      </c>
      <c r="D2105">
        <v>38.355806617998802</v>
      </c>
      <c r="E2105">
        <v>9</v>
      </c>
      <c r="F2105">
        <v>4215</v>
      </c>
      <c r="G2105">
        <v>4</v>
      </c>
      <c r="H2105">
        <v>1</v>
      </c>
      <c r="I2105">
        <v>2016</v>
      </c>
      <c r="J2105">
        <v>0</v>
      </c>
      <c r="K2105">
        <v>0</v>
      </c>
      <c r="L2105">
        <v>1</v>
      </c>
      <c r="M2105">
        <v>8</v>
      </c>
      <c r="N2105" t="s">
        <v>41</v>
      </c>
      <c r="O2105" t="s">
        <v>27</v>
      </c>
      <c r="P2105">
        <v>7.04150006950095</v>
      </c>
      <c r="Q2105">
        <v>2.4086037544604499</v>
      </c>
      <c r="R2105">
        <v>0.97164847937412002</v>
      </c>
      <c r="S2105">
        <v>189</v>
      </c>
      <c r="T2105">
        <v>31</v>
      </c>
      <c r="U2105">
        <v>744.24708498762595</v>
      </c>
      <c r="V2105">
        <v>1.8979833926453099E-3</v>
      </c>
      <c r="W2105">
        <v>3373307.7174586202</v>
      </c>
      <c r="X2105" t="s">
        <v>43</v>
      </c>
      <c r="Y2105">
        <f>1-330-105-7642</f>
        <v>-8076</v>
      </c>
    </row>
    <row r="2106" spans="1:25" x14ac:dyDescent="0.35">
      <c r="A2106">
        <v>35.922890451913098</v>
      </c>
      <c r="B2106">
        <v>-116.737313759758</v>
      </c>
      <c r="C2106" t="s">
        <v>25</v>
      </c>
      <c r="D2106">
        <v>17.165583479461802</v>
      </c>
      <c r="E2106">
        <v>5</v>
      </c>
      <c r="F2106">
        <v>3069</v>
      </c>
      <c r="G2106">
        <v>4</v>
      </c>
      <c r="H2106">
        <v>2</v>
      </c>
      <c r="I2106">
        <v>1952</v>
      </c>
      <c r="J2106">
        <v>1</v>
      </c>
      <c r="K2106">
        <v>0</v>
      </c>
      <c r="L2106">
        <v>1</v>
      </c>
      <c r="M2106">
        <v>11</v>
      </c>
      <c r="N2106" t="s">
        <v>41</v>
      </c>
      <c r="O2106" t="s">
        <v>27</v>
      </c>
      <c r="P2106">
        <v>5.21246331906368</v>
      </c>
      <c r="Q2106">
        <v>1.03856335523132</v>
      </c>
      <c r="R2106">
        <v>2.6519599016286399</v>
      </c>
      <c r="S2106">
        <v>28</v>
      </c>
      <c r="T2106">
        <v>38</v>
      </c>
      <c r="U2106">
        <v>440.01483063926298</v>
      </c>
      <c r="V2106">
        <v>3.5842293906810001E-3</v>
      </c>
      <c r="W2106">
        <v>1593787.19781317</v>
      </c>
      <c r="X2106" t="s">
        <v>28</v>
      </c>
      <c r="Y2106">
        <f>1-560-802-4003</f>
        <v>-5364</v>
      </c>
    </row>
    <row r="2107" spans="1:25" x14ac:dyDescent="0.35">
      <c r="A2107">
        <v>38.932837270637201</v>
      </c>
      <c r="B2107">
        <v>-116.127119532348</v>
      </c>
      <c r="C2107" t="s">
        <v>25</v>
      </c>
      <c r="D2107">
        <v>25.914915141109599</v>
      </c>
      <c r="E2107">
        <v>1</v>
      </c>
      <c r="F2107">
        <v>3988</v>
      </c>
      <c r="G2107">
        <v>5</v>
      </c>
      <c r="H2107">
        <v>3</v>
      </c>
      <c r="I2107">
        <v>1996</v>
      </c>
      <c r="J2107">
        <v>1</v>
      </c>
      <c r="K2107">
        <v>0</v>
      </c>
      <c r="L2107">
        <v>0</v>
      </c>
      <c r="M2107">
        <v>7</v>
      </c>
      <c r="N2107" t="s">
        <v>41</v>
      </c>
      <c r="O2107" t="s">
        <v>32</v>
      </c>
      <c r="P2107">
        <v>8.0121787105611908</v>
      </c>
      <c r="Q2107">
        <v>2.2018015869463698</v>
      </c>
      <c r="R2107">
        <v>9.0933128040637001</v>
      </c>
      <c r="S2107">
        <v>23</v>
      </c>
      <c r="T2107">
        <v>56</v>
      </c>
      <c r="U2107">
        <v>508.67529356312201</v>
      </c>
      <c r="V2107">
        <v>1.7552657973921701E-3</v>
      </c>
      <c r="W2107">
        <v>2478682.2491061701</v>
      </c>
      <c r="X2107" t="s">
        <v>36</v>
      </c>
      <c r="Y2107">
        <f>1-979-823-6903</f>
        <v>-8704</v>
      </c>
    </row>
    <row r="2108" spans="1:25" x14ac:dyDescent="0.35">
      <c r="A2108">
        <v>34.393045792336899</v>
      </c>
      <c r="B2108">
        <v>-114.395708012011</v>
      </c>
      <c r="C2108" t="s">
        <v>34</v>
      </c>
      <c r="D2108">
        <v>22.710492974627599</v>
      </c>
      <c r="E2108">
        <v>9</v>
      </c>
      <c r="F2108">
        <v>2603</v>
      </c>
      <c r="G2108">
        <v>1</v>
      </c>
      <c r="H2108">
        <v>3</v>
      </c>
      <c r="I2108">
        <v>1993</v>
      </c>
      <c r="J2108">
        <v>0</v>
      </c>
      <c r="K2108">
        <v>1</v>
      </c>
      <c r="L2108">
        <v>1</v>
      </c>
      <c r="M2108">
        <v>4</v>
      </c>
      <c r="N2108" t="s">
        <v>37</v>
      </c>
      <c r="O2108" t="s">
        <v>30</v>
      </c>
      <c r="P2108">
        <v>6.1357429233248997</v>
      </c>
      <c r="Q2108">
        <v>0.58202418118792898</v>
      </c>
      <c r="R2108">
        <v>9.1682090940441103</v>
      </c>
      <c r="S2108">
        <v>107</v>
      </c>
      <c r="T2108">
        <v>55</v>
      </c>
      <c r="U2108">
        <v>439.75038051579702</v>
      </c>
      <c r="V2108">
        <v>1.5366884364195099E-3</v>
      </c>
      <c r="W2108">
        <v>1364722.9096917</v>
      </c>
      <c r="X2108" t="s">
        <v>42</v>
      </c>
      <c r="Y2108">
        <f>1-527-323-2867</f>
        <v>-3716</v>
      </c>
    </row>
    <row r="2109" spans="1:25" x14ac:dyDescent="0.35">
      <c r="A2109">
        <v>39.596567054056202</v>
      </c>
      <c r="B2109">
        <v>-118.84399964782401</v>
      </c>
      <c r="C2109" t="s">
        <v>25</v>
      </c>
      <c r="D2109">
        <v>5.61122019133101</v>
      </c>
      <c r="E2109">
        <v>9</v>
      </c>
      <c r="F2109">
        <v>4600</v>
      </c>
      <c r="G2109">
        <v>4</v>
      </c>
      <c r="H2109">
        <v>1</v>
      </c>
      <c r="I2109">
        <v>1972</v>
      </c>
      <c r="J2109">
        <v>0</v>
      </c>
      <c r="K2109">
        <v>0</v>
      </c>
      <c r="L2109">
        <v>1</v>
      </c>
      <c r="M2109">
        <v>9</v>
      </c>
      <c r="N2109" t="s">
        <v>35</v>
      </c>
      <c r="O2109" t="s">
        <v>27</v>
      </c>
      <c r="P2109">
        <v>8.3938673718615995</v>
      </c>
      <c r="Q2109">
        <v>1.3672139263632299</v>
      </c>
      <c r="R2109">
        <v>1.4811256920306699</v>
      </c>
      <c r="S2109">
        <v>53</v>
      </c>
      <c r="T2109">
        <v>52</v>
      </c>
      <c r="U2109">
        <v>488.44442173539397</v>
      </c>
      <c r="V2109">
        <v>1.9565217391304302E-3</v>
      </c>
      <c r="W2109">
        <v>2482540.9581773598</v>
      </c>
      <c r="X2109" t="s">
        <v>36</v>
      </c>
      <c r="Y2109">
        <f>1-964-978-2654</f>
        <v>-4595</v>
      </c>
    </row>
    <row r="2110" spans="1:25" x14ac:dyDescent="0.35">
      <c r="A2110">
        <v>38.868819343496803</v>
      </c>
      <c r="B2110">
        <v>-115.436888858229</v>
      </c>
      <c r="C2110" t="s">
        <v>25</v>
      </c>
      <c r="D2110">
        <v>46.332255600154802</v>
      </c>
      <c r="E2110">
        <v>9</v>
      </c>
      <c r="F2110">
        <v>3574</v>
      </c>
      <c r="G2110">
        <v>1</v>
      </c>
      <c r="H2110">
        <v>3</v>
      </c>
      <c r="I2110">
        <v>1992</v>
      </c>
      <c r="J2110">
        <v>1</v>
      </c>
      <c r="K2110">
        <v>0</v>
      </c>
      <c r="L2110">
        <v>0</v>
      </c>
      <c r="M2110">
        <v>13</v>
      </c>
      <c r="N2110" t="s">
        <v>35</v>
      </c>
      <c r="O2110" t="s">
        <v>32</v>
      </c>
      <c r="P2110">
        <v>9.3278182171186597</v>
      </c>
      <c r="Q2110">
        <v>1.95942830054992</v>
      </c>
      <c r="R2110">
        <v>6.0023498202860202</v>
      </c>
      <c r="S2110">
        <v>177</v>
      </c>
      <c r="T2110">
        <v>79</v>
      </c>
      <c r="U2110">
        <v>330.33029097896298</v>
      </c>
      <c r="V2110">
        <v>3.6373810856183499E-3</v>
      </c>
      <c r="W2110">
        <v>1323888.7237271999</v>
      </c>
      <c r="X2110" t="s">
        <v>31</v>
      </c>
      <c r="Y2110">
        <f>1-512-956-5200</f>
        <v>-6667</v>
      </c>
    </row>
    <row r="2111" spans="1:25" x14ac:dyDescent="0.35">
      <c r="A2111">
        <v>37.358691807345302</v>
      </c>
      <c r="B2111">
        <v>-117.93458127423899</v>
      </c>
      <c r="C2111" t="s">
        <v>34</v>
      </c>
      <c r="D2111">
        <v>1.29622680928859</v>
      </c>
      <c r="E2111">
        <v>7</v>
      </c>
      <c r="F2111">
        <v>2919</v>
      </c>
      <c r="G2111">
        <v>3</v>
      </c>
      <c r="H2111">
        <v>3</v>
      </c>
      <c r="I2111">
        <v>1958</v>
      </c>
      <c r="J2111">
        <v>1</v>
      </c>
      <c r="K2111">
        <v>0</v>
      </c>
      <c r="L2111">
        <v>0</v>
      </c>
      <c r="M2111">
        <v>12</v>
      </c>
      <c r="N2111" t="s">
        <v>26</v>
      </c>
      <c r="O2111" t="s">
        <v>30</v>
      </c>
      <c r="P2111">
        <v>7.6271424831893899</v>
      </c>
      <c r="Q2111">
        <v>1.17130457766746</v>
      </c>
      <c r="R2111">
        <v>7.6445484826569103</v>
      </c>
      <c r="S2111">
        <v>186</v>
      </c>
      <c r="T2111">
        <v>52</v>
      </c>
      <c r="U2111">
        <v>682.97199690926902</v>
      </c>
      <c r="V2111">
        <v>4.1109969167523099E-3</v>
      </c>
      <c r="W2111">
        <v>2181665.5122260801</v>
      </c>
      <c r="X2111" t="s">
        <v>39</v>
      </c>
      <c r="Y2111">
        <f>1-695-474-7104</f>
        <v>-8272</v>
      </c>
    </row>
    <row r="2112" spans="1:25" x14ac:dyDescent="0.35">
      <c r="A2112">
        <v>35.439123406952</v>
      </c>
      <c r="B2112">
        <v>-120.699235466339</v>
      </c>
      <c r="C2112" t="s">
        <v>29</v>
      </c>
      <c r="D2112">
        <v>37.999549083509898</v>
      </c>
      <c r="E2112">
        <v>6</v>
      </c>
      <c r="F2112">
        <v>4883</v>
      </c>
      <c r="G2112">
        <v>4</v>
      </c>
      <c r="H2112">
        <v>3</v>
      </c>
      <c r="I2112">
        <v>2002</v>
      </c>
      <c r="J2112">
        <v>0</v>
      </c>
      <c r="K2112">
        <v>1</v>
      </c>
      <c r="L2112">
        <v>1</v>
      </c>
      <c r="M2112">
        <v>14</v>
      </c>
      <c r="N2112" t="s">
        <v>41</v>
      </c>
      <c r="O2112" t="s">
        <v>27</v>
      </c>
      <c r="P2112">
        <v>11.356225680783099</v>
      </c>
      <c r="Q2112">
        <v>1.7845019856923201</v>
      </c>
      <c r="R2112">
        <v>5.4817554795068899</v>
      </c>
      <c r="S2112">
        <v>32</v>
      </c>
      <c r="T2112">
        <v>67</v>
      </c>
      <c r="U2112">
        <v>958.28599758220503</v>
      </c>
      <c r="V2112">
        <v>2.8670899037476901E-3</v>
      </c>
      <c r="W2112">
        <v>5170342.9521865901</v>
      </c>
      <c r="X2112" t="s">
        <v>44</v>
      </c>
      <c r="Y2112">
        <f>1-376-689-3299</f>
        <v>-4363</v>
      </c>
    </row>
    <row r="2113" spans="1:25" x14ac:dyDescent="0.35">
      <c r="A2113">
        <v>38.567594223255099</v>
      </c>
      <c r="B2113">
        <v>-120.54285545526599</v>
      </c>
      <c r="C2113" t="s">
        <v>25</v>
      </c>
      <c r="D2113">
        <v>16.746135334502799</v>
      </c>
      <c r="E2113">
        <v>7</v>
      </c>
      <c r="F2113">
        <v>1975</v>
      </c>
      <c r="G2113">
        <v>5</v>
      </c>
      <c r="H2113">
        <v>3</v>
      </c>
      <c r="I2113">
        <v>1967</v>
      </c>
      <c r="J2113">
        <v>0</v>
      </c>
      <c r="K2113">
        <v>1</v>
      </c>
      <c r="L2113">
        <v>1</v>
      </c>
      <c r="M2113">
        <v>6</v>
      </c>
      <c r="N2113" t="s">
        <v>37</v>
      </c>
      <c r="O2113" t="s">
        <v>27</v>
      </c>
      <c r="P2113">
        <v>11.207335811980901</v>
      </c>
      <c r="Q2113">
        <v>1.29313635167425</v>
      </c>
      <c r="R2113">
        <v>5.8626492318331103</v>
      </c>
      <c r="S2113">
        <v>173</v>
      </c>
      <c r="T2113">
        <v>38</v>
      </c>
      <c r="U2113">
        <v>479.55871374907201</v>
      </c>
      <c r="V2113">
        <v>3.0379746835442999E-3</v>
      </c>
      <c r="W2113">
        <v>1448379.2767254501</v>
      </c>
      <c r="X2113" t="s">
        <v>39</v>
      </c>
      <c r="Y2113">
        <f>1-386-521-5614</f>
        <v>-6520</v>
      </c>
    </row>
    <row r="2114" spans="1:25" x14ac:dyDescent="0.35">
      <c r="A2114">
        <v>33.748646891602696</v>
      </c>
      <c r="B2114">
        <v>-119.857376328919</v>
      </c>
      <c r="C2114" t="s">
        <v>25</v>
      </c>
      <c r="D2114">
        <v>34.489262409820398</v>
      </c>
      <c r="E2114">
        <v>3</v>
      </c>
      <c r="F2114">
        <v>2869</v>
      </c>
      <c r="G2114">
        <v>3</v>
      </c>
      <c r="H2114">
        <v>1</v>
      </c>
      <c r="I2114">
        <v>1997</v>
      </c>
      <c r="J2114">
        <v>0</v>
      </c>
      <c r="K2114">
        <v>0</v>
      </c>
      <c r="L2114">
        <v>1</v>
      </c>
      <c r="M2114">
        <v>2</v>
      </c>
      <c r="N2114" t="s">
        <v>35</v>
      </c>
      <c r="O2114" t="s">
        <v>30</v>
      </c>
      <c r="P2114">
        <v>4.6405022604128403</v>
      </c>
      <c r="Q2114">
        <v>1.34968191011192</v>
      </c>
      <c r="R2114">
        <v>0.37042633005870401</v>
      </c>
      <c r="S2114">
        <v>38</v>
      </c>
      <c r="T2114">
        <v>58</v>
      </c>
      <c r="U2114">
        <v>751.67372159136005</v>
      </c>
      <c r="V2114">
        <v>6.9710700592540901E-4</v>
      </c>
      <c r="W2114">
        <v>2366659.34304557</v>
      </c>
      <c r="X2114" t="s">
        <v>44</v>
      </c>
      <c r="Y2114">
        <f>1-526-736-1014</f>
        <v>-2275</v>
      </c>
    </row>
    <row r="2115" spans="1:25" x14ac:dyDescent="0.35">
      <c r="A2115">
        <v>41.222409314645098</v>
      </c>
      <c r="B2115">
        <v>-121.296359034491</v>
      </c>
      <c r="C2115" t="s">
        <v>29</v>
      </c>
      <c r="D2115">
        <v>7.1915784199531396</v>
      </c>
      <c r="E2115">
        <v>6</v>
      </c>
      <c r="F2115">
        <v>925</v>
      </c>
      <c r="G2115">
        <v>1</v>
      </c>
      <c r="H2115">
        <v>1</v>
      </c>
      <c r="I2115">
        <v>1978</v>
      </c>
      <c r="J2115">
        <v>0</v>
      </c>
      <c r="K2115">
        <v>1</v>
      </c>
      <c r="L2115">
        <v>0</v>
      </c>
      <c r="M2115">
        <v>9</v>
      </c>
      <c r="N2115" t="s">
        <v>26</v>
      </c>
      <c r="O2115" t="s">
        <v>32</v>
      </c>
      <c r="P2115">
        <v>4.97760680869641</v>
      </c>
      <c r="Q2115">
        <v>1.4800867882717199</v>
      </c>
      <c r="R2115">
        <v>1.2135002401247299</v>
      </c>
      <c r="S2115">
        <v>190</v>
      </c>
      <c r="T2115">
        <v>79</v>
      </c>
      <c r="U2115">
        <v>378.886149233666</v>
      </c>
      <c r="V2115">
        <v>9.7297297297297292E-3</v>
      </c>
      <c r="W2115">
        <v>472848.90815429197</v>
      </c>
      <c r="X2115" t="s">
        <v>43</v>
      </c>
      <c r="Y2115">
        <f>1-496-594-7880</f>
        <v>-8969</v>
      </c>
    </row>
    <row r="2116" spans="1:25" x14ac:dyDescent="0.35">
      <c r="A2116">
        <v>41.5591283145041</v>
      </c>
      <c r="B2116">
        <v>-116.45443065035499</v>
      </c>
      <c r="C2116" t="s">
        <v>29</v>
      </c>
      <c r="D2116">
        <v>11.6488275596672</v>
      </c>
      <c r="E2116">
        <v>6</v>
      </c>
      <c r="F2116">
        <v>4609</v>
      </c>
      <c r="G2116">
        <v>5</v>
      </c>
      <c r="H2116">
        <v>2</v>
      </c>
      <c r="I2116">
        <v>1993</v>
      </c>
      <c r="J2116">
        <v>1</v>
      </c>
      <c r="K2116">
        <v>1</v>
      </c>
      <c r="L2116">
        <v>1</v>
      </c>
      <c r="M2116">
        <v>4</v>
      </c>
      <c r="N2116" t="s">
        <v>35</v>
      </c>
      <c r="O2116" t="s">
        <v>30</v>
      </c>
      <c r="P2116">
        <v>11.164961770689001</v>
      </c>
      <c r="Q2116">
        <v>1.0843112185971</v>
      </c>
      <c r="R2116">
        <v>3.5618164758367601</v>
      </c>
      <c r="S2116">
        <v>170</v>
      </c>
      <c r="T2116">
        <v>32</v>
      </c>
      <c r="U2116">
        <v>843.63824231007095</v>
      </c>
      <c r="V2116">
        <v>8.6786721631590305E-4</v>
      </c>
      <c r="W2116">
        <v>4355112.61131969</v>
      </c>
      <c r="X2116" t="s">
        <v>31</v>
      </c>
      <c r="Y2116">
        <f>1-537-662-9223</f>
        <v>-10421</v>
      </c>
    </row>
    <row r="2117" spans="1:25" x14ac:dyDescent="0.35">
      <c r="A2117">
        <v>36.467786110410103</v>
      </c>
      <c r="B2117">
        <v>-120.81965750640001</v>
      </c>
      <c r="C2117" t="s">
        <v>25</v>
      </c>
      <c r="D2117">
        <v>17.605715361747901</v>
      </c>
      <c r="E2117">
        <v>7</v>
      </c>
      <c r="F2117">
        <v>2532</v>
      </c>
      <c r="G2117">
        <v>5</v>
      </c>
      <c r="H2117">
        <v>3</v>
      </c>
      <c r="I2117">
        <v>2020</v>
      </c>
      <c r="J2117">
        <v>0</v>
      </c>
      <c r="K2117">
        <v>1</v>
      </c>
      <c r="L2117">
        <v>0</v>
      </c>
      <c r="M2117">
        <v>13</v>
      </c>
      <c r="N2117" t="s">
        <v>35</v>
      </c>
      <c r="O2117" t="s">
        <v>30</v>
      </c>
      <c r="P2117">
        <v>7.5458321509584101</v>
      </c>
      <c r="Q2117">
        <v>0.61364043494974696</v>
      </c>
      <c r="R2117">
        <v>2.9967091692271399</v>
      </c>
      <c r="S2117">
        <v>16</v>
      </c>
      <c r="T2117">
        <v>26</v>
      </c>
      <c r="U2117">
        <v>341.96467293468999</v>
      </c>
      <c r="V2117">
        <v>5.1342812006319096E-3</v>
      </c>
      <c r="W2117">
        <v>1338761.49467642</v>
      </c>
      <c r="X2117" t="s">
        <v>28</v>
      </c>
      <c r="Y2117">
        <f>1-941-864-5547</f>
        <v>-7351</v>
      </c>
    </row>
    <row r="2118" spans="1:25" x14ac:dyDescent="0.35">
      <c r="A2118">
        <v>33.269353636811303</v>
      </c>
      <c r="B2118">
        <v>-115.631885708178</v>
      </c>
      <c r="C2118" t="s">
        <v>29</v>
      </c>
      <c r="D2118">
        <v>40.691589495499002</v>
      </c>
      <c r="E2118">
        <v>6</v>
      </c>
      <c r="F2118">
        <v>2779</v>
      </c>
      <c r="G2118">
        <v>3</v>
      </c>
      <c r="H2118">
        <v>2</v>
      </c>
      <c r="I2118">
        <v>1952</v>
      </c>
      <c r="J2118">
        <v>1</v>
      </c>
      <c r="K2118">
        <v>0</v>
      </c>
      <c r="L2118">
        <v>0</v>
      </c>
      <c r="M2118">
        <v>2</v>
      </c>
      <c r="N2118" t="s">
        <v>41</v>
      </c>
      <c r="O2118" t="s">
        <v>30</v>
      </c>
      <c r="P2118">
        <v>4.7387198259990697</v>
      </c>
      <c r="Q2118">
        <v>1.7836090546150001</v>
      </c>
      <c r="R2118">
        <v>7.8434567945513702</v>
      </c>
      <c r="S2118">
        <v>167</v>
      </c>
      <c r="T2118">
        <v>77</v>
      </c>
      <c r="U2118">
        <v>464.41269987958202</v>
      </c>
      <c r="V2118">
        <v>7.1968333933069401E-4</v>
      </c>
      <c r="W2118">
        <v>1420940.2400352501</v>
      </c>
      <c r="X2118" t="s">
        <v>43</v>
      </c>
      <c r="Y2118">
        <f>1-596-899-6609</f>
        <v>-8103</v>
      </c>
    </row>
    <row r="2119" spans="1:25" x14ac:dyDescent="0.35">
      <c r="A2119">
        <v>40.040821008983599</v>
      </c>
      <c r="B2119">
        <v>-118.85506519980601</v>
      </c>
      <c r="C2119" t="s">
        <v>25</v>
      </c>
      <c r="D2119">
        <v>6.9364251269027797</v>
      </c>
      <c r="E2119">
        <v>7</v>
      </c>
      <c r="F2119">
        <v>2495</v>
      </c>
      <c r="G2119">
        <v>3</v>
      </c>
      <c r="H2119">
        <v>1</v>
      </c>
      <c r="I2119">
        <v>1989</v>
      </c>
      <c r="J2119">
        <v>1</v>
      </c>
      <c r="K2119">
        <v>0</v>
      </c>
      <c r="L2119">
        <v>1</v>
      </c>
      <c r="M2119">
        <v>14</v>
      </c>
      <c r="N2119" t="s">
        <v>35</v>
      </c>
      <c r="O2119" t="s">
        <v>32</v>
      </c>
      <c r="P2119">
        <v>3.65971650346374</v>
      </c>
      <c r="Q2119">
        <v>1.13133483828933</v>
      </c>
      <c r="R2119">
        <v>2.9916415161395302</v>
      </c>
      <c r="S2119">
        <v>36</v>
      </c>
      <c r="T2119">
        <v>45</v>
      </c>
      <c r="U2119">
        <v>415.90143442822301</v>
      </c>
      <c r="V2119">
        <v>5.6112224448897699E-3</v>
      </c>
      <c r="W2119">
        <v>1299444.52292621</v>
      </c>
      <c r="X2119" t="s">
        <v>43</v>
      </c>
      <c r="Y2119">
        <f>1-204-462-2206</f>
        <v>-2871</v>
      </c>
    </row>
    <row r="2120" spans="1:25" x14ac:dyDescent="0.35">
      <c r="A2120">
        <v>41.750761702243302</v>
      </c>
      <c r="B2120">
        <v>-121.67763553293</v>
      </c>
      <c r="C2120" t="s">
        <v>29</v>
      </c>
      <c r="D2120">
        <v>16.196918284433099</v>
      </c>
      <c r="E2120">
        <v>0</v>
      </c>
      <c r="F2120">
        <v>4643</v>
      </c>
      <c r="G2120">
        <v>5</v>
      </c>
      <c r="H2120">
        <v>1</v>
      </c>
      <c r="I2120">
        <v>1980</v>
      </c>
      <c r="J2120">
        <v>0</v>
      </c>
      <c r="K2120">
        <v>0</v>
      </c>
      <c r="L2120">
        <v>1</v>
      </c>
      <c r="M2120">
        <v>13</v>
      </c>
      <c r="N2120" t="s">
        <v>41</v>
      </c>
      <c r="O2120" t="s">
        <v>27</v>
      </c>
      <c r="P2120">
        <v>14.688113470789499</v>
      </c>
      <c r="Q2120">
        <v>0.78413931217620603</v>
      </c>
      <c r="R2120">
        <v>3.5010107999931299</v>
      </c>
      <c r="S2120">
        <v>193</v>
      </c>
      <c r="T2120">
        <v>26</v>
      </c>
      <c r="U2120">
        <v>619.20022572085099</v>
      </c>
      <c r="V2120">
        <v>2.7999138488046501E-3</v>
      </c>
      <c r="W2120">
        <v>3212036.5903131198</v>
      </c>
      <c r="X2120" t="s">
        <v>44</v>
      </c>
      <c r="Y2120">
        <f>1-908-461-8404</f>
        <v>-9772</v>
      </c>
    </row>
    <row r="2121" spans="1:25" x14ac:dyDescent="0.35">
      <c r="A2121">
        <v>36.306274135055503</v>
      </c>
      <c r="B2121">
        <v>-115.32695737900301</v>
      </c>
      <c r="C2121" t="s">
        <v>25</v>
      </c>
      <c r="D2121">
        <v>6.6344815007752</v>
      </c>
      <c r="E2121">
        <v>5</v>
      </c>
      <c r="F2121">
        <v>4048</v>
      </c>
      <c r="G2121">
        <v>5</v>
      </c>
      <c r="H2121">
        <v>1</v>
      </c>
      <c r="I2121">
        <v>1984</v>
      </c>
      <c r="J2121">
        <v>1</v>
      </c>
      <c r="K2121">
        <v>1</v>
      </c>
      <c r="L2121">
        <v>1</v>
      </c>
      <c r="M2121">
        <v>13</v>
      </c>
      <c r="N2121" t="s">
        <v>35</v>
      </c>
      <c r="O2121" t="s">
        <v>30</v>
      </c>
      <c r="P2121">
        <v>10.3229442365243</v>
      </c>
      <c r="Q2121">
        <v>0.877855999995105</v>
      </c>
      <c r="R2121">
        <v>1.2971869497214801</v>
      </c>
      <c r="S2121">
        <v>135</v>
      </c>
      <c r="T2121">
        <v>33</v>
      </c>
      <c r="U2121">
        <v>597.85548787971902</v>
      </c>
      <c r="V2121">
        <v>3.2114624505928798E-3</v>
      </c>
      <c r="W2121">
        <v>2865324.71151812</v>
      </c>
      <c r="X2121" t="s">
        <v>31</v>
      </c>
      <c r="Y2121">
        <f>1-218-446-5630</f>
        <v>-6293</v>
      </c>
    </row>
    <row r="2122" spans="1:25" x14ac:dyDescent="0.35">
      <c r="A2122">
        <v>34.436037812898498</v>
      </c>
      <c r="B2122">
        <v>-118.631544885362</v>
      </c>
      <c r="C2122" t="s">
        <v>25</v>
      </c>
      <c r="D2122">
        <v>15.3277333263275</v>
      </c>
      <c r="E2122">
        <v>6</v>
      </c>
      <c r="F2122">
        <v>1677</v>
      </c>
      <c r="G2122">
        <v>1</v>
      </c>
      <c r="H2122">
        <v>2</v>
      </c>
      <c r="I2122">
        <v>1986</v>
      </c>
      <c r="J2122">
        <v>1</v>
      </c>
      <c r="K2122">
        <v>0</v>
      </c>
      <c r="L2122">
        <v>0</v>
      </c>
      <c r="M2122">
        <v>14</v>
      </c>
      <c r="N2122" t="s">
        <v>41</v>
      </c>
      <c r="O2122" t="s">
        <v>32</v>
      </c>
      <c r="P2122">
        <v>11.2739903775235</v>
      </c>
      <c r="Q2122">
        <v>2.3437413985139299</v>
      </c>
      <c r="R2122">
        <v>5.3607509112874796</v>
      </c>
      <c r="S2122">
        <v>53</v>
      </c>
      <c r="T2122">
        <v>55</v>
      </c>
      <c r="U2122">
        <v>682.10324085222601</v>
      </c>
      <c r="V2122">
        <v>8.3482409063804393E-3</v>
      </c>
      <c r="W2122">
        <v>1345843.9116868</v>
      </c>
      <c r="X2122" t="s">
        <v>36</v>
      </c>
      <c r="Y2122">
        <f>1-635-972-5916</f>
        <v>-7522</v>
      </c>
    </row>
    <row r="2123" spans="1:25" x14ac:dyDescent="0.35">
      <c r="A2123">
        <v>40.989153914787302</v>
      </c>
      <c r="B2123">
        <v>-118.335498658677</v>
      </c>
      <c r="C2123" t="s">
        <v>25</v>
      </c>
      <c r="D2123">
        <v>28.499257101467201</v>
      </c>
      <c r="E2123">
        <v>7</v>
      </c>
      <c r="F2123">
        <v>4458</v>
      </c>
      <c r="G2123">
        <v>2</v>
      </c>
      <c r="H2123">
        <v>3</v>
      </c>
      <c r="I2123">
        <v>1982</v>
      </c>
      <c r="J2123">
        <v>1</v>
      </c>
      <c r="K2123">
        <v>0</v>
      </c>
      <c r="L2123">
        <v>0</v>
      </c>
      <c r="M2123">
        <v>3</v>
      </c>
      <c r="N2123" t="s">
        <v>37</v>
      </c>
      <c r="O2123" t="s">
        <v>30</v>
      </c>
      <c r="P2123">
        <v>6.8427175387699899</v>
      </c>
      <c r="Q2123">
        <v>1.74990746240554</v>
      </c>
      <c r="R2123">
        <v>8.3600424592975102</v>
      </c>
      <c r="S2123">
        <v>163</v>
      </c>
      <c r="T2123">
        <v>60</v>
      </c>
      <c r="U2123">
        <v>497.940122962744</v>
      </c>
      <c r="V2123">
        <v>6.7294751009421201E-4</v>
      </c>
      <c r="W2123">
        <v>2478484.0628404398</v>
      </c>
      <c r="X2123" t="s">
        <v>36</v>
      </c>
      <c r="Y2123">
        <f>1-620-887-5255</f>
        <v>-6761</v>
      </c>
    </row>
    <row r="2124" spans="1:25" x14ac:dyDescent="0.35">
      <c r="A2124">
        <v>39.6444276313686</v>
      </c>
      <c r="B2124">
        <v>-120.816335732319</v>
      </c>
      <c r="C2124" t="s">
        <v>29</v>
      </c>
      <c r="D2124">
        <v>37.207665301906403</v>
      </c>
      <c r="E2124">
        <v>6</v>
      </c>
      <c r="F2124">
        <v>4646</v>
      </c>
      <c r="G2124">
        <v>2</v>
      </c>
      <c r="H2124">
        <v>2</v>
      </c>
      <c r="I2124">
        <v>1968</v>
      </c>
      <c r="J2124">
        <v>0</v>
      </c>
      <c r="K2124">
        <v>0</v>
      </c>
      <c r="L2124">
        <v>1</v>
      </c>
      <c r="M2124">
        <v>6</v>
      </c>
      <c r="N2124" t="s">
        <v>41</v>
      </c>
      <c r="O2124" t="s">
        <v>27</v>
      </c>
      <c r="P2124">
        <v>14.6528708519128</v>
      </c>
      <c r="Q2124">
        <v>1.50446308729033</v>
      </c>
      <c r="R2124">
        <v>0.97517988270395894</v>
      </c>
      <c r="S2124">
        <v>76</v>
      </c>
      <c r="T2124">
        <v>73</v>
      </c>
      <c r="U2124">
        <v>922.42109867328497</v>
      </c>
      <c r="V2124">
        <v>1.2914334911751999E-3</v>
      </c>
      <c r="W2124">
        <v>4433095.7855713498</v>
      </c>
      <c r="X2124" t="s">
        <v>42</v>
      </c>
      <c r="Y2124">
        <f>1-574-200-8747</f>
        <v>-9520</v>
      </c>
    </row>
    <row r="2125" spans="1:25" x14ac:dyDescent="0.35">
      <c r="A2125">
        <v>37.2988998179666</v>
      </c>
      <c r="B2125">
        <v>-123.293404598241</v>
      </c>
      <c r="C2125" t="s">
        <v>25</v>
      </c>
      <c r="D2125">
        <v>30.746977630153001</v>
      </c>
      <c r="E2125">
        <v>6</v>
      </c>
      <c r="F2125">
        <v>2899</v>
      </c>
      <c r="G2125">
        <v>1</v>
      </c>
      <c r="H2125">
        <v>3</v>
      </c>
      <c r="I2125">
        <v>1957</v>
      </c>
      <c r="J2125">
        <v>1</v>
      </c>
      <c r="K2125">
        <v>1</v>
      </c>
      <c r="L2125">
        <v>0</v>
      </c>
      <c r="M2125">
        <v>14</v>
      </c>
      <c r="N2125" t="s">
        <v>41</v>
      </c>
      <c r="O2125" t="s">
        <v>30</v>
      </c>
      <c r="P2125">
        <v>7.8634242018501901</v>
      </c>
      <c r="Q2125">
        <v>2.48343360979981</v>
      </c>
      <c r="R2125">
        <v>2.4317890708233101</v>
      </c>
      <c r="S2125">
        <v>193</v>
      </c>
      <c r="T2125">
        <v>27</v>
      </c>
      <c r="U2125">
        <v>988.774520191173</v>
      </c>
      <c r="V2125">
        <v>4.82925146602276E-3</v>
      </c>
      <c r="W2125">
        <v>3048444.6706792898</v>
      </c>
      <c r="X2125" t="s">
        <v>44</v>
      </c>
      <c r="Y2125">
        <f>1-203-450-1671</f>
        <v>-2323</v>
      </c>
    </row>
    <row r="2126" spans="1:25" x14ac:dyDescent="0.35">
      <c r="A2126">
        <v>37.094262961053502</v>
      </c>
      <c r="B2126">
        <v>-121.023827263052</v>
      </c>
      <c r="C2126" t="s">
        <v>34</v>
      </c>
      <c r="D2126">
        <v>37.781680757093902</v>
      </c>
      <c r="E2126">
        <v>1</v>
      </c>
      <c r="F2126">
        <v>2365</v>
      </c>
      <c r="G2126">
        <v>1</v>
      </c>
      <c r="H2126">
        <v>1</v>
      </c>
      <c r="I2126">
        <v>1966</v>
      </c>
      <c r="J2126">
        <v>1</v>
      </c>
      <c r="K2126">
        <v>1</v>
      </c>
      <c r="L2126">
        <v>1</v>
      </c>
      <c r="M2126">
        <v>14</v>
      </c>
      <c r="N2126" t="s">
        <v>26</v>
      </c>
      <c r="O2126" t="s">
        <v>27</v>
      </c>
      <c r="P2126">
        <v>6.32422204601699</v>
      </c>
      <c r="Q2126">
        <v>0.59508682790536005</v>
      </c>
      <c r="R2126">
        <v>5.4040466157646803</v>
      </c>
      <c r="S2126">
        <v>142</v>
      </c>
      <c r="T2126">
        <v>31</v>
      </c>
      <c r="U2126">
        <v>717.12309698203796</v>
      </c>
      <c r="V2126">
        <v>5.9196617336152203E-3</v>
      </c>
      <c r="W2126">
        <v>1969649.0848153899</v>
      </c>
      <c r="X2126" t="s">
        <v>40</v>
      </c>
      <c r="Y2126">
        <f>1-447-469-8397</f>
        <v>-9312</v>
      </c>
    </row>
    <row r="2127" spans="1:25" x14ac:dyDescent="0.35">
      <c r="A2127">
        <v>35.204443937004001</v>
      </c>
      <c r="B2127">
        <v>-114.996153994943</v>
      </c>
      <c r="C2127" t="s">
        <v>34</v>
      </c>
      <c r="D2127">
        <v>44.244371427925103</v>
      </c>
      <c r="E2127">
        <v>2</v>
      </c>
      <c r="F2127">
        <v>929</v>
      </c>
      <c r="G2127">
        <v>5</v>
      </c>
      <c r="H2127">
        <v>3</v>
      </c>
      <c r="I2127">
        <v>1979</v>
      </c>
      <c r="J2127">
        <v>0</v>
      </c>
      <c r="K2127">
        <v>1</v>
      </c>
      <c r="L2127">
        <v>0</v>
      </c>
      <c r="M2127">
        <v>12</v>
      </c>
      <c r="N2127" t="s">
        <v>35</v>
      </c>
      <c r="O2127" t="s">
        <v>30</v>
      </c>
      <c r="P2127">
        <v>5.5599386500663002</v>
      </c>
      <c r="Q2127">
        <v>0.58068238038419195</v>
      </c>
      <c r="R2127">
        <v>1.72143711964361</v>
      </c>
      <c r="S2127">
        <v>49</v>
      </c>
      <c r="T2127">
        <v>50</v>
      </c>
      <c r="U2127">
        <v>920.42563558070697</v>
      </c>
      <c r="V2127">
        <v>1.29171151776103E-2</v>
      </c>
      <c r="W2127">
        <v>1271584.1898694399</v>
      </c>
      <c r="X2127" t="s">
        <v>38</v>
      </c>
      <c r="Y2127">
        <f>1-777-457-3911</f>
        <v>-5144</v>
      </c>
    </row>
    <row r="2128" spans="1:25" x14ac:dyDescent="0.35">
      <c r="A2128">
        <v>37.047978056119597</v>
      </c>
      <c r="B2128">
        <v>-119.967295678265</v>
      </c>
      <c r="C2128" t="s">
        <v>29</v>
      </c>
      <c r="D2128">
        <v>12.7179702164738</v>
      </c>
      <c r="E2128">
        <v>2</v>
      </c>
      <c r="F2128">
        <v>3414</v>
      </c>
      <c r="G2128">
        <v>5</v>
      </c>
      <c r="H2128">
        <v>3</v>
      </c>
      <c r="I2128">
        <v>1988</v>
      </c>
      <c r="J2128">
        <v>1</v>
      </c>
      <c r="K2128">
        <v>0</v>
      </c>
      <c r="L2128">
        <v>0</v>
      </c>
      <c r="M2128">
        <v>11</v>
      </c>
      <c r="N2128" t="s">
        <v>35</v>
      </c>
      <c r="O2128" t="s">
        <v>27</v>
      </c>
      <c r="P2128">
        <v>11.2326332575492</v>
      </c>
      <c r="Q2128">
        <v>2.3514078341436999</v>
      </c>
      <c r="R2128">
        <v>2.9503011720419301</v>
      </c>
      <c r="S2128">
        <v>80</v>
      </c>
      <c r="T2128">
        <v>48</v>
      </c>
      <c r="U2128">
        <v>751.34860594009899</v>
      </c>
      <c r="V2128">
        <v>3.2220269478617398E-3</v>
      </c>
      <c r="W2128">
        <v>2938430.0765609499</v>
      </c>
      <c r="X2128" t="s">
        <v>36</v>
      </c>
      <c r="Y2128">
        <f>1-981-116-7425</f>
        <v>-8521</v>
      </c>
    </row>
    <row r="2129" spans="1:25" x14ac:dyDescent="0.35">
      <c r="A2129">
        <v>38.986766371977701</v>
      </c>
      <c r="B2129">
        <v>-118.19027830993799</v>
      </c>
      <c r="C2129" t="s">
        <v>34</v>
      </c>
      <c r="D2129">
        <v>26.937182691026099</v>
      </c>
      <c r="E2129">
        <v>7</v>
      </c>
      <c r="F2129">
        <v>2583</v>
      </c>
      <c r="G2129">
        <v>5</v>
      </c>
      <c r="H2129">
        <v>1</v>
      </c>
      <c r="I2129">
        <v>1978</v>
      </c>
      <c r="J2129">
        <v>0</v>
      </c>
      <c r="K2129">
        <v>1</v>
      </c>
      <c r="L2129">
        <v>0</v>
      </c>
      <c r="M2129">
        <v>4</v>
      </c>
      <c r="N2129" t="s">
        <v>41</v>
      </c>
      <c r="O2129" t="s">
        <v>30</v>
      </c>
      <c r="P2129">
        <v>2.5865924081720602</v>
      </c>
      <c r="Q2129">
        <v>1.4215916863478499</v>
      </c>
      <c r="R2129">
        <v>8.5818820737034596</v>
      </c>
      <c r="S2129">
        <v>20</v>
      </c>
      <c r="T2129">
        <v>58</v>
      </c>
      <c r="U2129">
        <v>781.45379448471601</v>
      </c>
      <c r="V2129">
        <v>1.5485869144405699E-3</v>
      </c>
      <c r="W2129">
        <v>2301843.17150386</v>
      </c>
      <c r="X2129" t="s">
        <v>43</v>
      </c>
      <c r="Y2129">
        <f>1-201-355-6619</f>
        <v>-7174</v>
      </c>
    </row>
    <row r="2130" spans="1:25" x14ac:dyDescent="0.35">
      <c r="A2130">
        <v>38.328233374524501</v>
      </c>
      <c r="B2130">
        <v>-117.06951850006899</v>
      </c>
      <c r="C2130" t="s">
        <v>34</v>
      </c>
      <c r="D2130">
        <v>33.397790524051302</v>
      </c>
      <c r="E2130">
        <v>1</v>
      </c>
      <c r="F2130">
        <v>3219</v>
      </c>
      <c r="G2130">
        <v>4</v>
      </c>
      <c r="H2130">
        <v>1</v>
      </c>
      <c r="I2130">
        <v>1966</v>
      </c>
      <c r="J2130">
        <v>1</v>
      </c>
      <c r="K2130">
        <v>1</v>
      </c>
      <c r="L2130">
        <v>1</v>
      </c>
      <c r="M2130">
        <v>2</v>
      </c>
      <c r="N2130" t="s">
        <v>37</v>
      </c>
      <c r="O2130" t="s">
        <v>30</v>
      </c>
      <c r="P2130">
        <v>14.038076490673999</v>
      </c>
      <c r="Q2130">
        <v>1.4754804270126001</v>
      </c>
      <c r="R2130">
        <v>7.4211495077428804</v>
      </c>
      <c r="S2130">
        <v>129</v>
      </c>
      <c r="T2130">
        <v>43</v>
      </c>
      <c r="U2130">
        <v>957.66478202356802</v>
      </c>
      <c r="V2130">
        <v>6.21310966138552E-4</v>
      </c>
      <c r="W2130">
        <v>3462982.1717713801</v>
      </c>
      <c r="X2130" t="s">
        <v>31</v>
      </c>
      <c r="Y2130">
        <f>1-951-256-6006</f>
        <v>-7212</v>
      </c>
    </row>
    <row r="2131" spans="1:25" x14ac:dyDescent="0.35">
      <c r="A2131">
        <v>36.698626220630601</v>
      </c>
      <c r="B2131">
        <v>-122.300938347799</v>
      </c>
      <c r="C2131" t="s">
        <v>34</v>
      </c>
      <c r="D2131">
        <v>46.756765601089597</v>
      </c>
      <c r="E2131">
        <v>5</v>
      </c>
      <c r="F2131">
        <v>2165</v>
      </c>
      <c r="G2131">
        <v>2</v>
      </c>
      <c r="H2131">
        <v>2</v>
      </c>
      <c r="I2131">
        <v>1994</v>
      </c>
      <c r="J2131">
        <v>1</v>
      </c>
      <c r="K2131">
        <v>1</v>
      </c>
      <c r="L2131">
        <v>0</v>
      </c>
      <c r="M2131">
        <v>11</v>
      </c>
      <c r="N2131" t="s">
        <v>41</v>
      </c>
      <c r="O2131" t="s">
        <v>32</v>
      </c>
      <c r="P2131">
        <v>10.4097225321628</v>
      </c>
      <c r="Q2131">
        <v>2.4184087622938502</v>
      </c>
      <c r="R2131">
        <v>1.8326829500224</v>
      </c>
      <c r="S2131">
        <v>194</v>
      </c>
      <c r="T2131">
        <v>30</v>
      </c>
      <c r="U2131">
        <v>383.97870556529602</v>
      </c>
      <c r="V2131">
        <v>5.0808314087759801E-3</v>
      </c>
      <c r="W2131">
        <v>1164102.5519023701</v>
      </c>
      <c r="X2131" t="s">
        <v>33</v>
      </c>
      <c r="Y2131">
        <f>1-394-448-1370</f>
        <v>-2211</v>
      </c>
    </row>
    <row r="2132" spans="1:25" x14ac:dyDescent="0.35">
      <c r="A2132">
        <v>32.624699064702298</v>
      </c>
      <c r="B2132">
        <v>-121.675088197368</v>
      </c>
      <c r="C2132" t="s">
        <v>25</v>
      </c>
      <c r="D2132">
        <v>5.1165260554219296</v>
      </c>
      <c r="E2132">
        <v>3</v>
      </c>
      <c r="F2132">
        <v>2518</v>
      </c>
      <c r="G2132">
        <v>3</v>
      </c>
      <c r="H2132">
        <v>3</v>
      </c>
      <c r="I2132">
        <v>1990</v>
      </c>
      <c r="J2132">
        <v>0</v>
      </c>
      <c r="K2132">
        <v>1</v>
      </c>
      <c r="L2132">
        <v>1</v>
      </c>
      <c r="M2132">
        <v>4</v>
      </c>
      <c r="N2132" t="s">
        <v>35</v>
      </c>
      <c r="O2132" t="s">
        <v>30</v>
      </c>
      <c r="P2132">
        <v>4.5157541820939997</v>
      </c>
      <c r="Q2132">
        <v>1.4103487293116299</v>
      </c>
      <c r="R2132">
        <v>8.2359932843307408</v>
      </c>
      <c r="S2132">
        <v>33</v>
      </c>
      <c r="T2132">
        <v>64</v>
      </c>
      <c r="U2132">
        <v>732.62942616814701</v>
      </c>
      <c r="V2132">
        <v>1.58856235107227E-3</v>
      </c>
      <c r="W2132">
        <v>2197266.1095721801</v>
      </c>
      <c r="X2132" t="s">
        <v>39</v>
      </c>
      <c r="Y2132">
        <f>1-403-122-5339</f>
        <v>-5863</v>
      </c>
    </row>
    <row r="2133" spans="1:25" x14ac:dyDescent="0.35">
      <c r="A2133">
        <v>35.0458506351738</v>
      </c>
      <c r="B2133">
        <v>-120.342042168869</v>
      </c>
      <c r="C2133" t="s">
        <v>34</v>
      </c>
      <c r="D2133">
        <v>22.776678416842401</v>
      </c>
      <c r="E2133">
        <v>8</v>
      </c>
      <c r="F2133">
        <v>3506</v>
      </c>
      <c r="G2133">
        <v>3</v>
      </c>
      <c r="H2133">
        <v>1</v>
      </c>
      <c r="I2133">
        <v>1952</v>
      </c>
      <c r="J2133">
        <v>1</v>
      </c>
      <c r="K2133">
        <v>0</v>
      </c>
      <c r="L2133">
        <v>0</v>
      </c>
      <c r="M2133">
        <v>9</v>
      </c>
      <c r="N2133" t="s">
        <v>26</v>
      </c>
      <c r="O2133" t="s">
        <v>30</v>
      </c>
      <c r="P2133">
        <v>12.2327515673281</v>
      </c>
      <c r="Q2133">
        <v>1.9872617406838</v>
      </c>
      <c r="R2133">
        <v>3.29818264999219</v>
      </c>
      <c r="S2133">
        <v>159</v>
      </c>
      <c r="T2133">
        <v>27</v>
      </c>
      <c r="U2133">
        <v>601.79363369564203</v>
      </c>
      <c r="V2133">
        <v>2.5670279520821401E-3</v>
      </c>
      <c r="W2133">
        <v>2215905.0614753999</v>
      </c>
      <c r="X2133" t="s">
        <v>38</v>
      </c>
      <c r="Y2133">
        <f>1-399-810-7243</f>
        <v>-8451</v>
      </c>
    </row>
    <row r="2134" spans="1:25" x14ac:dyDescent="0.35">
      <c r="A2134">
        <v>41.585269668394901</v>
      </c>
      <c r="B2134">
        <v>-120.282782538867</v>
      </c>
      <c r="C2134" t="s">
        <v>29</v>
      </c>
      <c r="D2134">
        <v>34.244798112985997</v>
      </c>
      <c r="E2134">
        <v>3</v>
      </c>
      <c r="F2134">
        <v>1485</v>
      </c>
      <c r="G2134">
        <v>1</v>
      </c>
      <c r="H2134">
        <v>1</v>
      </c>
      <c r="I2134">
        <v>1981</v>
      </c>
      <c r="J2134">
        <v>0</v>
      </c>
      <c r="K2134">
        <v>0</v>
      </c>
      <c r="L2134">
        <v>1</v>
      </c>
      <c r="M2134">
        <v>3</v>
      </c>
      <c r="N2134" t="s">
        <v>41</v>
      </c>
      <c r="O2134" t="s">
        <v>27</v>
      </c>
      <c r="P2134">
        <v>7.0130279963872502</v>
      </c>
      <c r="Q2134">
        <v>2.0837778572985699</v>
      </c>
      <c r="R2134">
        <v>0.92241936575716699</v>
      </c>
      <c r="S2134">
        <v>11</v>
      </c>
      <c r="T2134">
        <v>25</v>
      </c>
      <c r="U2134">
        <v>489.67738669514102</v>
      </c>
      <c r="V2134">
        <v>2.0202020202020202E-3</v>
      </c>
      <c r="W2134">
        <v>710482.52732267103</v>
      </c>
      <c r="X2134" t="s">
        <v>42</v>
      </c>
      <c r="Y2134">
        <f>1-952-467-3666</f>
        <v>-5084</v>
      </c>
    </row>
    <row r="2135" spans="1:25" x14ac:dyDescent="0.35">
      <c r="A2135">
        <v>38.052878732472202</v>
      </c>
      <c r="B2135">
        <v>-117.041834999323</v>
      </c>
      <c r="C2135" t="s">
        <v>34</v>
      </c>
      <c r="D2135">
        <v>18.384453844036099</v>
      </c>
      <c r="E2135">
        <v>2</v>
      </c>
      <c r="F2135">
        <v>3182</v>
      </c>
      <c r="G2135">
        <v>3</v>
      </c>
      <c r="H2135">
        <v>2</v>
      </c>
      <c r="I2135">
        <v>1964</v>
      </c>
      <c r="J2135">
        <v>0</v>
      </c>
      <c r="K2135">
        <v>0</v>
      </c>
      <c r="L2135">
        <v>0</v>
      </c>
      <c r="M2135">
        <v>3</v>
      </c>
      <c r="N2135" t="s">
        <v>41</v>
      </c>
      <c r="O2135" t="s">
        <v>30</v>
      </c>
      <c r="P2135">
        <v>14.334116147201</v>
      </c>
      <c r="Q2135">
        <v>0.96808240378906196</v>
      </c>
      <c r="R2135">
        <v>6.4069881589710898</v>
      </c>
      <c r="S2135">
        <v>44</v>
      </c>
      <c r="T2135">
        <v>28</v>
      </c>
      <c r="U2135">
        <v>962.78061135148505</v>
      </c>
      <c r="V2135">
        <v>9.42803268384663E-4</v>
      </c>
      <c r="W2135">
        <v>3297117.6611611298</v>
      </c>
      <c r="X2135" t="s">
        <v>39</v>
      </c>
      <c r="Y2135">
        <f>1-804-520-1588</f>
        <v>-2911</v>
      </c>
    </row>
    <row r="2136" spans="1:25" x14ac:dyDescent="0.35">
      <c r="A2136">
        <v>39.639347051906903</v>
      </c>
      <c r="B2136">
        <v>-116.358855640535</v>
      </c>
      <c r="C2136" t="s">
        <v>25</v>
      </c>
      <c r="D2136">
        <v>29.194234759609799</v>
      </c>
      <c r="E2136">
        <v>9</v>
      </c>
      <c r="F2136">
        <v>4462</v>
      </c>
      <c r="G2136">
        <v>2</v>
      </c>
      <c r="H2136">
        <v>3</v>
      </c>
      <c r="I2136">
        <v>2002</v>
      </c>
      <c r="J2136">
        <v>0</v>
      </c>
      <c r="K2136">
        <v>1</v>
      </c>
      <c r="L2136">
        <v>1</v>
      </c>
      <c r="M2136">
        <v>7</v>
      </c>
      <c r="N2136" t="s">
        <v>41</v>
      </c>
      <c r="O2136" t="s">
        <v>27</v>
      </c>
      <c r="P2136">
        <v>5.8395823198406598</v>
      </c>
      <c r="Q2136">
        <v>2.3425426343026401</v>
      </c>
      <c r="R2136">
        <v>9.5690088864037293</v>
      </c>
      <c r="S2136">
        <v>193</v>
      </c>
      <c r="T2136">
        <v>40</v>
      </c>
      <c r="U2136">
        <v>457.86252219895499</v>
      </c>
      <c r="V2136">
        <v>1.5688032272523501E-3</v>
      </c>
      <c r="W2136">
        <v>2279585.4883784899</v>
      </c>
      <c r="X2136" t="s">
        <v>38</v>
      </c>
      <c r="Y2136">
        <f>1-872-308-2942</f>
        <v>-4121</v>
      </c>
    </row>
    <row r="2137" spans="1:25" x14ac:dyDescent="0.35">
      <c r="A2137">
        <v>35.369011843094299</v>
      </c>
      <c r="B2137">
        <v>-120.409252907804</v>
      </c>
      <c r="C2137" t="s">
        <v>25</v>
      </c>
      <c r="D2137">
        <v>17.960211562836701</v>
      </c>
      <c r="E2137">
        <v>7</v>
      </c>
      <c r="F2137">
        <v>2188</v>
      </c>
      <c r="G2137">
        <v>2</v>
      </c>
      <c r="H2137">
        <v>1</v>
      </c>
      <c r="I2137">
        <v>1956</v>
      </c>
      <c r="J2137">
        <v>1</v>
      </c>
      <c r="K2137">
        <v>1</v>
      </c>
      <c r="L2137">
        <v>1</v>
      </c>
      <c r="M2137">
        <v>10</v>
      </c>
      <c r="N2137" t="s">
        <v>41</v>
      </c>
      <c r="O2137" t="s">
        <v>32</v>
      </c>
      <c r="P2137">
        <v>12.696743827990399</v>
      </c>
      <c r="Q2137">
        <v>1.4674310776789199</v>
      </c>
      <c r="R2137">
        <v>4.9760839998956001</v>
      </c>
      <c r="S2137">
        <v>93</v>
      </c>
      <c r="T2137">
        <v>35</v>
      </c>
      <c r="U2137">
        <v>991.70101785792804</v>
      </c>
      <c r="V2137">
        <v>4.5703839122486203E-3</v>
      </c>
      <c r="W2137">
        <v>2459413.6221892801</v>
      </c>
      <c r="X2137" t="s">
        <v>42</v>
      </c>
      <c r="Y2137">
        <f>1-326-341-4733</f>
        <v>-5399</v>
      </c>
    </row>
    <row r="2138" spans="1:25" x14ac:dyDescent="0.35">
      <c r="A2138">
        <v>38.121045519371002</v>
      </c>
      <c r="B2138">
        <v>-119.372388563104</v>
      </c>
      <c r="C2138" t="s">
        <v>29</v>
      </c>
      <c r="D2138">
        <v>45.600924437907501</v>
      </c>
      <c r="E2138">
        <v>1</v>
      </c>
      <c r="F2138">
        <v>2023</v>
      </c>
      <c r="G2138">
        <v>2</v>
      </c>
      <c r="H2138">
        <v>1</v>
      </c>
      <c r="I2138">
        <v>2009</v>
      </c>
      <c r="J2138">
        <v>0</v>
      </c>
      <c r="K2138">
        <v>0</v>
      </c>
      <c r="L2138">
        <v>1</v>
      </c>
      <c r="M2138">
        <v>5</v>
      </c>
      <c r="N2138" t="s">
        <v>37</v>
      </c>
      <c r="O2138" t="s">
        <v>32</v>
      </c>
      <c r="P2138">
        <v>3.5378362964552599</v>
      </c>
      <c r="Q2138">
        <v>1.30383370753045</v>
      </c>
      <c r="R2138">
        <v>1.10636972367789</v>
      </c>
      <c r="S2138">
        <v>24</v>
      </c>
      <c r="T2138">
        <v>49</v>
      </c>
      <c r="U2138">
        <v>260.23724054677598</v>
      </c>
      <c r="V2138">
        <v>2.4715768660405302E-3</v>
      </c>
      <c r="W2138">
        <v>724908.37545568298</v>
      </c>
      <c r="X2138" t="s">
        <v>31</v>
      </c>
      <c r="Y2138">
        <f>1-959-271-8034</f>
        <v>-9263</v>
      </c>
    </row>
    <row r="2139" spans="1:25" x14ac:dyDescent="0.35">
      <c r="A2139">
        <v>36.523063527251097</v>
      </c>
      <c r="B2139">
        <v>-122.173034746957</v>
      </c>
      <c r="C2139" t="s">
        <v>25</v>
      </c>
      <c r="D2139">
        <v>47.041969829491997</v>
      </c>
      <c r="E2139">
        <v>9</v>
      </c>
      <c r="F2139">
        <v>2635</v>
      </c>
      <c r="G2139">
        <v>1</v>
      </c>
      <c r="H2139">
        <v>1</v>
      </c>
      <c r="I2139">
        <v>1953</v>
      </c>
      <c r="J2139">
        <v>0</v>
      </c>
      <c r="K2139">
        <v>1</v>
      </c>
      <c r="L2139">
        <v>0</v>
      </c>
      <c r="M2139">
        <v>13</v>
      </c>
      <c r="N2139" t="s">
        <v>26</v>
      </c>
      <c r="O2139" t="s">
        <v>32</v>
      </c>
      <c r="P2139">
        <v>4.7419179262417703</v>
      </c>
      <c r="Q2139">
        <v>1.8348682384343</v>
      </c>
      <c r="R2139">
        <v>0.32429832853840701</v>
      </c>
      <c r="S2139">
        <v>137</v>
      </c>
      <c r="T2139">
        <v>39</v>
      </c>
      <c r="U2139">
        <v>556.10194006273696</v>
      </c>
      <c r="V2139">
        <v>4.9335863377609097E-3</v>
      </c>
      <c r="W2139">
        <v>1542965.03495832</v>
      </c>
      <c r="X2139" t="s">
        <v>36</v>
      </c>
      <c r="Y2139">
        <f>1-867-895-4135</f>
        <v>-5896</v>
      </c>
    </row>
    <row r="2140" spans="1:25" x14ac:dyDescent="0.35">
      <c r="A2140">
        <v>35.658732072890999</v>
      </c>
      <c r="B2140">
        <v>-118.85831810243501</v>
      </c>
      <c r="C2140" t="s">
        <v>34</v>
      </c>
      <c r="D2140">
        <v>14.7509263042484</v>
      </c>
      <c r="E2140">
        <v>3</v>
      </c>
      <c r="F2140">
        <v>3368</v>
      </c>
      <c r="G2140">
        <v>4</v>
      </c>
      <c r="H2140">
        <v>1</v>
      </c>
      <c r="I2140">
        <v>2017</v>
      </c>
      <c r="J2140">
        <v>0</v>
      </c>
      <c r="K2140">
        <v>1</v>
      </c>
      <c r="L2140">
        <v>0</v>
      </c>
      <c r="M2140">
        <v>4</v>
      </c>
      <c r="N2140" t="s">
        <v>41</v>
      </c>
      <c r="O2140" t="s">
        <v>32</v>
      </c>
      <c r="P2140">
        <v>14.455636180186501</v>
      </c>
      <c r="Q2140">
        <v>2.0139815632935298</v>
      </c>
      <c r="R2140">
        <v>5.4676586958666702</v>
      </c>
      <c r="S2140">
        <v>57</v>
      </c>
      <c r="T2140">
        <v>78</v>
      </c>
      <c r="U2140">
        <v>447.718556927885</v>
      </c>
      <c r="V2140">
        <v>1.187648456057E-3</v>
      </c>
      <c r="W2140">
        <v>1939168.1251771401</v>
      </c>
      <c r="X2140" t="s">
        <v>31</v>
      </c>
      <c r="Y2140">
        <f>1-369-433-1736</f>
        <v>-2537</v>
      </c>
    </row>
    <row r="2141" spans="1:25" x14ac:dyDescent="0.35">
      <c r="A2141">
        <v>41.814000894723698</v>
      </c>
      <c r="B2141">
        <v>-116.365450062441</v>
      </c>
      <c r="C2141" t="s">
        <v>34</v>
      </c>
      <c r="D2141">
        <v>48.065499143716202</v>
      </c>
      <c r="E2141">
        <v>2</v>
      </c>
      <c r="F2141">
        <v>3768</v>
      </c>
      <c r="G2141">
        <v>2</v>
      </c>
      <c r="H2141">
        <v>1</v>
      </c>
      <c r="I2141">
        <v>2020</v>
      </c>
      <c r="J2141">
        <v>0</v>
      </c>
      <c r="K2141">
        <v>0</v>
      </c>
      <c r="L2141">
        <v>0</v>
      </c>
      <c r="M2141">
        <v>11</v>
      </c>
      <c r="N2141" t="s">
        <v>37</v>
      </c>
      <c r="O2141" t="s">
        <v>27</v>
      </c>
      <c r="P2141">
        <v>13.833130782945901</v>
      </c>
      <c r="Q2141">
        <v>1.8087425192800199</v>
      </c>
      <c r="R2141">
        <v>5.5597952197349398</v>
      </c>
      <c r="S2141">
        <v>110</v>
      </c>
      <c r="T2141">
        <v>28</v>
      </c>
      <c r="U2141">
        <v>863.53712734845703</v>
      </c>
      <c r="V2141">
        <v>2.9193205944798299E-3</v>
      </c>
      <c r="W2141">
        <v>3354598.70770127</v>
      </c>
      <c r="X2141" t="s">
        <v>38</v>
      </c>
      <c r="Y2141">
        <f>1-787-532-2268</f>
        <v>-3586</v>
      </c>
    </row>
    <row r="2142" spans="1:25" x14ac:dyDescent="0.35">
      <c r="A2142">
        <v>33.889390746596199</v>
      </c>
      <c r="B2142">
        <v>-117.143651751972</v>
      </c>
      <c r="C2142" t="s">
        <v>29</v>
      </c>
      <c r="D2142">
        <v>47.794764825943602</v>
      </c>
      <c r="E2142">
        <v>3</v>
      </c>
      <c r="F2142">
        <v>1355</v>
      </c>
      <c r="G2142">
        <v>1</v>
      </c>
      <c r="H2142">
        <v>3</v>
      </c>
      <c r="I2142">
        <v>1984</v>
      </c>
      <c r="J2142">
        <v>1</v>
      </c>
      <c r="K2142">
        <v>1</v>
      </c>
      <c r="L2142">
        <v>0</v>
      </c>
      <c r="M2142">
        <v>6</v>
      </c>
      <c r="N2142" t="s">
        <v>41</v>
      </c>
      <c r="O2142" t="s">
        <v>30</v>
      </c>
      <c r="P2142">
        <v>14.480106772799701</v>
      </c>
      <c r="Q2142">
        <v>1.8023985817830099</v>
      </c>
      <c r="R2142">
        <v>7.7103906173260697</v>
      </c>
      <c r="S2142">
        <v>108</v>
      </c>
      <c r="T2142">
        <v>47</v>
      </c>
      <c r="U2142">
        <v>816.33929351740403</v>
      </c>
      <c r="V2142">
        <v>4.4280442804428E-3</v>
      </c>
      <c r="W2142">
        <v>1443716.26823733</v>
      </c>
      <c r="X2142" t="s">
        <v>31</v>
      </c>
      <c r="Y2142">
        <f>1-520-150-5307</f>
        <v>-5976</v>
      </c>
    </row>
    <row r="2143" spans="1:25" x14ac:dyDescent="0.35">
      <c r="A2143">
        <v>41.025579707887097</v>
      </c>
      <c r="B2143">
        <v>-115.76800724033301</v>
      </c>
      <c r="C2143" t="s">
        <v>29</v>
      </c>
      <c r="D2143">
        <v>22.0000678883187</v>
      </c>
      <c r="E2143">
        <v>7</v>
      </c>
      <c r="F2143">
        <v>4504</v>
      </c>
      <c r="G2143">
        <v>4</v>
      </c>
      <c r="H2143">
        <v>1</v>
      </c>
      <c r="I2143">
        <v>2020</v>
      </c>
      <c r="J2143">
        <v>1</v>
      </c>
      <c r="K2143">
        <v>1</v>
      </c>
      <c r="L2143">
        <v>1</v>
      </c>
      <c r="M2143">
        <v>8</v>
      </c>
      <c r="N2143" t="s">
        <v>26</v>
      </c>
      <c r="O2143" t="s">
        <v>30</v>
      </c>
      <c r="P2143">
        <v>2.2950870125157001</v>
      </c>
      <c r="Q2143">
        <v>1.2848782139948201</v>
      </c>
      <c r="R2143">
        <v>4.6189544019662598</v>
      </c>
      <c r="S2143">
        <v>182</v>
      </c>
      <c r="T2143">
        <v>53</v>
      </c>
      <c r="U2143">
        <v>452.77737015531602</v>
      </c>
      <c r="V2143">
        <v>1.77619893428063E-3</v>
      </c>
      <c r="W2143">
        <v>2408874.3437773702</v>
      </c>
      <c r="X2143" t="s">
        <v>36</v>
      </c>
      <c r="Y2143">
        <f>1-942-582-5793</f>
        <v>-7316</v>
      </c>
    </row>
    <row r="2144" spans="1:25" x14ac:dyDescent="0.35">
      <c r="A2144">
        <v>35.234823827268102</v>
      </c>
      <c r="B2144">
        <v>-116.53112004229899</v>
      </c>
      <c r="C2144" t="s">
        <v>25</v>
      </c>
      <c r="D2144">
        <v>7.9307864986180299</v>
      </c>
      <c r="E2144">
        <v>4</v>
      </c>
      <c r="F2144">
        <v>3105</v>
      </c>
      <c r="G2144">
        <v>1</v>
      </c>
      <c r="H2144">
        <v>1</v>
      </c>
      <c r="I2144">
        <v>1980</v>
      </c>
      <c r="J2144">
        <v>0</v>
      </c>
      <c r="K2144">
        <v>0</v>
      </c>
      <c r="L2144">
        <v>1</v>
      </c>
      <c r="M2144">
        <v>14</v>
      </c>
      <c r="N2144" t="s">
        <v>35</v>
      </c>
      <c r="O2144" t="s">
        <v>30</v>
      </c>
      <c r="P2144">
        <v>13.1373352462589</v>
      </c>
      <c r="Q2144">
        <v>1.6908502897859901</v>
      </c>
      <c r="R2144">
        <v>4.58581158594958</v>
      </c>
      <c r="S2144">
        <v>42</v>
      </c>
      <c r="T2144">
        <v>36</v>
      </c>
      <c r="U2144">
        <v>803.325838127118</v>
      </c>
      <c r="V2144">
        <v>4.5088566827697204E-3</v>
      </c>
      <c r="W2144">
        <v>2606963.55549361</v>
      </c>
      <c r="X2144" t="s">
        <v>31</v>
      </c>
      <c r="Y2144">
        <f>1-205-192-3470</f>
        <v>-3866</v>
      </c>
    </row>
    <row r="2145" spans="1:25" x14ac:dyDescent="0.35">
      <c r="A2145">
        <v>35.251555445126598</v>
      </c>
      <c r="B2145">
        <v>-119.31113658078399</v>
      </c>
      <c r="C2145" t="s">
        <v>34</v>
      </c>
      <c r="D2145">
        <v>44.556316845164297</v>
      </c>
      <c r="E2145">
        <v>9</v>
      </c>
      <c r="F2145">
        <v>4810</v>
      </c>
      <c r="G2145">
        <v>5</v>
      </c>
      <c r="H2145">
        <v>3</v>
      </c>
      <c r="I2145">
        <v>2022</v>
      </c>
      <c r="J2145">
        <v>1</v>
      </c>
      <c r="K2145">
        <v>1</v>
      </c>
      <c r="L2145">
        <v>0</v>
      </c>
      <c r="M2145">
        <v>14</v>
      </c>
      <c r="N2145" t="s">
        <v>35</v>
      </c>
      <c r="O2145" t="s">
        <v>32</v>
      </c>
      <c r="P2145">
        <v>14.3673286322202</v>
      </c>
      <c r="Q2145">
        <v>1.23269624914364</v>
      </c>
      <c r="R2145">
        <v>5.0705695794535899</v>
      </c>
      <c r="S2145">
        <v>98</v>
      </c>
      <c r="T2145">
        <v>71</v>
      </c>
      <c r="U2145">
        <v>723.65195020394503</v>
      </c>
      <c r="V2145">
        <v>2.9106029106029099E-3</v>
      </c>
      <c r="W2145">
        <v>4010760.5831479998</v>
      </c>
      <c r="X2145" t="s">
        <v>44</v>
      </c>
      <c r="Y2145">
        <f>1-348-608-7116</f>
        <v>-8071</v>
      </c>
    </row>
    <row r="2146" spans="1:25" x14ac:dyDescent="0.35">
      <c r="A2146">
        <v>36.112439738750403</v>
      </c>
      <c r="B2146">
        <v>-120.17370975398499</v>
      </c>
      <c r="C2146" t="s">
        <v>29</v>
      </c>
      <c r="D2146">
        <v>24.664509161106501</v>
      </c>
      <c r="E2146">
        <v>5</v>
      </c>
      <c r="F2146">
        <v>4851</v>
      </c>
      <c r="G2146">
        <v>3</v>
      </c>
      <c r="H2146">
        <v>2</v>
      </c>
      <c r="I2146">
        <v>2022</v>
      </c>
      <c r="J2146">
        <v>0</v>
      </c>
      <c r="K2146">
        <v>1</v>
      </c>
      <c r="L2146">
        <v>1</v>
      </c>
      <c r="M2146">
        <v>3</v>
      </c>
      <c r="N2146" t="s">
        <v>26</v>
      </c>
      <c r="O2146" t="s">
        <v>32</v>
      </c>
      <c r="P2146">
        <v>12.022443812013201</v>
      </c>
      <c r="Q2146">
        <v>1.3625553603604199</v>
      </c>
      <c r="R2146">
        <v>4.92811915395282</v>
      </c>
      <c r="S2146">
        <v>19</v>
      </c>
      <c r="T2146">
        <v>59</v>
      </c>
      <c r="U2146">
        <v>927.21657776388201</v>
      </c>
      <c r="V2146">
        <v>6.1842918985776101E-4</v>
      </c>
      <c r="W2146">
        <v>4946885.2828748301</v>
      </c>
      <c r="X2146" t="s">
        <v>36</v>
      </c>
      <c r="Y2146">
        <f>1-788-656-9047</f>
        <v>-10490</v>
      </c>
    </row>
    <row r="2147" spans="1:25" x14ac:dyDescent="0.35">
      <c r="A2147">
        <v>38.585564358830901</v>
      </c>
      <c r="B2147">
        <v>-124.233004787531</v>
      </c>
      <c r="C2147" t="s">
        <v>34</v>
      </c>
      <c r="D2147">
        <v>23.4203903803039</v>
      </c>
      <c r="E2147">
        <v>2</v>
      </c>
      <c r="F2147">
        <v>3072</v>
      </c>
      <c r="G2147">
        <v>3</v>
      </c>
      <c r="H2147">
        <v>1</v>
      </c>
      <c r="I2147">
        <v>2006</v>
      </c>
      <c r="J2147">
        <v>0</v>
      </c>
      <c r="K2147">
        <v>0</v>
      </c>
      <c r="L2147">
        <v>1</v>
      </c>
      <c r="M2147">
        <v>12</v>
      </c>
      <c r="N2147" t="s">
        <v>26</v>
      </c>
      <c r="O2147" t="s">
        <v>27</v>
      </c>
      <c r="P2147">
        <v>12.945216320262899</v>
      </c>
      <c r="Q2147">
        <v>1.3155773137789999</v>
      </c>
      <c r="R2147">
        <v>5.8820318201979296</v>
      </c>
      <c r="S2147">
        <v>150</v>
      </c>
      <c r="T2147">
        <v>79</v>
      </c>
      <c r="U2147">
        <v>234.32602189783199</v>
      </c>
      <c r="V2147">
        <v>3.90625E-3</v>
      </c>
      <c r="W2147">
        <v>937247.43111329305</v>
      </c>
      <c r="X2147" t="s">
        <v>38</v>
      </c>
      <c r="Y2147">
        <f>1-792-906-9022</f>
        <v>-10719</v>
      </c>
    </row>
    <row r="2148" spans="1:25" x14ac:dyDescent="0.35">
      <c r="A2148">
        <v>37.461229338014903</v>
      </c>
      <c r="B2148">
        <v>-116.205370900885</v>
      </c>
      <c r="C2148" t="s">
        <v>34</v>
      </c>
      <c r="D2148">
        <v>16.834588992611302</v>
      </c>
      <c r="E2148">
        <v>2</v>
      </c>
      <c r="F2148">
        <v>3586</v>
      </c>
      <c r="G2148">
        <v>5</v>
      </c>
      <c r="H2148">
        <v>3</v>
      </c>
      <c r="I2148">
        <v>1959</v>
      </c>
      <c r="J2148">
        <v>0</v>
      </c>
      <c r="K2148">
        <v>1</v>
      </c>
      <c r="L2148">
        <v>1</v>
      </c>
      <c r="M2148">
        <v>14</v>
      </c>
      <c r="N2148" t="s">
        <v>37</v>
      </c>
      <c r="O2148" t="s">
        <v>32</v>
      </c>
      <c r="P2148">
        <v>10.6989063961576</v>
      </c>
      <c r="Q2148">
        <v>1.4773761843255799</v>
      </c>
      <c r="R2148">
        <v>2.6793179757881198</v>
      </c>
      <c r="S2148">
        <v>65</v>
      </c>
      <c r="T2148">
        <v>34</v>
      </c>
      <c r="U2148">
        <v>293.33560463519501</v>
      </c>
      <c r="V2148">
        <v>3.9040713887339598E-3</v>
      </c>
      <c r="W2148">
        <v>1546389.0249479499</v>
      </c>
      <c r="X2148" t="s">
        <v>28</v>
      </c>
      <c r="Y2148">
        <f>1-916-245-7457</f>
        <v>-8617</v>
      </c>
    </row>
    <row r="2149" spans="1:25" x14ac:dyDescent="0.35">
      <c r="A2149">
        <v>39.609139562345803</v>
      </c>
      <c r="B2149">
        <v>-114.30843825917501</v>
      </c>
      <c r="C2149" t="s">
        <v>25</v>
      </c>
      <c r="D2149">
        <v>30.2368816339003</v>
      </c>
      <c r="E2149">
        <v>6</v>
      </c>
      <c r="F2149">
        <v>2446</v>
      </c>
      <c r="G2149">
        <v>5</v>
      </c>
      <c r="H2149">
        <v>2</v>
      </c>
      <c r="I2149">
        <v>2022</v>
      </c>
      <c r="J2149">
        <v>0</v>
      </c>
      <c r="K2149">
        <v>1</v>
      </c>
      <c r="L2149">
        <v>1</v>
      </c>
      <c r="M2149">
        <v>14</v>
      </c>
      <c r="N2149" t="s">
        <v>37</v>
      </c>
      <c r="O2149" t="s">
        <v>30</v>
      </c>
      <c r="P2149">
        <v>14.262432689324401</v>
      </c>
      <c r="Q2149">
        <v>1.8243385900689999</v>
      </c>
      <c r="R2149">
        <v>4.3363657008931797</v>
      </c>
      <c r="S2149">
        <v>131</v>
      </c>
      <c r="T2149">
        <v>54</v>
      </c>
      <c r="U2149">
        <v>261.17233496064603</v>
      </c>
      <c r="V2149">
        <v>5.72363041700735E-3</v>
      </c>
      <c r="W2149">
        <v>1157984.36147745</v>
      </c>
      <c r="X2149" t="s">
        <v>31</v>
      </c>
      <c r="Y2149">
        <f>1-791-635-7335</f>
        <v>-8760</v>
      </c>
    </row>
    <row r="2150" spans="1:25" x14ac:dyDescent="0.35">
      <c r="A2150">
        <v>41.306023574940099</v>
      </c>
      <c r="B2150">
        <v>-120.276210436809</v>
      </c>
      <c r="C2150" t="s">
        <v>34</v>
      </c>
      <c r="D2150">
        <v>11.3753738085991</v>
      </c>
      <c r="E2150">
        <v>0</v>
      </c>
      <c r="F2150">
        <v>3130</v>
      </c>
      <c r="G2150">
        <v>5</v>
      </c>
      <c r="H2150">
        <v>2</v>
      </c>
      <c r="I2150">
        <v>1987</v>
      </c>
      <c r="J2150">
        <v>0</v>
      </c>
      <c r="K2150">
        <v>1</v>
      </c>
      <c r="L2150">
        <v>0</v>
      </c>
      <c r="M2150">
        <v>9</v>
      </c>
      <c r="N2150" t="s">
        <v>37</v>
      </c>
      <c r="O2150" t="s">
        <v>32</v>
      </c>
      <c r="P2150">
        <v>9.6476048188999197</v>
      </c>
      <c r="Q2150">
        <v>2.2320600319069199</v>
      </c>
      <c r="R2150">
        <v>1.2581044343018299</v>
      </c>
      <c r="S2150">
        <v>17</v>
      </c>
      <c r="T2150">
        <v>46</v>
      </c>
      <c r="U2150">
        <v>236.38934788185799</v>
      </c>
      <c r="V2150">
        <v>2.8753993610223598E-3</v>
      </c>
      <c r="W2150">
        <v>1207167.69782602</v>
      </c>
      <c r="X2150" t="s">
        <v>43</v>
      </c>
      <c r="Y2150">
        <f>1-422-490-1121</f>
        <v>-2032</v>
      </c>
    </row>
    <row r="2151" spans="1:25" x14ac:dyDescent="0.35">
      <c r="A2151">
        <v>34.402525140644599</v>
      </c>
      <c r="B2151">
        <v>-116.081471829983</v>
      </c>
      <c r="C2151" t="s">
        <v>25</v>
      </c>
      <c r="D2151">
        <v>14.065074785136</v>
      </c>
      <c r="E2151">
        <v>2</v>
      </c>
      <c r="F2151">
        <v>4886</v>
      </c>
      <c r="G2151">
        <v>1</v>
      </c>
      <c r="H2151">
        <v>2</v>
      </c>
      <c r="I2151">
        <v>1966</v>
      </c>
      <c r="J2151">
        <v>1</v>
      </c>
      <c r="K2151">
        <v>1</v>
      </c>
      <c r="L2151">
        <v>1</v>
      </c>
      <c r="M2151">
        <v>11</v>
      </c>
      <c r="N2151" t="s">
        <v>37</v>
      </c>
      <c r="O2151" t="s">
        <v>32</v>
      </c>
      <c r="P2151">
        <v>7.5800297270904098</v>
      </c>
      <c r="Q2151">
        <v>2.2803696041396901</v>
      </c>
      <c r="R2151">
        <v>2.9820064938511699</v>
      </c>
      <c r="S2151">
        <v>199</v>
      </c>
      <c r="T2151">
        <v>46</v>
      </c>
      <c r="U2151">
        <v>973.72107371270204</v>
      </c>
      <c r="V2151">
        <v>2.25133033155955E-3</v>
      </c>
      <c r="W2151">
        <v>4915057.8610651297</v>
      </c>
      <c r="X2151" t="s">
        <v>33</v>
      </c>
      <c r="Y2151">
        <f>1-407-329-2030</f>
        <v>-2765</v>
      </c>
    </row>
    <row r="2152" spans="1:25" x14ac:dyDescent="0.35">
      <c r="A2152">
        <v>34.880413509337998</v>
      </c>
      <c r="B2152">
        <v>-117.003896555962</v>
      </c>
      <c r="C2152" t="s">
        <v>25</v>
      </c>
      <c r="D2152">
        <v>24.2223262301952</v>
      </c>
      <c r="E2152">
        <v>7</v>
      </c>
      <c r="F2152">
        <v>1825</v>
      </c>
      <c r="G2152">
        <v>3</v>
      </c>
      <c r="H2152">
        <v>1</v>
      </c>
      <c r="I2152">
        <v>1958</v>
      </c>
      <c r="J2152">
        <v>0</v>
      </c>
      <c r="K2152">
        <v>0</v>
      </c>
      <c r="L2152">
        <v>1</v>
      </c>
      <c r="M2152">
        <v>6</v>
      </c>
      <c r="N2152" t="s">
        <v>26</v>
      </c>
      <c r="O2152" t="s">
        <v>27</v>
      </c>
      <c r="P2152">
        <v>4.98616517688854</v>
      </c>
      <c r="Q2152">
        <v>0.56021687998303604</v>
      </c>
      <c r="R2152">
        <v>4.4740708386074104</v>
      </c>
      <c r="S2152">
        <v>158</v>
      </c>
      <c r="T2152">
        <v>54</v>
      </c>
      <c r="U2152">
        <v>613.52245112899595</v>
      </c>
      <c r="V2152">
        <v>3.2876712328767099E-3</v>
      </c>
      <c r="W2152">
        <v>1250061.11692263</v>
      </c>
      <c r="X2152" t="s">
        <v>44</v>
      </c>
      <c r="Y2152">
        <f>1-576-129-9648</f>
        <v>-10352</v>
      </c>
    </row>
    <row r="2153" spans="1:25" x14ac:dyDescent="0.35">
      <c r="A2153">
        <v>40.006326648733697</v>
      </c>
      <c r="B2153">
        <v>-123.069476755812</v>
      </c>
      <c r="C2153" t="s">
        <v>25</v>
      </c>
      <c r="D2153">
        <v>44.084999442701502</v>
      </c>
      <c r="E2153">
        <v>7</v>
      </c>
      <c r="F2153">
        <v>777</v>
      </c>
      <c r="G2153">
        <v>2</v>
      </c>
      <c r="H2153">
        <v>2</v>
      </c>
      <c r="I2153">
        <v>1987</v>
      </c>
      <c r="J2153">
        <v>0</v>
      </c>
      <c r="K2153">
        <v>1</v>
      </c>
      <c r="L2153">
        <v>1</v>
      </c>
      <c r="M2153">
        <v>9</v>
      </c>
      <c r="N2153" t="s">
        <v>26</v>
      </c>
      <c r="O2153" t="s">
        <v>30</v>
      </c>
      <c r="P2153">
        <v>11.787230208599899</v>
      </c>
      <c r="Q2153">
        <v>1.38264906726423</v>
      </c>
      <c r="R2153">
        <v>3.84790971114503</v>
      </c>
      <c r="S2153">
        <v>25</v>
      </c>
      <c r="T2153">
        <v>49</v>
      </c>
      <c r="U2153">
        <v>640.98640603901401</v>
      </c>
      <c r="V2153">
        <v>1.1583011583011499E-2</v>
      </c>
      <c r="W2153">
        <v>845186.12769589596</v>
      </c>
      <c r="X2153" t="s">
        <v>43</v>
      </c>
      <c r="Y2153">
        <f>1-448-566-5503</f>
        <v>-6516</v>
      </c>
    </row>
    <row r="2154" spans="1:25" x14ac:dyDescent="0.35">
      <c r="A2154">
        <v>40.004953308300401</v>
      </c>
      <c r="B2154">
        <v>-120.105065507362</v>
      </c>
      <c r="C2154" t="s">
        <v>29</v>
      </c>
      <c r="D2154">
        <v>35.2126620203599</v>
      </c>
      <c r="E2154">
        <v>3</v>
      </c>
      <c r="F2154">
        <v>600</v>
      </c>
      <c r="G2154">
        <v>4</v>
      </c>
      <c r="H2154">
        <v>2</v>
      </c>
      <c r="I2154">
        <v>1981</v>
      </c>
      <c r="J2154">
        <v>1</v>
      </c>
      <c r="K2154">
        <v>1</v>
      </c>
      <c r="L2154">
        <v>1</v>
      </c>
      <c r="M2154">
        <v>12</v>
      </c>
      <c r="N2154" t="s">
        <v>35</v>
      </c>
      <c r="O2154" t="s">
        <v>27</v>
      </c>
      <c r="P2154">
        <v>3.36278862824657</v>
      </c>
      <c r="Q2154">
        <v>1.0143691853232999</v>
      </c>
      <c r="R2154">
        <v>9.3618443893772998</v>
      </c>
      <c r="S2154">
        <v>54</v>
      </c>
      <c r="T2154">
        <v>30</v>
      </c>
      <c r="U2154">
        <v>225.31166602445799</v>
      </c>
      <c r="V2154">
        <v>0.02</v>
      </c>
      <c r="W2154">
        <v>515737.532239641</v>
      </c>
      <c r="X2154" t="s">
        <v>40</v>
      </c>
      <c r="Y2154">
        <f>1-712-534-6125</f>
        <v>-7370</v>
      </c>
    </row>
    <row r="2155" spans="1:25" x14ac:dyDescent="0.35">
      <c r="A2155">
        <v>33.745737902409097</v>
      </c>
      <c r="B2155">
        <v>-123.43661395580899</v>
      </c>
      <c r="C2155" t="s">
        <v>29</v>
      </c>
      <c r="D2155">
        <v>25.455199170555002</v>
      </c>
      <c r="E2155">
        <v>7</v>
      </c>
      <c r="F2155">
        <v>4607</v>
      </c>
      <c r="G2155">
        <v>3</v>
      </c>
      <c r="H2155">
        <v>3</v>
      </c>
      <c r="I2155">
        <v>1979</v>
      </c>
      <c r="J2155">
        <v>0</v>
      </c>
      <c r="K2155">
        <v>0</v>
      </c>
      <c r="L2155">
        <v>1</v>
      </c>
      <c r="M2155">
        <v>7</v>
      </c>
      <c r="N2155" t="s">
        <v>41</v>
      </c>
      <c r="O2155" t="s">
        <v>27</v>
      </c>
      <c r="P2155">
        <v>4.9206619548932498</v>
      </c>
      <c r="Q2155">
        <v>1.08118483324288</v>
      </c>
      <c r="R2155">
        <v>5.2869146098842501</v>
      </c>
      <c r="S2155">
        <v>17</v>
      </c>
      <c r="T2155">
        <v>61</v>
      </c>
      <c r="U2155">
        <v>586.61447222348204</v>
      </c>
      <c r="V2155">
        <v>1.5194269589754699E-3</v>
      </c>
      <c r="W2155">
        <v>2886578.2077275398</v>
      </c>
      <c r="X2155" t="s">
        <v>40</v>
      </c>
      <c r="Y2155">
        <f>1-325-768-4374</f>
        <v>-5466</v>
      </c>
    </row>
    <row r="2156" spans="1:25" x14ac:dyDescent="0.35">
      <c r="A2156">
        <v>38.839734966573701</v>
      </c>
      <c r="B2156">
        <v>-116.77018634656</v>
      </c>
      <c r="C2156" t="s">
        <v>25</v>
      </c>
      <c r="D2156">
        <v>15.761964933480501</v>
      </c>
      <c r="E2156">
        <v>0</v>
      </c>
      <c r="F2156">
        <v>4218</v>
      </c>
      <c r="G2156">
        <v>4</v>
      </c>
      <c r="H2156">
        <v>2</v>
      </c>
      <c r="I2156">
        <v>1976</v>
      </c>
      <c r="J2156">
        <v>1</v>
      </c>
      <c r="K2156">
        <v>1</v>
      </c>
      <c r="L2156">
        <v>0</v>
      </c>
      <c r="M2156">
        <v>6</v>
      </c>
      <c r="N2156" t="s">
        <v>35</v>
      </c>
      <c r="O2156" t="s">
        <v>32</v>
      </c>
      <c r="P2156">
        <v>14.3140960359065</v>
      </c>
      <c r="Q2156">
        <v>2.43445606985741</v>
      </c>
      <c r="R2156">
        <v>5.2409068367775902</v>
      </c>
      <c r="S2156">
        <v>63</v>
      </c>
      <c r="T2156">
        <v>72</v>
      </c>
      <c r="U2156">
        <v>430.45593962131699</v>
      </c>
      <c r="V2156">
        <v>1.42247510668563E-3</v>
      </c>
      <c r="W2156">
        <v>2177442.9565976099</v>
      </c>
      <c r="X2156" t="s">
        <v>38</v>
      </c>
      <c r="Y2156">
        <f>1-895-546-1961</f>
        <v>-3401</v>
      </c>
    </row>
    <row r="2157" spans="1:25" x14ac:dyDescent="0.35">
      <c r="A2157">
        <v>39.791802671898402</v>
      </c>
      <c r="B2157">
        <v>-115.83629807480099</v>
      </c>
      <c r="C2157" t="s">
        <v>29</v>
      </c>
      <c r="D2157">
        <v>17.0597775305033</v>
      </c>
      <c r="E2157">
        <v>7</v>
      </c>
      <c r="F2157">
        <v>3582</v>
      </c>
      <c r="G2157">
        <v>2</v>
      </c>
      <c r="H2157">
        <v>1</v>
      </c>
      <c r="I2157">
        <v>1982</v>
      </c>
      <c r="J2157">
        <v>1</v>
      </c>
      <c r="K2157">
        <v>0</v>
      </c>
      <c r="L2157">
        <v>1</v>
      </c>
      <c r="M2157">
        <v>7</v>
      </c>
      <c r="N2157" t="s">
        <v>41</v>
      </c>
      <c r="O2157" t="s">
        <v>30</v>
      </c>
      <c r="P2157">
        <v>14.9524587251941</v>
      </c>
      <c r="Q2157">
        <v>2.11264701556042</v>
      </c>
      <c r="R2157">
        <v>1.2716184809613</v>
      </c>
      <c r="S2157">
        <v>41</v>
      </c>
      <c r="T2157">
        <v>35</v>
      </c>
      <c r="U2157">
        <v>558.68549098659196</v>
      </c>
      <c r="V2157">
        <v>1.9542155220547098E-3</v>
      </c>
      <c r="W2157">
        <v>2335920.89710498</v>
      </c>
      <c r="X2157" t="s">
        <v>36</v>
      </c>
      <c r="Y2157">
        <f>1-269-978-3387</f>
        <v>-4633</v>
      </c>
    </row>
    <row r="2158" spans="1:25" x14ac:dyDescent="0.35">
      <c r="A2158">
        <v>40.482286767114601</v>
      </c>
      <c r="B2158">
        <v>-119.88198619722399</v>
      </c>
      <c r="C2158" t="s">
        <v>34</v>
      </c>
      <c r="D2158">
        <v>1.00253737336308</v>
      </c>
      <c r="E2158">
        <v>8</v>
      </c>
      <c r="F2158">
        <v>1117</v>
      </c>
      <c r="G2158">
        <v>2</v>
      </c>
      <c r="H2158">
        <v>1</v>
      </c>
      <c r="I2158">
        <v>1993</v>
      </c>
      <c r="J2158">
        <v>0</v>
      </c>
      <c r="K2158">
        <v>0</v>
      </c>
      <c r="L2158">
        <v>1</v>
      </c>
      <c r="M2158">
        <v>2</v>
      </c>
      <c r="N2158" t="s">
        <v>26</v>
      </c>
      <c r="O2158" t="s">
        <v>32</v>
      </c>
      <c r="P2158">
        <v>9.9770291510880593</v>
      </c>
      <c r="Q2158">
        <v>1.8438644089357199</v>
      </c>
      <c r="R2158">
        <v>5.6040377211971402</v>
      </c>
      <c r="S2158">
        <v>141</v>
      </c>
      <c r="T2158">
        <v>54</v>
      </c>
      <c r="U2158">
        <v>497.69492307234799</v>
      </c>
      <c r="V2158">
        <v>1.7905102954341901E-3</v>
      </c>
      <c r="W2158">
        <v>657854.652559101</v>
      </c>
      <c r="X2158" t="s">
        <v>28</v>
      </c>
      <c r="Y2158">
        <f>1-369-182-2576</f>
        <v>-3126</v>
      </c>
    </row>
    <row r="2159" spans="1:25" x14ac:dyDescent="0.35">
      <c r="A2159">
        <v>32.9045019490069</v>
      </c>
      <c r="B2159">
        <v>-114.960298093058</v>
      </c>
      <c r="C2159" t="s">
        <v>25</v>
      </c>
      <c r="D2159">
        <v>20.170206596581099</v>
      </c>
      <c r="E2159">
        <v>2</v>
      </c>
      <c r="F2159">
        <v>3128</v>
      </c>
      <c r="G2159">
        <v>3</v>
      </c>
      <c r="H2159">
        <v>2</v>
      </c>
      <c r="I2159">
        <v>1956</v>
      </c>
      <c r="J2159">
        <v>1</v>
      </c>
      <c r="K2159">
        <v>1</v>
      </c>
      <c r="L2159">
        <v>0</v>
      </c>
      <c r="M2159">
        <v>10</v>
      </c>
      <c r="N2159" t="s">
        <v>41</v>
      </c>
      <c r="O2159" t="s">
        <v>27</v>
      </c>
      <c r="P2159">
        <v>3.0156444058038199</v>
      </c>
      <c r="Q2159">
        <v>0.80810880544724395</v>
      </c>
      <c r="R2159">
        <v>6.02060657899729</v>
      </c>
      <c r="S2159">
        <v>92</v>
      </c>
      <c r="T2159">
        <v>48</v>
      </c>
      <c r="U2159">
        <v>533.20927686808898</v>
      </c>
      <c r="V2159">
        <v>3.19693094629156E-3</v>
      </c>
      <c r="W2159">
        <v>1886076.1361901399</v>
      </c>
      <c r="X2159" t="s">
        <v>38</v>
      </c>
      <c r="Y2159">
        <f>1-745-926-2479</f>
        <v>-4149</v>
      </c>
    </row>
    <row r="2160" spans="1:25" x14ac:dyDescent="0.35">
      <c r="A2160">
        <v>39.943998174195698</v>
      </c>
      <c r="B2160">
        <v>-119.99005839698999</v>
      </c>
      <c r="C2160" t="s">
        <v>34</v>
      </c>
      <c r="D2160">
        <v>32.3678060233145</v>
      </c>
      <c r="E2160">
        <v>6</v>
      </c>
      <c r="F2160">
        <v>2591</v>
      </c>
      <c r="G2160">
        <v>4</v>
      </c>
      <c r="H2160">
        <v>1</v>
      </c>
      <c r="I2160">
        <v>1956</v>
      </c>
      <c r="J2160">
        <v>1</v>
      </c>
      <c r="K2160">
        <v>0</v>
      </c>
      <c r="L2160">
        <v>1</v>
      </c>
      <c r="M2160">
        <v>5</v>
      </c>
      <c r="N2160" t="s">
        <v>37</v>
      </c>
      <c r="O2160" t="s">
        <v>32</v>
      </c>
      <c r="P2160">
        <v>2.7973070890723202</v>
      </c>
      <c r="Q2160">
        <v>2.3436214070114199</v>
      </c>
      <c r="R2160">
        <v>7.3654348101598499</v>
      </c>
      <c r="S2160">
        <v>93</v>
      </c>
      <c r="T2160">
        <v>24</v>
      </c>
      <c r="U2160">
        <v>650.105152989212</v>
      </c>
      <c r="V2160">
        <v>1.92975685063681E-3</v>
      </c>
      <c r="W2160">
        <v>1913541.66691223</v>
      </c>
      <c r="X2160" t="s">
        <v>28</v>
      </c>
      <c r="Y2160">
        <f>1-262-577-7039</f>
        <v>-7877</v>
      </c>
    </row>
    <row r="2161" spans="1:25" x14ac:dyDescent="0.35">
      <c r="A2161">
        <v>32.873551499840801</v>
      </c>
      <c r="B2161">
        <v>-121.82109143477599</v>
      </c>
      <c r="C2161" t="s">
        <v>25</v>
      </c>
      <c r="D2161">
        <v>34.242296860681101</v>
      </c>
      <c r="E2161">
        <v>1</v>
      </c>
      <c r="F2161">
        <v>2179</v>
      </c>
      <c r="G2161">
        <v>1</v>
      </c>
      <c r="H2161">
        <v>3</v>
      </c>
      <c r="I2161">
        <v>1990</v>
      </c>
      <c r="J2161">
        <v>1</v>
      </c>
      <c r="K2161">
        <v>1</v>
      </c>
      <c r="L2161">
        <v>1</v>
      </c>
      <c r="M2161">
        <v>5</v>
      </c>
      <c r="N2161" t="s">
        <v>35</v>
      </c>
      <c r="O2161" t="s">
        <v>27</v>
      </c>
      <c r="P2161">
        <v>5.6973432818205101</v>
      </c>
      <c r="Q2161">
        <v>0.61004140227906101</v>
      </c>
      <c r="R2161">
        <v>0.76282779077041196</v>
      </c>
      <c r="S2161">
        <v>194</v>
      </c>
      <c r="T2161">
        <v>66</v>
      </c>
      <c r="U2161">
        <v>961.48609552907499</v>
      </c>
      <c r="V2161">
        <v>2.2946305644791099E-3</v>
      </c>
      <c r="W2161">
        <v>2366448.6856479798</v>
      </c>
      <c r="X2161" t="s">
        <v>31</v>
      </c>
      <c r="Y2161">
        <f>1-260-197-8882</f>
        <v>-9338</v>
      </c>
    </row>
    <row r="2162" spans="1:25" x14ac:dyDescent="0.35">
      <c r="A2162">
        <v>35.801322688791899</v>
      </c>
      <c r="B2162">
        <v>-120.820039848132</v>
      </c>
      <c r="C2162" t="s">
        <v>25</v>
      </c>
      <c r="D2162">
        <v>1.2174502286418301</v>
      </c>
      <c r="E2162">
        <v>3</v>
      </c>
      <c r="F2162">
        <v>2374</v>
      </c>
      <c r="G2162">
        <v>5</v>
      </c>
      <c r="H2162">
        <v>2</v>
      </c>
      <c r="I2162">
        <v>1968</v>
      </c>
      <c r="J2162">
        <v>0</v>
      </c>
      <c r="K2162">
        <v>1</v>
      </c>
      <c r="L2162">
        <v>1</v>
      </c>
      <c r="M2162">
        <v>11</v>
      </c>
      <c r="N2162" t="s">
        <v>37</v>
      </c>
      <c r="O2162" t="s">
        <v>32</v>
      </c>
      <c r="P2162">
        <v>6.3249761668990399</v>
      </c>
      <c r="Q2162">
        <v>2.0024244461555698</v>
      </c>
      <c r="R2162">
        <v>1.77845695762443</v>
      </c>
      <c r="S2162">
        <v>56</v>
      </c>
      <c r="T2162">
        <v>35</v>
      </c>
      <c r="U2162">
        <v>810.77584407742802</v>
      </c>
      <c r="V2162">
        <v>4.6335299073293999E-3</v>
      </c>
      <c r="W2162">
        <v>2271895.6150050298</v>
      </c>
      <c r="X2162" t="s">
        <v>38</v>
      </c>
      <c r="Y2162">
        <f>1-811-587-1338</f>
        <v>-2735</v>
      </c>
    </row>
    <row r="2163" spans="1:25" x14ac:dyDescent="0.35">
      <c r="A2163">
        <v>35.103223231956697</v>
      </c>
      <c r="B2163">
        <v>-114.709239766548</v>
      </c>
      <c r="C2163" t="s">
        <v>34</v>
      </c>
      <c r="D2163">
        <v>25.6760975222094</v>
      </c>
      <c r="E2163">
        <v>9</v>
      </c>
      <c r="F2163">
        <v>4289</v>
      </c>
      <c r="G2163">
        <v>1</v>
      </c>
      <c r="H2163">
        <v>1</v>
      </c>
      <c r="I2163">
        <v>1956</v>
      </c>
      <c r="J2163">
        <v>1</v>
      </c>
      <c r="K2163">
        <v>1</v>
      </c>
      <c r="L2163">
        <v>0</v>
      </c>
      <c r="M2163">
        <v>11</v>
      </c>
      <c r="N2163" t="s">
        <v>37</v>
      </c>
      <c r="O2163" t="s">
        <v>27</v>
      </c>
      <c r="P2163">
        <v>6.1004297381402299</v>
      </c>
      <c r="Q2163">
        <v>1.6812192122535501</v>
      </c>
      <c r="R2163">
        <v>3.0445566316803099</v>
      </c>
      <c r="S2163">
        <v>43</v>
      </c>
      <c r="T2163">
        <v>53</v>
      </c>
      <c r="U2163">
        <v>711.15373786225302</v>
      </c>
      <c r="V2163">
        <v>2.5647003963627799E-3</v>
      </c>
      <c r="W2163">
        <v>3246704.4488367299</v>
      </c>
      <c r="X2163" t="s">
        <v>31</v>
      </c>
      <c r="Y2163">
        <f>1-821-758-1495</f>
        <v>-3073</v>
      </c>
    </row>
    <row r="2164" spans="1:25" x14ac:dyDescent="0.35">
      <c r="A2164">
        <v>38.525187822143202</v>
      </c>
      <c r="B2164">
        <v>-121.251782638336</v>
      </c>
      <c r="C2164" t="s">
        <v>34</v>
      </c>
      <c r="D2164">
        <v>18.477653696787701</v>
      </c>
      <c r="E2164">
        <v>9</v>
      </c>
      <c r="F2164">
        <v>2593</v>
      </c>
      <c r="G2164">
        <v>3</v>
      </c>
      <c r="H2164">
        <v>1</v>
      </c>
      <c r="I2164">
        <v>1989</v>
      </c>
      <c r="J2164">
        <v>0</v>
      </c>
      <c r="K2164">
        <v>1</v>
      </c>
      <c r="L2164">
        <v>0</v>
      </c>
      <c r="M2164">
        <v>3</v>
      </c>
      <c r="N2164" t="s">
        <v>41</v>
      </c>
      <c r="O2164" t="s">
        <v>30</v>
      </c>
      <c r="P2164">
        <v>4.8327024607819302</v>
      </c>
      <c r="Q2164">
        <v>1.24114559208682</v>
      </c>
      <c r="R2164">
        <v>6.5001555465111602</v>
      </c>
      <c r="S2164">
        <v>57</v>
      </c>
      <c r="T2164">
        <v>47</v>
      </c>
      <c r="U2164">
        <v>303.26679144241598</v>
      </c>
      <c r="V2164">
        <v>1.15696104897801E-3</v>
      </c>
      <c r="W2164">
        <v>962289.07061887998</v>
      </c>
      <c r="X2164" t="s">
        <v>33</v>
      </c>
      <c r="Y2164">
        <f>1-565-627-4296</f>
        <v>-5487</v>
      </c>
    </row>
    <row r="2165" spans="1:25" x14ac:dyDescent="0.35">
      <c r="A2165">
        <v>37.491674738264997</v>
      </c>
      <c r="B2165">
        <v>-121.577859050128</v>
      </c>
      <c r="C2165" t="s">
        <v>34</v>
      </c>
      <c r="D2165">
        <v>11.0936416170459</v>
      </c>
      <c r="E2165">
        <v>6</v>
      </c>
      <c r="F2165">
        <v>4936</v>
      </c>
      <c r="G2165">
        <v>5</v>
      </c>
      <c r="H2165">
        <v>3</v>
      </c>
      <c r="I2165">
        <v>1974</v>
      </c>
      <c r="J2165">
        <v>1</v>
      </c>
      <c r="K2165">
        <v>1</v>
      </c>
      <c r="L2165">
        <v>0</v>
      </c>
      <c r="M2165">
        <v>12</v>
      </c>
      <c r="N2165" t="s">
        <v>41</v>
      </c>
      <c r="O2165" t="s">
        <v>27</v>
      </c>
      <c r="P2165">
        <v>10.039761322095501</v>
      </c>
      <c r="Q2165">
        <v>1.82384863757646</v>
      </c>
      <c r="R2165">
        <v>5.0756996258928702</v>
      </c>
      <c r="S2165">
        <v>195</v>
      </c>
      <c r="T2165">
        <v>59</v>
      </c>
      <c r="U2165">
        <v>326.08151170505602</v>
      </c>
      <c r="V2165">
        <v>2.4311183144246299E-3</v>
      </c>
      <c r="W2165">
        <v>1999550.4281828799</v>
      </c>
      <c r="X2165" t="s">
        <v>36</v>
      </c>
      <c r="Y2165">
        <f>1-321-255-8748</f>
        <v>-9323</v>
      </c>
    </row>
    <row r="2166" spans="1:25" x14ac:dyDescent="0.35">
      <c r="A2166">
        <v>36.1194037477471</v>
      </c>
      <c r="B2166">
        <v>-120.047219057378</v>
      </c>
      <c r="C2166" t="s">
        <v>29</v>
      </c>
      <c r="D2166">
        <v>24.256890371051799</v>
      </c>
      <c r="E2166">
        <v>5</v>
      </c>
      <c r="F2166">
        <v>1055</v>
      </c>
      <c r="G2166">
        <v>4</v>
      </c>
      <c r="H2166">
        <v>2</v>
      </c>
      <c r="I2166">
        <v>1960</v>
      </c>
      <c r="J2166">
        <v>1</v>
      </c>
      <c r="K2166">
        <v>0</v>
      </c>
      <c r="L2166">
        <v>1</v>
      </c>
      <c r="M2166">
        <v>13</v>
      </c>
      <c r="N2166" t="s">
        <v>35</v>
      </c>
      <c r="O2166" t="s">
        <v>32</v>
      </c>
      <c r="P2166">
        <v>13.639712652098</v>
      </c>
      <c r="Q2166">
        <v>1.1209520022598201</v>
      </c>
      <c r="R2166">
        <v>5.8354874665836496</v>
      </c>
      <c r="S2166">
        <v>119</v>
      </c>
      <c r="T2166">
        <v>52</v>
      </c>
      <c r="U2166">
        <v>960.32030846989596</v>
      </c>
      <c r="V2166">
        <v>1.23222748815165E-2</v>
      </c>
      <c r="W2166">
        <v>1401915.2869171801</v>
      </c>
      <c r="X2166" t="s">
        <v>33</v>
      </c>
      <c r="Y2166">
        <f>1-780-589-2280</f>
        <v>-3648</v>
      </c>
    </row>
    <row r="2167" spans="1:25" x14ac:dyDescent="0.35">
      <c r="A2167">
        <v>39.942838006520297</v>
      </c>
      <c r="B2167">
        <v>-120.641626260755</v>
      </c>
      <c r="C2167" t="s">
        <v>25</v>
      </c>
      <c r="D2167">
        <v>16.653168154326799</v>
      </c>
      <c r="E2167">
        <v>2</v>
      </c>
      <c r="F2167">
        <v>3078</v>
      </c>
      <c r="G2167">
        <v>1</v>
      </c>
      <c r="H2167">
        <v>2</v>
      </c>
      <c r="I2167">
        <v>1975</v>
      </c>
      <c r="J2167">
        <v>0</v>
      </c>
      <c r="K2167">
        <v>1</v>
      </c>
      <c r="L2167">
        <v>0</v>
      </c>
      <c r="M2167">
        <v>9</v>
      </c>
      <c r="N2167" t="s">
        <v>37</v>
      </c>
      <c r="O2167" t="s">
        <v>30</v>
      </c>
      <c r="P2167">
        <v>9.4488269037969594</v>
      </c>
      <c r="Q2167">
        <v>0.99341044330435302</v>
      </c>
      <c r="R2167">
        <v>4.4101227032149204</v>
      </c>
      <c r="S2167">
        <v>191</v>
      </c>
      <c r="T2167">
        <v>70</v>
      </c>
      <c r="U2167">
        <v>706.14010001414204</v>
      </c>
      <c r="V2167">
        <v>2.92397660818713E-3</v>
      </c>
      <c r="W2167">
        <v>2348686.4021780798</v>
      </c>
      <c r="X2167" t="s">
        <v>28</v>
      </c>
      <c r="Y2167">
        <f>1-617-428-3488</f>
        <v>-4532</v>
      </c>
    </row>
    <row r="2168" spans="1:25" x14ac:dyDescent="0.35">
      <c r="A2168">
        <v>36.103251295296097</v>
      </c>
      <c r="B2168">
        <v>-117.450411915792</v>
      </c>
      <c r="C2168" t="s">
        <v>25</v>
      </c>
      <c r="D2168">
        <v>37.086077109182298</v>
      </c>
      <c r="E2168">
        <v>4</v>
      </c>
      <c r="F2168">
        <v>3185</v>
      </c>
      <c r="G2168">
        <v>2</v>
      </c>
      <c r="H2168">
        <v>1</v>
      </c>
      <c r="I2168">
        <v>2006</v>
      </c>
      <c r="J2168">
        <v>0</v>
      </c>
      <c r="K2168">
        <v>1</v>
      </c>
      <c r="L2168">
        <v>1</v>
      </c>
      <c r="M2168">
        <v>4</v>
      </c>
      <c r="N2168" t="s">
        <v>35</v>
      </c>
      <c r="O2168" t="s">
        <v>32</v>
      </c>
      <c r="P2168">
        <v>5.8609595063157904</v>
      </c>
      <c r="Q2168">
        <v>2.0694977582627501</v>
      </c>
      <c r="R2168">
        <v>6.4564748112561396</v>
      </c>
      <c r="S2168">
        <v>188</v>
      </c>
      <c r="T2168">
        <v>71</v>
      </c>
      <c r="U2168">
        <v>798.02252706327295</v>
      </c>
      <c r="V2168">
        <v>1.2558869701726799E-3</v>
      </c>
      <c r="W2168">
        <v>2782847.0855569402</v>
      </c>
      <c r="X2168" t="s">
        <v>40</v>
      </c>
      <c r="Y2168">
        <f>1-397-160-8927</f>
        <v>-9483</v>
      </c>
    </row>
    <row r="2169" spans="1:25" x14ac:dyDescent="0.35">
      <c r="A2169">
        <v>32.589069573427402</v>
      </c>
      <c r="B2169">
        <v>-122.00819742450101</v>
      </c>
      <c r="C2169" t="s">
        <v>29</v>
      </c>
      <c r="D2169">
        <v>28.801381032701499</v>
      </c>
      <c r="E2169">
        <v>6</v>
      </c>
      <c r="F2169">
        <v>2131</v>
      </c>
      <c r="G2169">
        <v>1</v>
      </c>
      <c r="H2169">
        <v>3</v>
      </c>
      <c r="I2169">
        <v>1992</v>
      </c>
      <c r="J2169">
        <v>1</v>
      </c>
      <c r="K2169">
        <v>1</v>
      </c>
      <c r="L2169">
        <v>0</v>
      </c>
      <c r="M2169">
        <v>3</v>
      </c>
      <c r="N2169" t="s">
        <v>37</v>
      </c>
      <c r="O2169" t="s">
        <v>30</v>
      </c>
      <c r="P2169">
        <v>14.449229032110001</v>
      </c>
      <c r="Q2169">
        <v>1.8211158896509301</v>
      </c>
      <c r="R2169">
        <v>3.2196769923692798</v>
      </c>
      <c r="S2169">
        <v>108</v>
      </c>
      <c r="T2169">
        <v>49</v>
      </c>
      <c r="U2169">
        <v>721.20644788317395</v>
      </c>
      <c r="V2169">
        <v>1.407789770061E-3</v>
      </c>
      <c r="W2169">
        <v>1880100.65685647</v>
      </c>
      <c r="X2169" t="s">
        <v>44</v>
      </c>
      <c r="Y2169">
        <f>1-412-843-8668</f>
        <v>-9922</v>
      </c>
    </row>
    <row r="2170" spans="1:25" x14ac:dyDescent="0.35">
      <c r="A2170">
        <v>33.412191224333498</v>
      </c>
      <c r="B2170">
        <v>-116.111581170497</v>
      </c>
      <c r="C2170" t="s">
        <v>25</v>
      </c>
      <c r="D2170">
        <v>10.3166444772107</v>
      </c>
      <c r="E2170">
        <v>1</v>
      </c>
      <c r="F2170">
        <v>961</v>
      </c>
      <c r="G2170">
        <v>1</v>
      </c>
      <c r="H2170">
        <v>3</v>
      </c>
      <c r="I2170">
        <v>1957</v>
      </c>
      <c r="J2170">
        <v>0</v>
      </c>
      <c r="K2170">
        <v>1</v>
      </c>
      <c r="L2170">
        <v>0</v>
      </c>
      <c r="M2170">
        <v>7</v>
      </c>
      <c r="N2170" t="s">
        <v>26</v>
      </c>
      <c r="O2170" t="s">
        <v>30</v>
      </c>
      <c r="P2170">
        <v>14.2729679263742</v>
      </c>
      <c r="Q2170">
        <v>0.65781289731274795</v>
      </c>
      <c r="R2170">
        <v>6.9309812173598502</v>
      </c>
      <c r="S2170">
        <v>123</v>
      </c>
      <c r="T2170">
        <v>69</v>
      </c>
      <c r="U2170">
        <v>628.38833804889305</v>
      </c>
      <c r="V2170">
        <v>7.2840790842872002E-3</v>
      </c>
      <c r="W2170">
        <v>779649.14092516899</v>
      </c>
      <c r="X2170" t="s">
        <v>38</v>
      </c>
      <c r="Y2170">
        <f>1-446-102-3155</f>
        <v>-3702</v>
      </c>
    </row>
    <row r="2171" spans="1:25" x14ac:dyDescent="0.35">
      <c r="A2171">
        <v>41.897319030974998</v>
      </c>
      <c r="B2171">
        <v>-119.52819393576399</v>
      </c>
      <c r="C2171" t="s">
        <v>34</v>
      </c>
      <c r="D2171">
        <v>41.652394340013899</v>
      </c>
      <c r="E2171">
        <v>7</v>
      </c>
      <c r="F2171">
        <v>3504</v>
      </c>
      <c r="G2171">
        <v>2</v>
      </c>
      <c r="H2171">
        <v>2</v>
      </c>
      <c r="I2171">
        <v>1956</v>
      </c>
      <c r="J2171">
        <v>1</v>
      </c>
      <c r="K2171">
        <v>0</v>
      </c>
      <c r="L2171">
        <v>1</v>
      </c>
      <c r="M2171">
        <v>4</v>
      </c>
      <c r="N2171" t="s">
        <v>26</v>
      </c>
      <c r="O2171" t="s">
        <v>27</v>
      </c>
      <c r="P2171">
        <v>14.587524238647401</v>
      </c>
      <c r="Q2171">
        <v>2.4412974744063298</v>
      </c>
      <c r="R2171">
        <v>7.41367492556392</v>
      </c>
      <c r="S2171">
        <v>132</v>
      </c>
      <c r="T2171">
        <v>47</v>
      </c>
      <c r="U2171">
        <v>867.53126410520099</v>
      </c>
      <c r="V2171">
        <v>1.1415525114155201E-3</v>
      </c>
      <c r="W2171">
        <v>3257694.4348226599</v>
      </c>
      <c r="X2171" t="s">
        <v>38</v>
      </c>
      <c r="Y2171">
        <f>1-671-924-4827</f>
        <v>-6421</v>
      </c>
    </row>
    <row r="2172" spans="1:25" x14ac:dyDescent="0.35">
      <c r="A2172">
        <v>40.113073063667898</v>
      </c>
      <c r="B2172">
        <v>-115.22531350672701</v>
      </c>
      <c r="C2172" t="s">
        <v>25</v>
      </c>
      <c r="D2172">
        <v>31.129877659401799</v>
      </c>
      <c r="E2172">
        <v>2</v>
      </c>
      <c r="F2172">
        <v>1005</v>
      </c>
      <c r="G2172">
        <v>4</v>
      </c>
      <c r="H2172">
        <v>1</v>
      </c>
      <c r="I2172">
        <v>1974</v>
      </c>
      <c r="J2172">
        <v>1</v>
      </c>
      <c r="K2172">
        <v>1</v>
      </c>
      <c r="L2172">
        <v>1</v>
      </c>
      <c r="M2172">
        <v>8</v>
      </c>
      <c r="N2172" t="s">
        <v>35</v>
      </c>
      <c r="O2172" t="s">
        <v>27</v>
      </c>
      <c r="P2172">
        <v>12.668310902001901</v>
      </c>
      <c r="Q2172">
        <v>2.2290849406382698</v>
      </c>
      <c r="R2172">
        <v>7.1492794730165903</v>
      </c>
      <c r="S2172">
        <v>45</v>
      </c>
      <c r="T2172">
        <v>72</v>
      </c>
      <c r="U2172">
        <v>765.73194998812198</v>
      </c>
      <c r="V2172">
        <v>7.9601990049751204E-3</v>
      </c>
      <c r="W2172">
        <v>1244261.5694589501</v>
      </c>
      <c r="X2172" t="s">
        <v>36</v>
      </c>
      <c r="Y2172">
        <f>1-861-793-3574</f>
        <v>-5227</v>
      </c>
    </row>
    <row r="2173" spans="1:25" x14ac:dyDescent="0.35">
      <c r="A2173">
        <v>38.2706372064671</v>
      </c>
      <c r="B2173">
        <v>-116.727557520302</v>
      </c>
      <c r="C2173" t="s">
        <v>34</v>
      </c>
      <c r="D2173">
        <v>35.367826276009403</v>
      </c>
      <c r="E2173">
        <v>8</v>
      </c>
      <c r="F2173">
        <v>1804</v>
      </c>
      <c r="G2173">
        <v>3</v>
      </c>
      <c r="H2173">
        <v>3</v>
      </c>
      <c r="I2173">
        <v>2016</v>
      </c>
      <c r="J2173">
        <v>0</v>
      </c>
      <c r="K2173">
        <v>1</v>
      </c>
      <c r="L2173">
        <v>0</v>
      </c>
      <c r="M2173">
        <v>12</v>
      </c>
      <c r="N2173" t="s">
        <v>26</v>
      </c>
      <c r="O2173" t="s">
        <v>27</v>
      </c>
      <c r="P2173">
        <v>9.9787132123221092</v>
      </c>
      <c r="Q2173">
        <v>2.1716648197796098</v>
      </c>
      <c r="R2173">
        <v>2.5930820903456899</v>
      </c>
      <c r="S2173">
        <v>140</v>
      </c>
      <c r="T2173">
        <v>59</v>
      </c>
      <c r="U2173">
        <v>512.48109466101505</v>
      </c>
      <c r="V2173">
        <v>6.6518847006651798E-3</v>
      </c>
      <c r="W2173">
        <v>1164518.0692923099</v>
      </c>
      <c r="X2173" t="s">
        <v>31</v>
      </c>
      <c r="Y2173">
        <f>1-840-315-4112</f>
        <v>-5266</v>
      </c>
    </row>
    <row r="2174" spans="1:25" x14ac:dyDescent="0.35">
      <c r="A2174">
        <v>35.890730018180498</v>
      </c>
      <c r="B2174">
        <v>-124.380022212651</v>
      </c>
      <c r="C2174" t="s">
        <v>29</v>
      </c>
      <c r="D2174">
        <v>5.3052004170067404</v>
      </c>
      <c r="E2174">
        <v>3</v>
      </c>
      <c r="F2174">
        <v>2825</v>
      </c>
      <c r="G2174">
        <v>4</v>
      </c>
      <c r="H2174">
        <v>2</v>
      </c>
      <c r="I2174">
        <v>2020</v>
      </c>
      <c r="J2174">
        <v>0</v>
      </c>
      <c r="K2174">
        <v>0</v>
      </c>
      <c r="L2174">
        <v>1</v>
      </c>
      <c r="M2174">
        <v>7</v>
      </c>
      <c r="N2174" t="s">
        <v>35</v>
      </c>
      <c r="O2174" t="s">
        <v>30</v>
      </c>
      <c r="P2174">
        <v>11.0150465654665</v>
      </c>
      <c r="Q2174">
        <v>1.0858843541819601</v>
      </c>
      <c r="R2174">
        <v>7.6045940068050601</v>
      </c>
      <c r="S2174">
        <v>198</v>
      </c>
      <c r="T2174">
        <v>56</v>
      </c>
      <c r="U2174">
        <v>738.57482742136904</v>
      </c>
      <c r="V2174">
        <v>2.4778761061946901E-3</v>
      </c>
      <c r="W2174">
        <v>2512246.27243088</v>
      </c>
      <c r="X2174" t="s">
        <v>44</v>
      </c>
      <c r="Y2174">
        <f>1-598-499-3430</f>
        <v>-4526</v>
      </c>
    </row>
    <row r="2175" spans="1:25" x14ac:dyDescent="0.35">
      <c r="A2175">
        <v>34.736274725627503</v>
      </c>
      <c r="B2175">
        <v>-121.138634368346</v>
      </c>
      <c r="C2175" t="s">
        <v>29</v>
      </c>
      <c r="D2175">
        <v>13.1621167545256</v>
      </c>
      <c r="E2175">
        <v>2</v>
      </c>
      <c r="F2175">
        <v>3675</v>
      </c>
      <c r="G2175">
        <v>1</v>
      </c>
      <c r="H2175">
        <v>3</v>
      </c>
      <c r="I2175">
        <v>1967</v>
      </c>
      <c r="J2175">
        <v>1</v>
      </c>
      <c r="K2175">
        <v>0</v>
      </c>
      <c r="L2175">
        <v>1</v>
      </c>
      <c r="M2175">
        <v>4</v>
      </c>
      <c r="N2175" t="s">
        <v>35</v>
      </c>
      <c r="O2175" t="s">
        <v>27</v>
      </c>
      <c r="P2175">
        <v>5.30889759766906</v>
      </c>
      <c r="Q2175">
        <v>0.89565130954546801</v>
      </c>
      <c r="R2175">
        <v>4.2684835107322199</v>
      </c>
      <c r="S2175">
        <v>120</v>
      </c>
      <c r="T2175">
        <v>59</v>
      </c>
      <c r="U2175">
        <v>500.25441137003003</v>
      </c>
      <c r="V2175">
        <v>1.0884353741496501E-3</v>
      </c>
      <c r="W2175">
        <v>1905405.36611452</v>
      </c>
      <c r="X2175" t="s">
        <v>40</v>
      </c>
      <c r="Y2175">
        <f>1-771-954-5103</f>
        <v>-6827</v>
      </c>
    </row>
    <row r="2176" spans="1:25" x14ac:dyDescent="0.35">
      <c r="A2176">
        <v>33.407644919044301</v>
      </c>
      <c r="B2176">
        <v>-123.16920487016</v>
      </c>
      <c r="C2176" t="s">
        <v>25</v>
      </c>
      <c r="D2176">
        <v>48.467545945831397</v>
      </c>
      <c r="E2176">
        <v>6</v>
      </c>
      <c r="F2176">
        <v>4191</v>
      </c>
      <c r="G2176">
        <v>4</v>
      </c>
      <c r="H2176">
        <v>3</v>
      </c>
      <c r="I2176">
        <v>1981</v>
      </c>
      <c r="J2176">
        <v>0</v>
      </c>
      <c r="K2176">
        <v>0</v>
      </c>
      <c r="L2176">
        <v>1</v>
      </c>
      <c r="M2176">
        <v>10</v>
      </c>
      <c r="N2176" t="s">
        <v>26</v>
      </c>
      <c r="O2176" t="s">
        <v>30</v>
      </c>
      <c r="P2176">
        <v>4.20708227227267</v>
      </c>
      <c r="Q2176">
        <v>0.71112430235133905</v>
      </c>
      <c r="R2176">
        <v>8.4315265257512095</v>
      </c>
      <c r="S2176">
        <v>24</v>
      </c>
      <c r="T2176">
        <v>62</v>
      </c>
      <c r="U2176">
        <v>851.27664054023103</v>
      </c>
      <c r="V2176">
        <v>2.3860653781913599E-3</v>
      </c>
      <c r="W2176">
        <v>3886295.4266531402</v>
      </c>
      <c r="X2176" t="s">
        <v>33</v>
      </c>
      <c r="Y2176">
        <f>1-286-561-7165</f>
        <v>-8011</v>
      </c>
    </row>
    <row r="2177" spans="1:25" x14ac:dyDescent="0.35">
      <c r="A2177">
        <v>35.224485124108199</v>
      </c>
      <c r="B2177">
        <v>-114.561586338287</v>
      </c>
      <c r="C2177" t="s">
        <v>25</v>
      </c>
      <c r="D2177">
        <v>33.148733805512499</v>
      </c>
      <c r="E2177">
        <v>8</v>
      </c>
      <c r="F2177">
        <v>3894</v>
      </c>
      <c r="G2177">
        <v>4</v>
      </c>
      <c r="H2177">
        <v>3</v>
      </c>
      <c r="I2177">
        <v>2013</v>
      </c>
      <c r="J2177">
        <v>1</v>
      </c>
      <c r="K2177">
        <v>0</v>
      </c>
      <c r="L2177">
        <v>1</v>
      </c>
      <c r="M2177">
        <v>7</v>
      </c>
      <c r="N2177" t="s">
        <v>41</v>
      </c>
      <c r="O2177" t="s">
        <v>27</v>
      </c>
      <c r="P2177">
        <v>13.852359874595299</v>
      </c>
      <c r="Q2177">
        <v>1.54792262948686</v>
      </c>
      <c r="R2177">
        <v>7.6986364099071398</v>
      </c>
      <c r="S2177">
        <v>7</v>
      </c>
      <c r="T2177">
        <v>77</v>
      </c>
      <c r="U2177">
        <v>835.24899858849005</v>
      </c>
      <c r="V2177">
        <v>1.79763739085772E-3</v>
      </c>
      <c r="W2177">
        <v>3732130.7516517299</v>
      </c>
      <c r="X2177" t="s">
        <v>44</v>
      </c>
      <c r="Y2177">
        <f>1-775-399-5399</f>
        <v>-6572</v>
      </c>
    </row>
    <row r="2178" spans="1:25" x14ac:dyDescent="0.35">
      <c r="A2178">
        <v>33.699215631870302</v>
      </c>
      <c r="B2178">
        <v>-114.77495920858399</v>
      </c>
      <c r="C2178" t="s">
        <v>29</v>
      </c>
      <c r="D2178">
        <v>40.463186001574201</v>
      </c>
      <c r="E2178">
        <v>5</v>
      </c>
      <c r="F2178">
        <v>4975</v>
      </c>
      <c r="G2178">
        <v>1</v>
      </c>
      <c r="H2178">
        <v>1</v>
      </c>
      <c r="I2178">
        <v>2015</v>
      </c>
      <c r="J2178">
        <v>0</v>
      </c>
      <c r="K2178">
        <v>1</v>
      </c>
      <c r="L2178">
        <v>1</v>
      </c>
      <c r="M2178">
        <v>11</v>
      </c>
      <c r="N2178" t="s">
        <v>26</v>
      </c>
      <c r="O2178" t="s">
        <v>32</v>
      </c>
      <c r="P2178">
        <v>7.9903281429092701</v>
      </c>
      <c r="Q2178">
        <v>0.659127887849704</v>
      </c>
      <c r="R2178">
        <v>1.4985166376794301</v>
      </c>
      <c r="S2178">
        <v>101</v>
      </c>
      <c r="T2178">
        <v>44</v>
      </c>
      <c r="U2178">
        <v>419.833159335196</v>
      </c>
      <c r="V2178">
        <v>2.2110552763819E-3</v>
      </c>
      <c r="W2178">
        <v>2330213.89531295</v>
      </c>
      <c r="X2178" t="s">
        <v>39</v>
      </c>
      <c r="Y2178">
        <f>1-820-516-2416</f>
        <v>-3751</v>
      </c>
    </row>
    <row r="2179" spans="1:25" x14ac:dyDescent="0.35">
      <c r="A2179">
        <v>39.083012030637398</v>
      </c>
      <c r="B2179">
        <v>-119.601835853458</v>
      </c>
      <c r="C2179" t="s">
        <v>25</v>
      </c>
      <c r="D2179">
        <v>3.1533216057087299</v>
      </c>
      <c r="E2179">
        <v>5</v>
      </c>
      <c r="F2179">
        <v>2650</v>
      </c>
      <c r="G2179">
        <v>1</v>
      </c>
      <c r="H2179">
        <v>2</v>
      </c>
      <c r="I2179">
        <v>1976</v>
      </c>
      <c r="J2179">
        <v>1</v>
      </c>
      <c r="K2179">
        <v>1</v>
      </c>
      <c r="L2179">
        <v>1</v>
      </c>
      <c r="M2179">
        <v>12</v>
      </c>
      <c r="N2179" t="s">
        <v>35</v>
      </c>
      <c r="O2179" t="s">
        <v>30</v>
      </c>
      <c r="P2179">
        <v>12.600274483733299</v>
      </c>
      <c r="Q2179">
        <v>1.7410829009976101</v>
      </c>
      <c r="R2179">
        <v>5.81187516983635</v>
      </c>
      <c r="S2179">
        <v>189</v>
      </c>
      <c r="T2179">
        <v>70</v>
      </c>
      <c r="U2179">
        <v>686.38154266383197</v>
      </c>
      <c r="V2179">
        <v>4.5283018867924496E-3</v>
      </c>
      <c r="W2179">
        <v>2170972.6396198701</v>
      </c>
      <c r="X2179" t="s">
        <v>38</v>
      </c>
      <c r="Y2179">
        <f>1-764-539-9877</f>
        <v>-11179</v>
      </c>
    </row>
    <row r="2180" spans="1:25" x14ac:dyDescent="0.35">
      <c r="A2180">
        <v>35.284743876675599</v>
      </c>
      <c r="B2180">
        <v>-119.262952372155</v>
      </c>
      <c r="C2180" t="s">
        <v>34</v>
      </c>
      <c r="D2180">
        <v>24.011344741981699</v>
      </c>
      <c r="E2180">
        <v>4</v>
      </c>
      <c r="F2180">
        <v>1756</v>
      </c>
      <c r="G2180">
        <v>5</v>
      </c>
      <c r="H2180">
        <v>1</v>
      </c>
      <c r="I2180">
        <v>1974</v>
      </c>
      <c r="J2180">
        <v>1</v>
      </c>
      <c r="K2180">
        <v>1</v>
      </c>
      <c r="L2180">
        <v>0</v>
      </c>
      <c r="M2180">
        <v>4</v>
      </c>
      <c r="N2180" t="s">
        <v>26</v>
      </c>
      <c r="O2180" t="s">
        <v>27</v>
      </c>
      <c r="P2180">
        <v>9.5096221338125702</v>
      </c>
      <c r="Q2180">
        <v>1.56619227808243</v>
      </c>
      <c r="R2180">
        <v>0.29339805541212</v>
      </c>
      <c r="S2180">
        <v>17</v>
      </c>
      <c r="T2180">
        <v>76</v>
      </c>
      <c r="U2180">
        <v>397.60713705885598</v>
      </c>
      <c r="V2180">
        <v>2.2779043280182201E-3</v>
      </c>
      <c r="W2180">
        <v>1112435.9289462699</v>
      </c>
      <c r="X2180" t="s">
        <v>33</v>
      </c>
      <c r="Y2180">
        <f>1-740-286-2351</f>
        <v>-3376</v>
      </c>
    </row>
    <row r="2181" spans="1:25" x14ac:dyDescent="0.35">
      <c r="A2181">
        <v>33.103907523127397</v>
      </c>
      <c r="B2181">
        <v>-123.992927895356</v>
      </c>
      <c r="C2181" t="s">
        <v>29</v>
      </c>
      <c r="D2181">
        <v>30.409333649265701</v>
      </c>
      <c r="E2181">
        <v>6</v>
      </c>
      <c r="F2181">
        <v>3785</v>
      </c>
      <c r="G2181">
        <v>2</v>
      </c>
      <c r="H2181">
        <v>1</v>
      </c>
      <c r="I2181">
        <v>1951</v>
      </c>
      <c r="J2181">
        <v>1</v>
      </c>
      <c r="K2181">
        <v>1</v>
      </c>
      <c r="L2181">
        <v>1</v>
      </c>
      <c r="M2181">
        <v>6</v>
      </c>
      <c r="N2181" t="s">
        <v>37</v>
      </c>
      <c r="O2181" t="s">
        <v>32</v>
      </c>
      <c r="P2181">
        <v>11.811625696821601</v>
      </c>
      <c r="Q2181">
        <v>1.37298728261224</v>
      </c>
      <c r="R2181">
        <v>8.1792017271102093</v>
      </c>
      <c r="S2181">
        <v>15</v>
      </c>
      <c r="T2181">
        <v>51</v>
      </c>
      <c r="U2181">
        <v>704.56762767110399</v>
      </c>
      <c r="V2181">
        <v>1.58520475561426E-3</v>
      </c>
      <c r="W2181">
        <v>2929968.4778253301</v>
      </c>
      <c r="X2181" t="s">
        <v>31</v>
      </c>
      <c r="Y2181">
        <f>1-976-175-2422</f>
        <v>-3572</v>
      </c>
    </row>
    <row r="2182" spans="1:25" x14ac:dyDescent="0.35">
      <c r="A2182">
        <v>35.960889609616203</v>
      </c>
      <c r="B2182">
        <v>-121.72225193396</v>
      </c>
      <c r="C2182" t="s">
        <v>29</v>
      </c>
      <c r="D2182">
        <v>11.1222138470866</v>
      </c>
      <c r="E2182">
        <v>1</v>
      </c>
      <c r="F2182">
        <v>3229</v>
      </c>
      <c r="G2182">
        <v>1</v>
      </c>
      <c r="H2182">
        <v>3</v>
      </c>
      <c r="I2182">
        <v>1974</v>
      </c>
      <c r="J2182">
        <v>1</v>
      </c>
      <c r="K2182">
        <v>0</v>
      </c>
      <c r="L2182">
        <v>0</v>
      </c>
      <c r="M2182">
        <v>3</v>
      </c>
      <c r="N2182" t="s">
        <v>26</v>
      </c>
      <c r="O2182" t="s">
        <v>32</v>
      </c>
      <c r="P2182">
        <v>13.2367630150568</v>
      </c>
      <c r="Q2182">
        <v>2.0993838772851201</v>
      </c>
      <c r="R2182">
        <v>4.6404721688765997</v>
      </c>
      <c r="S2182">
        <v>100</v>
      </c>
      <c r="T2182">
        <v>42</v>
      </c>
      <c r="U2182">
        <v>870.85978721061099</v>
      </c>
      <c r="V2182">
        <v>9.2908021059151405E-4</v>
      </c>
      <c r="W2182">
        <v>3063715.7138280999</v>
      </c>
      <c r="X2182" t="s">
        <v>39</v>
      </c>
      <c r="Y2182">
        <f>1-751-985-1836</f>
        <v>-3571</v>
      </c>
    </row>
    <row r="2183" spans="1:25" x14ac:dyDescent="0.35">
      <c r="A2183">
        <v>40.6191455738904</v>
      </c>
      <c r="B2183">
        <v>-114.694848983282</v>
      </c>
      <c r="C2183" t="s">
        <v>29</v>
      </c>
      <c r="D2183">
        <v>27.762186540026399</v>
      </c>
      <c r="E2183">
        <v>8</v>
      </c>
      <c r="F2183">
        <v>1655</v>
      </c>
      <c r="G2183">
        <v>3</v>
      </c>
      <c r="H2183">
        <v>1</v>
      </c>
      <c r="I2183">
        <v>1990</v>
      </c>
      <c r="J2183">
        <v>0</v>
      </c>
      <c r="K2183">
        <v>0</v>
      </c>
      <c r="L2183">
        <v>0</v>
      </c>
      <c r="M2183">
        <v>14</v>
      </c>
      <c r="N2183" t="s">
        <v>26</v>
      </c>
      <c r="O2183" t="s">
        <v>27</v>
      </c>
      <c r="P2183">
        <v>13.3219085624534</v>
      </c>
      <c r="Q2183">
        <v>1.6597110535271999</v>
      </c>
      <c r="R2183">
        <v>1.7032096658684901</v>
      </c>
      <c r="S2183">
        <v>36</v>
      </c>
      <c r="T2183">
        <v>44</v>
      </c>
      <c r="U2183">
        <v>491.60821670126001</v>
      </c>
      <c r="V2183">
        <v>8.4592145015105705E-3</v>
      </c>
      <c r="W2183">
        <v>1093422.0642790601</v>
      </c>
      <c r="X2183" t="s">
        <v>43</v>
      </c>
      <c r="Y2183">
        <f>1-766-765-3854</f>
        <v>-5384</v>
      </c>
    </row>
    <row r="2184" spans="1:25" x14ac:dyDescent="0.35">
      <c r="A2184">
        <v>41.644022603659899</v>
      </c>
      <c r="B2184">
        <v>-114.80019085165701</v>
      </c>
      <c r="C2184" t="s">
        <v>29</v>
      </c>
      <c r="D2184">
        <v>12.2286435044293</v>
      </c>
      <c r="E2184">
        <v>5</v>
      </c>
      <c r="F2184">
        <v>3613</v>
      </c>
      <c r="G2184">
        <v>3</v>
      </c>
      <c r="H2184">
        <v>1</v>
      </c>
      <c r="I2184">
        <v>2009</v>
      </c>
      <c r="J2184">
        <v>0</v>
      </c>
      <c r="K2184">
        <v>1</v>
      </c>
      <c r="L2184">
        <v>1</v>
      </c>
      <c r="M2184">
        <v>2</v>
      </c>
      <c r="N2184" t="s">
        <v>26</v>
      </c>
      <c r="O2184" t="s">
        <v>27</v>
      </c>
      <c r="P2184">
        <v>5.9436628135129901</v>
      </c>
      <c r="Q2184">
        <v>1.64867619732906</v>
      </c>
      <c r="R2184">
        <v>7.1430403950060599</v>
      </c>
      <c r="S2184">
        <v>169</v>
      </c>
      <c r="T2184">
        <v>36</v>
      </c>
      <c r="U2184">
        <v>806.92269868283904</v>
      </c>
      <c r="V2184">
        <v>5.5355660116246797E-4</v>
      </c>
      <c r="W2184">
        <v>3193558.7960829502</v>
      </c>
      <c r="X2184" t="s">
        <v>28</v>
      </c>
      <c r="Y2184">
        <f>1-804-983-7456</f>
        <v>-9242</v>
      </c>
    </row>
    <row r="2185" spans="1:25" x14ac:dyDescent="0.35">
      <c r="A2185">
        <v>38.4216021317255</v>
      </c>
      <c r="B2185">
        <v>-120.05416562219</v>
      </c>
      <c r="C2185" t="s">
        <v>25</v>
      </c>
      <c r="D2185">
        <v>15.3749378128167</v>
      </c>
      <c r="E2185">
        <v>3</v>
      </c>
      <c r="F2185">
        <v>2709</v>
      </c>
      <c r="G2185">
        <v>1</v>
      </c>
      <c r="H2185">
        <v>2</v>
      </c>
      <c r="I2185">
        <v>1994</v>
      </c>
      <c r="J2185">
        <v>0</v>
      </c>
      <c r="K2185">
        <v>1</v>
      </c>
      <c r="L2185">
        <v>1</v>
      </c>
      <c r="M2185">
        <v>11</v>
      </c>
      <c r="N2185" t="s">
        <v>41</v>
      </c>
      <c r="O2185" t="s">
        <v>27</v>
      </c>
      <c r="P2185">
        <v>14.546015940479499</v>
      </c>
      <c r="Q2185">
        <v>1.23506496686551</v>
      </c>
      <c r="R2185">
        <v>5.0775351978877996</v>
      </c>
      <c r="S2185">
        <v>162</v>
      </c>
      <c r="T2185">
        <v>61</v>
      </c>
      <c r="U2185">
        <v>855.43221151922296</v>
      </c>
      <c r="V2185">
        <v>4.0605389442598698E-3</v>
      </c>
      <c r="W2185">
        <v>2563587.86660667</v>
      </c>
      <c r="X2185" t="s">
        <v>42</v>
      </c>
      <c r="Y2185">
        <f>1-901-524-6510</f>
        <v>-7934</v>
      </c>
    </row>
    <row r="2186" spans="1:25" x14ac:dyDescent="0.35">
      <c r="A2186">
        <v>38.628278885045802</v>
      </c>
      <c r="B2186">
        <v>-114.657314190831</v>
      </c>
      <c r="C2186" t="s">
        <v>29</v>
      </c>
      <c r="D2186">
        <v>5.7520142296510501</v>
      </c>
      <c r="E2186">
        <v>9</v>
      </c>
      <c r="F2186">
        <v>1450</v>
      </c>
      <c r="G2186">
        <v>1</v>
      </c>
      <c r="H2186">
        <v>3</v>
      </c>
      <c r="I2186">
        <v>2021</v>
      </c>
      <c r="J2186">
        <v>1</v>
      </c>
      <c r="K2186">
        <v>0</v>
      </c>
      <c r="L2186">
        <v>1</v>
      </c>
      <c r="M2186">
        <v>8</v>
      </c>
      <c r="N2186" t="s">
        <v>41</v>
      </c>
      <c r="O2186" t="s">
        <v>30</v>
      </c>
      <c r="P2186">
        <v>13.9148242183996</v>
      </c>
      <c r="Q2186">
        <v>2.3458056019442601</v>
      </c>
      <c r="R2186">
        <v>1.0745880303939901</v>
      </c>
      <c r="S2186">
        <v>9</v>
      </c>
      <c r="T2186">
        <v>42</v>
      </c>
      <c r="U2186">
        <v>892.24413016241203</v>
      </c>
      <c r="V2186">
        <v>5.5172413793103401E-3</v>
      </c>
      <c r="W2186">
        <v>1698552.0319590501</v>
      </c>
      <c r="X2186" t="s">
        <v>43</v>
      </c>
      <c r="Y2186">
        <f>1-303-535-8695</f>
        <v>-9532</v>
      </c>
    </row>
    <row r="2187" spans="1:25" x14ac:dyDescent="0.35">
      <c r="A2187">
        <v>37.371548593320902</v>
      </c>
      <c r="B2187">
        <v>-114.39444053062201</v>
      </c>
      <c r="C2187" t="s">
        <v>25</v>
      </c>
      <c r="D2187">
        <v>26.359628470915801</v>
      </c>
      <c r="E2187">
        <v>9</v>
      </c>
      <c r="F2187">
        <v>1941</v>
      </c>
      <c r="G2187">
        <v>4</v>
      </c>
      <c r="H2187">
        <v>3</v>
      </c>
      <c r="I2187">
        <v>1978</v>
      </c>
      <c r="J2187">
        <v>1</v>
      </c>
      <c r="K2187">
        <v>1</v>
      </c>
      <c r="L2187">
        <v>0</v>
      </c>
      <c r="M2187">
        <v>9</v>
      </c>
      <c r="N2187" t="s">
        <v>41</v>
      </c>
      <c r="O2187" t="s">
        <v>27</v>
      </c>
      <c r="P2187">
        <v>9.1160309863527402</v>
      </c>
      <c r="Q2187">
        <v>1.30151386266278</v>
      </c>
      <c r="R2187">
        <v>9.7936902216754707</v>
      </c>
      <c r="S2187">
        <v>4</v>
      </c>
      <c r="T2187">
        <v>64</v>
      </c>
      <c r="U2187">
        <v>477.436273374699</v>
      </c>
      <c r="V2187">
        <v>4.6367851622874804E-3</v>
      </c>
      <c r="W2187">
        <v>1430109.00589644</v>
      </c>
      <c r="X2187" t="s">
        <v>36</v>
      </c>
      <c r="Y2187">
        <f>1-202-815-3536</f>
        <v>-4552</v>
      </c>
    </row>
    <row r="2188" spans="1:25" x14ac:dyDescent="0.35">
      <c r="A2188">
        <v>35.424096861454302</v>
      </c>
      <c r="B2188">
        <v>-116.644371279775</v>
      </c>
      <c r="C2188" t="s">
        <v>29</v>
      </c>
      <c r="D2188">
        <v>29.623495699201499</v>
      </c>
      <c r="E2188">
        <v>4</v>
      </c>
      <c r="F2188">
        <v>1248</v>
      </c>
      <c r="G2188">
        <v>2</v>
      </c>
      <c r="H2188">
        <v>2</v>
      </c>
      <c r="I2188">
        <v>1970</v>
      </c>
      <c r="J2188">
        <v>0</v>
      </c>
      <c r="K2188">
        <v>0</v>
      </c>
      <c r="L2188">
        <v>1</v>
      </c>
      <c r="M2188">
        <v>14</v>
      </c>
      <c r="N2188" t="s">
        <v>35</v>
      </c>
      <c r="O2188" t="s">
        <v>32</v>
      </c>
      <c r="P2188">
        <v>7.5947414581634698</v>
      </c>
      <c r="Q2188">
        <v>1.6354712657786901</v>
      </c>
      <c r="R2188">
        <v>6.5196849141007203</v>
      </c>
      <c r="S2188">
        <v>27</v>
      </c>
      <c r="T2188">
        <v>40</v>
      </c>
      <c r="U2188">
        <v>427.63258992420401</v>
      </c>
      <c r="V2188">
        <v>1.1217948717948701E-2</v>
      </c>
      <c r="W2188">
        <v>723149.24273910304</v>
      </c>
      <c r="X2188" t="s">
        <v>33</v>
      </c>
      <c r="Y2188">
        <f>1-499-190-5670</f>
        <v>-6358</v>
      </c>
    </row>
    <row r="2189" spans="1:25" x14ac:dyDescent="0.35">
      <c r="A2189">
        <v>37.196117492012903</v>
      </c>
      <c r="B2189">
        <v>-124.16776154535199</v>
      </c>
      <c r="C2189" t="s">
        <v>25</v>
      </c>
      <c r="D2189">
        <v>22.2973145581207</v>
      </c>
      <c r="E2189">
        <v>6</v>
      </c>
      <c r="F2189">
        <v>3653</v>
      </c>
      <c r="G2189">
        <v>1</v>
      </c>
      <c r="H2189">
        <v>2</v>
      </c>
      <c r="I2189">
        <v>2004</v>
      </c>
      <c r="J2189">
        <v>0</v>
      </c>
      <c r="K2189">
        <v>0</v>
      </c>
      <c r="L2189">
        <v>0</v>
      </c>
      <c r="M2189">
        <v>4</v>
      </c>
      <c r="N2189" t="s">
        <v>35</v>
      </c>
      <c r="O2189" t="s">
        <v>32</v>
      </c>
      <c r="P2189">
        <v>7.6600718748496996</v>
      </c>
      <c r="Q2189">
        <v>0.58945717356150196</v>
      </c>
      <c r="R2189">
        <v>8.8037559082986903</v>
      </c>
      <c r="S2189">
        <v>7</v>
      </c>
      <c r="T2189">
        <v>36</v>
      </c>
      <c r="U2189">
        <v>203.828196746819</v>
      </c>
      <c r="V2189">
        <v>1.0949904188338299E-3</v>
      </c>
      <c r="W2189">
        <v>860921.70336524094</v>
      </c>
      <c r="X2189" t="s">
        <v>31</v>
      </c>
      <c r="Y2189">
        <f>1-230-285-4483</f>
        <v>-4997</v>
      </c>
    </row>
    <row r="2190" spans="1:25" x14ac:dyDescent="0.35">
      <c r="A2190">
        <v>37.653798279406203</v>
      </c>
      <c r="B2190">
        <v>-114.38868679465899</v>
      </c>
      <c r="C2190" t="s">
        <v>29</v>
      </c>
      <c r="D2190">
        <v>12.9535932529118</v>
      </c>
      <c r="E2190">
        <v>1</v>
      </c>
      <c r="F2190">
        <v>4176</v>
      </c>
      <c r="G2190">
        <v>4</v>
      </c>
      <c r="H2190">
        <v>1</v>
      </c>
      <c r="I2190">
        <v>1974</v>
      </c>
      <c r="J2190">
        <v>0</v>
      </c>
      <c r="K2190">
        <v>0</v>
      </c>
      <c r="L2190">
        <v>0</v>
      </c>
      <c r="M2190">
        <v>2</v>
      </c>
      <c r="N2190" t="s">
        <v>35</v>
      </c>
      <c r="O2190" t="s">
        <v>32</v>
      </c>
      <c r="P2190">
        <v>14.5525215053663</v>
      </c>
      <c r="Q2190">
        <v>0.84977402127925805</v>
      </c>
      <c r="R2190">
        <v>6.3642037949006696</v>
      </c>
      <c r="S2190">
        <v>86</v>
      </c>
      <c r="T2190">
        <v>62</v>
      </c>
      <c r="U2190">
        <v>291.336304686701</v>
      </c>
      <c r="V2190">
        <v>4.7892720306513402E-4</v>
      </c>
      <c r="W2190">
        <v>1529265.2814662</v>
      </c>
      <c r="X2190" t="s">
        <v>36</v>
      </c>
      <c r="Y2190">
        <f>1-921-730-6742</f>
        <v>-8392</v>
      </c>
    </row>
    <row r="2191" spans="1:25" x14ac:dyDescent="0.35">
      <c r="A2191">
        <v>41.1123663617959</v>
      </c>
      <c r="B2191">
        <v>-117.155334426265</v>
      </c>
      <c r="C2191" t="s">
        <v>34</v>
      </c>
      <c r="D2191">
        <v>20.024547316127698</v>
      </c>
      <c r="E2191">
        <v>4</v>
      </c>
      <c r="F2191">
        <v>4185</v>
      </c>
      <c r="G2191">
        <v>5</v>
      </c>
      <c r="H2191">
        <v>2</v>
      </c>
      <c r="I2191">
        <v>1956</v>
      </c>
      <c r="J2191">
        <v>1</v>
      </c>
      <c r="K2191">
        <v>0</v>
      </c>
      <c r="L2191">
        <v>0</v>
      </c>
      <c r="M2191">
        <v>6</v>
      </c>
      <c r="N2191" t="s">
        <v>41</v>
      </c>
      <c r="O2191" t="s">
        <v>30</v>
      </c>
      <c r="P2191">
        <v>5.8044335192186596</v>
      </c>
      <c r="Q2191">
        <v>2.0764525461507799</v>
      </c>
      <c r="R2191">
        <v>5.7628730387337104</v>
      </c>
      <c r="S2191">
        <v>60</v>
      </c>
      <c r="T2191">
        <v>27</v>
      </c>
      <c r="U2191">
        <v>780.53717508235695</v>
      </c>
      <c r="V2191">
        <v>1.4336917562723999E-3</v>
      </c>
      <c r="W2191">
        <v>3512656.2948019598</v>
      </c>
      <c r="X2191" t="s">
        <v>31</v>
      </c>
      <c r="Y2191">
        <f>1-586-102-9031</f>
        <v>-9718</v>
      </c>
    </row>
    <row r="2192" spans="1:25" x14ac:dyDescent="0.35">
      <c r="A2192">
        <v>33.271569357529103</v>
      </c>
      <c r="B2192">
        <v>-117.77370779312</v>
      </c>
      <c r="C2192" t="s">
        <v>25</v>
      </c>
      <c r="D2192">
        <v>41.083074104732297</v>
      </c>
      <c r="E2192">
        <v>8</v>
      </c>
      <c r="F2192">
        <v>4810</v>
      </c>
      <c r="G2192">
        <v>5</v>
      </c>
      <c r="H2192">
        <v>3</v>
      </c>
      <c r="I2192">
        <v>1959</v>
      </c>
      <c r="J2192">
        <v>0</v>
      </c>
      <c r="K2192">
        <v>1</v>
      </c>
      <c r="L2192">
        <v>1</v>
      </c>
      <c r="M2192">
        <v>12</v>
      </c>
      <c r="N2192" t="s">
        <v>37</v>
      </c>
      <c r="O2192" t="s">
        <v>32</v>
      </c>
      <c r="P2192">
        <v>14.1251940960795</v>
      </c>
      <c r="Q2192">
        <v>2.3873367388731199</v>
      </c>
      <c r="R2192">
        <v>7.1711563523153004</v>
      </c>
      <c r="S2192">
        <v>157</v>
      </c>
      <c r="T2192">
        <v>70</v>
      </c>
      <c r="U2192">
        <v>756.39091665151295</v>
      </c>
      <c r="V2192">
        <v>2.4948024948024902E-3</v>
      </c>
      <c r="W2192">
        <v>4027153.6115748901</v>
      </c>
      <c r="X2192" t="s">
        <v>36</v>
      </c>
      <c r="Y2192">
        <f>1-286-561-1841</f>
        <v>-2687</v>
      </c>
    </row>
    <row r="2193" spans="1:25" x14ac:dyDescent="0.35">
      <c r="A2193">
        <v>35.266156227548699</v>
      </c>
      <c r="B2193">
        <v>-124.280048783037</v>
      </c>
      <c r="C2193" t="s">
        <v>34</v>
      </c>
      <c r="D2193">
        <v>11.422134124166201</v>
      </c>
      <c r="E2193">
        <v>0</v>
      </c>
      <c r="F2193">
        <v>4012</v>
      </c>
      <c r="G2193">
        <v>3</v>
      </c>
      <c r="H2193">
        <v>3</v>
      </c>
      <c r="I2193">
        <v>1958</v>
      </c>
      <c r="J2193">
        <v>0</v>
      </c>
      <c r="K2193">
        <v>0</v>
      </c>
      <c r="L2193">
        <v>1</v>
      </c>
      <c r="M2193">
        <v>7</v>
      </c>
      <c r="N2193" t="s">
        <v>35</v>
      </c>
      <c r="O2193" t="s">
        <v>27</v>
      </c>
      <c r="P2193">
        <v>11.956573888838101</v>
      </c>
      <c r="Q2193">
        <v>0.90145156467050302</v>
      </c>
      <c r="R2193">
        <v>7.4252398399150001</v>
      </c>
      <c r="S2193">
        <v>128</v>
      </c>
      <c r="T2193">
        <v>33</v>
      </c>
      <c r="U2193">
        <v>542.34286249703598</v>
      </c>
      <c r="V2193">
        <v>1.7447657028913199E-3</v>
      </c>
      <c r="W2193">
        <v>2428530.7862966801</v>
      </c>
      <c r="X2193" t="s">
        <v>38</v>
      </c>
      <c r="Y2193">
        <f>1-328-393-2215</f>
        <v>-2935</v>
      </c>
    </row>
    <row r="2194" spans="1:25" x14ac:dyDescent="0.35">
      <c r="A2194">
        <v>41.900798957402998</v>
      </c>
      <c r="B2194">
        <v>-119.689270695004</v>
      </c>
      <c r="C2194" t="s">
        <v>29</v>
      </c>
      <c r="D2194">
        <v>2.5269875322928699</v>
      </c>
      <c r="E2194">
        <v>5</v>
      </c>
      <c r="F2194">
        <v>3652</v>
      </c>
      <c r="G2194">
        <v>2</v>
      </c>
      <c r="H2194">
        <v>2</v>
      </c>
      <c r="I2194">
        <v>2001</v>
      </c>
      <c r="J2194">
        <v>0</v>
      </c>
      <c r="K2194">
        <v>0</v>
      </c>
      <c r="L2194">
        <v>0</v>
      </c>
      <c r="M2194">
        <v>3</v>
      </c>
      <c r="N2194" t="s">
        <v>41</v>
      </c>
      <c r="O2194" t="s">
        <v>32</v>
      </c>
      <c r="P2194">
        <v>11.987610378541101</v>
      </c>
      <c r="Q2194">
        <v>1.3199907673165301</v>
      </c>
      <c r="R2194">
        <v>7.5454294894818901</v>
      </c>
      <c r="S2194">
        <v>50</v>
      </c>
      <c r="T2194">
        <v>40</v>
      </c>
      <c r="U2194">
        <v>330.28453663776702</v>
      </c>
      <c r="V2194">
        <v>8.2146768893756801E-4</v>
      </c>
      <c r="W2194">
        <v>1351757.5985062099</v>
      </c>
      <c r="X2194" t="s">
        <v>33</v>
      </c>
      <c r="Y2194">
        <f>1-756-592-9583</f>
        <v>-10930</v>
      </c>
    </row>
    <row r="2195" spans="1:25" x14ac:dyDescent="0.35">
      <c r="A2195">
        <v>40.649889495444299</v>
      </c>
      <c r="B2195">
        <v>-124.188047827947</v>
      </c>
      <c r="C2195" t="s">
        <v>25</v>
      </c>
      <c r="D2195">
        <v>49.943712047674602</v>
      </c>
      <c r="E2195">
        <v>4</v>
      </c>
      <c r="F2195">
        <v>3006</v>
      </c>
      <c r="G2195">
        <v>4</v>
      </c>
      <c r="H2195">
        <v>3</v>
      </c>
      <c r="I2195">
        <v>1969</v>
      </c>
      <c r="J2195">
        <v>0</v>
      </c>
      <c r="K2195">
        <v>1</v>
      </c>
      <c r="L2195">
        <v>1</v>
      </c>
      <c r="M2195">
        <v>9</v>
      </c>
      <c r="N2195" t="s">
        <v>35</v>
      </c>
      <c r="O2195" t="s">
        <v>32</v>
      </c>
      <c r="P2195">
        <v>9.4459720347136802</v>
      </c>
      <c r="Q2195">
        <v>1.3339659916324</v>
      </c>
      <c r="R2195">
        <v>3.0466846729767898</v>
      </c>
      <c r="S2195">
        <v>81</v>
      </c>
      <c r="T2195">
        <v>22</v>
      </c>
      <c r="U2195">
        <v>547.71534596582501</v>
      </c>
      <c r="V2195">
        <v>2.9940119760479E-3</v>
      </c>
      <c r="W2195">
        <v>2018412.4419799601</v>
      </c>
      <c r="X2195" t="s">
        <v>33</v>
      </c>
      <c r="Y2195">
        <f>1-319-343-8375</f>
        <v>-9036</v>
      </c>
    </row>
    <row r="2196" spans="1:25" x14ac:dyDescent="0.35">
      <c r="A2196">
        <v>41.0205188831548</v>
      </c>
      <c r="B2196">
        <v>-114.315717590085</v>
      </c>
      <c r="C2196" t="s">
        <v>34</v>
      </c>
      <c r="D2196">
        <v>47.084648524087797</v>
      </c>
      <c r="E2196">
        <v>6</v>
      </c>
      <c r="F2196">
        <v>2434</v>
      </c>
      <c r="G2196">
        <v>3</v>
      </c>
      <c r="H2196">
        <v>2</v>
      </c>
      <c r="I2196">
        <v>1984</v>
      </c>
      <c r="J2196">
        <v>1</v>
      </c>
      <c r="K2196">
        <v>1</v>
      </c>
      <c r="L2196">
        <v>0</v>
      </c>
      <c r="M2196">
        <v>5</v>
      </c>
      <c r="N2196" t="s">
        <v>35</v>
      </c>
      <c r="O2196" t="s">
        <v>27</v>
      </c>
      <c r="P2196">
        <v>12.886482303049901</v>
      </c>
      <c r="Q2196">
        <v>0.73706662279604895</v>
      </c>
      <c r="R2196">
        <v>3.5217748771712998</v>
      </c>
      <c r="S2196">
        <v>157</v>
      </c>
      <c r="T2196">
        <v>28</v>
      </c>
      <c r="U2196">
        <v>637.91473298969504</v>
      </c>
      <c r="V2196">
        <v>2.0542317173377102E-3</v>
      </c>
      <c r="W2196">
        <v>1905038.0421877599</v>
      </c>
      <c r="X2196" t="s">
        <v>39</v>
      </c>
      <c r="Y2196">
        <f>1-318-591-4785</f>
        <v>-5693</v>
      </c>
    </row>
    <row r="2197" spans="1:25" x14ac:dyDescent="0.35">
      <c r="A2197">
        <v>41.360413157869601</v>
      </c>
      <c r="B2197">
        <v>-123.11567005424</v>
      </c>
      <c r="C2197" t="s">
        <v>29</v>
      </c>
      <c r="D2197">
        <v>11.7565664130321</v>
      </c>
      <c r="E2197">
        <v>3</v>
      </c>
      <c r="F2197">
        <v>4240</v>
      </c>
      <c r="G2197">
        <v>5</v>
      </c>
      <c r="H2197">
        <v>1</v>
      </c>
      <c r="I2197">
        <v>1997</v>
      </c>
      <c r="J2197">
        <v>0</v>
      </c>
      <c r="K2197">
        <v>1</v>
      </c>
      <c r="L2197">
        <v>1</v>
      </c>
      <c r="M2197">
        <v>12</v>
      </c>
      <c r="N2197" t="s">
        <v>37</v>
      </c>
      <c r="O2197" t="s">
        <v>27</v>
      </c>
      <c r="P2197">
        <v>6.36830435767199</v>
      </c>
      <c r="Q2197">
        <v>1.1586631771495299</v>
      </c>
      <c r="R2197">
        <v>9.8071485718748708</v>
      </c>
      <c r="S2197">
        <v>101</v>
      </c>
      <c r="T2197">
        <v>29</v>
      </c>
      <c r="U2197">
        <v>701.07938107313203</v>
      </c>
      <c r="V2197">
        <v>2.8301886792452798E-3</v>
      </c>
      <c r="W2197">
        <v>3320152.9091690001</v>
      </c>
      <c r="X2197" t="s">
        <v>33</v>
      </c>
      <c r="Y2197">
        <f>1-691-837-2731</f>
        <v>-4258</v>
      </c>
    </row>
    <row r="2198" spans="1:25" x14ac:dyDescent="0.35">
      <c r="A2198">
        <v>34.689951068230997</v>
      </c>
      <c r="B2198">
        <v>-114.73903199820199</v>
      </c>
      <c r="C2198" t="s">
        <v>25</v>
      </c>
      <c r="D2198">
        <v>9.5960451149025694</v>
      </c>
      <c r="E2198">
        <v>4</v>
      </c>
      <c r="F2198">
        <v>2148</v>
      </c>
      <c r="G2198">
        <v>3</v>
      </c>
      <c r="H2198">
        <v>1</v>
      </c>
      <c r="I2198">
        <v>1995</v>
      </c>
      <c r="J2198">
        <v>1</v>
      </c>
      <c r="K2198">
        <v>0</v>
      </c>
      <c r="L2198">
        <v>1</v>
      </c>
      <c r="M2198">
        <v>4</v>
      </c>
      <c r="N2198" t="s">
        <v>41</v>
      </c>
      <c r="O2198" t="s">
        <v>30</v>
      </c>
      <c r="P2198">
        <v>11.286125164865</v>
      </c>
      <c r="Q2198">
        <v>1.4798627300367999</v>
      </c>
      <c r="R2198">
        <v>2.2123529405241702</v>
      </c>
      <c r="S2198">
        <v>52</v>
      </c>
      <c r="T2198">
        <v>54</v>
      </c>
      <c r="U2198">
        <v>350.472331412382</v>
      </c>
      <c r="V2198">
        <v>1.8621973929236499E-3</v>
      </c>
      <c r="W2198">
        <v>1113638.6803617899</v>
      </c>
      <c r="X2198" t="s">
        <v>38</v>
      </c>
      <c r="Y2198">
        <f>1-592-840-7898</f>
        <v>-9329</v>
      </c>
    </row>
    <row r="2199" spans="1:25" x14ac:dyDescent="0.35">
      <c r="A2199">
        <v>34.7278335240931</v>
      </c>
      <c r="B2199">
        <v>-118.47251692984599</v>
      </c>
      <c r="C2199" t="s">
        <v>29</v>
      </c>
      <c r="D2199">
        <v>21.796900999339901</v>
      </c>
      <c r="E2199">
        <v>9</v>
      </c>
      <c r="F2199">
        <v>532</v>
      </c>
      <c r="G2199">
        <v>3</v>
      </c>
      <c r="H2199">
        <v>2</v>
      </c>
      <c r="I2199">
        <v>2017</v>
      </c>
      <c r="J2199">
        <v>1</v>
      </c>
      <c r="K2199">
        <v>0</v>
      </c>
      <c r="L2199">
        <v>1</v>
      </c>
      <c r="M2199">
        <v>8</v>
      </c>
      <c r="N2199" t="s">
        <v>37</v>
      </c>
      <c r="O2199" t="s">
        <v>32</v>
      </c>
      <c r="P2199">
        <v>11.866761496352501</v>
      </c>
      <c r="Q2199">
        <v>2.36815141938694</v>
      </c>
      <c r="R2199">
        <v>4.3903789337504797</v>
      </c>
      <c r="S2199">
        <v>59</v>
      </c>
      <c r="T2199">
        <v>36</v>
      </c>
      <c r="U2199">
        <v>455.59568029591202</v>
      </c>
      <c r="V2199">
        <v>1.50375939849624E-2</v>
      </c>
      <c r="W2199">
        <v>614967.14123051194</v>
      </c>
      <c r="X2199" t="s">
        <v>40</v>
      </c>
      <c r="Y2199">
        <f>1-770-900-4625</f>
        <v>-6294</v>
      </c>
    </row>
    <row r="2200" spans="1:25" x14ac:dyDescent="0.35">
      <c r="A2200">
        <v>34.397470803240601</v>
      </c>
      <c r="B2200">
        <v>-121.814320330065</v>
      </c>
      <c r="C2200" t="s">
        <v>25</v>
      </c>
      <c r="D2200">
        <v>1.42157388367888</v>
      </c>
      <c r="E2200">
        <v>2</v>
      </c>
      <c r="F2200">
        <v>1335</v>
      </c>
      <c r="G2200">
        <v>5</v>
      </c>
      <c r="H2200">
        <v>2</v>
      </c>
      <c r="I2200">
        <v>2014</v>
      </c>
      <c r="J2200">
        <v>1</v>
      </c>
      <c r="K2200">
        <v>1</v>
      </c>
      <c r="L2200">
        <v>0</v>
      </c>
      <c r="M2200">
        <v>5</v>
      </c>
      <c r="N2200" t="s">
        <v>37</v>
      </c>
      <c r="O2200" t="s">
        <v>27</v>
      </c>
      <c r="P2200">
        <v>13.6338744362247</v>
      </c>
      <c r="Q2200">
        <v>1.0220273786217999</v>
      </c>
      <c r="R2200">
        <v>1.54628886718575</v>
      </c>
      <c r="S2200">
        <v>15</v>
      </c>
      <c r="T2200">
        <v>40</v>
      </c>
      <c r="U2200">
        <v>397.410562965944</v>
      </c>
      <c r="V2200">
        <v>3.7453183520599199E-3</v>
      </c>
      <c r="W2200">
        <v>1106544.10475304</v>
      </c>
      <c r="X2200" t="s">
        <v>28</v>
      </c>
      <c r="Y2200">
        <f>1-248-228-5027</f>
        <v>-5502</v>
      </c>
    </row>
    <row r="2201" spans="1:25" x14ac:dyDescent="0.35">
      <c r="A2201">
        <v>38.179418348216998</v>
      </c>
      <c r="B2201">
        <v>-121.83151046559399</v>
      </c>
      <c r="C2201" t="s">
        <v>25</v>
      </c>
      <c r="D2201">
        <v>12.5928836263059</v>
      </c>
      <c r="E2201">
        <v>0</v>
      </c>
      <c r="F2201">
        <v>2073</v>
      </c>
      <c r="G2201">
        <v>1</v>
      </c>
      <c r="H2201">
        <v>2</v>
      </c>
      <c r="I2201">
        <v>1953</v>
      </c>
      <c r="J2201">
        <v>1</v>
      </c>
      <c r="K2201">
        <v>0</v>
      </c>
      <c r="L2201">
        <v>1</v>
      </c>
      <c r="M2201">
        <v>9</v>
      </c>
      <c r="N2201" t="s">
        <v>41</v>
      </c>
      <c r="O2201" t="s">
        <v>32</v>
      </c>
      <c r="P2201">
        <v>13.9607322391529</v>
      </c>
      <c r="Q2201">
        <v>1.6892355474282901</v>
      </c>
      <c r="R2201">
        <v>5.9972716242721598</v>
      </c>
      <c r="S2201">
        <v>48</v>
      </c>
      <c r="T2201">
        <v>71</v>
      </c>
      <c r="U2201">
        <v>427.53575457815401</v>
      </c>
      <c r="V2201">
        <v>4.3415340086830597E-3</v>
      </c>
      <c r="W2201">
        <v>939034.929937799</v>
      </c>
      <c r="X2201" t="s">
        <v>44</v>
      </c>
      <c r="Y2201">
        <f>1-750-638-6010</f>
        <v>-7397</v>
      </c>
    </row>
    <row r="2202" spans="1:25" x14ac:dyDescent="0.35">
      <c r="A2202">
        <v>36.208682706809398</v>
      </c>
      <c r="B2202">
        <v>-119.168224933348</v>
      </c>
      <c r="C2202" t="s">
        <v>34</v>
      </c>
      <c r="D2202">
        <v>36.727170661889097</v>
      </c>
      <c r="E2202">
        <v>0</v>
      </c>
      <c r="F2202">
        <v>2002</v>
      </c>
      <c r="G2202">
        <v>4</v>
      </c>
      <c r="H2202">
        <v>2</v>
      </c>
      <c r="I2202">
        <v>1956</v>
      </c>
      <c r="J2202">
        <v>1</v>
      </c>
      <c r="K2202">
        <v>0</v>
      </c>
      <c r="L2202">
        <v>1</v>
      </c>
      <c r="M2202">
        <v>14</v>
      </c>
      <c r="N2202" t="s">
        <v>26</v>
      </c>
      <c r="O2202" t="s">
        <v>30</v>
      </c>
      <c r="P2202">
        <v>4.9901670418314996</v>
      </c>
      <c r="Q2202">
        <v>1.1620994975168799</v>
      </c>
      <c r="R2202">
        <v>1.0839540805838599</v>
      </c>
      <c r="S2202">
        <v>80</v>
      </c>
      <c r="T2202">
        <v>62</v>
      </c>
      <c r="U2202">
        <v>669.729412677293</v>
      </c>
      <c r="V2202">
        <v>6.9930069930069904E-3</v>
      </c>
      <c r="W2202">
        <v>1656730.0952331601</v>
      </c>
      <c r="X2202" t="s">
        <v>38</v>
      </c>
      <c r="Y2202">
        <f>1-881-360-1426</f>
        <v>-2666</v>
      </c>
    </row>
    <row r="2203" spans="1:25" x14ac:dyDescent="0.35">
      <c r="A2203">
        <v>37.543886265327799</v>
      </c>
      <c r="B2203">
        <v>-114.376778661949</v>
      </c>
      <c r="C2203" t="s">
        <v>29</v>
      </c>
      <c r="D2203">
        <v>46.503066145961903</v>
      </c>
      <c r="E2203">
        <v>0</v>
      </c>
      <c r="F2203">
        <v>2529</v>
      </c>
      <c r="G2203">
        <v>3</v>
      </c>
      <c r="H2203">
        <v>1</v>
      </c>
      <c r="I2203">
        <v>1965</v>
      </c>
      <c r="J2203">
        <v>1</v>
      </c>
      <c r="K2203">
        <v>1</v>
      </c>
      <c r="L2203">
        <v>0</v>
      </c>
      <c r="M2203">
        <v>5</v>
      </c>
      <c r="N2203" t="s">
        <v>37</v>
      </c>
      <c r="O2203" t="s">
        <v>30</v>
      </c>
      <c r="P2203">
        <v>14.838978560101401</v>
      </c>
      <c r="Q2203">
        <v>1.5141513460862299</v>
      </c>
      <c r="R2203">
        <v>8.5129984905316096</v>
      </c>
      <c r="S2203">
        <v>64</v>
      </c>
      <c r="T2203">
        <v>63</v>
      </c>
      <c r="U2203">
        <v>671.87644814114196</v>
      </c>
      <c r="V2203">
        <v>1.9770660340055301E-3</v>
      </c>
      <c r="W2203">
        <v>2038915.42296703</v>
      </c>
      <c r="X2203" t="s">
        <v>36</v>
      </c>
      <c r="Y2203">
        <f>1-576-814-5630</f>
        <v>-7019</v>
      </c>
    </row>
    <row r="2204" spans="1:25" x14ac:dyDescent="0.35">
      <c r="A2204">
        <v>40.008217288994203</v>
      </c>
      <c r="B2204">
        <v>-123.974379092603</v>
      </c>
      <c r="C2204" t="s">
        <v>25</v>
      </c>
      <c r="D2204">
        <v>16.983301324698299</v>
      </c>
      <c r="E2204">
        <v>1</v>
      </c>
      <c r="F2204">
        <v>1314</v>
      </c>
      <c r="G2204">
        <v>3</v>
      </c>
      <c r="H2204">
        <v>3</v>
      </c>
      <c r="I2204">
        <v>1986</v>
      </c>
      <c r="J2204">
        <v>1</v>
      </c>
      <c r="K2204">
        <v>0</v>
      </c>
      <c r="L2204">
        <v>1</v>
      </c>
      <c r="M2204">
        <v>9</v>
      </c>
      <c r="N2204" t="s">
        <v>35</v>
      </c>
      <c r="O2204" t="s">
        <v>27</v>
      </c>
      <c r="P2204">
        <v>13.3944790255567</v>
      </c>
      <c r="Q2204">
        <v>2.2666040499134499</v>
      </c>
      <c r="R2204">
        <v>8.1910516801098101</v>
      </c>
      <c r="S2204">
        <v>86</v>
      </c>
      <c r="T2204">
        <v>32</v>
      </c>
      <c r="U2204">
        <v>266.71399402767298</v>
      </c>
      <c r="V2204">
        <v>6.8493150684931503E-3</v>
      </c>
      <c r="W2204">
        <v>638542.67780243896</v>
      </c>
      <c r="X2204" t="s">
        <v>36</v>
      </c>
      <c r="Y2204">
        <f>1-679-985-4913</f>
        <v>-6576</v>
      </c>
    </row>
    <row r="2205" spans="1:25" x14ac:dyDescent="0.35">
      <c r="A2205">
        <v>40.408298530233203</v>
      </c>
      <c r="B2205">
        <v>-123.35098117851</v>
      </c>
      <c r="C2205" t="s">
        <v>25</v>
      </c>
      <c r="D2205">
        <v>12.2680206472115</v>
      </c>
      <c r="E2205">
        <v>5</v>
      </c>
      <c r="F2205">
        <v>3373</v>
      </c>
      <c r="G2205">
        <v>2</v>
      </c>
      <c r="H2205">
        <v>3</v>
      </c>
      <c r="I2205">
        <v>2009</v>
      </c>
      <c r="J2205">
        <v>1</v>
      </c>
      <c r="K2205">
        <v>1</v>
      </c>
      <c r="L2205">
        <v>1</v>
      </c>
      <c r="M2205">
        <v>10</v>
      </c>
      <c r="N2205" t="s">
        <v>35</v>
      </c>
      <c r="O2205" t="s">
        <v>30</v>
      </c>
      <c r="P2205">
        <v>8.3913839434058399</v>
      </c>
      <c r="Q2205">
        <v>1.84052826087687</v>
      </c>
      <c r="R2205">
        <v>5.6484236256532299</v>
      </c>
      <c r="S2205">
        <v>86</v>
      </c>
      <c r="T2205">
        <v>73</v>
      </c>
      <c r="U2205">
        <v>845.22050458269996</v>
      </c>
      <c r="V2205">
        <v>2.96471983397568E-3</v>
      </c>
      <c r="W2205">
        <v>3231592.8500157599</v>
      </c>
      <c r="X2205" t="s">
        <v>28</v>
      </c>
      <c r="Y2205">
        <f>1-725-798-7579</f>
        <v>-9101</v>
      </c>
    </row>
    <row r="2206" spans="1:25" x14ac:dyDescent="0.35">
      <c r="A2206">
        <v>37.423491389430602</v>
      </c>
      <c r="B2206">
        <v>-121.85973572917401</v>
      </c>
      <c r="C2206" t="s">
        <v>34</v>
      </c>
      <c r="D2206">
        <v>32.685627713560997</v>
      </c>
      <c r="E2206">
        <v>2</v>
      </c>
      <c r="F2206">
        <v>2183</v>
      </c>
      <c r="G2206">
        <v>3</v>
      </c>
      <c r="H2206">
        <v>3</v>
      </c>
      <c r="I2206">
        <v>1958</v>
      </c>
      <c r="J2206">
        <v>0</v>
      </c>
      <c r="K2206">
        <v>0</v>
      </c>
      <c r="L2206">
        <v>0</v>
      </c>
      <c r="M2206">
        <v>3</v>
      </c>
      <c r="N2206" t="s">
        <v>41</v>
      </c>
      <c r="O2206" t="s">
        <v>27</v>
      </c>
      <c r="P2206">
        <v>11.2180305068115</v>
      </c>
      <c r="Q2206">
        <v>1.26173679920492</v>
      </c>
      <c r="R2206">
        <v>9.6865674569221394</v>
      </c>
      <c r="S2206">
        <v>146</v>
      </c>
      <c r="T2206">
        <v>66</v>
      </c>
      <c r="U2206">
        <v>452.79571438155801</v>
      </c>
      <c r="V2206">
        <v>1.3742556115437399E-3</v>
      </c>
      <c r="W2206">
        <v>1122120.07451602</v>
      </c>
      <c r="X2206" t="s">
        <v>43</v>
      </c>
      <c r="Y2206">
        <f>1-873-636-5804</f>
        <v>-7312</v>
      </c>
    </row>
    <row r="2207" spans="1:25" x14ac:dyDescent="0.35">
      <c r="A2207">
        <v>35.995710422232698</v>
      </c>
      <c r="B2207">
        <v>-114.32621546119501</v>
      </c>
      <c r="C2207" t="s">
        <v>25</v>
      </c>
      <c r="D2207">
        <v>19.617144886891801</v>
      </c>
      <c r="E2207">
        <v>7</v>
      </c>
      <c r="F2207">
        <v>1567</v>
      </c>
      <c r="G2207">
        <v>3</v>
      </c>
      <c r="H2207">
        <v>2</v>
      </c>
      <c r="I2207">
        <v>1951</v>
      </c>
      <c r="J2207">
        <v>0</v>
      </c>
      <c r="K2207">
        <v>0</v>
      </c>
      <c r="L2207">
        <v>0</v>
      </c>
      <c r="M2207">
        <v>8</v>
      </c>
      <c r="N2207" t="s">
        <v>41</v>
      </c>
      <c r="O2207" t="s">
        <v>32</v>
      </c>
      <c r="P2207">
        <v>6.44626633891298</v>
      </c>
      <c r="Q2207">
        <v>0.980128748618456</v>
      </c>
      <c r="R2207">
        <v>1.4960514838196299</v>
      </c>
      <c r="S2207">
        <v>156</v>
      </c>
      <c r="T2207">
        <v>55</v>
      </c>
      <c r="U2207">
        <v>747.56577008173599</v>
      </c>
      <c r="V2207">
        <v>5.10529674537332E-3</v>
      </c>
      <c r="W2207">
        <v>1350736.3357730501</v>
      </c>
      <c r="X2207" t="s">
        <v>28</v>
      </c>
      <c r="Y2207">
        <f>1-289-698-4098</f>
        <v>-5084</v>
      </c>
    </row>
    <row r="2208" spans="1:25" x14ac:dyDescent="0.35">
      <c r="A2208">
        <v>36.642819861929802</v>
      </c>
      <c r="B2208">
        <v>-116.020632102842</v>
      </c>
      <c r="C2208" t="s">
        <v>29</v>
      </c>
      <c r="D2208">
        <v>2.7677988611640401</v>
      </c>
      <c r="E2208">
        <v>6</v>
      </c>
      <c r="F2208">
        <v>2343</v>
      </c>
      <c r="G2208">
        <v>3</v>
      </c>
      <c r="H2208">
        <v>2</v>
      </c>
      <c r="I2208">
        <v>2013</v>
      </c>
      <c r="J2208">
        <v>0</v>
      </c>
      <c r="K2208">
        <v>1</v>
      </c>
      <c r="L2208">
        <v>1</v>
      </c>
      <c r="M2208">
        <v>4</v>
      </c>
      <c r="N2208" t="s">
        <v>35</v>
      </c>
      <c r="O2208" t="s">
        <v>27</v>
      </c>
      <c r="P2208">
        <v>9.73130189134117</v>
      </c>
      <c r="Q2208">
        <v>2.0464167084409302</v>
      </c>
      <c r="R2208">
        <v>4.86314299835397</v>
      </c>
      <c r="S2208">
        <v>63</v>
      </c>
      <c r="T2208">
        <v>59</v>
      </c>
      <c r="U2208">
        <v>546.39364207798803</v>
      </c>
      <c r="V2208">
        <v>1.7072129748186E-3</v>
      </c>
      <c r="W2208">
        <v>1584635.49846923</v>
      </c>
      <c r="X2208" t="s">
        <v>33</v>
      </c>
      <c r="Y2208">
        <f>1-242-626-6974</f>
        <v>-7841</v>
      </c>
    </row>
    <row r="2209" spans="1:25" x14ac:dyDescent="0.35">
      <c r="A2209">
        <v>35.156352808040602</v>
      </c>
      <c r="B2209">
        <v>-118.447945908691</v>
      </c>
      <c r="C2209" t="s">
        <v>29</v>
      </c>
      <c r="D2209">
        <v>44.8097434603986</v>
      </c>
      <c r="E2209">
        <v>1</v>
      </c>
      <c r="F2209">
        <v>1501</v>
      </c>
      <c r="G2209">
        <v>3</v>
      </c>
      <c r="H2209">
        <v>3</v>
      </c>
      <c r="I2209">
        <v>1968</v>
      </c>
      <c r="J2209">
        <v>0</v>
      </c>
      <c r="K2209">
        <v>1</v>
      </c>
      <c r="L2209">
        <v>1</v>
      </c>
      <c r="M2209">
        <v>7</v>
      </c>
      <c r="N2209" t="s">
        <v>37</v>
      </c>
      <c r="O2209" t="s">
        <v>27</v>
      </c>
      <c r="P2209">
        <v>12.1277136871902</v>
      </c>
      <c r="Q2209">
        <v>2.0453394803477098</v>
      </c>
      <c r="R2209">
        <v>1.9311390815978899</v>
      </c>
      <c r="S2209">
        <v>50</v>
      </c>
      <c r="T2209">
        <v>64</v>
      </c>
      <c r="U2209">
        <v>372.191933916295</v>
      </c>
      <c r="V2209">
        <v>4.6635576282478301E-3</v>
      </c>
      <c r="W2209">
        <v>962768.97599805903</v>
      </c>
      <c r="X2209" t="s">
        <v>44</v>
      </c>
      <c r="Y2209">
        <f>1-280-863-3191</f>
        <v>-4333</v>
      </c>
    </row>
    <row r="2210" spans="1:25" x14ac:dyDescent="0.35">
      <c r="A2210">
        <v>33.230621417948399</v>
      </c>
      <c r="B2210">
        <v>-117.857131861759</v>
      </c>
      <c r="C2210" t="s">
        <v>25</v>
      </c>
      <c r="D2210">
        <v>16.5467356870838</v>
      </c>
      <c r="E2210">
        <v>4</v>
      </c>
      <c r="F2210">
        <v>1816</v>
      </c>
      <c r="G2210">
        <v>1</v>
      </c>
      <c r="H2210">
        <v>3</v>
      </c>
      <c r="I2210">
        <v>1979</v>
      </c>
      <c r="J2210">
        <v>1</v>
      </c>
      <c r="K2210">
        <v>0</v>
      </c>
      <c r="L2210">
        <v>1</v>
      </c>
      <c r="M2210">
        <v>11</v>
      </c>
      <c r="N2210" t="s">
        <v>37</v>
      </c>
      <c r="O2210" t="s">
        <v>30</v>
      </c>
      <c r="P2210">
        <v>6.8548790064661898</v>
      </c>
      <c r="Q2210">
        <v>2.1290974656715398</v>
      </c>
      <c r="R2210">
        <v>8.7862947715864603</v>
      </c>
      <c r="S2210">
        <v>41</v>
      </c>
      <c r="T2210">
        <v>55</v>
      </c>
      <c r="U2210">
        <v>696.25358239949901</v>
      </c>
      <c r="V2210">
        <v>6.0572687224669597E-3</v>
      </c>
      <c r="W2210">
        <v>1424688.20029568</v>
      </c>
      <c r="X2210" t="s">
        <v>31</v>
      </c>
      <c r="Y2210">
        <f>1-458-920-5894</f>
        <v>-7271</v>
      </c>
    </row>
    <row r="2211" spans="1:25" x14ac:dyDescent="0.35">
      <c r="A2211">
        <v>35.925935129483797</v>
      </c>
      <c r="B2211">
        <v>-122.941412643262</v>
      </c>
      <c r="C2211" t="s">
        <v>25</v>
      </c>
      <c r="D2211">
        <v>19.851416499975699</v>
      </c>
      <c r="E2211">
        <v>0</v>
      </c>
      <c r="F2211">
        <v>1368</v>
      </c>
      <c r="G2211">
        <v>5</v>
      </c>
      <c r="H2211">
        <v>1</v>
      </c>
      <c r="I2211">
        <v>1960</v>
      </c>
      <c r="J2211">
        <v>1</v>
      </c>
      <c r="K2211">
        <v>0</v>
      </c>
      <c r="L2211">
        <v>1</v>
      </c>
      <c r="M2211">
        <v>12</v>
      </c>
      <c r="N2211" t="s">
        <v>41</v>
      </c>
      <c r="O2211" t="s">
        <v>32</v>
      </c>
      <c r="P2211">
        <v>6.3734417005939701</v>
      </c>
      <c r="Q2211">
        <v>1.41723589536794</v>
      </c>
      <c r="R2211">
        <v>1.0648410623623701</v>
      </c>
      <c r="S2211">
        <v>194</v>
      </c>
      <c r="T2211">
        <v>77</v>
      </c>
      <c r="U2211">
        <v>902.53587565340001</v>
      </c>
      <c r="V2211">
        <v>8.7719298245613996E-3</v>
      </c>
      <c r="W2211">
        <v>1482996.9137913701</v>
      </c>
      <c r="X2211" t="s">
        <v>33</v>
      </c>
      <c r="Y2211">
        <f>1-632-748-6597</f>
        <v>-7976</v>
      </c>
    </row>
    <row r="2212" spans="1:25" x14ac:dyDescent="0.35">
      <c r="A2212">
        <v>37.520443365854298</v>
      </c>
      <c r="B2212">
        <v>-119.42084615964301</v>
      </c>
      <c r="C2212" t="s">
        <v>29</v>
      </c>
      <c r="D2212">
        <v>4.0315862928051898</v>
      </c>
      <c r="E2212">
        <v>3</v>
      </c>
      <c r="F2212">
        <v>1009</v>
      </c>
      <c r="G2212">
        <v>4</v>
      </c>
      <c r="H2212">
        <v>2</v>
      </c>
      <c r="I2212">
        <v>1991</v>
      </c>
      <c r="J2212">
        <v>1</v>
      </c>
      <c r="K2212">
        <v>1</v>
      </c>
      <c r="L2212">
        <v>1</v>
      </c>
      <c r="M2212">
        <v>5</v>
      </c>
      <c r="N2212" t="s">
        <v>26</v>
      </c>
      <c r="O2212" t="s">
        <v>30</v>
      </c>
      <c r="P2212">
        <v>14.1039202900335</v>
      </c>
      <c r="Q2212">
        <v>0.77191341682247405</v>
      </c>
      <c r="R2212">
        <v>6.7668104582352901</v>
      </c>
      <c r="S2212">
        <v>17</v>
      </c>
      <c r="T2212">
        <v>50</v>
      </c>
      <c r="U2212">
        <v>711.90851036920401</v>
      </c>
      <c r="V2212">
        <v>4.9554013875123797E-3</v>
      </c>
      <c r="W2212">
        <v>1231453.2622350301</v>
      </c>
      <c r="X2212" t="s">
        <v>36</v>
      </c>
      <c r="Y2212">
        <f>1-218-855-1152</f>
        <v>-2224</v>
      </c>
    </row>
    <row r="2213" spans="1:25" x14ac:dyDescent="0.35">
      <c r="A2213">
        <v>37.220694827672403</v>
      </c>
      <c r="B2213">
        <v>-123.718604388808</v>
      </c>
      <c r="C2213" t="s">
        <v>34</v>
      </c>
      <c r="D2213">
        <v>16.135975172700199</v>
      </c>
      <c r="E2213">
        <v>0</v>
      </c>
      <c r="F2213">
        <v>2107</v>
      </c>
      <c r="G2213">
        <v>1</v>
      </c>
      <c r="H2213">
        <v>3</v>
      </c>
      <c r="I2213">
        <v>2017</v>
      </c>
      <c r="J2213">
        <v>0</v>
      </c>
      <c r="K2213">
        <v>1</v>
      </c>
      <c r="L2213">
        <v>0</v>
      </c>
      <c r="M2213">
        <v>5</v>
      </c>
      <c r="N2213" t="s">
        <v>37</v>
      </c>
      <c r="O2213" t="s">
        <v>27</v>
      </c>
      <c r="P2213">
        <v>13.827197457686299</v>
      </c>
      <c r="Q2213">
        <v>2.3904584186568001</v>
      </c>
      <c r="R2213">
        <v>6.4088786026071602</v>
      </c>
      <c r="S2213">
        <v>73</v>
      </c>
      <c r="T2213">
        <v>56</v>
      </c>
      <c r="U2213">
        <v>987.90482199291</v>
      </c>
      <c r="V2213">
        <v>2.3730422401518699E-3</v>
      </c>
      <c r="W2213">
        <v>2321662.7955753701</v>
      </c>
      <c r="X2213" t="s">
        <v>43</v>
      </c>
      <c r="Y2213">
        <f>1-637-974-8734</f>
        <v>-10344</v>
      </c>
    </row>
    <row r="2214" spans="1:25" x14ac:dyDescent="0.35">
      <c r="A2214">
        <v>35.4926686961863</v>
      </c>
      <c r="B2214">
        <v>-121.79098284622501</v>
      </c>
      <c r="C2214" t="s">
        <v>34</v>
      </c>
      <c r="D2214">
        <v>22.7194810448269</v>
      </c>
      <c r="E2214">
        <v>7</v>
      </c>
      <c r="F2214">
        <v>3231</v>
      </c>
      <c r="G2214">
        <v>5</v>
      </c>
      <c r="H2214">
        <v>2</v>
      </c>
      <c r="I2214">
        <v>1961</v>
      </c>
      <c r="J2214">
        <v>0</v>
      </c>
      <c r="K2214">
        <v>1</v>
      </c>
      <c r="L2214">
        <v>1</v>
      </c>
      <c r="M2214">
        <v>8</v>
      </c>
      <c r="N2214" t="s">
        <v>41</v>
      </c>
      <c r="O2214" t="s">
        <v>27</v>
      </c>
      <c r="P2214">
        <v>14.7686387168613</v>
      </c>
      <c r="Q2214">
        <v>0.79707317977478698</v>
      </c>
      <c r="R2214">
        <v>7.0781850016603096</v>
      </c>
      <c r="S2214">
        <v>2</v>
      </c>
      <c r="T2214">
        <v>20</v>
      </c>
      <c r="U2214">
        <v>785.39630585029499</v>
      </c>
      <c r="V2214">
        <v>2.4760136180748899E-3</v>
      </c>
      <c r="W2214">
        <v>2997813.7435335</v>
      </c>
      <c r="X2214" t="s">
        <v>43</v>
      </c>
      <c r="Y2214">
        <f>1-833-638-7275</f>
        <v>-8745</v>
      </c>
    </row>
    <row r="2215" spans="1:25" x14ac:dyDescent="0.35">
      <c r="A2215">
        <v>32.618916485012797</v>
      </c>
      <c r="B2215">
        <v>-119.435971952494</v>
      </c>
      <c r="C2215" t="s">
        <v>29</v>
      </c>
      <c r="D2215">
        <v>11.995481623126199</v>
      </c>
      <c r="E2215">
        <v>2</v>
      </c>
      <c r="F2215">
        <v>2196</v>
      </c>
      <c r="G2215">
        <v>2</v>
      </c>
      <c r="H2215">
        <v>1</v>
      </c>
      <c r="I2215">
        <v>1991</v>
      </c>
      <c r="J2215">
        <v>1</v>
      </c>
      <c r="K2215">
        <v>1</v>
      </c>
      <c r="L2215">
        <v>0</v>
      </c>
      <c r="M2215">
        <v>8</v>
      </c>
      <c r="N2215" t="s">
        <v>37</v>
      </c>
      <c r="O2215" t="s">
        <v>32</v>
      </c>
      <c r="P2215">
        <v>10.8817704493327</v>
      </c>
      <c r="Q2215">
        <v>0.934119845018762</v>
      </c>
      <c r="R2215">
        <v>2.3949940115581798</v>
      </c>
      <c r="S2215">
        <v>61</v>
      </c>
      <c r="T2215">
        <v>24</v>
      </c>
      <c r="U2215">
        <v>403.31011982360599</v>
      </c>
      <c r="V2215">
        <v>3.6429872495446201E-3</v>
      </c>
      <c r="W2215">
        <v>1181665.2206820201</v>
      </c>
      <c r="X2215" t="s">
        <v>38</v>
      </c>
      <c r="Y2215">
        <f>1-388-204-3235</f>
        <v>-3826</v>
      </c>
    </row>
    <row r="2216" spans="1:25" x14ac:dyDescent="0.35">
      <c r="A2216">
        <v>38.719278049475399</v>
      </c>
      <c r="B2216">
        <v>-117.12487764654701</v>
      </c>
      <c r="C2216" t="s">
        <v>34</v>
      </c>
      <c r="D2216">
        <v>31.402993823097201</v>
      </c>
      <c r="E2216">
        <v>9</v>
      </c>
      <c r="F2216">
        <v>2208</v>
      </c>
      <c r="G2216">
        <v>1</v>
      </c>
      <c r="H2216">
        <v>3</v>
      </c>
      <c r="I2216">
        <v>1960</v>
      </c>
      <c r="J2216">
        <v>1</v>
      </c>
      <c r="K2216">
        <v>0</v>
      </c>
      <c r="L2216">
        <v>1</v>
      </c>
      <c r="M2216">
        <v>9</v>
      </c>
      <c r="N2216" t="s">
        <v>37</v>
      </c>
      <c r="O2216" t="s">
        <v>32</v>
      </c>
      <c r="P2216">
        <v>14.3416520232576</v>
      </c>
      <c r="Q2216">
        <v>0.672559709039527</v>
      </c>
      <c r="R2216">
        <v>2.6185077382318802</v>
      </c>
      <c r="S2216">
        <v>152</v>
      </c>
      <c r="T2216">
        <v>50</v>
      </c>
      <c r="U2216">
        <v>963.32040750895101</v>
      </c>
      <c r="V2216">
        <v>4.0760869565217303E-3</v>
      </c>
      <c r="W2216">
        <v>2321167.74429431</v>
      </c>
      <c r="X2216" t="s">
        <v>38</v>
      </c>
      <c r="Y2216">
        <f>1-730-683-9101</f>
        <v>-10513</v>
      </c>
    </row>
    <row r="2217" spans="1:25" x14ac:dyDescent="0.35">
      <c r="A2217">
        <v>38.249211339480198</v>
      </c>
      <c r="B2217">
        <v>-119.65593730254299</v>
      </c>
      <c r="C2217" t="s">
        <v>34</v>
      </c>
      <c r="D2217">
        <v>42.005953146501902</v>
      </c>
      <c r="E2217">
        <v>7</v>
      </c>
      <c r="F2217">
        <v>4162</v>
      </c>
      <c r="G2217">
        <v>4</v>
      </c>
      <c r="H2217">
        <v>3</v>
      </c>
      <c r="I2217">
        <v>2012</v>
      </c>
      <c r="J2217">
        <v>0</v>
      </c>
      <c r="K2217">
        <v>0</v>
      </c>
      <c r="L2217">
        <v>1</v>
      </c>
      <c r="M2217">
        <v>13</v>
      </c>
      <c r="N2217" t="s">
        <v>26</v>
      </c>
      <c r="O2217" t="s">
        <v>30</v>
      </c>
      <c r="P2217">
        <v>10.3637776167651</v>
      </c>
      <c r="Q2217">
        <v>1.13534186868205</v>
      </c>
      <c r="R2217">
        <v>9.5846592656370699</v>
      </c>
      <c r="S2217">
        <v>100</v>
      </c>
      <c r="T2217">
        <v>56</v>
      </c>
      <c r="U2217">
        <v>313.75794947938101</v>
      </c>
      <c r="V2217">
        <v>3.12349831811629E-3</v>
      </c>
      <c r="W2217">
        <v>1643545.2387515199</v>
      </c>
      <c r="X2217" t="s">
        <v>40</v>
      </c>
      <c r="Y2217">
        <f>1-451-681-4559</f>
        <v>-5690</v>
      </c>
    </row>
    <row r="2218" spans="1:25" x14ac:dyDescent="0.35">
      <c r="A2218">
        <v>33.602736107753401</v>
      </c>
      <c r="B2218">
        <v>-123.965292253681</v>
      </c>
      <c r="C2218" t="s">
        <v>29</v>
      </c>
      <c r="D2218">
        <v>48.914201060171102</v>
      </c>
      <c r="E2218">
        <v>2</v>
      </c>
      <c r="F2218">
        <v>3858</v>
      </c>
      <c r="G2218">
        <v>1</v>
      </c>
      <c r="H2218">
        <v>1</v>
      </c>
      <c r="I2218">
        <v>1999</v>
      </c>
      <c r="J2218">
        <v>1</v>
      </c>
      <c r="K2218">
        <v>0</v>
      </c>
      <c r="L2218">
        <v>0</v>
      </c>
      <c r="M2218">
        <v>5</v>
      </c>
      <c r="N2218" t="s">
        <v>37</v>
      </c>
      <c r="O2218" t="s">
        <v>32</v>
      </c>
      <c r="P2218">
        <v>14.213080445476599</v>
      </c>
      <c r="Q2218">
        <v>0.77442299669408798</v>
      </c>
      <c r="R2218">
        <v>4.7293724520238696</v>
      </c>
      <c r="S2218">
        <v>113</v>
      </c>
      <c r="T2218">
        <v>48</v>
      </c>
      <c r="U2218">
        <v>873.10016775764097</v>
      </c>
      <c r="V2218">
        <v>1.2960082944530799E-3</v>
      </c>
      <c r="W2218">
        <v>3602041.1275512599</v>
      </c>
      <c r="X2218" t="s">
        <v>42</v>
      </c>
      <c r="Y2218">
        <f>1-354-171-1147</f>
        <v>-1671</v>
      </c>
    </row>
    <row r="2219" spans="1:25" x14ac:dyDescent="0.35">
      <c r="A2219">
        <v>39.154540367674798</v>
      </c>
      <c r="B2219">
        <v>-118.72599408873</v>
      </c>
      <c r="C2219" t="s">
        <v>29</v>
      </c>
      <c r="D2219">
        <v>43.564620502417803</v>
      </c>
      <c r="E2219">
        <v>4</v>
      </c>
      <c r="F2219">
        <v>3975</v>
      </c>
      <c r="G2219">
        <v>3</v>
      </c>
      <c r="H2219">
        <v>2</v>
      </c>
      <c r="I2219">
        <v>1994</v>
      </c>
      <c r="J2219">
        <v>0</v>
      </c>
      <c r="K2219">
        <v>0</v>
      </c>
      <c r="L2219">
        <v>1</v>
      </c>
      <c r="M2219">
        <v>6</v>
      </c>
      <c r="N2219" t="s">
        <v>26</v>
      </c>
      <c r="O2219" t="s">
        <v>30</v>
      </c>
      <c r="P2219">
        <v>4.8894491221858303</v>
      </c>
      <c r="Q2219">
        <v>0.50622496616974999</v>
      </c>
      <c r="R2219">
        <v>2.3882671659591401</v>
      </c>
      <c r="S2219">
        <v>132</v>
      </c>
      <c r="T2219">
        <v>48</v>
      </c>
      <c r="U2219">
        <v>563.38422893465997</v>
      </c>
      <c r="V2219">
        <v>1.50943396226415E-3</v>
      </c>
      <c r="W2219">
        <v>2509646.9221093901</v>
      </c>
      <c r="X2219" t="s">
        <v>43</v>
      </c>
      <c r="Y2219">
        <f>1-902-283-9624</f>
        <v>-10808</v>
      </c>
    </row>
    <row r="2220" spans="1:25" x14ac:dyDescent="0.35">
      <c r="A2220">
        <v>37.702055012566099</v>
      </c>
      <c r="B2220">
        <v>-117.892765748451</v>
      </c>
      <c r="C2220" t="s">
        <v>25</v>
      </c>
      <c r="D2220">
        <v>32.421218577922197</v>
      </c>
      <c r="E2220">
        <v>0</v>
      </c>
      <c r="F2220">
        <v>1343</v>
      </c>
      <c r="G2220">
        <v>5</v>
      </c>
      <c r="H2220">
        <v>3</v>
      </c>
      <c r="I2220">
        <v>1989</v>
      </c>
      <c r="J2220">
        <v>0</v>
      </c>
      <c r="K2220">
        <v>0</v>
      </c>
      <c r="L2220">
        <v>1</v>
      </c>
      <c r="M2220">
        <v>13</v>
      </c>
      <c r="N2220" t="s">
        <v>35</v>
      </c>
      <c r="O2220" t="s">
        <v>27</v>
      </c>
      <c r="P2220">
        <v>9.9568375088621899</v>
      </c>
      <c r="Q2220">
        <v>2.1723543158706899</v>
      </c>
      <c r="R2220">
        <v>8.8589208657318999</v>
      </c>
      <c r="S2220">
        <v>44</v>
      </c>
      <c r="T2220">
        <v>21</v>
      </c>
      <c r="U2220">
        <v>501.24846448084003</v>
      </c>
      <c r="V2220">
        <v>9.6798212956068497E-3</v>
      </c>
      <c r="W2220">
        <v>1048064.41440112</v>
      </c>
      <c r="X2220" t="s">
        <v>31</v>
      </c>
      <c r="Y2220">
        <f>1-299-367-8150</f>
        <v>-8815</v>
      </c>
    </row>
    <row r="2221" spans="1:25" x14ac:dyDescent="0.35">
      <c r="A2221">
        <v>32.751418856277603</v>
      </c>
      <c r="B2221">
        <v>-124.14715863611301</v>
      </c>
      <c r="C2221" t="s">
        <v>29</v>
      </c>
      <c r="D2221">
        <v>13.9527559463698</v>
      </c>
      <c r="E2221">
        <v>7</v>
      </c>
      <c r="F2221">
        <v>2715</v>
      </c>
      <c r="G2221">
        <v>4</v>
      </c>
      <c r="H2221">
        <v>1</v>
      </c>
      <c r="I2221">
        <v>1958</v>
      </c>
      <c r="J2221">
        <v>1</v>
      </c>
      <c r="K2221">
        <v>1</v>
      </c>
      <c r="L2221">
        <v>0</v>
      </c>
      <c r="M2221">
        <v>13</v>
      </c>
      <c r="N2221" t="s">
        <v>26</v>
      </c>
      <c r="O2221" t="s">
        <v>27</v>
      </c>
      <c r="P2221">
        <v>10.2431552336308</v>
      </c>
      <c r="Q2221">
        <v>0.757374055404885</v>
      </c>
      <c r="R2221">
        <v>4.3673830495326396</v>
      </c>
      <c r="S2221">
        <v>140</v>
      </c>
      <c r="T2221">
        <v>49</v>
      </c>
      <c r="U2221">
        <v>707.78453438200097</v>
      </c>
      <c r="V2221">
        <v>4.7882136279926296E-3</v>
      </c>
      <c r="W2221">
        <v>2333140.9852185198</v>
      </c>
      <c r="X2221" t="s">
        <v>31</v>
      </c>
      <c r="Y2221">
        <f>1-745-301-8428</f>
        <v>-9473</v>
      </c>
    </row>
    <row r="2222" spans="1:25" x14ac:dyDescent="0.35">
      <c r="A2222">
        <v>37.5894683412332</v>
      </c>
      <c r="B2222">
        <v>-119.017467599687</v>
      </c>
      <c r="C2222" t="s">
        <v>25</v>
      </c>
      <c r="D2222">
        <v>18.435376103240301</v>
      </c>
      <c r="E2222">
        <v>2</v>
      </c>
      <c r="F2222">
        <v>3137</v>
      </c>
      <c r="G2222">
        <v>1</v>
      </c>
      <c r="H2222">
        <v>3</v>
      </c>
      <c r="I2222">
        <v>1974</v>
      </c>
      <c r="J2222">
        <v>0</v>
      </c>
      <c r="K2222">
        <v>0</v>
      </c>
      <c r="L2222">
        <v>0</v>
      </c>
      <c r="M2222">
        <v>11</v>
      </c>
      <c r="N2222" t="s">
        <v>41</v>
      </c>
      <c r="O2222" t="s">
        <v>27</v>
      </c>
      <c r="P2222">
        <v>3.5498341427679398</v>
      </c>
      <c r="Q2222">
        <v>1.93856984516522</v>
      </c>
      <c r="R2222">
        <v>0.80442991891890103</v>
      </c>
      <c r="S2222">
        <v>97</v>
      </c>
      <c r="T2222">
        <v>68</v>
      </c>
      <c r="U2222">
        <v>966.58747423573698</v>
      </c>
      <c r="V2222">
        <v>3.5065349059610999E-3</v>
      </c>
      <c r="W2222">
        <v>3022664.3845384899</v>
      </c>
      <c r="X2222" t="s">
        <v>42</v>
      </c>
      <c r="Y2222">
        <f>1-404-255-8127</f>
        <v>-8785</v>
      </c>
    </row>
    <row r="2223" spans="1:25" x14ac:dyDescent="0.35">
      <c r="A2223">
        <v>39.464768883346999</v>
      </c>
      <c r="B2223">
        <v>-117.60121761854499</v>
      </c>
      <c r="C2223" t="s">
        <v>25</v>
      </c>
      <c r="D2223">
        <v>30.012944851670898</v>
      </c>
      <c r="E2223">
        <v>8</v>
      </c>
      <c r="F2223">
        <v>1625</v>
      </c>
      <c r="G2223">
        <v>5</v>
      </c>
      <c r="H2223">
        <v>3</v>
      </c>
      <c r="I2223">
        <v>1958</v>
      </c>
      <c r="J2223">
        <v>1</v>
      </c>
      <c r="K2223">
        <v>1</v>
      </c>
      <c r="L2223">
        <v>1</v>
      </c>
      <c r="M2223">
        <v>4</v>
      </c>
      <c r="N2223" t="s">
        <v>41</v>
      </c>
      <c r="O2223" t="s">
        <v>30</v>
      </c>
      <c r="P2223">
        <v>7.79030366294805</v>
      </c>
      <c r="Q2223">
        <v>1.84166972545034</v>
      </c>
      <c r="R2223">
        <v>3.8013665648052601</v>
      </c>
      <c r="S2223">
        <v>198</v>
      </c>
      <c r="T2223">
        <v>44</v>
      </c>
      <c r="U2223">
        <v>918.81960219597204</v>
      </c>
      <c r="V2223">
        <v>2.4615384615384599E-3</v>
      </c>
      <c r="W2223">
        <v>1863924.8816629499</v>
      </c>
      <c r="X2223" t="s">
        <v>36</v>
      </c>
      <c r="Y2223">
        <f>1-614-547-9197</f>
        <v>-10357</v>
      </c>
    </row>
    <row r="2224" spans="1:25" x14ac:dyDescent="0.35">
      <c r="A2224">
        <v>32.783526556732497</v>
      </c>
      <c r="B2224">
        <v>-116.336134062966</v>
      </c>
      <c r="C2224" t="s">
        <v>29</v>
      </c>
      <c r="D2224">
        <v>27.9654000147078</v>
      </c>
      <c r="E2224">
        <v>0</v>
      </c>
      <c r="F2224">
        <v>4104</v>
      </c>
      <c r="G2224">
        <v>3</v>
      </c>
      <c r="H2224">
        <v>2</v>
      </c>
      <c r="I2224">
        <v>2001</v>
      </c>
      <c r="J2224">
        <v>0</v>
      </c>
      <c r="K2224">
        <v>0</v>
      </c>
      <c r="L2224">
        <v>1</v>
      </c>
      <c r="M2224">
        <v>14</v>
      </c>
      <c r="N2224" t="s">
        <v>41</v>
      </c>
      <c r="O2224" t="s">
        <v>30</v>
      </c>
      <c r="P2224">
        <v>8.5540012252855906</v>
      </c>
      <c r="Q2224">
        <v>1.1124996039850299</v>
      </c>
      <c r="R2224">
        <v>7.7385382025961302</v>
      </c>
      <c r="S2224">
        <v>188</v>
      </c>
      <c r="T2224">
        <v>34</v>
      </c>
      <c r="U2224">
        <v>549.05339871427498</v>
      </c>
      <c r="V2224">
        <v>3.4113060428849901E-3</v>
      </c>
      <c r="W2224">
        <v>2434655.6664012899</v>
      </c>
      <c r="X2224" t="s">
        <v>42</v>
      </c>
      <c r="Y2224">
        <f>1-488-522-5222</f>
        <v>-6231</v>
      </c>
    </row>
    <row r="2225" spans="1:25" x14ac:dyDescent="0.35">
      <c r="A2225">
        <v>33.592062992088799</v>
      </c>
      <c r="B2225">
        <v>-117.209532856263</v>
      </c>
      <c r="C2225" t="s">
        <v>29</v>
      </c>
      <c r="D2225">
        <v>44.853512097347298</v>
      </c>
      <c r="E2225">
        <v>8</v>
      </c>
      <c r="F2225">
        <v>1278</v>
      </c>
      <c r="G2225">
        <v>2</v>
      </c>
      <c r="H2225">
        <v>1</v>
      </c>
      <c r="I2225">
        <v>1991</v>
      </c>
      <c r="J2225">
        <v>0</v>
      </c>
      <c r="K2225">
        <v>0</v>
      </c>
      <c r="L2225">
        <v>0</v>
      </c>
      <c r="M2225">
        <v>11</v>
      </c>
      <c r="N2225" t="s">
        <v>37</v>
      </c>
      <c r="O2225" t="s">
        <v>27</v>
      </c>
      <c r="P2225">
        <v>4.2142283672482099</v>
      </c>
      <c r="Q2225">
        <v>1.2409528142669</v>
      </c>
      <c r="R2225">
        <v>7.2168790822517597</v>
      </c>
      <c r="S2225">
        <v>44</v>
      </c>
      <c r="T2225">
        <v>51</v>
      </c>
      <c r="U2225">
        <v>594.69979624179905</v>
      </c>
      <c r="V2225">
        <v>8.6071987480438109E-3</v>
      </c>
      <c r="W2225">
        <v>861686.87721000204</v>
      </c>
      <c r="X2225" t="s">
        <v>31</v>
      </c>
      <c r="Y2225">
        <f>1-840-770-3158</f>
        <v>-4767</v>
      </c>
    </row>
    <row r="2226" spans="1:25" x14ac:dyDescent="0.35">
      <c r="A2226">
        <v>37.6813672998762</v>
      </c>
      <c r="B2226">
        <v>-117.367754809644</v>
      </c>
      <c r="C2226" t="s">
        <v>29</v>
      </c>
      <c r="D2226">
        <v>41.571153928591102</v>
      </c>
      <c r="E2226">
        <v>4</v>
      </c>
      <c r="F2226">
        <v>2222</v>
      </c>
      <c r="G2226">
        <v>1</v>
      </c>
      <c r="H2226">
        <v>2</v>
      </c>
      <c r="I2226">
        <v>1977</v>
      </c>
      <c r="J2226">
        <v>1</v>
      </c>
      <c r="K2226">
        <v>1</v>
      </c>
      <c r="L2226">
        <v>0</v>
      </c>
      <c r="M2226">
        <v>7</v>
      </c>
      <c r="N2226" t="s">
        <v>41</v>
      </c>
      <c r="O2226" t="s">
        <v>30</v>
      </c>
      <c r="P2226">
        <v>5.4378844100083201</v>
      </c>
      <c r="Q2226">
        <v>1.4031087329791001</v>
      </c>
      <c r="R2226">
        <v>1.5746640887402801</v>
      </c>
      <c r="S2226">
        <v>176</v>
      </c>
      <c r="T2226">
        <v>34</v>
      </c>
      <c r="U2226">
        <v>999.26620519295795</v>
      </c>
      <c r="V2226">
        <v>3.1503150315031498E-3</v>
      </c>
      <c r="W2226">
        <v>2401100.8479458001</v>
      </c>
      <c r="X2226" t="s">
        <v>42</v>
      </c>
      <c r="Y2226">
        <f>1-896-276-9264</f>
        <v>-10435</v>
      </c>
    </row>
    <row r="2227" spans="1:25" x14ac:dyDescent="0.35">
      <c r="A2227">
        <v>37.631665509306302</v>
      </c>
      <c r="B2227">
        <v>-115.25565080269</v>
      </c>
      <c r="C2227" t="s">
        <v>34</v>
      </c>
      <c r="D2227">
        <v>45.072713141327199</v>
      </c>
      <c r="E2227">
        <v>3</v>
      </c>
      <c r="F2227">
        <v>1964</v>
      </c>
      <c r="G2227">
        <v>4</v>
      </c>
      <c r="H2227">
        <v>3</v>
      </c>
      <c r="I2227">
        <v>1951</v>
      </c>
      <c r="J2227">
        <v>0</v>
      </c>
      <c r="K2227">
        <v>1</v>
      </c>
      <c r="L2227">
        <v>1</v>
      </c>
      <c r="M2227">
        <v>5</v>
      </c>
      <c r="N2227" t="s">
        <v>41</v>
      </c>
      <c r="O2227" t="s">
        <v>32</v>
      </c>
      <c r="P2227">
        <v>3.6116613603449901</v>
      </c>
      <c r="Q2227">
        <v>1.33449870896078</v>
      </c>
      <c r="R2227">
        <v>3.1288002117906899</v>
      </c>
      <c r="S2227">
        <v>112</v>
      </c>
      <c r="T2227">
        <v>54</v>
      </c>
      <c r="U2227">
        <v>752.97157025320598</v>
      </c>
      <c r="V2227">
        <v>2.5458248472505001E-3</v>
      </c>
      <c r="W2227">
        <v>1831015.05470379</v>
      </c>
      <c r="X2227" t="s">
        <v>44</v>
      </c>
      <c r="Y2227">
        <f>1-657-665-8371</f>
        <v>-9692</v>
      </c>
    </row>
    <row r="2228" spans="1:25" x14ac:dyDescent="0.35">
      <c r="A2228">
        <v>33.853380002725402</v>
      </c>
      <c r="B2228">
        <v>-124.15653734766001</v>
      </c>
      <c r="C2228" t="s">
        <v>34</v>
      </c>
      <c r="D2228">
        <v>6.2674100871902798</v>
      </c>
      <c r="E2228">
        <v>6</v>
      </c>
      <c r="F2228">
        <v>4165</v>
      </c>
      <c r="G2228">
        <v>5</v>
      </c>
      <c r="H2228">
        <v>1</v>
      </c>
      <c r="I2228">
        <v>1996</v>
      </c>
      <c r="J2228">
        <v>1</v>
      </c>
      <c r="K2228">
        <v>1</v>
      </c>
      <c r="L2228">
        <v>0</v>
      </c>
      <c r="M2228">
        <v>11</v>
      </c>
      <c r="N2228" t="s">
        <v>37</v>
      </c>
      <c r="O2228" t="s">
        <v>32</v>
      </c>
      <c r="P2228">
        <v>6.9991205744312497</v>
      </c>
      <c r="Q2228">
        <v>2.4913969467092199</v>
      </c>
      <c r="R2228">
        <v>4.7151515020636197</v>
      </c>
      <c r="S2228">
        <v>3</v>
      </c>
      <c r="T2228">
        <v>54</v>
      </c>
      <c r="U2228">
        <v>368.65736294843401</v>
      </c>
      <c r="V2228">
        <v>2.6410564225690198E-3</v>
      </c>
      <c r="W2228">
        <v>1981978.01015282</v>
      </c>
      <c r="X2228" t="s">
        <v>42</v>
      </c>
      <c r="Y2228">
        <f>1-563-623-1164</f>
        <v>-2349</v>
      </c>
    </row>
    <row r="2229" spans="1:25" x14ac:dyDescent="0.35">
      <c r="A2229">
        <v>41.037508501410301</v>
      </c>
      <c r="B2229">
        <v>-114.55161877918</v>
      </c>
      <c r="C2229" t="s">
        <v>29</v>
      </c>
      <c r="D2229">
        <v>30.332107267014099</v>
      </c>
      <c r="E2229">
        <v>2</v>
      </c>
      <c r="F2229">
        <v>4434</v>
      </c>
      <c r="G2229">
        <v>1</v>
      </c>
      <c r="H2229">
        <v>2</v>
      </c>
      <c r="I2229">
        <v>2021</v>
      </c>
      <c r="J2229">
        <v>1</v>
      </c>
      <c r="K2229">
        <v>1</v>
      </c>
      <c r="L2229">
        <v>1</v>
      </c>
      <c r="M2229">
        <v>14</v>
      </c>
      <c r="N2229" t="s">
        <v>26</v>
      </c>
      <c r="O2229" t="s">
        <v>27</v>
      </c>
      <c r="P2229">
        <v>5.3341815660936902</v>
      </c>
      <c r="Q2229">
        <v>2.4071256572716302</v>
      </c>
      <c r="R2229">
        <v>1.59876657299394</v>
      </c>
      <c r="S2229">
        <v>80</v>
      </c>
      <c r="T2229">
        <v>57</v>
      </c>
      <c r="U2229">
        <v>659.90808621176495</v>
      </c>
      <c r="V2229">
        <v>3.1574199368516001E-3</v>
      </c>
      <c r="W2229">
        <v>3232314.4486985598</v>
      </c>
      <c r="X2229" t="s">
        <v>33</v>
      </c>
      <c r="Y2229">
        <f>1-779-775-7162</f>
        <v>-8715</v>
      </c>
    </row>
    <row r="2230" spans="1:25" x14ac:dyDescent="0.35">
      <c r="A2230">
        <v>34.309945616380098</v>
      </c>
      <c r="B2230">
        <v>-115.53222229863501</v>
      </c>
      <c r="C2230" t="s">
        <v>29</v>
      </c>
      <c r="D2230">
        <v>13.296635854019</v>
      </c>
      <c r="E2230">
        <v>7</v>
      </c>
      <c r="F2230">
        <v>4561</v>
      </c>
      <c r="G2230">
        <v>5</v>
      </c>
      <c r="H2230">
        <v>3</v>
      </c>
      <c r="I2230">
        <v>1998</v>
      </c>
      <c r="J2230">
        <v>0</v>
      </c>
      <c r="K2230">
        <v>1</v>
      </c>
      <c r="L2230">
        <v>1</v>
      </c>
      <c r="M2230">
        <v>6</v>
      </c>
      <c r="N2230" t="s">
        <v>26</v>
      </c>
      <c r="O2230" t="s">
        <v>30</v>
      </c>
      <c r="P2230">
        <v>2.24654139360289</v>
      </c>
      <c r="Q2230">
        <v>1.7834275462051401</v>
      </c>
      <c r="R2230">
        <v>9.9126246676979708</v>
      </c>
      <c r="S2230">
        <v>62</v>
      </c>
      <c r="T2230">
        <v>53</v>
      </c>
      <c r="U2230">
        <v>837.42033207629697</v>
      </c>
      <c r="V2230">
        <v>1.3155009866257399E-3</v>
      </c>
      <c r="W2230">
        <v>4161622.1641412699</v>
      </c>
      <c r="X2230" t="s">
        <v>38</v>
      </c>
      <c r="Y2230">
        <f>1-862-725-6378</f>
        <v>-7964</v>
      </c>
    </row>
    <row r="2231" spans="1:25" x14ac:dyDescent="0.35">
      <c r="A2231">
        <v>41.723601708568303</v>
      </c>
      <c r="B2231">
        <v>-116.305411235511</v>
      </c>
      <c r="C2231" t="s">
        <v>25</v>
      </c>
      <c r="D2231">
        <v>30.809617376494501</v>
      </c>
      <c r="E2231">
        <v>4</v>
      </c>
      <c r="F2231">
        <v>1638</v>
      </c>
      <c r="G2231">
        <v>1</v>
      </c>
      <c r="H2231">
        <v>3</v>
      </c>
      <c r="I2231">
        <v>1975</v>
      </c>
      <c r="J2231">
        <v>1</v>
      </c>
      <c r="K2231">
        <v>1</v>
      </c>
      <c r="L2231">
        <v>1</v>
      </c>
      <c r="M2231">
        <v>8</v>
      </c>
      <c r="N2231" t="s">
        <v>26</v>
      </c>
      <c r="O2231" t="s">
        <v>32</v>
      </c>
      <c r="P2231">
        <v>7.6228502449773199</v>
      </c>
      <c r="Q2231">
        <v>2.4859707395801798</v>
      </c>
      <c r="R2231">
        <v>3.49909137714008</v>
      </c>
      <c r="S2231">
        <v>45</v>
      </c>
      <c r="T2231">
        <v>28</v>
      </c>
      <c r="U2231">
        <v>836.52438141619098</v>
      </c>
      <c r="V2231">
        <v>4.8840048840048797E-3</v>
      </c>
      <c r="W2231">
        <v>1673865.1098467</v>
      </c>
      <c r="X2231" t="s">
        <v>36</v>
      </c>
      <c r="Y2231">
        <f>1-706-247-2824</f>
        <v>-3776</v>
      </c>
    </row>
    <row r="2232" spans="1:25" x14ac:dyDescent="0.35">
      <c r="A2232">
        <v>35.570346329303497</v>
      </c>
      <c r="B2232">
        <v>-122.130076569789</v>
      </c>
      <c r="C2232" t="s">
        <v>25</v>
      </c>
      <c r="D2232">
        <v>2.4551885346505098</v>
      </c>
      <c r="E2232">
        <v>4</v>
      </c>
      <c r="F2232">
        <v>3094</v>
      </c>
      <c r="G2232">
        <v>5</v>
      </c>
      <c r="H2232">
        <v>3</v>
      </c>
      <c r="I2232">
        <v>1965</v>
      </c>
      <c r="J2232">
        <v>0</v>
      </c>
      <c r="K2232">
        <v>0</v>
      </c>
      <c r="L2232">
        <v>0</v>
      </c>
      <c r="M2232">
        <v>10</v>
      </c>
      <c r="N2232" t="s">
        <v>26</v>
      </c>
      <c r="O2232" t="s">
        <v>27</v>
      </c>
      <c r="P2232">
        <v>14.165301006637099</v>
      </c>
      <c r="Q2232">
        <v>2.4578808694751202</v>
      </c>
      <c r="R2232">
        <v>0.621177539209258</v>
      </c>
      <c r="S2232">
        <v>104</v>
      </c>
      <c r="T2232">
        <v>41</v>
      </c>
      <c r="U2232">
        <v>932.24678642097899</v>
      </c>
      <c r="V2232">
        <v>3.2320620555914602E-3</v>
      </c>
      <c r="W2232">
        <v>3255555.4052670002</v>
      </c>
      <c r="X2232" t="s">
        <v>42</v>
      </c>
      <c r="Y2232">
        <f>1-418-788-7376</f>
        <v>-8581</v>
      </c>
    </row>
    <row r="2233" spans="1:25" x14ac:dyDescent="0.35">
      <c r="A2233">
        <v>33.0618084725944</v>
      </c>
      <c r="B2233">
        <v>-117.57817239086199</v>
      </c>
      <c r="C2233" t="s">
        <v>29</v>
      </c>
      <c r="D2233">
        <v>21.054086701105501</v>
      </c>
      <c r="E2233">
        <v>0</v>
      </c>
      <c r="F2233">
        <v>1250</v>
      </c>
      <c r="G2233">
        <v>5</v>
      </c>
      <c r="H2233">
        <v>1</v>
      </c>
      <c r="I2233">
        <v>2020</v>
      </c>
      <c r="J2233">
        <v>0</v>
      </c>
      <c r="K2233">
        <v>1</v>
      </c>
      <c r="L2233">
        <v>1</v>
      </c>
      <c r="M2233">
        <v>10</v>
      </c>
      <c r="N2233" t="s">
        <v>41</v>
      </c>
      <c r="O2233" t="s">
        <v>30</v>
      </c>
      <c r="P2233">
        <v>7.3172539701002899</v>
      </c>
      <c r="Q2233">
        <v>1.9133994895689299</v>
      </c>
      <c r="R2233">
        <v>6.6527555430138499</v>
      </c>
      <c r="S2233">
        <v>55</v>
      </c>
      <c r="T2233">
        <v>28</v>
      </c>
      <c r="U2233">
        <v>276.19294866622698</v>
      </c>
      <c r="V2233">
        <v>8.0000000000000002E-3</v>
      </c>
      <c r="W2233">
        <v>813369.12415173405</v>
      </c>
      <c r="X2233" t="s">
        <v>43</v>
      </c>
      <c r="Y2233">
        <f>1-201-825-5667</f>
        <v>-6692</v>
      </c>
    </row>
    <row r="2234" spans="1:25" x14ac:dyDescent="0.35">
      <c r="A2234">
        <v>35.635617542147898</v>
      </c>
      <c r="B2234">
        <v>-116.735738832846</v>
      </c>
      <c r="C2234" t="s">
        <v>25</v>
      </c>
      <c r="D2234">
        <v>21.1884180543138</v>
      </c>
      <c r="E2234">
        <v>3</v>
      </c>
      <c r="F2234">
        <v>1426</v>
      </c>
      <c r="G2234">
        <v>2</v>
      </c>
      <c r="H2234">
        <v>2</v>
      </c>
      <c r="I2234">
        <v>1958</v>
      </c>
      <c r="J2234">
        <v>1</v>
      </c>
      <c r="K2234">
        <v>1</v>
      </c>
      <c r="L2234">
        <v>0</v>
      </c>
      <c r="M2234">
        <v>3</v>
      </c>
      <c r="N2234" t="s">
        <v>26</v>
      </c>
      <c r="O2234" t="s">
        <v>30</v>
      </c>
      <c r="P2234">
        <v>10.774377947001501</v>
      </c>
      <c r="Q2234">
        <v>0.70656916646033097</v>
      </c>
      <c r="R2234">
        <v>5.8711136939742596</v>
      </c>
      <c r="S2234">
        <v>173</v>
      </c>
      <c r="T2234">
        <v>20</v>
      </c>
      <c r="U2234">
        <v>790.09226212267095</v>
      </c>
      <c r="V2234">
        <v>2.1037868162692799E-3</v>
      </c>
      <c r="W2234">
        <v>1389921.84952743</v>
      </c>
      <c r="X2234" t="s">
        <v>31</v>
      </c>
      <c r="Y2234">
        <f>1-400-505-4411</f>
        <v>-5315</v>
      </c>
    </row>
    <row r="2235" spans="1:25" x14ac:dyDescent="0.35">
      <c r="A2235">
        <v>41.016311599849502</v>
      </c>
      <c r="B2235">
        <v>-122.88180714638899</v>
      </c>
      <c r="C2235" t="s">
        <v>29</v>
      </c>
      <c r="D2235">
        <v>20.252219916095299</v>
      </c>
      <c r="E2235">
        <v>2</v>
      </c>
      <c r="F2235">
        <v>3697</v>
      </c>
      <c r="G2235">
        <v>2</v>
      </c>
      <c r="H2235">
        <v>1</v>
      </c>
      <c r="I2235">
        <v>2006</v>
      </c>
      <c r="J2235">
        <v>1</v>
      </c>
      <c r="K2235">
        <v>1</v>
      </c>
      <c r="L2235">
        <v>0</v>
      </c>
      <c r="M2235">
        <v>8</v>
      </c>
      <c r="N2235" t="s">
        <v>41</v>
      </c>
      <c r="O2235" t="s">
        <v>32</v>
      </c>
      <c r="P2235">
        <v>14.8694319726666</v>
      </c>
      <c r="Q2235">
        <v>2.2005037229864</v>
      </c>
      <c r="R2235">
        <v>4.4419170456976902</v>
      </c>
      <c r="S2235">
        <v>16</v>
      </c>
      <c r="T2235">
        <v>39</v>
      </c>
      <c r="U2235">
        <v>236.59583093454199</v>
      </c>
      <c r="V2235">
        <v>2.1639166892074599E-3</v>
      </c>
      <c r="W2235">
        <v>1297611.8892011</v>
      </c>
      <c r="X2235" t="s">
        <v>28</v>
      </c>
      <c r="Y2235">
        <f>1-970-681-5458</f>
        <v>-7108</v>
      </c>
    </row>
    <row r="2236" spans="1:25" x14ac:dyDescent="0.35">
      <c r="A2236">
        <v>35.469557880060499</v>
      </c>
      <c r="B2236">
        <v>-114.650545911733</v>
      </c>
      <c r="C2236" t="s">
        <v>34</v>
      </c>
      <c r="D2236">
        <v>31.850647250505698</v>
      </c>
      <c r="E2236">
        <v>4</v>
      </c>
      <c r="F2236">
        <v>2365</v>
      </c>
      <c r="G2236">
        <v>2</v>
      </c>
      <c r="H2236">
        <v>2</v>
      </c>
      <c r="I2236">
        <v>1992</v>
      </c>
      <c r="J2236">
        <v>1</v>
      </c>
      <c r="K2236">
        <v>1</v>
      </c>
      <c r="L2236">
        <v>1</v>
      </c>
      <c r="M2236">
        <v>14</v>
      </c>
      <c r="N2236" t="s">
        <v>35</v>
      </c>
      <c r="O2236" t="s">
        <v>32</v>
      </c>
      <c r="P2236">
        <v>4.9734640458139001</v>
      </c>
      <c r="Q2236">
        <v>1.5672803398713799</v>
      </c>
      <c r="R2236">
        <v>3.1156598892323299</v>
      </c>
      <c r="S2236">
        <v>89</v>
      </c>
      <c r="T2236">
        <v>39</v>
      </c>
      <c r="U2236">
        <v>715.07422811491597</v>
      </c>
      <c r="V2236">
        <v>5.9196617336152203E-3</v>
      </c>
      <c r="W2236">
        <v>1947444.0911767599</v>
      </c>
      <c r="X2236" t="s">
        <v>39</v>
      </c>
      <c r="Y2236">
        <f>1-671-567-8340</f>
        <v>-9577</v>
      </c>
    </row>
    <row r="2237" spans="1:25" x14ac:dyDescent="0.35">
      <c r="A2237">
        <v>41.585026633851498</v>
      </c>
      <c r="B2237">
        <v>-121.077151373126</v>
      </c>
      <c r="C2237" t="s">
        <v>25</v>
      </c>
      <c r="D2237">
        <v>8.0413993125130094</v>
      </c>
      <c r="E2237">
        <v>3</v>
      </c>
      <c r="F2237">
        <v>729</v>
      </c>
      <c r="G2237">
        <v>3</v>
      </c>
      <c r="H2237">
        <v>3</v>
      </c>
      <c r="I2237">
        <v>2004</v>
      </c>
      <c r="J2237">
        <v>0</v>
      </c>
      <c r="K2237">
        <v>0</v>
      </c>
      <c r="L2237">
        <v>0</v>
      </c>
      <c r="M2237">
        <v>11</v>
      </c>
      <c r="N2237" t="s">
        <v>35</v>
      </c>
      <c r="O2237" t="s">
        <v>32</v>
      </c>
      <c r="P2237">
        <v>4.9477462815031004</v>
      </c>
      <c r="Q2237">
        <v>0.93862078956669304</v>
      </c>
      <c r="R2237">
        <v>5.4856627622812102</v>
      </c>
      <c r="S2237">
        <v>107</v>
      </c>
      <c r="T2237">
        <v>25</v>
      </c>
      <c r="U2237">
        <v>322.96336523015202</v>
      </c>
      <c r="V2237">
        <v>1.50891632373113E-2</v>
      </c>
      <c r="W2237">
        <v>481144.40156739298</v>
      </c>
      <c r="X2237" t="s">
        <v>44</v>
      </c>
      <c r="Y2237">
        <f>1-834-968-5642</f>
        <v>-7443</v>
      </c>
    </row>
    <row r="2238" spans="1:25" x14ac:dyDescent="0.35">
      <c r="A2238">
        <v>37.583040868849999</v>
      </c>
      <c r="B2238">
        <v>-123.34738654291201</v>
      </c>
      <c r="C2238" t="s">
        <v>34</v>
      </c>
      <c r="D2238">
        <v>48.254539178349198</v>
      </c>
      <c r="E2238">
        <v>5</v>
      </c>
      <c r="F2238">
        <v>1075</v>
      </c>
      <c r="G2238">
        <v>2</v>
      </c>
      <c r="H2238">
        <v>2</v>
      </c>
      <c r="I2238">
        <v>1983</v>
      </c>
      <c r="J2238">
        <v>0</v>
      </c>
      <c r="K2238">
        <v>1</v>
      </c>
      <c r="L2238">
        <v>0</v>
      </c>
      <c r="M2238">
        <v>7</v>
      </c>
      <c r="N2238" t="s">
        <v>37</v>
      </c>
      <c r="O2238" t="s">
        <v>32</v>
      </c>
      <c r="P2238">
        <v>9.3747748300191294</v>
      </c>
      <c r="Q2238">
        <v>2.3172928168949598</v>
      </c>
      <c r="R2238">
        <v>9.1155225578889105</v>
      </c>
      <c r="S2238">
        <v>139</v>
      </c>
      <c r="T2238">
        <v>52</v>
      </c>
      <c r="U2238">
        <v>863.15737509700205</v>
      </c>
      <c r="V2238">
        <v>6.5116279069767401E-3</v>
      </c>
      <c r="W2238">
        <v>1144419.94213728</v>
      </c>
      <c r="X2238" t="s">
        <v>42</v>
      </c>
      <c r="Y2238">
        <f>1-275-250-5424</f>
        <v>-5948</v>
      </c>
    </row>
    <row r="2239" spans="1:25" x14ac:dyDescent="0.35">
      <c r="A2239">
        <v>37.765416524928597</v>
      </c>
      <c r="B2239">
        <v>-117.84256917941801</v>
      </c>
      <c r="C2239" t="s">
        <v>34</v>
      </c>
      <c r="D2239">
        <v>29.749640291627198</v>
      </c>
      <c r="E2239">
        <v>9</v>
      </c>
      <c r="F2239">
        <v>4917</v>
      </c>
      <c r="G2239">
        <v>2</v>
      </c>
      <c r="H2239">
        <v>1</v>
      </c>
      <c r="I2239">
        <v>2014</v>
      </c>
      <c r="J2239">
        <v>1</v>
      </c>
      <c r="K2239">
        <v>1</v>
      </c>
      <c r="L2239">
        <v>0</v>
      </c>
      <c r="M2239">
        <v>14</v>
      </c>
      <c r="N2239" t="s">
        <v>41</v>
      </c>
      <c r="O2239" t="s">
        <v>27</v>
      </c>
      <c r="P2239">
        <v>10.4684881302872</v>
      </c>
      <c r="Q2239">
        <v>2.38724248628411</v>
      </c>
      <c r="R2239">
        <v>5.4099971977467796</v>
      </c>
      <c r="S2239">
        <v>22</v>
      </c>
      <c r="T2239">
        <v>70</v>
      </c>
      <c r="U2239">
        <v>376.44655324625302</v>
      </c>
      <c r="V2239">
        <v>2.8472645922310298E-3</v>
      </c>
      <c r="W2239">
        <v>2123132.0465143598</v>
      </c>
      <c r="X2239" t="s">
        <v>31</v>
      </c>
      <c r="Y2239">
        <f>1-932-398-4900</f>
        <v>-6229</v>
      </c>
    </row>
    <row r="2240" spans="1:25" x14ac:dyDescent="0.35">
      <c r="A2240">
        <v>41.541655700763101</v>
      </c>
      <c r="B2240">
        <v>-116.016137610154</v>
      </c>
      <c r="C2240" t="s">
        <v>25</v>
      </c>
      <c r="D2240">
        <v>38.911133693814598</v>
      </c>
      <c r="E2240">
        <v>5</v>
      </c>
      <c r="F2240">
        <v>869</v>
      </c>
      <c r="G2240">
        <v>4</v>
      </c>
      <c r="H2240">
        <v>3</v>
      </c>
      <c r="I2240">
        <v>1951</v>
      </c>
      <c r="J2240">
        <v>0</v>
      </c>
      <c r="K2240">
        <v>0</v>
      </c>
      <c r="L2240">
        <v>0</v>
      </c>
      <c r="M2240">
        <v>10</v>
      </c>
      <c r="N2240" t="s">
        <v>37</v>
      </c>
      <c r="O2240" t="s">
        <v>32</v>
      </c>
      <c r="P2240">
        <v>14.3355929396687</v>
      </c>
      <c r="Q2240">
        <v>2.23131095460788</v>
      </c>
      <c r="R2240">
        <v>2.7928657937072598</v>
      </c>
      <c r="S2240">
        <v>112</v>
      </c>
      <c r="T2240">
        <v>32</v>
      </c>
      <c r="U2240">
        <v>489.82851848530902</v>
      </c>
      <c r="V2240">
        <v>1.15074798619102E-2</v>
      </c>
      <c r="W2240">
        <v>706386.48207947705</v>
      </c>
      <c r="X2240" t="s">
        <v>44</v>
      </c>
      <c r="Y2240">
        <f>1-258-700-2480</f>
        <v>-3437</v>
      </c>
    </row>
    <row r="2241" spans="1:25" x14ac:dyDescent="0.35">
      <c r="A2241">
        <v>35.510254185955198</v>
      </c>
      <c r="B2241">
        <v>-115.873762899116</v>
      </c>
      <c r="C2241" t="s">
        <v>29</v>
      </c>
      <c r="D2241">
        <v>20.6271331732619</v>
      </c>
      <c r="E2241">
        <v>5</v>
      </c>
      <c r="F2241">
        <v>2066</v>
      </c>
      <c r="G2241">
        <v>1</v>
      </c>
      <c r="H2241">
        <v>3</v>
      </c>
      <c r="I2241">
        <v>1953</v>
      </c>
      <c r="J2241">
        <v>1</v>
      </c>
      <c r="K2241">
        <v>0</v>
      </c>
      <c r="L2241">
        <v>1</v>
      </c>
      <c r="M2241">
        <v>5</v>
      </c>
      <c r="N2241" t="s">
        <v>37</v>
      </c>
      <c r="O2241" t="s">
        <v>30</v>
      </c>
      <c r="P2241">
        <v>11.581829695960399</v>
      </c>
      <c r="Q2241">
        <v>1.3483688101278399</v>
      </c>
      <c r="R2241">
        <v>8.7621405063976407</v>
      </c>
      <c r="S2241">
        <v>62</v>
      </c>
      <c r="T2241">
        <v>41</v>
      </c>
      <c r="U2241">
        <v>241.80073330076601</v>
      </c>
      <c r="V2241">
        <v>2.4201355275895401E-3</v>
      </c>
      <c r="W2241">
        <v>614221.99718428496</v>
      </c>
      <c r="X2241" t="s">
        <v>42</v>
      </c>
      <c r="Y2241">
        <f>1-603-220-9958</f>
        <v>-10780</v>
      </c>
    </row>
    <row r="2242" spans="1:25" x14ac:dyDescent="0.35">
      <c r="A2242">
        <v>34.379490464706699</v>
      </c>
      <c r="B2242">
        <v>-114.59793337047699</v>
      </c>
      <c r="C2242" t="s">
        <v>34</v>
      </c>
      <c r="D2242">
        <v>34.191150323101702</v>
      </c>
      <c r="E2242">
        <v>1</v>
      </c>
      <c r="F2242">
        <v>3675</v>
      </c>
      <c r="G2242">
        <v>2</v>
      </c>
      <c r="H2242">
        <v>2</v>
      </c>
      <c r="I2242">
        <v>1981</v>
      </c>
      <c r="J2242">
        <v>1</v>
      </c>
      <c r="K2242">
        <v>1</v>
      </c>
      <c r="L2242">
        <v>1</v>
      </c>
      <c r="M2242">
        <v>8</v>
      </c>
      <c r="N2242" t="s">
        <v>26</v>
      </c>
      <c r="O2242" t="s">
        <v>27</v>
      </c>
      <c r="P2242">
        <v>12.844147272397</v>
      </c>
      <c r="Q2242">
        <v>1.7352827998578899</v>
      </c>
      <c r="R2242">
        <v>5.38377180260684</v>
      </c>
      <c r="S2242">
        <v>172</v>
      </c>
      <c r="T2242">
        <v>23</v>
      </c>
      <c r="U2242">
        <v>716.93367488741103</v>
      </c>
      <c r="V2242">
        <v>2.1768707482993101E-3</v>
      </c>
      <c r="W2242">
        <v>3029956.8746919702</v>
      </c>
      <c r="X2242" t="s">
        <v>33</v>
      </c>
      <c r="Y2242">
        <f>1-838-286-7485</f>
        <v>-8608</v>
      </c>
    </row>
    <row r="2243" spans="1:25" x14ac:dyDescent="0.35">
      <c r="A2243">
        <v>33.821105093525901</v>
      </c>
      <c r="B2243">
        <v>-117.79665535146</v>
      </c>
      <c r="C2243" t="s">
        <v>34</v>
      </c>
      <c r="D2243">
        <v>39.508483841637101</v>
      </c>
      <c r="E2243">
        <v>1</v>
      </c>
      <c r="F2243">
        <v>2148</v>
      </c>
      <c r="G2243">
        <v>1</v>
      </c>
      <c r="H2243">
        <v>3</v>
      </c>
      <c r="I2243">
        <v>2005</v>
      </c>
      <c r="J2243">
        <v>0</v>
      </c>
      <c r="K2243">
        <v>1</v>
      </c>
      <c r="L2243">
        <v>0</v>
      </c>
      <c r="M2243">
        <v>9</v>
      </c>
      <c r="N2243" t="s">
        <v>37</v>
      </c>
      <c r="O2243" t="s">
        <v>27</v>
      </c>
      <c r="P2243">
        <v>8.7379898973954493</v>
      </c>
      <c r="Q2243">
        <v>2.25751960446209</v>
      </c>
      <c r="R2243">
        <v>6.3024258515487004</v>
      </c>
      <c r="S2243">
        <v>68</v>
      </c>
      <c r="T2243">
        <v>62</v>
      </c>
      <c r="U2243">
        <v>965.54391616109206</v>
      </c>
      <c r="V2243">
        <v>4.1899441340782096E-3</v>
      </c>
      <c r="W2243">
        <v>2340475.7584563098</v>
      </c>
      <c r="X2243" t="s">
        <v>28</v>
      </c>
      <c r="Y2243">
        <f>1-840-477-7095</f>
        <v>-8411</v>
      </c>
    </row>
    <row r="2244" spans="1:25" x14ac:dyDescent="0.35">
      <c r="A2244">
        <v>34.312266639242601</v>
      </c>
      <c r="B2244">
        <v>-118.06728197785699</v>
      </c>
      <c r="C2244" t="s">
        <v>29</v>
      </c>
      <c r="D2244">
        <v>43.699003319301902</v>
      </c>
      <c r="E2244">
        <v>1</v>
      </c>
      <c r="F2244">
        <v>638</v>
      </c>
      <c r="G2244">
        <v>3</v>
      </c>
      <c r="H2244">
        <v>2</v>
      </c>
      <c r="I2244">
        <v>2020</v>
      </c>
      <c r="J2244">
        <v>1</v>
      </c>
      <c r="K2244">
        <v>1</v>
      </c>
      <c r="L2244">
        <v>1</v>
      </c>
      <c r="M2244">
        <v>13</v>
      </c>
      <c r="N2244" t="s">
        <v>37</v>
      </c>
      <c r="O2244" t="s">
        <v>27</v>
      </c>
      <c r="P2244">
        <v>9.1576720689887505</v>
      </c>
      <c r="Q2244">
        <v>2.2304299572468298</v>
      </c>
      <c r="R2244">
        <v>1.9895242494602201</v>
      </c>
      <c r="S2244">
        <v>121</v>
      </c>
      <c r="T2244">
        <v>26</v>
      </c>
      <c r="U2244">
        <v>836.90457244055403</v>
      </c>
      <c r="V2244">
        <v>2.0376175548589299E-2</v>
      </c>
      <c r="W2244">
        <v>936436.21236003004</v>
      </c>
      <c r="X2244" t="s">
        <v>36</v>
      </c>
      <c r="Y2244">
        <f>1-988-979-5989</f>
        <v>-7955</v>
      </c>
    </row>
    <row r="2245" spans="1:25" x14ac:dyDescent="0.35">
      <c r="A2245">
        <v>34.041797634626199</v>
      </c>
      <c r="B2245">
        <v>-118.704756745274</v>
      </c>
      <c r="C2245" t="s">
        <v>34</v>
      </c>
      <c r="D2245">
        <v>35.437851807578298</v>
      </c>
      <c r="E2245">
        <v>6</v>
      </c>
      <c r="F2245">
        <v>4513</v>
      </c>
      <c r="G2245">
        <v>1</v>
      </c>
      <c r="H2245">
        <v>2</v>
      </c>
      <c r="I2245">
        <v>2002</v>
      </c>
      <c r="J2245">
        <v>1</v>
      </c>
      <c r="K2245">
        <v>0</v>
      </c>
      <c r="L2245">
        <v>0</v>
      </c>
      <c r="M2245">
        <v>13</v>
      </c>
      <c r="N2245" t="s">
        <v>26</v>
      </c>
      <c r="O2245" t="s">
        <v>30</v>
      </c>
      <c r="P2245">
        <v>12.2059053329215</v>
      </c>
      <c r="Q2245">
        <v>0.69592917644930197</v>
      </c>
      <c r="R2245">
        <v>7.8461550867071503</v>
      </c>
      <c r="S2245">
        <v>60</v>
      </c>
      <c r="T2245">
        <v>32</v>
      </c>
      <c r="U2245">
        <v>884.96332794545401</v>
      </c>
      <c r="V2245">
        <v>2.88056725016618E-3</v>
      </c>
      <c r="W2245">
        <v>4139469.9829307599</v>
      </c>
      <c r="X2245" t="s">
        <v>38</v>
      </c>
      <c r="Y2245">
        <f>1-247-962-6145</f>
        <v>-7353</v>
      </c>
    </row>
    <row r="2246" spans="1:25" x14ac:dyDescent="0.35">
      <c r="A2246">
        <v>41.704792726741303</v>
      </c>
      <c r="B2246">
        <v>-117.10986887673501</v>
      </c>
      <c r="C2246" t="s">
        <v>29</v>
      </c>
      <c r="D2246">
        <v>40.916924046894799</v>
      </c>
      <c r="E2246">
        <v>5</v>
      </c>
      <c r="F2246">
        <v>4367</v>
      </c>
      <c r="G2246">
        <v>3</v>
      </c>
      <c r="H2246">
        <v>1</v>
      </c>
      <c r="I2246">
        <v>2000</v>
      </c>
      <c r="J2246">
        <v>0</v>
      </c>
      <c r="K2246">
        <v>1</v>
      </c>
      <c r="L2246">
        <v>0</v>
      </c>
      <c r="M2246">
        <v>12</v>
      </c>
      <c r="N2246" t="s">
        <v>35</v>
      </c>
      <c r="O2246" t="s">
        <v>30</v>
      </c>
      <c r="P2246">
        <v>12.4452250032127</v>
      </c>
      <c r="Q2246">
        <v>1.93719207196828</v>
      </c>
      <c r="R2246">
        <v>2.4597297434980701</v>
      </c>
      <c r="S2246">
        <v>150</v>
      </c>
      <c r="T2246">
        <v>74</v>
      </c>
      <c r="U2246">
        <v>483.23005963773102</v>
      </c>
      <c r="V2246">
        <v>2.7478818410808302E-3</v>
      </c>
      <c r="W2246">
        <v>2427873.5647716001</v>
      </c>
      <c r="X2246" t="s">
        <v>33</v>
      </c>
      <c r="Y2246">
        <f>1-550-233-3829</f>
        <v>-4611</v>
      </c>
    </row>
    <row r="2247" spans="1:25" x14ac:dyDescent="0.35">
      <c r="A2247">
        <v>36.195274698062498</v>
      </c>
      <c r="B2247">
        <v>-114.25522214404501</v>
      </c>
      <c r="C2247" t="s">
        <v>34</v>
      </c>
      <c r="D2247">
        <v>39.188449268700801</v>
      </c>
      <c r="E2247">
        <v>4</v>
      </c>
      <c r="F2247">
        <v>3060</v>
      </c>
      <c r="G2247">
        <v>1</v>
      </c>
      <c r="H2247">
        <v>1</v>
      </c>
      <c r="I2247">
        <v>1994</v>
      </c>
      <c r="J2247">
        <v>1</v>
      </c>
      <c r="K2247">
        <v>1</v>
      </c>
      <c r="L2247">
        <v>0</v>
      </c>
      <c r="M2247">
        <v>2</v>
      </c>
      <c r="N2247" t="s">
        <v>35</v>
      </c>
      <c r="O2247" t="s">
        <v>32</v>
      </c>
      <c r="P2247">
        <v>9.4308686022023007</v>
      </c>
      <c r="Q2247">
        <v>2.2865222165217598</v>
      </c>
      <c r="R2247">
        <v>4.6128663925450999</v>
      </c>
      <c r="S2247">
        <v>142</v>
      </c>
      <c r="T2247">
        <v>53</v>
      </c>
      <c r="U2247">
        <v>572.79557309553195</v>
      </c>
      <c r="V2247">
        <v>6.5359477124183002E-4</v>
      </c>
      <c r="W2247">
        <v>2001548.46289131</v>
      </c>
      <c r="X2247" t="s">
        <v>38</v>
      </c>
      <c r="Y2247">
        <f>1-783-719-4686</f>
        <v>-6187</v>
      </c>
    </row>
    <row r="2248" spans="1:25" x14ac:dyDescent="0.35">
      <c r="A2248">
        <v>34.501870136068597</v>
      </c>
      <c r="B2248">
        <v>-118.222583524716</v>
      </c>
      <c r="C2248" t="s">
        <v>29</v>
      </c>
      <c r="D2248">
        <v>2.7717874580175801</v>
      </c>
      <c r="E2248">
        <v>3</v>
      </c>
      <c r="F2248">
        <v>4623</v>
      </c>
      <c r="G2248">
        <v>3</v>
      </c>
      <c r="H2248">
        <v>2</v>
      </c>
      <c r="I2248">
        <v>1980</v>
      </c>
      <c r="J2248">
        <v>1</v>
      </c>
      <c r="K2248">
        <v>0</v>
      </c>
      <c r="L2248">
        <v>1</v>
      </c>
      <c r="M2248">
        <v>6</v>
      </c>
      <c r="N2248" t="s">
        <v>35</v>
      </c>
      <c r="O2248" t="s">
        <v>32</v>
      </c>
      <c r="P2248">
        <v>13.0226810179211</v>
      </c>
      <c r="Q2248">
        <v>2.3511448313852901</v>
      </c>
      <c r="R2248">
        <v>7.7714246278740298</v>
      </c>
      <c r="S2248">
        <v>162</v>
      </c>
      <c r="T2248">
        <v>41</v>
      </c>
      <c r="U2248">
        <v>247.11295689421701</v>
      </c>
      <c r="V2248">
        <v>1.29785853341985E-3</v>
      </c>
      <c r="W2248">
        <v>1537783.43102314</v>
      </c>
      <c r="X2248" t="s">
        <v>36</v>
      </c>
      <c r="Y2248">
        <f>1-845-391-9779</f>
        <v>-11014</v>
      </c>
    </row>
    <row r="2249" spans="1:25" x14ac:dyDescent="0.35">
      <c r="A2249">
        <v>38.343346381955499</v>
      </c>
      <c r="B2249">
        <v>-118.986578090777</v>
      </c>
      <c r="C2249" t="s">
        <v>34</v>
      </c>
      <c r="D2249">
        <v>43.792600598279698</v>
      </c>
      <c r="E2249">
        <v>1</v>
      </c>
      <c r="F2249">
        <v>4135</v>
      </c>
      <c r="G2249">
        <v>3</v>
      </c>
      <c r="H2249">
        <v>3</v>
      </c>
      <c r="I2249">
        <v>2000</v>
      </c>
      <c r="J2249">
        <v>0</v>
      </c>
      <c r="K2249">
        <v>0</v>
      </c>
      <c r="L2249">
        <v>1</v>
      </c>
      <c r="M2249">
        <v>14</v>
      </c>
      <c r="N2249" t="s">
        <v>37</v>
      </c>
      <c r="O2249" t="s">
        <v>30</v>
      </c>
      <c r="P2249">
        <v>10.2424790232728</v>
      </c>
      <c r="Q2249">
        <v>2.0212326146639601</v>
      </c>
      <c r="R2249">
        <v>0.40229582895514998</v>
      </c>
      <c r="S2249">
        <v>1</v>
      </c>
      <c r="T2249">
        <v>51</v>
      </c>
      <c r="U2249">
        <v>411.41017078892497</v>
      </c>
      <c r="V2249">
        <v>3.3857315598548902E-3</v>
      </c>
      <c r="W2249">
        <v>1975898.9482980999</v>
      </c>
      <c r="X2249" t="s">
        <v>31</v>
      </c>
      <c r="Y2249">
        <f>1-766-297-9796</f>
        <v>-10858</v>
      </c>
    </row>
    <row r="2250" spans="1:25" x14ac:dyDescent="0.35">
      <c r="A2250">
        <v>38.536483386903797</v>
      </c>
      <c r="B2250">
        <v>-123.421070561409</v>
      </c>
      <c r="C2250" t="s">
        <v>25</v>
      </c>
      <c r="D2250">
        <v>38.092819789879101</v>
      </c>
      <c r="E2250">
        <v>2</v>
      </c>
      <c r="F2250">
        <v>3545</v>
      </c>
      <c r="G2250">
        <v>1</v>
      </c>
      <c r="H2250">
        <v>1</v>
      </c>
      <c r="I2250">
        <v>1966</v>
      </c>
      <c r="J2250">
        <v>0</v>
      </c>
      <c r="K2250">
        <v>1</v>
      </c>
      <c r="L2250">
        <v>0</v>
      </c>
      <c r="M2250">
        <v>9</v>
      </c>
      <c r="N2250" t="s">
        <v>35</v>
      </c>
      <c r="O2250" t="s">
        <v>32</v>
      </c>
      <c r="P2250">
        <v>9.7960364894133498</v>
      </c>
      <c r="Q2250">
        <v>2.42641432474033</v>
      </c>
      <c r="R2250">
        <v>8.6593923689380592</v>
      </c>
      <c r="S2250">
        <v>138</v>
      </c>
      <c r="T2250">
        <v>31</v>
      </c>
      <c r="U2250">
        <v>457.486601871424</v>
      </c>
      <c r="V2250">
        <v>2.5387870239774301E-3</v>
      </c>
      <c r="W2250">
        <v>1660443.5890365001</v>
      </c>
      <c r="X2250" t="s">
        <v>42</v>
      </c>
      <c r="Y2250">
        <f>1-845-579-9061</f>
        <v>-10484</v>
      </c>
    </row>
    <row r="2251" spans="1:25" x14ac:dyDescent="0.35">
      <c r="A2251">
        <v>40.086784147281001</v>
      </c>
      <c r="B2251">
        <v>-124.453762072164</v>
      </c>
      <c r="C2251" t="s">
        <v>29</v>
      </c>
      <c r="D2251">
        <v>37.991769807210403</v>
      </c>
      <c r="E2251">
        <v>1</v>
      </c>
      <c r="F2251">
        <v>2897</v>
      </c>
      <c r="G2251">
        <v>5</v>
      </c>
      <c r="H2251">
        <v>1</v>
      </c>
      <c r="I2251">
        <v>1991</v>
      </c>
      <c r="J2251">
        <v>1</v>
      </c>
      <c r="K2251">
        <v>1</v>
      </c>
      <c r="L2251">
        <v>0</v>
      </c>
      <c r="M2251">
        <v>6</v>
      </c>
      <c r="N2251" t="s">
        <v>35</v>
      </c>
      <c r="O2251" t="s">
        <v>27</v>
      </c>
      <c r="P2251">
        <v>2.8622732654573899</v>
      </c>
      <c r="Q2251">
        <v>2.0853546695502101</v>
      </c>
      <c r="R2251">
        <v>6.31788545838182</v>
      </c>
      <c r="S2251">
        <v>9</v>
      </c>
      <c r="T2251">
        <v>60</v>
      </c>
      <c r="U2251">
        <v>818.62876515328799</v>
      </c>
      <c r="V2251">
        <v>2.07110804280289E-3</v>
      </c>
      <c r="W2251">
        <v>2802869.5534683401</v>
      </c>
      <c r="X2251" t="s">
        <v>38</v>
      </c>
      <c r="Y2251">
        <f>1-487-457-8583</f>
        <v>-9526</v>
      </c>
    </row>
    <row r="2252" spans="1:25" x14ac:dyDescent="0.35">
      <c r="A2252">
        <v>39.864934298568997</v>
      </c>
      <c r="B2252">
        <v>-115.67677954629799</v>
      </c>
      <c r="C2252" t="s">
        <v>34</v>
      </c>
      <c r="D2252">
        <v>7.0017876149046101</v>
      </c>
      <c r="E2252">
        <v>0</v>
      </c>
      <c r="F2252">
        <v>1443</v>
      </c>
      <c r="G2252">
        <v>4</v>
      </c>
      <c r="H2252">
        <v>3</v>
      </c>
      <c r="I2252">
        <v>2011</v>
      </c>
      <c r="J2252">
        <v>1</v>
      </c>
      <c r="K2252">
        <v>0</v>
      </c>
      <c r="L2252">
        <v>1</v>
      </c>
      <c r="M2252">
        <v>6</v>
      </c>
      <c r="N2252" t="s">
        <v>41</v>
      </c>
      <c r="O2252" t="s">
        <v>27</v>
      </c>
      <c r="P2252">
        <v>6.6804420901722397</v>
      </c>
      <c r="Q2252">
        <v>2.12004051605197</v>
      </c>
      <c r="R2252">
        <v>1.5765920969031499</v>
      </c>
      <c r="S2252">
        <v>16</v>
      </c>
      <c r="T2252">
        <v>75</v>
      </c>
      <c r="U2252">
        <v>355.63007749650899</v>
      </c>
      <c r="V2252">
        <v>4.1580041580041504E-3</v>
      </c>
      <c r="W2252">
        <v>888224.37007468904</v>
      </c>
      <c r="X2252" t="s">
        <v>38</v>
      </c>
      <c r="Y2252">
        <f>1-241-123-8078</f>
        <v>-8441</v>
      </c>
    </row>
    <row r="2253" spans="1:25" x14ac:dyDescent="0.35">
      <c r="A2253">
        <v>40.985637192772799</v>
      </c>
      <c r="B2253">
        <v>-114.713569855363</v>
      </c>
      <c r="C2253" t="s">
        <v>25</v>
      </c>
      <c r="D2253">
        <v>27.428323495587399</v>
      </c>
      <c r="E2253">
        <v>6</v>
      </c>
      <c r="F2253">
        <v>3086</v>
      </c>
      <c r="G2253">
        <v>2</v>
      </c>
      <c r="H2253">
        <v>1</v>
      </c>
      <c r="I2253">
        <v>1982</v>
      </c>
      <c r="J2253">
        <v>1</v>
      </c>
      <c r="K2253">
        <v>0</v>
      </c>
      <c r="L2253">
        <v>1</v>
      </c>
      <c r="M2253">
        <v>9</v>
      </c>
      <c r="N2253" t="s">
        <v>35</v>
      </c>
      <c r="O2253" t="s">
        <v>27</v>
      </c>
      <c r="P2253">
        <v>5.6409049894792496</v>
      </c>
      <c r="Q2253">
        <v>1.4648974955274201</v>
      </c>
      <c r="R2253">
        <v>6.8837668598507697</v>
      </c>
      <c r="S2253">
        <v>72</v>
      </c>
      <c r="T2253">
        <v>57</v>
      </c>
      <c r="U2253">
        <v>314.139887236807</v>
      </c>
      <c r="V2253">
        <v>2.9163966299416699E-3</v>
      </c>
      <c r="W2253">
        <v>1105892.09634042</v>
      </c>
      <c r="X2253" t="s">
        <v>43</v>
      </c>
      <c r="Y2253">
        <f>1-635-817-4747</f>
        <v>-6198</v>
      </c>
    </row>
    <row r="2254" spans="1:25" x14ac:dyDescent="0.35">
      <c r="A2254">
        <v>41.043511090925698</v>
      </c>
      <c r="B2254">
        <v>-124.236385219276</v>
      </c>
      <c r="C2254" t="s">
        <v>34</v>
      </c>
      <c r="D2254">
        <v>30.334430567133399</v>
      </c>
      <c r="E2254">
        <v>7</v>
      </c>
      <c r="F2254">
        <v>1828</v>
      </c>
      <c r="G2254">
        <v>2</v>
      </c>
      <c r="H2254">
        <v>3</v>
      </c>
      <c r="I2254">
        <v>2018</v>
      </c>
      <c r="J2254">
        <v>0</v>
      </c>
      <c r="K2254">
        <v>1</v>
      </c>
      <c r="L2254">
        <v>0</v>
      </c>
      <c r="M2254">
        <v>5</v>
      </c>
      <c r="N2254" t="s">
        <v>41</v>
      </c>
      <c r="O2254" t="s">
        <v>27</v>
      </c>
      <c r="P2254">
        <v>8.2203094814394397</v>
      </c>
      <c r="Q2254">
        <v>2.3152435215872198</v>
      </c>
      <c r="R2254">
        <v>0.61379589382864197</v>
      </c>
      <c r="S2254">
        <v>107</v>
      </c>
      <c r="T2254">
        <v>32</v>
      </c>
      <c r="U2254">
        <v>468.90138243449798</v>
      </c>
      <c r="V2254">
        <v>2.7352297592997802E-3</v>
      </c>
      <c r="W2254">
        <v>1205572.4738093</v>
      </c>
      <c r="X2254" t="s">
        <v>28</v>
      </c>
      <c r="Y2254">
        <f>1-905-881-8186</f>
        <v>-9971</v>
      </c>
    </row>
    <row r="2255" spans="1:25" x14ac:dyDescent="0.35">
      <c r="A2255">
        <v>35.762287820788899</v>
      </c>
      <c r="B2255">
        <v>-117.716153816293</v>
      </c>
      <c r="C2255" t="s">
        <v>25</v>
      </c>
      <c r="D2255">
        <v>12.6393392698977</v>
      </c>
      <c r="E2255">
        <v>8</v>
      </c>
      <c r="F2255">
        <v>3177</v>
      </c>
      <c r="G2255">
        <v>2</v>
      </c>
      <c r="H2255">
        <v>3</v>
      </c>
      <c r="I2255">
        <v>2009</v>
      </c>
      <c r="J2255">
        <v>1</v>
      </c>
      <c r="K2255">
        <v>1</v>
      </c>
      <c r="L2255">
        <v>0</v>
      </c>
      <c r="M2255">
        <v>11</v>
      </c>
      <c r="N2255" t="s">
        <v>41</v>
      </c>
      <c r="O2255" t="s">
        <v>30</v>
      </c>
      <c r="P2255">
        <v>3.5908598768990898</v>
      </c>
      <c r="Q2255">
        <v>0.62218234168773701</v>
      </c>
      <c r="R2255">
        <v>1.6740189516992701</v>
      </c>
      <c r="S2255">
        <v>54</v>
      </c>
      <c r="T2255">
        <v>51</v>
      </c>
      <c r="U2255">
        <v>256.74252312418599</v>
      </c>
      <c r="V2255">
        <v>3.4623858986465202E-3</v>
      </c>
      <c r="W2255">
        <v>1066707.4189516201</v>
      </c>
      <c r="X2255" t="s">
        <v>43</v>
      </c>
      <c r="Y2255">
        <f>1-911-510-3645</f>
        <v>-5065</v>
      </c>
    </row>
    <row r="2256" spans="1:25" x14ac:dyDescent="0.35">
      <c r="A2256">
        <v>40.528045058477097</v>
      </c>
      <c r="B2256">
        <v>-115.98544964116201</v>
      </c>
      <c r="C2256" t="s">
        <v>29</v>
      </c>
      <c r="D2256">
        <v>24.578348710829498</v>
      </c>
      <c r="E2256">
        <v>7</v>
      </c>
      <c r="F2256">
        <v>3753</v>
      </c>
      <c r="G2256">
        <v>1</v>
      </c>
      <c r="H2256">
        <v>2</v>
      </c>
      <c r="I2256">
        <v>1985</v>
      </c>
      <c r="J2256">
        <v>1</v>
      </c>
      <c r="K2256">
        <v>1</v>
      </c>
      <c r="L2256">
        <v>0</v>
      </c>
      <c r="M2256">
        <v>4</v>
      </c>
      <c r="N2256" t="s">
        <v>37</v>
      </c>
      <c r="O2256" t="s">
        <v>30</v>
      </c>
      <c r="P2256">
        <v>10.2693807083004</v>
      </c>
      <c r="Q2256">
        <v>1.7943032608476599</v>
      </c>
      <c r="R2256">
        <v>0.52824549097777196</v>
      </c>
      <c r="S2256">
        <v>125</v>
      </c>
      <c r="T2256">
        <v>71</v>
      </c>
      <c r="U2256">
        <v>529.26105856376705</v>
      </c>
      <c r="V2256">
        <v>1.0658140154542999E-3</v>
      </c>
      <c r="W2256">
        <v>2298266.4894883102</v>
      </c>
      <c r="X2256" t="s">
        <v>38</v>
      </c>
      <c r="Y2256">
        <f>1-382-156-2162</f>
        <v>-2699</v>
      </c>
    </row>
    <row r="2257" spans="1:25" x14ac:dyDescent="0.35">
      <c r="A2257">
        <v>40.209012840140602</v>
      </c>
      <c r="B2257">
        <v>-115.94916134290401</v>
      </c>
      <c r="C2257" t="s">
        <v>29</v>
      </c>
      <c r="D2257">
        <v>21.1295935229825</v>
      </c>
      <c r="E2257">
        <v>7</v>
      </c>
      <c r="F2257">
        <v>2307</v>
      </c>
      <c r="G2257">
        <v>5</v>
      </c>
      <c r="H2257">
        <v>3</v>
      </c>
      <c r="I2257">
        <v>1957</v>
      </c>
      <c r="J2257">
        <v>1</v>
      </c>
      <c r="K2257">
        <v>1</v>
      </c>
      <c r="L2257">
        <v>0</v>
      </c>
      <c r="M2257">
        <v>13</v>
      </c>
      <c r="N2257" t="s">
        <v>41</v>
      </c>
      <c r="O2257" t="s">
        <v>32</v>
      </c>
      <c r="P2257">
        <v>3.9540608589947701</v>
      </c>
      <c r="Q2257">
        <v>1.6963192080407901</v>
      </c>
      <c r="R2257">
        <v>7.1061189734810002</v>
      </c>
      <c r="S2257">
        <v>28</v>
      </c>
      <c r="T2257">
        <v>70</v>
      </c>
      <c r="U2257">
        <v>436.17926018772198</v>
      </c>
      <c r="V2257">
        <v>5.6350238404854697E-3</v>
      </c>
      <c r="W2257">
        <v>1439089.98468077</v>
      </c>
      <c r="X2257" t="s">
        <v>36</v>
      </c>
      <c r="Y2257">
        <f>1-658-288-7706</f>
        <v>-8651</v>
      </c>
    </row>
    <row r="2258" spans="1:25" x14ac:dyDescent="0.35">
      <c r="A2258">
        <v>39.581496744369701</v>
      </c>
      <c r="B2258">
        <v>-114.86055728714101</v>
      </c>
      <c r="C2258" t="s">
        <v>29</v>
      </c>
      <c r="D2258">
        <v>31.453685870593699</v>
      </c>
      <c r="E2258">
        <v>5</v>
      </c>
      <c r="F2258">
        <v>1623</v>
      </c>
      <c r="G2258">
        <v>2</v>
      </c>
      <c r="H2258">
        <v>1</v>
      </c>
      <c r="I2258">
        <v>1991</v>
      </c>
      <c r="J2258">
        <v>1</v>
      </c>
      <c r="K2258">
        <v>1</v>
      </c>
      <c r="L2258">
        <v>1</v>
      </c>
      <c r="M2258">
        <v>6</v>
      </c>
      <c r="N2258" t="s">
        <v>41</v>
      </c>
      <c r="O2258" t="s">
        <v>32</v>
      </c>
      <c r="P2258">
        <v>7.8853420337593798</v>
      </c>
      <c r="Q2258">
        <v>0.52621987590080599</v>
      </c>
      <c r="R2258">
        <v>3.8569499271427601</v>
      </c>
      <c r="S2258">
        <v>1</v>
      </c>
      <c r="T2258">
        <v>78</v>
      </c>
      <c r="U2258">
        <v>698.50429755907896</v>
      </c>
      <c r="V2258">
        <v>3.6968576709796599E-3</v>
      </c>
      <c r="W2258">
        <v>1423451.8883424399</v>
      </c>
      <c r="X2258" t="s">
        <v>39</v>
      </c>
      <c r="Y2258">
        <f>1-883-488-2647</f>
        <v>-4017</v>
      </c>
    </row>
    <row r="2259" spans="1:25" x14ac:dyDescent="0.35">
      <c r="A2259">
        <v>38.507352316358599</v>
      </c>
      <c r="B2259">
        <v>-116.77526176597701</v>
      </c>
      <c r="C2259" t="s">
        <v>29</v>
      </c>
      <c r="D2259">
        <v>13.882701117066301</v>
      </c>
      <c r="E2259">
        <v>4</v>
      </c>
      <c r="F2259">
        <v>3085</v>
      </c>
      <c r="G2259">
        <v>1</v>
      </c>
      <c r="H2259">
        <v>1</v>
      </c>
      <c r="I2259">
        <v>1981</v>
      </c>
      <c r="J2259">
        <v>1</v>
      </c>
      <c r="K2259">
        <v>0</v>
      </c>
      <c r="L2259">
        <v>0</v>
      </c>
      <c r="M2259">
        <v>6</v>
      </c>
      <c r="N2259" t="s">
        <v>26</v>
      </c>
      <c r="O2259" t="s">
        <v>27</v>
      </c>
      <c r="P2259">
        <v>3.8119635000862302</v>
      </c>
      <c r="Q2259">
        <v>1.2016038737533199</v>
      </c>
      <c r="R2259">
        <v>9.8897211091263806</v>
      </c>
      <c r="S2259">
        <v>152</v>
      </c>
      <c r="T2259">
        <v>67</v>
      </c>
      <c r="U2259">
        <v>888.37866971572305</v>
      </c>
      <c r="V2259">
        <v>1.9448946515397E-3</v>
      </c>
      <c r="W2259">
        <v>2784751.01387785</v>
      </c>
      <c r="X2259" t="s">
        <v>43</v>
      </c>
      <c r="Y2259">
        <f>1-235-807-6605</f>
        <v>-7646</v>
      </c>
    </row>
    <row r="2260" spans="1:25" x14ac:dyDescent="0.35">
      <c r="A2260">
        <v>32.673805898963103</v>
      </c>
      <c r="B2260">
        <v>-123.580406992362</v>
      </c>
      <c r="C2260" t="s">
        <v>25</v>
      </c>
      <c r="D2260">
        <v>6.19343035840574</v>
      </c>
      <c r="E2260">
        <v>3</v>
      </c>
      <c r="F2260">
        <v>1323</v>
      </c>
      <c r="G2260">
        <v>5</v>
      </c>
      <c r="H2260">
        <v>1</v>
      </c>
      <c r="I2260">
        <v>1976</v>
      </c>
      <c r="J2260">
        <v>0</v>
      </c>
      <c r="K2260">
        <v>0</v>
      </c>
      <c r="L2260">
        <v>1</v>
      </c>
      <c r="M2260">
        <v>13</v>
      </c>
      <c r="N2260" t="s">
        <v>26</v>
      </c>
      <c r="O2260" t="s">
        <v>30</v>
      </c>
      <c r="P2260">
        <v>2.6013599517598198</v>
      </c>
      <c r="Q2260">
        <v>1.55156356915289</v>
      </c>
      <c r="R2260">
        <v>9.2379632622918795</v>
      </c>
      <c r="S2260">
        <v>123</v>
      </c>
      <c r="T2260">
        <v>25</v>
      </c>
      <c r="U2260">
        <v>298.95342666167198</v>
      </c>
      <c r="V2260">
        <v>9.8261526832955394E-3</v>
      </c>
      <c r="W2260">
        <v>555305.50370165298</v>
      </c>
      <c r="X2260" t="s">
        <v>44</v>
      </c>
      <c r="Y2260">
        <f>1-261-565-6986</f>
        <v>-7811</v>
      </c>
    </row>
    <row r="2261" spans="1:25" x14ac:dyDescent="0.35">
      <c r="A2261">
        <v>33.224884518353797</v>
      </c>
      <c r="B2261">
        <v>-116.51184057517</v>
      </c>
      <c r="C2261" t="s">
        <v>25</v>
      </c>
      <c r="D2261">
        <v>45.096500483948702</v>
      </c>
      <c r="E2261">
        <v>9</v>
      </c>
      <c r="F2261">
        <v>3319</v>
      </c>
      <c r="G2261">
        <v>5</v>
      </c>
      <c r="H2261">
        <v>2</v>
      </c>
      <c r="I2261">
        <v>2017</v>
      </c>
      <c r="J2261">
        <v>1</v>
      </c>
      <c r="K2261">
        <v>1</v>
      </c>
      <c r="L2261">
        <v>0</v>
      </c>
      <c r="M2261">
        <v>13</v>
      </c>
      <c r="N2261" t="s">
        <v>26</v>
      </c>
      <c r="O2261" t="s">
        <v>32</v>
      </c>
      <c r="P2261">
        <v>10.497622496894699</v>
      </c>
      <c r="Q2261">
        <v>1.4374114571710801</v>
      </c>
      <c r="R2261">
        <v>3.3410320474297599</v>
      </c>
      <c r="S2261">
        <v>51</v>
      </c>
      <c r="T2261">
        <v>33</v>
      </c>
      <c r="U2261">
        <v>699.92034202947002</v>
      </c>
      <c r="V2261">
        <v>3.9168424224163903E-3</v>
      </c>
      <c r="W2261">
        <v>2883801.6230814098</v>
      </c>
      <c r="X2261" t="s">
        <v>40</v>
      </c>
      <c r="Y2261">
        <f>1-409-230-2827</f>
        <v>-3465</v>
      </c>
    </row>
    <row r="2262" spans="1:25" x14ac:dyDescent="0.35">
      <c r="A2262">
        <v>41.758815516066001</v>
      </c>
      <c r="B2262">
        <v>-124.209150445774</v>
      </c>
      <c r="C2262" t="s">
        <v>29</v>
      </c>
      <c r="D2262">
        <v>44.100699192304504</v>
      </c>
      <c r="E2262">
        <v>4</v>
      </c>
      <c r="F2262">
        <v>4609</v>
      </c>
      <c r="G2262">
        <v>1</v>
      </c>
      <c r="H2262">
        <v>2</v>
      </c>
      <c r="I2262">
        <v>1950</v>
      </c>
      <c r="J2262">
        <v>1</v>
      </c>
      <c r="K2262">
        <v>1</v>
      </c>
      <c r="L2262">
        <v>1</v>
      </c>
      <c r="M2262">
        <v>14</v>
      </c>
      <c r="N2262" t="s">
        <v>35</v>
      </c>
      <c r="O2262" t="s">
        <v>32</v>
      </c>
      <c r="P2262">
        <v>2.9767459662028899</v>
      </c>
      <c r="Q2262">
        <v>0.80631932816265794</v>
      </c>
      <c r="R2262">
        <v>4.0634279273023397</v>
      </c>
      <c r="S2262">
        <v>117</v>
      </c>
      <c r="T2262">
        <v>60</v>
      </c>
      <c r="U2262">
        <v>751.90891679025594</v>
      </c>
      <c r="V2262">
        <v>3.0375352571056602E-3</v>
      </c>
      <c r="W2262">
        <v>3563233.8022198202</v>
      </c>
      <c r="X2262" t="s">
        <v>28</v>
      </c>
      <c r="Y2262">
        <f>1-432-176-2392</f>
        <v>-2999</v>
      </c>
    </row>
    <row r="2263" spans="1:25" x14ac:dyDescent="0.35">
      <c r="A2263">
        <v>34.328364316940302</v>
      </c>
      <c r="B2263">
        <v>-117.72139542853201</v>
      </c>
      <c r="C2263" t="s">
        <v>34</v>
      </c>
      <c r="D2263">
        <v>9.9606015748525891</v>
      </c>
      <c r="E2263">
        <v>6</v>
      </c>
      <c r="F2263">
        <v>3746</v>
      </c>
      <c r="G2263">
        <v>2</v>
      </c>
      <c r="H2263">
        <v>2</v>
      </c>
      <c r="I2263">
        <v>2014</v>
      </c>
      <c r="J2263">
        <v>1</v>
      </c>
      <c r="K2263">
        <v>1</v>
      </c>
      <c r="L2263">
        <v>0</v>
      </c>
      <c r="M2263">
        <v>14</v>
      </c>
      <c r="N2263" t="s">
        <v>26</v>
      </c>
      <c r="O2263" t="s">
        <v>30</v>
      </c>
      <c r="P2263">
        <v>11.4320384578032</v>
      </c>
      <c r="Q2263">
        <v>2.4015864520024599</v>
      </c>
      <c r="R2263">
        <v>7.4370253680954299</v>
      </c>
      <c r="S2263">
        <v>88</v>
      </c>
      <c r="T2263">
        <v>38</v>
      </c>
      <c r="U2263">
        <v>511.09576175223202</v>
      </c>
      <c r="V2263">
        <v>3.73731980779498E-3</v>
      </c>
      <c r="W2263">
        <v>2304405.24844178</v>
      </c>
      <c r="X2263" t="s">
        <v>42</v>
      </c>
      <c r="Y2263">
        <f>1-826-618-3107</f>
        <v>-4550</v>
      </c>
    </row>
    <row r="2264" spans="1:25" x14ac:dyDescent="0.35">
      <c r="A2264">
        <v>33.773759455169603</v>
      </c>
      <c r="B2264">
        <v>-114.90802178605701</v>
      </c>
      <c r="C2264" t="s">
        <v>25</v>
      </c>
      <c r="D2264">
        <v>13.747883330380001</v>
      </c>
      <c r="E2264">
        <v>8</v>
      </c>
      <c r="F2264">
        <v>3538</v>
      </c>
      <c r="G2264">
        <v>2</v>
      </c>
      <c r="H2264">
        <v>2</v>
      </c>
      <c r="I2264">
        <v>2007</v>
      </c>
      <c r="J2264">
        <v>1</v>
      </c>
      <c r="K2264">
        <v>0</v>
      </c>
      <c r="L2264">
        <v>1</v>
      </c>
      <c r="M2264">
        <v>7</v>
      </c>
      <c r="N2264" t="s">
        <v>35</v>
      </c>
      <c r="O2264" t="s">
        <v>27</v>
      </c>
      <c r="P2264">
        <v>4.9293055940189303</v>
      </c>
      <c r="Q2264">
        <v>0.75733827470565296</v>
      </c>
      <c r="R2264">
        <v>1.7685270408749101</v>
      </c>
      <c r="S2264">
        <v>195</v>
      </c>
      <c r="T2264">
        <v>22</v>
      </c>
      <c r="U2264">
        <v>810.89330410250102</v>
      </c>
      <c r="V2264">
        <v>1.9785189372526798E-3</v>
      </c>
      <c r="W2264">
        <v>3024899.6903205202</v>
      </c>
      <c r="X2264" t="s">
        <v>38</v>
      </c>
      <c r="Y2264">
        <f>1-204-147-8918</f>
        <v>-9268</v>
      </c>
    </row>
    <row r="2265" spans="1:25" x14ac:dyDescent="0.35">
      <c r="A2265">
        <v>40.898272094127599</v>
      </c>
      <c r="B2265">
        <v>-119.28784100930299</v>
      </c>
      <c r="C2265" t="s">
        <v>34</v>
      </c>
      <c r="D2265">
        <v>45.099397274094102</v>
      </c>
      <c r="E2265">
        <v>7</v>
      </c>
      <c r="F2265">
        <v>3294</v>
      </c>
      <c r="G2265">
        <v>5</v>
      </c>
      <c r="H2265">
        <v>3</v>
      </c>
      <c r="I2265">
        <v>2020</v>
      </c>
      <c r="J2265">
        <v>0</v>
      </c>
      <c r="K2265">
        <v>0</v>
      </c>
      <c r="L2265">
        <v>1</v>
      </c>
      <c r="M2265">
        <v>9</v>
      </c>
      <c r="N2265" t="s">
        <v>41</v>
      </c>
      <c r="O2265" t="s">
        <v>27</v>
      </c>
      <c r="P2265">
        <v>8.9203015423261203</v>
      </c>
      <c r="Q2265">
        <v>1.1626582109024399</v>
      </c>
      <c r="R2265">
        <v>4.3529128936339196</v>
      </c>
      <c r="S2265">
        <v>36</v>
      </c>
      <c r="T2265">
        <v>64</v>
      </c>
      <c r="U2265">
        <v>522.09203928223997</v>
      </c>
      <c r="V2265">
        <v>2.7322404371584699E-3</v>
      </c>
      <c r="W2265">
        <v>2154798.1649575899</v>
      </c>
      <c r="X2265" t="s">
        <v>43</v>
      </c>
      <c r="Y2265">
        <f>1-364-369-4409</f>
        <v>-5141</v>
      </c>
    </row>
    <row r="2266" spans="1:25" x14ac:dyDescent="0.35">
      <c r="A2266">
        <v>36.359284214137503</v>
      </c>
      <c r="B2266">
        <v>-123.509351046592</v>
      </c>
      <c r="C2266" t="s">
        <v>34</v>
      </c>
      <c r="D2266">
        <v>13.008632936816101</v>
      </c>
      <c r="E2266">
        <v>6</v>
      </c>
      <c r="F2266">
        <v>516</v>
      </c>
      <c r="G2266">
        <v>2</v>
      </c>
      <c r="H2266">
        <v>1</v>
      </c>
      <c r="I2266">
        <v>1996</v>
      </c>
      <c r="J2266">
        <v>0</v>
      </c>
      <c r="K2266">
        <v>1</v>
      </c>
      <c r="L2266">
        <v>0</v>
      </c>
      <c r="M2266">
        <v>13</v>
      </c>
      <c r="N2266" t="s">
        <v>37</v>
      </c>
      <c r="O2266" t="s">
        <v>30</v>
      </c>
      <c r="P2266">
        <v>8.6333830276660901</v>
      </c>
      <c r="Q2266">
        <v>2.1134607501387599</v>
      </c>
      <c r="R2266">
        <v>3.0791024429602598</v>
      </c>
      <c r="S2266">
        <v>55</v>
      </c>
      <c r="T2266">
        <v>29</v>
      </c>
      <c r="U2266">
        <v>352.59565204099101</v>
      </c>
      <c r="V2266">
        <v>2.5193798449612399E-2</v>
      </c>
      <c r="W2266">
        <v>455293.70882098901</v>
      </c>
      <c r="X2266" t="s">
        <v>31</v>
      </c>
      <c r="Y2266">
        <f>1-286-377-2266</f>
        <v>-2928</v>
      </c>
    </row>
    <row r="2267" spans="1:25" x14ac:dyDescent="0.35">
      <c r="A2267">
        <v>32.612965964944699</v>
      </c>
      <c r="B2267">
        <v>-118.19689893646201</v>
      </c>
      <c r="C2267" t="s">
        <v>25</v>
      </c>
      <c r="D2267">
        <v>13.3229536900726</v>
      </c>
      <c r="E2267">
        <v>4</v>
      </c>
      <c r="F2267">
        <v>1263</v>
      </c>
      <c r="G2267">
        <v>5</v>
      </c>
      <c r="H2267">
        <v>1</v>
      </c>
      <c r="I2267">
        <v>1981</v>
      </c>
      <c r="J2267">
        <v>1</v>
      </c>
      <c r="K2267">
        <v>1</v>
      </c>
      <c r="L2267">
        <v>0</v>
      </c>
      <c r="M2267">
        <v>9</v>
      </c>
      <c r="N2267" t="s">
        <v>26</v>
      </c>
      <c r="O2267" t="s">
        <v>32</v>
      </c>
      <c r="P2267">
        <v>13.342021754175001</v>
      </c>
      <c r="Q2267">
        <v>1.61030093229189</v>
      </c>
      <c r="R2267">
        <v>9.1870301145865696</v>
      </c>
      <c r="S2267">
        <v>71</v>
      </c>
      <c r="T2267">
        <v>28</v>
      </c>
      <c r="U2267">
        <v>518.14331173302105</v>
      </c>
      <c r="V2267">
        <v>7.1258907363420396E-3</v>
      </c>
      <c r="W2267">
        <v>1107786.7867765599</v>
      </c>
      <c r="X2267" t="s">
        <v>40</v>
      </c>
      <c r="Y2267">
        <f>1-237-945-7808</f>
        <v>-8989</v>
      </c>
    </row>
    <row r="2268" spans="1:25" x14ac:dyDescent="0.35">
      <c r="A2268">
        <v>33.580381146722303</v>
      </c>
      <c r="B2268">
        <v>-118.193952031333</v>
      </c>
      <c r="C2268" t="s">
        <v>25</v>
      </c>
      <c r="D2268">
        <v>8.7355873244808802</v>
      </c>
      <c r="E2268">
        <v>9</v>
      </c>
      <c r="F2268">
        <v>2500</v>
      </c>
      <c r="G2268">
        <v>4</v>
      </c>
      <c r="H2268">
        <v>2</v>
      </c>
      <c r="I2268">
        <v>1961</v>
      </c>
      <c r="J2268">
        <v>0</v>
      </c>
      <c r="K2268">
        <v>1</v>
      </c>
      <c r="L2268">
        <v>1</v>
      </c>
      <c r="M2268">
        <v>10</v>
      </c>
      <c r="N2268" t="s">
        <v>26</v>
      </c>
      <c r="O2268" t="s">
        <v>32</v>
      </c>
      <c r="P2268">
        <v>8.7845613024671199</v>
      </c>
      <c r="Q2268">
        <v>0.58210806034237905</v>
      </c>
      <c r="R2268">
        <v>3.5390634554328102</v>
      </c>
      <c r="S2268">
        <v>53</v>
      </c>
      <c r="T2268">
        <v>32</v>
      </c>
      <c r="U2268">
        <v>839.29729199584801</v>
      </c>
      <c r="V2268">
        <v>4.0000000000000001E-3</v>
      </c>
      <c r="W2268">
        <v>2529522.12021292</v>
      </c>
      <c r="X2268" t="s">
        <v>33</v>
      </c>
      <c r="Y2268">
        <f>1-646-960-1382</f>
        <v>-2987</v>
      </c>
    </row>
    <row r="2269" spans="1:25" x14ac:dyDescent="0.35">
      <c r="A2269">
        <v>33.348097293025198</v>
      </c>
      <c r="B2269">
        <v>-115.97977342854399</v>
      </c>
      <c r="C2269" t="s">
        <v>34</v>
      </c>
      <c r="D2269">
        <v>14.0135506385817</v>
      </c>
      <c r="E2269">
        <v>2</v>
      </c>
      <c r="F2269">
        <v>2212</v>
      </c>
      <c r="G2269">
        <v>4</v>
      </c>
      <c r="H2269">
        <v>1</v>
      </c>
      <c r="I2269">
        <v>2018</v>
      </c>
      <c r="J2269">
        <v>0</v>
      </c>
      <c r="K2269">
        <v>0</v>
      </c>
      <c r="L2269">
        <v>0</v>
      </c>
      <c r="M2269">
        <v>11</v>
      </c>
      <c r="N2269" t="s">
        <v>41</v>
      </c>
      <c r="O2269" t="s">
        <v>30</v>
      </c>
      <c r="P2269">
        <v>2.7143292073440501</v>
      </c>
      <c r="Q2269">
        <v>0.85265557243769396</v>
      </c>
      <c r="R2269">
        <v>9.4903831732629005</v>
      </c>
      <c r="S2269">
        <v>163</v>
      </c>
      <c r="T2269">
        <v>56</v>
      </c>
      <c r="U2269">
        <v>663.83587743451005</v>
      </c>
      <c r="V2269">
        <v>4.9728752260397796E-3</v>
      </c>
      <c r="W2269">
        <v>1595887.7462156201</v>
      </c>
      <c r="X2269" t="s">
        <v>39</v>
      </c>
      <c r="Y2269">
        <f>1-731-879-9055</f>
        <v>-10664</v>
      </c>
    </row>
    <row r="2270" spans="1:25" x14ac:dyDescent="0.35">
      <c r="A2270">
        <v>36.454613047688802</v>
      </c>
      <c r="B2270">
        <v>-123.527851755027</v>
      </c>
      <c r="C2270" t="s">
        <v>34</v>
      </c>
      <c r="D2270">
        <v>6.8636357004208204</v>
      </c>
      <c r="E2270">
        <v>5</v>
      </c>
      <c r="F2270">
        <v>954</v>
      </c>
      <c r="G2270">
        <v>1</v>
      </c>
      <c r="H2270">
        <v>2</v>
      </c>
      <c r="I2270">
        <v>1969</v>
      </c>
      <c r="J2270">
        <v>1</v>
      </c>
      <c r="K2270">
        <v>0</v>
      </c>
      <c r="L2270">
        <v>1</v>
      </c>
      <c r="M2270">
        <v>7</v>
      </c>
      <c r="N2270" t="s">
        <v>35</v>
      </c>
      <c r="O2270" t="s">
        <v>27</v>
      </c>
      <c r="P2270">
        <v>10.261254170108099</v>
      </c>
      <c r="Q2270">
        <v>1.6116105220838</v>
      </c>
      <c r="R2270">
        <v>3.3594425260774199</v>
      </c>
      <c r="S2270">
        <v>141</v>
      </c>
      <c r="T2270">
        <v>29</v>
      </c>
      <c r="U2270">
        <v>901.84190069287604</v>
      </c>
      <c r="V2270">
        <v>7.3375262054507298E-3</v>
      </c>
      <c r="W2270">
        <v>989030.65108363295</v>
      </c>
      <c r="X2270" t="s">
        <v>44</v>
      </c>
      <c r="Y2270">
        <f>1-548-277-1266</f>
        <v>-2090</v>
      </c>
    </row>
    <row r="2271" spans="1:25" x14ac:dyDescent="0.35">
      <c r="A2271">
        <v>33.306892671467303</v>
      </c>
      <c r="B2271">
        <v>-116.562059248746</v>
      </c>
      <c r="C2271" t="s">
        <v>29</v>
      </c>
      <c r="D2271">
        <v>18.900799668839099</v>
      </c>
      <c r="E2271">
        <v>1</v>
      </c>
      <c r="F2271">
        <v>2234</v>
      </c>
      <c r="G2271">
        <v>5</v>
      </c>
      <c r="H2271">
        <v>1</v>
      </c>
      <c r="I2271">
        <v>1977</v>
      </c>
      <c r="J2271">
        <v>0</v>
      </c>
      <c r="K2271">
        <v>1</v>
      </c>
      <c r="L2271">
        <v>1</v>
      </c>
      <c r="M2271">
        <v>2</v>
      </c>
      <c r="N2271" t="s">
        <v>37</v>
      </c>
      <c r="O2271" t="s">
        <v>27</v>
      </c>
      <c r="P2271">
        <v>14.7235110666635</v>
      </c>
      <c r="Q2271">
        <v>2.3449714150732701</v>
      </c>
      <c r="R2271">
        <v>4.4310205549714397</v>
      </c>
      <c r="S2271">
        <v>72</v>
      </c>
      <c r="T2271">
        <v>25</v>
      </c>
      <c r="U2271">
        <v>713.841191986475</v>
      </c>
      <c r="V2271">
        <v>8.9525514771709904E-4</v>
      </c>
      <c r="W2271">
        <v>2032887.5640974201</v>
      </c>
      <c r="X2271" t="s">
        <v>33</v>
      </c>
      <c r="Y2271">
        <f>1-967-461-4315</f>
        <v>-5742</v>
      </c>
    </row>
    <row r="2272" spans="1:25" x14ac:dyDescent="0.35">
      <c r="A2272">
        <v>37.655823614169996</v>
      </c>
      <c r="B2272">
        <v>-123.414302370705</v>
      </c>
      <c r="C2272" t="s">
        <v>29</v>
      </c>
      <c r="D2272">
        <v>33.917041514275297</v>
      </c>
      <c r="E2272">
        <v>4</v>
      </c>
      <c r="F2272">
        <v>1631</v>
      </c>
      <c r="G2272">
        <v>2</v>
      </c>
      <c r="H2272">
        <v>3</v>
      </c>
      <c r="I2272">
        <v>1981</v>
      </c>
      <c r="J2272">
        <v>1</v>
      </c>
      <c r="K2272">
        <v>0</v>
      </c>
      <c r="L2272">
        <v>0</v>
      </c>
      <c r="M2272">
        <v>9</v>
      </c>
      <c r="N2272" t="s">
        <v>41</v>
      </c>
      <c r="O2272" t="s">
        <v>30</v>
      </c>
      <c r="P2272">
        <v>2.0292277253517401</v>
      </c>
      <c r="Q2272">
        <v>1.59012161357223</v>
      </c>
      <c r="R2272">
        <v>2.7550855692385898</v>
      </c>
      <c r="S2272">
        <v>177</v>
      </c>
      <c r="T2272">
        <v>60</v>
      </c>
      <c r="U2272">
        <v>773.102172384342</v>
      </c>
      <c r="V2272">
        <v>5.5180870631514403E-3</v>
      </c>
      <c r="W2272">
        <v>1535014.7059130101</v>
      </c>
      <c r="X2272" t="s">
        <v>42</v>
      </c>
      <c r="Y2272">
        <f>1-946-649-8833</f>
        <v>-10427</v>
      </c>
    </row>
    <row r="2273" spans="1:25" x14ac:dyDescent="0.35">
      <c r="A2273">
        <v>38.078773132914201</v>
      </c>
      <c r="B2273">
        <v>-116.77594080828</v>
      </c>
      <c r="C2273" t="s">
        <v>34</v>
      </c>
      <c r="D2273">
        <v>30.0677207283908</v>
      </c>
      <c r="E2273">
        <v>1</v>
      </c>
      <c r="F2273">
        <v>4508</v>
      </c>
      <c r="G2273">
        <v>3</v>
      </c>
      <c r="H2273">
        <v>1</v>
      </c>
      <c r="I2273">
        <v>1989</v>
      </c>
      <c r="J2273">
        <v>0</v>
      </c>
      <c r="K2273">
        <v>1</v>
      </c>
      <c r="L2273">
        <v>0</v>
      </c>
      <c r="M2273">
        <v>4</v>
      </c>
      <c r="N2273" t="s">
        <v>35</v>
      </c>
      <c r="O2273" t="s">
        <v>27</v>
      </c>
      <c r="P2273">
        <v>14.719263673605999</v>
      </c>
      <c r="Q2273">
        <v>2.0352373278619802</v>
      </c>
      <c r="R2273">
        <v>3.6557357402924699</v>
      </c>
      <c r="S2273">
        <v>150</v>
      </c>
      <c r="T2273">
        <v>66</v>
      </c>
      <c r="U2273">
        <v>496.70067693403303</v>
      </c>
      <c r="V2273">
        <v>8.8731144631765699E-4</v>
      </c>
      <c r="W2273">
        <v>2570903.1152021498</v>
      </c>
      <c r="X2273" t="s">
        <v>43</v>
      </c>
      <c r="Y2273">
        <f>1-371-372-9575</f>
        <v>-10317</v>
      </c>
    </row>
    <row r="2274" spans="1:25" x14ac:dyDescent="0.35">
      <c r="A2274">
        <v>35.0394053251946</v>
      </c>
      <c r="B2274">
        <v>-124.432796860854</v>
      </c>
      <c r="C2274" t="s">
        <v>25</v>
      </c>
      <c r="D2274">
        <v>4.3532158158497696</v>
      </c>
      <c r="E2274">
        <v>4</v>
      </c>
      <c r="F2274">
        <v>1950</v>
      </c>
      <c r="G2274">
        <v>4</v>
      </c>
      <c r="H2274">
        <v>3</v>
      </c>
      <c r="I2274">
        <v>2016</v>
      </c>
      <c r="J2274">
        <v>1</v>
      </c>
      <c r="K2274">
        <v>0</v>
      </c>
      <c r="L2274">
        <v>0</v>
      </c>
      <c r="M2274">
        <v>4</v>
      </c>
      <c r="N2274" t="s">
        <v>26</v>
      </c>
      <c r="O2274" t="s">
        <v>27</v>
      </c>
      <c r="P2274">
        <v>8.67383052701663</v>
      </c>
      <c r="Q2274">
        <v>2.3497445364694798</v>
      </c>
      <c r="R2274">
        <v>6.8422156766881601</v>
      </c>
      <c r="S2274">
        <v>121</v>
      </c>
      <c r="T2274">
        <v>75</v>
      </c>
      <c r="U2274">
        <v>710.39394457375499</v>
      </c>
      <c r="V2274">
        <v>2.05128205128205E-3</v>
      </c>
      <c r="W2274">
        <v>1769844.26722098</v>
      </c>
      <c r="X2274" t="s">
        <v>40</v>
      </c>
      <c r="Y2274">
        <f>1-602-983-4624</f>
        <v>-6208</v>
      </c>
    </row>
    <row r="2275" spans="1:25" x14ac:dyDescent="0.35">
      <c r="A2275">
        <v>41.9553059426704</v>
      </c>
      <c r="B2275">
        <v>-123.46641068781901</v>
      </c>
      <c r="C2275" t="s">
        <v>29</v>
      </c>
      <c r="D2275">
        <v>10.399594024458199</v>
      </c>
      <c r="E2275">
        <v>2</v>
      </c>
      <c r="F2275">
        <v>3915</v>
      </c>
      <c r="G2275">
        <v>4</v>
      </c>
      <c r="H2275">
        <v>1</v>
      </c>
      <c r="I2275">
        <v>1973</v>
      </c>
      <c r="J2275">
        <v>1</v>
      </c>
      <c r="K2275">
        <v>1</v>
      </c>
      <c r="L2275">
        <v>1</v>
      </c>
      <c r="M2275">
        <v>10</v>
      </c>
      <c r="N2275" t="s">
        <v>41</v>
      </c>
      <c r="O2275" t="s">
        <v>27</v>
      </c>
      <c r="P2275">
        <v>11.700627169445401</v>
      </c>
      <c r="Q2275">
        <v>0.95979212785050905</v>
      </c>
      <c r="R2275">
        <v>6.7086744581994999</v>
      </c>
      <c r="S2275">
        <v>80</v>
      </c>
      <c r="T2275">
        <v>39</v>
      </c>
      <c r="U2275">
        <v>797.73960530481099</v>
      </c>
      <c r="V2275">
        <v>2.5542784163473799E-3</v>
      </c>
      <c r="W2275">
        <v>3574341.46498386</v>
      </c>
      <c r="X2275" t="s">
        <v>28</v>
      </c>
      <c r="Y2275">
        <f>1-223-313-9595</f>
        <v>-10130</v>
      </c>
    </row>
    <row r="2276" spans="1:25" x14ac:dyDescent="0.35">
      <c r="A2276">
        <v>41.863494761529999</v>
      </c>
      <c r="B2276">
        <v>-118.00261645169</v>
      </c>
      <c r="C2276" t="s">
        <v>34</v>
      </c>
      <c r="D2276">
        <v>31.3588433579236</v>
      </c>
      <c r="E2276">
        <v>7</v>
      </c>
      <c r="F2276">
        <v>3898</v>
      </c>
      <c r="G2276">
        <v>1</v>
      </c>
      <c r="H2276">
        <v>3</v>
      </c>
      <c r="I2276">
        <v>2016</v>
      </c>
      <c r="J2276">
        <v>0</v>
      </c>
      <c r="K2276">
        <v>1</v>
      </c>
      <c r="L2276">
        <v>1</v>
      </c>
      <c r="M2276">
        <v>4</v>
      </c>
      <c r="N2276" t="s">
        <v>41</v>
      </c>
      <c r="O2276" t="s">
        <v>32</v>
      </c>
      <c r="P2276">
        <v>12.914362455769099</v>
      </c>
      <c r="Q2276">
        <v>1.6336390441661</v>
      </c>
      <c r="R2276">
        <v>6.0481484894756203</v>
      </c>
      <c r="S2276">
        <v>124</v>
      </c>
      <c r="T2276">
        <v>23</v>
      </c>
      <c r="U2276">
        <v>582.78760898656799</v>
      </c>
      <c r="V2276">
        <v>1.02616726526423E-3</v>
      </c>
      <c r="W2276">
        <v>2579897.0601620702</v>
      </c>
      <c r="X2276" t="s">
        <v>28</v>
      </c>
      <c r="Y2276">
        <f>1-825-105-7749</f>
        <v>-8678</v>
      </c>
    </row>
    <row r="2277" spans="1:25" x14ac:dyDescent="0.35">
      <c r="A2277">
        <v>41.439550910861001</v>
      </c>
      <c r="B2277">
        <v>-121.010426210023</v>
      </c>
      <c r="C2277" t="s">
        <v>34</v>
      </c>
      <c r="D2277">
        <v>47.273905271766999</v>
      </c>
      <c r="E2277">
        <v>0</v>
      </c>
      <c r="F2277">
        <v>548</v>
      </c>
      <c r="G2277">
        <v>3</v>
      </c>
      <c r="H2277">
        <v>3</v>
      </c>
      <c r="I2277">
        <v>1951</v>
      </c>
      <c r="J2277">
        <v>0</v>
      </c>
      <c r="K2277">
        <v>1</v>
      </c>
      <c r="L2277">
        <v>0</v>
      </c>
      <c r="M2277">
        <v>12</v>
      </c>
      <c r="N2277" t="s">
        <v>41</v>
      </c>
      <c r="O2277" t="s">
        <v>27</v>
      </c>
      <c r="P2277">
        <v>9.0174872336844896</v>
      </c>
      <c r="Q2277">
        <v>0.60125336954639097</v>
      </c>
      <c r="R2277">
        <v>0.57866807950107002</v>
      </c>
      <c r="S2277">
        <v>155</v>
      </c>
      <c r="T2277">
        <v>67</v>
      </c>
      <c r="U2277">
        <v>433.47252067853901</v>
      </c>
      <c r="V2277">
        <v>2.18978102189781E-2</v>
      </c>
      <c r="W2277">
        <v>572766.08308560203</v>
      </c>
      <c r="X2277" t="s">
        <v>43</v>
      </c>
      <c r="Y2277">
        <f>1-277-267-1975</f>
        <v>-2518</v>
      </c>
    </row>
    <row r="2278" spans="1:25" x14ac:dyDescent="0.35">
      <c r="A2278">
        <v>38.277273116673697</v>
      </c>
      <c r="B2278">
        <v>-119.091238810768</v>
      </c>
      <c r="C2278" t="s">
        <v>25</v>
      </c>
      <c r="D2278">
        <v>22.9164555776869</v>
      </c>
      <c r="E2278">
        <v>5</v>
      </c>
      <c r="F2278">
        <v>2310</v>
      </c>
      <c r="G2278">
        <v>4</v>
      </c>
      <c r="H2278">
        <v>2</v>
      </c>
      <c r="I2278">
        <v>1989</v>
      </c>
      <c r="J2278">
        <v>1</v>
      </c>
      <c r="K2278">
        <v>1</v>
      </c>
      <c r="L2278">
        <v>0</v>
      </c>
      <c r="M2278">
        <v>10</v>
      </c>
      <c r="N2278" t="s">
        <v>26</v>
      </c>
      <c r="O2278" t="s">
        <v>32</v>
      </c>
      <c r="P2278">
        <v>4.5158242003343103</v>
      </c>
      <c r="Q2278">
        <v>2.1354026906093599</v>
      </c>
      <c r="R2278">
        <v>9.7156633507406394</v>
      </c>
      <c r="S2278">
        <v>177</v>
      </c>
      <c r="T2278">
        <v>20</v>
      </c>
      <c r="U2278">
        <v>353.90524916146097</v>
      </c>
      <c r="V2278">
        <v>4.3290043290043203E-3</v>
      </c>
      <c r="W2278">
        <v>1151505.4930707701</v>
      </c>
      <c r="X2278" t="s">
        <v>44</v>
      </c>
      <c r="Y2278">
        <f>1-804-716-8419</f>
        <v>-9938</v>
      </c>
    </row>
    <row r="2279" spans="1:25" x14ac:dyDescent="0.35">
      <c r="A2279">
        <v>37.438845075882803</v>
      </c>
      <c r="B2279">
        <v>-118.470867225999</v>
      </c>
      <c r="C2279" t="s">
        <v>29</v>
      </c>
      <c r="D2279">
        <v>48.385484144414697</v>
      </c>
      <c r="E2279">
        <v>1</v>
      </c>
      <c r="F2279">
        <v>3640</v>
      </c>
      <c r="G2279">
        <v>5</v>
      </c>
      <c r="H2279">
        <v>2</v>
      </c>
      <c r="I2279">
        <v>2003</v>
      </c>
      <c r="J2279">
        <v>1</v>
      </c>
      <c r="K2279">
        <v>1</v>
      </c>
      <c r="L2279">
        <v>1</v>
      </c>
      <c r="M2279">
        <v>6</v>
      </c>
      <c r="N2279" t="s">
        <v>37</v>
      </c>
      <c r="O2279" t="s">
        <v>30</v>
      </c>
      <c r="P2279">
        <v>10.562880157853799</v>
      </c>
      <c r="Q2279">
        <v>1.82774576101676</v>
      </c>
      <c r="R2279">
        <v>9.86657519804678</v>
      </c>
      <c r="S2279">
        <v>162</v>
      </c>
      <c r="T2279">
        <v>29</v>
      </c>
      <c r="U2279">
        <v>792.70623644297302</v>
      </c>
      <c r="V2279">
        <v>1.6483516483516399E-3</v>
      </c>
      <c r="W2279">
        <v>3375183.8403575998</v>
      </c>
      <c r="X2279" t="s">
        <v>28</v>
      </c>
      <c r="Y2279">
        <f>1-657-533-6259</f>
        <v>-7448</v>
      </c>
    </row>
    <row r="2280" spans="1:25" x14ac:dyDescent="0.35">
      <c r="A2280">
        <v>36.524667585768697</v>
      </c>
      <c r="B2280">
        <v>-121.089612937353</v>
      </c>
      <c r="C2280" t="s">
        <v>29</v>
      </c>
      <c r="D2280">
        <v>6.39919188392627</v>
      </c>
      <c r="E2280">
        <v>4</v>
      </c>
      <c r="F2280">
        <v>3645</v>
      </c>
      <c r="G2280">
        <v>5</v>
      </c>
      <c r="H2280">
        <v>3</v>
      </c>
      <c r="I2280">
        <v>1989</v>
      </c>
      <c r="J2280">
        <v>1</v>
      </c>
      <c r="K2280">
        <v>1</v>
      </c>
      <c r="L2280">
        <v>0</v>
      </c>
      <c r="M2280">
        <v>6</v>
      </c>
      <c r="N2280" t="s">
        <v>37</v>
      </c>
      <c r="O2280" t="s">
        <v>27</v>
      </c>
      <c r="P2280">
        <v>3.0050097580945501</v>
      </c>
      <c r="Q2280">
        <v>2.1255613253377299</v>
      </c>
      <c r="R2280">
        <v>5.1862167287160403</v>
      </c>
      <c r="S2280">
        <v>92</v>
      </c>
      <c r="T2280">
        <v>42</v>
      </c>
      <c r="U2280">
        <v>744.18665192293804</v>
      </c>
      <c r="V2280">
        <v>1.6460905349794199E-3</v>
      </c>
      <c r="W2280">
        <v>3077540.7802310199</v>
      </c>
      <c r="X2280" t="s">
        <v>33</v>
      </c>
      <c r="Y2280">
        <f>1-847-641-8384</f>
        <v>-9871</v>
      </c>
    </row>
    <row r="2281" spans="1:25" x14ac:dyDescent="0.35">
      <c r="A2281">
        <v>39.719328212897203</v>
      </c>
      <c r="B2281">
        <v>-124.323374861734</v>
      </c>
      <c r="C2281" t="s">
        <v>29</v>
      </c>
      <c r="D2281">
        <v>8.9432455097030203</v>
      </c>
      <c r="E2281">
        <v>6</v>
      </c>
      <c r="F2281">
        <v>4394</v>
      </c>
      <c r="G2281">
        <v>1</v>
      </c>
      <c r="H2281">
        <v>3</v>
      </c>
      <c r="I2281">
        <v>2019</v>
      </c>
      <c r="J2281">
        <v>1</v>
      </c>
      <c r="K2281">
        <v>0</v>
      </c>
      <c r="L2281">
        <v>1</v>
      </c>
      <c r="M2281">
        <v>5</v>
      </c>
      <c r="N2281" t="s">
        <v>26</v>
      </c>
      <c r="O2281" t="s">
        <v>30</v>
      </c>
      <c r="P2281">
        <v>7.76984267443782</v>
      </c>
      <c r="Q2281">
        <v>1.9920281568526099</v>
      </c>
      <c r="R2281">
        <v>7.4356980031474897</v>
      </c>
      <c r="S2281">
        <v>97</v>
      </c>
      <c r="T2281">
        <v>71</v>
      </c>
      <c r="U2281">
        <v>419.66934542354602</v>
      </c>
      <c r="V2281">
        <v>1.1379153390987701E-3</v>
      </c>
      <c r="W2281">
        <v>2128609.4199403599</v>
      </c>
      <c r="X2281" t="s">
        <v>31</v>
      </c>
      <c r="Y2281">
        <f>1-624-785-1118</f>
        <v>-2526</v>
      </c>
    </row>
    <row r="2282" spans="1:25" x14ac:dyDescent="0.35">
      <c r="A2282">
        <v>34.594866717013304</v>
      </c>
      <c r="B2282">
        <v>-116.253815869972</v>
      </c>
      <c r="C2282" t="s">
        <v>25</v>
      </c>
      <c r="D2282">
        <v>21.511398916856699</v>
      </c>
      <c r="E2282">
        <v>6</v>
      </c>
      <c r="F2282">
        <v>1649</v>
      </c>
      <c r="G2282">
        <v>1</v>
      </c>
      <c r="H2282">
        <v>2</v>
      </c>
      <c r="I2282">
        <v>1957</v>
      </c>
      <c r="J2282">
        <v>1</v>
      </c>
      <c r="K2282">
        <v>0</v>
      </c>
      <c r="L2282">
        <v>1</v>
      </c>
      <c r="M2282">
        <v>11</v>
      </c>
      <c r="N2282" t="s">
        <v>41</v>
      </c>
      <c r="O2282" t="s">
        <v>27</v>
      </c>
      <c r="P2282">
        <v>6.1587777808592996</v>
      </c>
      <c r="Q2282">
        <v>0.95635361720340495</v>
      </c>
      <c r="R2282">
        <v>3.96003892149887E-2</v>
      </c>
      <c r="S2282">
        <v>106</v>
      </c>
      <c r="T2282">
        <v>25</v>
      </c>
      <c r="U2282">
        <v>655.10169919283305</v>
      </c>
      <c r="V2282">
        <v>6.6707095209217696E-3</v>
      </c>
      <c r="W2282">
        <v>1141236.2497024899</v>
      </c>
      <c r="X2282" t="s">
        <v>38</v>
      </c>
      <c r="Y2282">
        <f>1-381-677-5572</f>
        <v>-6629</v>
      </c>
    </row>
    <row r="2283" spans="1:25" x14ac:dyDescent="0.35">
      <c r="A2283">
        <v>37.3693044904849</v>
      </c>
      <c r="B2283">
        <v>-120.828311478339</v>
      </c>
      <c r="C2283" t="s">
        <v>29</v>
      </c>
      <c r="D2283">
        <v>13.1294879019768</v>
      </c>
      <c r="E2283">
        <v>2</v>
      </c>
      <c r="F2283">
        <v>2148</v>
      </c>
      <c r="G2283">
        <v>3</v>
      </c>
      <c r="H2283">
        <v>1</v>
      </c>
      <c r="I2283">
        <v>1954</v>
      </c>
      <c r="J2283">
        <v>1</v>
      </c>
      <c r="K2283">
        <v>0</v>
      </c>
      <c r="L2283">
        <v>0</v>
      </c>
      <c r="M2283">
        <v>13</v>
      </c>
      <c r="N2283" t="s">
        <v>35</v>
      </c>
      <c r="O2283" t="s">
        <v>30</v>
      </c>
      <c r="P2283">
        <v>13.589322157269001</v>
      </c>
      <c r="Q2283">
        <v>2.4151007547130301</v>
      </c>
      <c r="R2283">
        <v>4.1429270371176603</v>
      </c>
      <c r="S2283">
        <v>191</v>
      </c>
      <c r="T2283">
        <v>60</v>
      </c>
      <c r="U2283">
        <v>665.86287016296899</v>
      </c>
      <c r="V2283">
        <v>6.0521415270018602E-3</v>
      </c>
      <c r="W2283">
        <v>1628053.7579429001</v>
      </c>
      <c r="X2283" t="s">
        <v>42</v>
      </c>
      <c r="Y2283">
        <f>1-844-191-2251</f>
        <v>-3285</v>
      </c>
    </row>
    <row r="2284" spans="1:25" x14ac:dyDescent="0.35">
      <c r="A2284">
        <v>41.823477360759597</v>
      </c>
      <c r="B2284">
        <v>-120.361628252602</v>
      </c>
      <c r="C2284" t="s">
        <v>29</v>
      </c>
      <c r="D2284">
        <v>43.471879648626</v>
      </c>
      <c r="E2284">
        <v>3</v>
      </c>
      <c r="F2284">
        <v>1663</v>
      </c>
      <c r="G2284">
        <v>1</v>
      </c>
      <c r="H2284">
        <v>3</v>
      </c>
      <c r="I2284">
        <v>1961</v>
      </c>
      <c r="J2284">
        <v>0</v>
      </c>
      <c r="K2284">
        <v>1</v>
      </c>
      <c r="L2284">
        <v>0</v>
      </c>
      <c r="M2284">
        <v>5</v>
      </c>
      <c r="N2284" t="s">
        <v>35</v>
      </c>
      <c r="O2284" t="s">
        <v>32</v>
      </c>
      <c r="P2284">
        <v>6.4875680301236196</v>
      </c>
      <c r="Q2284">
        <v>1.2917470230422801</v>
      </c>
      <c r="R2284">
        <v>4.4130571507716203</v>
      </c>
      <c r="S2284">
        <v>43</v>
      </c>
      <c r="T2284">
        <v>78</v>
      </c>
      <c r="U2284">
        <v>339.47481579316798</v>
      </c>
      <c r="V2284">
        <v>3.0066145520144302E-3</v>
      </c>
      <c r="W2284">
        <v>641885.73322544503</v>
      </c>
      <c r="X2284" t="s">
        <v>31</v>
      </c>
      <c r="Y2284">
        <f>1-924-261-8373</f>
        <v>-9557</v>
      </c>
    </row>
    <row r="2285" spans="1:25" x14ac:dyDescent="0.35">
      <c r="A2285">
        <v>39.5977766475769</v>
      </c>
      <c r="B2285">
        <v>-122.15128042489999</v>
      </c>
      <c r="C2285" t="s">
        <v>29</v>
      </c>
      <c r="D2285">
        <v>4.6113581672783299</v>
      </c>
      <c r="E2285">
        <v>3</v>
      </c>
      <c r="F2285">
        <v>2290</v>
      </c>
      <c r="G2285">
        <v>2</v>
      </c>
      <c r="H2285">
        <v>2</v>
      </c>
      <c r="I2285">
        <v>2011</v>
      </c>
      <c r="J2285">
        <v>1</v>
      </c>
      <c r="K2285">
        <v>0</v>
      </c>
      <c r="L2285">
        <v>0</v>
      </c>
      <c r="M2285">
        <v>14</v>
      </c>
      <c r="N2285" t="s">
        <v>37</v>
      </c>
      <c r="O2285" t="s">
        <v>32</v>
      </c>
      <c r="P2285">
        <v>3.9586001426562798</v>
      </c>
      <c r="Q2285">
        <v>0.50092984993216605</v>
      </c>
      <c r="R2285">
        <v>4.3034769556863202</v>
      </c>
      <c r="S2285">
        <v>168</v>
      </c>
      <c r="T2285">
        <v>32</v>
      </c>
      <c r="U2285">
        <v>281.45072624616898</v>
      </c>
      <c r="V2285">
        <v>6.1135371179039302E-3</v>
      </c>
      <c r="W2285">
        <v>773823.87516867905</v>
      </c>
      <c r="X2285" t="s">
        <v>39</v>
      </c>
      <c r="Y2285">
        <f>1-560-784-8440</f>
        <v>-9783</v>
      </c>
    </row>
    <row r="2286" spans="1:25" x14ac:dyDescent="0.35">
      <c r="A2286">
        <v>40.051906307441897</v>
      </c>
      <c r="B2286">
        <v>-116.604337022096</v>
      </c>
      <c r="C2286" t="s">
        <v>34</v>
      </c>
      <c r="D2286">
        <v>28.170686199476702</v>
      </c>
      <c r="E2286">
        <v>4</v>
      </c>
      <c r="F2286">
        <v>1629</v>
      </c>
      <c r="G2286">
        <v>2</v>
      </c>
      <c r="H2286">
        <v>1</v>
      </c>
      <c r="I2286">
        <v>2012</v>
      </c>
      <c r="J2286">
        <v>0</v>
      </c>
      <c r="K2286">
        <v>0</v>
      </c>
      <c r="L2286">
        <v>1</v>
      </c>
      <c r="M2286">
        <v>4</v>
      </c>
      <c r="N2286" t="s">
        <v>37</v>
      </c>
      <c r="O2286" t="s">
        <v>27</v>
      </c>
      <c r="P2286">
        <v>11.308429051189901</v>
      </c>
      <c r="Q2286">
        <v>1.9213859304849199</v>
      </c>
      <c r="R2286">
        <v>4.8713480518242003</v>
      </c>
      <c r="S2286">
        <v>89</v>
      </c>
      <c r="T2286">
        <v>56</v>
      </c>
      <c r="U2286">
        <v>229.673008794477</v>
      </c>
      <c r="V2286">
        <v>2.4554941682013499E-3</v>
      </c>
      <c r="W2286">
        <v>576858.21932230401</v>
      </c>
      <c r="X2286" t="s">
        <v>28</v>
      </c>
      <c r="Y2286">
        <f>1-343-686-5944</f>
        <v>-6972</v>
      </c>
    </row>
    <row r="2287" spans="1:25" x14ac:dyDescent="0.35">
      <c r="A2287">
        <v>39.150748300213202</v>
      </c>
      <c r="B2287">
        <v>-123.955602850331</v>
      </c>
      <c r="C2287" t="s">
        <v>25</v>
      </c>
      <c r="D2287">
        <v>33.040063639121001</v>
      </c>
      <c r="E2287">
        <v>8</v>
      </c>
      <c r="F2287">
        <v>2744</v>
      </c>
      <c r="G2287">
        <v>2</v>
      </c>
      <c r="H2287">
        <v>2</v>
      </c>
      <c r="I2287">
        <v>2014</v>
      </c>
      <c r="J2287">
        <v>0</v>
      </c>
      <c r="K2287">
        <v>1</v>
      </c>
      <c r="L2287">
        <v>1</v>
      </c>
      <c r="M2287">
        <v>7</v>
      </c>
      <c r="N2287" t="s">
        <v>37</v>
      </c>
      <c r="O2287" t="s">
        <v>32</v>
      </c>
      <c r="P2287">
        <v>6.1463189762024202</v>
      </c>
      <c r="Q2287">
        <v>1.9847830494816701</v>
      </c>
      <c r="R2287">
        <v>0.37618647695977803</v>
      </c>
      <c r="S2287">
        <v>30</v>
      </c>
      <c r="T2287">
        <v>51</v>
      </c>
      <c r="U2287">
        <v>795.39644956426605</v>
      </c>
      <c r="V2287">
        <v>2.5510204081632599E-3</v>
      </c>
      <c r="W2287">
        <v>2498804.2213697098</v>
      </c>
      <c r="X2287" t="s">
        <v>28</v>
      </c>
      <c r="Y2287">
        <f>1-442-468-3580</f>
        <v>-4489</v>
      </c>
    </row>
    <row r="2288" spans="1:25" x14ac:dyDescent="0.35">
      <c r="A2288">
        <v>35.675233913119399</v>
      </c>
      <c r="B2288">
        <v>-117.19315032867</v>
      </c>
      <c r="C2288" t="s">
        <v>25</v>
      </c>
      <c r="D2288">
        <v>8.0449015937349007</v>
      </c>
      <c r="E2288">
        <v>8</v>
      </c>
      <c r="F2288">
        <v>1202</v>
      </c>
      <c r="G2288">
        <v>4</v>
      </c>
      <c r="H2288">
        <v>2</v>
      </c>
      <c r="I2288">
        <v>1991</v>
      </c>
      <c r="J2288">
        <v>0</v>
      </c>
      <c r="K2288">
        <v>0</v>
      </c>
      <c r="L2288">
        <v>1</v>
      </c>
      <c r="M2288">
        <v>12</v>
      </c>
      <c r="N2288" t="s">
        <v>41</v>
      </c>
      <c r="O2288" t="s">
        <v>30</v>
      </c>
      <c r="P2288">
        <v>13.198554075694901</v>
      </c>
      <c r="Q2288">
        <v>1.9119459725393899</v>
      </c>
      <c r="R2288">
        <v>5.8304355069705798</v>
      </c>
      <c r="S2288">
        <v>0</v>
      </c>
      <c r="T2288">
        <v>26</v>
      </c>
      <c r="U2288">
        <v>280.47370050504998</v>
      </c>
      <c r="V2288">
        <v>9.9833610648918398E-3</v>
      </c>
      <c r="W2288">
        <v>705924.98819795903</v>
      </c>
      <c r="X2288" t="s">
        <v>36</v>
      </c>
      <c r="Y2288">
        <f>1-708-893-3970</f>
        <v>-5570</v>
      </c>
    </row>
    <row r="2289" spans="1:25" x14ac:dyDescent="0.35">
      <c r="A2289">
        <v>39.225542552582098</v>
      </c>
      <c r="B2289">
        <v>-119.268445677681</v>
      </c>
      <c r="C2289" t="s">
        <v>34</v>
      </c>
      <c r="D2289">
        <v>12.6374891101601</v>
      </c>
      <c r="E2289">
        <v>6</v>
      </c>
      <c r="F2289">
        <v>4053</v>
      </c>
      <c r="G2289">
        <v>2</v>
      </c>
      <c r="H2289">
        <v>1</v>
      </c>
      <c r="I2289">
        <v>1975</v>
      </c>
      <c r="J2289">
        <v>0</v>
      </c>
      <c r="K2289">
        <v>1</v>
      </c>
      <c r="L2289">
        <v>0</v>
      </c>
      <c r="M2289">
        <v>13</v>
      </c>
      <c r="N2289" t="s">
        <v>41</v>
      </c>
      <c r="O2289" t="s">
        <v>27</v>
      </c>
      <c r="P2289">
        <v>7.9116215372285197</v>
      </c>
      <c r="Q2289">
        <v>2.2711958192614401</v>
      </c>
      <c r="R2289">
        <v>0.28410624909454402</v>
      </c>
      <c r="S2289">
        <v>151</v>
      </c>
      <c r="T2289">
        <v>38</v>
      </c>
      <c r="U2289">
        <v>750.89444801976003</v>
      </c>
      <c r="V2289">
        <v>3.2075006168270398E-3</v>
      </c>
      <c r="W2289">
        <v>3232639.0219085002</v>
      </c>
      <c r="X2289" t="s">
        <v>40</v>
      </c>
      <c r="Y2289">
        <f>1-296-542-5450</f>
        <v>-6287</v>
      </c>
    </row>
    <row r="2290" spans="1:25" x14ac:dyDescent="0.35">
      <c r="A2290">
        <v>41.954093320316403</v>
      </c>
      <c r="B2290">
        <v>-119.49776309196901</v>
      </c>
      <c r="C2290" t="s">
        <v>34</v>
      </c>
      <c r="D2290">
        <v>48.282984335026399</v>
      </c>
      <c r="E2290">
        <v>0</v>
      </c>
      <c r="F2290">
        <v>4516</v>
      </c>
      <c r="G2290">
        <v>2</v>
      </c>
      <c r="H2290">
        <v>2</v>
      </c>
      <c r="I2290">
        <v>2001</v>
      </c>
      <c r="J2290">
        <v>1</v>
      </c>
      <c r="K2290">
        <v>1</v>
      </c>
      <c r="L2290">
        <v>1</v>
      </c>
      <c r="M2290">
        <v>8</v>
      </c>
      <c r="N2290" t="s">
        <v>37</v>
      </c>
      <c r="O2290" t="s">
        <v>32</v>
      </c>
      <c r="P2290">
        <v>14.2323474612549</v>
      </c>
      <c r="Q2290">
        <v>1.94221298948001</v>
      </c>
      <c r="R2290">
        <v>6.2968635873586498</v>
      </c>
      <c r="S2290">
        <v>135</v>
      </c>
      <c r="T2290">
        <v>64</v>
      </c>
      <c r="U2290">
        <v>266.09703074839098</v>
      </c>
      <c r="V2290">
        <v>1.7714791851195699E-3</v>
      </c>
      <c r="W2290">
        <v>1539200.87589873</v>
      </c>
      <c r="X2290" t="s">
        <v>44</v>
      </c>
      <c r="Y2290">
        <f>1-434-590-4236</f>
        <v>-5259</v>
      </c>
    </row>
    <row r="2291" spans="1:25" x14ac:dyDescent="0.35">
      <c r="A2291">
        <v>37.685516015701602</v>
      </c>
      <c r="B2291">
        <v>-118.77026850696301</v>
      </c>
      <c r="C2291" t="s">
        <v>25</v>
      </c>
      <c r="D2291">
        <v>24.795637765892302</v>
      </c>
      <c r="E2291">
        <v>3</v>
      </c>
      <c r="F2291">
        <v>2616</v>
      </c>
      <c r="G2291">
        <v>3</v>
      </c>
      <c r="H2291">
        <v>2</v>
      </c>
      <c r="I2291">
        <v>2002</v>
      </c>
      <c r="J2291">
        <v>0</v>
      </c>
      <c r="K2291">
        <v>0</v>
      </c>
      <c r="L2291">
        <v>0</v>
      </c>
      <c r="M2291">
        <v>13</v>
      </c>
      <c r="N2291" t="s">
        <v>35</v>
      </c>
      <c r="O2291" t="s">
        <v>30</v>
      </c>
      <c r="P2291">
        <v>8.2499434644034508</v>
      </c>
      <c r="Q2291">
        <v>1.4819846436564099</v>
      </c>
      <c r="R2291">
        <v>9.6348458385518096</v>
      </c>
      <c r="S2291">
        <v>44</v>
      </c>
      <c r="T2291">
        <v>67</v>
      </c>
      <c r="U2291">
        <v>348.19760645813301</v>
      </c>
      <c r="V2291">
        <v>4.9694189602446396E-3</v>
      </c>
      <c r="W2291">
        <v>1105214.7916639501</v>
      </c>
      <c r="X2291" t="s">
        <v>38</v>
      </c>
      <c r="Y2291">
        <f>1-767-148-9761</f>
        <v>-10675</v>
      </c>
    </row>
    <row r="2292" spans="1:25" x14ac:dyDescent="0.35">
      <c r="A2292">
        <v>37.516733645847097</v>
      </c>
      <c r="B2292">
        <v>-118.028673726759</v>
      </c>
      <c r="C2292" t="s">
        <v>34</v>
      </c>
      <c r="D2292">
        <v>34.880146415868701</v>
      </c>
      <c r="E2292">
        <v>1</v>
      </c>
      <c r="F2292">
        <v>4155</v>
      </c>
      <c r="G2292">
        <v>1</v>
      </c>
      <c r="H2292">
        <v>2</v>
      </c>
      <c r="I2292">
        <v>1984</v>
      </c>
      <c r="J2292">
        <v>1</v>
      </c>
      <c r="K2292">
        <v>1</v>
      </c>
      <c r="L2292">
        <v>1</v>
      </c>
      <c r="M2292">
        <v>13</v>
      </c>
      <c r="N2292" t="s">
        <v>35</v>
      </c>
      <c r="O2292" t="s">
        <v>32</v>
      </c>
      <c r="P2292">
        <v>10.6927379681542</v>
      </c>
      <c r="Q2292">
        <v>0.76727511502129797</v>
      </c>
      <c r="R2292">
        <v>4.8575930614352503</v>
      </c>
      <c r="S2292">
        <v>57</v>
      </c>
      <c r="T2292">
        <v>35</v>
      </c>
      <c r="U2292">
        <v>429.110968633249</v>
      </c>
      <c r="V2292">
        <v>3.1287605294825502E-3</v>
      </c>
      <c r="W2292">
        <v>2022027.2616584001</v>
      </c>
      <c r="X2292" t="s">
        <v>43</v>
      </c>
      <c r="Y2292">
        <f>1-655-107-7159</f>
        <v>-7920</v>
      </c>
    </row>
    <row r="2293" spans="1:25" x14ac:dyDescent="0.35">
      <c r="A2293">
        <v>38.417628849533898</v>
      </c>
      <c r="B2293">
        <v>-118.054745103209</v>
      </c>
      <c r="C2293" t="s">
        <v>34</v>
      </c>
      <c r="D2293">
        <v>27.436566001076802</v>
      </c>
      <c r="E2293">
        <v>0</v>
      </c>
      <c r="F2293">
        <v>995</v>
      </c>
      <c r="G2293">
        <v>3</v>
      </c>
      <c r="H2293">
        <v>1</v>
      </c>
      <c r="I2293">
        <v>1994</v>
      </c>
      <c r="J2293">
        <v>1</v>
      </c>
      <c r="K2293">
        <v>0</v>
      </c>
      <c r="L2293">
        <v>0</v>
      </c>
      <c r="M2293">
        <v>6</v>
      </c>
      <c r="N2293" t="s">
        <v>37</v>
      </c>
      <c r="O2293" t="s">
        <v>32</v>
      </c>
      <c r="P2293">
        <v>12.784924432710699</v>
      </c>
      <c r="Q2293">
        <v>0.89838721791423104</v>
      </c>
      <c r="R2293">
        <v>7.2380579915349204</v>
      </c>
      <c r="S2293">
        <v>187</v>
      </c>
      <c r="T2293">
        <v>41</v>
      </c>
      <c r="U2293">
        <v>683.01702707321897</v>
      </c>
      <c r="V2293">
        <v>6.0301507537688396E-3</v>
      </c>
      <c r="W2293">
        <v>935454.43083221803</v>
      </c>
      <c r="X2293" t="s">
        <v>36</v>
      </c>
      <c r="Y2293">
        <f>1-467-735-8318</f>
        <v>-9519</v>
      </c>
    </row>
    <row r="2294" spans="1:25" x14ac:dyDescent="0.35">
      <c r="A2294">
        <v>33.415732571036799</v>
      </c>
      <c r="B2294">
        <v>-116.26560568403301</v>
      </c>
      <c r="C2294" t="s">
        <v>34</v>
      </c>
      <c r="D2294">
        <v>14.5493337496207</v>
      </c>
      <c r="E2294">
        <v>1</v>
      </c>
      <c r="F2294">
        <v>4912</v>
      </c>
      <c r="G2294">
        <v>2</v>
      </c>
      <c r="H2294">
        <v>3</v>
      </c>
      <c r="I2294">
        <v>1995</v>
      </c>
      <c r="J2294">
        <v>0</v>
      </c>
      <c r="K2294">
        <v>1</v>
      </c>
      <c r="L2294">
        <v>0</v>
      </c>
      <c r="M2294">
        <v>8</v>
      </c>
      <c r="N2294" t="s">
        <v>37</v>
      </c>
      <c r="O2294" t="s">
        <v>27</v>
      </c>
      <c r="P2294">
        <v>3.7839686730301199</v>
      </c>
      <c r="Q2294">
        <v>1.1900309068644901</v>
      </c>
      <c r="R2294">
        <v>8.79908183351397</v>
      </c>
      <c r="S2294">
        <v>164</v>
      </c>
      <c r="T2294">
        <v>53</v>
      </c>
      <c r="U2294">
        <v>605.02233988322905</v>
      </c>
      <c r="V2294">
        <v>1.6286644951140001E-3</v>
      </c>
      <c r="W2294">
        <v>3174361.4614741202</v>
      </c>
      <c r="X2294" t="s">
        <v>43</v>
      </c>
      <c r="Y2294">
        <f>1-848-374-8186</f>
        <v>-9407</v>
      </c>
    </row>
    <row r="2295" spans="1:25" x14ac:dyDescent="0.35">
      <c r="A2295">
        <v>41.810629641216302</v>
      </c>
      <c r="B2295">
        <v>-122.21082761356099</v>
      </c>
      <c r="C2295" t="s">
        <v>29</v>
      </c>
      <c r="D2295">
        <v>13.900357637388099</v>
      </c>
      <c r="E2295">
        <v>3</v>
      </c>
      <c r="F2295">
        <v>3958</v>
      </c>
      <c r="G2295">
        <v>5</v>
      </c>
      <c r="H2295">
        <v>2</v>
      </c>
      <c r="I2295">
        <v>2007</v>
      </c>
      <c r="J2295">
        <v>1</v>
      </c>
      <c r="K2295">
        <v>1</v>
      </c>
      <c r="L2295">
        <v>0</v>
      </c>
      <c r="M2295">
        <v>14</v>
      </c>
      <c r="N2295" t="s">
        <v>26</v>
      </c>
      <c r="O2295" t="s">
        <v>30</v>
      </c>
      <c r="P2295">
        <v>4.5540797163585802</v>
      </c>
      <c r="Q2295">
        <v>1.69767940192103</v>
      </c>
      <c r="R2295">
        <v>2.9615391775682798</v>
      </c>
      <c r="S2295">
        <v>187</v>
      </c>
      <c r="T2295">
        <v>70</v>
      </c>
      <c r="U2295">
        <v>962.27641185201799</v>
      </c>
      <c r="V2295">
        <v>3.53713996968165E-3</v>
      </c>
      <c r="W2295">
        <v>4233063.7940047598</v>
      </c>
      <c r="X2295" t="s">
        <v>31</v>
      </c>
      <c r="Y2295">
        <f>1-633-240-1711</f>
        <v>-2583</v>
      </c>
    </row>
    <row r="2296" spans="1:25" x14ac:dyDescent="0.35">
      <c r="A2296">
        <v>39.812600207022399</v>
      </c>
      <c r="B2296">
        <v>-118.75933527846</v>
      </c>
      <c r="C2296" t="s">
        <v>29</v>
      </c>
      <c r="D2296">
        <v>32.277978081451103</v>
      </c>
      <c r="E2296">
        <v>7</v>
      </c>
      <c r="F2296">
        <v>4272</v>
      </c>
      <c r="G2296">
        <v>2</v>
      </c>
      <c r="H2296">
        <v>1</v>
      </c>
      <c r="I2296">
        <v>1995</v>
      </c>
      <c r="J2296">
        <v>0</v>
      </c>
      <c r="K2296">
        <v>0</v>
      </c>
      <c r="L2296">
        <v>0</v>
      </c>
      <c r="M2296">
        <v>12</v>
      </c>
      <c r="N2296" t="s">
        <v>41</v>
      </c>
      <c r="O2296" t="s">
        <v>30</v>
      </c>
      <c r="P2296">
        <v>4.0740201825035296</v>
      </c>
      <c r="Q2296">
        <v>2.2521172155581399</v>
      </c>
      <c r="R2296">
        <v>1.5014178836704299</v>
      </c>
      <c r="S2296">
        <v>51</v>
      </c>
      <c r="T2296">
        <v>44</v>
      </c>
      <c r="U2296">
        <v>957.18662577785096</v>
      </c>
      <c r="V2296">
        <v>2.8089887640449398E-3</v>
      </c>
      <c r="W2296">
        <v>4194312.3196357395</v>
      </c>
      <c r="X2296" t="s">
        <v>39</v>
      </c>
      <c r="Y2296">
        <f>1-492-976-1812</f>
        <v>-3279</v>
      </c>
    </row>
    <row r="2297" spans="1:25" x14ac:dyDescent="0.35">
      <c r="A2297">
        <v>34.570962449550201</v>
      </c>
      <c r="B2297">
        <v>-119.944396245874</v>
      </c>
      <c r="C2297" t="s">
        <v>29</v>
      </c>
      <c r="D2297">
        <v>39.655134178400601</v>
      </c>
      <c r="E2297">
        <v>1</v>
      </c>
      <c r="F2297">
        <v>4919</v>
      </c>
      <c r="G2297">
        <v>2</v>
      </c>
      <c r="H2297">
        <v>2</v>
      </c>
      <c r="I2297">
        <v>1997</v>
      </c>
      <c r="J2297">
        <v>0</v>
      </c>
      <c r="K2297">
        <v>0</v>
      </c>
      <c r="L2297">
        <v>1</v>
      </c>
      <c r="M2297">
        <v>3</v>
      </c>
      <c r="N2297" t="s">
        <v>35</v>
      </c>
      <c r="O2297" t="s">
        <v>32</v>
      </c>
      <c r="P2297">
        <v>9.2106581271145007</v>
      </c>
      <c r="Q2297">
        <v>2.0177465066550901</v>
      </c>
      <c r="R2297">
        <v>3.7542321319754599</v>
      </c>
      <c r="S2297">
        <v>141</v>
      </c>
      <c r="T2297">
        <v>65</v>
      </c>
      <c r="U2297">
        <v>916.20082462615403</v>
      </c>
      <c r="V2297">
        <v>6.0988005692213805E-4</v>
      </c>
      <c r="W2297">
        <v>4708536.2211571699</v>
      </c>
      <c r="X2297" t="s">
        <v>42</v>
      </c>
      <c r="Y2297">
        <f>1-926-242-4154</f>
        <v>-5321</v>
      </c>
    </row>
    <row r="2298" spans="1:25" x14ac:dyDescent="0.35">
      <c r="A2298">
        <v>41.857040554229798</v>
      </c>
      <c r="B2298">
        <v>-118.168813396419</v>
      </c>
      <c r="C2298" t="s">
        <v>29</v>
      </c>
      <c r="D2298">
        <v>47.3334942902463</v>
      </c>
      <c r="E2298">
        <v>1</v>
      </c>
      <c r="F2298">
        <v>3440</v>
      </c>
      <c r="G2298">
        <v>3</v>
      </c>
      <c r="H2298">
        <v>1</v>
      </c>
      <c r="I2298">
        <v>1983</v>
      </c>
      <c r="J2298">
        <v>0</v>
      </c>
      <c r="K2298">
        <v>1</v>
      </c>
      <c r="L2298">
        <v>1</v>
      </c>
      <c r="M2298">
        <v>12</v>
      </c>
      <c r="N2298" t="s">
        <v>37</v>
      </c>
      <c r="O2298" t="s">
        <v>27</v>
      </c>
      <c r="P2298">
        <v>11.8092461530614</v>
      </c>
      <c r="Q2298">
        <v>0.78202684658023203</v>
      </c>
      <c r="R2298">
        <v>2.1038043823386898</v>
      </c>
      <c r="S2298">
        <v>97</v>
      </c>
      <c r="T2298">
        <v>25</v>
      </c>
      <c r="U2298">
        <v>914.43927313583799</v>
      </c>
      <c r="V2298">
        <v>3.4883720930232501E-3</v>
      </c>
      <c r="W2298">
        <v>3443703.6620272598</v>
      </c>
      <c r="X2298" t="s">
        <v>31</v>
      </c>
      <c r="Y2298">
        <f>1-378-408-3346</f>
        <v>-4131</v>
      </c>
    </row>
    <row r="2299" spans="1:25" x14ac:dyDescent="0.35">
      <c r="A2299">
        <v>37.288850899003997</v>
      </c>
      <c r="B2299">
        <v>-122.550181898997</v>
      </c>
      <c r="C2299" t="s">
        <v>34</v>
      </c>
      <c r="D2299">
        <v>21.627916039069</v>
      </c>
      <c r="E2299">
        <v>2</v>
      </c>
      <c r="F2299">
        <v>2262</v>
      </c>
      <c r="G2299">
        <v>2</v>
      </c>
      <c r="H2299">
        <v>2</v>
      </c>
      <c r="I2299">
        <v>2006</v>
      </c>
      <c r="J2299">
        <v>0</v>
      </c>
      <c r="K2299">
        <v>0</v>
      </c>
      <c r="L2299">
        <v>0</v>
      </c>
      <c r="M2299">
        <v>4</v>
      </c>
      <c r="N2299" t="s">
        <v>41</v>
      </c>
      <c r="O2299" t="s">
        <v>27</v>
      </c>
      <c r="P2299">
        <v>7.7356521648835903</v>
      </c>
      <c r="Q2299">
        <v>0.77620324053043099</v>
      </c>
      <c r="R2299">
        <v>5.55146014249563</v>
      </c>
      <c r="S2299">
        <v>55</v>
      </c>
      <c r="T2299">
        <v>45</v>
      </c>
      <c r="U2299">
        <v>343.46870298863399</v>
      </c>
      <c r="V2299">
        <v>1.7683465959327999E-3</v>
      </c>
      <c r="W2299">
        <v>930375.42714245699</v>
      </c>
      <c r="X2299" t="s">
        <v>40</v>
      </c>
      <c r="Y2299">
        <f>1-841-610-1163</f>
        <v>-2613</v>
      </c>
    </row>
    <row r="2300" spans="1:25" x14ac:dyDescent="0.35">
      <c r="A2300">
        <v>33.0377857181862</v>
      </c>
      <c r="B2300">
        <v>-114.85541774959501</v>
      </c>
      <c r="C2300" t="s">
        <v>29</v>
      </c>
      <c r="D2300">
        <v>38.987520381521399</v>
      </c>
      <c r="E2300">
        <v>2</v>
      </c>
      <c r="F2300">
        <v>2006</v>
      </c>
      <c r="G2300">
        <v>4</v>
      </c>
      <c r="H2300">
        <v>1</v>
      </c>
      <c r="I2300">
        <v>1963</v>
      </c>
      <c r="J2300">
        <v>0</v>
      </c>
      <c r="K2300">
        <v>1</v>
      </c>
      <c r="L2300">
        <v>0</v>
      </c>
      <c r="M2300">
        <v>12</v>
      </c>
      <c r="N2300" t="s">
        <v>41</v>
      </c>
      <c r="O2300" t="s">
        <v>27</v>
      </c>
      <c r="P2300">
        <v>6.1637810846979502</v>
      </c>
      <c r="Q2300">
        <v>1.0405481969080499</v>
      </c>
      <c r="R2300">
        <v>5.5331081836619402</v>
      </c>
      <c r="S2300">
        <v>188</v>
      </c>
      <c r="T2300">
        <v>59</v>
      </c>
      <c r="U2300">
        <v>227.54138818873901</v>
      </c>
      <c r="V2300">
        <v>5.9820538384845398E-3</v>
      </c>
      <c r="W2300">
        <v>719101.541379884</v>
      </c>
      <c r="X2300" t="s">
        <v>40</v>
      </c>
      <c r="Y2300">
        <f>1-448-959-4614</f>
        <v>-6020</v>
      </c>
    </row>
    <row r="2301" spans="1:25" x14ac:dyDescent="0.35">
      <c r="A2301">
        <v>36.633122285725598</v>
      </c>
      <c r="B2301">
        <v>-121.215172896132</v>
      </c>
      <c r="C2301" t="s">
        <v>34</v>
      </c>
      <c r="D2301">
        <v>40.202537269255203</v>
      </c>
      <c r="E2301">
        <v>1</v>
      </c>
      <c r="F2301">
        <v>1760</v>
      </c>
      <c r="G2301">
        <v>2</v>
      </c>
      <c r="H2301">
        <v>1</v>
      </c>
      <c r="I2301">
        <v>1973</v>
      </c>
      <c r="J2301">
        <v>0</v>
      </c>
      <c r="K2301">
        <v>1</v>
      </c>
      <c r="L2301">
        <v>1</v>
      </c>
      <c r="M2301">
        <v>7</v>
      </c>
      <c r="N2301" t="s">
        <v>37</v>
      </c>
      <c r="O2301" t="s">
        <v>30</v>
      </c>
      <c r="P2301">
        <v>14.7371170858826</v>
      </c>
      <c r="Q2301">
        <v>1.28651095956765</v>
      </c>
      <c r="R2301">
        <v>4.2985729196641698</v>
      </c>
      <c r="S2301">
        <v>98</v>
      </c>
      <c r="T2301">
        <v>79</v>
      </c>
      <c r="U2301">
        <v>725.64750356959303</v>
      </c>
      <c r="V2301">
        <v>3.9772727272727199E-3</v>
      </c>
      <c r="W2301">
        <v>1565432.3510026301</v>
      </c>
      <c r="X2301" t="s">
        <v>33</v>
      </c>
      <c r="Y2301">
        <f>1-631-134-7207</f>
        <v>-7971</v>
      </c>
    </row>
    <row r="2302" spans="1:25" x14ac:dyDescent="0.35">
      <c r="A2302">
        <v>37.370179826984099</v>
      </c>
      <c r="B2302">
        <v>-114.500558117384</v>
      </c>
      <c r="C2302" t="s">
        <v>34</v>
      </c>
      <c r="D2302">
        <v>22.469920109895199</v>
      </c>
      <c r="E2302">
        <v>5</v>
      </c>
      <c r="F2302">
        <v>2476</v>
      </c>
      <c r="G2302">
        <v>1</v>
      </c>
      <c r="H2302">
        <v>1</v>
      </c>
      <c r="I2302">
        <v>1989</v>
      </c>
      <c r="J2302">
        <v>0</v>
      </c>
      <c r="K2302">
        <v>0</v>
      </c>
      <c r="L2302">
        <v>0</v>
      </c>
      <c r="M2302">
        <v>8</v>
      </c>
      <c r="N2302" t="s">
        <v>37</v>
      </c>
      <c r="O2302" t="s">
        <v>32</v>
      </c>
      <c r="P2302">
        <v>5.4543916430294903</v>
      </c>
      <c r="Q2302">
        <v>1.8151493358755999</v>
      </c>
      <c r="R2302">
        <v>4.1593727027192902</v>
      </c>
      <c r="S2302">
        <v>157</v>
      </c>
      <c r="T2302">
        <v>25</v>
      </c>
      <c r="U2302">
        <v>564.00727559171105</v>
      </c>
      <c r="V2302">
        <v>3.2310177705977298E-3</v>
      </c>
      <c r="W2302">
        <v>1435647.81045143</v>
      </c>
      <c r="X2302" t="s">
        <v>44</v>
      </c>
      <c r="Y2302">
        <f>1-970-683-2224</f>
        <v>-3876</v>
      </c>
    </row>
    <row r="2303" spans="1:25" x14ac:dyDescent="0.35">
      <c r="A2303">
        <v>33.6652922869702</v>
      </c>
      <c r="B2303">
        <v>-122.64688552426399</v>
      </c>
      <c r="C2303" t="s">
        <v>25</v>
      </c>
      <c r="D2303">
        <v>39.801086826062097</v>
      </c>
      <c r="E2303">
        <v>2</v>
      </c>
      <c r="F2303">
        <v>4467</v>
      </c>
      <c r="G2303">
        <v>4</v>
      </c>
      <c r="H2303">
        <v>3</v>
      </c>
      <c r="I2303">
        <v>1990</v>
      </c>
      <c r="J2303">
        <v>1</v>
      </c>
      <c r="K2303">
        <v>0</v>
      </c>
      <c r="L2303">
        <v>1</v>
      </c>
      <c r="M2303">
        <v>4</v>
      </c>
      <c r="N2303" t="s">
        <v>35</v>
      </c>
      <c r="O2303" t="s">
        <v>32</v>
      </c>
      <c r="P2303">
        <v>10.650381001696401</v>
      </c>
      <c r="Q2303">
        <v>1.1014802893293401</v>
      </c>
      <c r="R2303">
        <v>5.3784581402839597</v>
      </c>
      <c r="S2303">
        <v>87</v>
      </c>
      <c r="T2303">
        <v>70</v>
      </c>
      <c r="U2303">
        <v>290.79172553970699</v>
      </c>
      <c r="V2303">
        <v>8.9545556301768496E-4</v>
      </c>
      <c r="W2303">
        <v>1589388.5341879099</v>
      </c>
      <c r="X2303" t="s">
        <v>36</v>
      </c>
      <c r="Y2303">
        <f>1-845-553-9849</f>
        <v>-11246</v>
      </c>
    </row>
    <row r="2304" spans="1:25" x14ac:dyDescent="0.35">
      <c r="A2304">
        <v>37.134435231416603</v>
      </c>
      <c r="B2304">
        <v>-121.776013449397</v>
      </c>
      <c r="C2304" t="s">
        <v>25</v>
      </c>
      <c r="D2304">
        <v>5.0752381599192802</v>
      </c>
      <c r="E2304">
        <v>8</v>
      </c>
      <c r="F2304">
        <v>2462</v>
      </c>
      <c r="G2304">
        <v>2</v>
      </c>
      <c r="H2304">
        <v>1</v>
      </c>
      <c r="I2304">
        <v>1993</v>
      </c>
      <c r="J2304">
        <v>1</v>
      </c>
      <c r="K2304">
        <v>0</v>
      </c>
      <c r="L2304">
        <v>0</v>
      </c>
      <c r="M2304">
        <v>6</v>
      </c>
      <c r="N2304" t="s">
        <v>35</v>
      </c>
      <c r="O2304" t="s">
        <v>32</v>
      </c>
      <c r="P2304">
        <v>12.1040436140267</v>
      </c>
      <c r="Q2304">
        <v>1.65214901391656</v>
      </c>
      <c r="R2304">
        <v>9.4924804950255393</v>
      </c>
      <c r="S2304">
        <v>152</v>
      </c>
      <c r="T2304">
        <v>67</v>
      </c>
      <c r="U2304">
        <v>247.02090215813999</v>
      </c>
      <c r="V2304">
        <v>2.4370430544272902E-3</v>
      </c>
      <c r="W2304">
        <v>843557.51296943799</v>
      </c>
      <c r="X2304" t="s">
        <v>40</v>
      </c>
      <c r="Y2304">
        <f>1-945-701-8715</f>
        <v>-10360</v>
      </c>
    </row>
    <row r="2305" spans="1:25" x14ac:dyDescent="0.35">
      <c r="A2305">
        <v>39.9335867505078</v>
      </c>
      <c r="B2305">
        <v>-114.032480315155</v>
      </c>
      <c r="C2305" t="s">
        <v>34</v>
      </c>
      <c r="D2305">
        <v>32.9514262009356</v>
      </c>
      <c r="E2305">
        <v>6</v>
      </c>
      <c r="F2305">
        <v>3588</v>
      </c>
      <c r="G2305">
        <v>4</v>
      </c>
      <c r="H2305">
        <v>2</v>
      </c>
      <c r="I2305">
        <v>2005</v>
      </c>
      <c r="J2305">
        <v>1</v>
      </c>
      <c r="K2305">
        <v>1</v>
      </c>
      <c r="L2305">
        <v>1</v>
      </c>
      <c r="M2305">
        <v>14</v>
      </c>
      <c r="N2305" t="s">
        <v>26</v>
      </c>
      <c r="O2305" t="s">
        <v>32</v>
      </c>
      <c r="P2305">
        <v>11.1461805026675</v>
      </c>
      <c r="Q2305">
        <v>0.60486244567591096</v>
      </c>
      <c r="R2305">
        <v>1.4483886459657001</v>
      </c>
      <c r="S2305">
        <v>1</v>
      </c>
      <c r="T2305">
        <v>36</v>
      </c>
      <c r="U2305">
        <v>370.70132078387201</v>
      </c>
      <c r="V2305">
        <v>3.9018952062430299E-3</v>
      </c>
      <c r="W2305">
        <v>1838332.33302094</v>
      </c>
      <c r="X2305" t="s">
        <v>33</v>
      </c>
      <c r="Y2305">
        <f>1-731-486-5555</f>
        <v>-6771</v>
      </c>
    </row>
    <row r="2306" spans="1:25" x14ac:dyDescent="0.35">
      <c r="A2306">
        <v>40.803173264120801</v>
      </c>
      <c r="B2306">
        <v>-114.92572481753299</v>
      </c>
      <c r="C2306" t="s">
        <v>25</v>
      </c>
      <c r="D2306">
        <v>4.5704318433855304</v>
      </c>
      <c r="E2306">
        <v>4</v>
      </c>
      <c r="F2306">
        <v>1751</v>
      </c>
      <c r="G2306">
        <v>3</v>
      </c>
      <c r="H2306">
        <v>3</v>
      </c>
      <c r="I2306">
        <v>2007</v>
      </c>
      <c r="J2306">
        <v>0</v>
      </c>
      <c r="K2306">
        <v>1</v>
      </c>
      <c r="L2306">
        <v>1</v>
      </c>
      <c r="M2306">
        <v>7</v>
      </c>
      <c r="N2306" t="s">
        <v>26</v>
      </c>
      <c r="O2306" t="s">
        <v>30</v>
      </c>
      <c r="P2306">
        <v>6.0067939921956999</v>
      </c>
      <c r="Q2306">
        <v>2.17462288541837</v>
      </c>
      <c r="R2306">
        <v>4.1234870922277098</v>
      </c>
      <c r="S2306">
        <v>134</v>
      </c>
      <c r="T2306">
        <v>53</v>
      </c>
      <c r="U2306">
        <v>381.11211984451398</v>
      </c>
      <c r="V2306">
        <v>3.9977155910908002E-3</v>
      </c>
      <c r="W2306">
        <v>1030023.16000665</v>
      </c>
      <c r="X2306" t="s">
        <v>31</v>
      </c>
      <c r="Y2306">
        <f>1-663-360-5778</f>
        <v>-6800</v>
      </c>
    </row>
    <row r="2307" spans="1:25" x14ac:dyDescent="0.35">
      <c r="A2307">
        <v>37.340983977049902</v>
      </c>
      <c r="B2307">
        <v>-120.547085374293</v>
      </c>
      <c r="C2307" t="s">
        <v>25</v>
      </c>
      <c r="D2307">
        <v>46.525247130368697</v>
      </c>
      <c r="E2307">
        <v>2</v>
      </c>
      <c r="F2307">
        <v>4572</v>
      </c>
      <c r="G2307">
        <v>1</v>
      </c>
      <c r="H2307">
        <v>2</v>
      </c>
      <c r="I2307">
        <v>1970</v>
      </c>
      <c r="J2307">
        <v>1</v>
      </c>
      <c r="K2307">
        <v>0</v>
      </c>
      <c r="L2307">
        <v>1</v>
      </c>
      <c r="M2307">
        <v>13</v>
      </c>
      <c r="N2307" t="s">
        <v>37</v>
      </c>
      <c r="O2307" t="s">
        <v>30</v>
      </c>
      <c r="P2307">
        <v>5.5044897362835501</v>
      </c>
      <c r="Q2307">
        <v>0.80749666471110804</v>
      </c>
      <c r="R2307">
        <v>1.28656127226741</v>
      </c>
      <c r="S2307">
        <v>119</v>
      </c>
      <c r="T2307">
        <v>53</v>
      </c>
      <c r="U2307">
        <v>565.30846526776497</v>
      </c>
      <c r="V2307">
        <v>2.8433945756780399E-3</v>
      </c>
      <c r="W2307">
        <v>2707078.95495325</v>
      </c>
      <c r="X2307" t="s">
        <v>31</v>
      </c>
      <c r="Y2307">
        <f>1-272-544-7733</f>
        <v>-8548</v>
      </c>
    </row>
    <row r="2308" spans="1:25" x14ac:dyDescent="0.35">
      <c r="A2308">
        <v>33.935318948511203</v>
      </c>
      <c r="B2308">
        <v>-118.299114915442</v>
      </c>
      <c r="C2308" t="s">
        <v>34</v>
      </c>
      <c r="D2308">
        <v>24.624876045116601</v>
      </c>
      <c r="E2308">
        <v>6</v>
      </c>
      <c r="F2308">
        <v>4710</v>
      </c>
      <c r="G2308">
        <v>4</v>
      </c>
      <c r="H2308">
        <v>1</v>
      </c>
      <c r="I2308">
        <v>1975</v>
      </c>
      <c r="J2308">
        <v>0</v>
      </c>
      <c r="K2308">
        <v>0</v>
      </c>
      <c r="L2308">
        <v>1</v>
      </c>
      <c r="M2308">
        <v>5</v>
      </c>
      <c r="N2308" t="s">
        <v>35</v>
      </c>
      <c r="O2308" t="s">
        <v>27</v>
      </c>
      <c r="P2308">
        <v>6.4364425348123797</v>
      </c>
      <c r="Q2308">
        <v>0.82286680858211503</v>
      </c>
      <c r="R2308">
        <v>2.5249586060288598</v>
      </c>
      <c r="S2308">
        <v>93</v>
      </c>
      <c r="T2308">
        <v>39</v>
      </c>
      <c r="U2308">
        <v>431.29875588825797</v>
      </c>
      <c r="V2308">
        <v>1.0615711252653899E-3</v>
      </c>
      <c r="W2308">
        <v>2285302.2942394302</v>
      </c>
      <c r="X2308" t="s">
        <v>33</v>
      </c>
      <c r="Y2308">
        <f>1-590-459-1823</f>
        <v>-2871</v>
      </c>
    </row>
    <row r="2309" spans="1:25" x14ac:dyDescent="0.35">
      <c r="A2309">
        <v>37.336627259447901</v>
      </c>
      <c r="B2309">
        <v>-116.616341659014</v>
      </c>
      <c r="C2309" t="s">
        <v>34</v>
      </c>
      <c r="D2309">
        <v>40.374976304243503</v>
      </c>
      <c r="E2309">
        <v>3</v>
      </c>
      <c r="F2309">
        <v>2497</v>
      </c>
      <c r="G2309">
        <v>2</v>
      </c>
      <c r="H2309">
        <v>2</v>
      </c>
      <c r="I2309">
        <v>2019</v>
      </c>
      <c r="J2309">
        <v>1</v>
      </c>
      <c r="K2309">
        <v>1</v>
      </c>
      <c r="L2309">
        <v>1</v>
      </c>
      <c r="M2309">
        <v>9</v>
      </c>
      <c r="N2309" t="s">
        <v>26</v>
      </c>
      <c r="O2309" t="s">
        <v>27</v>
      </c>
      <c r="P2309">
        <v>4.32584362802179</v>
      </c>
      <c r="Q2309">
        <v>2.2700558669610902</v>
      </c>
      <c r="R2309">
        <v>7.9172394275426896</v>
      </c>
      <c r="S2309">
        <v>159</v>
      </c>
      <c r="T2309">
        <v>21</v>
      </c>
      <c r="U2309">
        <v>460.21195923463898</v>
      </c>
      <c r="V2309">
        <v>3.60432519022827E-3</v>
      </c>
      <c r="W2309">
        <v>1470871.9965309901</v>
      </c>
      <c r="X2309" t="s">
        <v>28</v>
      </c>
      <c r="Y2309">
        <f>1-365-702-5247</f>
        <v>-6313</v>
      </c>
    </row>
    <row r="2310" spans="1:25" x14ac:dyDescent="0.35">
      <c r="A2310">
        <v>38.275010747091997</v>
      </c>
      <c r="B2310">
        <v>-117.62979589211599</v>
      </c>
      <c r="C2310" t="s">
        <v>34</v>
      </c>
      <c r="D2310">
        <v>33.646512925824602</v>
      </c>
      <c r="E2310">
        <v>3</v>
      </c>
      <c r="F2310">
        <v>2408</v>
      </c>
      <c r="G2310">
        <v>5</v>
      </c>
      <c r="H2310">
        <v>1</v>
      </c>
      <c r="I2310">
        <v>1963</v>
      </c>
      <c r="J2310">
        <v>0</v>
      </c>
      <c r="K2310">
        <v>0</v>
      </c>
      <c r="L2310">
        <v>1</v>
      </c>
      <c r="M2310">
        <v>5</v>
      </c>
      <c r="N2310" t="s">
        <v>35</v>
      </c>
      <c r="O2310" t="s">
        <v>32</v>
      </c>
      <c r="P2310">
        <v>11.389822145548701</v>
      </c>
      <c r="Q2310">
        <v>1.83917335702911</v>
      </c>
      <c r="R2310">
        <v>8.2333972533991702</v>
      </c>
      <c r="S2310">
        <v>109</v>
      </c>
      <c r="T2310">
        <v>36</v>
      </c>
      <c r="U2310">
        <v>456.26598983464402</v>
      </c>
      <c r="V2310">
        <v>2.0764119601328901E-3</v>
      </c>
      <c r="W2310">
        <v>1383150.9210532799</v>
      </c>
      <c r="X2310" t="s">
        <v>31</v>
      </c>
      <c r="Y2310">
        <f>1-773-256-3151</f>
        <v>-4179</v>
      </c>
    </row>
    <row r="2311" spans="1:25" x14ac:dyDescent="0.35">
      <c r="A2311">
        <v>34.533127120381799</v>
      </c>
      <c r="B2311">
        <v>-117.629406791725</v>
      </c>
      <c r="C2311" t="s">
        <v>34</v>
      </c>
      <c r="D2311">
        <v>41.8214887420812</v>
      </c>
      <c r="E2311">
        <v>9</v>
      </c>
      <c r="F2311">
        <v>1630</v>
      </c>
      <c r="G2311">
        <v>4</v>
      </c>
      <c r="H2311">
        <v>2</v>
      </c>
      <c r="I2311">
        <v>1952</v>
      </c>
      <c r="J2311">
        <v>0</v>
      </c>
      <c r="K2311">
        <v>1</v>
      </c>
      <c r="L2311">
        <v>0</v>
      </c>
      <c r="M2311">
        <v>6</v>
      </c>
      <c r="N2311" t="s">
        <v>26</v>
      </c>
      <c r="O2311" t="s">
        <v>32</v>
      </c>
      <c r="P2311">
        <v>2.0319269583586101</v>
      </c>
      <c r="Q2311">
        <v>0.98298278395931304</v>
      </c>
      <c r="R2311">
        <v>0.788506894121345</v>
      </c>
      <c r="S2311">
        <v>175</v>
      </c>
      <c r="T2311">
        <v>49</v>
      </c>
      <c r="U2311">
        <v>871.69877327941401</v>
      </c>
      <c r="V2311">
        <v>3.6809815950920202E-3</v>
      </c>
      <c r="W2311">
        <v>1601838.94804546</v>
      </c>
      <c r="X2311" t="s">
        <v>44</v>
      </c>
      <c r="Y2311">
        <f>1-532-497-6687</f>
        <v>-7715</v>
      </c>
    </row>
    <row r="2312" spans="1:25" x14ac:dyDescent="0.35">
      <c r="A2312">
        <v>33.749521622166299</v>
      </c>
      <c r="B2312">
        <v>-124.030650287068</v>
      </c>
      <c r="C2312" t="s">
        <v>25</v>
      </c>
      <c r="D2312">
        <v>31.384055605722001</v>
      </c>
      <c r="E2312">
        <v>5</v>
      </c>
      <c r="F2312">
        <v>4180</v>
      </c>
      <c r="G2312">
        <v>2</v>
      </c>
      <c r="H2312">
        <v>2</v>
      </c>
      <c r="I2312">
        <v>1956</v>
      </c>
      <c r="J2312">
        <v>1</v>
      </c>
      <c r="K2312">
        <v>1</v>
      </c>
      <c r="L2312">
        <v>1</v>
      </c>
      <c r="M2312">
        <v>6</v>
      </c>
      <c r="N2312" t="s">
        <v>37</v>
      </c>
      <c r="O2312" t="s">
        <v>32</v>
      </c>
      <c r="P2312">
        <v>5.2288271691084596</v>
      </c>
      <c r="Q2312">
        <v>1.62132012758837</v>
      </c>
      <c r="R2312">
        <v>0.168123862864651</v>
      </c>
      <c r="S2312">
        <v>33</v>
      </c>
      <c r="T2312">
        <v>44</v>
      </c>
      <c r="U2312">
        <v>625.61466953129604</v>
      </c>
      <c r="V2312">
        <v>1.43540669856459E-3</v>
      </c>
      <c r="W2312">
        <v>2963677.8765904801</v>
      </c>
      <c r="X2312" t="s">
        <v>40</v>
      </c>
      <c r="Y2312">
        <f>1-268-176-1085</f>
        <v>-1528</v>
      </c>
    </row>
    <row r="2313" spans="1:25" x14ac:dyDescent="0.35">
      <c r="A2313">
        <v>34.694300243464603</v>
      </c>
      <c r="B2313">
        <v>-122.23918743255101</v>
      </c>
      <c r="C2313" t="s">
        <v>29</v>
      </c>
      <c r="D2313">
        <v>36.112234942631602</v>
      </c>
      <c r="E2313">
        <v>5</v>
      </c>
      <c r="F2313">
        <v>3930</v>
      </c>
      <c r="G2313">
        <v>5</v>
      </c>
      <c r="H2313">
        <v>3</v>
      </c>
      <c r="I2313">
        <v>2018</v>
      </c>
      <c r="J2313">
        <v>1</v>
      </c>
      <c r="K2313">
        <v>0</v>
      </c>
      <c r="L2313">
        <v>0</v>
      </c>
      <c r="M2313">
        <v>2</v>
      </c>
      <c r="N2313" t="s">
        <v>35</v>
      </c>
      <c r="O2313" t="s">
        <v>27</v>
      </c>
      <c r="P2313">
        <v>7.4786084163734703</v>
      </c>
      <c r="Q2313">
        <v>1.2941082778921</v>
      </c>
      <c r="R2313">
        <v>6.3662294276372302</v>
      </c>
      <c r="S2313">
        <v>136</v>
      </c>
      <c r="T2313">
        <v>60</v>
      </c>
      <c r="U2313">
        <v>677.42308816260902</v>
      </c>
      <c r="V2313">
        <v>5.0890585241730203E-4</v>
      </c>
      <c r="W2313">
        <v>3046376.4322306402</v>
      </c>
      <c r="X2313" t="s">
        <v>40</v>
      </c>
      <c r="Y2313">
        <f>1-781-756-4751</f>
        <v>-6287</v>
      </c>
    </row>
    <row r="2314" spans="1:25" x14ac:dyDescent="0.35">
      <c r="A2314">
        <v>36.5343616987224</v>
      </c>
      <c r="B2314">
        <v>-117.637015214637</v>
      </c>
      <c r="C2314" t="s">
        <v>25</v>
      </c>
      <c r="D2314">
        <v>30.897904404359199</v>
      </c>
      <c r="E2314">
        <v>5</v>
      </c>
      <c r="F2314">
        <v>4464</v>
      </c>
      <c r="G2314">
        <v>1</v>
      </c>
      <c r="H2314">
        <v>1</v>
      </c>
      <c r="I2314">
        <v>1981</v>
      </c>
      <c r="J2314">
        <v>0</v>
      </c>
      <c r="K2314">
        <v>0</v>
      </c>
      <c r="L2314">
        <v>0</v>
      </c>
      <c r="M2314">
        <v>5</v>
      </c>
      <c r="N2314" t="s">
        <v>26</v>
      </c>
      <c r="O2314" t="s">
        <v>32</v>
      </c>
      <c r="P2314">
        <v>7.4458448270348301</v>
      </c>
      <c r="Q2314">
        <v>1.74300762031473</v>
      </c>
      <c r="R2314">
        <v>8.2374640341084895</v>
      </c>
      <c r="S2314">
        <v>7</v>
      </c>
      <c r="T2314">
        <v>73</v>
      </c>
      <c r="U2314">
        <v>395.05707068504699</v>
      </c>
      <c r="V2314">
        <v>1.1200716845878101E-3</v>
      </c>
      <c r="W2314">
        <v>1758550.3867303</v>
      </c>
      <c r="X2314" t="s">
        <v>44</v>
      </c>
      <c r="Y2314">
        <f>1-420-857-6331</f>
        <v>-7607</v>
      </c>
    </row>
    <row r="2315" spans="1:25" x14ac:dyDescent="0.35">
      <c r="A2315">
        <v>34.145490198805199</v>
      </c>
      <c r="B2315">
        <v>-118.004959962903</v>
      </c>
      <c r="C2315" t="s">
        <v>29</v>
      </c>
      <c r="D2315">
        <v>44.090754754651599</v>
      </c>
      <c r="E2315">
        <v>2</v>
      </c>
      <c r="F2315">
        <v>2930</v>
      </c>
      <c r="G2315">
        <v>5</v>
      </c>
      <c r="H2315">
        <v>1</v>
      </c>
      <c r="I2315">
        <v>2002</v>
      </c>
      <c r="J2315">
        <v>1</v>
      </c>
      <c r="K2315">
        <v>1</v>
      </c>
      <c r="L2315">
        <v>1</v>
      </c>
      <c r="M2315">
        <v>8</v>
      </c>
      <c r="N2315" t="s">
        <v>41</v>
      </c>
      <c r="O2315" t="s">
        <v>32</v>
      </c>
      <c r="P2315">
        <v>3.2783713243789898</v>
      </c>
      <c r="Q2315">
        <v>0.88938345402388597</v>
      </c>
      <c r="R2315">
        <v>6.9411147788112402</v>
      </c>
      <c r="S2315">
        <v>35</v>
      </c>
      <c r="T2315">
        <v>71</v>
      </c>
      <c r="U2315">
        <v>352.673287831332</v>
      </c>
      <c r="V2315">
        <v>2.73037542662116E-3</v>
      </c>
      <c r="W2315">
        <v>1409746.7659757601</v>
      </c>
      <c r="X2315" t="s">
        <v>31</v>
      </c>
      <c r="Y2315">
        <f>1-234-829-8827</f>
        <v>-9889</v>
      </c>
    </row>
    <row r="2316" spans="1:25" x14ac:dyDescent="0.35">
      <c r="A2316">
        <v>33.334894535253902</v>
      </c>
      <c r="B2316">
        <v>-122.09676912146701</v>
      </c>
      <c r="C2316" t="s">
        <v>25</v>
      </c>
      <c r="D2316">
        <v>24.541561462230401</v>
      </c>
      <c r="E2316">
        <v>3</v>
      </c>
      <c r="F2316">
        <v>4862</v>
      </c>
      <c r="G2316">
        <v>5</v>
      </c>
      <c r="H2316">
        <v>3</v>
      </c>
      <c r="I2316">
        <v>2014</v>
      </c>
      <c r="J2316">
        <v>1</v>
      </c>
      <c r="K2316">
        <v>0</v>
      </c>
      <c r="L2316">
        <v>1</v>
      </c>
      <c r="M2316">
        <v>13</v>
      </c>
      <c r="N2316" t="s">
        <v>41</v>
      </c>
      <c r="O2316" t="s">
        <v>32</v>
      </c>
      <c r="P2316">
        <v>13.9578767587009</v>
      </c>
      <c r="Q2316">
        <v>2.3695682448233102</v>
      </c>
      <c r="R2316">
        <v>3.5214297309703899</v>
      </c>
      <c r="S2316">
        <v>67</v>
      </c>
      <c r="T2316">
        <v>35</v>
      </c>
      <c r="U2316">
        <v>401.34425249851</v>
      </c>
      <c r="V2316">
        <v>2.6737967914438501E-3</v>
      </c>
      <c r="W2316">
        <v>2396165.48717169</v>
      </c>
      <c r="X2316" t="s">
        <v>39</v>
      </c>
      <c r="Y2316">
        <f>1-970-707-3182</f>
        <v>-4858</v>
      </c>
    </row>
    <row r="2317" spans="1:25" x14ac:dyDescent="0.35">
      <c r="A2317">
        <v>39.9324715408519</v>
      </c>
      <c r="B2317">
        <v>-118.558030654685</v>
      </c>
      <c r="C2317" t="s">
        <v>25</v>
      </c>
      <c r="D2317">
        <v>49.643736197473601</v>
      </c>
      <c r="E2317">
        <v>3</v>
      </c>
      <c r="F2317">
        <v>3611</v>
      </c>
      <c r="G2317">
        <v>3</v>
      </c>
      <c r="H2317">
        <v>2</v>
      </c>
      <c r="I2317">
        <v>2016</v>
      </c>
      <c r="J2317">
        <v>1</v>
      </c>
      <c r="K2317">
        <v>0</v>
      </c>
      <c r="L2317">
        <v>0</v>
      </c>
      <c r="M2317">
        <v>6</v>
      </c>
      <c r="N2317" t="s">
        <v>26</v>
      </c>
      <c r="O2317" t="s">
        <v>27</v>
      </c>
      <c r="P2317">
        <v>6.5707390561426697</v>
      </c>
      <c r="Q2317">
        <v>2.10832328215138</v>
      </c>
      <c r="R2317">
        <v>8.0456748274349597</v>
      </c>
      <c r="S2317">
        <v>45</v>
      </c>
      <c r="T2317">
        <v>27</v>
      </c>
      <c r="U2317">
        <v>203.224909579176</v>
      </c>
      <c r="V2317">
        <v>1.66158958737191E-3</v>
      </c>
      <c r="W2317">
        <v>934352.17670432397</v>
      </c>
      <c r="X2317" t="s">
        <v>42</v>
      </c>
      <c r="Y2317">
        <f>1-417-751-6980</f>
        <v>-8147</v>
      </c>
    </row>
    <row r="2318" spans="1:25" x14ac:dyDescent="0.35">
      <c r="A2318">
        <v>41.5540632896017</v>
      </c>
      <c r="B2318">
        <v>-116.09210907577101</v>
      </c>
      <c r="C2318" t="s">
        <v>34</v>
      </c>
      <c r="D2318">
        <v>37.224831240916203</v>
      </c>
      <c r="E2318">
        <v>7</v>
      </c>
      <c r="F2318">
        <v>1465</v>
      </c>
      <c r="G2318">
        <v>3</v>
      </c>
      <c r="H2318">
        <v>3</v>
      </c>
      <c r="I2318">
        <v>2019</v>
      </c>
      <c r="J2318">
        <v>0</v>
      </c>
      <c r="K2318">
        <v>0</v>
      </c>
      <c r="L2318">
        <v>0</v>
      </c>
      <c r="M2318">
        <v>14</v>
      </c>
      <c r="N2318" t="s">
        <v>41</v>
      </c>
      <c r="O2318" t="s">
        <v>32</v>
      </c>
      <c r="P2318">
        <v>4.7881634227586698</v>
      </c>
      <c r="Q2318">
        <v>1.8214439377848</v>
      </c>
      <c r="R2318">
        <v>1.94829795805189</v>
      </c>
      <c r="S2318">
        <v>14</v>
      </c>
      <c r="T2318">
        <v>36</v>
      </c>
      <c r="U2318">
        <v>318.20170347565198</v>
      </c>
      <c r="V2318">
        <v>9.5563139931740607E-3</v>
      </c>
      <c r="W2318">
        <v>780884.65180421795</v>
      </c>
      <c r="X2318" t="s">
        <v>38</v>
      </c>
      <c r="Y2318">
        <f>1-728-366-8309</f>
        <v>-9402</v>
      </c>
    </row>
    <row r="2319" spans="1:25" x14ac:dyDescent="0.35">
      <c r="A2319">
        <v>39.102120593460398</v>
      </c>
      <c r="B2319">
        <v>-116.624229551767</v>
      </c>
      <c r="C2319" t="s">
        <v>34</v>
      </c>
      <c r="D2319">
        <v>41.121216238864598</v>
      </c>
      <c r="E2319">
        <v>7</v>
      </c>
      <c r="F2319">
        <v>4904</v>
      </c>
      <c r="G2319">
        <v>1</v>
      </c>
      <c r="H2319">
        <v>2</v>
      </c>
      <c r="I2319">
        <v>1999</v>
      </c>
      <c r="J2319">
        <v>0</v>
      </c>
      <c r="K2319">
        <v>1</v>
      </c>
      <c r="L2319">
        <v>0</v>
      </c>
      <c r="M2319">
        <v>5</v>
      </c>
      <c r="N2319" t="s">
        <v>37</v>
      </c>
      <c r="O2319" t="s">
        <v>30</v>
      </c>
      <c r="P2319">
        <v>4.4825279212286002</v>
      </c>
      <c r="Q2319">
        <v>1.9609017111787801</v>
      </c>
      <c r="R2319">
        <v>3.51017710850833</v>
      </c>
      <c r="S2319">
        <v>156</v>
      </c>
      <c r="T2319">
        <v>70</v>
      </c>
      <c r="U2319">
        <v>215.504610869083</v>
      </c>
      <c r="V2319">
        <v>1.01957585644371E-3</v>
      </c>
      <c r="W2319">
        <v>1225153.79319444</v>
      </c>
      <c r="X2319" t="s">
        <v>43</v>
      </c>
      <c r="Y2319">
        <f>1-355-618-6057</f>
        <v>-7029</v>
      </c>
    </row>
    <row r="2320" spans="1:25" x14ac:dyDescent="0.35">
      <c r="A2320">
        <v>38.218780634100597</v>
      </c>
      <c r="B2320">
        <v>-118.66804806636</v>
      </c>
      <c r="C2320" t="s">
        <v>25</v>
      </c>
      <c r="D2320">
        <v>35.5380760355877</v>
      </c>
      <c r="E2320">
        <v>1</v>
      </c>
      <c r="F2320">
        <v>4334</v>
      </c>
      <c r="G2320">
        <v>1</v>
      </c>
      <c r="H2320">
        <v>3</v>
      </c>
      <c r="I2320">
        <v>2016</v>
      </c>
      <c r="J2320">
        <v>0</v>
      </c>
      <c r="K2320">
        <v>1</v>
      </c>
      <c r="L2320">
        <v>1</v>
      </c>
      <c r="M2320">
        <v>7</v>
      </c>
      <c r="N2320" t="s">
        <v>26</v>
      </c>
      <c r="O2320" t="s">
        <v>27</v>
      </c>
      <c r="P2320">
        <v>3.5452380976395999</v>
      </c>
      <c r="Q2320">
        <v>2.2793088786776998</v>
      </c>
      <c r="R2320">
        <v>8.1995818329879206</v>
      </c>
      <c r="S2320">
        <v>129</v>
      </c>
      <c r="T2320">
        <v>26</v>
      </c>
      <c r="U2320">
        <v>415.85149668509098</v>
      </c>
      <c r="V2320">
        <v>1.61513613290263E-3</v>
      </c>
      <c r="W2320">
        <v>2014920.6217449501</v>
      </c>
      <c r="X2320" t="s">
        <v>43</v>
      </c>
      <c r="Y2320">
        <f>1-487-945-4111</f>
        <v>-5542</v>
      </c>
    </row>
    <row r="2321" spans="1:25" x14ac:dyDescent="0.35">
      <c r="A2321">
        <v>39.182589123437999</v>
      </c>
      <c r="B2321">
        <v>-122.886647961994</v>
      </c>
      <c r="C2321" t="s">
        <v>29</v>
      </c>
      <c r="D2321">
        <v>3.6414423947357699</v>
      </c>
      <c r="E2321">
        <v>6</v>
      </c>
      <c r="F2321">
        <v>2766</v>
      </c>
      <c r="G2321">
        <v>5</v>
      </c>
      <c r="H2321">
        <v>3</v>
      </c>
      <c r="I2321">
        <v>1996</v>
      </c>
      <c r="J2321">
        <v>1</v>
      </c>
      <c r="K2321">
        <v>0</v>
      </c>
      <c r="L2321">
        <v>1</v>
      </c>
      <c r="M2321">
        <v>10</v>
      </c>
      <c r="N2321" t="s">
        <v>26</v>
      </c>
      <c r="O2321" t="s">
        <v>32</v>
      </c>
      <c r="P2321">
        <v>6.0736806771917804</v>
      </c>
      <c r="Q2321">
        <v>0.72743485994245705</v>
      </c>
      <c r="R2321">
        <v>6.6981819960085698</v>
      </c>
      <c r="S2321">
        <v>115</v>
      </c>
      <c r="T2321">
        <v>31</v>
      </c>
      <c r="U2321">
        <v>930.81489608263701</v>
      </c>
      <c r="V2321">
        <v>3.6153289949385301E-3</v>
      </c>
      <c r="W2321">
        <v>3029360.5399797801</v>
      </c>
      <c r="X2321" t="s">
        <v>42</v>
      </c>
      <c r="Y2321">
        <f>1-561-360-6203</f>
        <v>-7123</v>
      </c>
    </row>
    <row r="2322" spans="1:25" x14ac:dyDescent="0.35">
      <c r="A2322">
        <v>36.830040939801599</v>
      </c>
      <c r="B2322">
        <v>-121.85884915549801</v>
      </c>
      <c r="C2322" t="s">
        <v>34</v>
      </c>
      <c r="D2322">
        <v>22.9395533364996</v>
      </c>
      <c r="E2322">
        <v>7</v>
      </c>
      <c r="F2322">
        <v>4290</v>
      </c>
      <c r="G2322">
        <v>3</v>
      </c>
      <c r="H2322">
        <v>1</v>
      </c>
      <c r="I2322">
        <v>1990</v>
      </c>
      <c r="J2322">
        <v>1</v>
      </c>
      <c r="K2322">
        <v>0</v>
      </c>
      <c r="L2322">
        <v>1</v>
      </c>
      <c r="M2322">
        <v>6</v>
      </c>
      <c r="N2322" t="s">
        <v>41</v>
      </c>
      <c r="O2322" t="s">
        <v>30</v>
      </c>
      <c r="P2322">
        <v>10.4622958369806</v>
      </c>
      <c r="Q2322">
        <v>1.6393825078057001</v>
      </c>
      <c r="R2322">
        <v>0.86052532011262695</v>
      </c>
      <c r="S2322">
        <v>67</v>
      </c>
      <c r="T2322">
        <v>29</v>
      </c>
      <c r="U2322">
        <v>899.15671349207503</v>
      </c>
      <c r="V2322">
        <v>1.3986013986013899E-3</v>
      </c>
      <c r="W2322">
        <v>4093792.2284301501</v>
      </c>
      <c r="X2322" t="s">
        <v>40</v>
      </c>
      <c r="Y2322">
        <f>1-282-411-7538</f>
        <v>-8230</v>
      </c>
    </row>
    <row r="2323" spans="1:25" x14ac:dyDescent="0.35">
      <c r="A2323">
        <v>35.757649198739202</v>
      </c>
      <c r="B2323">
        <v>-117.40928887510501</v>
      </c>
      <c r="C2323" t="s">
        <v>25</v>
      </c>
      <c r="D2323">
        <v>44.168483023229598</v>
      </c>
      <c r="E2323">
        <v>1</v>
      </c>
      <c r="F2323">
        <v>1109</v>
      </c>
      <c r="G2323">
        <v>4</v>
      </c>
      <c r="H2323">
        <v>3</v>
      </c>
      <c r="I2323">
        <v>1996</v>
      </c>
      <c r="J2323">
        <v>1</v>
      </c>
      <c r="K2323">
        <v>0</v>
      </c>
      <c r="L2323">
        <v>1</v>
      </c>
      <c r="M2323">
        <v>3</v>
      </c>
      <c r="N2323" t="s">
        <v>41</v>
      </c>
      <c r="O2323" t="s">
        <v>30</v>
      </c>
      <c r="P2323">
        <v>12.5276294967066</v>
      </c>
      <c r="Q2323">
        <v>2.47549287038458</v>
      </c>
      <c r="R2323">
        <v>2.42403289583764</v>
      </c>
      <c r="S2323">
        <v>24</v>
      </c>
      <c r="T2323">
        <v>38</v>
      </c>
      <c r="U2323">
        <v>405.50164725663598</v>
      </c>
      <c r="V2323">
        <v>2.7051397655545499E-3</v>
      </c>
      <c r="W2323">
        <v>862751.89715632296</v>
      </c>
      <c r="X2323" t="s">
        <v>28</v>
      </c>
      <c r="Y2323">
        <f>1-225-925-1641</f>
        <v>-2790</v>
      </c>
    </row>
    <row r="2324" spans="1:25" x14ac:dyDescent="0.35">
      <c r="A2324">
        <v>38.490058101203999</v>
      </c>
      <c r="B2324">
        <v>-116.112373573336</v>
      </c>
      <c r="C2324" t="s">
        <v>34</v>
      </c>
      <c r="D2324">
        <v>46.389035275229404</v>
      </c>
      <c r="E2324">
        <v>9</v>
      </c>
      <c r="F2324">
        <v>3592</v>
      </c>
      <c r="G2324">
        <v>1</v>
      </c>
      <c r="H2324">
        <v>1</v>
      </c>
      <c r="I2324">
        <v>1985</v>
      </c>
      <c r="J2324">
        <v>1</v>
      </c>
      <c r="K2324">
        <v>1</v>
      </c>
      <c r="L2324">
        <v>0</v>
      </c>
      <c r="M2324">
        <v>8</v>
      </c>
      <c r="N2324" t="s">
        <v>37</v>
      </c>
      <c r="O2324" t="s">
        <v>27</v>
      </c>
      <c r="P2324">
        <v>6.3594804401464904</v>
      </c>
      <c r="Q2324">
        <v>1.5744852325377701</v>
      </c>
      <c r="R2324">
        <v>8.6562579342199797</v>
      </c>
      <c r="S2324">
        <v>125</v>
      </c>
      <c r="T2324">
        <v>37</v>
      </c>
      <c r="U2324">
        <v>640.99397506778905</v>
      </c>
      <c r="V2324">
        <v>2.2271714922048901E-3</v>
      </c>
      <c r="W2324">
        <v>2464288.1635720399</v>
      </c>
      <c r="X2324" t="s">
        <v>28</v>
      </c>
      <c r="Y2324">
        <f>1-938-991-1215</f>
        <v>-3143</v>
      </c>
    </row>
    <row r="2325" spans="1:25" x14ac:dyDescent="0.35">
      <c r="A2325">
        <v>41.528633470708797</v>
      </c>
      <c r="B2325">
        <v>-121.528407125428</v>
      </c>
      <c r="C2325" t="s">
        <v>34</v>
      </c>
      <c r="D2325">
        <v>24.789028441029298</v>
      </c>
      <c r="E2325">
        <v>2</v>
      </c>
      <c r="F2325">
        <v>4752</v>
      </c>
      <c r="G2325">
        <v>2</v>
      </c>
      <c r="H2325">
        <v>3</v>
      </c>
      <c r="I2325">
        <v>2001</v>
      </c>
      <c r="J2325">
        <v>1</v>
      </c>
      <c r="K2325">
        <v>0</v>
      </c>
      <c r="L2325">
        <v>1</v>
      </c>
      <c r="M2325">
        <v>6</v>
      </c>
      <c r="N2325" t="s">
        <v>41</v>
      </c>
      <c r="O2325" t="s">
        <v>32</v>
      </c>
      <c r="P2325">
        <v>4.17238472136341</v>
      </c>
      <c r="Q2325">
        <v>1.23611746902201</v>
      </c>
      <c r="R2325">
        <v>1.10189729712152</v>
      </c>
      <c r="S2325">
        <v>175</v>
      </c>
      <c r="T2325">
        <v>77</v>
      </c>
      <c r="U2325">
        <v>722.39537666152501</v>
      </c>
      <c r="V2325">
        <v>1.2626262626262599E-3</v>
      </c>
      <c r="W2325">
        <v>3685461.3479635599</v>
      </c>
      <c r="X2325" t="s">
        <v>44</v>
      </c>
      <c r="Y2325">
        <f>1-670-222-7805</f>
        <v>-8696</v>
      </c>
    </row>
    <row r="2326" spans="1:25" x14ac:dyDescent="0.35">
      <c r="A2326">
        <v>40.672521892972597</v>
      </c>
      <c r="B2326">
        <v>-114.420978414443</v>
      </c>
      <c r="C2326" t="s">
        <v>34</v>
      </c>
      <c r="D2326">
        <v>9.7550022464110402</v>
      </c>
      <c r="E2326">
        <v>5</v>
      </c>
      <c r="F2326">
        <v>1141</v>
      </c>
      <c r="G2326">
        <v>4</v>
      </c>
      <c r="H2326">
        <v>1</v>
      </c>
      <c r="I2326">
        <v>2001</v>
      </c>
      <c r="J2326">
        <v>1</v>
      </c>
      <c r="K2326">
        <v>1</v>
      </c>
      <c r="L2326">
        <v>0</v>
      </c>
      <c r="M2326">
        <v>14</v>
      </c>
      <c r="N2326" t="s">
        <v>35</v>
      </c>
      <c r="O2326" t="s">
        <v>27</v>
      </c>
      <c r="P2326">
        <v>3.80212644218533</v>
      </c>
      <c r="Q2326">
        <v>1.8804299997384299</v>
      </c>
      <c r="R2326">
        <v>1.1091352365154401</v>
      </c>
      <c r="S2326">
        <v>183</v>
      </c>
      <c r="T2326">
        <v>54</v>
      </c>
      <c r="U2326">
        <v>788.32908250654702</v>
      </c>
      <c r="V2326">
        <v>1.22699386503067E-2</v>
      </c>
      <c r="W2326">
        <v>1196982.98581277</v>
      </c>
      <c r="X2326" t="s">
        <v>43</v>
      </c>
      <c r="Y2326">
        <f>1-263-275-4783</f>
        <v>-5320</v>
      </c>
    </row>
    <row r="2327" spans="1:25" x14ac:dyDescent="0.35">
      <c r="A2327">
        <v>32.684095280724797</v>
      </c>
      <c r="B2327">
        <v>-122.829050526882</v>
      </c>
      <c r="C2327" t="s">
        <v>25</v>
      </c>
      <c r="D2327">
        <v>4.0972713251323301</v>
      </c>
      <c r="E2327">
        <v>9</v>
      </c>
      <c r="F2327">
        <v>2741</v>
      </c>
      <c r="G2327">
        <v>5</v>
      </c>
      <c r="H2327">
        <v>3</v>
      </c>
      <c r="I2327">
        <v>1955</v>
      </c>
      <c r="J2327">
        <v>1</v>
      </c>
      <c r="K2327">
        <v>1</v>
      </c>
      <c r="L2327">
        <v>0</v>
      </c>
      <c r="M2327">
        <v>9</v>
      </c>
      <c r="N2327" t="s">
        <v>41</v>
      </c>
      <c r="O2327" t="s">
        <v>27</v>
      </c>
      <c r="P2327">
        <v>13.2390405853094</v>
      </c>
      <c r="Q2327">
        <v>1.0910834584795399</v>
      </c>
      <c r="R2327">
        <v>4.23228355544902E-2</v>
      </c>
      <c r="S2327">
        <v>9</v>
      </c>
      <c r="T2327">
        <v>33</v>
      </c>
      <c r="U2327">
        <v>502.64734469793802</v>
      </c>
      <c r="V2327">
        <v>3.2834731849689801E-3</v>
      </c>
      <c r="W2327">
        <v>1893845.5812232301</v>
      </c>
      <c r="X2327" t="s">
        <v>40</v>
      </c>
      <c r="Y2327">
        <f>1-801-493-7318</f>
        <v>-8611</v>
      </c>
    </row>
    <row r="2328" spans="1:25" x14ac:dyDescent="0.35">
      <c r="A2328">
        <v>34.860174910806599</v>
      </c>
      <c r="B2328">
        <v>-114.908412665082</v>
      </c>
      <c r="C2328" t="s">
        <v>34</v>
      </c>
      <c r="D2328">
        <v>16.704295516124098</v>
      </c>
      <c r="E2328">
        <v>1</v>
      </c>
      <c r="F2328">
        <v>4082</v>
      </c>
      <c r="G2328">
        <v>3</v>
      </c>
      <c r="H2328">
        <v>1</v>
      </c>
      <c r="I2328">
        <v>2020</v>
      </c>
      <c r="J2328">
        <v>1</v>
      </c>
      <c r="K2328">
        <v>0</v>
      </c>
      <c r="L2328">
        <v>0</v>
      </c>
      <c r="M2328">
        <v>9</v>
      </c>
      <c r="N2328" t="s">
        <v>35</v>
      </c>
      <c r="O2328" t="s">
        <v>32</v>
      </c>
      <c r="P2328">
        <v>4.7919641989950401</v>
      </c>
      <c r="Q2328">
        <v>0.68103719637272597</v>
      </c>
      <c r="R2328">
        <v>1.20245459116246</v>
      </c>
      <c r="S2328">
        <v>56</v>
      </c>
      <c r="T2328">
        <v>47</v>
      </c>
      <c r="U2328">
        <v>257.37293070088498</v>
      </c>
      <c r="V2328">
        <v>2.2048015678588898E-3</v>
      </c>
      <c r="W2328">
        <v>1211460.0094946499</v>
      </c>
      <c r="X2328" t="s">
        <v>36</v>
      </c>
      <c r="Y2328">
        <f>1-965-835-7572</f>
        <v>-9371</v>
      </c>
    </row>
    <row r="2329" spans="1:25" x14ac:dyDescent="0.35">
      <c r="A2329">
        <v>40.071124025487102</v>
      </c>
      <c r="B2329">
        <v>-122.59917325213701</v>
      </c>
      <c r="C2329" t="s">
        <v>29</v>
      </c>
      <c r="D2329">
        <v>42.550736049382202</v>
      </c>
      <c r="E2329">
        <v>9</v>
      </c>
      <c r="F2329">
        <v>2637</v>
      </c>
      <c r="G2329">
        <v>1</v>
      </c>
      <c r="H2329">
        <v>1</v>
      </c>
      <c r="I2329">
        <v>1983</v>
      </c>
      <c r="J2329">
        <v>0</v>
      </c>
      <c r="K2329">
        <v>1</v>
      </c>
      <c r="L2329">
        <v>0</v>
      </c>
      <c r="M2329">
        <v>4</v>
      </c>
      <c r="N2329" t="s">
        <v>41</v>
      </c>
      <c r="O2329" t="s">
        <v>30</v>
      </c>
      <c r="P2329">
        <v>3.6574483041108601</v>
      </c>
      <c r="Q2329">
        <v>2.2731907289410298</v>
      </c>
      <c r="R2329">
        <v>5.4190952260730398</v>
      </c>
      <c r="S2329">
        <v>87</v>
      </c>
      <c r="T2329">
        <v>32</v>
      </c>
      <c r="U2329">
        <v>215.01318301703299</v>
      </c>
      <c r="V2329">
        <v>1.5168752370117501E-3</v>
      </c>
      <c r="W2329">
        <v>643051.14105032</v>
      </c>
      <c r="X2329" t="s">
        <v>38</v>
      </c>
      <c r="Y2329">
        <f>1-383-571-7047</f>
        <v>-8000</v>
      </c>
    </row>
    <row r="2330" spans="1:25" x14ac:dyDescent="0.35">
      <c r="A2330">
        <v>35.964061546775497</v>
      </c>
      <c r="B2330">
        <v>-115.723078438377</v>
      </c>
      <c r="C2330" t="s">
        <v>25</v>
      </c>
      <c r="D2330">
        <v>9.7700199180303393</v>
      </c>
      <c r="E2330">
        <v>8</v>
      </c>
      <c r="F2330">
        <v>1649</v>
      </c>
      <c r="G2330">
        <v>4</v>
      </c>
      <c r="H2330">
        <v>3</v>
      </c>
      <c r="I2330">
        <v>1973</v>
      </c>
      <c r="J2330">
        <v>0</v>
      </c>
      <c r="K2330">
        <v>0</v>
      </c>
      <c r="L2330">
        <v>0</v>
      </c>
      <c r="M2330">
        <v>14</v>
      </c>
      <c r="N2330" t="s">
        <v>26</v>
      </c>
      <c r="O2330" t="s">
        <v>30</v>
      </c>
      <c r="P2330">
        <v>2.3885507413938898</v>
      </c>
      <c r="Q2330">
        <v>1.0472728862090901</v>
      </c>
      <c r="R2330">
        <v>3.11562969976465</v>
      </c>
      <c r="S2330">
        <v>19</v>
      </c>
      <c r="T2330">
        <v>64</v>
      </c>
      <c r="U2330">
        <v>371.25406774636298</v>
      </c>
      <c r="V2330">
        <v>8.4899939357186097E-3</v>
      </c>
      <c r="W2330">
        <v>885199.11977166205</v>
      </c>
      <c r="X2330" t="s">
        <v>31</v>
      </c>
      <c r="Y2330">
        <f>1-766-497-8044</f>
        <v>-9306</v>
      </c>
    </row>
    <row r="2331" spans="1:25" x14ac:dyDescent="0.35">
      <c r="A2331">
        <v>40.275994547126601</v>
      </c>
      <c r="B2331">
        <v>-121.923601801397</v>
      </c>
      <c r="C2331" t="s">
        <v>29</v>
      </c>
      <c r="D2331">
        <v>20.487309905389999</v>
      </c>
      <c r="E2331">
        <v>4</v>
      </c>
      <c r="F2331">
        <v>4074</v>
      </c>
      <c r="G2331">
        <v>4</v>
      </c>
      <c r="H2331">
        <v>1</v>
      </c>
      <c r="I2331">
        <v>1988</v>
      </c>
      <c r="J2331">
        <v>1</v>
      </c>
      <c r="K2331">
        <v>0</v>
      </c>
      <c r="L2331">
        <v>0</v>
      </c>
      <c r="M2331">
        <v>9</v>
      </c>
      <c r="N2331" t="s">
        <v>41</v>
      </c>
      <c r="O2331" t="s">
        <v>27</v>
      </c>
      <c r="P2331">
        <v>5.0276876470958998</v>
      </c>
      <c r="Q2331">
        <v>2.0669095029567401</v>
      </c>
      <c r="R2331">
        <v>9.8674413974970001</v>
      </c>
      <c r="S2331">
        <v>29</v>
      </c>
      <c r="T2331">
        <v>25</v>
      </c>
      <c r="U2331">
        <v>530.70280467961402</v>
      </c>
      <c r="V2331">
        <v>2.20913107511045E-3</v>
      </c>
      <c r="W2331">
        <v>2378805.74348523</v>
      </c>
      <c r="X2331" t="s">
        <v>36</v>
      </c>
      <c r="Y2331">
        <f>1-989-935-1300</f>
        <v>-3223</v>
      </c>
    </row>
    <row r="2332" spans="1:25" x14ac:dyDescent="0.35">
      <c r="A2332">
        <v>33.296406735355198</v>
      </c>
      <c r="B2332">
        <v>-124.35786173727401</v>
      </c>
      <c r="C2332" t="s">
        <v>25</v>
      </c>
      <c r="D2332">
        <v>39.751471284863896</v>
      </c>
      <c r="E2332">
        <v>0</v>
      </c>
      <c r="F2332">
        <v>2533</v>
      </c>
      <c r="G2332">
        <v>5</v>
      </c>
      <c r="H2332">
        <v>1</v>
      </c>
      <c r="I2332">
        <v>1969</v>
      </c>
      <c r="J2332">
        <v>0</v>
      </c>
      <c r="K2332">
        <v>1</v>
      </c>
      <c r="L2332">
        <v>1</v>
      </c>
      <c r="M2332">
        <v>14</v>
      </c>
      <c r="N2332" t="s">
        <v>35</v>
      </c>
      <c r="O2332" t="s">
        <v>32</v>
      </c>
      <c r="P2332">
        <v>2.6277941027115901</v>
      </c>
      <c r="Q2332">
        <v>1.1160163181140701</v>
      </c>
      <c r="R2332">
        <v>5.5063952980990702</v>
      </c>
      <c r="S2332">
        <v>131</v>
      </c>
      <c r="T2332">
        <v>22</v>
      </c>
      <c r="U2332">
        <v>874.01047501700702</v>
      </c>
      <c r="V2332">
        <v>5.5270430319778897E-3</v>
      </c>
      <c r="W2332">
        <v>2532905.9749637102</v>
      </c>
      <c r="X2332" t="s">
        <v>33</v>
      </c>
      <c r="Y2332">
        <f>1-650-626-2172</f>
        <v>-3447</v>
      </c>
    </row>
    <row r="2333" spans="1:25" x14ac:dyDescent="0.35">
      <c r="A2333">
        <v>37.867683319573104</v>
      </c>
      <c r="B2333">
        <v>-118.40753006244</v>
      </c>
      <c r="C2333" t="s">
        <v>25</v>
      </c>
      <c r="D2333">
        <v>16.890738591623201</v>
      </c>
      <c r="E2333">
        <v>4</v>
      </c>
      <c r="F2333">
        <v>3510</v>
      </c>
      <c r="G2333">
        <v>3</v>
      </c>
      <c r="H2333">
        <v>2</v>
      </c>
      <c r="I2333">
        <v>1981</v>
      </c>
      <c r="J2333">
        <v>0</v>
      </c>
      <c r="K2333">
        <v>0</v>
      </c>
      <c r="L2333">
        <v>1</v>
      </c>
      <c r="M2333">
        <v>7</v>
      </c>
      <c r="N2333" t="s">
        <v>37</v>
      </c>
      <c r="O2333" t="s">
        <v>32</v>
      </c>
      <c r="P2333">
        <v>5.0084210391363504</v>
      </c>
      <c r="Q2333">
        <v>1.1218380800927801</v>
      </c>
      <c r="R2333">
        <v>7.4771171071268503</v>
      </c>
      <c r="S2333">
        <v>146</v>
      </c>
      <c r="T2333">
        <v>63</v>
      </c>
      <c r="U2333">
        <v>446.55636572433201</v>
      </c>
      <c r="V2333">
        <v>1.9943019943019901E-3</v>
      </c>
      <c r="W2333">
        <v>1757722.0396593299</v>
      </c>
      <c r="X2333" t="s">
        <v>38</v>
      </c>
      <c r="Y2333">
        <f>1-282-624-3721</f>
        <v>-4626</v>
      </c>
    </row>
    <row r="2334" spans="1:25" x14ac:dyDescent="0.35">
      <c r="A2334">
        <v>40.180008803886103</v>
      </c>
      <c r="B2334">
        <v>-120.489610509543</v>
      </c>
      <c r="C2334" t="s">
        <v>25</v>
      </c>
      <c r="D2334">
        <v>32.507969928528702</v>
      </c>
      <c r="E2334">
        <v>2</v>
      </c>
      <c r="F2334">
        <v>1140</v>
      </c>
      <c r="G2334">
        <v>1</v>
      </c>
      <c r="H2334">
        <v>1</v>
      </c>
      <c r="I2334">
        <v>1969</v>
      </c>
      <c r="J2334">
        <v>0</v>
      </c>
      <c r="K2334">
        <v>1</v>
      </c>
      <c r="L2334">
        <v>0</v>
      </c>
      <c r="M2334">
        <v>9</v>
      </c>
      <c r="N2334" t="s">
        <v>41</v>
      </c>
      <c r="O2334" t="s">
        <v>27</v>
      </c>
      <c r="P2334">
        <v>6.7543609570610199</v>
      </c>
      <c r="Q2334">
        <v>1.1787297599488999</v>
      </c>
      <c r="R2334">
        <v>6.7629141071515004</v>
      </c>
      <c r="S2334">
        <v>134</v>
      </c>
      <c r="T2334">
        <v>57</v>
      </c>
      <c r="U2334">
        <v>662.57084448597197</v>
      </c>
      <c r="V2334">
        <v>7.8947368421052599E-3</v>
      </c>
      <c r="W2334">
        <v>964715.45480992098</v>
      </c>
      <c r="X2334" t="s">
        <v>44</v>
      </c>
      <c r="Y2334">
        <f>1-411-594-2403</f>
        <v>-3407</v>
      </c>
    </row>
    <row r="2335" spans="1:25" x14ac:dyDescent="0.35">
      <c r="A2335">
        <v>32.822379353340402</v>
      </c>
      <c r="B2335">
        <v>-124.11264221239399</v>
      </c>
      <c r="C2335" t="s">
        <v>29</v>
      </c>
      <c r="D2335">
        <v>28.381261731745401</v>
      </c>
      <c r="E2335">
        <v>2</v>
      </c>
      <c r="F2335">
        <v>2304</v>
      </c>
      <c r="G2335">
        <v>2</v>
      </c>
      <c r="H2335">
        <v>2</v>
      </c>
      <c r="I2335">
        <v>1963</v>
      </c>
      <c r="J2335">
        <v>1</v>
      </c>
      <c r="K2335">
        <v>0</v>
      </c>
      <c r="L2335">
        <v>0</v>
      </c>
      <c r="M2335">
        <v>4</v>
      </c>
      <c r="N2335" t="s">
        <v>37</v>
      </c>
      <c r="O2335" t="s">
        <v>27</v>
      </c>
      <c r="P2335">
        <v>8.3078231386190105</v>
      </c>
      <c r="Q2335">
        <v>0.71594220341870796</v>
      </c>
      <c r="R2335">
        <v>1.0387031853395901</v>
      </c>
      <c r="S2335">
        <v>125</v>
      </c>
      <c r="T2335">
        <v>40</v>
      </c>
      <c r="U2335">
        <v>371.35234686372303</v>
      </c>
      <c r="V2335">
        <v>1.7361111111111099E-3</v>
      </c>
      <c r="W2335">
        <v>1070271.7017540899</v>
      </c>
      <c r="X2335" t="s">
        <v>38</v>
      </c>
      <c r="Y2335">
        <f>1-599-998-1636</f>
        <v>-3232</v>
      </c>
    </row>
    <row r="2336" spans="1:25" x14ac:dyDescent="0.35">
      <c r="A2336">
        <v>40.053919844643602</v>
      </c>
      <c r="B2336">
        <v>-116.808887824229</v>
      </c>
      <c r="C2336" t="s">
        <v>34</v>
      </c>
      <c r="D2336">
        <v>43.132536568616203</v>
      </c>
      <c r="E2336">
        <v>9</v>
      </c>
      <c r="F2336">
        <v>824</v>
      </c>
      <c r="G2336">
        <v>1</v>
      </c>
      <c r="H2336">
        <v>3</v>
      </c>
      <c r="I2336">
        <v>1972</v>
      </c>
      <c r="J2336">
        <v>1</v>
      </c>
      <c r="K2336">
        <v>1</v>
      </c>
      <c r="L2336">
        <v>1</v>
      </c>
      <c r="M2336">
        <v>7</v>
      </c>
      <c r="N2336" t="s">
        <v>26</v>
      </c>
      <c r="O2336" t="s">
        <v>30</v>
      </c>
      <c r="P2336">
        <v>2.0245783893978699</v>
      </c>
      <c r="Q2336">
        <v>1.6351978496628099</v>
      </c>
      <c r="R2336">
        <v>3.0942897490158798</v>
      </c>
      <c r="S2336">
        <v>6</v>
      </c>
      <c r="T2336">
        <v>66</v>
      </c>
      <c r="U2336">
        <v>407.300243967857</v>
      </c>
      <c r="V2336">
        <v>8.4951456310679609E-3</v>
      </c>
      <c r="W2336">
        <v>541031.93258251995</v>
      </c>
      <c r="X2336" t="s">
        <v>44</v>
      </c>
      <c r="Y2336">
        <f>1-688-751-8319</f>
        <v>-9757</v>
      </c>
    </row>
    <row r="2337" spans="1:25" x14ac:dyDescent="0.35">
      <c r="A2337">
        <v>37.901476452771298</v>
      </c>
      <c r="B2337">
        <v>-116.306367658056</v>
      </c>
      <c r="C2337" t="s">
        <v>25</v>
      </c>
      <c r="D2337">
        <v>39.850209262549697</v>
      </c>
      <c r="E2337">
        <v>4</v>
      </c>
      <c r="F2337">
        <v>2375</v>
      </c>
      <c r="G2337">
        <v>3</v>
      </c>
      <c r="H2337">
        <v>2</v>
      </c>
      <c r="I2337">
        <v>2013</v>
      </c>
      <c r="J2337">
        <v>0</v>
      </c>
      <c r="K2337">
        <v>1</v>
      </c>
      <c r="L2337">
        <v>0</v>
      </c>
      <c r="M2337">
        <v>14</v>
      </c>
      <c r="N2337" t="s">
        <v>26</v>
      </c>
      <c r="O2337" t="s">
        <v>27</v>
      </c>
      <c r="P2337">
        <v>7.0018280025178896</v>
      </c>
      <c r="Q2337">
        <v>1.6092386161064001</v>
      </c>
      <c r="R2337">
        <v>9.0655207412269494</v>
      </c>
      <c r="S2337">
        <v>42</v>
      </c>
      <c r="T2337">
        <v>55</v>
      </c>
      <c r="U2337">
        <v>617.59705634375996</v>
      </c>
      <c r="V2337">
        <v>5.8947368421052599E-3</v>
      </c>
      <c r="W2337">
        <v>1838810.94505141</v>
      </c>
      <c r="X2337" t="s">
        <v>40</v>
      </c>
      <c r="Y2337">
        <f>1-435-388-4482</f>
        <v>-5304</v>
      </c>
    </row>
    <row r="2338" spans="1:25" x14ac:dyDescent="0.35">
      <c r="A2338">
        <v>40.579194767807302</v>
      </c>
      <c r="B2338">
        <v>-119.514940207679</v>
      </c>
      <c r="C2338" t="s">
        <v>34</v>
      </c>
      <c r="D2338">
        <v>37.957111967181497</v>
      </c>
      <c r="E2338">
        <v>5</v>
      </c>
      <c r="F2338">
        <v>3348</v>
      </c>
      <c r="G2338">
        <v>1</v>
      </c>
      <c r="H2338">
        <v>2</v>
      </c>
      <c r="I2338">
        <v>2016</v>
      </c>
      <c r="J2338">
        <v>1</v>
      </c>
      <c r="K2338">
        <v>0</v>
      </c>
      <c r="L2338">
        <v>1</v>
      </c>
      <c r="M2338">
        <v>7</v>
      </c>
      <c r="N2338" t="s">
        <v>37</v>
      </c>
      <c r="O2338" t="s">
        <v>27</v>
      </c>
      <c r="P2338">
        <v>2.3432794492148301</v>
      </c>
      <c r="Q2338">
        <v>2.2773704725350199</v>
      </c>
      <c r="R2338">
        <v>2.77280601840814</v>
      </c>
      <c r="S2338">
        <v>109</v>
      </c>
      <c r="T2338">
        <v>27</v>
      </c>
      <c r="U2338">
        <v>924.12008178203996</v>
      </c>
      <c r="V2338">
        <v>2.0908004778972498E-3</v>
      </c>
      <c r="W2338">
        <v>3222508.2567300699</v>
      </c>
      <c r="X2338" t="s">
        <v>38</v>
      </c>
      <c r="Y2338">
        <f>1-233-244-1216</f>
        <v>-1692</v>
      </c>
    </row>
    <row r="2339" spans="1:25" x14ac:dyDescent="0.35">
      <c r="A2339">
        <v>33.327177785406803</v>
      </c>
      <c r="B2339">
        <v>-117.880923081549</v>
      </c>
      <c r="C2339" t="s">
        <v>34</v>
      </c>
      <c r="D2339">
        <v>33.206205237964902</v>
      </c>
      <c r="E2339">
        <v>4</v>
      </c>
      <c r="F2339">
        <v>1154</v>
      </c>
      <c r="G2339">
        <v>5</v>
      </c>
      <c r="H2339">
        <v>3</v>
      </c>
      <c r="I2339">
        <v>1983</v>
      </c>
      <c r="J2339">
        <v>1</v>
      </c>
      <c r="K2339">
        <v>1</v>
      </c>
      <c r="L2339">
        <v>1</v>
      </c>
      <c r="M2339">
        <v>7</v>
      </c>
      <c r="N2339" t="s">
        <v>41</v>
      </c>
      <c r="O2339" t="s">
        <v>27</v>
      </c>
      <c r="P2339">
        <v>13.188939441773501</v>
      </c>
      <c r="Q2339">
        <v>0.90810234122710398</v>
      </c>
      <c r="R2339">
        <v>9.7469305444798593</v>
      </c>
      <c r="S2339">
        <v>126</v>
      </c>
      <c r="T2339">
        <v>38</v>
      </c>
      <c r="U2339">
        <v>608.24360302103605</v>
      </c>
      <c r="V2339">
        <v>6.0658578856152504E-3</v>
      </c>
      <c r="W2339">
        <v>1200230.8993826399</v>
      </c>
      <c r="X2339" t="s">
        <v>28</v>
      </c>
      <c r="Y2339">
        <f>1-440-812-2099</f>
        <v>-3350</v>
      </c>
    </row>
    <row r="2340" spans="1:25" x14ac:dyDescent="0.35">
      <c r="A2340">
        <v>35.391310598075101</v>
      </c>
      <c r="B2340">
        <v>-122.97325038450499</v>
      </c>
      <c r="C2340" t="s">
        <v>25</v>
      </c>
      <c r="D2340">
        <v>8.6706178305968393</v>
      </c>
      <c r="E2340">
        <v>6</v>
      </c>
      <c r="F2340">
        <v>3112</v>
      </c>
      <c r="G2340">
        <v>2</v>
      </c>
      <c r="H2340">
        <v>2</v>
      </c>
      <c r="I2340">
        <v>2003</v>
      </c>
      <c r="J2340">
        <v>0</v>
      </c>
      <c r="K2340">
        <v>0</v>
      </c>
      <c r="L2340">
        <v>0</v>
      </c>
      <c r="M2340">
        <v>6</v>
      </c>
      <c r="N2340" t="s">
        <v>41</v>
      </c>
      <c r="O2340" t="s">
        <v>27</v>
      </c>
      <c r="P2340">
        <v>4.4149775260389896</v>
      </c>
      <c r="Q2340">
        <v>1.2897173778812001</v>
      </c>
      <c r="R2340">
        <v>5.1074713735647297</v>
      </c>
      <c r="S2340">
        <v>131</v>
      </c>
      <c r="T2340">
        <v>75</v>
      </c>
      <c r="U2340">
        <v>637.12094312143802</v>
      </c>
      <c r="V2340">
        <v>1.9280205655526901E-3</v>
      </c>
      <c r="W2340">
        <v>2039158.8962578799</v>
      </c>
      <c r="X2340" t="s">
        <v>38</v>
      </c>
      <c r="Y2340">
        <f>1-978-684-6849</f>
        <v>-8510</v>
      </c>
    </row>
    <row r="2341" spans="1:25" x14ac:dyDescent="0.35">
      <c r="A2341">
        <v>36.234246282493501</v>
      </c>
      <c r="B2341">
        <v>-118.268600845641</v>
      </c>
      <c r="C2341" t="s">
        <v>34</v>
      </c>
      <c r="D2341">
        <v>45.3998905460898</v>
      </c>
      <c r="E2341">
        <v>0</v>
      </c>
      <c r="F2341">
        <v>2702</v>
      </c>
      <c r="G2341">
        <v>1</v>
      </c>
      <c r="H2341">
        <v>2</v>
      </c>
      <c r="I2341">
        <v>1981</v>
      </c>
      <c r="J2341">
        <v>0</v>
      </c>
      <c r="K2341">
        <v>0</v>
      </c>
      <c r="L2341">
        <v>0</v>
      </c>
      <c r="M2341">
        <v>2</v>
      </c>
      <c r="N2341" t="s">
        <v>35</v>
      </c>
      <c r="O2341" t="s">
        <v>30</v>
      </c>
      <c r="P2341">
        <v>13.433955198385</v>
      </c>
      <c r="Q2341">
        <v>1.5822485266263999</v>
      </c>
      <c r="R2341">
        <v>5.5416478008380601</v>
      </c>
      <c r="S2341">
        <v>86</v>
      </c>
      <c r="T2341">
        <v>79</v>
      </c>
      <c r="U2341">
        <v>565.29161850858304</v>
      </c>
      <c r="V2341">
        <v>7.4019245003700905E-4</v>
      </c>
      <c r="W2341">
        <v>1640919.4166793399</v>
      </c>
      <c r="X2341" t="s">
        <v>38</v>
      </c>
      <c r="Y2341">
        <f>1-451-372-2665</f>
        <v>-3487</v>
      </c>
    </row>
    <row r="2342" spans="1:25" x14ac:dyDescent="0.35">
      <c r="A2342">
        <v>38.622267545581103</v>
      </c>
      <c r="B2342">
        <v>-123.632064976899</v>
      </c>
      <c r="C2342" t="s">
        <v>34</v>
      </c>
      <c r="D2342">
        <v>44.717054624501102</v>
      </c>
      <c r="E2342">
        <v>7</v>
      </c>
      <c r="F2342">
        <v>1162</v>
      </c>
      <c r="G2342">
        <v>5</v>
      </c>
      <c r="H2342">
        <v>1</v>
      </c>
      <c r="I2342">
        <v>2020</v>
      </c>
      <c r="J2342">
        <v>1</v>
      </c>
      <c r="K2342">
        <v>0</v>
      </c>
      <c r="L2342">
        <v>0</v>
      </c>
      <c r="M2342">
        <v>4</v>
      </c>
      <c r="N2342" t="s">
        <v>26</v>
      </c>
      <c r="O2342" t="s">
        <v>30</v>
      </c>
      <c r="P2342">
        <v>8.4719399497415608</v>
      </c>
      <c r="Q2342">
        <v>1.4654547134618701</v>
      </c>
      <c r="R2342">
        <v>8.4864074455527305</v>
      </c>
      <c r="S2342">
        <v>112</v>
      </c>
      <c r="T2342">
        <v>47</v>
      </c>
      <c r="U2342">
        <v>205.490482908101</v>
      </c>
      <c r="V2342">
        <v>3.44234079173838E-3</v>
      </c>
      <c r="W2342">
        <v>583964.55666846503</v>
      </c>
      <c r="X2342" t="s">
        <v>42</v>
      </c>
      <c r="Y2342">
        <f>1-986-116-3927</f>
        <v>-5028</v>
      </c>
    </row>
    <row r="2343" spans="1:25" x14ac:dyDescent="0.35">
      <c r="A2343">
        <v>34.109139132371702</v>
      </c>
      <c r="B2343">
        <v>-120.413666744442</v>
      </c>
      <c r="C2343" t="s">
        <v>29</v>
      </c>
      <c r="D2343">
        <v>47.771045105160198</v>
      </c>
      <c r="E2343">
        <v>8</v>
      </c>
      <c r="F2343">
        <v>4534</v>
      </c>
      <c r="G2343">
        <v>1</v>
      </c>
      <c r="H2343">
        <v>2</v>
      </c>
      <c r="I2343">
        <v>1994</v>
      </c>
      <c r="J2343">
        <v>0</v>
      </c>
      <c r="K2343">
        <v>1</v>
      </c>
      <c r="L2343">
        <v>0</v>
      </c>
      <c r="M2343">
        <v>6</v>
      </c>
      <c r="N2343" t="s">
        <v>26</v>
      </c>
      <c r="O2343" t="s">
        <v>32</v>
      </c>
      <c r="P2343">
        <v>10.586693852581201</v>
      </c>
      <c r="Q2343">
        <v>0.86508824014435104</v>
      </c>
      <c r="R2343">
        <v>9.5893047021114803</v>
      </c>
      <c r="S2343">
        <v>73</v>
      </c>
      <c r="T2343">
        <v>65</v>
      </c>
      <c r="U2343">
        <v>847.12312280901904</v>
      </c>
      <c r="V2343">
        <v>1.3233348037053299E-3</v>
      </c>
      <c r="W2343">
        <v>3998675.2089177901</v>
      </c>
      <c r="X2343" t="s">
        <v>33</v>
      </c>
      <c r="Y2343">
        <f>1-883-910-6873</f>
        <v>-8665</v>
      </c>
    </row>
    <row r="2344" spans="1:25" x14ac:dyDescent="0.35">
      <c r="A2344">
        <v>37.677479550809501</v>
      </c>
      <c r="B2344">
        <v>-121.94223719388</v>
      </c>
      <c r="C2344" t="s">
        <v>25</v>
      </c>
      <c r="D2344">
        <v>24.215319182081199</v>
      </c>
      <c r="E2344">
        <v>9</v>
      </c>
      <c r="F2344">
        <v>2013</v>
      </c>
      <c r="G2344">
        <v>3</v>
      </c>
      <c r="H2344">
        <v>1</v>
      </c>
      <c r="I2344">
        <v>2001</v>
      </c>
      <c r="J2344">
        <v>1</v>
      </c>
      <c r="K2344">
        <v>0</v>
      </c>
      <c r="L2344">
        <v>1</v>
      </c>
      <c r="M2344">
        <v>12</v>
      </c>
      <c r="N2344" t="s">
        <v>26</v>
      </c>
      <c r="O2344" t="s">
        <v>27</v>
      </c>
      <c r="P2344">
        <v>3.46592524570455</v>
      </c>
      <c r="Q2344">
        <v>0.72529614282493904</v>
      </c>
      <c r="R2344">
        <v>6.7043448254246902</v>
      </c>
      <c r="S2344">
        <v>106</v>
      </c>
      <c r="T2344">
        <v>55</v>
      </c>
      <c r="U2344">
        <v>809.80845327382303</v>
      </c>
      <c r="V2344">
        <v>5.9612518628912002E-3</v>
      </c>
      <c r="W2344">
        <v>1752217.9589921201</v>
      </c>
      <c r="X2344" t="s">
        <v>28</v>
      </c>
      <c r="Y2344">
        <f>1-212-462-8377</f>
        <v>-9050</v>
      </c>
    </row>
    <row r="2345" spans="1:25" x14ac:dyDescent="0.35">
      <c r="A2345">
        <v>40.534412587221503</v>
      </c>
      <c r="B2345">
        <v>-115.18201445834799</v>
      </c>
      <c r="C2345" t="s">
        <v>29</v>
      </c>
      <c r="D2345">
        <v>38.961476017328501</v>
      </c>
      <c r="E2345">
        <v>4</v>
      </c>
      <c r="F2345">
        <v>4253</v>
      </c>
      <c r="G2345">
        <v>4</v>
      </c>
      <c r="H2345">
        <v>2</v>
      </c>
      <c r="I2345">
        <v>2016</v>
      </c>
      <c r="J2345">
        <v>1</v>
      </c>
      <c r="K2345">
        <v>1</v>
      </c>
      <c r="L2345">
        <v>0</v>
      </c>
      <c r="M2345">
        <v>7</v>
      </c>
      <c r="N2345" t="s">
        <v>35</v>
      </c>
      <c r="O2345" t="s">
        <v>27</v>
      </c>
      <c r="P2345">
        <v>11.9632445157373</v>
      </c>
      <c r="Q2345">
        <v>0.89000362848848802</v>
      </c>
      <c r="R2345">
        <v>6.4685900253787896</v>
      </c>
      <c r="S2345">
        <v>152</v>
      </c>
      <c r="T2345">
        <v>70</v>
      </c>
      <c r="U2345">
        <v>649.60869189590801</v>
      </c>
      <c r="V2345">
        <v>1.6458970138725599E-3</v>
      </c>
      <c r="W2345">
        <v>3159331.9583739098</v>
      </c>
      <c r="X2345" t="s">
        <v>28</v>
      </c>
      <c r="Y2345">
        <f>1-746-535-8430</f>
        <v>-9710</v>
      </c>
    </row>
    <row r="2346" spans="1:25" x14ac:dyDescent="0.35">
      <c r="A2346">
        <v>37.523304520250598</v>
      </c>
      <c r="B2346">
        <v>-123.45534555666799</v>
      </c>
      <c r="C2346" t="s">
        <v>25</v>
      </c>
      <c r="D2346">
        <v>17.8586010129366</v>
      </c>
      <c r="E2346">
        <v>6</v>
      </c>
      <c r="F2346">
        <v>4971</v>
      </c>
      <c r="G2346">
        <v>5</v>
      </c>
      <c r="H2346">
        <v>2</v>
      </c>
      <c r="I2346">
        <v>1959</v>
      </c>
      <c r="J2346">
        <v>1</v>
      </c>
      <c r="K2346">
        <v>0</v>
      </c>
      <c r="L2346">
        <v>1</v>
      </c>
      <c r="M2346">
        <v>4</v>
      </c>
      <c r="N2346" t="s">
        <v>26</v>
      </c>
      <c r="O2346" t="s">
        <v>30</v>
      </c>
      <c r="P2346">
        <v>10.814236779720099</v>
      </c>
      <c r="Q2346">
        <v>1.1768492726372499</v>
      </c>
      <c r="R2346">
        <v>4.2118935076136097</v>
      </c>
      <c r="S2346">
        <v>169</v>
      </c>
      <c r="T2346">
        <v>48</v>
      </c>
      <c r="U2346">
        <v>963.668024987286</v>
      </c>
      <c r="V2346">
        <v>8.0466706900020096E-4</v>
      </c>
      <c r="W2346">
        <v>5121819.1457723603</v>
      </c>
      <c r="X2346" t="s">
        <v>36</v>
      </c>
      <c r="Y2346">
        <f>1-721-319-1170</f>
        <v>-2209</v>
      </c>
    </row>
    <row r="2347" spans="1:25" x14ac:dyDescent="0.35">
      <c r="A2347">
        <v>40.003736428018101</v>
      </c>
      <c r="B2347">
        <v>-120.586127141608</v>
      </c>
      <c r="C2347" t="s">
        <v>34</v>
      </c>
      <c r="D2347">
        <v>30.7430162604897</v>
      </c>
      <c r="E2347">
        <v>1</v>
      </c>
      <c r="F2347">
        <v>1310</v>
      </c>
      <c r="G2347">
        <v>4</v>
      </c>
      <c r="H2347">
        <v>2</v>
      </c>
      <c r="I2347">
        <v>1991</v>
      </c>
      <c r="J2347">
        <v>0</v>
      </c>
      <c r="K2347">
        <v>1</v>
      </c>
      <c r="L2347">
        <v>0</v>
      </c>
      <c r="M2347">
        <v>10</v>
      </c>
      <c r="N2347" t="s">
        <v>41</v>
      </c>
      <c r="O2347" t="s">
        <v>27</v>
      </c>
      <c r="P2347">
        <v>7.8014939027532497</v>
      </c>
      <c r="Q2347">
        <v>0.64180070274622403</v>
      </c>
      <c r="R2347">
        <v>0.358773213364729</v>
      </c>
      <c r="S2347">
        <v>57</v>
      </c>
      <c r="T2347">
        <v>73</v>
      </c>
      <c r="U2347">
        <v>567.10773929924699</v>
      </c>
      <c r="V2347">
        <v>7.63358778625954E-3</v>
      </c>
      <c r="W2347">
        <v>1128459.7806595999</v>
      </c>
      <c r="X2347" t="s">
        <v>43</v>
      </c>
      <c r="Y2347">
        <f>1-403-947-3097</f>
        <v>-4446</v>
      </c>
    </row>
    <row r="2348" spans="1:25" x14ac:dyDescent="0.35">
      <c r="A2348">
        <v>39.870496889091697</v>
      </c>
      <c r="B2348">
        <v>-115.719447042947</v>
      </c>
      <c r="C2348" t="s">
        <v>29</v>
      </c>
      <c r="D2348">
        <v>26.3940865590112</v>
      </c>
      <c r="E2348">
        <v>6</v>
      </c>
      <c r="F2348">
        <v>4565</v>
      </c>
      <c r="G2348">
        <v>2</v>
      </c>
      <c r="H2348">
        <v>2</v>
      </c>
      <c r="I2348">
        <v>2018</v>
      </c>
      <c r="J2348">
        <v>0</v>
      </c>
      <c r="K2348">
        <v>1</v>
      </c>
      <c r="L2348">
        <v>1</v>
      </c>
      <c r="M2348">
        <v>4</v>
      </c>
      <c r="N2348" t="s">
        <v>35</v>
      </c>
      <c r="O2348" t="s">
        <v>30</v>
      </c>
      <c r="P2348">
        <v>11.8854701043683</v>
      </c>
      <c r="Q2348">
        <v>1.35560001873181</v>
      </c>
      <c r="R2348">
        <v>7.4816963566577499</v>
      </c>
      <c r="S2348">
        <v>40</v>
      </c>
      <c r="T2348">
        <v>41</v>
      </c>
      <c r="U2348">
        <v>376.25667551257902</v>
      </c>
      <c r="V2348">
        <v>8.7623220153340597E-4</v>
      </c>
      <c r="W2348">
        <v>2079255.6796400601</v>
      </c>
      <c r="X2348" t="s">
        <v>44</v>
      </c>
      <c r="Y2348">
        <f>1-526-100-4174</f>
        <v>-4799</v>
      </c>
    </row>
    <row r="2349" spans="1:25" x14ac:dyDescent="0.35">
      <c r="A2349">
        <v>39.790455829403101</v>
      </c>
      <c r="B2349">
        <v>-121.268295645831</v>
      </c>
      <c r="C2349" t="s">
        <v>34</v>
      </c>
      <c r="D2349">
        <v>19.989087923960401</v>
      </c>
      <c r="E2349">
        <v>7</v>
      </c>
      <c r="F2349">
        <v>4199</v>
      </c>
      <c r="G2349">
        <v>4</v>
      </c>
      <c r="H2349">
        <v>2</v>
      </c>
      <c r="I2349">
        <v>1957</v>
      </c>
      <c r="J2349">
        <v>0</v>
      </c>
      <c r="K2349">
        <v>0</v>
      </c>
      <c r="L2349">
        <v>1</v>
      </c>
      <c r="M2349">
        <v>5</v>
      </c>
      <c r="N2349" t="s">
        <v>37</v>
      </c>
      <c r="O2349" t="s">
        <v>32</v>
      </c>
      <c r="P2349">
        <v>7.63837244875086</v>
      </c>
      <c r="Q2349">
        <v>2.24007345332496</v>
      </c>
      <c r="R2349">
        <v>5.1829881078062101</v>
      </c>
      <c r="S2349">
        <v>20</v>
      </c>
      <c r="T2349">
        <v>34</v>
      </c>
      <c r="U2349">
        <v>996.57879012567901</v>
      </c>
      <c r="V2349">
        <v>1.19075970469159E-3</v>
      </c>
      <c r="W2349">
        <v>4435690.9774754299</v>
      </c>
      <c r="X2349" t="s">
        <v>42</v>
      </c>
      <c r="Y2349">
        <f>1-423-963-8033</f>
        <v>-9418</v>
      </c>
    </row>
    <row r="2350" spans="1:25" x14ac:dyDescent="0.35">
      <c r="A2350">
        <v>32.633331268937702</v>
      </c>
      <c r="B2350">
        <v>-118.235043852126</v>
      </c>
      <c r="C2350" t="s">
        <v>29</v>
      </c>
      <c r="D2350">
        <v>42.671145222837602</v>
      </c>
      <c r="E2350">
        <v>1</v>
      </c>
      <c r="F2350">
        <v>3189</v>
      </c>
      <c r="G2350">
        <v>1</v>
      </c>
      <c r="H2350">
        <v>3</v>
      </c>
      <c r="I2350">
        <v>1962</v>
      </c>
      <c r="J2350">
        <v>0</v>
      </c>
      <c r="K2350">
        <v>0</v>
      </c>
      <c r="L2350">
        <v>0</v>
      </c>
      <c r="M2350">
        <v>5</v>
      </c>
      <c r="N2350" t="s">
        <v>26</v>
      </c>
      <c r="O2350" t="s">
        <v>27</v>
      </c>
      <c r="P2350">
        <v>11.887768063199101</v>
      </c>
      <c r="Q2350">
        <v>1.58821019764253</v>
      </c>
      <c r="R2350">
        <v>8.3525182525515191</v>
      </c>
      <c r="S2350">
        <v>38</v>
      </c>
      <c r="T2350">
        <v>22</v>
      </c>
      <c r="U2350">
        <v>748.82080154590597</v>
      </c>
      <c r="V2350">
        <v>1.5678896205707101E-3</v>
      </c>
      <c r="W2350">
        <v>2411512.4696289101</v>
      </c>
      <c r="X2350" t="s">
        <v>31</v>
      </c>
      <c r="Y2350">
        <f>1-607-123-3593</f>
        <v>-4322</v>
      </c>
    </row>
    <row r="2351" spans="1:25" x14ac:dyDescent="0.35">
      <c r="A2351">
        <v>37.425770506581102</v>
      </c>
      <c r="B2351">
        <v>-119.971765587587</v>
      </c>
      <c r="C2351" t="s">
        <v>29</v>
      </c>
      <c r="D2351">
        <v>18.951287588368402</v>
      </c>
      <c r="E2351">
        <v>4</v>
      </c>
      <c r="F2351">
        <v>2702</v>
      </c>
      <c r="G2351">
        <v>4</v>
      </c>
      <c r="H2351">
        <v>3</v>
      </c>
      <c r="I2351">
        <v>1967</v>
      </c>
      <c r="J2351">
        <v>1</v>
      </c>
      <c r="K2351">
        <v>0</v>
      </c>
      <c r="L2351">
        <v>1</v>
      </c>
      <c r="M2351">
        <v>5</v>
      </c>
      <c r="N2351" t="s">
        <v>41</v>
      </c>
      <c r="O2351" t="s">
        <v>27</v>
      </c>
      <c r="P2351">
        <v>7.9441460076608896</v>
      </c>
      <c r="Q2351">
        <v>1.36377025516961</v>
      </c>
      <c r="R2351">
        <v>7.8178185825039197</v>
      </c>
      <c r="S2351">
        <v>61</v>
      </c>
      <c r="T2351">
        <v>78</v>
      </c>
      <c r="U2351">
        <v>269.93275365892799</v>
      </c>
      <c r="V2351">
        <v>1.8504811250925201E-3</v>
      </c>
      <c r="W2351">
        <v>1133514.43098479</v>
      </c>
      <c r="X2351" t="s">
        <v>31</v>
      </c>
      <c r="Y2351">
        <f>1-835-624-9377</f>
        <v>-10835</v>
      </c>
    </row>
    <row r="2352" spans="1:25" x14ac:dyDescent="0.35">
      <c r="A2352">
        <v>39.356446419077102</v>
      </c>
      <c r="B2352">
        <v>-120.504954039049</v>
      </c>
      <c r="C2352" t="s">
        <v>34</v>
      </c>
      <c r="D2352">
        <v>36.380079136304197</v>
      </c>
      <c r="E2352">
        <v>2</v>
      </c>
      <c r="F2352">
        <v>3699</v>
      </c>
      <c r="G2352">
        <v>5</v>
      </c>
      <c r="H2352">
        <v>2</v>
      </c>
      <c r="I2352">
        <v>1993</v>
      </c>
      <c r="J2352">
        <v>0</v>
      </c>
      <c r="K2352">
        <v>0</v>
      </c>
      <c r="L2352">
        <v>0</v>
      </c>
      <c r="M2352">
        <v>5</v>
      </c>
      <c r="N2352" t="s">
        <v>26</v>
      </c>
      <c r="O2352" t="s">
        <v>32</v>
      </c>
      <c r="P2352">
        <v>5.9917683105703201</v>
      </c>
      <c r="Q2352">
        <v>0.98439490756728498</v>
      </c>
      <c r="R2352">
        <v>3.9621141541817</v>
      </c>
      <c r="S2352">
        <v>195</v>
      </c>
      <c r="T2352">
        <v>67</v>
      </c>
      <c r="U2352">
        <v>236.46025394968299</v>
      </c>
      <c r="V2352">
        <v>1.35171668018383E-3</v>
      </c>
      <c r="W2352">
        <v>1086309.4429913601</v>
      </c>
      <c r="X2352" t="s">
        <v>40</v>
      </c>
      <c r="Y2352">
        <f>1-268-678-6331</f>
        <v>-7276</v>
      </c>
    </row>
    <row r="2353" spans="1:25" x14ac:dyDescent="0.35">
      <c r="A2353">
        <v>39.494782003308799</v>
      </c>
      <c r="B2353">
        <v>-122.921093086874</v>
      </c>
      <c r="C2353" t="s">
        <v>29</v>
      </c>
      <c r="D2353">
        <v>16.457546683415799</v>
      </c>
      <c r="E2353">
        <v>0</v>
      </c>
      <c r="F2353">
        <v>3354</v>
      </c>
      <c r="G2353">
        <v>4</v>
      </c>
      <c r="H2353">
        <v>1</v>
      </c>
      <c r="I2353">
        <v>2016</v>
      </c>
      <c r="J2353">
        <v>0</v>
      </c>
      <c r="K2353">
        <v>0</v>
      </c>
      <c r="L2353">
        <v>1</v>
      </c>
      <c r="M2353">
        <v>2</v>
      </c>
      <c r="N2353" t="s">
        <v>37</v>
      </c>
      <c r="O2353" t="s">
        <v>30</v>
      </c>
      <c r="P2353">
        <v>13.3481044606257</v>
      </c>
      <c r="Q2353">
        <v>1.5853391098326</v>
      </c>
      <c r="R2353">
        <v>7.4070317962219399</v>
      </c>
      <c r="S2353">
        <v>0</v>
      </c>
      <c r="T2353">
        <v>73</v>
      </c>
      <c r="U2353">
        <v>331.85451189763</v>
      </c>
      <c r="V2353">
        <v>5.9630292188431698E-4</v>
      </c>
      <c r="W2353">
        <v>1404656.3326751399</v>
      </c>
      <c r="X2353" t="s">
        <v>36</v>
      </c>
      <c r="Y2353">
        <f>1-367-517-6101</f>
        <v>-6984</v>
      </c>
    </row>
    <row r="2354" spans="1:25" x14ac:dyDescent="0.35">
      <c r="A2354">
        <v>37.976425214896302</v>
      </c>
      <c r="B2354">
        <v>-120.413633759992</v>
      </c>
      <c r="C2354" t="s">
        <v>29</v>
      </c>
      <c r="D2354">
        <v>47.311609630811702</v>
      </c>
      <c r="E2354">
        <v>8</v>
      </c>
      <c r="F2354">
        <v>4154</v>
      </c>
      <c r="G2354">
        <v>1</v>
      </c>
      <c r="H2354">
        <v>1</v>
      </c>
      <c r="I2354">
        <v>1976</v>
      </c>
      <c r="J2354">
        <v>0</v>
      </c>
      <c r="K2354">
        <v>0</v>
      </c>
      <c r="L2354">
        <v>1</v>
      </c>
      <c r="M2354">
        <v>7</v>
      </c>
      <c r="N2354" t="s">
        <v>26</v>
      </c>
      <c r="O2354" t="s">
        <v>30</v>
      </c>
      <c r="P2354">
        <v>7.0236546165976703</v>
      </c>
      <c r="Q2354">
        <v>0.59258263714563097</v>
      </c>
      <c r="R2354">
        <v>4.1501841567206004</v>
      </c>
      <c r="S2354">
        <v>120</v>
      </c>
      <c r="T2354">
        <v>46</v>
      </c>
      <c r="U2354">
        <v>770.90053558008105</v>
      </c>
      <c r="V2354">
        <v>1.68512277323062E-3</v>
      </c>
      <c r="W2354">
        <v>3269392.2198304301</v>
      </c>
      <c r="X2354" t="s">
        <v>38</v>
      </c>
      <c r="Y2354">
        <f>1-715-773-8313</f>
        <v>-9800</v>
      </c>
    </row>
    <row r="2355" spans="1:25" x14ac:dyDescent="0.35">
      <c r="A2355">
        <v>38.808463636633</v>
      </c>
      <c r="B2355">
        <v>-118.404245004643</v>
      </c>
      <c r="C2355" t="s">
        <v>34</v>
      </c>
      <c r="D2355">
        <v>7.5750221145864902</v>
      </c>
      <c r="E2355">
        <v>4</v>
      </c>
      <c r="F2355">
        <v>4655</v>
      </c>
      <c r="G2355">
        <v>4</v>
      </c>
      <c r="H2355">
        <v>1</v>
      </c>
      <c r="I2355">
        <v>1988</v>
      </c>
      <c r="J2355">
        <v>1</v>
      </c>
      <c r="K2355">
        <v>1</v>
      </c>
      <c r="L2355">
        <v>0</v>
      </c>
      <c r="M2355">
        <v>13</v>
      </c>
      <c r="N2355" t="s">
        <v>37</v>
      </c>
      <c r="O2355" t="s">
        <v>30</v>
      </c>
      <c r="P2355">
        <v>8.6089647768033899</v>
      </c>
      <c r="Q2355">
        <v>1.34660396396507</v>
      </c>
      <c r="R2355">
        <v>0.85566522447272397</v>
      </c>
      <c r="S2355">
        <v>33</v>
      </c>
      <c r="T2355">
        <v>39</v>
      </c>
      <c r="U2355">
        <v>546.44278247484795</v>
      </c>
      <c r="V2355">
        <v>2.7926960257787302E-3</v>
      </c>
      <c r="W2355">
        <v>2908854.5747487401</v>
      </c>
      <c r="X2355" t="s">
        <v>28</v>
      </c>
      <c r="Y2355">
        <f>1-418-292-8583</f>
        <v>-9292</v>
      </c>
    </row>
    <row r="2356" spans="1:25" x14ac:dyDescent="0.35">
      <c r="A2356">
        <v>34.093398144565697</v>
      </c>
      <c r="B2356">
        <v>-115.205729474376</v>
      </c>
      <c r="C2356" t="s">
        <v>34</v>
      </c>
      <c r="D2356">
        <v>5.5222129280199699</v>
      </c>
      <c r="E2356">
        <v>3</v>
      </c>
      <c r="F2356">
        <v>4109</v>
      </c>
      <c r="G2356">
        <v>2</v>
      </c>
      <c r="H2356">
        <v>1</v>
      </c>
      <c r="I2356">
        <v>1951</v>
      </c>
      <c r="J2356">
        <v>1</v>
      </c>
      <c r="K2356">
        <v>0</v>
      </c>
      <c r="L2356">
        <v>1</v>
      </c>
      <c r="M2356">
        <v>11</v>
      </c>
      <c r="N2356" t="s">
        <v>26</v>
      </c>
      <c r="O2356" t="s">
        <v>27</v>
      </c>
      <c r="P2356">
        <v>10.4660623117048</v>
      </c>
      <c r="Q2356">
        <v>2.3406587515872301</v>
      </c>
      <c r="R2356">
        <v>3.6937373992434801</v>
      </c>
      <c r="S2356">
        <v>133</v>
      </c>
      <c r="T2356">
        <v>63</v>
      </c>
      <c r="U2356">
        <v>628.87637143980999</v>
      </c>
      <c r="V2356">
        <v>2.6770503772207302E-3</v>
      </c>
      <c r="W2356">
        <v>2804014.49943526</v>
      </c>
      <c r="X2356" t="s">
        <v>40</v>
      </c>
      <c r="Y2356">
        <f>1-916-383-6469</f>
        <v>-7767</v>
      </c>
    </row>
    <row r="2357" spans="1:25" x14ac:dyDescent="0.35">
      <c r="A2357">
        <v>40.139087107634701</v>
      </c>
      <c r="B2357">
        <v>-124.11529128317299</v>
      </c>
      <c r="C2357" t="s">
        <v>25</v>
      </c>
      <c r="D2357">
        <v>39.9462333022663</v>
      </c>
      <c r="E2357">
        <v>3</v>
      </c>
      <c r="F2357">
        <v>1086</v>
      </c>
      <c r="G2357">
        <v>4</v>
      </c>
      <c r="H2357">
        <v>2</v>
      </c>
      <c r="I2357">
        <v>1992</v>
      </c>
      <c r="J2357">
        <v>1</v>
      </c>
      <c r="K2357">
        <v>0</v>
      </c>
      <c r="L2357">
        <v>0</v>
      </c>
      <c r="M2357">
        <v>2</v>
      </c>
      <c r="N2357" t="s">
        <v>37</v>
      </c>
      <c r="O2357" t="s">
        <v>30</v>
      </c>
      <c r="P2357">
        <v>3.43326714406256</v>
      </c>
      <c r="Q2357">
        <v>1.71126910819392</v>
      </c>
      <c r="R2357">
        <v>9.9683160393915902</v>
      </c>
      <c r="S2357">
        <v>121</v>
      </c>
      <c r="T2357">
        <v>61</v>
      </c>
      <c r="U2357">
        <v>689.86343265897699</v>
      </c>
      <c r="V2357">
        <v>1.8416206261510099E-3</v>
      </c>
      <c r="W2357">
        <v>1032138.7894922</v>
      </c>
      <c r="X2357" t="s">
        <v>36</v>
      </c>
      <c r="Y2357">
        <f>1-410-198-4459</f>
        <v>-5066</v>
      </c>
    </row>
    <row r="2358" spans="1:25" x14ac:dyDescent="0.35">
      <c r="A2358">
        <v>39.580029420786303</v>
      </c>
      <c r="B2358">
        <v>-118.484078073478</v>
      </c>
      <c r="C2358" t="s">
        <v>25</v>
      </c>
      <c r="D2358">
        <v>3.89140654163571</v>
      </c>
      <c r="E2358">
        <v>5</v>
      </c>
      <c r="F2358">
        <v>3803</v>
      </c>
      <c r="G2358">
        <v>5</v>
      </c>
      <c r="H2358">
        <v>3</v>
      </c>
      <c r="I2358">
        <v>1983</v>
      </c>
      <c r="J2358">
        <v>0</v>
      </c>
      <c r="K2358">
        <v>0</v>
      </c>
      <c r="L2358">
        <v>0</v>
      </c>
      <c r="M2358">
        <v>14</v>
      </c>
      <c r="N2358" t="s">
        <v>26</v>
      </c>
      <c r="O2358" t="s">
        <v>27</v>
      </c>
      <c r="P2358">
        <v>9.94412670271468</v>
      </c>
      <c r="Q2358">
        <v>1.2827202632474199</v>
      </c>
      <c r="R2358">
        <v>7.6821076611219103</v>
      </c>
      <c r="S2358">
        <v>138</v>
      </c>
      <c r="T2358">
        <v>55</v>
      </c>
      <c r="U2358">
        <v>816.90158903822999</v>
      </c>
      <c r="V2358">
        <v>3.6813042334998599E-3</v>
      </c>
      <c r="W2358">
        <v>3467471.0787683502</v>
      </c>
      <c r="X2358" t="s">
        <v>44</v>
      </c>
      <c r="Y2358">
        <f>1-936-610-9636</f>
        <v>-11181</v>
      </c>
    </row>
    <row r="2359" spans="1:25" x14ac:dyDescent="0.35">
      <c r="A2359">
        <v>39.703570864554102</v>
      </c>
      <c r="B2359">
        <v>-123.69353695511499</v>
      </c>
      <c r="C2359" t="s">
        <v>34</v>
      </c>
      <c r="D2359">
        <v>45.486565005977397</v>
      </c>
      <c r="E2359">
        <v>0</v>
      </c>
      <c r="F2359">
        <v>881</v>
      </c>
      <c r="G2359">
        <v>5</v>
      </c>
      <c r="H2359">
        <v>1</v>
      </c>
      <c r="I2359">
        <v>1965</v>
      </c>
      <c r="J2359">
        <v>0</v>
      </c>
      <c r="K2359">
        <v>0</v>
      </c>
      <c r="L2359">
        <v>0</v>
      </c>
      <c r="M2359">
        <v>3</v>
      </c>
      <c r="N2359" t="s">
        <v>26</v>
      </c>
      <c r="O2359" t="s">
        <v>30</v>
      </c>
      <c r="P2359">
        <v>9.3823974957893004</v>
      </c>
      <c r="Q2359">
        <v>1.06457077929291</v>
      </c>
      <c r="R2359">
        <v>0.30512682672070901</v>
      </c>
      <c r="S2359">
        <v>102</v>
      </c>
      <c r="T2359">
        <v>31</v>
      </c>
      <c r="U2359">
        <v>579.69050145712094</v>
      </c>
      <c r="V2359">
        <v>3.4052213393870601E-3</v>
      </c>
      <c r="W2359">
        <v>812430.83754058497</v>
      </c>
      <c r="X2359" t="s">
        <v>36</v>
      </c>
      <c r="Y2359">
        <f>1-550-294-6426</f>
        <v>-7269</v>
      </c>
    </row>
    <row r="2360" spans="1:25" x14ac:dyDescent="0.35">
      <c r="A2360">
        <v>40.195132402960503</v>
      </c>
      <c r="B2360">
        <v>-121.562680731738</v>
      </c>
      <c r="C2360" t="s">
        <v>29</v>
      </c>
      <c r="D2360">
        <v>29.196303692623498</v>
      </c>
      <c r="E2360">
        <v>7</v>
      </c>
      <c r="F2360">
        <v>2039</v>
      </c>
      <c r="G2360">
        <v>4</v>
      </c>
      <c r="H2360">
        <v>3</v>
      </c>
      <c r="I2360">
        <v>1966</v>
      </c>
      <c r="J2360">
        <v>0</v>
      </c>
      <c r="K2360">
        <v>1</v>
      </c>
      <c r="L2360">
        <v>0</v>
      </c>
      <c r="M2360">
        <v>2</v>
      </c>
      <c r="N2360" t="s">
        <v>35</v>
      </c>
      <c r="O2360" t="s">
        <v>30</v>
      </c>
      <c r="P2360">
        <v>10.241288357627999</v>
      </c>
      <c r="Q2360">
        <v>0.93864583142650704</v>
      </c>
      <c r="R2360">
        <v>7.6260017698224098</v>
      </c>
      <c r="S2360">
        <v>181</v>
      </c>
      <c r="T2360">
        <v>53</v>
      </c>
      <c r="U2360">
        <v>799.56444129587805</v>
      </c>
      <c r="V2360">
        <v>9.8087297694948511E-4</v>
      </c>
      <c r="W2360">
        <v>2032859.28625047</v>
      </c>
      <c r="X2360" t="s">
        <v>43</v>
      </c>
      <c r="Y2360">
        <f>1-258-537-3564</f>
        <v>-4358</v>
      </c>
    </row>
    <row r="2361" spans="1:25" x14ac:dyDescent="0.35">
      <c r="A2361">
        <v>34.1489488987878</v>
      </c>
      <c r="B2361">
        <v>-124.33561714559301</v>
      </c>
      <c r="C2361" t="s">
        <v>34</v>
      </c>
      <c r="D2361">
        <v>36.771663356128101</v>
      </c>
      <c r="E2361">
        <v>0</v>
      </c>
      <c r="F2361">
        <v>2536</v>
      </c>
      <c r="G2361">
        <v>2</v>
      </c>
      <c r="H2361">
        <v>2</v>
      </c>
      <c r="I2361">
        <v>1962</v>
      </c>
      <c r="J2361">
        <v>0</v>
      </c>
      <c r="K2361">
        <v>0</v>
      </c>
      <c r="L2361">
        <v>0</v>
      </c>
      <c r="M2361">
        <v>13</v>
      </c>
      <c r="N2361" t="s">
        <v>35</v>
      </c>
      <c r="O2361" t="s">
        <v>30</v>
      </c>
      <c r="P2361">
        <v>9.0653395437448001</v>
      </c>
      <c r="Q2361">
        <v>2.1641257498822202</v>
      </c>
      <c r="R2361">
        <v>9.3429025290430197</v>
      </c>
      <c r="S2361">
        <v>42</v>
      </c>
      <c r="T2361">
        <v>21</v>
      </c>
      <c r="U2361">
        <v>835.56419341827802</v>
      </c>
      <c r="V2361">
        <v>5.1261829652996804E-3</v>
      </c>
      <c r="W2361">
        <v>2210316.10415312</v>
      </c>
      <c r="X2361" t="s">
        <v>44</v>
      </c>
      <c r="Y2361">
        <f>1-603-380-6985</f>
        <v>-7967</v>
      </c>
    </row>
    <row r="2362" spans="1:25" x14ac:dyDescent="0.35">
      <c r="A2362">
        <v>41.332045638625097</v>
      </c>
      <c r="B2362">
        <v>-121.688310596441</v>
      </c>
      <c r="C2362" t="s">
        <v>34</v>
      </c>
      <c r="D2362">
        <v>1.4660223873418201</v>
      </c>
      <c r="E2362">
        <v>9</v>
      </c>
      <c r="F2362">
        <v>2783</v>
      </c>
      <c r="G2362">
        <v>5</v>
      </c>
      <c r="H2362">
        <v>3</v>
      </c>
      <c r="I2362">
        <v>1987</v>
      </c>
      <c r="J2362">
        <v>1</v>
      </c>
      <c r="K2362">
        <v>0</v>
      </c>
      <c r="L2362">
        <v>0</v>
      </c>
      <c r="M2362">
        <v>2</v>
      </c>
      <c r="N2362" t="s">
        <v>37</v>
      </c>
      <c r="O2362" t="s">
        <v>27</v>
      </c>
      <c r="P2362">
        <v>11.8214517493636</v>
      </c>
      <c r="Q2362">
        <v>1.9496849762082</v>
      </c>
      <c r="R2362">
        <v>5.3711298198498802</v>
      </c>
      <c r="S2362">
        <v>197</v>
      </c>
      <c r="T2362">
        <v>56</v>
      </c>
      <c r="U2362">
        <v>793.93446505264501</v>
      </c>
      <c r="V2362">
        <v>7.1864893999281298E-4</v>
      </c>
      <c r="W2362">
        <v>2609755.2608527099</v>
      </c>
      <c r="X2362" t="s">
        <v>43</v>
      </c>
      <c r="Y2362">
        <f>1-709-195-1731</f>
        <v>-2634</v>
      </c>
    </row>
    <row r="2363" spans="1:25" x14ac:dyDescent="0.35">
      <c r="A2363">
        <v>37.582287904493299</v>
      </c>
      <c r="B2363">
        <v>-123.75137301781299</v>
      </c>
      <c r="C2363" t="s">
        <v>25</v>
      </c>
      <c r="D2363">
        <v>18.348830386663899</v>
      </c>
      <c r="E2363">
        <v>1</v>
      </c>
      <c r="F2363">
        <v>1550</v>
      </c>
      <c r="G2363">
        <v>5</v>
      </c>
      <c r="H2363">
        <v>1</v>
      </c>
      <c r="I2363">
        <v>1978</v>
      </c>
      <c r="J2363">
        <v>1</v>
      </c>
      <c r="K2363">
        <v>1</v>
      </c>
      <c r="L2363">
        <v>0</v>
      </c>
      <c r="M2363">
        <v>6</v>
      </c>
      <c r="N2363" t="s">
        <v>37</v>
      </c>
      <c r="O2363" t="s">
        <v>32</v>
      </c>
      <c r="P2363">
        <v>3.8900546963712599</v>
      </c>
      <c r="Q2363">
        <v>2.44780822858203</v>
      </c>
      <c r="R2363">
        <v>7.6497869212010396</v>
      </c>
      <c r="S2363">
        <v>119</v>
      </c>
      <c r="T2363">
        <v>27</v>
      </c>
      <c r="U2363">
        <v>386.35416044386</v>
      </c>
      <c r="V2363">
        <v>3.87096774193548E-3</v>
      </c>
      <c r="W2363">
        <v>916177.85498044395</v>
      </c>
      <c r="X2363" t="s">
        <v>42</v>
      </c>
      <c r="Y2363">
        <f>1-927-669-5315</f>
        <v>-6910</v>
      </c>
    </row>
    <row r="2364" spans="1:25" x14ac:dyDescent="0.35">
      <c r="A2364">
        <v>41.927110026754903</v>
      </c>
      <c r="B2364">
        <v>-123.690492333336</v>
      </c>
      <c r="C2364" t="s">
        <v>29</v>
      </c>
      <c r="D2364">
        <v>21.117826286827501</v>
      </c>
      <c r="E2364">
        <v>6</v>
      </c>
      <c r="F2364">
        <v>4713</v>
      </c>
      <c r="G2364">
        <v>4</v>
      </c>
      <c r="H2364">
        <v>2</v>
      </c>
      <c r="I2364">
        <v>1976</v>
      </c>
      <c r="J2364">
        <v>1</v>
      </c>
      <c r="K2364">
        <v>1</v>
      </c>
      <c r="L2364">
        <v>0</v>
      </c>
      <c r="M2364">
        <v>5</v>
      </c>
      <c r="N2364" t="s">
        <v>26</v>
      </c>
      <c r="O2364" t="s">
        <v>27</v>
      </c>
      <c r="P2364">
        <v>6.6224651547379301</v>
      </c>
      <c r="Q2364">
        <v>1.6336358227269501</v>
      </c>
      <c r="R2364">
        <v>1.0022037796318</v>
      </c>
      <c r="S2364">
        <v>3</v>
      </c>
      <c r="T2364">
        <v>62</v>
      </c>
      <c r="U2364">
        <v>956.30049221184504</v>
      </c>
      <c r="V2364">
        <v>1.0608953957139801E-3</v>
      </c>
      <c r="W2364">
        <v>4848723.6526756501</v>
      </c>
      <c r="X2364" t="s">
        <v>33</v>
      </c>
      <c r="Y2364">
        <f>1-347-695-2120</f>
        <v>-3161</v>
      </c>
    </row>
    <row r="2365" spans="1:25" x14ac:dyDescent="0.35">
      <c r="A2365">
        <v>38.765482729763399</v>
      </c>
      <c r="B2365">
        <v>-116.888757227464</v>
      </c>
      <c r="C2365" t="s">
        <v>29</v>
      </c>
      <c r="D2365">
        <v>20.0191442918196</v>
      </c>
      <c r="E2365">
        <v>3</v>
      </c>
      <c r="F2365">
        <v>4525</v>
      </c>
      <c r="G2365">
        <v>4</v>
      </c>
      <c r="H2365">
        <v>1</v>
      </c>
      <c r="I2365">
        <v>2022</v>
      </c>
      <c r="J2365">
        <v>0</v>
      </c>
      <c r="K2365">
        <v>1</v>
      </c>
      <c r="L2365">
        <v>0</v>
      </c>
      <c r="M2365">
        <v>13</v>
      </c>
      <c r="N2365" t="s">
        <v>41</v>
      </c>
      <c r="O2365" t="s">
        <v>30</v>
      </c>
      <c r="P2365">
        <v>7.8073780166769504</v>
      </c>
      <c r="Q2365">
        <v>0.57793080079835701</v>
      </c>
      <c r="R2365">
        <v>3.2084859577359599</v>
      </c>
      <c r="S2365">
        <v>61</v>
      </c>
      <c r="T2365">
        <v>51</v>
      </c>
      <c r="U2365">
        <v>940.56164284017302</v>
      </c>
      <c r="V2365">
        <v>2.8729281767955802E-3</v>
      </c>
      <c r="W2365">
        <v>4615636.4108541897</v>
      </c>
      <c r="X2365" t="s">
        <v>39</v>
      </c>
      <c r="Y2365">
        <f>1-507-417-2380</f>
        <v>-3303</v>
      </c>
    </row>
    <row r="2366" spans="1:25" x14ac:dyDescent="0.35">
      <c r="A2366">
        <v>40.784704536689397</v>
      </c>
      <c r="B2366">
        <v>-119.647925404961</v>
      </c>
      <c r="C2366" t="s">
        <v>25</v>
      </c>
      <c r="D2366">
        <v>42.256537254895903</v>
      </c>
      <c r="E2366">
        <v>0</v>
      </c>
      <c r="F2366">
        <v>2904</v>
      </c>
      <c r="G2366">
        <v>2</v>
      </c>
      <c r="H2366">
        <v>3</v>
      </c>
      <c r="I2366">
        <v>1979</v>
      </c>
      <c r="J2366">
        <v>1</v>
      </c>
      <c r="K2366">
        <v>0</v>
      </c>
      <c r="L2366">
        <v>1</v>
      </c>
      <c r="M2366">
        <v>3</v>
      </c>
      <c r="N2366" t="s">
        <v>41</v>
      </c>
      <c r="O2366" t="s">
        <v>27</v>
      </c>
      <c r="P2366">
        <v>3.8495111363831702</v>
      </c>
      <c r="Q2366">
        <v>0.63245326775049604</v>
      </c>
      <c r="R2366">
        <v>5.8031595838285899</v>
      </c>
      <c r="S2366">
        <v>44</v>
      </c>
      <c r="T2366">
        <v>73</v>
      </c>
      <c r="U2366">
        <v>345.13771513373098</v>
      </c>
      <c r="V2366">
        <v>1.0330578512396599E-3</v>
      </c>
      <c r="W2366">
        <v>1238875.6650912899</v>
      </c>
      <c r="X2366" t="s">
        <v>44</v>
      </c>
      <c r="Y2366">
        <f>1-460-803-1750</f>
        <v>-3012</v>
      </c>
    </row>
    <row r="2367" spans="1:25" x14ac:dyDescent="0.35">
      <c r="A2367">
        <v>39.284513666092998</v>
      </c>
      <c r="B2367">
        <v>-120.483503057695</v>
      </c>
      <c r="C2367" t="s">
        <v>29</v>
      </c>
      <c r="D2367">
        <v>43.0534593946781</v>
      </c>
      <c r="E2367">
        <v>1</v>
      </c>
      <c r="F2367">
        <v>2598</v>
      </c>
      <c r="G2367">
        <v>1</v>
      </c>
      <c r="H2367">
        <v>1</v>
      </c>
      <c r="I2367">
        <v>2020</v>
      </c>
      <c r="J2367">
        <v>0</v>
      </c>
      <c r="K2367">
        <v>0</v>
      </c>
      <c r="L2367">
        <v>1</v>
      </c>
      <c r="M2367">
        <v>10</v>
      </c>
      <c r="N2367" t="s">
        <v>37</v>
      </c>
      <c r="O2367" t="s">
        <v>27</v>
      </c>
      <c r="P2367">
        <v>10.334508702117301</v>
      </c>
      <c r="Q2367">
        <v>0.81235820354723198</v>
      </c>
      <c r="R2367">
        <v>8.2863207776784193</v>
      </c>
      <c r="S2367">
        <v>22</v>
      </c>
      <c r="T2367">
        <v>62</v>
      </c>
      <c r="U2367">
        <v>285.55223655138701</v>
      </c>
      <c r="V2367">
        <v>3.8491147036181601E-3</v>
      </c>
      <c r="W2367">
        <v>934115.38963935699</v>
      </c>
      <c r="X2367" t="s">
        <v>42</v>
      </c>
      <c r="Y2367">
        <f>1-370-765-1280</f>
        <v>-2414</v>
      </c>
    </row>
    <row r="2368" spans="1:25" x14ac:dyDescent="0.35">
      <c r="A2368">
        <v>35.491241123884599</v>
      </c>
      <c r="B2368">
        <v>-120.744496156487</v>
      </c>
      <c r="C2368" t="s">
        <v>34</v>
      </c>
      <c r="D2368">
        <v>8.5116094527539499</v>
      </c>
      <c r="E2368">
        <v>3</v>
      </c>
      <c r="F2368">
        <v>855</v>
      </c>
      <c r="G2368">
        <v>3</v>
      </c>
      <c r="H2368">
        <v>2</v>
      </c>
      <c r="I2368">
        <v>1992</v>
      </c>
      <c r="J2368">
        <v>1</v>
      </c>
      <c r="K2368">
        <v>1</v>
      </c>
      <c r="L2368">
        <v>1</v>
      </c>
      <c r="M2368">
        <v>8</v>
      </c>
      <c r="N2368" t="s">
        <v>37</v>
      </c>
      <c r="O2368" t="s">
        <v>32</v>
      </c>
      <c r="P2368">
        <v>7.9366499496872196</v>
      </c>
      <c r="Q2368">
        <v>1.34993963195741</v>
      </c>
      <c r="R2368">
        <v>6.9438864986135096</v>
      </c>
      <c r="S2368">
        <v>153</v>
      </c>
      <c r="T2368">
        <v>30</v>
      </c>
      <c r="U2368">
        <v>249.431010784264</v>
      </c>
      <c r="V2368">
        <v>9.3567251461988306E-3</v>
      </c>
      <c r="W2368">
        <v>571979.14991335</v>
      </c>
      <c r="X2368" t="s">
        <v>39</v>
      </c>
      <c r="Y2368">
        <f>1-322-348-9594</f>
        <v>-10263</v>
      </c>
    </row>
    <row r="2369" spans="1:25" x14ac:dyDescent="0.35">
      <c r="A2369">
        <v>32.578112071344798</v>
      </c>
      <c r="B2369">
        <v>-115.29336392468799</v>
      </c>
      <c r="C2369" t="s">
        <v>29</v>
      </c>
      <c r="D2369">
        <v>41.070212376239901</v>
      </c>
      <c r="E2369">
        <v>9</v>
      </c>
      <c r="F2369">
        <v>4212</v>
      </c>
      <c r="G2369">
        <v>1</v>
      </c>
      <c r="H2369">
        <v>3</v>
      </c>
      <c r="I2369">
        <v>2011</v>
      </c>
      <c r="J2369">
        <v>1</v>
      </c>
      <c r="K2369">
        <v>1</v>
      </c>
      <c r="L2369">
        <v>1</v>
      </c>
      <c r="M2369">
        <v>13</v>
      </c>
      <c r="N2369" t="s">
        <v>35</v>
      </c>
      <c r="O2369" t="s">
        <v>32</v>
      </c>
      <c r="P2369">
        <v>14.1455962428292</v>
      </c>
      <c r="Q2369">
        <v>0.59933283203485199</v>
      </c>
      <c r="R2369">
        <v>7.27260431808521</v>
      </c>
      <c r="S2369">
        <v>117</v>
      </c>
      <c r="T2369">
        <v>67</v>
      </c>
      <c r="U2369">
        <v>381.34660385521499</v>
      </c>
      <c r="V2369">
        <v>3.08641975308641E-3</v>
      </c>
      <c r="W2369">
        <v>1971743.2867960799</v>
      </c>
      <c r="X2369" t="s">
        <v>43</v>
      </c>
      <c r="Y2369">
        <f>1-511-340-1922</f>
        <v>-2772</v>
      </c>
    </row>
    <row r="2370" spans="1:25" x14ac:dyDescent="0.35">
      <c r="A2370">
        <v>32.553718766744801</v>
      </c>
      <c r="B2370">
        <v>-115.35263644139999</v>
      </c>
      <c r="C2370" t="s">
        <v>25</v>
      </c>
      <c r="D2370">
        <v>19.717578415639</v>
      </c>
      <c r="E2370">
        <v>0</v>
      </c>
      <c r="F2370">
        <v>3321</v>
      </c>
      <c r="G2370">
        <v>1</v>
      </c>
      <c r="H2370">
        <v>1</v>
      </c>
      <c r="I2370">
        <v>1959</v>
      </c>
      <c r="J2370">
        <v>1</v>
      </c>
      <c r="K2370">
        <v>1</v>
      </c>
      <c r="L2370">
        <v>0</v>
      </c>
      <c r="M2370">
        <v>5</v>
      </c>
      <c r="N2370" t="s">
        <v>41</v>
      </c>
      <c r="O2370" t="s">
        <v>27</v>
      </c>
      <c r="P2370">
        <v>3.3772574744880499</v>
      </c>
      <c r="Q2370">
        <v>0.64764664454734799</v>
      </c>
      <c r="R2370">
        <v>6.6916282205084601</v>
      </c>
      <c r="S2370">
        <v>18</v>
      </c>
      <c r="T2370">
        <v>47</v>
      </c>
      <c r="U2370">
        <v>864.698811231175</v>
      </c>
      <c r="V2370">
        <v>1.5055706112616599E-3</v>
      </c>
      <c r="W2370">
        <v>2982321.6634600102</v>
      </c>
      <c r="X2370" t="s">
        <v>39</v>
      </c>
      <c r="Y2370">
        <f>1-231-186-7930</f>
        <v>-8346</v>
      </c>
    </row>
    <row r="2371" spans="1:25" x14ac:dyDescent="0.35">
      <c r="A2371">
        <v>41.414826218706501</v>
      </c>
      <c r="B2371">
        <v>-117.191091051534</v>
      </c>
      <c r="C2371" t="s">
        <v>25</v>
      </c>
      <c r="D2371">
        <v>25.418220976521901</v>
      </c>
      <c r="E2371">
        <v>9</v>
      </c>
      <c r="F2371">
        <v>4615</v>
      </c>
      <c r="G2371">
        <v>5</v>
      </c>
      <c r="H2371">
        <v>3</v>
      </c>
      <c r="I2371">
        <v>1970</v>
      </c>
      <c r="J2371">
        <v>0</v>
      </c>
      <c r="K2371">
        <v>0</v>
      </c>
      <c r="L2371">
        <v>0</v>
      </c>
      <c r="M2371">
        <v>2</v>
      </c>
      <c r="N2371" t="s">
        <v>35</v>
      </c>
      <c r="O2371" t="s">
        <v>30</v>
      </c>
      <c r="P2371">
        <v>7.6929812367420496</v>
      </c>
      <c r="Q2371">
        <v>1.18994527859336</v>
      </c>
      <c r="R2371">
        <v>0.26663090239882098</v>
      </c>
      <c r="S2371">
        <v>93</v>
      </c>
      <c r="T2371">
        <v>41</v>
      </c>
      <c r="U2371">
        <v>982.39297575030002</v>
      </c>
      <c r="V2371">
        <v>4.3336944745395401E-4</v>
      </c>
      <c r="W2371">
        <v>4828954.8857606295</v>
      </c>
      <c r="X2371" t="s">
        <v>28</v>
      </c>
      <c r="Y2371">
        <f>1-234-116-2235</f>
        <v>-2584</v>
      </c>
    </row>
    <row r="2372" spans="1:25" x14ac:dyDescent="0.35">
      <c r="A2372">
        <v>41.847361599350798</v>
      </c>
      <c r="B2372">
        <v>-122.746960459831</v>
      </c>
      <c r="C2372" t="s">
        <v>29</v>
      </c>
      <c r="D2372">
        <v>18.790296265468601</v>
      </c>
      <c r="E2372">
        <v>8</v>
      </c>
      <c r="F2372">
        <v>3094</v>
      </c>
      <c r="G2372">
        <v>2</v>
      </c>
      <c r="H2372">
        <v>1</v>
      </c>
      <c r="I2372">
        <v>1979</v>
      </c>
      <c r="J2372">
        <v>0</v>
      </c>
      <c r="K2372">
        <v>1</v>
      </c>
      <c r="L2372">
        <v>0</v>
      </c>
      <c r="M2372">
        <v>2</v>
      </c>
      <c r="N2372" t="s">
        <v>26</v>
      </c>
      <c r="O2372" t="s">
        <v>32</v>
      </c>
      <c r="P2372">
        <v>8.6322205657975104</v>
      </c>
      <c r="Q2372">
        <v>1.99384305663124</v>
      </c>
      <c r="R2372">
        <v>8.63805333039803</v>
      </c>
      <c r="S2372">
        <v>53</v>
      </c>
      <c r="T2372">
        <v>67</v>
      </c>
      <c r="U2372">
        <v>575.54916730240996</v>
      </c>
      <c r="V2372">
        <v>6.4641241111829302E-4</v>
      </c>
      <c r="W2372">
        <v>1989566.86853927</v>
      </c>
      <c r="X2372" t="s">
        <v>33</v>
      </c>
      <c r="Y2372">
        <f>1-555-756-3688</f>
        <v>-4998</v>
      </c>
    </row>
    <row r="2373" spans="1:25" x14ac:dyDescent="0.35">
      <c r="A2373">
        <v>34.145678264919901</v>
      </c>
      <c r="B2373">
        <v>-115.06377767917</v>
      </c>
      <c r="C2373" t="s">
        <v>25</v>
      </c>
      <c r="D2373">
        <v>23.139068615570501</v>
      </c>
      <c r="E2373">
        <v>2</v>
      </c>
      <c r="F2373">
        <v>547</v>
      </c>
      <c r="G2373">
        <v>5</v>
      </c>
      <c r="H2373">
        <v>3</v>
      </c>
      <c r="I2373">
        <v>1980</v>
      </c>
      <c r="J2373">
        <v>1</v>
      </c>
      <c r="K2373">
        <v>1</v>
      </c>
      <c r="L2373">
        <v>1</v>
      </c>
      <c r="M2373">
        <v>14</v>
      </c>
      <c r="N2373" t="s">
        <v>37</v>
      </c>
      <c r="O2373" t="s">
        <v>30</v>
      </c>
      <c r="P2373">
        <v>3.0383095226552701</v>
      </c>
      <c r="Q2373">
        <v>1.4430230258163901</v>
      </c>
      <c r="R2373">
        <v>9.7203204086635502</v>
      </c>
      <c r="S2373">
        <v>112</v>
      </c>
      <c r="T2373">
        <v>46</v>
      </c>
      <c r="U2373">
        <v>520.15132505703502</v>
      </c>
      <c r="V2373">
        <v>2.5594149908592299E-2</v>
      </c>
      <c r="W2373">
        <v>772326.77323734399</v>
      </c>
      <c r="X2373" t="s">
        <v>28</v>
      </c>
      <c r="Y2373">
        <f>1-537-598-6862</f>
        <v>-7996</v>
      </c>
    </row>
    <row r="2374" spans="1:25" x14ac:dyDescent="0.35">
      <c r="A2374">
        <v>38.282706933113602</v>
      </c>
      <c r="B2374">
        <v>-120.96972302231799</v>
      </c>
      <c r="C2374" t="s">
        <v>34</v>
      </c>
      <c r="D2374">
        <v>43.9092670061234</v>
      </c>
      <c r="E2374">
        <v>1</v>
      </c>
      <c r="F2374">
        <v>3152</v>
      </c>
      <c r="G2374">
        <v>3</v>
      </c>
      <c r="H2374">
        <v>3</v>
      </c>
      <c r="I2374">
        <v>1951</v>
      </c>
      <c r="J2374">
        <v>0</v>
      </c>
      <c r="K2374">
        <v>1</v>
      </c>
      <c r="L2374">
        <v>1</v>
      </c>
      <c r="M2374">
        <v>3</v>
      </c>
      <c r="N2374" t="s">
        <v>35</v>
      </c>
      <c r="O2374" t="s">
        <v>32</v>
      </c>
      <c r="P2374">
        <v>7.8172004987912098</v>
      </c>
      <c r="Q2374">
        <v>1.76345359351028</v>
      </c>
      <c r="R2374">
        <v>2.3235735693845601</v>
      </c>
      <c r="S2374">
        <v>13</v>
      </c>
      <c r="T2374">
        <v>21</v>
      </c>
      <c r="U2374">
        <v>295.878024614813</v>
      </c>
      <c r="V2374">
        <v>9.5177664974619195E-4</v>
      </c>
      <c r="W2374">
        <v>1259711.47611425</v>
      </c>
      <c r="X2374" t="s">
        <v>40</v>
      </c>
      <c r="Y2374">
        <f>1-755-896-1845</f>
        <v>-3495</v>
      </c>
    </row>
    <row r="2375" spans="1:25" x14ac:dyDescent="0.35">
      <c r="A2375">
        <v>34.0042110812334</v>
      </c>
      <c r="B2375">
        <v>-115.42120821295499</v>
      </c>
      <c r="C2375" t="s">
        <v>34</v>
      </c>
      <c r="D2375">
        <v>33.997936338392499</v>
      </c>
      <c r="E2375">
        <v>4</v>
      </c>
      <c r="F2375">
        <v>2727</v>
      </c>
      <c r="G2375">
        <v>1</v>
      </c>
      <c r="H2375">
        <v>2</v>
      </c>
      <c r="I2375">
        <v>2003</v>
      </c>
      <c r="J2375">
        <v>1</v>
      </c>
      <c r="K2375">
        <v>1</v>
      </c>
      <c r="L2375">
        <v>0</v>
      </c>
      <c r="M2375">
        <v>4</v>
      </c>
      <c r="N2375" t="s">
        <v>37</v>
      </c>
      <c r="O2375" t="s">
        <v>27</v>
      </c>
      <c r="P2375">
        <v>4.7957250780416496</v>
      </c>
      <c r="Q2375">
        <v>1.7339455436597799</v>
      </c>
      <c r="R2375">
        <v>3.06506250614673</v>
      </c>
      <c r="S2375">
        <v>66</v>
      </c>
      <c r="T2375">
        <v>79</v>
      </c>
      <c r="U2375">
        <v>468.32795502750702</v>
      </c>
      <c r="V2375">
        <v>1.4668133480014601E-3</v>
      </c>
      <c r="W2375">
        <v>1524359.1241421001</v>
      </c>
      <c r="X2375" t="s">
        <v>44</v>
      </c>
      <c r="Y2375">
        <f>1-908-442-8455</f>
        <v>-9804</v>
      </c>
    </row>
    <row r="2376" spans="1:25" x14ac:dyDescent="0.35">
      <c r="A2376">
        <v>34.287521192187498</v>
      </c>
      <c r="B2376">
        <v>-116.778645221256</v>
      </c>
      <c r="C2376" t="s">
        <v>25</v>
      </c>
      <c r="D2376">
        <v>27.433173912447501</v>
      </c>
      <c r="E2376">
        <v>2</v>
      </c>
      <c r="F2376">
        <v>4484</v>
      </c>
      <c r="G2376">
        <v>4</v>
      </c>
      <c r="H2376">
        <v>1</v>
      </c>
      <c r="I2376">
        <v>1999</v>
      </c>
      <c r="J2376">
        <v>1</v>
      </c>
      <c r="K2376">
        <v>0</v>
      </c>
      <c r="L2376">
        <v>1</v>
      </c>
      <c r="M2376">
        <v>9</v>
      </c>
      <c r="N2376" t="s">
        <v>41</v>
      </c>
      <c r="O2376" t="s">
        <v>32</v>
      </c>
      <c r="P2376">
        <v>13.5698332898634</v>
      </c>
      <c r="Q2376">
        <v>1.25088256556969</v>
      </c>
      <c r="R2376">
        <v>7.4336019525852297</v>
      </c>
      <c r="S2376">
        <v>69</v>
      </c>
      <c r="T2376">
        <v>52</v>
      </c>
      <c r="U2376">
        <v>652.38596083271295</v>
      </c>
      <c r="V2376">
        <v>2.0071364852809899E-3</v>
      </c>
      <c r="W2376">
        <v>3340548.32908192</v>
      </c>
      <c r="X2376" t="s">
        <v>43</v>
      </c>
      <c r="Y2376">
        <f>1-585-721-2600</f>
        <v>-3905</v>
      </c>
    </row>
    <row r="2377" spans="1:25" x14ac:dyDescent="0.35">
      <c r="A2377">
        <v>37.434546079650502</v>
      </c>
      <c r="B2377">
        <v>-123.86204552471099</v>
      </c>
      <c r="C2377" t="s">
        <v>25</v>
      </c>
      <c r="D2377">
        <v>41.9063997610196</v>
      </c>
      <c r="E2377">
        <v>2</v>
      </c>
      <c r="F2377">
        <v>1649</v>
      </c>
      <c r="G2377">
        <v>4</v>
      </c>
      <c r="H2377">
        <v>3</v>
      </c>
      <c r="I2377">
        <v>1957</v>
      </c>
      <c r="J2377">
        <v>1</v>
      </c>
      <c r="K2377">
        <v>1</v>
      </c>
      <c r="L2377">
        <v>0</v>
      </c>
      <c r="M2377">
        <v>8</v>
      </c>
      <c r="N2377" t="s">
        <v>37</v>
      </c>
      <c r="O2377" t="s">
        <v>27</v>
      </c>
      <c r="P2377">
        <v>14.3043148389865</v>
      </c>
      <c r="Q2377">
        <v>1.8406551244365601</v>
      </c>
      <c r="R2377">
        <v>7.6457479512280697</v>
      </c>
      <c r="S2377">
        <v>9</v>
      </c>
      <c r="T2377">
        <v>36</v>
      </c>
      <c r="U2377">
        <v>640.64834809121896</v>
      </c>
      <c r="V2377">
        <v>4.85142510612492E-3</v>
      </c>
      <c r="W2377">
        <v>1454461.8559094099</v>
      </c>
      <c r="X2377" t="s">
        <v>36</v>
      </c>
      <c r="Y2377">
        <f>1-200-459-2266</f>
        <v>-2924</v>
      </c>
    </row>
    <row r="2378" spans="1:25" x14ac:dyDescent="0.35">
      <c r="A2378">
        <v>41.265622307823598</v>
      </c>
      <c r="B2378">
        <v>-118.48464001311901</v>
      </c>
      <c r="C2378" t="s">
        <v>25</v>
      </c>
      <c r="D2378">
        <v>13.4328615119468</v>
      </c>
      <c r="E2378">
        <v>3</v>
      </c>
      <c r="F2378">
        <v>4187</v>
      </c>
      <c r="G2378">
        <v>2</v>
      </c>
      <c r="H2378">
        <v>2</v>
      </c>
      <c r="I2378">
        <v>1951</v>
      </c>
      <c r="J2378">
        <v>0</v>
      </c>
      <c r="K2378">
        <v>1</v>
      </c>
      <c r="L2378">
        <v>0</v>
      </c>
      <c r="M2378">
        <v>8</v>
      </c>
      <c r="N2378" t="s">
        <v>41</v>
      </c>
      <c r="O2378" t="s">
        <v>32</v>
      </c>
      <c r="P2378">
        <v>7.7113619719326296</v>
      </c>
      <c r="Q2378">
        <v>1.0257925159191099</v>
      </c>
      <c r="R2378">
        <v>8.3429431962891307</v>
      </c>
      <c r="S2378">
        <v>68</v>
      </c>
      <c r="T2378">
        <v>44</v>
      </c>
      <c r="U2378">
        <v>947.58755828590904</v>
      </c>
      <c r="V2378">
        <v>1.91067590160019E-3</v>
      </c>
      <c r="W2378">
        <v>4251953.5928084701</v>
      </c>
      <c r="X2378" t="s">
        <v>33</v>
      </c>
      <c r="Y2378">
        <f>1-232-633-6802</f>
        <v>-7666</v>
      </c>
    </row>
    <row r="2379" spans="1:25" x14ac:dyDescent="0.35">
      <c r="A2379">
        <v>39.7367470203829</v>
      </c>
      <c r="B2379">
        <v>-122.34556423471101</v>
      </c>
      <c r="C2379" t="s">
        <v>34</v>
      </c>
      <c r="D2379">
        <v>21.4594155424127</v>
      </c>
      <c r="E2379">
        <v>6</v>
      </c>
      <c r="F2379">
        <v>4303</v>
      </c>
      <c r="G2379">
        <v>2</v>
      </c>
      <c r="H2379">
        <v>2</v>
      </c>
      <c r="I2379">
        <v>1950</v>
      </c>
      <c r="J2379">
        <v>0</v>
      </c>
      <c r="K2379">
        <v>1</v>
      </c>
      <c r="L2379">
        <v>0</v>
      </c>
      <c r="M2379">
        <v>9</v>
      </c>
      <c r="N2379" t="s">
        <v>35</v>
      </c>
      <c r="O2379" t="s">
        <v>27</v>
      </c>
      <c r="P2379">
        <v>2.79543275884987</v>
      </c>
      <c r="Q2379">
        <v>1.9714350214721199</v>
      </c>
      <c r="R2379">
        <v>6.3443229104598799</v>
      </c>
      <c r="S2379">
        <v>30</v>
      </c>
      <c r="T2379">
        <v>52</v>
      </c>
      <c r="U2379">
        <v>204.75126968169101</v>
      </c>
      <c r="V2379">
        <v>2.0915640250987601E-3</v>
      </c>
      <c r="W2379">
        <v>907331.40953825705</v>
      </c>
      <c r="X2379" t="s">
        <v>43</v>
      </c>
      <c r="Y2379">
        <f>1-331-805-2010</f>
        <v>-3145</v>
      </c>
    </row>
    <row r="2380" spans="1:25" x14ac:dyDescent="0.35">
      <c r="A2380">
        <v>39.035395566393703</v>
      </c>
      <c r="B2380">
        <v>-114.77371731064</v>
      </c>
      <c r="C2380" t="s">
        <v>29</v>
      </c>
      <c r="D2380">
        <v>34.533453944176401</v>
      </c>
      <c r="E2380">
        <v>8</v>
      </c>
      <c r="F2380">
        <v>525</v>
      </c>
      <c r="G2380">
        <v>3</v>
      </c>
      <c r="H2380">
        <v>1</v>
      </c>
      <c r="I2380">
        <v>1980</v>
      </c>
      <c r="J2380">
        <v>0</v>
      </c>
      <c r="K2380">
        <v>0</v>
      </c>
      <c r="L2380">
        <v>1</v>
      </c>
      <c r="M2380">
        <v>10</v>
      </c>
      <c r="N2380" t="s">
        <v>37</v>
      </c>
      <c r="O2380" t="s">
        <v>27</v>
      </c>
      <c r="P2380">
        <v>2.549657164888</v>
      </c>
      <c r="Q2380">
        <v>1.5867205993269899</v>
      </c>
      <c r="R2380">
        <v>9.9184091732953803</v>
      </c>
      <c r="S2380">
        <v>148</v>
      </c>
      <c r="T2380">
        <v>33</v>
      </c>
      <c r="U2380">
        <v>823.53318988392198</v>
      </c>
      <c r="V2380">
        <v>1.9047619047619001E-2</v>
      </c>
      <c r="W2380">
        <v>522576.00647482497</v>
      </c>
      <c r="X2380" t="s">
        <v>36</v>
      </c>
      <c r="Y2380">
        <f>1-597-411-7170</f>
        <v>-8177</v>
      </c>
    </row>
    <row r="2381" spans="1:25" x14ac:dyDescent="0.35">
      <c r="A2381">
        <v>35.145917786426999</v>
      </c>
      <c r="B2381">
        <v>-119.52732434709699</v>
      </c>
      <c r="C2381" t="s">
        <v>25</v>
      </c>
      <c r="D2381">
        <v>15.6805642562818</v>
      </c>
      <c r="E2381">
        <v>4</v>
      </c>
      <c r="F2381">
        <v>1650</v>
      </c>
      <c r="G2381">
        <v>4</v>
      </c>
      <c r="H2381">
        <v>2</v>
      </c>
      <c r="I2381">
        <v>2016</v>
      </c>
      <c r="J2381">
        <v>0</v>
      </c>
      <c r="K2381">
        <v>0</v>
      </c>
      <c r="L2381">
        <v>0</v>
      </c>
      <c r="M2381">
        <v>2</v>
      </c>
      <c r="N2381" t="s">
        <v>41</v>
      </c>
      <c r="O2381" t="s">
        <v>30</v>
      </c>
      <c r="P2381">
        <v>10.3601310772296</v>
      </c>
      <c r="Q2381">
        <v>1.5445246287740499</v>
      </c>
      <c r="R2381">
        <v>9.3217662422556398</v>
      </c>
      <c r="S2381">
        <v>106</v>
      </c>
      <c r="T2381">
        <v>69</v>
      </c>
      <c r="U2381">
        <v>319.49354875207803</v>
      </c>
      <c r="V2381">
        <v>1.21212121212121E-3</v>
      </c>
      <c r="W2381">
        <v>864114.15214198898</v>
      </c>
      <c r="X2381" t="s">
        <v>31</v>
      </c>
      <c r="Y2381">
        <f>1-223-673-5177</f>
        <v>-6072</v>
      </c>
    </row>
    <row r="2382" spans="1:25" x14ac:dyDescent="0.35">
      <c r="A2382">
        <v>34.719685387737897</v>
      </c>
      <c r="B2382">
        <v>-118.171153918973</v>
      </c>
      <c r="C2382" t="s">
        <v>25</v>
      </c>
      <c r="D2382">
        <v>48.071493542967502</v>
      </c>
      <c r="E2382">
        <v>2</v>
      </c>
      <c r="F2382">
        <v>4351</v>
      </c>
      <c r="G2382">
        <v>5</v>
      </c>
      <c r="H2382">
        <v>1</v>
      </c>
      <c r="I2382">
        <v>1992</v>
      </c>
      <c r="J2382">
        <v>0</v>
      </c>
      <c r="K2382">
        <v>1</v>
      </c>
      <c r="L2382">
        <v>0</v>
      </c>
      <c r="M2382">
        <v>5</v>
      </c>
      <c r="N2382" t="s">
        <v>35</v>
      </c>
      <c r="O2382" t="s">
        <v>30</v>
      </c>
      <c r="P2382">
        <v>9.5846578258736308</v>
      </c>
      <c r="Q2382">
        <v>1.8375468138442099</v>
      </c>
      <c r="R2382">
        <v>7.3345781282836704</v>
      </c>
      <c r="S2382">
        <v>177</v>
      </c>
      <c r="T2382">
        <v>72</v>
      </c>
      <c r="U2382">
        <v>249.44976275519801</v>
      </c>
      <c r="V2382">
        <v>1.14916111238795E-3</v>
      </c>
      <c r="W2382">
        <v>1466786.9273907901</v>
      </c>
      <c r="X2382" t="s">
        <v>43</v>
      </c>
      <c r="Y2382">
        <f>1-491-789-7759</f>
        <v>-9038</v>
      </c>
    </row>
    <row r="2383" spans="1:25" x14ac:dyDescent="0.35">
      <c r="A2383">
        <v>39.657209103596301</v>
      </c>
      <c r="B2383">
        <v>-121.606608261142</v>
      </c>
      <c r="C2383" t="s">
        <v>34</v>
      </c>
      <c r="D2383">
        <v>27.710043645120798</v>
      </c>
      <c r="E2383">
        <v>2</v>
      </c>
      <c r="F2383">
        <v>791</v>
      </c>
      <c r="G2383">
        <v>4</v>
      </c>
      <c r="H2383">
        <v>2</v>
      </c>
      <c r="I2383">
        <v>1986</v>
      </c>
      <c r="J2383">
        <v>0</v>
      </c>
      <c r="K2383">
        <v>1</v>
      </c>
      <c r="L2383">
        <v>0</v>
      </c>
      <c r="M2383">
        <v>10</v>
      </c>
      <c r="N2383" t="s">
        <v>41</v>
      </c>
      <c r="O2383" t="s">
        <v>27</v>
      </c>
      <c r="P2383">
        <v>9.5001889827039996</v>
      </c>
      <c r="Q2383">
        <v>1.12878209025934</v>
      </c>
      <c r="R2383">
        <v>8.2336100048433298</v>
      </c>
      <c r="S2383">
        <v>66</v>
      </c>
      <c r="T2383">
        <v>38</v>
      </c>
      <c r="U2383">
        <v>684.70680799169895</v>
      </c>
      <c r="V2383">
        <v>1.2642225031605499E-2</v>
      </c>
      <c r="W2383">
        <v>853750.89157040499</v>
      </c>
      <c r="X2383" t="s">
        <v>44</v>
      </c>
      <c r="Y2383">
        <f>1-829-968-3807</f>
        <v>-5603</v>
      </c>
    </row>
    <row r="2384" spans="1:25" x14ac:dyDescent="0.35">
      <c r="A2384">
        <v>33.4772435240126</v>
      </c>
      <c r="B2384">
        <v>-116.375972114315</v>
      </c>
      <c r="C2384" t="s">
        <v>25</v>
      </c>
      <c r="D2384">
        <v>30.490904396158101</v>
      </c>
      <c r="E2384">
        <v>0</v>
      </c>
      <c r="F2384">
        <v>2651</v>
      </c>
      <c r="G2384">
        <v>2</v>
      </c>
      <c r="H2384">
        <v>2</v>
      </c>
      <c r="I2384">
        <v>1978</v>
      </c>
      <c r="J2384">
        <v>0</v>
      </c>
      <c r="K2384">
        <v>0</v>
      </c>
      <c r="L2384">
        <v>1</v>
      </c>
      <c r="M2384">
        <v>3</v>
      </c>
      <c r="N2384" t="s">
        <v>41</v>
      </c>
      <c r="O2384" t="s">
        <v>27</v>
      </c>
      <c r="P2384">
        <v>12.175666220935399</v>
      </c>
      <c r="Q2384">
        <v>2.4318951176408201</v>
      </c>
      <c r="R2384">
        <v>3.5574109253543198</v>
      </c>
      <c r="S2384">
        <v>43</v>
      </c>
      <c r="T2384">
        <v>78</v>
      </c>
      <c r="U2384">
        <v>890.44801472958602</v>
      </c>
      <c r="V2384">
        <v>1.13164843455299E-3</v>
      </c>
      <c r="W2384">
        <v>2584869.64483925</v>
      </c>
      <c r="X2384" t="s">
        <v>40</v>
      </c>
      <c r="Y2384">
        <f>1-274-692-6795</f>
        <v>-7760</v>
      </c>
    </row>
    <row r="2385" spans="1:25" x14ac:dyDescent="0.35">
      <c r="A2385">
        <v>40.029982626254203</v>
      </c>
      <c r="B2385">
        <v>-114.852166576301</v>
      </c>
      <c r="C2385" t="s">
        <v>25</v>
      </c>
      <c r="D2385">
        <v>28.838570914620298</v>
      </c>
      <c r="E2385">
        <v>0</v>
      </c>
      <c r="F2385">
        <v>4642</v>
      </c>
      <c r="G2385">
        <v>3</v>
      </c>
      <c r="H2385">
        <v>3</v>
      </c>
      <c r="I2385">
        <v>1963</v>
      </c>
      <c r="J2385">
        <v>1</v>
      </c>
      <c r="K2385">
        <v>1</v>
      </c>
      <c r="L2385">
        <v>1</v>
      </c>
      <c r="M2385">
        <v>9</v>
      </c>
      <c r="N2385" t="s">
        <v>35</v>
      </c>
      <c r="O2385" t="s">
        <v>30</v>
      </c>
      <c r="P2385">
        <v>12.573009895231101</v>
      </c>
      <c r="Q2385">
        <v>0.81233150433838297</v>
      </c>
      <c r="R2385">
        <v>2.8267707551351999</v>
      </c>
      <c r="S2385">
        <v>61</v>
      </c>
      <c r="T2385">
        <v>71</v>
      </c>
      <c r="U2385">
        <v>794.38340160934195</v>
      </c>
      <c r="V2385">
        <v>1.93881947436449E-3</v>
      </c>
      <c r="W2385">
        <v>4172062.45172334</v>
      </c>
      <c r="X2385" t="s">
        <v>31</v>
      </c>
      <c r="Y2385">
        <f>1-645-130-8314</f>
        <v>-9088</v>
      </c>
    </row>
    <row r="2386" spans="1:25" x14ac:dyDescent="0.35">
      <c r="A2386">
        <v>38.150502108432498</v>
      </c>
      <c r="B2386">
        <v>-115.191435321472</v>
      </c>
      <c r="C2386" t="s">
        <v>29</v>
      </c>
      <c r="D2386">
        <v>9.6676722764624294</v>
      </c>
      <c r="E2386">
        <v>2</v>
      </c>
      <c r="F2386">
        <v>3417</v>
      </c>
      <c r="G2386">
        <v>2</v>
      </c>
      <c r="H2386">
        <v>1</v>
      </c>
      <c r="I2386">
        <v>1981</v>
      </c>
      <c r="J2386">
        <v>1</v>
      </c>
      <c r="K2386">
        <v>0</v>
      </c>
      <c r="L2386">
        <v>0</v>
      </c>
      <c r="M2386">
        <v>7</v>
      </c>
      <c r="N2386" t="s">
        <v>37</v>
      </c>
      <c r="O2386" t="s">
        <v>27</v>
      </c>
      <c r="P2386">
        <v>12.125785671015599</v>
      </c>
      <c r="Q2386">
        <v>0.85398912945024297</v>
      </c>
      <c r="R2386">
        <v>3.3265612405418401</v>
      </c>
      <c r="S2386">
        <v>142</v>
      </c>
      <c r="T2386">
        <v>36</v>
      </c>
      <c r="U2386">
        <v>945.354036750555</v>
      </c>
      <c r="V2386">
        <v>2.04858062628036E-3</v>
      </c>
      <c r="W2386">
        <v>3391386.1088498598</v>
      </c>
      <c r="X2386" t="s">
        <v>43</v>
      </c>
      <c r="Y2386">
        <f>1-713-267-6596</f>
        <v>-7575</v>
      </c>
    </row>
    <row r="2387" spans="1:25" x14ac:dyDescent="0.35">
      <c r="A2387">
        <v>32.905584461800203</v>
      </c>
      <c r="B2387">
        <v>-124.3345851168</v>
      </c>
      <c r="C2387" t="s">
        <v>29</v>
      </c>
      <c r="D2387">
        <v>43.148876376441798</v>
      </c>
      <c r="E2387">
        <v>1</v>
      </c>
      <c r="F2387">
        <v>898</v>
      </c>
      <c r="G2387">
        <v>3</v>
      </c>
      <c r="H2387">
        <v>1</v>
      </c>
      <c r="I2387">
        <v>1986</v>
      </c>
      <c r="J2387">
        <v>1</v>
      </c>
      <c r="K2387">
        <v>0</v>
      </c>
      <c r="L2387">
        <v>0</v>
      </c>
      <c r="M2387">
        <v>8</v>
      </c>
      <c r="N2387" t="s">
        <v>35</v>
      </c>
      <c r="O2387" t="s">
        <v>30</v>
      </c>
      <c r="P2387">
        <v>11.599382484958801</v>
      </c>
      <c r="Q2387">
        <v>2.0375606660401302</v>
      </c>
      <c r="R2387">
        <v>5.5055633246731297</v>
      </c>
      <c r="S2387">
        <v>37</v>
      </c>
      <c r="T2387">
        <v>37</v>
      </c>
      <c r="U2387">
        <v>560.61280745592296</v>
      </c>
      <c r="V2387">
        <v>8.90868596881959E-3</v>
      </c>
      <c r="W2387">
        <v>742949.13116982195</v>
      </c>
      <c r="X2387" t="s">
        <v>36</v>
      </c>
      <c r="Y2387">
        <f>1-748-511-3513</f>
        <v>-4771</v>
      </c>
    </row>
    <row r="2388" spans="1:25" x14ac:dyDescent="0.35">
      <c r="A2388">
        <v>33.010643728984903</v>
      </c>
      <c r="B2388">
        <v>-117.009680487385</v>
      </c>
      <c r="C2388" t="s">
        <v>25</v>
      </c>
      <c r="D2388">
        <v>23.055200890156701</v>
      </c>
      <c r="E2388">
        <v>6</v>
      </c>
      <c r="F2388">
        <v>965</v>
      </c>
      <c r="G2388">
        <v>5</v>
      </c>
      <c r="H2388">
        <v>1</v>
      </c>
      <c r="I2388">
        <v>1953</v>
      </c>
      <c r="J2388">
        <v>1</v>
      </c>
      <c r="K2388">
        <v>0</v>
      </c>
      <c r="L2388">
        <v>1</v>
      </c>
      <c r="M2388">
        <v>3</v>
      </c>
      <c r="N2388" t="s">
        <v>41</v>
      </c>
      <c r="O2388" t="s">
        <v>27</v>
      </c>
      <c r="P2388">
        <v>8.5866490755164602</v>
      </c>
      <c r="Q2388">
        <v>1.23507810270549</v>
      </c>
      <c r="R2388">
        <v>3.2245384152483498</v>
      </c>
      <c r="S2388">
        <v>37</v>
      </c>
      <c r="T2388">
        <v>65</v>
      </c>
      <c r="U2388">
        <v>651.17193369132099</v>
      </c>
      <c r="V2388">
        <v>3.1088082901554398E-3</v>
      </c>
      <c r="W2388">
        <v>949651.06960254395</v>
      </c>
      <c r="X2388" t="s">
        <v>44</v>
      </c>
      <c r="Y2388">
        <f>1-997-182-4218</f>
        <v>-5396</v>
      </c>
    </row>
    <row r="2389" spans="1:25" x14ac:dyDescent="0.35">
      <c r="A2389">
        <v>41.171141165541897</v>
      </c>
      <c r="B2389">
        <v>-116.138202897974</v>
      </c>
      <c r="C2389" t="s">
        <v>25</v>
      </c>
      <c r="D2389">
        <v>1.03010430525543</v>
      </c>
      <c r="E2389">
        <v>0</v>
      </c>
      <c r="F2389">
        <v>3494</v>
      </c>
      <c r="G2389">
        <v>3</v>
      </c>
      <c r="H2389">
        <v>1</v>
      </c>
      <c r="I2389">
        <v>1958</v>
      </c>
      <c r="J2389">
        <v>1</v>
      </c>
      <c r="K2389">
        <v>1</v>
      </c>
      <c r="L2389">
        <v>1</v>
      </c>
      <c r="M2389">
        <v>6</v>
      </c>
      <c r="N2389" t="s">
        <v>41</v>
      </c>
      <c r="O2389" t="s">
        <v>30</v>
      </c>
      <c r="P2389">
        <v>4.72827235205144</v>
      </c>
      <c r="Q2389">
        <v>1.4845423310080299</v>
      </c>
      <c r="R2389">
        <v>9.9219215234160707</v>
      </c>
      <c r="S2389">
        <v>120</v>
      </c>
      <c r="T2389">
        <v>70</v>
      </c>
      <c r="U2389">
        <v>792.13110463833198</v>
      </c>
      <c r="V2389">
        <v>1.7172295363480201E-3</v>
      </c>
      <c r="W2389">
        <v>2924673.0504225702</v>
      </c>
      <c r="X2389" t="s">
        <v>44</v>
      </c>
      <c r="Y2389">
        <f>1-499-429-5905</f>
        <v>-6832</v>
      </c>
    </row>
    <row r="2390" spans="1:25" x14ac:dyDescent="0.35">
      <c r="A2390">
        <v>40.987372337134097</v>
      </c>
      <c r="B2390">
        <v>-116.908385470437</v>
      </c>
      <c r="C2390" t="s">
        <v>34</v>
      </c>
      <c r="D2390">
        <v>25.4382491473485</v>
      </c>
      <c r="E2390">
        <v>4</v>
      </c>
      <c r="F2390">
        <v>4063</v>
      </c>
      <c r="G2390">
        <v>3</v>
      </c>
      <c r="H2390">
        <v>2</v>
      </c>
      <c r="I2390">
        <v>1985</v>
      </c>
      <c r="J2390">
        <v>1</v>
      </c>
      <c r="K2390">
        <v>0</v>
      </c>
      <c r="L2390">
        <v>0</v>
      </c>
      <c r="M2390">
        <v>2</v>
      </c>
      <c r="N2390" t="s">
        <v>41</v>
      </c>
      <c r="O2390" t="s">
        <v>30</v>
      </c>
      <c r="P2390">
        <v>14.110680175057199</v>
      </c>
      <c r="Q2390">
        <v>2.4457757313642801</v>
      </c>
      <c r="R2390">
        <v>8.3016103988840992</v>
      </c>
      <c r="S2390">
        <v>151</v>
      </c>
      <c r="T2390">
        <v>75</v>
      </c>
      <c r="U2390">
        <v>310.64057047698202</v>
      </c>
      <c r="V2390">
        <v>4.9224710804823997E-4</v>
      </c>
      <c r="W2390">
        <v>1465266.1877218499</v>
      </c>
      <c r="X2390" t="s">
        <v>39</v>
      </c>
      <c r="Y2390">
        <f>1-630-486-2241</f>
        <v>-3356</v>
      </c>
    </row>
    <row r="2391" spans="1:25" x14ac:dyDescent="0.35">
      <c r="A2391">
        <v>37.960629371008402</v>
      </c>
      <c r="B2391">
        <v>-114.25514057637901</v>
      </c>
      <c r="C2391" t="s">
        <v>29</v>
      </c>
      <c r="D2391">
        <v>29.5155808645025</v>
      </c>
      <c r="E2391">
        <v>1</v>
      </c>
      <c r="F2391">
        <v>4764</v>
      </c>
      <c r="G2391">
        <v>1</v>
      </c>
      <c r="H2391">
        <v>1</v>
      </c>
      <c r="I2391">
        <v>1976</v>
      </c>
      <c r="J2391">
        <v>1</v>
      </c>
      <c r="K2391">
        <v>1</v>
      </c>
      <c r="L2391">
        <v>0</v>
      </c>
      <c r="M2391">
        <v>8</v>
      </c>
      <c r="N2391" t="s">
        <v>35</v>
      </c>
      <c r="O2391" t="s">
        <v>32</v>
      </c>
      <c r="P2391">
        <v>7.8639248382048601</v>
      </c>
      <c r="Q2391">
        <v>0.72872054863110103</v>
      </c>
      <c r="R2391">
        <v>8.4451418745914193</v>
      </c>
      <c r="S2391">
        <v>41</v>
      </c>
      <c r="T2391">
        <v>48</v>
      </c>
      <c r="U2391">
        <v>215.47286364711701</v>
      </c>
      <c r="V2391">
        <v>1.6792611251049501E-3</v>
      </c>
      <c r="W2391">
        <v>1219380.1101583201</v>
      </c>
      <c r="X2391" t="s">
        <v>38</v>
      </c>
      <c r="Y2391">
        <f>1-342-652-7971</f>
        <v>-8964</v>
      </c>
    </row>
    <row r="2392" spans="1:25" x14ac:dyDescent="0.35">
      <c r="A2392">
        <v>37.774819412247197</v>
      </c>
      <c r="B2392">
        <v>-119.91610025580501</v>
      </c>
      <c r="C2392" t="s">
        <v>25</v>
      </c>
      <c r="D2392">
        <v>32.526627073351698</v>
      </c>
      <c r="E2392">
        <v>3</v>
      </c>
      <c r="F2392">
        <v>4180</v>
      </c>
      <c r="G2392">
        <v>4</v>
      </c>
      <c r="H2392">
        <v>3</v>
      </c>
      <c r="I2392">
        <v>1969</v>
      </c>
      <c r="J2392">
        <v>1</v>
      </c>
      <c r="K2392">
        <v>1</v>
      </c>
      <c r="L2392">
        <v>0</v>
      </c>
      <c r="M2392">
        <v>6</v>
      </c>
      <c r="N2392" t="s">
        <v>26</v>
      </c>
      <c r="O2392" t="s">
        <v>32</v>
      </c>
      <c r="P2392">
        <v>6.9609759237876396</v>
      </c>
      <c r="Q2392">
        <v>0.68590461682683701</v>
      </c>
      <c r="R2392">
        <v>4.25297214630515</v>
      </c>
      <c r="S2392">
        <v>56</v>
      </c>
      <c r="T2392">
        <v>61</v>
      </c>
      <c r="U2392">
        <v>709.50936269362205</v>
      </c>
      <c r="V2392">
        <v>1.43540669856459E-3</v>
      </c>
      <c r="W2392">
        <v>3246465.1548256101</v>
      </c>
      <c r="X2392" t="s">
        <v>44</v>
      </c>
      <c r="Y2392">
        <f>1-521-603-4426</f>
        <v>-5549</v>
      </c>
    </row>
    <row r="2393" spans="1:25" x14ac:dyDescent="0.35">
      <c r="A2393">
        <v>35.244928727772503</v>
      </c>
      <c r="B2393">
        <v>-119.42659971335701</v>
      </c>
      <c r="C2393" t="s">
        <v>34</v>
      </c>
      <c r="D2393">
        <v>34.277044706800403</v>
      </c>
      <c r="E2393">
        <v>9</v>
      </c>
      <c r="F2393">
        <v>702</v>
      </c>
      <c r="G2393">
        <v>5</v>
      </c>
      <c r="H2393">
        <v>2</v>
      </c>
      <c r="I2393">
        <v>2002</v>
      </c>
      <c r="J2393">
        <v>1</v>
      </c>
      <c r="K2393">
        <v>1</v>
      </c>
      <c r="L2393">
        <v>0</v>
      </c>
      <c r="M2393">
        <v>3</v>
      </c>
      <c r="N2393" t="s">
        <v>35</v>
      </c>
      <c r="O2393" t="s">
        <v>27</v>
      </c>
      <c r="P2393">
        <v>9.2436414592176792</v>
      </c>
      <c r="Q2393">
        <v>0.86766013607448</v>
      </c>
      <c r="R2393">
        <v>7.2514318864201401</v>
      </c>
      <c r="S2393">
        <v>177</v>
      </c>
      <c r="T2393">
        <v>35</v>
      </c>
      <c r="U2393">
        <v>816.732033324697</v>
      </c>
      <c r="V2393">
        <v>4.2735042735042696E-3</v>
      </c>
      <c r="W2393">
        <v>944747.57302083098</v>
      </c>
      <c r="X2393" t="s">
        <v>33</v>
      </c>
      <c r="Y2393">
        <f>1-361-422-7865</f>
        <v>-8647</v>
      </c>
    </row>
    <row r="2394" spans="1:25" x14ac:dyDescent="0.35">
      <c r="A2394">
        <v>36.592195748951198</v>
      </c>
      <c r="B2394">
        <v>-116.33104198295599</v>
      </c>
      <c r="C2394" t="s">
        <v>25</v>
      </c>
      <c r="D2394">
        <v>2.96054681667218</v>
      </c>
      <c r="E2394">
        <v>6</v>
      </c>
      <c r="F2394">
        <v>1858</v>
      </c>
      <c r="G2394">
        <v>3</v>
      </c>
      <c r="H2394">
        <v>2</v>
      </c>
      <c r="I2394">
        <v>2020</v>
      </c>
      <c r="J2394">
        <v>1</v>
      </c>
      <c r="K2394">
        <v>0</v>
      </c>
      <c r="L2394">
        <v>0</v>
      </c>
      <c r="M2394">
        <v>6</v>
      </c>
      <c r="N2394" t="s">
        <v>41</v>
      </c>
      <c r="O2394" t="s">
        <v>27</v>
      </c>
      <c r="P2394">
        <v>7.1667963083113504</v>
      </c>
      <c r="Q2394">
        <v>2.1503311467195299</v>
      </c>
      <c r="R2394">
        <v>4.38240409298432</v>
      </c>
      <c r="S2394">
        <v>139</v>
      </c>
      <c r="T2394">
        <v>62</v>
      </c>
      <c r="U2394">
        <v>737.59861228026102</v>
      </c>
      <c r="V2394">
        <v>3.2292787944025801E-3</v>
      </c>
      <c r="W2394">
        <v>1586191.1547314001</v>
      </c>
      <c r="X2394" t="s">
        <v>43</v>
      </c>
      <c r="Y2394">
        <f>1-276-248-4446</f>
        <v>-4969</v>
      </c>
    </row>
    <row r="2395" spans="1:25" x14ac:dyDescent="0.35">
      <c r="A2395">
        <v>35.555416877431</v>
      </c>
      <c r="B2395">
        <v>-120.98086287160299</v>
      </c>
      <c r="C2395" t="s">
        <v>25</v>
      </c>
      <c r="D2395">
        <v>19.504654733064399</v>
      </c>
      <c r="E2395">
        <v>3</v>
      </c>
      <c r="F2395">
        <v>3514</v>
      </c>
      <c r="G2395">
        <v>5</v>
      </c>
      <c r="H2395">
        <v>1</v>
      </c>
      <c r="I2395">
        <v>1955</v>
      </c>
      <c r="J2395">
        <v>0</v>
      </c>
      <c r="K2395">
        <v>0</v>
      </c>
      <c r="L2395">
        <v>0</v>
      </c>
      <c r="M2395">
        <v>11</v>
      </c>
      <c r="N2395" t="s">
        <v>37</v>
      </c>
      <c r="O2395" t="s">
        <v>30</v>
      </c>
      <c r="P2395">
        <v>3.9361688070183298</v>
      </c>
      <c r="Q2395">
        <v>2.4444775724120702</v>
      </c>
      <c r="R2395">
        <v>9.34625689077515</v>
      </c>
      <c r="S2395">
        <v>46</v>
      </c>
      <c r="T2395">
        <v>78</v>
      </c>
      <c r="U2395">
        <v>675.87057369808099</v>
      </c>
      <c r="V2395">
        <v>3.1303357996585002E-3</v>
      </c>
      <c r="W2395">
        <v>2593115.7917239298</v>
      </c>
      <c r="X2395" t="s">
        <v>33</v>
      </c>
      <c r="Y2395">
        <f>1-905-772-6225</f>
        <v>-7901</v>
      </c>
    </row>
    <row r="2396" spans="1:25" x14ac:dyDescent="0.35">
      <c r="A2396">
        <v>34.816941030072499</v>
      </c>
      <c r="B2396">
        <v>-123.673502853366</v>
      </c>
      <c r="C2396" t="s">
        <v>29</v>
      </c>
      <c r="D2396">
        <v>49.423238945746199</v>
      </c>
      <c r="E2396">
        <v>1</v>
      </c>
      <c r="F2396">
        <v>4640</v>
      </c>
      <c r="G2396">
        <v>1</v>
      </c>
      <c r="H2396">
        <v>1</v>
      </c>
      <c r="I2396">
        <v>2021</v>
      </c>
      <c r="J2396">
        <v>1</v>
      </c>
      <c r="K2396">
        <v>0</v>
      </c>
      <c r="L2396">
        <v>1</v>
      </c>
      <c r="M2396">
        <v>6</v>
      </c>
      <c r="N2396" t="s">
        <v>37</v>
      </c>
      <c r="O2396" t="s">
        <v>32</v>
      </c>
      <c r="P2396">
        <v>7.9962554103138901</v>
      </c>
      <c r="Q2396">
        <v>1.11782983777279</v>
      </c>
      <c r="R2396">
        <v>9.1121632878482597</v>
      </c>
      <c r="S2396">
        <v>72</v>
      </c>
      <c r="T2396">
        <v>74</v>
      </c>
      <c r="U2396">
        <v>491.61276956818398</v>
      </c>
      <c r="V2396">
        <v>1.2931034482758601E-3</v>
      </c>
      <c r="W2396">
        <v>2410943.78255089</v>
      </c>
      <c r="X2396" t="s">
        <v>44</v>
      </c>
      <c r="Y2396">
        <f>1-204-707-3855</f>
        <v>-4765</v>
      </c>
    </row>
    <row r="2397" spans="1:25" x14ac:dyDescent="0.35">
      <c r="A2397">
        <v>38.057062318919101</v>
      </c>
      <c r="B2397">
        <v>-115.694591467607</v>
      </c>
      <c r="C2397" t="s">
        <v>25</v>
      </c>
      <c r="D2397">
        <v>41.237786279582402</v>
      </c>
      <c r="E2397">
        <v>3</v>
      </c>
      <c r="F2397">
        <v>2812</v>
      </c>
      <c r="G2397">
        <v>1</v>
      </c>
      <c r="H2397">
        <v>2</v>
      </c>
      <c r="I2397">
        <v>2016</v>
      </c>
      <c r="J2397">
        <v>1</v>
      </c>
      <c r="K2397">
        <v>1</v>
      </c>
      <c r="L2397">
        <v>0</v>
      </c>
      <c r="M2397">
        <v>12</v>
      </c>
      <c r="N2397" t="s">
        <v>26</v>
      </c>
      <c r="O2397" t="s">
        <v>30</v>
      </c>
      <c r="P2397">
        <v>6.6267197902874804</v>
      </c>
      <c r="Q2397">
        <v>0.90839846387673495</v>
      </c>
      <c r="R2397">
        <v>7.7244590390464598</v>
      </c>
      <c r="S2397">
        <v>176</v>
      </c>
      <c r="T2397">
        <v>59</v>
      </c>
      <c r="U2397">
        <v>558.41391976095997</v>
      </c>
      <c r="V2397">
        <v>4.2674253200568899E-3</v>
      </c>
      <c r="W2397">
        <v>1761298.55461455</v>
      </c>
      <c r="X2397" t="s">
        <v>43</v>
      </c>
      <c r="Y2397">
        <f>1-311-332-2753</f>
        <v>-3395</v>
      </c>
    </row>
    <row r="2398" spans="1:25" x14ac:dyDescent="0.35">
      <c r="A2398">
        <v>40.8199224940454</v>
      </c>
      <c r="B2398">
        <v>-115.54229192559301</v>
      </c>
      <c r="C2398" t="s">
        <v>34</v>
      </c>
      <c r="D2398">
        <v>19.319033032343299</v>
      </c>
      <c r="E2398">
        <v>0</v>
      </c>
      <c r="F2398">
        <v>3452</v>
      </c>
      <c r="G2398">
        <v>4</v>
      </c>
      <c r="H2398">
        <v>1</v>
      </c>
      <c r="I2398">
        <v>1985</v>
      </c>
      <c r="J2398">
        <v>0</v>
      </c>
      <c r="K2398">
        <v>0</v>
      </c>
      <c r="L2398">
        <v>1</v>
      </c>
      <c r="M2398">
        <v>8</v>
      </c>
      <c r="N2398" t="s">
        <v>26</v>
      </c>
      <c r="O2398" t="s">
        <v>32</v>
      </c>
      <c r="P2398">
        <v>8.6053951202942205</v>
      </c>
      <c r="Q2398">
        <v>1.6094411992817499</v>
      </c>
      <c r="R2398">
        <v>3.25739146022726</v>
      </c>
      <c r="S2398">
        <v>86</v>
      </c>
      <c r="T2398">
        <v>21</v>
      </c>
      <c r="U2398">
        <v>727.933396486692</v>
      </c>
      <c r="V2398">
        <v>2.3174971031286202E-3</v>
      </c>
      <c r="W2398">
        <v>2748199.3672204702</v>
      </c>
      <c r="X2398" t="s">
        <v>44</v>
      </c>
      <c r="Y2398">
        <f>1-281-513-8201</f>
        <v>-8994</v>
      </c>
    </row>
    <row r="2399" spans="1:25" x14ac:dyDescent="0.35">
      <c r="A2399">
        <v>39.5073732902637</v>
      </c>
      <c r="B2399">
        <v>-116.890124196502</v>
      </c>
      <c r="C2399" t="s">
        <v>34</v>
      </c>
      <c r="D2399">
        <v>38.229244074687102</v>
      </c>
      <c r="E2399">
        <v>1</v>
      </c>
      <c r="F2399">
        <v>3065</v>
      </c>
      <c r="G2399">
        <v>4</v>
      </c>
      <c r="H2399">
        <v>2</v>
      </c>
      <c r="I2399">
        <v>1987</v>
      </c>
      <c r="J2399">
        <v>1</v>
      </c>
      <c r="K2399">
        <v>0</v>
      </c>
      <c r="L2399">
        <v>1</v>
      </c>
      <c r="M2399">
        <v>7</v>
      </c>
      <c r="N2399" t="s">
        <v>35</v>
      </c>
      <c r="O2399" t="s">
        <v>30</v>
      </c>
      <c r="P2399">
        <v>7.2334383835571199</v>
      </c>
      <c r="Q2399">
        <v>1.3324276285149099</v>
      </c>
      <c r="R2399">
        <v>3.8891539592806401</v>
      </c>
      <c r="S2399">
        <v>172</v>
      </c>
      <c r="T2399">
        <v>74</v>
      </c>
      <c r="U2399">
        <v>526.03376295994303</v>
      </c>
      <c r="V2399">
        <v>2.2838499184339302E-3</v>
      </c>
      <c r="W2399">
        <v>1788450.9438328501</v>
      </c>
      <c r="X2399" t="s">
        <v>38</v>
      </c>
      <c r="Y2399">
        <f>1-926-175-4446</f>
        <v>-5546</v>
      </c>
    </row>
    <row r="2400" spans="1:25" x14ac:dyDescent="0.35">
      <c r="A2400">
        <v>39.107187819630703</v>
      </c>
      <c r="B2400">
        <v>-119.60847711279</v>
      </c>
      <c r="C2400" t="s">
        <v>25</v>
      </c>
      <c r="D2400">
        <v>49.9316536685442</v>
      </c>
      <c r="E2400">
        <v>3</v>
      </c>
      <c r="F2400">
        <v>1599</v>
      </c>
      <c r="G2400">
        <v>1</v>
      </c>
      <c r="H2400">
        <v>2</v>
      </c>
      <c r="I2400">
        <v>1984</v>
      </c>
      <c r="J2400">
        <v>1</v>
      </c>
      <c r="K2400">
        <v>1</v>
      </c>
      <c r="L2400">
        <v>1</v>
      </c>
      <c r="M2400">
        <v>12</v>
      </c>
      <c r="N2400" t="s">
        <v>35</v>
      </c>
      <c r="O2400" t="s">
        <v>27</v>
      </c>
      <c r="P2400">
        <v>10.7286483377307</v>
      </c>
      <c r="Q2400">
        <v>0.82781849397580698</v>
      </c>
      <c r="R2400">
        <v>6.2134025120396998</v>
      </c>
      <c r="S2400">
        <v>111</v>
      </c>
      <c r="T2400">
        <v>41</v>
      </c>
      <c r="U2400">
        <v>889.617777439355</v>
      </c>
      <c r="V2400">
        <v>7.5046904315196998E-3</v>
      </c>
      <c r="W2400">
        <v>1607966.4277603901</v>
      </c>
      <c r="X2400" t="s">
        <v>40</v>
      </c>
      <c r="Y2400">
        <f>1-513-173-3446</f>
        <v>-4131</v>
      </c>
    </row>
    <row r="2401" spans="1:25" x14ac:dyDescent="0.35">
      <c r="A2401">
        <v>35.806069048384401</v>
      </c>
      <c r="B2401">
        <v>-123.078288217509</v>
      </c>
      <c r="C2401" t="s">
        <v>25</v>
      </c>
      <c r="D2401">
        <v>23.606147623975499</v>
      </c>
      <c r="E2401">
        <v>1</v>
      </c>
      <c r="F2401">
        <v>3783</v>
      </c>
      <c r="G2401">
        <v>4</v>
      </c>
      <c r="H2401">
        <v>2</v>
      </c>
      <c r="I2401">
        <v>1990</v>
      </c>
      <c r="J2401">
        <v>0</v>
      </c>
      <c r="K2401">
        <v>1</v>
      </c>
      <c r="L2401">
        <v>0</v>
      </c>
      <c r="M2401">
        <v>6</v>
      </c>
      <c r="N2401" t="s">
        <v>37</v>
      </c>
      <c r="O2401" t="s">
        <v>30</v>
      </c>
      <c r="P2401">
        <v>3.7078295900320102</v>
      </c>
      <c r="Q2401">
        <v>1.5424946444905701</v>
      </c>
      <c r="R2401">
        <v>0.41661173343805902</v>
      </c>
      <c r="S2401">
        <v>134</v>
      </c>
      <c r="T2401">
        <v>34</v>
      </c>
      <c r="U2401">
        <v>300.07193669983701</v>
      </c>
      <c r="V2401">
        <v>1.58604282315622E-3</v>
      </c>
      <c r="W2401">
        <v>1482295.5363055801</v>
      </c>
      <c r="X2401" t="s">
        <v>43</v>
      </c>
      <c r="Y2401">
        <f>1-962-315-3245</f>
        <v>-4521</v>
      </c>
    </row>
    <row r="2402" spans="1:25" x14ac:dyDescent="0.35">
      <c r="A2402">
        <v>40.006015968863998</v>
      </c>
      <c r="B2402">
        <v>-119.145437529501</v>
      </c>
      <c r="C2402" t="s">
        <v>34</v>
      </c>
      <c r="D2402">
        <v>29.202377443317001</v>
      </c>
      <c r="E2402">
        <v>3</v>
      </c>
      <c r="F2402">
        <v>1528</v>
      </c>
      <c r="G2402">
        <v>4</v>
      </c>
      <c r="H2402">
        <v>3</v>
      </c>
      <c r="I2402">
        <v>1954</v>
      </c>
      <c r="J2402">
        <v>1</v>
      </c>
      <c r="K2402">
        <v>0</v>
      </c>
      <c r="L2402">
        <v>1</v>
      </c>
      <c r="M2402">
        <v>11</v>
      </c>
      <c r="N2402" t="s">
        <v>26</v>
      </c>
      <c r="O2402" t="s">
        <v>30</v>
      </c>
      <c r="P2402">
        <v>4.37817838584035</v>
      </c>
      <c r="Q2402">
        <v>0.78626043374786503</v>
      </c>
      <c r="R2402">
        <v>7.3819983989419899</v>
      </c>
      <c r="S2402">
        <v>10</v>
      </c>
      <c r="T2402">
        <v>50</v>
      </c>
      <c r="U2402">
        <v>398.996763374566</v>
      </c>
      <c r="V2402">
        <v>7.1989528795811499E-3</v>
      </c>
      <c r="W2402">
        <v>872408.96321030695</v>
      </c>
      <c r="X2402" t="s">
        <v>31</v>
      </c>
      <c r="Y2402">
        <f>1-444-807-6089</f>
        <v>-7339</v>
      </c>
    </row>
    <row r="2403" spans="1:25" x14ac:dyDescent="0.35">
      <c r="A2403">
        <v>39.925079966852799</v>
      </c>
      <c r="B2403">
        <v>-122.472305921443</v>
      </c>
      <c r="C2403" t="s">
        <v>34</v>
      </c>
      <c r="D2403">
        <v>45.726537984379299</v>
      </c>
      <c r="E2403">
        <v>9</v>
      </c>
      <c r="F2403">
        <v>2614</v>
      </c>
      <c r="G2403">
        <v>5</v>
      </c>
      <c r="H2403">
        <v>1</v>
      </c>
      <c r="I2403">
        <v>1964</v>
      </c>
      <c r="J2403">
        <v>0</v>
      </c>
      <c r="K2403">
        <v>0</v>
      </c>
      <c r="L2403">
        <v>1</v>
      </c>
      <c r="M2403">
        <v>3</v>
      </c>
      <c r="N2403" t="s">
        <v>35</v>
      </c>
      <c r="O2403" t="s">
        <v>32</v>
      </c>
      <c r="P2403">
        <v>12.267107081123299</v>
      </c>
      <c r="Q2403">
        <v>1.93979453181317</v>
      </c>
      <c r="R2403">
        <v>7.2139983871755096</v>
      </c>
      <c r="S2403">
        <v>23</v>
      </c>
      <c r="T2403">
        <v>71</v>
      </c>
      <c r="U2403">
        <v>915.84319197357797</v>
      </c>
      <c r="V2403">
        <v>1.1476664116296801E-3</v>
      </c>
      <c r="W2403">
        <v>2695942.1771773701</v>
      </c>
      <c r="X2403" t="s">
        <v>36</v>
      </c>
      <c r="Y2403">
        <f>1-222-323-6384</f>
        <v>-6928</v>
      </c>
    </row>
    <row r="2404" spans="1:25" x14ac:dyDescent="0.35">
      <c r="A2404">
        <v>41.080661139983803</v>
      </c>
      <c r="B2404">
        <v>-120.930885164915</v>
      </c>
      <c r="C2404" t="s">
        <v>25</v>
      </c>
      <c r="D2404">
        <v>30.6250333112588</v>
      </c>
      <c r="E2404">
        <v>9</v>
      </c>
      <c r="F2404">
        <v>2233</v>
      </c>
      <c r="G2404">
        <v>5</v>
      </c>
      <c r="H2404">
        <v>3</v>
      </c>
      <c r="I2404">
        <v>1980</v>
      </c>
      <c r="J2404">
        <v>1</v>
      </c>
      <c r="K2404">
        <v>0</v>
      </c>
      <c r="L2404">
        <v>0</v>
      </c>
      <c r="M2404">
        <v>12</v>
      </c>
      <c r="N2404" t="s">
        <v>35</v>
      </c>
      <c r="O2404" t="s">
        <v>32</v>
      </c>
      <c r="P2404">
        <v>13.266111789259501</v>
      </c>
      <c r="Q2404">
        <v>1.5172874855541401</v>
      </c>
      <c r="R2404">
        <v>6.5053624663546197</v>
      </c>
      <c r="S2404">
        <v>32</v>
      </c>
      <c r="T2404">
        <v>64</v>
      </c>
      <c r="U2404">
        <v>613.78831758518595</v>
      </c>
      <c r="V2404">
        <v>5.3739364084191598E-3</v>
      </c>
      <c r="W2404">
        <v>1785232.71514183</v>
      </c>
      <c r="X2404" t="s">
        <v>44</v>
      </c>
      <c r="Y2404">
        <f>1-431-279-8528</f>
        <v>-9237</v>
      </c>
    </row>
    <row r="2405" spans="1:25" x14ac:dyDescent="0.35">
      <c r="A2405">
        <v>38.284503314324603</v>
      </c>
      <c r="B2405">
        <v>-116.179509295225</v>
      </c>
      <c r="C2405" t="s">
        <v>25</v>
      </c>
      <c r="D2405">
        <v>49.068206567320999</v>
      </c>
      <c r="E2405">
        <v>0</v>
      </c>
      <c r="F2405">
        <v>2074</v>
      </c>
      <c r="G2405">
        <v>5</v>
      </c>
      <c r="H2405">
        <v>1</v>
      </c>
      <c r="I2405">
        <v>1994</v>
      </c>
      <c r="J2405">
        <v>0</v>
      </c>
      <c r="K2405">
        <v>0</v>
      </c>
      <c r="L2405">
        <v>0</v>
      </c>
      <c r="M2405">
        <v>9</v>
      </c>
      <c r="N2405" t="s">
        <v>26</v>
      </c>
      <c r="O2405" t="s">
        <v>27</v>
      </c>
      <c r="P2405">
        <v>14.2130252607722</v>
      </c>
      <c r="Q2405">
        <v>1.2496391732309799</v>
      </c>
      <c r="R2405">
        <v>2.9072707166649501</v>
      </c>
      <c r="S2405">
        <v>43</v>
      </c>
      <c r="T2405">
        <v>73</v>
      </c>
      <c r="U2405">
        <v>733.93307466565795</v>
      </c>
      <c r="V2405">
        <v>4.3394406943105101E-3</v>
      </c>
      <c r="W2405">
        <v>1870420.4225121301</v>
      </c>
      <c r="X2405" t="s">
        <v>38</v>
      </c>
      <c r="Y2405">
        <f>1-608-994-7834</f>
        <v>-9435</v>
      </c>
    </row>
    <row r="2406" spans="1:25" x14ac:dyDescent="0.35">
      <c r="A2406">
        <v>33.056975038743602</v>
      </c>
      <c r="B2406">
        <v>-121.393814510174</v>
      </c>
      <c r="C2406" t="s">
        <v>34</v>
      </c>
      <c r="D2406">
        <v>31.1656255151998</v>
      </c>
      <c r="E2406">
        <v>8</v>
      </c>
      <c r="F2406">
        <v>3742</v>
      </c>
      <c r="G2406">
        <v>2</v>
      </c>
      <c r="H2406">
        <v>1</v>
      </c>
      <c r="I2406">
        <v>2003</v>
      </c>
      <c r="J2406">
        <v>0</v>
      </c>
      <c r="K2406">
        <v>0</v>
      </c>
      <c r="L2406">
        <v>1</v>
      </c>
      <c r="M2406">
        <v>6</v>
      </c>
      <c r="N2406" t="s">
        <v>37</v>
      </c>
      <c r="O2406" t="s">
        <v>27</v>
      </c>
      <c r="P2406">
        <v>14.4278085404289</v>
      </c>
      <c r="Q2406">
        <v>1.1689274380941399</v>
      </c>
      <c r="R2406">
        <v>7.4197858012381204</v>
      </c>
      <c r="S2406">
        <v>65</v>
      </c>
      <c r="T2406">
        <v>76</v>
      </c>
      <c r="U2406">
        <v>807.36676256763496</v>
      </c>
      <c r="V2406">
        <v>1.60342063067878E-3</v>
      </c>
      <c r="W2406">
        <v>3275193.6860723998</v>
      </c>
      <c r="X2406" t="s">
        <v>38</v>
      </c>
      <c r="Y2406">
        <f>1-287-591-5205</f>
        <v>-6082</v>
      </c>
    </row>
    <row r="2407" spans="1:25" x14ac:dyDescent="0.35">
      <c r="A2407">
        <v>36.504860152124103</v>
      </c>
      <c r="B2407">
        <v>-121.85121310676701</v>
      </c>
      <c r="C2407" t="s">
        <v>34</v>
      </c>
      <c r="D2407">
        <v>14.9601265894603</v>
      </c>
      <c r="E2407">
        <v>8</v>
      </c>
      <c r="F2407">
        <v>2622</v>
      </c>
      <c r="G2407">
        <v>5</v>
      </c>
      <c r="H2407">
        <v>1</v>
      </c>
      <c r="I2407">
        <v>2009</v>
      </c>
      <c r="J2407">
        <v>1</v>
      </c>
      <c r="K2407">
        <v>1</v>
      </c>
      <c r="L2407">
        <v>1</v>
      </c>
      <c r="M2407">
        <v>8</v>
      </c>
      <c r="N2407" t="s">
        <v>41</v>
      </c>
      <c r="O2407" t="s">
        <v>30</v>
      </c>
      <c r="P2407">
        <v>9.2774720789761993</v>
      </c>
      <c r="Q2407">
        <v>1.91016797545477</v>
      </c>
      <c r="R2407">
        <v>4.1804657696116596</v>
      </c>
      <c r="S2407">
        <v>122</v>
      </c>
      <c r="T2407">
        <v>48</v>
      </c>
      <c r="U2407">
        <v>965.23382169829097</v>
      </c>
      <c r="V2407">
        <v>3.0511060259344001E-3</v>
      </c>
      <c r="W2407">
        <v>3091758.7509676102</v>
      </c>
      <c r="X2407" t="s">
        <v>40</v>
      </c>
      <c r="Y2407">
        <f>1-459-662-2052</f>
        <v>-3172</v>
      </c>
    </row>
    <row r="2408" spans="1:25" x14ac:dyDescent="0.35">
      <c r="A2408">
        <v>36.975482777947398</v>
      </c>
      <c r="B2408">
        <v>-118.37597450299</v>
      </c>
      <c r="C2408" t="s">
        <v>29</v>
      </c>
      <c r="D2408">
        <v>1.67333663611829</v>
      </c>
      <c r="E2408">
        <v>0</v>
      </c>
      <c r="F2408">
        <v>2623</v>
      </c>
      <c r="G2408">
        <v>2</v>
      </c>
      <c r="H2408">
        <v>3</v>
      </c>
      <c r="I2408">
        <v>2009</v>
      </c>
      <c r="J2408">
        <v>1</v>
      </c>
      <c r="K2408">
        <v>1</v>
      </c>
      <c r="L2408">
        <v>0</v>
      </c>
      <c r="M2408">
        <v>8</v>
      </c>
      <c r="N2408" t="s">
        <v>41</v>
      </c>
      <c r="O2408" t="s">
        <v>32</v>
      </c>
      <c r="P2408">
        <v>12.825501993777699</v>
      </c>
      <c r="Q2408">
        <v>0.67607730494011997</v>
      </c>
      <c r="R2408">
        <v>5.4236074104727301</v>
      </c>
      <c r="S2408">
        <v>118</v>
      </c>
      <c r="T2408">
        <v>73</v>
      </c>
      <c r="U2408">
        <v>937.08084778279999</v>
      </c>
      <c r="V2408">
        <v>3.0499428135722399E-3</v>
      </c>
      <c r="W2408">
        <v>2823927.990702</v>
      </c>
      <c r="X2408" t="s">
        <v>42</v>
      </c>
      <c r="Y2408">
        <f>1-898-446-1794</f>
        <v>-3137</v>
      </c>
    </row>
    <row r="2409" spans="1:25" x14ac:dyDescent="0.35">
      <c r="A2409">
        <v>32.529889098321597</v>
      </c>
      <c r="B2409">
        <v>-124.08083035853799</v>
      </c>
      <c r="C2409" t="s">
        <v>29</v>
      </c>
      <c r="D2409">
        <v>3.8895295839878998</v>
      </c>
      <c r="E2409">
        <v>4</v>
      </c>
      <c r="F2409">
        <v>4261</v>
      </c>
      <c r="G2409">
        <v>5</v>
      </c>
      <c r="H2409">
        <v>2</v>
      </c>
      <c r="I2409">
        <v>1997</v>
      </c>
      <c r="J2409">
        <v>1</v>
      </c>
      <c r="K2409">
        <v>0</v>
      </c>
      <c r="L2409">
        <v>0</v>
      </c>
      <c r="M2409">
        <v>9</v>
      </c>
      <c r="N2409" t="s">
        <v>35</v>
      </c>
      <c r="O2409" t="s">
        <v>32</v>
      </c>
      <c r="P2409">
        <v>6.5196730167249299</v>
      </c>
      <c r="Q2409">
        <v>1.5018241842806299</v>
      </c>
      <c r="R2409">
        <v>0.75231572038935302</v>
      </c>
      <c r="S2409">
        <v>32</v>
      </c>
      <c r="T2409">
        <v>31</v>
      </c>
      <c r="U2409">
        <v>619.96849698301605</v>
      </c>
      <c r="V2409">
        <v>2.11218023938042E-3</v>
      </c>
      <c r="W2409">
        <v>2980020.2187924501</v>
      </c>
      <c r="X2409" t="s">
        <v>43</v>
      </c>
      <c r="Y2409">
        <f>1-565-131-6146</f>
        <v>-6841</v>
      </c>
    </row>
    <row r="2410" spans="1:25" x14ac:dyDescent="0.35">
      <c r="A2410">
        <v>37.396472662653103</v>
      </c>
      <c r="B2410">
        <v>-117.870874304145</v>
      </c>
      <c r="C2410" t="s">
        <v>34</v>
      </c>
      <c r="D2410">
        <v>1.6917149598727499</v>
      </c>
      <c r="E2410">
        <v>1</v>
      </c>
      <c r="F2410">
        <v>1315</v>
      </c>
      <c r="G2410">
        <v>2</v>
      </c>
      <c r="H2410">
        <v>2</v>
      </c>
      <c r="I2410">
        <v>1987</v>
      </c>
      <c r="J2410">
        <v>1</v>
      </c>
      <c r="K2410">
        <v>0</v>
      </c>
      <c r="L2410">
        <v>0</v>
      </c>
      <c r="M2410">
        <v>4</v>
      </c>
      <c r="N2410" t="s">
        <v>37</v>
      </c>
      <c r="O2410" t="s">
        <v>32</v>
      </c>
      <c r="P2410">
        <v>3.6983412584241901</v>
      </c>
      <c r="Q2410">
        <v>0.706828830850043</v>
      </c>
      <c r="R2410">
        <v>9.8832130092675392</v>
      </c>
      <c r="S2410">
        <v>54</v>
      </c>
      <c r="T2410">
        <v>29</v>
      </c>
      <c r="U2410">
        <v>387.67893904364701</v>
      </c>
      <c r="V2410">
        <v>3.0418250950570301E-3</v>
      </c>
      <c r="W2410">
        <v>641679.07758120995</v>
      </c>
      <c r="X2410" t="s">
        <v>43</v>
      </c>
      <c r="Y2410">
        <f>1-426-832-6799</f>
        <v>-8056</v>
      </c>
    </row>
    <row r="2411" spans="1:25" x14ac:dyDescent="0.35">
      <c r="A2411">
        <v>34.558952904827201</v>
      </c>
      <c r="B2411">
        <v>-114.323183790408</v>
      </c>
      <c r="C2411" t="s">
        <v>29</v>
      </c>
      <c r="D2411">
        <v>40.928448023832203</v>
      </c>
      <c r="E2411">
        <v>7</v>
      </c>
      <c r="F2411">
        <v>1517</v>
      </c>
      <c r="G2411">
        <v>5</v>
      </c>
      <c r="H2411">
        <v>3</v>
      </c>
      <c r="I2411">
        <v>1969</v>
      </c>
      <c r="J2411">
        <v>1</v>
      </c>
      <c r="K2411">
        <v>1</v>
      </c>
      <c r="L2411">
        <v>1</v>
      </c>
      <c r="M2411">
        <v>14</v>
      </c>
      <c r="N2411" t="s">
        <v>41</v>
      </c>
      <c r="O2411" t="s">
        <v>30</v>
      </c>
      <c r="P2411">
        <v>13.326527241327</v>
      </c>
      <c r="Q2411">
        <v>1.1826044814230501</v>
      </c>
      <c r="R2411">
        <v>5.0127426846323004</v>
      </c>
      <c r="S2411">
        <v>100</v>
      </c>
      <c r="T2411">
        <v>31</v>
      </c>
      <c r="U2411">
        <v>452.84002399667702</v>
      </c>
      <c r="V2411">
        <v>9.2287409360580098E-3</v>
      </c>
      <c r="W2411">
        <v>1255634.62261484</v>
      </c>
      <c r="X2411" t="s">
        <v>40</v>
      </c>
      <c r="Y2411">
        <f>1-242-807-2552</f>
        <v>-3600</v>
      </c>
    </row>
    <row r="2412" spans="1:25" x14ac:dyDescent="0.35">
      <c r="A2412">
        <v>35.972427962251501</v>
      </c>
      <c r="B2412">
        <v>-122.523621254951</v>
      </c>
      <c r="C2412" t="s">
        <v>25</v>
      </c>
      <c r="D2412">
        <v>19.661369582640699</v>
      </c>
      <c r="E2412">
        <v>1</v>
      </c>
      <c r="F2412">
        <v>2397</v>
      </c>
      <c r="G2412">
        <v>5</v>
      </c>
      <c r="H2412">
        <v>2</v>
      </c>
      <c r="I2412">
        <v>1990</v>
      </c>
      <c r="J2412">
        <v>0</v>
      </c>
      <c r="K2412">
        <v>1</v>
      </c>
      <c r="L2412">
        <v>0</v>
      </c>
      <c r="M2412">
        <v>14</v>
      </c>
      <c r="N2412" t="s">
        <v>41</v>
      </c>
      <c r="O2412" t="s">
        <v>27</v>
      </c>
      <c r="P2412">
        <v>5.3837398265692604</v>
      </c>
      <c r="Q2412">
        <v>1.76430809083963</v>
      </c>
      <c r="R2412">
        <v>5.0553910156871504</v>
      </c>
      <c r="S2412">
        <v>115</v>
      </c>
      <c r="T2412">
        <v>52</v>
      </c>
      <c r="U2412">
        <v>780.23135417306105</v>
      </c>
      <c r="V2412">
        <v>5.8406341259908201E-3</v>
      </c>
      <c r="W2412">
        <v>2140337.83069557</v>
      </c>
      <c r="X2412" t="s">
        <v>36</v>
      </c>
      <c r="Y2412">
        <f>1-665-840-8627</f>
        <v>-10131</v>
      </c>
    </row>
    <row r="2413" spans="1:25" x14ac:dyDescent="0.35">
      <c r="A2413">
        <v>34.537604911163001</v>
      </c>
      <c r="B2413">
        <v>-115.878647281271</v>
      </c>
      <c r="C2413" t="s">
        <v>34</v>
      </c>
      <c r="D2413">
        <v>26.366298505095401</v>
      </c>
      <c r="E2413">
        <v>2</v>
      </c>
      <c r="F2413">
        <v>1173</v>
      </c>
      <c r="G2413">
        <v>3</v>
      </c>
      <c r="H2413">
        <v>2</v>
      </c>
      <c r="I2413">
        <v>2003</v>
      </c>
      <c r="J2413">
        <v>1</v>
      </c>
      <c r="K2413">
        <v>0</v>
      </c>
      <c r="L2413">
        <v>0</v>
      </c>
      <c r="M2413">
        <v>9</v>
      </c>
      <c r="N2413" t="s">
        <v>37</v>
      </c>
      <c r="O2413" t="s">
        <v>30</v>
      </c>
      <c r="P2413">
        <v>13.840968686858201</v>
      </c>
      <c r="Q2413">
        <v>0.92489678688399102</v>
      </c>
      <c r="R2413">
        <v>3.5445214351738499</v>
      </c>
      <c r="S2413">
        <v>139</v>
      </c>
      <c r="T2413">
        <v>61</v>
      </c>
      <c r="U2413">
        <v>562.49367969970297</v>
      </c>
      <c r="V2413">
        <v>7.6726342710997401E-3</v>
      </c>
      <c r="W2413">
        <v>1016086.02255053</v>
      </c>
      <c r="X2413" t="s">
        <v>43</v>
      </c>
      <c r="Y2413">
        <f>1-993-893-1187</f>
        <v>-3072</v>
      </c>
    </row>
    <row r="2414" spans="1:25" x14ac:dyDescent="0.35">
      <c r="A2414">
        <v>40.614916988040903</v>
      </c>
      <c r="B2414">
        <v>-117.166977630058</v>
      </c>
      <c r="C2414" t="s">
        <v>29</v>
      </c>
      <c r="D2414">
        <v>18.567567265924101</v>
      </c>
      <c r="E2414">
        <v>7</v>
      </c>
      <c r="F2414">
        <v>1408</v>
      </c>
      <c r="G2414">
        <v>2</v>
      </c>
      <c r="H2414">
        <v>2</v>
      </c>
      <c r="I2414">
        <v>2020</v>
      </c>
      <c r="J2414">
        <v>1</v>
      </c>
      <c r="K2414">
        <v>1</v>
      </c>
      <c r="L2414">
        <v>0</v>
      </c>
      <c r="M2414">
        <v>4</v>
      </c>
      <c r="N2414" t="s">
        <v>41</v>
      </c>
      <c r="O2414" t="s">
        <v>30</v>
      </c>
      <c r="P2414">
        <v>2.4911068814867301</v>
      </c>
      <c r="Q2414">
        <v>1.62949205754366</v>
      </c>
      <c r="R2414">
        <v>0.19593038588342601</v>
      </c>
      <c r="S2414">
        <v>187</v>
      </c>
      <c r="T2414">
        <v>54</v>
      </c>
      <c r="U2414">
        <v>616.93138560016098</v>
      </c>
      <c r="V2414">
        <v>2.8409090909090901E-3</v>
      </c>
      <c r="W2414">
        <v>1181764.63532626</v>
      </c>
      <c r="X2414" t="s">
        <v>43</v>
      </c>
      <c r="Y2414">
        <f>1-544-384-7008</f>
        <v>-7935</v>
      </c>
    </row>
    <row r="2415" spans="1:25" x14ac:dyDescent="0.35">
      <c r="A2415">
        <v>41.065279900547502</v>
      </c>
      <c r="B2415">
        <v>-117.847662601476</v>
      </c>
      <c r="C2415" t="s">
        <v>29</v>
      </c>
      <c r="D2415">
        <v>7.9311813324858997</v>
      </c>
      <c r="E2415">
        <v>0</v>
      </c>
      <c r="F2415">
        <v>4521</v>
      </c>
      <c r="G2415">
        <v>3</v>
      </c>
      <c r="H2415">
        <v>3</v>
      </c>
      <c r="I2415">
        <v>1970</v>
      </c>
      <c r="J2415">
        <v>0</v>
      </c>
      <c r="K2415">
        <v>1</v>
      </c>
      <c r="L2415">
        <v>1</v>
      </c>
      <c r="M2415">
        <v>12</v>
      </c>
      <c r="N2415" t="s">
        <v>35</v>
      </c>
      <c r="O2415" t="s">
        <v>32</v>
      </c>
      <c r="P2415">
        <v>11.0405386101641</v>
      </c>
      <c r="Q2415">
        <v>1.1038170736617701</v>
      </c>
      <c r="R2415">
        <v>2.0378346800332499</v>
      </c>
      <c r="S2415">
        <v>157</v>
      </c>
      <c r="T2415">
        <v>37</v>
      </c>
      <c r="U2415">
        <v>827.17078997080898</v>
      </c>
      <c r="V2415">
        <v>2.6542800265427998E-3</v>
      </c>
      <c r="W2415">
        <v>4091567.6670730799</v>
      </c>
      <c r="X2415" t="s">
        <v>28</v>
      </c>
      <c r="Y2415">
        <f>1-286-135-4747</f>
        <v>-5167</v>
      </c>
    </row>
    <row r="2416" spans="1:25" x14ac:dyDescent="0.35">
      <c r="A2416">
        <v>33.693278651089102</v>
      </c>
      <c r="B2416">
        <v>-121.774383039461</v>
      </c>
      <c r="C2416" t="s">
        <v>29</v>
      </c>
      <c r="D2416">
        <v>17.416103257545</v>
      </c>
      <c r="E2416">
        <v>7</v>
      </c>
      <c r="F2416">
        <v>1513</v>
      </c>
      <c r="G2416">
        <v>2</v>
      </c>
      <c r="H2416">
        <v>3</v>
      </c>
      <c r="I2416">
        <v>1972</v>
      </c>
      <c r="J2416">
        <v>0</v>
      </c>
      <c r="K2416">
        <v>1</v>
      </c>
      <c r="L2416">
        <v>1</v>
      </c>
      <c r="M2416">
        <v>11</v>
      </c>
      <c r="N2416" t="s">
        <v>35</v>
      </c>
      <c r="O2416" t="s">
        <v>32</v>
      </c>
      <c r="P2416">
        <v>10.0359285839968</v>
      </c>
      <c r="Q2416">
        <v>2.14613146443974</v>
      </c>
      <c r="R2416">
        <v>2.0899987380980698</v>
      </c>
      <c r="S2416">
        <v>0</v>
      </c>
      <c r="T2416">
        <v>43</v>
      </c>
      <c r="U2416">
        <v>239.871026970858</v>
      </c>
      <c r="V2416">
        <v>7.2703238598810296E-3</v>
      </c>
      <c r="W2416">
        <v>669657.07221393695</v>
      </c>
      <c r="X2416" t="s">
        <v>28</v>
      </c>
      <c r="Y2416">
        <f>1-349-551-8155</f>
        <v>-9054</v>
      </c>
    </row>
    <row r="2417" spans="1:25" x14ac:dyDescent="0.35">
      <c r="A2417">
        <v>37.002223913300497</v>
      </c>
      <c r="B2417">
        <v>-119.00271696175599</v>
      </c>
      <c r="C2417" t="s">
        <v>34</v>
      </c>
      <c r="D2417">
        <v>21.5252397103114</v>
      </c>
      <c r="E2417">
        <v>5</v>
      </c>
      <c r="F2417">
        <v>3127</v>
      </c>
      <c r="G2417">
        <v>4</v>
      </c>
      <c r="H2417">
        <v>2</v>
      </c>
      <c r="I2417">
        <v>2015</v>
      </c>
      <c r="J2417">
        <v>0</v>
      </c>
      <c r="K2417">
        <v>1</v>
      </c>
      <c r="L2417">
        <v>0</v>
      </c>
      <c r="M2417">
        <v>13</v>
      </c>
      <c r="N2417" t="s">
        <v>35</v>
      </c>
      <c r="O2417" t="s">
        <v>32</v>
      </c>
      <c r="P2417">
        <v>9.45685714105446</v>
      </c>
      <c r="Q2417">
        <v>1.52595088017349</v>
      </c>
      <c r="R2417">
        <v>5.9364303806392897E-2</v>
      </c>
      <c r="S2417">
        <v>45</v>
      </c>
      <c r="T2417">
        <v>64</v>
      </c>
      <c r="U2417">
        <v>553.96468582593695</v>
      </c>
      <c r="V2417">
        <v>4.1573393028461704E-3</v>
      </c>
      <c r="W2417">
        <v>2156067.8883632398</v>
      </c>
      <c r="X2417" t="s">
        <v>33</v>
      </c>
      <c r="Y2417">
        <f>1-669-424-7338</f>
        <v>-8430</v>
      </c>
    </row>
    <row r="2418" spans="1:25" x14ac:dyDescent="0.35">
      <c r="A2418">
        <v>40.264236021289904</v>
      </c>
      <c r="B2418">
        <v>-114.990038384177</v>
      </c>
      <c r="C2418" t="s">
        <v>34</v>
      </c>
      <c r="D2418">
        <v>14.6576317644118</v>
      </c>
      <c r="E2418">
        <v>3</v>
      </c>
      <c r="F2418">
        <v>1991</v>
      </c>
      <c r="G2418">
        <v>5</v>
      </c>
      <c r="H2418">
        <v>3</v>
      </c>
      <c r="I2418">
        <v>2004</v>
      </c>
      <c r="J2418">
        <v>1</v>
      </c>
      <c r="K2418">
        <v>1</v>
      </c>
      <c r="L2418">
        <v>0</v>
      </c>
      <c r="M2418">
        <v>5</v>
      </c>
      <c r="N2418" t="s">
        <v>26</v>
      </c>
      <c r="O2418" t="s">
        <v>27</v>
      </c>
      <c r="P2418">
        <v>4.6681153037957603</v>
      </c>
      <c r="Q2418">
        <v>1.90562672607405</v>
      </c>
      <c r="R2418">
        <v>8.7587432018691906</v>
      </c>
      <c r="S2418">
        <v>41</v>
      </c>
      <c r="T2418">
        <v>42</v>
      </c>
      <c r="U2418">
        <v>670.94294001305502</v>
      </c>
      <c r="V2418">
        <v>2.51130085384229E-3</v>
      </c>
      <c r="W2418">
        <v>1811212.2871731</v>
      </c>
      <c r="X2418" t="s">
        <v>42</v>
      </c>
      <c r="Y2418">
        <f>1-935-723-8162</f>
        <v>-9819</v>
      </c>
    </row>
    <row r="2419" spans="1:25" x14ac:dyDescent="0.35">
      <c r="A2419">
        <v>41.515659614698301</v>
      </c>
      <c r="B2419">
        <v>-119.317446259902</v>
      </c>
      <c r="C2419" t="s">
        <v>29</v>
      </c>
      <c r="D2419">
        <v>42.096130203136902</v>
      </c>
      <c r="E2419">
        <v>1</v>
      </c>
      <c r="F2419">
        <v>2481</v>
      </c>
      <c r="G2419">
        <v>4</v>
      </c>
      <c r="H2419">
        <v>2</v>
      </c>
      <c r="I2419">
        <v>2016</v>
      </c>
      <c r="J2419">
        <v>1</v>
      </c>
      <c r="K2419">
        <v>1</v>
      </c>
      <c r="L2419">
        <v>0</v>
      </c>
      <c r="M2419">
        <v>10</v>
      </c>
      <c r="N2419" t="s">
        <v>35</v>
      </c>
      <c r="O2419" t="s">
        <v>30</v>
      </c>
      <c r="P2419">
        <v>3.8659566658443798</v>
      </c>
      <c r="Q2419">
        <v>1.1963788743767101</v>
      </c>
      <c r="R2419">
        <v>4.1270494545050997</v>
      </c>
      <c r="S2419">
        <v>74</v>
      </c>
      <c r="T2419">
        <v>72</v>
      </c>
      <c r="U2419">
        <v>261.31435139107703</v>
      </c>
      <c r="V2419">
        <v>4.0306328093510603E-3</v>
      </c>
      <c r="W2419">
        <v>989834.64358940895</v>
      </c>
      <c r="X2419" t="s">
        <v>42</v>
      </c>
      <c r="Y2419">
        <f>1-507-915-1839</f>
        <v>-3260</v>
      </c>
    </row>
    <row r="2420" spans="1:25" x14ac:dyDescent="0.35">
      <c r="A2420">
        <v>37.553073736406802</v>
      </c>
      <c r="B2420">
        <v>-117.589422195739</v>
      </c>
      <c r="C2420" t="s">
        <v>29</v>
      </c>
      <c r="D2420">
        <v>44.928452032932398</v>
      </c>
      <c r="E2420">
        <v>7</v>
      </c>
      <c r="F2420">
        <v>1462</v>
      </c>
      <c r="G2420">
        <v>4</v>
      </c>
      <c r="H2420">
        <v>3</v>
      </c>
      <c r="I2420">
        <v>1961</v>
      </c>
      <c r="J2420">
        <v>0</v>
      </c>
      <c r="K2420">
        <v>1</v>
      </c>
      <c r="L2420">
        <v>0</v>
      </c>
      <c r="M2420">
        <v>14</v>
      </c>
      <c r="N2420" t="s">
        <v>41</v>
      </c>
      <c r="O2420" t="s">
        <v>30</v>
      </c>
      <c r="P2420">
        <v>8.2497454362513292</v>
      </c>
      <c r="Q2420">
        <v>0.73958095099864996</v>
      </c>
      <c r="R2420">
        <v>3.62305150122276</v>
      </c>
      <c r="S2420">
        <v>17</v>
      </c>
      <c r="T2420">
        <v>67</v>
      </c>
      <c r="U2420">
        <v>435.38234679085099</v>
      </c>
      <c r="V2420">
        <v>9.5759233926128503E-3</v>
      </c>
      <c r="W2420">
        <v>951624.31428767904</v>
      </c>
      <c r="X2420" t="s">
        <v>28</v>
      </c>
      <c r="Y2420">
        <f>1-413-859-8487</f>
        <v>-9758</v>
      </c>
    </row>
    <row r="2421" spans="1:25" x14ac:dyDescent="0.35">
      <c r="A2421">
        <v>36.550158587250102</v>
      </c>
      <c r="B2421">
        <v>-122.643358873547</v>
      </c>
      <c r="C2421" t="s">
        <v>29</v>
      </c>
      <c r="D2421">
        <v>38.915131837128897</v>
      </c>
      <c r="E2421">
        <v>3</v>
      </c>
      <c r="F2421">
        <v>3037</v>
      </c>
      <c r="G2421">
        <v>3</v>
      </c>
      <c r="H2421">
        <v>3</v>
      </c>
      <c r="I2421">
        <v>1971</v>
      </c>
      <c r="J2421">
        <v>0</v>
      </c>
      <c r="K2421">
        <v>1</v>
      </c>
      <c r="L2421">
        <v>1</v>
      </c>
      <c r="M2421">
        <v>8</v>
      </c>
      <c r="N2421" t="s">
        <v>35</v>
      </c>
      <c r="O2421" t="s">
        <v>27</v>
      </c>
      <c r="P2421">
        <v>8.3273437030629101</v>
      </c>
      <c r="Q2421">
        <v>1.5169363433243801</v>
      </c>
      <c r="R2421">
        <v>9.0763469100778202</v>
      </c>
      <c r="S2421">
        <v>148</v>
      </c>
      <c r="T2421">
        <v>53</v>
      </c>
      <c r="U2421">
        <v>600.68108840954994</v>
      </c>
      <c r="V2421">
        <v>2.6341784655910402E-3</v>
      </c>
      <c r="W2421">
        <v>2139274.33367988</v>
      </c>
      <c r="X2421" t="s">
        <v>38</v>
      </c>
      <c r="Y2421">
        <f>1-761-127-7247</f>
        <v>-8134</v>
      </c>
    </row>
    <row r="2422" spans="1:25" x14ac:dyDescent="0.35">
      <c r="A2422">
        <v>39.215459911414499</v>
      </c>
      <c r="B2422">
        <v>-122.592307660239</v>
      </c>
      <c r="C2422" t="s">
        <v>34</v>
      </c>
      <c r="D2422">
        <v>47.741171275619799</v>
      </c>
      <c r="E2422">
        <v>3</v>
      </c>
      <c r="F2422">
        <v>2318</v>
      </c>
      <c r="G2422">
        <v>5</v>
      </c>
      <c r="H2422">
        <v>2</v>
      </c>
      <c r="I2422">
        <v>1983</v>
      </c>
      <c r="J2422">
        <v>0</v>
      </c>
      <c r="K2422">
        <v>0</v>
      </c>
      <c r="L2422">
        <v>1</v>
      </c>
      <c r="M2422">
        <v>2</v>
      </c>
      <c r="N2422" t="s">
        <v>37</v>
      </c>
      <c r="O2422" t="s">
        <v>32</v>
      </c>
      <c r="P2422">
        <v>7.8805249013862699</v>
      </c>
      <c r="Q2422">
        <v>0.88511952412025896</v>
      </c>
      <c r="R2422">
        <v>4.4932915503296398</v>
      </c>
      <c r="S2422">
        <v>13</v>
      </c>
      <c r="T2422">
        <v>47</v>
      </c>
      <c r="U2422">
        <v>448.43476629013003</v>
      </c>
      <c r="V2422">
        <v>8.6281276962899001E-4</v>
      </c>
      <c r="W2422">
        <v>1392875.8804333699</v>
      </c>
      <c r="X2422" t="s">
        <v>33</v>
      </c>
      <c r="Y2422">
        <f>1-223-264-5636</f>
        <v>-6122</v>
      </c>
    </row>
    <row r="2423" spans="1:25" x14ac:dyDescent="0.35">
      <c r="A2423">
        <v>36.137560622908303</v>
      </c>
      <c r="B2423">
        <v>-119.346923581008</v>
      </c>
      <c r="C2423" t="s">
        <v>34</v>
      </c>
      <c r="D2423">
        <v>47.893011893203301</v>
      </c>
      <c r="E2423">
        <v>6</v>
      </c>
      <c r="F2423">
        <v>3893</v>
      </c>
      <c r="G2423">
        <v>3</v>
      </c>
      <c r="H2423">
        <v>2</v>
      </c>
      <c r="I2423">
        <v>1967</v>
      </c>
      <c r="J2423">
        <v>1</v>
      </c>
      <c r="K2423">
        <v>1</v>
      </c>
      <c r="L2423">
        <v>1</v>
      </c>
      <c r="M2423">
        <v>6</v>
      </c>
      <c r="N2423" t="s">
        <v>35</v>
      </c>
      <c r="O2423" t="s">
        <v>30</v>
      </c>
      <c r="P2423">
        <v>7.2266374871639396</v>
      </c>
      <c r="Q2423">
        <v>0.59337927706799998</v>
      </c>
      <c r="R2423">
        <v>5.1830059033909501</v>
      </c>
      <c r="S2423">
        <v>35</v>
      </c>
      <c r="T2423">
        <v>79</v>
      </c>
      <c r="U2423">
        <v>213.92534601342001</v>
      </c>
      <c r="V2423">
        <v>1.5412278448497299E-3</v>
      </c>
      <c r="W2423">
        <v>1288589.63966271</v>
      </c>
      <c r="X2423" t="s">
        <v>43</v>
      </c>
      <c r="Y2423">
        <f>1-661-271-1017</f>
        <v>-1948</v>
      </c>
    </row>
    <row r="2424" spans="1:25" x14ac:dyDescent="0.35">
      <c r="A2424">
        <v>34.925560523317998</v>
      </c>
      <c r="B2424">
        <v>-120.898048725927</v>
      </c>
      <c r="C2424" t="s">
        <v>25</v>
      </c>
      <c r="D2424">
        <v>48.537329881435099</v>
      </c>
      <c r="E2424">
        <v>4</v>
      </c>
      <c r="F2424">
        <v>1283</v>
      </c>
      <c r="G2424">
        <v>4</v>
      </c>
      <c r="H2424">
        <v>1</v>
      </c>
      <c r="I2424">
        <v>1996</v>
      </c>
      <c r="J2424">
        <v>1</v>
      </c>
      <c r="K2424">
        <v>0</v>
      </c>
      <c r="L2424">
        <v>1</v>
      </c>
      <c r="M2424">
        <v>12</v>
      </c>
      <c r="N2424" t="s">
        <v>37</v>
      </c>
      <c r="O2424" t="s">
        <v>30</v>
      </c>
      <c r="P2424">
        <v>5.7738428834402002</v>
      </c>
      <c r="Q2424">
        <v>0.66687543666422899</v>
      </c>
      <c r="R2424">
        <v>6.2021245171704704</v>
      </c>
      <c r="S2424">
        <v>8</v>
      </c>
      <c r="T2424">
        <v>49</v>
      </c>
      <c r="U2424">
        <v>207.97355849077499</v>
      </c>
      <c r="V2424">
        <v>9.3530787217458999E-3</v>
      </c>
      <c r="W2424">
        <v>600301.37535604194</v>
      </c>
      <c r="X2424" t="s">
        <v>39</v>
      </c>
      <c r="Y2424">
        <f>1-760-410-6262</f>
        <v>-7431</v>
      </c>
    </row>
    <row r="2425" spans="1:25" x14ac:dyDescent="0.35">
      <c r="A2425">
        <v>39.185896204111799</v>
      </c>
      <c r="B2425">
        <v>-115.611419337698</v>
      </c>
      <c r="C2425" t="s">
        <v>25</v>
      </c>
      <c r="D2425">
        <v>8.6650833740062598</v>
      </c>
      <c r="E2425">
        <v>3</v>
      </c>
      <c r="F2425">
        <v>4630</v>
      </c>
      <c r="G2425">
        <v>1</v>
      </c>
      <c r="H2425">
        <v>1</v>
      </c>
      <c r="I2425">
        <v>1971</v>
      </c>
      <c r="J2425">
        <v>0</v>
      </c>
      <c r="K2425">
        <v>1</v>
      </c>
      <c r="L2425">
        <v>1</v>
      </c>
      <c r="M2425">
        <v>8</v>
      </c>
      <c r="N2425" t="s">
        <v>41</v>
      </c>
      <c r="O2425" t="s">
        <v>27</v>
      </c>
      <c r="P2425">
        <v>5.7039774070835199</v>
      </c>
      <c r="Q2425">
        <v>0.698868995442398</v>
      </c>
      <c r="R2425">
        <v>9.51584381124459</v>
      </c>
      <c r="S2425">
        <v>75</v>
      </c>
      <c r="T2425">
        <v>76</v>
      </c>
      <c r="U2425">
        <v>458.76010408308798</v>
      </c>
      <c r="V2425">
        <v>1.7278617710583101E-3</v>
      </c>
      <c r="W2425">
        <v>2264159.6201049299</v>
      </c>
      <c r="X2425" t="s">
        <v>38</v>
      </c>
      <c r="Y2425">
        <f>1-436-172-9428</f>
        <v>-10035</v>
      </c>
    </row>
    <row r="2426" spans="1:25" x14ac:dyDescent="0.35">
      <c r="A2426">
        <v>39.533924811897499</v>
      </c>
      <c r="B2426">
        <v>-116.328780936195</v>
      </c>
      <c r="C2426" t="s">
        <v>25</v>
      </c>
      <c r="D2426">
        <v>24.431555215726899</v>
      </c>
      <c r="E2426">
        <v>4</v>
      </c>
      <c r="F2426">
        <v>3191</v>
      </c>
      <c r="G2426">
        <v>1</v>
      </c>
      <c r="H2426">
        <v>3</v>
      </c>
      <c r="I2426">
        <v>1989</v>
      </c>
      <c r="J2426">
        <v>1</v>
      </c>
      <c r="K2426">
        <v>0</v>
      </c>
      <c r="L2426">
        <v>1</v>
      </c>
      <c r="M2426">
        <v>12</v>
      </c>
      <c r="N2426" t="s">
        <v>37</v>
      </c>
      <c r="O2426" t="s">
        <v>32</v>
      </c>
      <c r="P2426">
        <v>4.9036104812217998</v>
      </c>
      <c r="Q2426">
        <v>2.38945375716006</v>
      </c>
      <c r="R2426">
        <v>6.6031364024423302</v>
      </c>
      <c r="S2426">
        <v>70</v>
      </c>
      <c r="T2426">
        <v>31</v>
      </c>
      <c r="U2426">
        <v>204.21025108696</v>
      </c>
      <c r="V2426">
        <v>3.7605766217486598E-3</v>
      </c>
      <c r="W2426">
        <v>832831.12699595303</v>
      </c>
      <c r="X2426" t="s">
        <v>39</v>
      </c>
      <c r="Y2426">
        <f>1-515-887-1059</f>
        <v>-2460</v>
      </c>
    </row>
    <row r="2427" spans="1:25" x14ac:dyDescent="0.35">
      <c r="A2427">
        <v>40.519608162993201</v>
      </c>
      <c r="B2427">
        <v>-116.796130800531</v>
      </c>
      <c r="C2427" t="s">
        <v>25</v>
      </c>
      <c r="D2427">
        <v>39.986242763757801</v>
      </c>
      <c r="E2427">
        <v>5</v>
      </c>
      <c r="F2427">
        <v>2762</v>
      </c>
      <c r="G2427">
        <v>1</v>
      </c>
      <c r="H2427">
        <v>1</v>
      </c>
      <c r="I2427">
        <v>1976</v>
      </c>
      <c r="J2427">
        <v>1</v>
      </c>
      <c r="K2427">
        <v>1</v>
      </c>
      <c r="L2427">
        <v>0</v>
      </c>
      <c r="M2427">
        <v>13</v>
      </c>
      <c r="N2427" t="s">
        <v>35</v>
      </c>
      <c r="O2427" t="s">
        <v>30</v>
      </c>
      <c r="P2427">
        <v>12.7162896609822</v>
      </c>
      <c r="Q2427">
        <v>0.95220111750308101</v>
      </c>
      <c r="R2427">
        <v>5.2711494367898499</v>
      </c>
      <c r="S2427">
        <v>80</v>
      </c>
      <c r="T2427">
        <v>21</v>
      </c>
      <c r="U2427">
        <v>504.65441520007101</v>
      </c>
      <c r="V2427">
        <v>4.70673425054308E-3</v>
      </c>
      <c r="W2427">
        <v>1607102.45429081</v>
      </c>
      <c r="X2427" t="s">
        <v>31</v>
      </c>
      <c r="Y2427">
        <f>1-684-721-6588</f>
        <v>-7992</v>
      </c>
    </row>
    <row r="2428" spans="1:25" x14ac:dyDescent="0.35">
      <c r="A2428">
        <v>33.633036390389002</v>
      </c>
      <c r="B2428">
        <v>-115.359209839184</v>
      </c>
      <c r="C2428" t="s">
        <v>34</v>
      </c>
      <c r="D2428">
        <v>43.1860287767527</v>
      </c>
      <c r="E2428">
        <v>2</v>
      </c>
      <c r="F2428">
        <v>3998</v>
      </c>
      <c r="G2428">
        <v>3</v>
      </c>
      <c r="H2428">
        <v>3</v>
      </c>
      <c r="I2428">
        <v>1977</v>
      </c>
      <c r="J2428">
        <v>1</v>
      </c>
      <c r="K2428">
        <v>1</v>
      </c>
      <c r="L2428">
        <v>1</v>
      </c>
      <c r="M2428">
        <v>11</v>
      </c>
      <c r="N2428" t="s">
        <v>35</v>
      </c>
      <c r="O2428" t="s">
        <v>32</v>
      </c>
      <c r="P2428">
        <v>5.6137123601051</v>
      </c>
      <c r="Q2428">
        <v>1.33895177691069</v>
      </c>
      <c r="R2428">
        <v>2.0910320209294002</v>
      </c>
      <c r="S2428">
        <v>35</v>
      </c>
      <c r="T2428">
        <v>39</v>
      </c>
      <c r="U2428">
        <v>476.134663603673</v>
      </c>
      <c r="V2428">
        <v>2.7513756878439202E-3</v>
      </c>
      <c r="W2428">
        <v>2328626.5798353199</v>
      </c>
      <c r="X2428" t="s">
        <v>28</v>
      </c>
      <c r="Y2428">
        <f>1-267-541-2523</f>
        <v>-3330</v>
      </c>
    </row>
    <row r="2429" spans="1:25" x14ac:dyDescent="0.35">
      <c r="A2429">
        <v>37.995135056469401</v>
      </c>
      <c r="B2429">
        <v>-115.496777327166</v>
      </c>
      <c r="C2429" t="s">
        <v>34</v>
      </c>
      <c r="D2429">
        <v>34.5601254812386</v>
      </c>
      <c r="E2429">
        <v>1</v>
      </c>
      <c r="F2429">
        <v>4141</v>
      </c>
      <c r="G2429">
        <v>4</v>
      </c>
      <c r="H2429">
        <v>1</v>
      </c>
      <c r="I2429">
        <v>2011</v>
      </c>
      <c r="J2429">
        <v>1</v>
      </c>
      <c r="K2429">
        <v>0</v>
      </c>
      <c r="L2429">
        <v>0</v>
      </c>
      <c r="M2429">
        <v>4</v>
      </c>
      <c r="N2429" t="s">
        <v>37</v>
      </c>
      <c r="O2429" t="s">
        <v>30</v>
      </c>
      <c r="P2429">
        <v>12.1089482039967</v>
      </c>
      <c r="Q2429">
        <v>0.75482960344485595</v>
      </c>
      <c r="R2429">
        <v>7.8102845438882298</v>
      </c>
      <c r="S2429">
        <v>107</v>
      </c>
      <c r="T2429">
        <v>20</v>
      </c>
      <c r="U2429">
        <v>532.90879565236298</v>
      </c>
      <c r="V2429">
        <v>9.6595025356194101E-4</v>
      </c>
      <c r="W2429">
        <v>2583515.1396264601</v>
      </c>
      <c r="X2429" t="s">
        <v>44</v>
      </c>
      <c r="Y2429">
        <f>1-659-589-2285</f>
        <v>-3532</v>
      </c>
    </row>
    <row r="2430" spans="1:25" x14ac:dyDescent="0.35">
      <c r="A2430">
        <v>38.0299437092498</v>
      </c>
      <c r="B2430">
        <v>-120.912494847665</v>
      </c>
      <c r="C2430" t="s">
        <v>25</v>
      </c>
      <c r="D2430">
        <v>39.142494430110702</v>
      </c>
      <c r="E2430">
        <v>3</v>
      </c>
      <c r="F2430">
        <v>2660</v>
      </c>
      <c r="G2430">
        <v>5</v>
      </c>
      <c r="H2430">
        <v>3</v>
      </c>
      <c r="I2430">
        <v>1987</v>
      </c>
      <c r="J2430">
        <v>1</v>
      </c>
      <c r="K2430">
        <v>0</v>
      </c>
      <c r="L2430">
        <v>1</v>
      </c>
      <c r="M2430">
        <v>7</v>
      </c>
      <c r="N2430" t="s">
        <v>26</v>
      </c>
      <c r="O2430" t="s">
        <v>32</v>
      </c>
      <c r="P2430">
        <v>13.653642965529601</v>
      </c>
      <c r="Q2430">
        <v>0.55475951318098404</v>
      </c>
      <c r="R2430">
        <v>5.6329911591794604</v>
      </c>
      <c r="S2430">
        <v>19</v>
      </c>
      <c r="T2430">
        <v>28</v>
      </c>
      <c r="U2430">
        <v>867.08792950200495</v>
      </c>
      <c r="V2430">
        <v>2.6315789473684201E-3</v>
      </c>
      <c r="W2430">
        <v>2833632.51577939</v>
      </c>
      <c r="X2430" t="s">
        <v>39</v>
      </c>
      <c r="Y2430">
        <f>1-357-379-3156</f>
        <v>-3891</v>
      </c>
    </row>
    <row r="2431" spans="1:25" x14ac:dyDescent="0.35">
      <c r="A2431">
        <v>34.835276917291601</v>
      </c>
      <c r="B2431">
        <v>-119.59855124976499</v>
      </c>
      <c r="C2431" t="s">
        <v>29</v>
      </c>
      <c r="D2431">
        <v>30.613776267755998</v>
      </c>
      <c r="E2431">
        <v>8</v>
      </c>
      <c r="F2431">
        <v>3236</v>
      </c>
      <c r="G2431">
        <v>5</v>
      </c>
      <c r="H2431">
        <v>1</v>
      </c>
      <c r="I2431">
        <v>2008</v>
      </c>
      <c r="J2431">
        <v>0</v>
      </c>
      <c r="K2431">
        <v>1</v>
      </c>
      <c r="L2431">
        <v>0</v>
      </c>
      <c r="M2431">
        <v>8</v>
      </c>
      <c r="N2431" t="s">
        <v>26</v>
      </c>
      <c r="O2431" t="s">
        <v>30</v>
      </c>
      <c r="P2431">
        <v>8.3069276265393093</v>
      </c>
      <c r="Q2431">
        <v>1.98642414685818</v>
      </c>
      <c r="R2431">
        <v>7.2440322632282497</v>
      </c>
      <c r="S2431">
        <v>36</v>
      </c>
      <c r="T2431">
        <v>34</v>
      </c>
      <c r="U2431">
        <v>657.67107000477699</v>
      </c>
      <c r="V2431">
        <v>2.4721878862793501E-3</v>
      </c>
      <c r="W2431">
        <v>2533134.9442617898</v>
      </c>
      <c r="X2431" t="s">
        <v>36</v>
      </c>
      <c r="Y2431">
        <f>1-582-647-5408</f>
        <v>-6636</v>
      </c>
    </row>
    <row r="2432" spans="1:25" x14ac:dyDescent="0.35">
      <c r="A2432">
        <v>33.401670364388998</v>
      </c>
      <c r="B2432">
        <v>-116.51325458485</v>
      </c>
      <c r="C2432" t="s">
        <v>25</v>
      </c>
      <c r="D2432">
        <v>34.801164969770603</v>
      </c>
      <c r="E2432">
        <v>5</v>
      </c>
      <c r="F2432">
        <v>2190</v>
      </c>
      <c r="G2432">
        <v>5</v>
      </c>
      <c r="H2432">
        <v>1</v>
      </c>
      <c r="I2432">
        <v>2001</v>
      </c>
      <c r="J2432">
        <v>0</v>
      </c>
      <c r="K2432">
        <v>0</v>
      </c>
      <c r="L2432">
        <v>0</v>
      </c>
      <c r="M2432">
        <v>9</v>
      </c>
      <c r="N2432" t="s">
        <v>26</v>
      </c>
      <c r="O2432" t="s">
        <v>32</v>
      </c>
      <c r="P2432">
        <v>13.945493593755801</v>
      </c>
      <c r="Q2432">
        <v>0.82380594737138901</v>
      </c>
      <c r="R2432">
        <v>2.6339888301709502</v>
      </c>
      <c r="S2432">
        <v>47</v>
      </c>
      <c r="T2432">
        <v>39</v>
      </c>
      <c r="U2432">
        <v>979.21242988474398</v>
      </c>
      <c r="V2432">
        <v>4.10958904109589E-3</v>
      </c>
      <c r="W2432">
        <v>2459309.3928773599</v>
      </c>
      <c r="X2432" t="s">
        <v>33</v>
      </c>
      <c r="Y2432">
        <f>1-974-599-4013</f>
        <v>-5585</v>
      </c>
    </row>
    <row r="2433" spans="1:25" x14ac:dyDescent="0.35">
      <c r="A2433">
        <v>35.9541895716144</v>
      </c>
      <c r="B2433">
        <v>-116.959920503443</v>
      </c>
      <c r="C2433" t="s">
        <v>34</v>
      </c>
      <c r="D2433">
        <v>11.0406130462832</v>
      </c>
      <c r="E2433">
        <v>9</v>
      </c>
      <c r="F2433">
        <v>887</v>
      </c>
      <c r="G2433">
        <v>5</v>
      </c>
      <c r="H2433">
        <v>3</v>
      </c>
      <c r="I2433">
        <v>1982</v>
      </c>
      <c r="J2433">
        <v>1</v>
      </c>
      <c r="K2433">
        <v>0</v>
      </c>
      <c r="L2433">
        <v>1</v>
      </c>
      <c r="M2433">
        <v>3</v>
      </c>
      <c r="N2433" t="s">
        <v>26</v>
      </c>
      <c r="O2433" t="s">
        <v>32</v>
      </c>
      <c r="P2433">
        <v>3.6176193591675698</v>
      </c>
      <c r="Q2433">
        <v>1.8037722497870099</v>
      </c>
      <c r="R2433">
        <v>9.6952813983428303</v>
      </c>
      <c r="S2433">
        <v>10</v>
      </c>
      <c r="T2433">
        <v>57</v>
      </c>
      <c r="U2433">
        <v>298.31416090792101</v>
      </c>
      <c r="V2433">
        <v>3.38218714768883E-3</v>
      </c>
      <c r="W2433">
        <v>534644.47502945305</v>
      </c>
      <c r="X2433" t="s">
        <v>44</v>
      </c>
      <c r="Y2433">
        <f>1-741-439-3515</f>
        <v>-4694</v>
      </c>
    </row>
    <row r="2434" spans="1:25" x14ac:dyDescent="0.35">
      <c r="A2434">
        <v>40.3913922194862</v>
      </c>
      <c r="B2434">
        <v>-124.47479129181301</v>
      </c>
      <c r="C2434" t="s">
        <v>29</v>
      </c>
      <c r="D2434">
        <v>47.543472509078001</v>
      </c>
      <c r="E2434">
        <v>1</v>
      </c>
      <c r="F2434">
        <v>2590</v>
      </c>
      <c r="G2434">
        <v>3</v>
      </c>
      <c r="H2434">
        <v>2</v>
      </c>
      <c r="I2434">
        <v>1999</v>
      </c>
      <c r="J2434">
        <v>0</v>
      </c>
      <c r="K2434">
        <v>0</v>
      </c>
      <c r="L2434">
        <v>0</v>
      </c>
      <c r="M2434">
        <v>12</v>
      </c>
      <c r="N2434" t="s">
        <v>26</v>
      </c>
      <c r="O2434" t="s">
        <v>32</v>
      </c>
      <c r="P2434">
        <v>5.2184088157000001</v>
      </c>
      <c r="Q2434">
        <v>1.36689170611564</v>
      </c>
      <c r="R2434">
        <v>4.5844466487972699</v>
      </c>
      <c r="S2434">
        <v>118</v>
      </c>
      <c r="T2434">
        <v>48</v>
      </c>
      <c r="U2434">
        <v>258.02654092185099</v>
      </c>
      <c r="V2434">
        <v>4.6332046332046304E-3</v>
      </c>
      <c r="W2434">
        <v>831949.72099829104</v>
      </c>
      <c r="X2434" t="s">
        <v>38</v>
      </c>
      <c r="Y2434">
        <f>1-247-799-9141</f>
        <v>-10186</v>
      </c>
    </row>
    <row r="2435" spans="1:25" x14ac:dyDescent="0.35">
      <c r="A2435">
        <v>38.892431877738801</v>
      </c>
      <c r="B2435">
        <v>-123.58906217047399</v>
      </c>
      <c r="C2435" t="s">
        <v>25</v>
      </c>
      <c r="D2435">
        <v>21.2944556568007</v>
      </c>
      <c r="E2435">
        <v>0</v>
      </c>
      <c r="F2435">
        <v>3468</v>
      </c>
      <c r="G2435">
        <v>4</v>
      </c>
      <c r="H2435">
        <v>2</v>
      </c>
      <c r="I2435">
        <v>1980</v>
      </c>
      <c r="J2435">
        <v>0</v>
      </c>
      <c r="K2435">
        <v>0</v>
      </c>
      <c r="L2435">
        <v>1</v>
      </c>
      <c r="M2435">
        <v>6</v>
      </c>
      <c r="N2435" t="s">
        <v>26</v>
      </c>
      <c r="O2435" t="s">
        <v>30</v>
      </c>
      <c r="P2435">
        <v>6.2461788818835098</v>
      </c>
      <c r="Q2435">
        <v>2.4952911257011601</v>
      </c>
      <c r="R2435">
        <v>3.6617196087480202</v>
      </c>
      <c r="S2435">
        <v>72</v>
      </c>
      <c r="T2435">
        <v>51</v>
      </c>
      <c r="U2435">
        <v>492.029979825103</v>
      </c>
      <c r="V2435">
        <v>1.7301038062283701E-3</v>
      </c>
      <c r="W2435">
        <v>1990663.51804553</v>
      </c>
      <c r="X2435" t="s">
        <v>42</v>
      </c>
      <c r="Y2435">
        <f>1-217-993-5478</f>
        <v>-6687</v>
      </c>
    </row>
    <row r="2436" spans="1:25" x14ac:dyDescent="0.35">
      <c r="A2436">
        <v>38.924650178070102</v>
      </c>
      <c r="B2436">
        <v>-121.53366855106</v>
      </c>
      <c r="C2436" t="s">
        <v>34</v>
      </c>
      <c r="D2436">
        <v>35.846009872796003</v>
      </c>
      <c r="E2436">
        <v>8</v>
      </c>
      <c r="F2436">
        <v>3022</v>
      </c>
      <c r="G2436">
        <v>3</v>
      </c>
      <c r="H2436">
        <v>3</v>
      </c>
      <c r="I2436">
        <v>1991</v>
      </c>
      <c r="J2436">
        <v>0</v>
      </c>
      <c r="K2436">
        <v>1</v>
      </c>
      <c r="L2436">
        <v>1</v>
      </c>
      <c r="M2436">
        <v>8</v>
      </c>
      <c r="N2436" t="s">
        <v>41</v>
      </c>
      <c r="O2436" t="s">
        <v>27</v>
      </c>
      <c r="P2436">
        <v>3.8962308866845001</v>
      </c>
      <c r="Q2436">
        <v>2.2620716376506</v>
      </c>
      <c r="R2436">
        <v>7.9882406982180303</v>
      </c>
      <c r="S2436">
        <v>14</v>
      </c>
      <c r="T2436">
        <v>69</v>
      </c>
      <c r="U2436">
        <v>601.80235480258295</v>
      </c>
      <c r="V2436">
        <v>2.6472534745201801E-3</v>
      </c>
      <c r="W2436">
        <v>2191275.0891053299</v>
      </c>
      <c r="X2436" t="s">
        <v>33</v>
      </c>
      <c r="Y2436">
        <f>1-726-509-4510</f>
        <v>-5744</v>
      </c>
    </row>
    <row r="2437" spans="1:25" x14ac:dyDescent="0.35">
      <c r="A2437">
        <v>38.054811674211599</v>
      </c>
      <c r="B2437">
        <v>-121.539178252312</v>
      </c>
      <c r="C2437" t="s">
        <v>25</v>
      </c>
      <c r="D2437">
        <v>7.7073597997216696</v>
      </c>
      <c r="E2437">
        <v>5</v>
      </c>
      <c r="F2437">
        <v>4666</v>
      </c>
      <c r="G2437">
        <v>4</v>
      </c>
      <c r="H2437">
        <v>1</v>
      </c>
      <c r="I2437">
        <v>1968</v>
      </c>
      <c r="J2437">
        <v>0</v>
      </c>
      <c r="K2437">
        <v>1</v>
      </c>
      <c r="L2437">
        <v>0</v>
      </c>
      <c r="M2437">
        <v>10</v>
      </c>
      <c r="N2437" t="s">
        <v>41</v>
      </c>
      <c r="O2437" t="s">
        <v>30</v>
      </c>
      <c r="P2437">
        <v>8.9362959982765808</v>
      </c>
      <c r="Q2437">
        <v>0.96789791798601499</v>
      </c>
      <c r="R2437">
        <v>1.7009856752258099</v>
      </c>
      <c r="S2437">
        <v>192</v>
      </c>
      <c r="T2437">
        <v>44</v>
      </c>
      <c r="U2437">
        <v>318.92605549342397</v>
      </c>
      <c r="V2437">
        <v>2.1431633090441401E-3</v>
      </c>
      <c r="W2437">
        <v>1820294.73175172</v>
      </c>
      <c r="X2437" t="s">
        <v>36</v>
      </c>
      <c r="Y2437">
        <f>1-583-509-9352</f>
        <v>-10443</v>
      </c>
    </row>
    <row r="2438" spans="1:25" x14ac:dyDescent="0.35">
      <c r="A2438">
        <v>40.060681879867602</v>
      </c>
      <c r="B2438">
        <v>-120.462066374253</v>
      </c>
      <c r="C2438" t="s">
        <v>34</v>
      </c>
      <c r="D2438">
        <v>32.028297187058001</v>
      </c>
      <c r="E2438">
        <v>8</v>
      </c>
      <c r="F2438">
        <v>4373</v>
      </c>
      <c r="G2438">
        <v>4</v>
      </c>
      <c r="H2438">
        <v>2</v>
      </c>
      <c r="I2438">
        <v>2009</v>
      </c>
      <c r="J2438">
        <v>0</v>
      </c>
      <c r="K2438">
        <v>1</v>
      </c>
      <c r="L2438">
        <v>0</v>
      </c>
      <c r="M2438">
        <v>3</v>
      </c>
      <c r="N2438" t="s">
        <v>26</v>
      </c>
      <c r="O2438" t="s">
        <v>30</v>
      </c>
      <c r="P2438">
        <v>7.9043228351295003</v>
      </c>
      <c r="Q2438">
        <v>1.7300126094133199</v>
      </c>
      <c r="R2438">
        <v>6.1756657558973798</v>
      </c>
      <c r="S2438">
        <v>165</v>
      </c>
      <c r="T2438">
        <v>54</v>
      </c>
      <c r="U2438">
        <v>470.11765486507102</v>
      </c>
      <c r="V2438">
        <v>6.8602789846787104E-4</v>
      </c>
      <c r="W2438">
        <v>2393278.32503366</v>
      </c>
      <c r="X2438" t="s">
        <v>39</v>
      </c>
      <c r="Y2438">
        <f>1-653-149-4391</f>
        <v>-5192</v>
      </c>
    </row>
    <row r="2439" spans="1:25" x14ac:dyDescent="0.35">
      <c r="A2439">
        <v>37.099264066001098</v>
      </c>
      <c r="B2439">
        <v>-117.15125702503801</v>
      </c>
      <c r="C2439" t="s">
        <v>29</v>
      </c>
      <c r="D2439">
        <v>23.451971459207101</v>
      </c>
      <c r="E2439">
        <v>6</v>
      </c>
      <c r="F2439">
        <v>3405</v>
      </c>
      <c r="G2439">
        <v>5</v>
      </c>
      <c r="H2439">
        <v>2</v>
      </c>
      <c r="I2439">
        <v>1978</v>
      </c>
      <c r="J2439">
        <v>0</v>
      </c>
      <c r="K2439">
        <v>0</v>
      </c>
      <c r="L2439">
        <v>0</v>
      </c>
      <c r="M2439">
        <v>8</v>
      </c>
      <c r="N2439" t="s">
        <v>37</v>
      </c>
      <c r="O2439" t="s">
        <v>27</v>
      </c>
      <c r="P2439">
        <v>4.6226759712460597</v>
      </c>
      <c r="Q2439">
        <v>0.90316032331865004</v>
      </c>
      <c r="R2439">
        <v>9.0100942073599199</v>
      </c>
      <c r="S2439">
        <v>196</v>
      </c>
      <c r="T2439">
        <v>35</v>
      </c>
      <c r="U2439">
        <v>710.194336965003</v>
      </c>
      <c r="V2439">
        <v>2.3494860499265698E-3</v>
      </c>
      <c r="W2439">
        <v>2683804.5533606801</v>
      </c>
      <c r="X2439" t="s">
        <v>44</v>
      </c>
      <c r="Y2439">
        <f>1-383-880-6897</f>
        <v>-8159</v>
      </c>
    </row>
    <row r="2440" spans="1:25" x14ac:dyDescent="0.35">
      <c r="A2440">
        <v>36.320756041683403</v>
      </c>
      <c r="B2440">
        <v>-116.585836377766</v>
      </c>
      <c r="C2440" t="s">
        <v>29</v>
      </c>
      <c r="D2440">
        <v>36.234877862888197</v>
      </c>
      <c r="E2440">
        <v>9</v>
      </c>
      <c r="F2440">
        <v>4871</v>
      </c>
      <c r="G2440">
        <v>5</v>
      </c>
      <c r="H2440">
        <v>2</v>
      </c>
      <c r="I2440">
        <v>1988</v>
      </c>
      <c r="J2440">
        <v>0</v>
      </c>
      <c r="K2440">
        <v>1</v>
      </c>
      <c r="L2440">
        <v>0</v>
      </c>
      <c r="M2440">
        <v>12</v>
      </c>
      <c r="N2440" t="s">
        <v>41</v>
      </c>
      <c r="O2440" t="s">
        <v>32</v>
      </c>
      <c r="P2440">
        <v>8.6510492524205205</v>
      </c>
      <c r="Q2440">
        <v>0.68648894243009695</v>
      </c>
      <c r="R2440">
        <v>3.1722325327718899</v>
      </c>
      <c r="S2440">
        <v>56</v>
      </c>
      <c r="T2440">
        <v>39</v>
      </c>
      <c r="U2440">
        <v>396.744779168859</v>
      </c>
      <c r="V2440">
        <v>2.4635598439745401E-3</v>
      </c>
      <c r="W2440">
        <v>2354026.2157383398</v>
      </c>
      <c r="X2440" t="s">
        <v>44</v>
      </c>
      <c r="Y2440">
        <f>1-280-493-8971</f>
        <v>-9743</v>
      </c>
    </row>
    <row r="2441" spans="1:25" x14ac:dyDescent="0.35">
      <c r="A2441">
        <v>34.023838460138997</v>
      </c>
      <c r="B2441">
        <v>-114.651748704398</v>
      </c>
      <c r="C2441" t="s">
        <v>34</v>
      </c>
      <c r="D2441">
        <v>46.852808056187897</v>
      </c>
      <c r="E2441">
        <v>3</v>
      </c>
      <c r="F2441">
        <v>3991</v>
      </c>
      <c r="G2441">
        <v>1</v>
      </c>
      <c r="H2441">
        <v>1</v>
      </c>
      <c r="I2441">
        <v>1978</v>
      </c>
      <c r="J2441">
        <v>0</v>
      </c>
      <c r="K2441">
        <v>0</v>
      </c>
      <c r="L2441">
        <v>0</v>
      </c>
      <c r="M2441">
        <v>8</v>
      </c>
      <c r="N2441" t="s">
        <v>26</v>
      </c>
      <c r="O2441" t="s">
        <v>27</v>
      </c>
      <c r="P2441">
        <v>2.0195804539612401</v>
      </c>
      <c r="Q2441">
        <v>1.1570946684552901</v>
      </c>
      <c r="R2441">
        <v>8.4874322539126403</v>
      </c>
      <c r="S2441">
        <v>67</v>
      </c>
      <c r="T2441">
        <v>65</v>
      </c>
      <c r="U2441">
        <v>387.56901919114199</v>
      </c>
      <c r="V2441">
        <v>2.00451014783262E-3</v>
      </c>
      <c r="W2441">
        <v>1492179.66966899</v>
      </c>
      <c r="X2441" t="s">
        <v>42</v>
      </c>
      <c r="Y2441">
        <f>1-821-934-7975</f>
        <v>-9729</v>
      </c>
    </row>
    <row r="2442" spans="1:25" x14ac:dyDescent="0.35">
      <c r="A2442">
        <v>34.6386846483827</v>
      </c>
      <c r="B2442">
        <v>-118.44161143345499</v>
      </c>
      <c r="C2442" t="s">
        <v>29</v>
      </c>
      <c r="D2442">
        <v>35.089577613594798</v>
      </c>
      <c r="E2442">
        <v>9</v>
      </c>
      <c r="F2442">
        <v>1826</v>
      </c>
      <c r="G2442">
        <v>5</v>
      </c>
      <c r="H2442">
        <v>2</v>
      </c>
      <c r="I2442">
        <v>1956</v>
      </c>
      <c r="J2442">
        <v>1</v>
      </c>
      <c r="K2442">
        <v>0</v>
      </c>
      <c r="L2442">
        <v>0</v>
      </c>
      <c r="M2442">
        <v>4</v>
      </c>
      <c r="N2442" t="s">
        <v>37</v>
      </c>
      <c r="O2442" t="s">
        <v>32</v>
      </c>
      <c r="P2442">
        <v>13.115435765065699</v>
      </c>
      <c r="Q2442">
        <v>1.33032505252819</v>
      </c>
      <c r="R2442">
        <v>9.3787580569095592</v>
      </c>
      <c r="S2442">
        <v>2</v>
      </c>
      <c r="T2442">
        <v>62</v>
      </c>
      <c r="U2442">
        <v>850.32715046421697</v>
      </c>
      <c r="V2442">
        <v>2.1905805038335102E-3</v>
      </c>
      <c r="W2442">
        <v>1848605.8002029201</v>
      </c>
      <c r="X2442" t="s">
        <v>33</v>
      </c>
      <c r="Y2442">
        <f>1-215-307-9084</f>
        <v>-9605</v>
      </c>
    </row>
    <row r="2443" spans="1:25" x14ac:dyDescent="0.35">
      <c r="A2443">
        <v>33.638679709809402</v>
      </c>
      <c r="B2443">
        <v>-119.180196795125</v>
      </c>
      <c r="C2443" t="s">
        <v>25</v>
      </c>
      <c r="D2443">
        <v>6.5887037940709998</v>
      </c>
      <c r="E2443">
        <v>1</v>
      </c>
      <c r="F2443">
        <v>3263</v>
      </c>
      <c r="G2443">
        <v>3</v>
      </c>
      <c r="H2443">
        <v>3</v>
      </c>
      <c r="I2443">
        <v>1969</v>
      </c>
      <c r="J2443">
        <v>0</v>
      </c>
      <c r="K2443">
        <v>0</v>
      </c>
      <c r="L2443">
        <v>1</v>
      </c>
      <c r="M2443">
        <v>12</v>
      </c>
      <c r="N2443" t="s">
        <v>41</v>
      </c>
      <c r="O2443" t="s">
        <v>32</v>
      </c>
      <c r="P2443">
        <v>14.533597309406</v>
      </c>
      <c r="Q2443">
        <v>1.0520505290329001</v>
      </c>
      <c r="R2443">
        <v>0.103511496973168</v>
      </c>
      <c r="S2443">
        <v>5</v>
      </c>
      <c r="T2443">
        <v>63</v>
      </c>
      <c r="U2443">
        <v>954.93119945054104</v>
      </c>
      <c r="V2443">
        <v>3.67759730309531E-3</v>
      </c>
      <c r="W2443">
        <v>3410419.7143077198</v>
      </c>
      <c r="X2443" t="s">
        <v>44</v>
      </c>
      <c r="Y2443">
        <f>1-727-686-4202</f>
        <v>-5614</v>
      </c>
    </row>
    <row r="2444" spans="1:25" x14ac:dyDescent="0.35">
      <c r="A2444">
        <v>35.951945624643599</v>
      </c>
      <c r="B2444">
        <v>-116.651483813559</v>
      </c>
      <c r="C2444" t="s">
        <v>29</v>
      </c>
      <c r="D2444">
        <v>2.75652501771585</v>
      </c>
      <c r="E2444">
        <v>2</v>
      </c>
      <c r="F2444">
        <v>3212</v>
      </c>
      <c r="G2444">
        <v>1</v>
      </c>
      <c r="H2444">
        <v>1</v>
      </c>
      <c r="I2444">
        <v>1985</v>
      </c>
      <c r="J2444">
        <v>1</v>
      </c>
      <c r="K2444">
        <v>1</v>
      </c>
      <c r="L2444">
        <v>1</v>
      </c>
      <c r="M2444">
        <v>8</v>
      </c>
      <c r="N2444" t="s">
        <v>35</v>
      </c>
      <c r="O2444" t="s">
        <v>32</v>
      </c>
      <c r="P2444">
        <v>3.7341074839721502</v>
      </c>
      <c r="Q2444">
        <v>2.4358553075638198</v>
      </c>
      <c r="R2444">
        <v>5.2174715553981201</v>
      </c>
      <c r="S2444">
        <v>181</v>
      </c>
      <c r="T2444">
        <v>53</v>
      </c>
      <c r="U2444">
        <v>885.842966130533</v>
      </c>
      <c r="V2444">
        <v>2.4906600249065998E-3</v>
      </c>
      <c r="W2444">
        <v>3076652.37735363</v>
      </c>
      <c r="X2444" t="s">
        <v>44</v>
      </c>
      <c r="Y2444">
        <f>1-738-753-7530</f>
        <v>-9020</v>
      </c>
    </row>
    <row r="2445" spans="1:25" x14ac:dyDescent="0.35">
      <c r="A2445">
        <v>40.973356767357402</v>
      </c>
      <c r="B2445">
        <v>-114.05072642279799</v>
      </c>
      <c r="C2445" t="s">
        <v>25</v>
      </c>
      <c r="D2445">
        <v>15.011323018819899</v>
      </c>
      <c r="E2445">
        <v>3</v>
      </c>
      <c r="F2445">
        <v>4618</v>
      </c>
      <c r="G2445">
        <v>1</v>
      </c>
      <c r="H2445">
        <v>2</v>
      </c>
      <c r="I2445">
        <v>1960</v>
      </c>
      <c r="J2445">
        <v>0</v>
      </c>
      <c r="K2445">
        <v>0</v>
      </c>
      <c r="L2445">
        <v>1</v>
      </c>
      <c r="M2445">
        <v>13</v>
      </c>
      <c r="N2445" t="s">
        <v>35</v>
      </c>
      <c r="O2445" t="s">
        <v>27</v>
      </c>
      <c r="P2445">
        <v>9.9050012467904001</v>
      </c>
      <c r="Q2445">
        <v>1.87068433990354</v>
      </c>
      <c r="R2445">
        <v>7.0131735624220299</v>
      </c>
      <c r="S2445">
        <v>180</v>
      </c>
      <c r="T2445">
        <v>50</v>
      </c>
      <c r="U2445">
        <v>735.73205824342097</v>
      </c>
      <c r="V2445">
        <v>2.81507145950628E-3</v>
      </c>
      <c r="W2445">
        <v>3472081.1503782198</v>
      </c>
      <c r="X2445" t="s">
        <v>31</v>
      </c>
      <c r="Y2445">
        <f>1-444-879-5306</f>
        <v>-6628</v>
      </c>
    </row>
    <row r="2446" spans="1:25" x14ac:dyDescent="0.35">
      <c r="A2446">
        <v>32.625643435158501</v>
      </c>
      <c r="B2446">
        <v>-121.0015596747</v>
      </c>
      <c r="C2446" t="s">
        <v>25</v>
      </c>
      <c r="D2446">
        <v>10.0617754019231</v>
      </c>
      <c r="E2446">
        <v>5</v>
      </c>
      <c r="F2446">
        <v>4866</v>
      </c>
      <c r="G2446">
        <v>5</v>
      </c>
      <c r="H2446">
        <v>3</v>
      </c>
      <c r="I2446">
        <v>1951</v>
      </c>
      <c r="J2446">
        <v>1</v>
      </c>
      <c r="K2446">
        <v>1</v>
      </c>
      <c r="L2446">
        <v>0</v>
      </c>
      <c r="M2446">
        <v>4</v>
      </c>
      <c r="N2446" t="s">
        <v>26</v>
      </c>
      <c r="O2446" t="s">
        <v>30</v>
      </c>
      <c r="P2446">
        <v>8.4545818015776302</v>
      </c>
      <c r="Q2446">
        <v>0.55824544062396497</v>
      </c>
      <c r="R2446">
        <v>1.66191995930391</v>
      </c>
      <c r="S2446">
        <v>48</v>
      </c>
      <c r="T2446">
        <v>22</v>
      </c>
      <c r="U2446">
        <v>713.783600000153</v>
      </c>
      <c r="V2446">
        <v>8.2203041512535896E-4</v>
      </c>
      <c r="W2446">
        <v>3875672.5515986099</v>
      </c>
      <c r="X2446" t="s">
        <v>33</v>
      </c>
      <c r="Y2446">
        <f>1-763-890-1862</f>
        <v>-3514</v>
      </c>
    </row>
    <row r="2447" spans="1:25" x14ac:dyDescent="0.35">
      <c r="A2447">
        <v>33.735367885914499</v>
      </c>
      <c r="B2447">
        <v>-124.21165058777</v>
      </c>
      <c r="C2447" t="s">
        <v>25</v>
      </c>
      <c r="D2447">
        <v>2.2470026823134801</v>
      </c>
      <c r="E2447">
        <v>9</v>
      </c>
      <c r="F2447">
        <v>1603</v>
      </c>
      <c r="G2447">
        <v>4</v>
      </c>
      <c r="H2447">
        <v>1</v>
      </c>
      <c r="I2447">
        <v>1956</v>
      </c>
      <c r="J2447">
        <v>1</v>
      </c>
      <c r="K2447">
        <v>0</v>
      </c>
      <c r="L2447">
        <v>0</v>
      </c>
      <c r="M2447">
        <v>3</v>
      </c>
      <c r="N2447" t="s">
        <v>35</v>
      </c>
      <c r="O2447" t="s">
        <v>32</v>
      </c>
      <c r="P2447">
        <v>13.442066722257699</v>
      </c>
      <c r="Q2447">
        <v>1.74000313534678</v>
      </c>
      <c r="R2447">
        <v>6.7376789506423203</v>
      </c>
      <c r="S2447">
        <v>187</v>
      </c>
      <c r="T2447">
        <v>73</v>
      </c>
      <c r="U2447">
        <v>553.50301537422899</v>
      </c>
      <c r="V2447">
        <v>1.87149095446038E-3</v>
      </c>
      <c r="W2447">
        <v>1199447.7771960199</v>
      </c>
      <c r="X2447" t="s">
        <v>40</v>
      </c>
      <c r="Y2447">
        <f>1-417-648-7817</f>
        <v>-8881</v>
      </c>
    </row>
    <row r="2448" spans="1:25" x14ac:dyDescent="0.35">
      <c r="A2448">
        <v>35.0495776611059</v>
      </c>
      <c r="B2448">
        <v>-123.938963983281</v>
      </c>
      <c r="C2448" t="s">
        <v>34</v>
      </c>
      <c r="D2448">
        <v>19.840776389860601</v>
      </c>
      <c r="E2448">
        <v>2</v>
      </c>
      <c r="F2448">
        <v>4063</v>
      </c>
      <c r="G2448">
        <v>2</v>
      </c>
      <c r="H2448">
        <v>1</v>
      </c>
      <c r="I2448">
        <v>1986</v>
      </c>
      <c r="J2448">
        <v>1</v>
      </c>
      <c r="K2448">
        <v>1</v>
      </c>
      <c r="L2448">
        <v>1</v>
      </c>
      <c r="M2448">
        <v>6</v>
      </c>
      <c r="N2448" t="s">
        <v>35</v>
      </c>
      <c r="O2448" t="s">
        <v>30</v>
      </c>
      <c r="P2448">
        <v>8.1416490117926905</v>
      </c>
      <c r="Q2448">
        <v>1.42178169285837</v>
      </c>
      <c r="R2448">
        <v>5.0359530326995898</v>
      </c>
      <c r="S2448">
        <v>69</v>
      </c>
      <c r="T2448">
        <v>41</v>
      </c>
      <c r="U2448">
        <v>304.77195074434701</v>
      </c>
      <c r="V2448">
        <v>1.4767413241447199E-3</v>
      </c>
      <c r="W2448">
        <v>1514701.111267</v>
      </c>
      <c r="X2448" t="s">
        <v>43</v>
      </c>
      <c r="Y2448">
        <f>1-647-768-6459</f>
        <v>-7873</v>
      </c>
    </row>
    <row r="2449" spans="1:25" x14ac:dyDescent="0.35">
      <c r="A2449">
        <v>35.851551521831396</v>
      </c>
      <c r="B2449">
        <v>-116.397858344355</v>
      </c>
      <c r="C2449" t="s">
        <v>34</v>
      </c>
      <c r="D2449">
        <v>49.589719870279097</v>
      </c>
      <c r="E2449">
        <v>9</v>
      </c>
      <c r="F2449">
        <v>3467</v>
      </c>
      <c r="G2449">
        <v>2</v>
      </c>
      <c r="H2449">
        <v>3</v>
      </c>
      <c r="I2449">
        <v>2011</v>
      </c>
      <c r="J2449">
        <v>0</v>
      </c>
      <c r="K2449">
        <v>1</v>
      </c>
      <c r="L2449">
        <v>1</v>
      </c>
      <c r="M2449">
        <v>9</v>
      </c>
      <c r="N2449" t="s">
        <v>41</v>
      </c>
      <c r="O2449" t="s">
        <v>30</v>
      </c>
      <c r="P2449">
        <v>7.7127548674398501</v>
      </c>
      <c r="Q2449">
        <v>0.76324116844281598</v>
      </c>
      <c r="R2449">
        <v>8.3228617575256791</v>
      </c>
      <c r="S2449">
        <v>143</v>
      </c>
      <c r="T2449">
        <v>36</v>
      </c>
      <c r="U2449">
        <v>954.58766218832</v>
      </c>
      <c r="V2449">
        <v>2.5959042399769199E-3</v>
      </c>
      <c r="W2449">
        <v>3636058.8424267699</v>
      </c>
      <c r="X2449" t="s">
        <v>28</v>
      </c>
      <c r="Y2449">
        <f>1-980-590-2017</f>
        <v>-3586</v>
      </c>
    </row>
    <row r="2450" spans="1:25" x14ac:dyDescent="0.35">
      <c r="A2450">
        <v>33.3964348189673</v>
      </c>
      <c r="B2450">
        <v>-119.396149529327</v>
      </c>
      <c r="C2450" t="s">
        <v>34</v>
      </c>
      <c r="D2450">
        <v>13.3391847511666</v>
      </c>
      <c r="E2450">
        <v>4</v>
      </c>
      <c r="F2450">
        <v>4160</v>
      </c>
      <c r="G2450">
        <v>4</v>
      </c>
      <c r="H2450">
        <v>3</v>
      </c>
      <c r="I2450">
        <v>1974</v>
      </c>
      <c r="J2450">
        <v>1</v>
      </c>
      <c r="K2450">
        <v>1</v>
      </c>
      <c r="L2450">
        <v>1</v>
      </c>
      <c r="M2450">
        <v>12</v>
      </c>
      <c r="N2450" t="s">
        <v>41</v>
      </c>
      <c r="O2450" t="s">
        <v>32</v>
      </c>
      <c r="P2450">
        <v>12.3099526560634</v>
      </c>
      <c r="Q2450">
        <v>1.46571273739571</v>
      </c>
      <c r="R2450">
        <v>3.7980938983633101</v>
      </c>
      <c r="S2450">
        <v>188</v>
      </c>
      <c r="T2450">
        <v>70</v>
      </c>
      <c r="U2450">
        <v>241.52310537343399</v>
      </c>
      <c r="V2450">
        <v>2.88461538461538E-3</v>
      </c>
      <c r="W2450">
        <v>1533304.7095995599</v>
      </c>
      <c r="X2450" t="s">
        <v>38</v>
      </c>
      <c r="Y2450">
        <f>1-579-339-5301</f>
        <v>-6218</v>
      </c>
    </row>
    <row r="2451" spans="1:25" x14ac:dyDescent="0.35">
      <c r="A2451">
        <v>41.086182528599501</v>
      </c>
      <c r="B2451">
        <v>-123.816843260333</v>
      </c>
      <c r="C2451" t="s">
        <v>25</v>
      </c>
      <c r="D2451">
        <v>4.8533826799127899</v>
      </c>
      <c r="E2451">
        <v>5</v>
      </c>
      <c r="F2451">
        <v>2177</v>
      </c>
      <c r="G2451">
        <v>3</v>
      </c>
      <c r="H2451">
        <v>3</v>
      </c>
      <c r="I2451">
        <v>1974</v>
      </c>
      <c r="J2451">
        <v>0</v>
      </c>
      <c r="K2451">
        <v>1</v>
      </c>
      <c r="L2451">
        <v>1</v>
      </c>
      <c r="M2451">
        <v>10</v>
      </c>
      <c r="N2451" t="s">
        <v>41</v>
      </c>
      <c r="O2451" t="s">
        <v>27</v>
      </c>
      <c r="P2451">
        <v>14.6459710922033</v>
      </c>
      <c r="Q2451">
        <v>1.87868686211656</v>
      </c>
      <c r="R2451">
        <v>1.1826877253290899</v>
      </c>
      <c r="S2451">
        <v>123</v>
      </c>
      <c r="T2451">
        <v>23</v>
      </c>
      <c r="U2451">
        <v>203.93647693736199</v>
      </c>
      <c r="V2451">
        <v>4.5934772622875496E-3</v>
      </c>
      <c r="W2451">
        <v>795348.00954835396</v>
      </c>
      <c r="X2451" t="s">
        <v>38</v>
      </c>
      <c r="Y2451">
        <f>1-379-119-9760</f>
        <v>-10257</v>
      </c>
    </row>
    <row r="2452" spans="1:25" x14ac:dyDescent="0.35">
      <c r="A2452">
        <v>34.320844897749303</v>
      </c>
      <c r="B2452">
        <v>-117.447860866431</v>
      </c>
      <c r="C2452" t="s">
        <v>29</v>
      </c>
      <c r="D2452">
        <v>40.442754784364901</v>
      </c>
      <c r="E2452">
        <v>7</v>
      </c>
      <c r="F2452">
        <v>3053</v>
      </c>
      <c r="G2452">
        <v>2</v>
      </c>
      <c r="H2452">
        <v>1</v>
      </c>
      <c r="I2452">
        <v>1966</v>
      </c>
      <c r="J2452">
        <v>0</v>
      </c>
      <c r="K2452">
        <v>0</v>
      </c>
      <c r="L2452">
        <v>0</v>
      </c>
      <c r="M2452">
        <v>12</v>
      </c>
      <c r="N2452" t="s">
        <v>41</v>
      </c>
      <c r="O2452" t="s">
        <v>32</v>
      </c>
      <c r="P2452">
        <v>7.7673580025514504</v>
      </c>
      <c r="Q2452">
        <v>2.1023842433351301</v>
      </c>
      <c r="R2452">
        <v>8.08417001340643</v>
      </c>
      <c r="S2452">
        <v>129</v>
      </c>
      <c r="T2452">
        <v>28</v>
      </c>
      <c r="U2452">
        <v>528.763880182707</v>
      </c>
      <c r="V2452">
        <v>3.9305601048149298E-3</v>
      </c>
      <c r="W2452">
        <v>1715711.4518693101</v>
      </c>
      <c r="X2452" t="s">
        <v>42</v>
      </c>
      <c r="Y2452">
        <f>1-768-701-4394</f>
        <v>-5862</v>
      </c>
    </row>
    <row r="2453" spans="1:25" x14ac:dyDescent="0.35">
      <c r="A2453">
        <v>33.132415424581403</v>
      </c>
      <c r="B2453">
        <v>-117.007214060283</v>
      </c>
      <c r="C2453" t="s">
        <v>25</v>
      </c>
      <c r="D2453">
        <v>47.338739450579098</v>
      </c>
      <c r="E2453">
        <v>4</v>
      </c>
      <c r="F2453">
        <v>1141</v>
      </c>
      <c r="G2453">
        <v>3</v>
      </c>
      <c r="H2453">
        <v>2</v>
      </c>
      <c r="I2453">
        <v>2005</v>
      </c>
      <c r="J2453">
        <v>1</v>
      </c>
      <c r="K2453">
        <v>1</v>
      </c>
      <c r="L2453">
        <v>0</v>
      </c>
      <c r="M2453">
        <v>9</v>
      </c>
      <c r="N2453" t="s">
        <v>26</v>
      </c>
      <c r="O2453" t="s">
        <v>27</v>
      </c>
      <c r="P2453">
        <v>5.1665605612419698</v>
      </c>
      <c r="Q2453">
        <v>1.7930619188917001</v>
      </c>
      <c r="R2453">
        <v>8.9927547530437408</v>
      </c>
      <c r="S2453">
        <v>2</v>
      </c>
      <c r="T2453">
        <v>34</v>
      </c>
      <c r="U2453">
        <v>396.97382479129999</v>
      </c>
      <c r="V2453">
        <v>7.8878177037686199E-3</v>
      </c>
      <c r="W2453">
        <v>766932.68249455397</v>
      </c>
      <c r="X2453" t="s">
        <v>36</v>
      </c>
      <c r="Y2453">
        <f>1-261-775-8835</f>
        <v>-9870</v>
      </c>
    </row>
    <row r="2454" spans="1:25" x14ac:dyDescent="0.35">
      <c r="A2454">
        <v>41.345660542782603</v>
      </c>
      <c r="B2454">
        <v>-116.741697543169</v>
      </c>
      <c r="C2454" t="s">
        <v>34</v>
      </c>
      <c r="D2454">
        <v>34.999073937046198</v>
      </c>
      <c r="E2454">
        <v>1</v>
      </c>
      <c r="F2454">
        <v>2996</v>
      </c>
      <c r="G2454">
        <v>2</v>
      </c>
      <c r="H2454">
        <v>1</v>
      </c>
      <c r="I2454">
        <v>2007</v>
      </c>
      <c r="J2454">
        <v>0</v>
      </c>
      <c r="K2454">
        <v>0</v>
      </c>
      <c r="L2454">
        <v>0</v>
      </c>
      <c r="M2454">
        <v>9</v>
      </c>
      <c r="N2454" t="s">
        <v>37</v>
      </c>
      <c r="O2454" t="s">
        <v>30</v>
      </c>
      <c r="P2454">
        <v>12.019338647139801</v>
      </c>
      <c r="Q2454">
        <v>2.0627766158233198</v>
      </c>
      <c r="R2454">
        <v>9.88234506058898</v>
      </c>
      <c r="S2454">
        <v>165</v>
      </c>
      <c r="T2454">
        <v>79</v>
      </c>
      <c r="U2454">
        <v>660.185350339092</v>
      </c>
      <c r="V2454">
        <v>3.0040053404539299E-3</v>
      </c>
      <c r="W2454">
        <v>2132920.9252042398</v>
      </c>
      <c r="X2454" t="s">
        <v>38</v>
      </c>
      <c r="Y2454">
        <f>1-643-702-2461</f>
        <v>-3805</v>
      </c>
    </row>
    <row r="2455" spans="1:25" x14ac:dyDescent="0.35">
      <c r="A2455">
        <v>39.569803302689103</v>
      </c>
      <c r="B2455">
        <v>-116.99193839021</v>
      </c>
      <c r="C2455" t="s">
        <v>25</v>
      </c>
      <c r="D2455">
        <v>48.177970122892198</v>
      </c>
      <c r="E2455">
        <v>2</v>
      </c>
      <c r="F2455">
        <v>3593</v>
      </c>
      <c r="G2455">
        <v>3</v>
      </c>
      <c r="H2455">
        <v>1</v>
      </c>
      <c r="I2455">
        <v>1976</v>
      </c>
      <c r="J2455">
        <v>0</v>
      </c>
      <c r="K2455">
        <v>0</v>
      </c>
      <c r="L2455">
        <v>0</v>
      </c>
      <c r="M2455">
        <v>14</v>
      </c>
      <c r="N2455" t="s">
        <v>37</v>
      </c>
      <c r="O2455" t="s">
        <v>30</v>
      </c>
      <c r="P2455">
        <v>12.5265418397004</v>
      </c>
      <c r="Q2455">
        <v>1.1566344792146901</v>
      </c>
      <c r="R2455">
        <v>3.2141070825612199</v>
      </c>
      <c r="S2455">
        <v>115</v>
      </c>
      <c r="T2455">
        <v>43</v>
      </c>
      <c r="U2455">
        <v>281.59731028011902</v>
      </c>
      <c r="V2455">
        <v>3.8964653492902799E-3</v>
      </c>
      <c r="W2455">
        <v>1273527.3348874699</v>
      </c>
      <c r="X2455" t="s">
        <v>43</v>
      </c>
      <c r="Y2455">
        <f>1-828-842-1973</f>
        <v>-3642</v>
      </c>
    </row>
    <row r="2456" spans="1:25" x14ac:dyDescent="0.35">
      <c r="A2456">
        <v>38.6378821181831</v>
      </c>
      <c r="B2456">
        <v>-123.25031180315599</v>
      </c>
      <c r="C2456" t="s">
        <v>29</v>
      </c>
      <c r="D2456">
        <v>4.9268358898504898</v>
      </c>
      <c r="E2456">
        <v>9</v>
      </c>
      <c r="F2456">
        <v>1437</v>
      </c>
      <c r="G2456">
        <v>1</v>
      </c>
      <c r="H2456">
        <v>3</v>
      </c>
      <c r="I2456">
        <v>2014</v>
      </c>
      <c r="J2456">
        <v>1</v>
      </c>
      <c r="K2456">
        <v>1</v>
      </c>
      <c r="L2456">
        <v>0</v>
      </c>
      <c r="M2456">
        <v>5</v>
      </c>
      <c r="N2456" t="s">
        <v>37</v>
      </c>
      <c r="O2456" t="s">
        <v>30</v>
      </c>
      <c r="P2456">
        <v>8.5253358631217697</v>
      </c>
      <c r="Q2456">
        <v>1.81134504215181</v>
      </c>
      <c r="R2456">
        <v>6.1825746121800496</v>
      </c>
      <c r="S2456">
        <v>156</v>
      </c>
      <c r="T2456">
        <v>24</v>
      </c>
      <c r="U2456">
        <v>334.61056790013401</v>
      </c>
      <c r="V2456">
        <v>3.4794711203897E-3</v>
      </c>
      <c r="W2456">
        <v>777522.98043257603</v>
      </c>
      <c r="X2456" t="s">
        <v>36</v>
      </c>
      <c r="Y2456">
        <f>1-860-770-1431</f>
        <v>-3060</v>
      </c>
    </row>
    <row r="2457" spans="1:25" x14ac:dyDescent="0.35">
      <c r="A2457">
        <v>36.727917009466701</v>
      </c>
      <c r="B2457">
        <v>-120.67691473775299</v>
      </c>
      <c r="C2457" t="s">
        <v>29</v>
      </c>
      <c r="D2457">
        <v>6.1260649772634199</v>
      </c>
      <c r="E2457">
        <v>2</v>
      </c>
      <c r="F2457">
        <v>1804</v>
      </c>
      <c r="G2457">
        <v>1</v>
      </c>
      <c r="H2457">
        <v>2</v>
      </c>
      <c r="I2457">
        <v>1982</v>
      </c>
      <c r="J2457">
        <v>0</v>
      </c>
      <c r="K2457">
        <v>0</v>
      </c>
      <c r="L2457">
        <v>1</v>
      </c>
      <c r="M2457">
        <v>5</v>
      </c>
      <c r="N2457" t="s">
        <v>37</v>
      </c>
      <c r="O2457" t="s">
        <v>32</v>
      </c>
      <c r="P2457">
        <v>13.6511354077806</v>
      </c>
      <c r="Q2457">
        <v>0.55558859372880698</v>
      </c>
      <c r="R2457">
        <v>0.91119157173212695</v>
      </c>
      <c r="S2457">
        <v>181</v>
      </c>
      <c r="T2457">
        <v>46</v>
      </c>
      <c r="U2457">
        <v>576.60373527414401</v>
      </c>
      <c r="V2457">
        <v>2.7716186252771599E-3</v>
      </c>
      <c r="W2457">
        <v>1169800.27499071</v>
      </c>
      <c r="X2457" t="s">
        <v>43</v>
      </c>
      <c r="Y2457">
        <f>1-970-589-9188</f>
        <v>-10746</v>
      </c>
    </row>
    <row r="2458" spans="1:25" x14ac:dyDescent="0.35">
      <c r="A2458">
        <v>33.234075154276397</v>
      </c>
      <c r="B2458">
        <v>-116.888523840093</v>
      </c>
      <c r="C2458" t="s">
        <v>34</v>
      </c>
      <c r="D2458">
        <v>16.7850625350694</v>
      </c>
      <c r="E2458">
        <v>7</v>
      </c>
      <c r="F2458">
        <v>2184</v>
      </c>
      <c r="G2458">
        <v>1</v>
      </c>
      <c r="H2458">
        <v>2</v>
      </c>
      <c r="I2458">
        <v>2007</v>
      </c>
      <c r="J2458">
        <v>1</v>
      </c>
      <c r="K2458">
        <v>1</v>
      </c>
      <c r="L2458">
        <v>1</v>
      </c>
      <c r="M2458">
        <v>13</v>
      </c>
      <c r="N2458" t="s">
        <v>41</v>
      </c>
      <c r="O2458" t="s">
        <v>30</v>
      </c>
      <c r="P2458">
        <v>4.1341460857367798</v>
      </c>
      <c r="Q2458">
        <v>1.62398572185364</v>
      </c>
      <c r="R2458">
        <v>9.9783380743092192</v>
      </c>
      <c r="S2458">
        <v>181</v>
      </c>
      <c r="T2458">
        <v>64</v>
      </c>
      <c r="U2458">
        <v>768.59706668985496</v>
      </c>
      <c r="V2458">
        <v>5.9523809523809503E-3</v>
      </c>
      <c r="W2458">
        <v>1881671.1521210801</v>
      </c>
      <c r="X2458" t="s">
        <v>33</v>
      </c>
      <c r="Y2458">
        <f>1-749-155-8637</f>
        <v>-9540</v>
      </c>
    </row>
    <row r="2459" spans="1:25" x14ac:dyDescent="0.35">
      <c r="A2459">
        <v>38.485857182700002</v>
      </c>
      <c r="B2459">
        <v>-115.346002363377</v>
      </c>
      <c r="C2459" t="s">
        <v>25</v>
      </c>
      <c r="D2459">
        <v>28.780312163865499</v>
      </c>
      <c r="E2459">
        <v>5</v>
      </c>
      <c r="F2459">
        <v>3578</v>
      </c>
      <c r="G2459">
        <v>1</v>
      </c>
      <c r="H2459">
        <v>3</v>
      </c>
      <c r="I2459">
        <v>1953</v>
      </c>
      <c r="J2459">
        <v>0</v>
      </c>
      <c r="K2459">
        <v>0</v>
      </c>
      <c r="L2459">
        <v>1</v>
      </c>
      <c r="M2459">
        <v>7</v>
      </c>
      <c r="N2459" t="s">
        <v>35</v>
      </c>
      <c r="O2459" t="s">
        <v>30</v>
      </c>
      <c r="P2459">
        <v>14.971438424209801</v>
      </c>
      <c r="Q2459">
        <v>0.69134394838450797</v>
      </c>
      <c r="R2459">
        <v>0.60413909433625601</v>
      </c>
      <c r="S2459">
        <v>51</v>
      </c>
      <c r="T2459">
        <v>36</v>
      </c>
      <c r="U2459">
        <v>389.417131640261</v>
      </c>
      <c r="V2459">
        <v>1.95640022358859E-3</v>
      </c>
      <c r="W2459">
        <v>1516725.6632127</v>
      </c>
      <c r="X2459" t="s">
        <v>31</v>
      </c>
      <c r="Y2459">
        <f>1-841-892-9949</f>
        <v>-11681</v>
      </c>
    </row>
    <row r="2460" spans="1:25" x14ac:dyDescent="0.35">
      <c r="A2460">
        <v>35.4031436712622</v>
      </c>
      <c r="B2460">
        <v>-118.461741643316</v>
      </c>
      <c r="C2460" t="s">
        <v>29</v>
      </c>
      <c r="D2460">
        <v>17.241537454837999</v>
      </c>
      <c r="E2460">
        <v>3</v>
      </c>
      <c r="F2460">
        <v>1447</v>
      </c>
      <c r="G2460">
        <v>4</v>
      </c>
      <c r="H2460">
        <v>2</v>
      </c>
      <c r="I2460">
        <v>1972</v>
      </c>
      <c r="J2460">
        <v>0</v>
      </c>
      <c r="K2460">
        <v>1</v>
      </c>
      <c r="L2460">
        <v>0</v>
      </c>
      <c r="M2460">
        <v>3</v>
      </c>
      <c r="N2460" t="s">
        <v>37</v>
      </c>
      <c r="O2460" t="s">
        <v>32</v>
      </c>
      <c r="P2460">
        <v>4.9034149098718096</v>
      </c>
      <c r="Q2460">
        <v>1.35570490439337</v>
      </c>
      <c r="R2460">
        <v>3.2873158817399801</v>
      </c>
      <c r="S2460">
        <v>193</v>
      </c>
      <c r="T2460">
        <v>67</v>
      </c>
      <c r="U2460">
        <v>505.17773364963699</v>
      </c>
      <c r="V2460">
        <v>2.0732550103662699E-3</v>
      </c>
      <c r="W2460">
        <v>932382.70073783002</v>
      </c>
      <c r="X2460" t="s">
        <v>31</v>
      </c>
      <c r="Y2460">
        <f>1-570-297-3787</f>
        <v>-4653</v>
      </c>
    </row>
    <row r="2461" spans="1:25" x14ac:dyDescent="0.35">
      <c r="A2461">
        <v>35.332182022182998</v>
      </c>
      <c r="B2461">
        <v>-115.15807291961799</v>
      </c>
      <c r="C2461" t="s">
        <v>25</v>
      </c>
      <c r="D2461">
        <v>30.340445444315499</v>
      </c>
      <c r="E2461">
        <v>7</v>
      </c>
      <c r="F2461">
        <v>2020</v>
      </c>
      <c r="G2461">
        <v>2</v>
      </c>
      <c r="H2461">
        <v>1</v>
      </c>
      <c r="I2461">
        <v>2015</v>
      </c>
      <c r="J2461">
        <v>1</v>
      </c>
      <c r="K2461">
        <v>0</v>
      </c>
      <c r="L2461">
        <v>0</v>
      </c>
      <c r="M2461">
        <v>12</v>
      </c>
      <c r="N2461" t="s">
        <v>26</v>
      </c>
      <c r="O2461" t="s">
        <v>32</v>
      </c>
      <c r="P2461">
        <v>9.1343584840505105</v>
      </c>
      <c r="Q2461">
        <v>1.7184566822238101</v>
      </c>
      <c r="R2461">
        <v>3.8109351908455098</v>
      </c>
      <c r="S2461">
        <v>149</v>
      </c>
      <c r="T2461">
        <v>56</v>
      </c>
      <c r="U2461">
        <v>808.04451314590199</v>
      </c>
      <c r="V2461">
        <v>5.9405940594059398E-3</v>
      </c>
      <c r="W2461">
        <v>1847032.38364825</v>
      </c>
      <c r="X2461" t="s">
        <v>43</v>
      </c>
      <c r="Y2461">
        <f>1-985-282-7424</f>
        <v>-8690</v>
      </c>
    </row>
    <row r="2462" spans="1:25" x14ac:dyDescent="0.35">
      <c r="A2462">
        <v>39.518561128052603</v>
      </c>
      <c r="B2462">
        <v>-124.174740510916</v>
      </c>
      <c r="C2462" t="s">
        <v>25</v>
      </c>
      <c r="D2462">
        <v>9.9133212948236498</v>
      </c>
      <c r="E2462">
        <v>6</v>
      </c>
      <c r="F2462">
        <v>3784</v>
      </c>
      <c r="G2462">
        <v>3</v>
      </c>
      <c r="H2462">
        <v>2</v>
      </c>
      <c r="I2462">
        <v>2009</v>
      </c>
      <c r="J2462">
        <v>1</v>
      </c>
      <c r="K2462">
        <v>1</v>
      </c>
      <c r="L2462">
        <v>0</v>
      </c>
      <c r="M2462">
        <v>8</v>
      </c>
      <c r="N2462" t="s">
        <v>26</v>
      </c>
      <c r="O2462" t="s">
        <v>30</v>
      </c>
      <c r="P2462">
        <v>14.7083024424194</v>
      </c>
      <c r="Q2462">
        <v>0.56438346638241299</v>
      </c>
      <c r="R2462">
        <v>2.1384921770538199</v>
      </c>
      <c r="S2462">
        <v>79</v>
      </c>
      <c r="T2462">
        <v>21</v>
      </c>
      <c r="U2462">
        <v>956.52071310057204</v>
      </c>
      <c r="V2462">
        <v>2.1141649048625698E-3</v>
      </c>
      <c r="W2462">
        <v>4121078.4051088602</v>
      </c>
      <c r="X2462" t="s">
        <v>38</v>
      </c>
      <c r="Y2462">
        <f>1-516-458-2162</f>
        <v>-3135</v>
      </c>
    </row>
    <row r="2463" spans="1:25" x14ac:dyDescent="0.35">
      <c r="A2463">
        <v>34.038504681796901</v>
      </c>
      <c r="B2463">
        <v>-122.69530808735099</v>
      </c>
      <c r="C2463" t="s">
        <v>34</v>
      </c>
      <c r="D2463">
        <v>13.9805164579627</v>
      </c>
      <c r="E2463">
        <v>4</v>
      </c>
      <c r="F2463">
        <v>4428</v>
      </c>
      <c r="G2463">
        <v>3</v>
      </c>
      <c r="H2463">
        <v>1</v>
      </c>
      <c r="I2463">
        <v>1967</v>
      </c>
      <c r="J2463">
        <v>1</v>
      </c>
      <c r="K2463">
        <v>1</v>
      </c>
      <c r="L2463">
        <v>0</v>
      </c>
      <c r="M2463">
        <v>5</v>
      </c>
      <c r="N2463" t="s">
        <v>35</v>
      </c>
      <c r="O2463" t="s">
        <v>32</v>
      </c>
      <c r="P2463">
        <v>7.2403218087492398</v>
      </c>
      <c r="Q2463">
        <v>1.93175043943091</v>
      </c>
      <c r="R2463">
        <v>1.52714621361703</v>
      </c>
      <c r="S2463">
        <v>116</v>
      </c>
      <c r="T2463">
        <v>23</v>
      </c>
      <c r="U2463">
        <v>588.63266526251005</v>
      </c>
      <c r="V2463">
        <v>1.12917795844625E-3</v>
      </c>
      <c r="W2463">
        <v>2880572.70367894</v>
      </c>
      <c r="X2463" t="s">
        <v>44</v>
      </c>
      <c r="Y2463">
        <f>1-289-225-3618</f>
        <v>-4131</v>
      </c>
    </row>
    <row r="2464" spans="1:25" x14ac:dyDescent="0.35">
      <c r="A2464">
        <v>35.606970322370302</v>
      </c>
      <c r="B2464">
        <v>-116.084134849972</v>
      </c>
      <c r="C2464" t="s">
        <v>29</v>
      </c>
      <c r="D2464">
        <v>39.811509461739298</v>
      </c>
      <c r="E2464">
        <v>7</v>
      </c>
      <c r="F2464">
        <v>594</v>
      </c>
      <c r="G2464">
        <v>4</v>
      </c>
      <c r="H2464">
        <v>2</v>
      </c>
      <c r="I2464">
        <v>1967</v>
      </c>
      <c r="J2464">
        <v>1</v>
      </c>
      <c r="K2464">
        <v>0</v>
      </c>
      <c r="L2464">
        <v>1</v>
      </c>
      <c r="M2464">
        <v>3</v>
      </c>
      <c r="N2464" t="s">
        <v>41</v>
      </c>
      <c r="O2464" t="s">
        <v>30</v>
      </c>
      <c r="P2464">
        <v>12.8715240207988</v>
      </c>
      <c r="Q2464">
        <v>1.66612240047967</v>
      </c>
      <c r="R2464">
        <v>5.8431947789105001</v>
      </c>
      <c r="S2464">
        <v>67</v>
      </c>
      <c r="T2464">
        <v>41</v>
      </c>
      <c r="U2464">
        <v>505.87001937830797</v>
      </c>
      <c r="V2464">
        <v>5.0505050505050501E-3</v>
      </c>
      <c r="W2464">
        <v>713327.93633402605</v>
      </c>
      <c r="X2464" t="s">
        <v>31</v>
      </c>
      <c r="Y2464">
        <f>1-300-114-9576</f>
        <v>-9989</v>
      </c>
    </row>
    <row r="2465" spans="1:25" x14ac:dyDescent="0.35">
      <c r="A2465">
        <v>38.543683126827098</v>
      </c>
      <c r="B2465">
        <v>-122.95184772357599</v>
      </c>
      <c r="C2465" t="s">
        <v>25</v>
      </c>
      <c r="D2465">
        <v>24.1160329483303</v>
      </c>
      <c r="E2465">
        <v>5</v>
      </c>
      <c r="F2465">
        <v>1878</v>
      </c>
      <c r="G2465">
        <v>2</v>
      </c>
      <c r="H2465">
        <v>3</v>
      </c>
      <c r="I2465">
        <v>1989</v>
      </c>
      <c r="J2465">
        <v>0</v>
      </c>
      <c r="K2465">
        <v>1</v>
      </c>
      <c r="L2465">
        <v>1</v>
      </c>
      <c r="M2465">
        <v>3</v>
      </c>
      <c r="N2465" t="s">
        <v>26</v>
      </c>
      <c r="O2465" t="s">
        <v>27</v>
      </c>
      <c r="P2465">
        <v>13.3751333683624</v>
      </c>
      <c r="Q2465">
        <v>1.7266670461007601</v>
      </c>
      <c r="R2465">
        <v>6.2790443298624004</v>
      </c>
      <c r="S2465">
        <v>192</v>
      </c>
      <c r="T2465">
        <v>78</v>
      </c>
      <c r="U2465">
        <v>273.655800773941</v>
      </c>
      <c r="V2465">
        <v>1.5974440894568601E-3</v>
      </c>
      <c r="W2465">
        <v>916661.032784543</v>
      </c>
      <c r="X2465" t="s">
        <v>43</v>
      </c>
      <c r="Y2465">
        <f>1-268-974-5162</f>
        <v>-6403</v>
      </c>
    </row>
    <row r="2466" spans="1:25" x14ac:dyDescent="0.35">
      <c r="A2466">
        <v>32.755331571320397</v>
      </c>
      <c r="B2466">
        <v>-114.04290950011401</v>
      </c>
      <c r="C2466" t="s">
        <v>25</v>
      </c>
      <c r="D2466">
        <v>5.2960997828872696</v>
      </c>
      <c r="E2466">
        <v>4</v>
      </c>
      <c r="F2466">
        <v>1642</v>
      </c>
      <c r="G2466">
        <v>2</v>
      </c>
      <c r="H2466">
        <v>2</v>
      </c>
      <c r="I2466">
        <v>1986</v>
      </c>
      <c r="J2466">
        <v>1</v>
      </c>
      <c r="K2466">
        <v>0</v>
      </c>
      <c r="L2466">
        <v>0</v>
      </c>
      <c r="M2466">
        <v>2</v>
      </c>
      <c r="N2466" t="s">
        <v>26</v>
      </c>
      <c r="O2466" t="s">
        <v>27</v>
      </c>
      <c r="P2466">
        <v>12.735773682963099</v>
      </c>
      <c r="Q2466">
        <v>2.1535942995901198</v>
      </c>
      <c r="R2466">
        <v>7.77088114524327</v>
      </c>
      <c r="S2466">
        <v>51</v>
      </c>
      <c r="T2466">
        <v>75</v>
      </c>
      <c r="U2466">
        <v>767.85560080910705</v>
      </c>
      <c r="V2466">
        <v>1.2180267965895199E-3</v>
      </c>
      <c r="W2466">
        <v>1593134.90574732</v>
      </c>
      <c r="X2466" t="s">
        <v>42</v>
      </c>
      <c r="Y2466">
        <f>1-296-611-9527</f>
        <v>-10433</v>
      </c>
    </row>
    <row r="2467" spans="1:25" x14ac:dyDescent="0.35">
      <c r="A2467">
        <v>39.261280934942697</v>
      </c>
      <c r="B2467">
        <v>-119.426264638616</v>
      </c>
      <c r="C2467" t="s">
        <v>25</v>
      </c>
      <c r="D2467">
        <v>26.5620334115407</v>
      </c>
      <c r="E2467">
        <v>4</v>
      </c>
      <c r="F2467">
        <v>3390</v>
      </c>
      <c r="G2467">
        <v>2</v>
      </c>
      <c r="H2467">
        <v>3</v>
      </c>
      <c r="I2467">
        <v>2004</v>
      </c>
      <c r="J2467">
        <v>1</v>
      </c>
      <c r="K2467">
        <v>0</v>
      </c>
      <c r="L2467">
        <v>0</v>
      </c>
      <c r="M2467">
        <v>13</v>
      </c>
      <c r="N2467" t="s">
        <v>35</v>
      </c>
      <c r="O2467" t="s">
        <v>32</v>
      </c>
      <c r="P2467">
        <v>12.5229403966618</v>
      </c>
      <c r="Q2467">
        <v>0.72421885136684006</v>
      </c>
      <c r="R2467">
        <v>8.42992779413356</v>
      </c>
      <c r="S2467">
        <v>6</v>
      </c>
      <c r="T2467">
        <v>34</v>
      </c>
      <c r="U2467">
        <v>235.17633035244199</v>
      </c>
      <c r="V2467">
        <v>3.8348082595870202E-3</v>
      </c>
      <c r="W2467">
        <v>1011897.56007776</v>
      </c>
      <c r="X2467" t="s">
        <v>38</v>
      </c>
      <c r="Y2467">
        <f>1-828-190-5884</f>
        <v>-6901</v>
      </c>
    </row>
    <row r="2468" spans="1:25" x14ac:dyDescent="0.35">
      <c r="A2468">
        <v>35.204178595706203</v>
      </c>
      <c r="B2468">
        <v>-119.549009784566</v>
      </c>
      <c r="C2468" t="s">
        <v>25</v>
      </c>
      <c r="D2468">
        <v>37.993974941084801</v>
      </c>
      <c r="E2468">
        <v>3</v>
      </c>
      <c r="F2468">
        <v>2688</v>
      </c>
      <c r="G2468">
        <v>2</v>
      </c>
      <c r="H2468">
        <v>3</v>
      </c>
      <c r="I2468">
        <v>1956</v>
      </c>
      <c r="J2468">
        <v>1</v>
      </c>
      <c r="K2468">
        <v>0</v>
      </c>
      <c r="L2468">
        <v>1</v>
      </c>
      <c r="M2468">
        <v>9</v>
      </c>
      <c r="N2468" t="s">
        <v>37</v>
      </c>
      <c r="O2468" t="s">
        <v>27</v>
      </c>
      <c r="P2468">
        <v>12.7498132439774</v>
      </c>
      <c r="Q2468">
        <v>2.4164635591989998</v>
      </c>
      <c r="R2468">
        <v>4.3857213700993798</v>
      </c>
      <c r="S2468">
        <v>75</v>
      </c>
      <c r="T2468">
        <v>58</v>
      </c>
      <c r="U2468">
        <v>627.01571625356303</v>
      </c>
      <c r="V2468">
        <v>3.3482142857142799E-3</v>
      </c>
      <c r="W2468">
        <v>1945967.1296659</v>
      </c>
      <c r="X2468" t="s">
        <v>31</v>
      </c>
      <c r="Y2468">
        <f>1-711-688-9021</f>
        <v>-10419</v>
      </c>
    </row>
    <row r="2469" spans="1:25" x14ac:dyDescent="0.35">
      <c r="A2469">
        <v>37.4129816004845</v>
      </c>
      <c r="B2469">
        <v>-119.797054259525</v>
      </c>
      <c r="C2469" t="s">
        <v>29</v>
      </c>
      <c r="D2469">
        <v>29.423447646345402</v>
      </c>
      <c r="E2469">
        <v>5</v>
      </c>
      <c r="F2469">
        <v>1520</v>
      </c>
      <c r="G2469">
        <v>4</v>
      </c>
      <c r="H2469">
        <v>2</v>
      </c>
      <c r="I2469">
        <v>1974</v>
      </c>
      <c r="J2469">
        <v>0</v>
      </c>
      <c r="K2469">
        <v>0</v>
      </c>
      <c r="L2469">
        <v>0</v>
      </c>
      <c r="M2469">
        <v>11</v>
      </c>
      <c r="N2469" t="s">
        <v>37</v>
      </c>
      <c r="O2469" t="s">
        <v>27</v>
      </c>
      <c r="P2469">
        <v>4.92123329012691</v>
      </c>
      <c r="Q2469">
        <v>2.0723275567502801</v>
      </c>
      <c r="R2469">
        <v>0.10363251719248701</v>
      </c>
      <c r="S2469">
        <v>141</v>
      </c>
      <c r="T2469">
        <v>23</v>
      </c>
      <c r="U2469">
        <v>471.31825463139</v>
      </c>
      <c r="V2469">
        <v>7.23684210526315E-3</v>
      </c>
      <c r="W2469">
        <v>902906.28080712596</v>
      </c>
      <c r="X2469" t="s">
        <v>42</v>
      </c>
      <c r="Y2469">
        <f>1-578-718-1326</f>
        <v>-2621</v>
      </c>
    </row>
    <row r="2470" spans="1:25" x14ac:dyDescent="0.35">
      <c r="A2470">
        <v>37.441949831721303</v>
      </c>
      <c r="B2470">
        <v>-114.99749746413499</v>
      </c>
      <c r="C2470" t="s">
        <v>34</v>
      </c>
      <c r="D2470">
        <v>6.5406440378735402</v>
      </c>
      <c r="E2470">
        <v>9</v>
      </c>
      <c r="F2470">
        <v>2134</v>
      </c>
      <c r="G2470">
        <v>2</v>
      </c>
      <c r="H2470">
        <v>2</v>
      </c>
      <c r="I2470">
        <v>1966</v>
      </c>
      <c r="J2470">
        <v>1</v>
      </c>
      <c r="K2470">
        <v>1</v>
      </c>
      <c r="L2470">
        <v>0</v>
      </c>
      <c r="M2470">
        <v>14</v>
      </c>
      <c r="N2470" t="s">
        <v>35</v>
      </c>
      <c r="O2470" t="s">
        <v>27</v>
      </c>
      <c r="P2470">
        <v>3.0626798100029302</v>
      </c>
      <c r="Q2470">
        <v>1.3415234407521299</v>
      </c>
      <c r="R2470">
        <v>6.93136351823851</v>
      </c>
      <c r="S2470">
        <v>57</v>
      </c>
      <c r="T2470">
        <v>53</v>
      </c>
      <c r="U2470">
        <v>810.987428651811</v>
      </c>
      <c r="V2470">
        <v>6.5604498594189296E-3</v>
      </c>
      <c r="W2470">
        <v>1906710.2705772</v>
      </c>
      <c r="X2470" t="s">
        <v>40</v>
      </c>
      <c r="Y2470">
        <f>1-218-578-1123</f>
        <v>-1918</v>
      </c>
    </row>
    <row r="2471" spans="1:25" x14ac:dyDescent="0.35">
      <c r="A2471">
        <v>34.676627707848297</v>
      </c>
      <c r="B2471">
        <v>-122.052729548242</v>
      </c>
      <c r="C2471" t="s">
        <v>29</v>
      </c>
      <c r="D2471">
        <v>23.387863677753501</v>
      </c>
      <c r="E2471">
        <v>9</v>
      </c>
      <c r="F2471">
        <v>3258</v>
      </c>
      <c r="G2471">
        <v>5</v>
      </c>
      <c r="H2471">
        <v>1</v>
      </c>
      <c r="I2471">
        <v>1994</v>
      </c>
      <c r="J2471">
        <v>1</v>
      </c>
      <c r="K2471">
        <v>1</v>
      </c>
      <c r="L2471">
        <v>0</v>
      </c>
      <c r="M2471">
        <v>14</v>
      </c>
      <c r="N2471" t="s">
        <v>35</v>
      </c>
      <c r="O2471" t="s">
        <v>32</v>
      </c>
      <c r="P2471">
        <v>6.1748444225448003</v>
      </c>
      <c r="Q2471">
        <v>0.85876489940309997</v>
      </c>
      <c r="R2471">
        <v>7.61663729889991</v>
      </c>
      <c r="S2471">
        <v>135</v>
      </c>
      <c r="T2471">
        <v>38</v>
      </c>
      <c r="U2471">
        <v>530.41100726291404</v>
      </c>
      <c r="V2471">
        <v>4.2971147943523602E-3</v>
      </c>
      <c r="W2471">
        <v>2170799.0345454402</v>
      </c>
      <c r="X2471" t="s">
        <v>43</v>
      </c>
      <c r="Y2471">
        <f>1-390-392-6825</f>
        <v>-7606</v>
      </c>
    </row>
    <row r="2472" spans="1:25" x14ac:dyDescent="0.35">
      <c r="A2472">
        <v>34.563701398989103</v>
      </c>
      <c r="B2472">
        <v>-116.91184703832801</v>
      </c>
      <c r="C2472" t="s">
        <v>34</v>
      </c>
      <c r="D2472">
        <v>43.135249148551701</v>
      </c>
      <c r="E2472">
        <v>6</v>
      </c>
      <c r="F2472">
        <v>3314</v>
      </c>
      <c r="G2472">
        <v>4</v>
      </c>
      <c r="H2472">
        <v>1</v>
      </c>
      <c r="I2472">
        <v>1955</v>
      </c>
      <c r="J2472">
        <v>0</v>
      </c>
      <c r="K2472">
        <v>0</v>
      </c>
      <c r="L2472">
        <v>0</v>
      </c>
      <c r="M2472">
        <v>9</v>
      </c>
      <c r="N2472" t="s">
        <v>26</v>
      </c>
      <c r="O2472" t="s">
        <v>32</v>
      </c>
      <c r="P2472">
        <v>8.3779423180422405</v>
      </c>
      <c r="Q2472">
        <v>1.8606292543624301</v>
      </c>
      <c r="R2472">
        <v>1.7252060837519101</v>
      </c>
      <c r="S2472">
        <v>157</v>
      </c>
      <c r="T2472">
        <v>40</v>
      </c>
      <c r="U2472">
        <v>425.88858858094102</v>
      </c>
      <c r="V2472">
        <v>2.7157513578756698E-3</v>
      </c>
      <c r="W2472">
        <v>1572094.7894236599</v>
      </c>
      <c r="X2472" t="s">
        <v>33</v>
      </c>
      <c r="Y2472">
        <f>1-363-567-4204</f>
        <v>-5133</v>
      </c>
    </row>
    <row r="2473" spans="1:25" x14ac:dyDescent="0.35">
      <c r="A2473">
        <v>38.115454299352301</v>
      </c>
      <c r="B2473">
        <v>-121.55928528577</v>
      </c>
      <c r="C2473" t="s">
        <v>29</v>
      </c>
      <c r="D2473">
        <v>38.867265223313503</v>
      </c>
      <c r="E2473">
        <v>1</v>
      </c>
      <c r="F2473">
        <v>582</v>
      </c>
      <c r="G2473">
        <v>3</v>
      </c>
      <c r="H2473">
        <v>2</v>
      </c>
      <c r="I2473">
        <v>1968</v>
      </c>
      <c r="J2473">
        <v>1</v>
      </c>
      <c r="K2473">
        <v>0</v>
      </c>
      <c r="L2473">
        <v>1</v>
      </c>
      <c r="M2473">
        <v>8</v>
      </c>
      <c r="N2473" t="s">
        <v>35</v>
      </c>
      <c r="O2473" t="s">
        <v>32</v>
      </c>
      <c r="P2473">
        <v>10.465098797084</v>
      </c>
      <c r="Q2473">
        <v>1.2042633359613599</v>
      </c>
      <c r="R2473">
        <v>9.1411330822419696</v>
      </c>
      <c r="S2473">
        <v>47</v>
      </c>
      <c r="T2473">
        <v>76</v>
      </c>
      <c r="U2473">
        <v>769.87992401806196</v>
      </c>
      <c r="V2473">
        <v>1.37457044673539E-2</v>
      </c>
      <c r="W2473">
        <v>733469.62183246296</v>
      </c>
      <c r="X2473" t="s">
        <v>38</v>
      </c>
      <c r="Y2473">
        <f>1-507-107-5781</f>
        <v>-6394</v>
      </c>
    </row>
    <row r="2474" spans="1:25" x14ac:dyDescent="0.35">
      <c r="A2474">
        <v>33.957663286775599</v>
      </c>
      <c r="B2474">
        <v>-120.64645296219901</v>
      </c>
      <c r="C2474" t="s">
        <v>29</v>
      </c>
      <c r="D2474">
        <v>10.733416158231799</v>
      </c>
      <c r="E2474">
        <v>9</v>
      </c>
      <c r="F2474">
        <v>2561</v>
      </c>
      <c r="G2474">
        <v>5</v>
      </c>
      <c r="H2474">
        <v>3</v>
      </c>
      <c r="I2474">
        <v>1962</v>
      </c>
      <c r="J2474">
        <v>0</v>
      </c>
      <c r="K2474">
        <v>1</v>
      </c>
      <c r="L2474">
        <v>0</v>
      </c>
      <c r="M2474">
        <v>4</v>
      </c>
      <c r="N2474" t="s">
        <v>37</v>
      </c>
      <c r="O2474" t="s">
        <v>32</v>
      </c>
      <c r="P2474">
        <v>5.3778540312853496</v>
      </c>
      <c r="Q2474">
        <v>1.06865816162358</v>
      </c>
      <c r="R2474">
        <v>6.7164381830404096</v>
      </c>
      <c r="S2474">
        <v>33</v>
      </c>
      <c r="T2474">
        <v>58</v>
      </c>
      <c r="U2474">
        <v>209.96967929217001</v>
      </c>
      <c r="V2474">
        <v>1.56188988676298E-3</v>
      </c>
      <c r="W2474">
        <v>872757.69653391198</v>
      </c>
      <c r="X2474" t="s">
        <v>38</v>
      </c>
      <c r="Y2474">
        <f>1-611-939-3943</f>
        <v>-5492</v>
      </c>
    </row>
    <row r="2475" spans="1:25" x14ac:dyDescent="0.35">
      <c r="A2475">
        <v>33.635566425620198</v>
      </c>
      <c r="B2475">
        <v>-115.40779868720099</v>
      </c>
      <c r="C2475" t="s">
        <v>29</v>
      </c>
      <c r="D2475">
        <v>38.924791047066698</v>
      </c>
      <c r="E2475">
        <v>2</v>
      </c>
      <c r="F2475">
        <v>3209</v>
      </c>
      <c r="G2475">
        <v>1</v>
      </c>
      <c r="H2475">
        <v>3</v>
      </c>
      <c r="I2475">
        <v>1961</v>
      </c>
      <c r="J2475">
        <v>1</v>
      </c>
      <c r="K2475">
        <v>0</v>
      </c>
      <c r="L2475">
        <v>1</v>
      </c>
      <c r="M2475">
        <v>2</v>
      </c>
      <c r="N2475" t="s">
        <v>41</v>
      </c>
      <c r="O2475" t="s">
        <v>30</v>
      </c>
      <c r="P2475">
        <v>14.1810942983846</v>
      </c>
      <c r="Q2475">
        <v>1.6048646620962499</v>
      </c>
      <c r="R2475">
        <v>6.8533859011545104</v>
      </c>
      <c r="S2475">
        <v>69</v>
      </c>
      <c r="T2475">
        <v>73</v>
      </c>
      <c r="U2475">
        <v>253.83431873636999</v>
      </c>
      <c r="V2475">
        <v>6.2324711748208098E-4</v>
      </c>
      <c r="W2475">
        <v>1118658.65796955</v>
      </c>
      <c r="X2475" t="s">
        <v>42</v>
      </c>
      <c r="Y2475">
        <f>1-711-226-3402</f>
        <v>-4338</v>
      </c>
    </row>
    <row r="2476" spans="1:25" x14ac:dyDescent="0.35">
      <c r="A2476">
        <v>33.696400146527097</v>
      </c>
      <c r="B2476">
        <v>-123.941359806188</v>
      </c>
      <c r="C2476" t="s">
        <v>25</v>
      </c>
      <c r="D2476">
        <v>19.6943188824097</v>
      </c>
      <c r="E2476">
        <v>8</v>
      </c>
      <c r="F2476">
        <v>1082</v>
      </c>
      <c r="G2476">
        <v>5</v>
      </c>
      <c r="H2476">
        <v>3</v>
      </c>
      <c r="I2476">
        <v>1988</v>
      </c>
      <c r="J2476">
        <v>1</v>
      </c>
      <c r="K2476">
        <v>0</v>
      </c>
      <c r="L2476">
        <v>1</v>
      </c>
      <c r="M2476">
        <v>5</v>
      </c>
      <c r="N2476" t="s">
        <v>37</v>
      </c>
      <c r="O2476" t="s">
        <v>32</v>
      </c>
      <c r="P2476">
        <v>7.0404451417586396</v>
      </c>
      <c r="Q2476">
        <v>1.4030226318024299</v>
      </c>
      <c r="R2476">
        <v>3.6455779919284201</v>
      </c>
      <c r="S2476">
        <v>65</v>
      </c>
      <c r="T2476">
        <v>23</v>
      </c>
      <c r="U2476">
        <v>953.425907228813</v>
      </c>
      <c r="V2476">
        <v>4.6210720887245801E-3</v>
      </c>
      <c r="W2476">
        <v>1362081.5254651599</v>
      </c>
      <c r="X2476" t="s">
        <v>42</v>
      </c>
      <c r="Y2476">
        <f>1-922-116-5757</f>
        <v>-6794</v>
      </c>
    </row>
    <row r="2477" spans="1:25" x14ac:dyDescent="0.35">
      <c r="A2477">
        <v>33.282359895914503</v>
      </c>
      <c r="B2477">
        <v>-123.93495416700701</v>
      </c>
      <c r="C2477" t="s">
        <v>25</v>
      </c>
      <c r="D2477">
        <v>43.419115631340802</v>
      </c>
      <c r="E2477">
        <v>6</v>
      </c>
      <c r="F2477">
        <v>3624</v>
      </c>
      <c r="G2477">
        <v>4</v>
      </c>
      <c r="H2477">
        <v>1</v>
      </c>
      <c r="I2477">
        <v>2013</v>
      </c>
      <c r="J2477">
        <v>0</v>
      </c>
      <c r="K2477">
        <v>0</v>
      </c>
      <c r="L2477">
        <v>1</v>
      </c>
      <c r="M2477">
        <v>4</v>
      </c>
      <c r="N2477" t="s">
        <v>35</v>
      </c>
      <c r="O2477" t="s">
        <v>32</v>
      </c>
      <c r="P2477">
        <v>8.6647292770697195</v>
      </c>
      <c r="Q2477">
        <v>2.0560499662790499</v>
      </c>
      <c r="R2477">
        <v>4.8978893847375603E-2</v>
      </c>
      <c r="S2477">
        <v>169</v>
      </c>
      <c r="T2477">
        <v>23</v>
      </c>
      <c r="U2477">
        <v>290.69107032161003</v>
      </c>
      <c r="V2477">
        <v>1.10375275938189E-3</v>
      </c>
      <c r="W2477">
        <v>1476263.3091068801</v>
      </c>
      <c r="X2477" t="s">
        <v>43</v>
      </c>
      <c r="Y2477">
        <f>1-908-857-7954</f>
        <v>-9718</v>
      </c>
    </row>
    <row r="2478" spans="1:25" x14ac:dyDescent="0.35">
      <c r="A2478">
        <v>41.120704914601099</v>
      </c>
      <c r="B2478">
        <v>-114.559981893786</v>
      </c>
      <c r="C2478" t="s">
        <v>34</v>
      </c>
      <c r="D2478">
        <v>14.837422843726999</v>
      </c>
      <c r="E2478">
        <v>2</v>
      </c>
      <c r="F2478">
        <v>2165</v>
      </c>
      <c r="G2478">
        <v>1</v>
      </c>
      <c r="H2478">
        <v>2</v>
      </c>
      <c r="I2478">
        <v>1950</v>
      </c>
      <c r="J2478">
        <v>0</v>
      </c>
      <c r="K2478">
        <v>0</v>
      </c>
      <c r="L2478">
        <v>0</v>
      </c>
      <c r="M2478">
        <v>7</v>
      </c>
      <c r="N2478" t="s">
        <v>41</v>
      </c>
      <c r="O2478" t="s">
        <v>32</v>
      </c>
      <c r="P2478">
        <v>5.0645707872252501</v>
      </c>
      <c r="Q2478">
        <v>1.05320596006461</v>
      </c>
      <c r="R2478">
        <v>4.94520391825644</v>
      </c>
      <c r="S2478">
        <v>135</v>
      </c>
      <c r="T2478">
        <v>37</v>
      </c>
      <c r="U2478">
        <v>373.76512036806099</v>
      </c>
      <c r="V2478">
        <v>3.2332563510392601E-3</v>
      </c>
      <c r="W2478">
        <v>789379.772242059</v>
      </c>
      <c r="X2478" t="s">
        <v>39</v>
      </c>
      <c r="Y2478">
        <f>1-984-140-2261</f>
        <v>-3384</v>
      </c>
    </row>
    <row r="2479" spans="1:25" x14ac:dyDescent="0.35">
      <c r="A2479">
        <v>33.473392685423001</v>
      </c>
      <c r="B2479">
        <v>-118.67434260668399</v>
      </c>
      <c r="C2479" t="s">
        <v>25</v>
      </c>
      <c r="D2479">
        <v>30.570596435524699</v>
      </c>
      <c r="E2479">
        <v>4</v>
      </c>
      <c r="F2479">
        <v>2256</v>
      </c>
      <c r="G2479">
        <v>5</v>
      </c>
      <c r="H2479">
        <v>1</v>
      </c>
      <c r="I2479">
        <v>2019</v>
      </c>
      <c r="J2479">
        <v>1</v>
      </c>
      <c r="K2479">
        <v>1</v>
      </c>
      <c r="L2479">
        <v>1</v>
      </c>
      <c r="M2479">
        <v>5</v>
      </c>
      <c r="N2479" t="s">
        <v>26</v>
      </c>
      <c r="O2479" t="s">
        <v>32</v>
      </c>
      <c r="P2479">
        <v>5.1921966155016799</v>
      </c>
      <c r="Q2479">
        <v>1.49180934817424</v>
      </c>
      <c r="R2479">
        <v>5.1177892703390402</v>
      </c>
      <c r="S2479">
        <v>65</v>
      </c>
      <c r="T2479">
        <v>37</v>
      </c>
      <c r="U2479">
        <v>863.27852757452604</v>
      </c>
      <c r="V2479">
        <v>2.2163120567375801E-3</v>
      </c>
      <c r="W2479">
        <v>2382296.16694044</v>
      </c>
      <c r="X2479" t="s">
        <v>31</v>
      </c>
      <c r="Y2479">
        <f>1-790-797-5308</f>
        <v>-6894</v>
      </c>
    </row>
    <row r="2480" spans="1:25" x14ac:dyDescent="0.35">
      <c r="A2480">
        <v>35.733004882424801</v>
      </c>
      <c r="B2480">
        <v>-115.436518595325</v>
      </c>
      <c r="C2480" t="s">
        <v>29</v>
      </c>
      <c r="D2480">
        <v>26.341549874579499</v>
      </c>
      <c r="E2480">
        <v>5</v>
      </c>
      <c r="F2480">
        <v>1700</v>
      </c>
      <c r="G2480">
        <v>5</v>
      </c>
      <c r="H2480">
        <v>2</v>
      </c>
      <c r="I2480">
        <v>2013</v>
      </c>
      <c r="J2480">
        <v>1</v>
      </c>
      <c r="K2480">
        <v>1</v>
      </c>
      <c r="L2480">
        <v>1</v>
      </c>
      <c r="M2480">
        <v>12</v>
      </c>
      <c r="N2480" t="s">
        <v>26</v>
      </c>
      <c r="O2480" t="s">
        <v>30</v>
      </c>
      <c r="P2480">
        <v>6.2471545731537699</v>
      </c>
      <c r="Q2480">
        <v>2.4729632669450798</v>
      </c>
      <c r="R2480">
        <v>5.9933496514763496</v>
      </c>
      <c r="S2480">
        <v>45</v>
      </c>
      <c r="T2480">
        <v>22</v>
      </c>
      <c r="U2480">
        <v>239.884224544669</v>
      </c>
      <c r="V2480">
        <v>7.0588235294117598E-3</v>
      </c>
      <c r="W2480">
        <v>942286.76981281699</v>
      </c>
      <c r="X2480" t="s">
        <v>28</v>
      </c>
      <c r="Y2480">
        <f>1-215-660-9314</f>
        <v>-10188</v>
      </c>
    </row>
    <row r="2481" spans="1:25" x14ac:dyDescent="0.35">
      <c r="A2481">
        <v>39.582317650091902</v>
      </c>
      <c r="B2481">
        <v>-123.307324627824</v>
      </c>
      <c r="C2481" t="s">
        <v>29</v>
      </c>
      <c r="D2481">
        <v>37.622214771013702</v>
      </c>
      <c r="E2481">
        <v>6</v>
      </c>
      <c r="F2481">
        <v>1345</v>
      </c>
      <c r="G2481">
        <v>4</v>
      </c>
      <c r="H2481">
        <v>2</v>
      </c>
      <c r="I2481">
        <v>2021</v>
      </c>
      <c r="J2481">
        <v>0</v>
      </c>
      <c r="K2481">
        <v>1</v>
      </c>
      <c r="L2481">
        <v>0</v>
      </c>
      <c r="M2481">
        <v>4</v>
      </c>
      <c r="N2481" t="s">
        <v>26</v>
      </c>
      <c r="O2481" t="s">
        <v>32</v>
      </c>
      <c r="P2481">
        <v>4.1042610269344104</v>
      </c>
      <c r="Q2481">
        <v>1.8690862785731801</v>
      </c>
      <c r="R2481">
        <v>7.3251507070891702</v>
      </c>
      <c r="S2481">
        <v>105</v>
      </c>
      <c r="T2481">
        <v>56</v>
      </c>
      <c r="U2481">
        <v>889.54684366119602</v>
      </c>
      <c r="V2481">
        <v>2.9739776951672801E-3</v>
      </c>
      <c r="W2481">
        <v>1529072.5648807001</v>
      </c>
      <c r="X2481" t="s">
        <v>44</v>
      </c>
      <c r="Y2481">
        <f>1-428-721-6528</f>
        <v>-7676</v>
      </c>
    </row>
    <row r="2482" spans="1:25" x14ac:dyDescent="0.35">
      <c r="A2482">
        <v>36.3525275832096</v>
      </c>
      <c r="B2482">
        <v>-118.16255779583</v>
      </c>
      <c r="C2482" t="s">
        <v>25</v>
      </c>
      <c r="D2482">
        <v>14.531267812172899</v>
      </c>
      <c r="E2482">
        <v>6</v>
      </c>
      <c r="F2482">
        <v>2600</v>
      </c>
      <c r="G2482">
        <v>1</v>
      </c>
      <c r="H2482">
        <v>3</v>
      </c>
      <c r="I2482">
        <v>1958</v>
      </c>
      <c r="J2482">
        <v>0</v>
      </c>
      <c r="K2482">
        <v>1</v>
      </c>
      <c r="L2482">
        <v>1</v>
      </c>
      <c r="M2482">
        <v>14</v>
      </c>
      <c r="N2482" t="s">
        <v>26</v>
      </c>
      <c r="O2482" t="s">
        <v>27</v>
      </c>
      <c r="P2482">
        <v>13.270661283761299</v>
      </c>
      <c r="Q2482">
        <v>2.37629242207354</v>
      </c>
      <c r="R2482">
        <v>7.00523337886671</v>
      </c>
      <c r="S2482">
        <v>160</v>
      </c>
      <c r="T2482">
        <v>20</v>
      </c>
      <c r="U2482">
        <v>558.58398322854305</v>
      </c>
      <c r="V2482">
        <v>5.3846153846153801E-3</v>
      </c>
      <c r="W2482">
        <v>1614024.1525385301</v>
      </c>
      <c r="X2482" t="s">
        <v>33</v>
      </c>
      <c r="Y2482">
        <f>1-910-721-6140</f>
        <v>-7770</v>
      </c>
    </row>
    <row r="2483" spans="1:25" x14ac:dyDescent="0.35">
      <c r="A2483">
        <v>36.175992246251703</v>
      </c>
      <c r="B2483">
        <v>-117.45977591184401</v>
      </c>
      <c r="C2483" t="s">
        <v>29</v>
      </c>
      <c r="D2483">
        <v>45.631915863277399</v>
      </c>
      <c r="E2483">
        <v>5</v>
      </c>
      <c r="F2483">
        <v>3615</v>
      </c>
      <c r="G2483">
        <v>4</v>
      </c>
      <c r="H2483">
        <v>2</v>
      </c>
      <c r="I2483">
        <v>1965</v>
      </c>
      <c r="J2483">
        <v>0</v>
      </c>
      <c r="K2483">
        <v>0</v>
      </c>
      <c r="L2483">
        <v>1</v>
      </c>
      <c r="M2483">
        <v>9</v>
      </c>
      <c r="N2483" t="s">
        <v>26</v>
      </c>
      <c r="O2483" t="s">
        <v>27</v>
      </c>
      <c r="P2483">
        <v>5.7946946497523601</v>
      </c>
      <c r="Q2483">
        <v>1.16356600839129</v>
      </c>
      <c r="R2483">
        <v>8.9304261218695995</v>
      </c>
      <c r="S2483">
        <v>123</v>
      </c>
      <c r="T2483">
        <v>22</v>
      </c>
      <c r="U2483">
        <v>490.830538520017</v>
      </c>
      <c r="V2483">
        <v>2.48962655601659E-3</v>
      </c>
      <c r="W2483">
        <v>1912596.10330685</v>
      </c>
      <c r="X2483" t="s">
        <v>39</v>
      </c>
      <c r="Y2483">
        <f>1-843-422-1431</f>
        <v>-2695</v>
      </c>
    </row>
    <row r="2484" spans="1:25" x14ac:dyDescent="0.35">
      <c r="A2484">
        <v>41.393972865123999</v>
      </c>
      <c r="B2484">
        <v>-114.04689437251101</v>
      </c>
      <c r="C2484" t="s">
        <v>34</v>
      </c>
      <c r="D2484">
        <v>8.0427449253483303</v>
      </c>
      <c r="E2484">
        <v>9</v>
      </c>
      <c r="F2484">
        <v>1417</v>
      </c>
      <c r="G2484">
        <v>5</v>
      </c>
      <c r="H2484">
        <v>1</v>
      </c>
      <c r="I2484">
        <v>1953</v>
      </c>
      <c r="J2484">
        <v>1</v>
      </c>
      <c r="K2484">
        <v>1</v>
      </c>
      <c r="L2484">
        <v>0</v>
      </c>
      <c r="M2484">
        <v>5</v>
      </c>
      <c r="N2484" t="s">
        <v>37</v>
      </c>
      <c r="O2484" t="s">
        <v>27</v>
      </c>
      <c r="P2484">
        <v>12.2445866746025</v>
      </c>
      <c r="Q2484">
        <v>1.31755606294728</v>
      </c>
      <c r="R2484">
        <v>6.1393830265877698</v>
      </c>
      <c r="S2484">
        <v>30</v>
      </c>
      <c r="T2484">
        <v>40</v>
      </c>
      <c r="U2484">
        <v>219.64143615786901</v>
      </c>
      <c r="V2484">
        <v>3.5285815102328801E-3</v>
      </c>
      <c r="W2484">
        <v>765152.96710310096</v>
      </c>
      <c r="X2484" t="s">
        <v>36</v>
      </c>
      <c r="Y2484">
        <f>1-727-416-3013</f>
        <v>-4155</v>
      </c>
    </row>
    <row r="2485" spans="1:25" x14ac:dyDescent="0.35">
      <c r="A2485">
        <v>33.8440879708456</v>
      </c>
      <c r="B2485">
        <v>-114.607656381328</v>
      </c>
      <c r="C2485" t="s">
        <v>25</v>
      </c>
      <c r="D2485">
        <v>35.9902869854917</v>
      </c>
      <c r="E2485">
        <v>9</v>
      </c>
      <c r="F2485">
        <v>3951</v>
      </c>
      <c r="G2485">
        <v>3</v>
      </c>
      <c r="H2485">
        <v>2</v>
      </c>
      <c r="I2485">
        <v>1978</v>
      </c>
      <c r="J2485">
        <v>1</v>
      </c>
      <c r="K2485">
        <v>0</v>
      </c>
      <c r="L2485">
        <v>1</v>
      </c>
      <c r="M2485">
        <v>14</v>
      </c>
      <c r="N2485" t="s">
        <v>37</v>
      </c>
      <c r="O2485" t="s">
        <v>32</v>
      </c>
      <c r="P2485">
        <v>8.7113491726512997</v>
      </c>
      <c r="Q2485">
        <v>2.1492509811598999</v>
      </c>
      <c r="R2485">
        <v>3.5444406263930999</v>
      </c>
      <c r="S2485">
        <v>69</v>
      </c>
      <c r="T2485">
        <v>55</v>
      </c>
      <c r="U2485">
        <v>851.73274248357097</v>
      </c>
      <c r="V2485">
        <v>3.5434067324727901E-3</v>
      </c>
      <c r="W2485">
        <v>3691256.0819276799</v>
      </c>
      <c r="X2485" t="s">
        <v>40</v>
      </c>
      <c r="Y2485">
        <f>1-863-932-7022</f>
        <v>-8816</v>
      </c>
    </row>
    <row r="2486" spans="1:25" x14ac:dyDescent="0.35">
      <c r="A2486">
        <v>39.225597725142599</v>
      </c>
      <c r="B2486">
        <v>-121.67260024999101</v>
      </c>
      <c r="C2486" t="s">
        <v>34</v>
      </c>
      <c r="D2486">
        <v>9.4163129920589697</v>
      </c>
      <c r="E2486">
        <v>1</v>
      </c>
      <c r="F2486">
        <v>4991</v>
      </c>
      <c r="G2486">
        <v>3</v>
      </c>
      <c r="H2486">
        <v>2</v>
      </c>
      <c r="I2486">
        <v>1958</v>
      </c>
      <c r="J2486">
        <v>1</v>
      </c>
      <c r="K2486">
        <v>1</v>
      </c>
      <c r="L2486">
        <v>1</v>
      </c>
      <c r="M2486">
        <v>11</v>
      </c>
      <c r="N2486" t="s">
        <v>26</v>
      </c>
      <c r="O2486" t="s">
        <v>32</v>
      </c>
      <c r="P2486">
        <v>5.5206833759899299</v>
      </c>
      <c r="Q2486">
        <v>2.4973690032270199</v>
      </c>
      <c r="R2486">
        <v>6.7675070243974202</v>
      </c>
      <c r="S2486">
        <v>10</v>
      </c>
      <c r="T2486">
        <v>55</v>
      </c>
      <c r="U2486">
        <v>659.96908196537504</v>
      </c>
      <c r="V2486">
        <v>2.20396714085353E-3</v>
      </c>
      <c r="W2486">
        <v>3562772.3809151798</v>
      </c>
      <c r="X2486" t="s">
        <v>33</v>
      </c>
      <c r="Y2486">
        <f>1-406-254-7865</f>
        <v>-8524</v>
      </c>
    </row>
    <row r="2487" spans="1:25" x14ac:dyDescent="0.35">
      <c r="A2487">
        <v>41.961674090234197</v>
      </c>
      <c r="B2487">
        <v>-116.76234478457999</v>
      </c>
      <c r="C2487" t="s">
        <v>25</v>
      </c>
      <c r="D2487">
        <v>42.113256929665098</v>
      </c>
      <c r="E2487">
        <v>5</v>
      </c>
      <c r="F2487">
        <v>729</v>
      </c>
      <c r="G2487">
        <v>2</v>
      </c>
      <c r="H2487">
        <v>3</v>
      </c>
      <c r="I2487">
        <v>2010</v>
      </c>
      <c r="J2487">
        <v>1</v>
      </c>
      <c r="K2487">
        <v>0</v>
      </c>
      <c r="L2487">
        <v>0</v>
      </c>
      <c r="M2487">
        <v>8</v>
      </c>
      <c r="N2487" t="s">
        <v>37</v>
      </c>
      <c r="O2487" t="s">
        <v>27</v>
      </c>
      <c r="P2487">
        <v>11.6066902324123</v>
      </c>
      <c r="Q2487">
        <v>1.13618826767271</v>
      </c>
      <c r="R2487">
        <v>3.0345800050588898</v>
      </c>
      <c r="S2487">
        <v>171</v>
      </c>
      <c r="T2487">
        <v>53</v>
      </c>
      <c r="U2487">
        <v>935.19551568040004</v>
      </c>
      <c r="V2487">
        <v>1.0973936899862801E-2</v>
      </c>
      <c r="W2487">
        <v>988645.61150266498</v>
      </c>
      <c r="X2487" t="s">
        <v>39</v>
      </c>
      <c r="Y2487">
        <f>1-693-231-3926</f>
        <v>-4849</v>
      </c>
    </row>
    <row r="2488" spans="1:25" x14ac:dyDescent="0.35">
      <c r="A2488">
        <v>37.474991589422999</v>
      </c>
      <c r="B2488">
        <v>-121.773752124637</v>
      </c>
      <c r="C2488" t="s">
        <v>34</v>
      </c>
      <c r="D2488">
        <v>41.866289566747902</v>
      </c>
      <c r="E2488">
        <v>4</v>
      </c>
      <c r="F2488">
        <v>3059</v>
      </c>
      <c r="G2488">
        <v>2</v>
      </c>
      <c r="H2488">
        <v>1</v>
      </c>
      <c r="I2488">
        <v>2002</v>
      </c>
      <c r="J2488">
        <v>0</v>
      </c>
      <c r="K2488">
        <v>1</v>
      </c>
      <c r="L2488">
        <v>0</v>
      </c>
      <c r="M2488">
        <v>13</v>
      </c>
      <c r="N2488" t="s">
        <v>26</v>
      </c>
      <c r="O2488" t="s">
        <v>30</v>
      </c>
      <c r="P2488">
        <v>10.866133898472601</v>
      </c>
      <c r="Q2488">
        <v>1.5841839454573099</v>
      </c>
      <c r="R2488">
        <v>0.27854118123884702</v>
      </c>
      <c r="S2488">
        <v>58</v>
      </c>
      <c r="T2488">
        <v>61</v>
      </c>
      <c r="U2488">
        <v>429.15330336465098</v>
      </c>
      <c r="V2488">
        <v>4.2497548218372004E-3</v>
      </c>
      <c r="W2488">
        <v>1627955.31416869</v>
      </c>
      <c r="X2488" t="s">
        <v>42</v>
      </c>
      <c r="Y2488">
        <f>1-557-767-2832</f>
        <v>-4155</v>
      </c>
    </row>
    <row r="2489" spans="1:25" x14ac:dyDescent="0.35">
      <c r="A2489">
        <v>34.7980458931371</v>
      </c>
      <c r="B2489">
        <v>-122.86361694161999</v>
      </c>
      <c r="C2489" t="s">
        <v>29</v>
      </c>
      <c r="D2489">
        <v>3.6047665347829199</v>
      </c>
      <c r="E2489">
        <v>5</v>
      </c>
      <c r="F2489">
        <v>3160</v>
      </c>
      <c r="G2489">
        <v>3</v>
      </c>
      <c r="H2489">
        <v>2</v>
      </c>
      <c r="I2489">
        <v>2001</v>
      </c>
      <c r="J2489">
        <v>1</v>
      </c>
      <c r="K2489">
        <v>1</v>
      </c>
      <c r="L2489">
        <v>0</v>
      </c>
      <c r="M2489">
        <v>7</v>
      </c>
      <c r="N2489" t="s">
        <v>37</v>
      </c>
      <c r="O2489" t="s">
        <v>32</v>
      </c>
      <c r="P2489">
        <v>11.3863396590303</v>
      </c>
      <c r="Q2489">
        <v>1.1747276686015</v>
      </c>
      <c r="R2489">
        <v>9.9959289050032503</v>
      </c>
      <c r="S2489">
        <v>178</v>
      </c>
      <c r="T2489">
        <v>43</v>
      </c>
      <c r="U2489">
        <v>716.22149830644605</v>
      </c>
      <c r="V2489">
        <v>2.2151898734177199E-3</v>
      </c>
      <c r="W2489">
        <v>2649153.60473513</v>
      </c>
      <c r="X2489" t="s">
        <v>43</v>
      </c>
      <c r="Y2489">
        <f>1-281-560-9354</f>
        <v>-10194</v>
      </c>
    </row>
    <row r="2490" spans="1:25" x14ac:dyDescent="0.35">
      <c r="A2490">
        <v>35.575417480234798</v>
      </c>
      <c r="B2490">
        <v>-122.276952495182</v>
      </c>
      <c r="C2490" t="s">
        <v>25</v>
      </c>
      <c r="D2490">
        <v>6.3669070552554796</v>
      </c>
      <c r="E2490">
        <v>0</v>
      </c>
      <c r="F2490">
        <v>3119</v>
      </c>
      <c r="G2490">
        <v>5</v>
      </c>
      <c r="H2490">
        <v>2</v>
      </c>
      <c r="I2490">
        <v>1979</v>
      </c>
      <c r="J2490">
        <v>0</v>
      </c>
      <c r="K2490">
        <v>1</v>
      </c>
      <c r="L2490">
        <v>0</v>
      </c>
      <c r="M2490">
        <v>14</v>
      </c>
      <c r="N2490" t="s">
        <v>35</v>
      </c>
      <c r="O2490" t="s">
        <v>30</v>
      </c>
      <c r="P2490">
        <v>4.3273349717003704</v>
      </c>
      <c r="Q2490">
        <v>1.4121106359979301</v>
      </c>
      <c r="R2490">
        <v>0.75929315164809696</v>
      </c>
      <c r="S2490">
        <v>112</v>
      </c>
      <c r="T2490">
        <v>64</v>
      </c>
      <c r="U2490">
        <v>672.83817194766698</v>
      </c>
      <c r="V2490">
        <v>4.4886181468419299E-3</v>
      </c>
      <c r="W2490">
        <v>2496204.6115208999</v>
      </c>
      <c r="X2490" t="s">
        <v>40</v>
      </c>
      <c r="Y2490">
        <f>1-957-995-3294</f>
        <v>-5245</v>
      </c>
    </row>
    <row r="2491" spans="1:25" x14ac:dyDescent="0.35">
      <c r="A2491">
        <v>33.216846251808597</v>
      </c>
      <c r="B2491">
        <v>-115.306924991842</v>
      </c>
      <c r="C2491" t="s">
        <v>34</v>
      </c>
      <c r="D2491">
        <v>18.4986138012978</v>
      </c>
      <c r="E2491">
        <v>5</v>
      </c>
      <c r="F2491">
        <v>1514</v>
      </c>
      <c r="G2491">
        <v>1</v>
      </c>
      <c r="H2491">
        <v>2</v>
      </c>
      <c r="I2491">
        <v>2004</v>
      </c>
      <c r="J2491">
        <v>0</v>
      </c>
      <c r="K2491">
        <v>0</v>
      </c>
      <c r="L2491">
        <v>1</v>
      </c>
      <c r="M2491">
        <v>14</v>
      </c>
      <c r="N2491" t="s">
        <v>35</v>
      </c>
      <c r="O2491" t="s">
        <v>27</v>
      </c>
      <c r="P2491">
        <v>5.3567973687416499</v>
      </c>
      <c r="Q2491">
        <v>1.16205516678794</v>
      </c>
      <c r="R2491">
        <v>2.4791561852984101</v>
      </c>
      <c r="S2491">
        <v>2</v>
      </c>
      <c r="T2491">
        <v>60</v>
      </c>
      <c r="U2491">
        <v>685.80795718552201</v>
      </c>
      <c r="V2491">
        <v>9.2470277410832205E-3</v>
      </c>
      <c r="W2491">
        <v>1220948.8636696199</v>
      </c>
      <c r="X2491" t="s">
        <v>33</v>
      </c>
      <c r="Y2491">
        <f>1-250-296-9707</f>
        <v>-10252</v>
      </c>
    </row>
    <row r="2492" spans="1:25" x14ac:dyDescent="0.35">
      <c r="A2492">
        <v>38.962415529621197</v>
      </c>
      <c r="B2492">
        <v>-115.330294329794</v>
      </c>
      <c r="C2492" t="s">
        <v>29</v>
      </c>
      <c r="D2492">
        <v>10.699920475876599</v>
      </c>
      <c r="E2492">
        <v>2</v>
      </c>
      <c r="F2492">
        <v>3335</v>
      </c>
      <c r="G2492">
        <v>5</v>
      </c>
      <c r="H2492">
        <v>2</v>
      </c>
      <c r="I2492">
        <v>2014</v>
      </c>
      <c r="J2492">
        <v>1</v>
      </c>
      <c r="K2492">
        <v>1</v>
      </c>
      <c r="L2492">
        <v>0</v>
      </c>
      <c r="M2492">
        <v>13</v>
      </c>
      <c r="N2492" t="s">
        <v>35</v>
      </c>
      <c r="O2492" t="s">
        <v>30</v>
      </c>
      <c r="P2492">
        <v>11.786226001795599</v>
      </c>
      <c r="Q2492">
        <v>1.01765254066543</v>
      </c>
      <c r="R2492">
        <v>2.5167066784523802</v>
      </c>
      <c r="S2492">
        <v>33</v>
      </c>
      <c r="T2492">
        <v>51</v>
      </c>
      <c r="U2492">
        <v>936.40022605897298</v>
      </c>
      <c r="V2492">
        <v>3.8980509745127402E-3</v>
      </c>
      <c r="W2492">
        <v>3681334.8546028598</v>
      </c>
      <c r="X2492" t="s">
        <v>40</v>
      </c>
      <c r="Y2492">
        <f>1-453-757-6157</f>
        <v>-7366</v>
      </c>
    </row>
    <row r="2493" spans="1:25" x14ac:dyDescent="0.35">
      <c r="A2493">
        <v>35.259189502904903</v>
      </c>
      <c r="B2493">
        <v>-120.34852147319999</v>
      </c>
      <c r="C2493" t="s">
        <v>25</v>
      </c>
      <c r="D2493">
        <v>6.5385446783657697</v>
      </c>
      <c r="E2493">
        <v>4</v>
      </c>
      <c r="F2493">
        <v>4989</v>
      </c>
      <c r="G2493">
        <v>2</v>
      </c>
      <c r="H2493">
        <v>2</v>
      </c>
      <c r="I2493">
        <v>2010</v>
      </c>
      <c r="J2493">
        <v>1</v>
      </c>
      <c r="K2493">
        <v>1</v>
      </c>
      <c r="L2493">
        <v>0</v>
      </c>
      <c r="M2493">
        <v>7</v>
      </c>
      <c r="N2493" t="s">
        <v>41</v>
      </c>
      <c r="O2493" t="s">
        <v>30</v>
      </c>
      <c r="P2493">
        <v>9.6524286928690195</v>
      </c>
      <c r="Q2493">
        <v>1.3869988688205099</v>
      </c>
      <c r="R2493">
        <v>4.1877915546572</v>
      </c>
      <c r="S2493">
        <v>37</v>
      </c>
      <c r="T2493">
        <v>52</v>
      </c>
      <c r="U2493">
        <v>687.638667715358</v>
      </c>
      <c r="V2493">
        <v>1.40308679094006E-3</v>
      </c>
      <c r="W2493">
        <v>3840880.3499757098</v>
      </c>
      <c r="X2493" t="s">
        <v>33</v>
      </c>
      <c r="Y2493">
        <f>1-611-419-6664</f>
        <v>-7693</v>
      </c>
    </row>
    <row r="2494" spans="1:25" x14ac:dyDescent="0.35">
      <c r="A2494">
        <v>35.8444112235847</v>
      </c>
      <c r="B2494">
        <v>-118.620162838195</v>
      </c>
      <c r="C2494" t="s">
        <v>29</v>
      </c>
      <c r="D2494">
        <v>8.5503858871680603</v>
      </c>
      <c r="E2494">
        <v>1</v>
      </c>
      <c r="F2494">
        <v>613</v>
      </c>
      <c r="G2494">
        <v>3</v>
      </c>
      <c r="H2494">
        <v>2</v>
      </c>
      <c r="I2494">
        <v>2003</v>
      </c>
      <c r="J2494">
        <v>0</v>
      </c>
      <c r="K2494">
        <v>0</v>
      </c>
      <c r="L2494">
        <v>0</v>
      </c>
      <c r="M2494">
        <v>5</v>
      </c>
      <c r="N2494" t="s">
        <v>26</v>
      </c>
      <c r="O2494" t="s">
        <v>30</v>
      </c>
      <c r="P2494">
        <v>4.9700092734931296</v>
      </c>
      <c r="Q2494">
        <v>1.88444536585696</v>
      </c>
      <c r="R2494">
        <v>4.5297993978470199</v>
      </c>
      <c r="S2494">
        <v>33</v>
      </c>
      <c r="T2494">
        <v>60</v>
      </c>
      <c r="U2494">
        <v>244.16436270972699</v>
      </c>
      <c r="V2494">
        <v>8.1566068515497494E-3</v>
      </c>
      <c r="W2494">
        <v>300126.555041602</v>
      </c>
      <c r="X2494" t="s">
        <v>28</v>
      </c>
      <c r="Y2494">
        <f>1-313-633-8880</f>
        <v>-9825</v>
      </c>
    </row>
    <row r="2495" spans="1:25" x14ac:dyDescent="0.35">
      <c r="A2495">
        <v>39.619345113594797</v>
      </c>
      <c r="B2495">
        <v>-119.250937897114</v>
      </c>
      <c r="C2495" t="s">
        <v>25</v>
      </c>
      <c r="D2495">
        <v>44.470087239298401</v>
      </c>
      <c r="E2495">
        <v>4</v>
      </c>
      <c r="F2495">
        <v>2406</v>
      </c>
      <c r="G2495">
        <v>5</v>
      </c>
      <c r="H2495">
        <v>2</v>
      </c>
      <c r="I2495">
        <v>2009</v>
      </c>
      <c r="J2495">
        <v>0</v>
      </c>
      <c r="K2495">
        <v>0</v>
      </c>
      <c r="L2495">
        <v>0</v>
      </c>
      <c r="M2495">
        <v>8</v>
      </c>
      <c r="N2495" t="s">
        <v>37</v>
      </c>
      <c r="O2495" t="s">
        <v>27</v>
      </c>
      <c r="P2495">
        <v>14.452799697316999</v>
      </c>
      <c r="Q2495">
        <v>1.1543606543089799</v>
      </c>
      <c r="R2495">
        <v>1.39079832360095</v>
      </c>
      <c r="S2495">
        <v>84</v>
      </c>
      <c r="T2495">
        <v>33</v>
      </c>
      <c r="U2495">
        <v>669.81614986644297</v>
      </c>
      <c r="V2495">
        <v>3.3250207813798802E-3</v>
      </c>
      <c r="W2495">
        <v>2017595.1908134201</v>
      </c>
      <c r="X2495" t="s">
        <v>28</v>
      </c>
      <c r="Y2495">
        <f>1-781-764-3758</f>
        <v>-5302</v>
      </c>
    </row>
    <row r="2496" spans="1:25" x14ac:dyDescent="0.35">
      <c r="A2496">
        <v>39.550166657165597</v>
      </c>
      <c r="B2496">
        <v>-121.876505290702</v>
      </c>
      <c r="C2496" t="s">
        <v>34</v>
      </c>
      <c r="D2496">
        <v>15.820240979648201</v>
      </c>
      <c r="E2496">
        <v>4</v>
      </c>
      <c r="F2496">
        <v>4318</v>
      </c>
      <c r="G2496">
        <v>1</v>
      </c>
      <c r="H2496">
        <v>1</v>
      </c>
      <c r="I2496">
        <v>1997</v>
      </c>
      <c r="J2496">
        <v>1</v>
      </c>
      <c r="K2496">
        <v>1</v>
      </c>
      <c r="L2496">
        <v>0</v>
      </c>
      <c r="M2496">
        <v>7</v>
      </c>
      <c r="N2496" t="s">
        <v>35</v>
      </c>
      <c r="O2496" t="s">
        <v>32</v>
      </c>
      <c r="P2496">
        <v>2.7810453776741499</v>
      </c>
      <c r="Q2496">
        <v>0.80997541977590803</v>
      </c>
      <c r="R2496">
        <v>6.6310509666598296</v>
      </c>
      <c r="S2496">
        <v>83</v>
      </c>
      <c r="T2496">
        <v>39</v>
      </c>
      <c r="U2496">
        <v>569.56244273186098</v>
      </c>
      <c r="V2496">
        <v>1.6211208893005999E-3</v>
      </c>
      <c r="W2496">
        <v>2650633.6604902898</v>
      </c>
      <c r="X2496" t="s">
        <v>33</v>
      </c>
      <c r="Y2496">
        <f>1-709-385-5260</f>
        <v>-6353</v>
      </c>
    </row>
    <row r="2497" spans="1:25" x14ac:dyDescent="0.35">
      <c r="A2497">
        <v>40.723069638423901</v>
      </c>
      <c r="B2497">
        <v>-115.77505613833399</v>
      </c>
      <c r="C2497" t="s">
        <v>34</v>
      </c>
      <c r="D2497">
        <v>18.373436659546002</v>
      </c>
      <c r="E2497">
        <v>5</v>
      </c>
      <c r="F2497">
        <v>3817</v>
      </c>
      <c r="G2497">
        <v>5</v>
      </c>
      <c r="H2497">
        <v>3</v>
      </c>
      <c r="I2497">
        <v>1971</v>
      </c>
      <c r="J2497">
        <v>0</v>
      </c>
      <c r="K2497">
        <v>1</v>
      </c>
      <c r="L2497">
        <v>0</v>
      </c>
      <c r="M2497">
        <v>13</v>
      </c>
      <c r="N2497" t="s">
        <v>26</v>
      </c>
      <c r="O2497" t="s">
        <v>27</v>
      </c>
      <c r="P2497">
        <v>7.8303409700059303</v>
      </c>
      <c r="Q2497">
        <v>2.3198274239871202</v>
      </c>
      <c r="R2497">
        <v>6.9418687473439</v>
      </c>
      <c r="S2497">
        <v>146</v>
      </c>
      <c r="T2497">
        <v>62</v>
      </c>
      <c r="U2497">
        <v>418.24448008520801</v>
      </c>
      <c r="V2497">
        <v>3.40581608593135E-3</v>
      </c>
      <c r="W2497">
        <v>1965904.99649475</v>
      </c>
      <c r="X2497" t="s">
        <v>33</v>
      </c>
      <c r="Y2497">
        <f>1-677-125-7848</f>
        <v>-8649</v>
      </c>
    </row>
    <row r="2498" spans="1:25" x14ac:dyDescent="0.35">
      <c r="A2498">
        <v>37.438558144177101</v>
      </c>
      <c r="B2498">
        <v>-121.722623436343</v>
      </c>
      <c r="C2498" t="s">
        <v>29</v>
      </c>
      <c r="D2498">
        <v>25.219074100125699</v>
      </c>
      <c r="E2498">
        <v>0</v>
      </c>
      <c r="F2498">
        <v>3214</v>
      </c>
      <c r="G2498">
        <v>2</v>
      </c>
      <c r="H2498">
        <v>1</v>
      </c>
      <c r="I2498">
        <v>1983</v>
      </c>
      <c r="J2498">
        <v>1</v>
      </c>
      <c r="K2498">
        <v>0</v>
      </c>
      <c r="L2498">
        <v>1</v>
      </c>
      <c r="M2498">
        <v>9</v>
      </c>
      <c r="N2498" t="s">
        <v>41</v>
      </c>
      <c r="O2498" t="s">
        <v>32</v>
      </c>
      <c r="P2498">
        <v>10.307293966361</v>
      </c>
      <c r="Q2498">
        <v>1.5208106402505299</v>
      </c>
      <c r="R2498">
        <v>3.6099234060282601</v>
      </c>
      <c r="S2498">
        <v>9</v>
      </c>
      <c r="T2498">
        <v>53</v>
      </c>
      <c r="U2498">
        <v>877.14113865903005</v>
      </c>
      <c r="V2498">
        <v>2.80024891101431E-3</v>
      </c>
      <c r="W2498">
        <v>3037867.39903297</v>
      </c>
      <c r="X2498" t="s">
        <v>42</v>
      </c>
      <c r="Y2498">
        <f>1-911-292-9531</f>
        <v>-10733</v>
      </c>
    </row>
    <row r="2499" spans="1:25" x14ac:dyDescent="0.35">
      <c r="A2499">
        <v>38.963676181575202</v>
      </c>
      <c r="B2499">
        <v>-123.499408706653</v>
      </c>
      <c r="C2499" t="s">
        <v>29</v>
      </c>
      <c r="D2499">
        <v>29.063246499226601</v>
      </c>
      <c r="E2499">
        <v>0</v>
      </c>
      <c r="F2499">
        <v>2722</v>
      </c>
      <c r="G2499">
        <v>1</v>
      </c>
      <c r="H2499">
        <v>1</v>
      </c>
      <c r="I2499">
        <v>1992</v>
      </c>
      <c r="J2499">
        <v>1</v>
      </c>
      <c r="K2499">
        <v>1</v>
      </c>
      <c r="L2499">
        <v>0</v>
      </c>
      <c r="M2499">
        <v>8</v>
      </c>
      <c r="N2499" t="s">
        <v>35</v>
      </c>
      <c r="O2499" t="s">
        <v>30</v>
      </c>
      <c r="P2499">
        <v>3.9284043456707498</v>
      </c>
      <c r="Q2499">
        <v>1.5963912136727101</v>
      </c>
      <c r="R2499">
        <v>5.0509412929378001</v>
      </c>
      <c r="S2499">
        <v>65</v>
      </c>
      <c r="T2499">
        <v>57</v>
      </c>
      <c r="U2499">
        <v>575.20462868414302</v>
      </c>
      <c r="V2499">
        <v>2.9390154298309999E-3</v>
      </c>
      <c r="W2499">
        <v>1683082.7416791599</v>
      </c>
      <c r="X2499" t="s">
        <v>28</v>
      </c>
      <c r="Y2499">
        <f>1-542-146-4070</f>
        <v>-4757</v>
      </c>
    </row>
    <row r="2500" spans="1:25" x14ac:dyDescent="0.35">
      <c r="A2500">
        <v>38.166745622344799</v>
      </c>
      <c r="B2500">
        <v>-120.458998471898</v>
      </c>
      <c r="C2500" t="s">
        <v>34</v>
      </c>
      <c r="D2500">
        <v>1.32437669461468</v>
      </c>
      <c r="E2500">
        <v>5</v>
      </c>
      <c r="F2500">
        <v>979</v>
      </c>
      <c r="G2500">
        <v>5</v>
      </c>
      <c r="H2500">
        <v>2</v>
      </c>
      <c r="I2500">
        <v>1999</v>
      </c>
      <c r="J2500">
        <v>0</v>
      </c>
      <c r="K2500">
        <v>0</v>
      </c>
      <c r="L2500">
        <v>0</v>
      </c>
      <c r="M2500">
        <v>8</v>
      </c>
      <c r="N2500" t="s">
        <v>37</v>
      </c>
      <c r="O2500" t="s">
        <v>30</v>
      </c>
      <c r="P2500">
        <v>11.3727391108266</v>
      </c>
      <c r="Q2500">
        <v>0.647438079123698</v>
      </c>
      <c r="R2500">
        <v>6.92096030864945</v>
      </c>
      <c r="S2500">
        <v>56</v>
      </c>
      <c r="T2500">
        <v>23</v>
      </c>
      <c r="U2500">
        <v>742.19170137102401</v>
      </c>
      <c r="V2500">
        <v>8.1716036772216498E-3</v>
      </c>
      <c r="W2500">
        <v>1022971.78087894</v>
      </c>
      <c r="X2500" t="s">
        <v>36</v>
      </c>
      <c r="Y2500">
        <f>1-224-905-1519</f>
        <v>-2647</v>
      </c>
    </row>
    <row r="2501" spans="1:25" x14ac:dyDescent="0.35">
      <c r="A2501">
        <v>35.773110066924403</v>
      </c>
      <c r="B2501">
        <v>-118.949638246109</v>
      </c>
      <c r="C2501" t="s">
        <v>25</v>
      </c>
      <c r="D2501">
        <v>25.938819878554099</v>
      </c>
      <c r="E2501">
        <v>6</v>
      </c>
      <c r="F2501">
        <v>3804</v>
      </c>
      <c r="G2501">
        <v>3</v>
      </c>
      <c r="H2501">
        <v>3</v>
      </c>
      <c r="I2501">
        <v>1962</v>
      </c>
      <c r="J2501">
        <v>0</v>
      </c>
      <c r="K2501">
        <v>0</v>
      </c>
      <c r="L2501">
        <v>1</v>
      </c>
      <c r="M2501">
        <v>13</v>
      </c>
      <c r="N2501" t="s">
        <v>35</v>
      </c>
      <c r="O2501" t="s">
        <v>30</v>
      </c>
      <c r="P2501">
        <v>10.6615541508093</v>
      </c>
      <c r="Q2501">
        <v>1.3715765063898999</v>
      </c>
      <c r="R2501">
        <v>0.88134515397942903</v>
      </c>
      <c r="S2501">
        <v>73</v>
      </c>
      <c r="T2501">
        <v>69</v>
      </c>
      <c r="U2501">
        <v>885.77752859355599</v>
      </c>
      <c r="V2501">
        <v>3.4174553101997802E-3</v>
      </c>
      <c r="W2501">
        <v>3642906.7434595199</v>
      </c>
      <c r="X2501" t="s">
        <v>39</v>
      </c>
      <c r="Y2501">
        <f>1-556-257-8279</f>
        <v>-9091</v>
      </c>
    </row>
    <row r="2502" spans="1:25" x14ac:dyDescent="0.35">
      <c r="A2502">
        <v>35.388964167650897</v>
      </c>
      <c r="B2502">
        <v>-114.169599858591</v>
      </c>
      <c r="C2502" t="s">
        <v>29</v>
      </c>
      <c r="D2502">
        <v>49.720351664655098</v>
      </c>
      <c r="E2502">
        <v>5</v>
      </c>
      <c r="F2502">
        <v>3209</v>
      </c>
      <c r="G2502">
        <v>4</v>
      </c>
      <c r="H2502">
        <v>2</v>
      </c>
      <c r="I2502">
        <v>2007</v>
      </c>
      <c r="J2502">
        <v>1</v>
      </c>
      <c r="K2502">
        <v>1</v>
      </c>
      <c r="L2502">
        <v>0</v>
      </c>
      <c r="M2502">
        <v>3</v>
      </c>
      <c r="N2502" t="s">
        <v>37</v>
      </c>
      <c r="O2502" t="s">
        <v>27</v>
      </c>
      <c r="P2502">
        <v>5.1012809208099501</v>
      </c>
      <c r="Q2502">
        <v>2.1622847251103101</v>
      </c>
      <c r="R2502">
        <v>1.4055325879340299</v>
      </c>
      <c r="S2502">
        <v>164</v>
      </c>
      <c r="T2502">
        <v>64</v>
      </c>
      <c r="U2502">
        <v>657.749353884941</v>
      </c>
      <c r="V2502">
        <v>9.3487067622312196E-4</v>
      </c>
      <c r="W2502">
        <v>2493576.8375380202</v>
      </c>
      <c r="X2502" t="s">
        <v>43</v>
      </c>
      <c r="Y2502">
        <f>1-779-161-2198</f>
        <v>-3137</v>
      </c>
    </row>
    <row r="2503" spans="1:25" x14ac:dyDescent="0.35">
      <c r="A2503">
        <v>33.319619858887201</v>
      </c>
      <c r="B2503">
        <v>-121.25937622732</v>
      </c>
      <c r="C2503" t="s">
        <v>25</v>
      </c>
      <c r="D2503">
        <v>47.938752439174401</v>
      </c>
      <c r="E2503">
        <v>7</v>
      </c>
      <c r="F2503">
        <v>3219</v>
      </c>
      <c r="G2503">
        <v>2</v>
      </c>
      <c r="H2503">
        <v>3</v>
      </c>
      <c r="I2503">
        <v>1999</v>
      </c>
      <c r="J2503">
        <v>0</v>
      </c>
      <c r="K2503">
        <v>1</v>
      </c>
      <c r="L2503">
        <v>0</v>
      </c>
      <c r="M2503">
        <v>11</v>
      </c>
      <c r="N2503" t="s">
        <v>35</v>
      </c>
      <c r="O2503" t="s">
        <v>32</v>
      </c>
      <c r="P2503">
        <v>4.4681114457058504</v>
      </c>
      <c r="Q2503">
        <v>1.4077484486046801</v>
      </c>
      <c r="R2503">
        <v>5.73250918791451</v>
      </c>
      <c r="S2503">
        <v>166</v>
      </c>
      <c r="T2503">
        <v>36</v>
      </c>
      <c r="U2503">
        <v>969.51248784114296</v>
      </c>
      <c r="V2503">
        <v>3.4172103137620302E-3</v>
      </c>
      <c r="W2503">
        <v>3287878.0193752898</v>
      </c>
      <c r="X2503" t="s">
        <v>31</v>
      </c>
      <c r="Y2503">
        <f>1-778-962-8026</f>
        <v>-9765</v>
      </c>
    </row>
    <row r="2504" spans="1:25" x14ac:dyDescent="0.35">
      <c r="A2504">
        <v>39.450300869405098</v>
      </c>
      <c r="B2504">
        <v>-122.737085929649</v>
      </c>
      <c r="C2504" t="s">
        <v>29</v>
      </c>
      <c r="D2504">
        <v>1.59406328172443</v>
      </c>
      <c r="E2504">
        <v>7</v>
      </c>
      <c r="F2504">
        <v>2866</v>
      </c>
      <c r="G2504">
        <v>2</v>
      </c>
      <c r="H2504">
        <v>3</v>
      </c>
      <c r="I2504">
        <v>1965</v>
      </c>
      <c r="J2504">
        <v>0</v>
      </c>
      <c r="K2504">
        <v>0</v>
      </c>
      <c r="L2504">
        <v>0</v>
      </c>
      <c r="M2504">
        <v>4</v>
      </c>
      <c r="N2504" t="s">
        <v>41</v>
      </c>
      <c r="O2504" t="s">
        <v>32</v>
      </c>
      <c r="P2504">
        <v>7.85482068875202</v>
      </c>
      <c r="Q2504">
        <v>1.75755417124476</v>
      </c>
      <c r="R2504">
        <v>4.6572283165917403</v>
      </c>
      <c r="S2504">
        <v>74</v>
      </c>
      <c r="T2504">
        <v>70</v>
      </c>
      <c r="U2504">
        <v>392.99977012829999</v>
      </c>
      <c r="V2504">
        <v>1.39567341242149E-3</v>
      </c>
      <c r="W2504">
        <v>1153030.7896203501</v>
      </c>
      <c r="X2504" t="s">
        <v>31</v>
      </c>
      <c r="Y2504">
        <f>1-580-295-8049</f>
        <v>-8923</v>
      </c>
    </row>
    <row r="2505" spans="1:25" x14ac:dyDescent="0.35">
      <c r="A2505">
        <v>35.059409991055297</v>
      </c>
      <c r="B2505">
        <v>-119.53947146671401</v>
      </c>
      <c r="C2505" t="s">
        <v>25</v>
      </c>
      <c r="D2505">
        <v>3.7344329484355798</v>
      </c>
      <c r="E2505">
        <v>9</v>
      </c>
      <c r="F2505">
        <v>2224</v>
      </c>
      <c r="G2505">
        <v>3</v>
      </c>
      <c r="H2505">
        <v>2</v>
      </c>
      <c r="I2505">
        <v>1978</v>
      </c>
      <c r="J2505">
        <v>1</v>
      </c>
      <c r="K2505">
        <v>1</v>
      </c>
      <c r="L2505">
        <v>0</v>
      </c>
      <c r="M2505">
        <v>4</v>
      </c>
      <c r="N2505" t="s">
        <v>41</v>
      </c>
      <c r="O2505" t="s">
        <v>32</v>
      </c>
      <c r="P2505">
        <v>8.2158613285740199</v>
      </c>
      <c r="Q2505">
        <v>0.58013334955791496</v>
      </c>
      <c r="R2505">
        <v>2.19986066091837</v>
      </c>
      <c r="S2505">
        <v>66</v>
      </c>
      <c r="T2505">
        <v>54</v>
      </c>
      <c r="U2505">
        <v>420.57438204733398</v>
      </c>
      <c r="V2505">
        <v>1.7985611510791301E-3</v>
      </c>
      <c r="W2505">
        <v>1296608.03191266</v>
      </c>
      <c r="X2505" t="s">
        <v>31</v>
      </c>
      <c r="Y2505">
        <f>1-345-900-4226</f>
        <v>-5470</v>
      </c>
    </row>
    <row r="2506" spans="1:25" x14ac:dyDescent="0.35">
      <c r="A2506">
        <v>37.250011430171703</v>
      </c>
      <c r="B2506">
        <v>-118.46642354424201</v>
      </c>
      <c r="C2506" t="s">
        <v>34</v>
      </c>
      <c r="D2506">
        <v>21.9542339696978</v>
      </c>
      <c r="E2506">
        <v>9</v>
      </c>
      <c r="F2506">
        <v>1705</v>
      </c>
      <c r="G2506">
        <v>3</v>
      </c>
      <c r="H2506">
        <v>2</v>
      </c>
      <c r="I2506">
        <v>1958</v>
      </c>
      <c r="J2506">
        <v>0</v>
      </c>
      <c r="K2506">
        <v>1</v>
      </c>
      <c r="L2506">
        <v>1</v>
      </c>
      <c r="M2506">
        <v>5</v>
      </c>
      <c r="N2506" t="s">
        <v>41</v>
      </c>
      <c r="O2506" t="s">
        <v>27</v>
      </c>
      <c r="P2506">
        <v>3.4622915061989898</v>
      </c>
      <c r="Q2506">
        <v>1.36182573199504</v>
      </c>
      <c r="R2506">
        <v>8.0819292069987796</v>
      </c>
      <c r="S2506">
        <v>130</v>
      </c>
      <c r="T2506">
        <v>40</v>
      </c>
      <c r="U2506">
        <v>460.94091157801802</v>
      </c>
      <c r="V2506">
        <v>2.9325513196480899E-3</v>
      </c>
      <c r="W2506">
        <v>980619.51048077701</v>
      </c>
      <c r="X2506" t="s">
        <v>33</v>
      </c>
      <c r="Y2506">
        <f>1-377-130-6371</f>
        <v>-6877</v>
      </c>
    </row>
    <row r="2507" spans="1:25" x14ac:dyDescent="0.35">
      <c r="A2507">
        <v>34.493506378167403</v>
      </c>
      <c r="B2507">
        <v>-123.22707377570801</v>
      </c>
      <c r="C2507" t="s">
        <v>25</v>
      </c>
      <c r="D2507">
        <v>27.9714643438103</v>
      </c>
      <c r="E2507">
        <v>7</v>
      </c>
      <c r="F2507">
        <v>4742</v>
      </c>
      <c r="G2507">
        <v>3</v>
      </c>
      <c r="H2507">
        <v>3</v>
      </c>
      <c r="I2507">
        <v>2003</v>
      </c>
      <c r="J2507">
        <v>0</v>
      </c>
      <c r="K2507">
        <v>1</v>
      </c>
      <c r="L2507">
        <v>1</v>
      </c>
      <c r="M2507">
        <v>5</v>
      </c>
      <c r="N2507" t="s">
        <v>35</v>
      </c>
      <c r="O2507" t="s">
        <v>32</v>
      </c>
      <c r="P2507">
        <v>14.821922305619101</v>
      </c>
      <c r="Q2507">
        <v>0.625277987565654</v>
      </c>
      <c r="R2507">
        <v>2.3430556357292201E-2</v>
      </c>
      <c r="S2507">
        <v>28</v>
      </c>
      <c r="T2507">
        <v>45</v>
      </c>
      <c r="U2507">
        <v>688.47896809712699</v>
      </c>
      <c r="V2507">
        <v>1.0544074230282501E-3</v>
      </c>
      <c r="W2507">
        <v>3815975.3087959001</v>
      </c>
      <c r="X2507" t="s">
        <v>31</v>
      </c>
      <c r="Y2507">
        <f>1-850-915-6441</f>
        <v>-8205</v>
      </c>
    </row>
    <row r="2508" spans="1:25" x14ac:dyDescent="0.35">
      <c r="A2508">
        <v>32.752502836622803</v>
      </c>
      <c r="B2508">
        <v>-121.338717527398</v>
      </c>
      <c r="C2508" t="s">
        <v>34</v>
      </c>
      <c r="D2508">
        <v>10.704226556980901</v>
      </c>
      <c r="E2508">
        <v>4</v>
      </c>
      <c r="F2508">
        <v>3408</v>
      </c>
      <c r="G2508">
        <v>4</v>
      </c>
      <c r="H2508">
        <v>1</v>
      </c>
      <c r="I2508">
        <v>2008</v>
      </c>
      <c r="J2508">
        <v>0</v>
      </c>
      <c r="K2508">
        <v>0</v>
      </c>
      <c r="L2508">
        <v>0</v>
      </c>
      <c r="M2508">
        <v>7</v>
      </c>
      <c r="N2508" t="s">
        <v>41</v>
      </c>
      <c r="O2508" t="s">
        <v>32</v>
      </c>
      <c r="P2508">
        <v>10.990996832361301</v>
      </c>
      <c r="Q2508">
        <v>2.38057272471378</v>
      </c>
      <c r="R2508">
        <v>9.4361883453765696</v>
      </c>
      <c r="S2508">
        <v>143</v>
      </c>
      <c r="T2508">
        <v>27</v>
      </c>
      <c r="U2508">
        <v>785.59573136560596</v>
      </c>
      <c r="V2508">
        <v>2.05399061032863E-3</v>
      </c>
      <c r="W2508">
        <v>2857070.28345596</v>
      </c>
      <c r="X2508" t="s">
        <v>28</v>
      </c>
      <c r="Y2508">
        <f>1-438-635-1210</f>
        <v>-2282</v>
      </c>
    </row>
    <row r="2509" spans="1:25" x14ac:dyDescent="0.35">
      <c r="A2509">
        <v>35.843128087539299</v>
      </c>
      <c r="B2509">
        <v>-120.164965766764</v>
      </c>
      <c r="C2509" t="s">
        <v>34</v>
      </c>
      <c r="D2509">
        <v>36.242411750688198</v>
      </c>
      <c r="E2509">
        <v>5</v>
      </c>
      <c r="F2509">
        <v>2049</v>
      </c>
      <c r="G2509">
        <v>2</v>
      </c>
      <c r="H2509">
        <v>2</v>
      </c>
      <c r="I2509">
        <v>1968</v>
      </c>
      <c r="J2509">
        <v>0</v>
      </c>
      <c r="K2509">
        <v>1</v>
      </c>
      <c r="L2509">
        <v>0</v>
      </c>
      <c r="M2509">
        <v>13</v>
      </c>
      <c r="N2509" t="s">
        <v>35</v>
      </c>
      <c r="O2509" t="s">
        <v>30</v>
      </c>
      <c r="P2509">
        <v>2.30519855796003</v>
      </c>
      <c r="Q2509">
        <v>1.6004505911053599</v>
      </c>
      <c r="R2509">
        <v>9.6746614471985701</v>
      </c>
      <c r="S2509">
        <v>150</v>
      </c>
      <c r="T2509">
        <v>68</v>
      </c>
      <c r="U2509">
        <v>830.08970180736901</v>
      </c>
      <c r="V2509">
        <v>6.3445583211322598E-3</v>
      </c>
      <c r="W2509">
        <v>1799832.7210242499</v>
      </c>
      <c r="X2509" t="s">
        <v>39</v>
      </c>
      <c r="Y2509">
        <f>1-758-953-2054</f>
        <v>-3764</v>
      </c>
    </row>
    <row r="2510" spans="1:25" x14ac:dyDescent="0.35">
      <c r="A2510">
        <v>41.454484768489998</v>
      </c>
      <c r="B2510">
        <v>-124.468723880092</v>
      </c>
      <c r="C2510" t="s">
        <v>34</v>
      </c>
      <c r="D2510">
        <v>35.112170101248303</v>
      </c>
      <c r="E2510">
        <v>4</v>
      </c>
      <c r="F2510">
        <v>1025</v>
      </c>
      <c r="G2510">
        <v>4</v>
      </c>
      <c r="H2510">
        <v>2</v>
      </c>
      <c r="I2510">
        <v>1952</v>
      </c>
      <c r="J2510">
        <v>0</v>
      </c>
      <c r="K2510">
        <v>0</v>
      </c>
      <c r="L2510">
        <v>1</v>
      </c>
      <c r="M2510">
        <v>2</v>
      </c>
      <c r="N2510" t="s">
        <v>26</v>
      </c>
      <c r="O2510" t="s">
        <v>32</v>
      </c>
      <c r="P2510">
        <v>12.120300288703501</v>
      </c>
      <c r="Q2510">
        <v>0.98135110287359595</v>
      </c>
      <c r="R2510">
        <v>9.6843999953987492</v>
      </c>
      <c r="S2510">
        <v>47</v>
      </c>
      <c r="T2510">
        <v>44</v>
      </c>
      <c r="U2510">
        <v>798.10292791225595</v>
      </c>
      <c r="V2510">
        <v>1.95121951219512E-3</v>
      </c>
      <c r="W2510">
        <v>1115120.9565927901</v>
      </c>
      <c r="X2510" t="s">
        <v>42</v>
      </c>
      <c r="Y2510">
        <f>1-961-789-9950</f>
        <v>-11699</v>
      </c>
    </row>
    <row r="2511" spans="1:25" x14ac:dyDescent="0.35">
      <c r="A2511">
        <v>34.168307028469997</v>
      </c>
      <c r="B2511">
        <v>-119.16816605384101</v>
      </c>
      <c r="C2511" t="s">
        <v>25</v>
      </c>
      <c r="D2511">
        <v>36.279225221368399</v>
      </c>
      <c r="E2511">
        <v>5</v>
      </c>
      <c r="F2511">
        <v>1314</v>
      </c>
      <c r="G2511">
        <v>3</v>
      </c>
      <c r="H2511">
        <v>2</v>
      </c>
      <c r="I2511">
        <v>2010</v>
      </c>
      <c r="J2511">
        <v>0</v>
      </c>
      <c r="K2511">
        <v>1</v>
      </c>
      <c r="L2511">
        <v>0</v>
      </c>
      <c r="M2511">
        <v>13</v>
      </c>
      <c r="N2511" t="s">
        <v>41</v>
      </c>
      <c r="O2511" t="s">
        <v>30</v>
      </c>
      <c r="P2511">
        <v>5.4375797876125596</v>
      </c>
      <c r="Q2511">
        <v>2.4778456746567401</v>
      </c>
      <c r="R2511">
        <v>9.34767573392846</v>
      </c>
      <c r="S2511">
        <v>43</v>
      </c>
      <c r="T2511">
        <v>72</v>
      </c>
      <c r="U2511">
        <v>265.71435521059198</v>
      </c>
      <c r="V2511">
        <v>9.8934550989345504E-3</v>
      </c>
      <c r="W2511">
        <v>550542.13077494805</v>
      </c>
      <c r="X2511" t="s">
        <v>38</v>
      </c>
      <c r="Y2511">
        <f>1-368-218-1512</f>
        <v>-2097</v>
      </c>
    </row>
    <row r="2512" spans="1:25" x14ac:dyDescent="0.35">
      <c r="A2512">
        <v>38.0047405517914</v>
      </c>
      <c r="B2512">
        <v>-124.45983911506499</v>
      </c>
      <c r="C2512" t="s">
        <v>25</v>
      </c>
      <c r="D2512">
        <v>7.0154977702222698</v>
      </c>
      <c r="E2512">
        <v>6</v>
      </c>
      <c r="F2512">
        <v>1599</v>
      </c>
      <c r="G2512">
        <v>3</v>
      </c>
      <c r="H2512">
        <v>1</v>
      </c>
      <c r="I2512">
        <v>2001</v>
      </c>
      <c r="J2512">
        <v>1</v>
      </c>
      <c r="K2512">
        <v>1</v>
      </c>
      <c r="L2512">
        <v>0</v>
      </c>
      <c r="M2512">
        <v>9</v>
      </c>
      <c r="N2512" t="s">
        <v>35</v>
      </c>
      <c r="O2512" t="s">
        <v>32</v>
      </c>
      <c r="P2512">
        <v>3.2673568799611301</v>
      </c>
      <c r="Q2512">
        <v>2.2307518110382198</v>
      </c>
      <c r="R2512">
        <v>0.31824740748339297</v>
      </c>
      <c r="S2512">
        <v>186</v>
      </c>
      <c r="T2512">
        <v>50</v>
      </c>
      <c r="U2512">
        <v>686.849609156822</v>
      </c>
      <c r="V2512">
        <v>5.6285178236397697E-3</v>
      </c>
      <c r="W2512">
        <v>1367965.0485086499</v>
      </c>
      <c r="X2512" t="s">
        <v>38</v>
      </c>
      <c r="Y2512">
        <f>1-319-825-2974</f>
        <v>-4117</v>
      </c>
    </row>
    <row r="2513" spans="1:25" x14ac:dyDescent="0.35">
      <c r="A2513">
        <v>33.0251005316901</v>
      </c>
      <c r="B2513">
        <v>-115.79836035064901</v>
      </c>
      <c r="C2513" t="s">
        <v>29</v>
      </c>
      <c r="D2513">
        <v>45.3145769587424</v>
      </c>
      <c r="E2513">
        <v>2</v>
      </c>
      <c r="F2513">
        <v>3250</v>
      </c>
      <c r="G2513">
        <v>2</v>
      </c>
      <c r="H2513">
        <v>2</v>
      </c>
      <c r="I2513">
        <v>1982</v>
      </c>
      <c r="J2513">
        <v>1</v>
      </c>
      <c r="K2513">
        <v>1</v>
      </c>
      <c r="L2513">
        <v>0</v>
      </c>
      <c r="M2513">
        <v>12</v>
      </c>
      <c r="N2513" t="s">
        <v>37</v>
      </c>
      <c r="O2513" t="s">
        <v>27</v>
      </c>
      <c r="P2513">
        <v>7.7011158323073099</v>
      </c>
      <c r="Q2513">
        <v>1.58343454149805</v>
      </c>
      <c r="R2513">
        <v>1.6504045558504901</v>
      </c>
      <c r="S2513">
        <v>44</v>
      </c>
      <c r="T2513">
        <v>53</v>
      </c>
      <c r="U2513">
        <v>573.96116965143403</v>
      </c>
      <c r="V2513">
        <v>3.69230769230769E-3</v>
      </c>
      <c r="W2513">
        <v>2216823.0728721102</v>
      </c>
      <c r="X2513" t="s">
        <v>44</v>
      </c>
      <c r="Y2513">
        <f>1-815-489-9439</f>
        <v>-10742</v>
      </c>
    </row>
    <row r="2514" spans="1:25" x14ac:dyDescent="0.35">
      <c r="A2514">
        <v>38.705291240260003</v>
      </c>
      <c r="B2514">
        <v>-120.066230531936</v>
      </c>
      <c r="C2514" t="s">
        <v>29</v>
      </c>
      <c r="D2514">
        <v>25.822678846577801</v>
      </c>
      <c r="E2514">
        <v>1</v>
      </c>
      <c r="F2514">
        <v>3245</v>
      </c>
      <c r="G2514">
        <v>5</v>
      </c>
      <c r="H2514">
        <v>2</v>
      </c>
      <c r="I2514">
        <v>1985</v>
      </c>
      <c r="J2514">
        <v>0</v>
      </c>
      <c r="K2514">
        <v>1</v>
      </c>
      <c r="L2514">
        <v>0</v>
      </c>
      <c r="M2514">
        <v>14</v>
      </c>
      <c r="N2514" t="s">
        <v>26</v>
      </c>
      <c r="O2514" t="s">
        <v>27</v>
      </c>
      <c r="P2514">
        <v>10.9745229816122</v>
      </c>
      <c r="Q2514">
        <v>1.7953946607546201</v>
      </c>
      <c r="R2514">
        <v>9.4809453527450405</v>
      </c>
      <c r="S2514">
        <v>26</v>
      </c>
      <c r="T2514">
        <v>79</v>
      </c>
      <c r="U2514">
        <v>227.312341884288</v>
      </c>
      <c r="V2514">
        <v>4.3143297380585496E-3</v>
      </c>
      <c r="W2514">
        <v>1178151.3674405599</v>
      </c>
      <c r="X2514" t="s">
        <v>39</v>
      </c>
      <c r="Y2514">
        <f>1-426-980-9040</f>
        <v>-10445</v>
      </c>
    </row>
    <row r="2515" spans="1:25" x14ac:dyDescent="0.35">
      <c r="A2515">
        <v>41.638958523220701</v>
      </c>
      <c r="B2515">
        <v>-120.564292520065</v>
      </c>
      <c r="C2515" t="s">
        <v>29</v>
      </c>
      <c r="D2515">
        <v>37.754940811543499</v>
      </c>
      <c r="E2515">
        <v>5</v>
      </c>
      <c r="F2515">
        <v>2208</v>
      </c>
      <c r="G2515">
        <v>2</v>
      </c>
      <c r="H2515">
        <v>1</v>
      </c>
      <c r="I2515">
        <v>2017</v>
      </c>
      <c r="J2515">
        <v>1</v>
      </c>
      <c r="K2515">
        <v>1</v>
      </c>
      <c r="L2515">
        <v>1</v>
      </c>
      <c r="M2515">
        <v>2</v>
      </c>
      <c r="N2515" t="s">
        <v>41</v>
      </c>
      <c r="O2515" t="s">
        <v>27</v>
      </c>
      <c r="P2515">
        <v>3.9775379298083502</v>
      </c>
      <c r="Q2515">
        <v>1.6364905062880899</v>
      </c>
      <c r="R2515">
        <v>8.0200739028348593</v>
      </c>
      <c r="S2515">
        <v>71</v>
      </c>
      <c r="T2515">
        <v>41</v>
      </c>
      <c r="U2515">
        <v>845.73823224523801</v>
      </c>
      <c r="V2515">
        <v>9.0579710144927505E-4</v>
      </c>
      <c r="W2515">
        <v>2205039.33323103</v>
      </c>
      <c r="X2515" t="s">
        <v>42</v>
      </c>
      <c r="Y2515">
        <f>1-884-926-7582</f>
        <v>-9391</v>
      </c>
    </row>
    <row r="2516" spans="1:25" x14ac:dyDescent="0.35">
      <c r="A2516">
        <v>36.610026085664501</v>
      </c>
      <c r="B2516">
        <v>-114.862361640169</v>
      </c>
      <c r="C2516" t="s">
        <v>34</v>
      </c>
      <c r="D2516">
        <v>43.161926671784599</v>
      </c>
      <c r="E2516">
        <v>1</v>
      </c>
      <c r="F2516">
        <v>748</v>
      </c>
      <c r="G2516">
        <v>4</v>
      </c>
      <c r="H2516">
        <v>1</v>
      </c>
      <c r="I2516">
        <v>1971</v>
      </c>
      <c r="J2516">
        <v>1</v>
      </c>
      <c r="K2516">
        <v>1</v>
      </c>
      <c r="L2516">
        <v>1</v>
      </c>
      <c r="M2516">
        <v>7</v>
      </c>
      <c r="N2516" t="s">
        <v>37</v>
      </c>
      <c r="O2516" t="s">
        <v>30</v>
      </c>
      <c r="P2516">
        <v>8.4776981197219996</v>
      </c>
      <c r="Q2516">
        <v>2.4724238309836202</v>
      </c>
      <c r="R2516">
        <v>4.0852124273257298</v>
      </c>
      <c r="S2516">
        <v>19</v>
      </c>
      <c r="T2516">
        <v>45</v>
      </c>
      <c r="U2516">
        <v>510.10637358127701</v>
      </c>
      <c r="V2516">
        <v>9.35828877005347E-3</v>
      </c>
      <c r="W2516">
        <v>743208.06462932297</v>
      </c>
      <c r="X2516" t="s">
        <v>39</v>
      </c>
      <c r="Y2516">
        <f>1-296-797-6145</f>
        <v>-7237</v>
      </c>
    </row>
    <row r="2517" spans="1:25" x14ac:dyDescent="0.35">
      <c r="A2517">
        <v>41.048216358866704</v>
      </c>
      <c r="B2517">
        <v>-116.333373110891</v>
      </c>
      <c r="C2517" t="s">
        <v>34</v>
      </c>
      <c r="D2517">
        <v>9.4823995381974608</v>
      </c>
      <c r="E2517">
        <v>5</v>
      </c>
      <c r="F2517">
        <v>1582</v>
      </c>
      <c r="G2517">
        <v>4</v>
      </c>
      <c r="H2517">
        <v>1</v>
      </c>
      <c r="I2517">
        <v>1993</v>
      </c>
      <c r="J2517">
        <v>0</v>
      </c>
      <c r="K2517">
        <v>1</v>
      </c>
      <c r="L2517">
        <v>0</v>
      </c>
      <c r="M2517">
        <v>7</v>
      </c>
      <c r="N2517" t="s">
        <v>35</v>
      </c>
      <c r="O2517" t="s">
        <v>30</v>
      </c>
      <c r="P2517">
        <v>4.8005682331566302</v>
      </c>
      <c r="Q2517">
        <v>0.88350767160648203</v>
      </c>
      <c r="R2517">
        <v>9.2317271833274805</v>
      </c>
      <c r="S2517">
        <v>32</v>
      </c>
      <c r="T2517">
        <v>24</v>
      </c>
      <c r="U2517">
        <v>203.51862638542801</v>
      </c>
      <c r="V2517">
        <v>4.4247787610619399E-3</v>
      </c>
      <c r="W2517">
        <v>597120.03071396798</v>
      </c>
      <c r="X2517" t="s">
        <v>44</v>
      </c>
      <c r="Y2517">
        <f>1-573-297-8216</f>
        <v>-9085</v>
      </c>
    </row>
    <row r="2518" spans="1:25" x14ac:dyDescent="0.35">
      <c r="A2518">
        <v>32.890324102166403</v>
      </c>
      <c r="B2518">
        <v>-116.969970832176</v>
      </c>
      <c r="C2518" t="s">
        <v>29</v>
      </c>
      <c r="D2518">
        <v>8.3741572357316905</v>
      </c>
      <c r="E2518">
        <v>8</v>
      </c>
      <c r="F2518">
        <v>3712</v>
      </c>
      <c r="G2518">
        <v>1</v>
      </c>
      <c r="H2518">
        <v>3</v>
      </c>
      <c r="I2518">
        <v>2016</v>
      </c>
      <c r="J2518">
        <v>0</v>
      </c>
      <c r="K2518">
        <v>0</v>
      </c>
      <c r="L2518">
        <v>1</v>
      </c>
      <c r="M2518">
        <v>13</v>
      </c>
      <c r="N2518" t="s">
        <v>35</v>
      </c>
      <c r="O2518" t="s">
        <v>27</v>
      </c>
      <c r="P2518">
        <v>8.6926279566157998</v>
      </c>
      <c r="Q2518">
        <v>0.58602093276645895</v>
      </c>
      <c r="R2518">
        <v>1.78445426562862</v>
      </c>
      <c r="S2518">
        <v>117</v>
      </c>
      <c r="T2518">
        <v>63</v>
      </c>
      <c r="U2518">
        <v>608.59019910246798</v>
      </c>
      <c r="V2518">
        <v>3.5021551724137901E-3</v>
      </c>
      <c r="W2518">
        <v>2467323.61991621</v>
      </c>
      <c r="X2518" t="s">
        <v>44</v>
      </c>
      <c r="Y2518">
        <f>1-532-410-3120</f>
        <v>-4061</v>
      </c>
    </row>
    <row r="2519" spans="1:25" x14ac:dyDescent="0.35">
      <c r="A2519">
        <v>33.8046515695059</v>
      </c>
      <c r="B2519">
        <v>-122.149822280736</v>
      </c>
      <c r="C2519" t="s">
        <v>25</v>
      </c>
      <c r="D2519">
        <v>18.4502026230711</v>
      </c>
      <c r="E2519">
        <v>7</v>
      </c>
      <c r="F2519">
        <v>2960</v>
      </c>
      <c r="G2519">
        <v>4</v>
      </c>
      <c r="H2519">
        <v>1</v>
      </c>
      <c r="I2519">
        <v>1983</v>
      </c>
      <c r="J2519">
        <v>0</v>
      </c>
      <c r="K2519">
        <v>0</v>
      </c>
      <c r="L2519">
        <v>0</v>
      </c>
      <c r="M2519">
        <v>2</v>
      </c>
      <c r="N2519" t="s">
        <v>37</v>
      </c>
      <c r="O2519" t="s">
        <v>27</v>
      </c>
      <c r="P2519">
        <v>8.1268353007635294</v>
      </c>
      <c r="Q2519">
        <v>2.3498064791331399</v>
      </c>
      <c r="R2519">
        <v>0.68723114603742097</v>
      </c>
      <c r="S2519">
        <v>172</v>
      </c>
      <c r="T2519">
        <v>74</v>
      </c>
      <c r="U2519">
        <v>416.43891513776202</v>
      </c>
      <c r="V2519">
        <v>6.7567567567567495E-4</v>
      </c>
      <c r="W2519">
        <v>1442318.7573959599</v>
      </c>
      <c r="X2519" t="s">
        <v>31</v>
      </c>
      <c r="Y2519">
        <f>1-637-455-8405</f>
        <v>-9496</v>
      </c>
    </row>
    <row r="2520" spans="1:25" x14ac:dyDescent="0.35">
      <c r="A2520">
        <v>41.507677700069401</v>
      </c>
      <c r="B2520">
        <v>-115.185505065943</v>
      </c>
      <c r="C2520" t="s">
        <v>25</v>
      </c>
      <c r="D2520">
        <v>31.2330853063036</v>
      </c>
      <c r="E2520">
        <v>5</v>
      </c>
      <c r="F2520">
        <v>4545</v>
      </c>
      <c r="G2520">
        <v>4</v>
      </c>
      <c r="H2520">
        <v>1</v>
      </c>
      <c r="I2520">
        <v>1994</v>
      </c>
      <c r="J2520">
        <v>0</v>
      </c>
      <c r="K2520">
        <v>1</v>
      </c>
      <c r="L2520">
        <v>1</v>
      </c>
      <c r="M2520">
        <v>7</v>
      </c>
      <c r="N2520" t="s">
        <v>26</v>
      </c>
      <c r="O2520" t="s">
        <v>27</v>
      </c>
      <c r="P2520">
        <v>7.2987196436912001</v>
      </c>
      <c r="Q2520">
        <v>1.20059561055716</v>
      </c>
      <c r="R2520">
        <v>4.5748471270705204</v>
      </c>
      <c r="S2520">
        <v>148</v>
      </c>
      <c r="T2520">
        <v>20</v>
      </c>
      <c r="U2520">
        <v>918.07014561466895</v>
      </c>
      <c r="V2520">
        <v>1.54015401540154E-3</v>
      </c>
      <c r="W2520">
        <v>4523257.0599085996</v>
      </c>
      <c r="X2520" t="s">
        <v>28</v>
      </c>
      <c r="Y2520">
        <f>1-651-809-3655</f>
        <v>-5114</v>
      </c>
    </row>
    <row r="2521" spans="1:25" x14ac:dyDescent="0.35">
      <c r="A2521">
        <v>39.110560107892901</v>
      </c>
      <c r="B2521">
        <v>-121.716326568805</v>
      </c>
      <c r="C2521" t="s">
        <v>34</v>
      </c>
      <c r="D2521">
        <v>32.698614667693803</v>
      </c>
      <c r="E2521">
        <v>5</v>
      </c>
      <c r="F2521">
        <v>2064</v>
      </c>
      <c r="G2521">
        <v>1</v>
      </c>
      <c r="H2521">
        <v>1</v>
      </c>
      <c r="I2521">
        <v>1999</v>
      </c>
      <c r="J2521">
        <v>0</v>
      </c>
      <c r="K2521">
        <v>1</v>
      </c>
      <c r="L2521">
        <v>1</v>
      </c>
      <c r="M2521">
        <v>5</v>
      </c>
      <c r="N2521" t="s">
        <v>26</v>
      </c>
      <c r="O2521" t="s">
        <v>30</v>
      </c>
      <c r="P2521">
        <v>7.8891764545260203</v>
      </c>
      <c r="Q2521">
        <v>1.4955291912686799</v>
      </c>
      <c r="R2521">
        <v>8.9105218169109097</v>
      </c>
      <c r="S2521">
        <v>46</v>
      </c>
      <c r="T2521">
        <v>39</v>
      </c>
      <c r="U2521">
        <v>245.636858329257</v>
      </c>
      <c r="V2521">
        <v>2.4224806201550301E-3</v>
      </c>
      <c r="W2521">
        <v>700452.19727844803</v>
      </c>
      <c r="X2521" t="s">
        <v>36</v>
      </c>
      <c r="Y2521">
        <f>1-711-411-2680</f>
        <v>-3801</v>
      </c>
    </row>
    <row r="2522" spans="1:25" x14ac:dyDescent="0.35">
      <c r="A2522">
        <v>40.766438116334797</v>
      </c>
      <c r="B2522">
        <v>-115.398170558347</v>
      </c>
      <c r="C2522" t="s">
        <v>25</v>
      </c>
      <c r="D2522">
        <v>24.757280978856901</v>
      </c>
      <c r="E2522">
        <v>5</v>
      </c>
      <c r="F2522">
        <v>4434</v>
      </c>
      <c r="G2522">
        <v>4</v>
      </c>
      <c r="H2522">
        <v>1</v>
      </c>
      <c r="I2522">
        <v>1972</v>
      </c>
      <c r="J2522">
        <v>1</v>
      </c>
      <c r="K2522">
        <v>0</v>
      </c>
      <c r="L2522">
        <v>0</v>
      </c>
      <c r="M2522">
        <v>2</v>
      </c>
      <c r="N2522" t="s">
        <v>26</v>
      </c>
      <c r="O2522" t="s">
        <v>32</v>
      </c>
      <c r="P2522">
        <v>5.1007023391991204</v>
      </c>
      <c r="Q2522">
        <v>2.4365277676354902</v>
      </c>
      <c r="R2522">
        <v>0.51942885192619004</v>
      </c>
      <c r="S2522">
        <v>60</v>
      </c>
      <c r="T2522">
        <v>67</v>
      </c>
      <c r="U2522">
        <v>584.00974555913604</v>
      </c>
      <c r="V2522">
        <v>4.5105999097880002E-4</v>
      </c>
      <c r="W2522">
        <v>2802342.0863930201</v>
      </c>
      <c r="X2522" t="s">
        <v>36</v>
      </c>
      <c r="Y2522">
        <f>1-759-914-5312</f>
        <v>-6984</v>
      </c>
    </row>
    <row r="2523" spans="1:25" x14ac:dyDescent="0.35">
      <c r="A2523">
        <v>35.688505206914797</v>
      </c>
      <c r="B2523">
        <v>-114.273517602868</v>
      </c>
      <c r="C2523" t="s">
        <v>29</v>
      </c>
      <c r="D2523">
        <v>39.685393315973499</v>
      </c>
      <c r="E2523">
        <v>1</v>
      </c>
      <c r="F2523">
        <v>3077</v>
      </c>
      <c r="G2523">
        <v>4</v>
      </c>
      <c r="H2523">
        <v>2</v>
      </c>
      <c r="I2523">
        <v>2020</v>
      </c>
      <c r="J2523">
        <v>0</v>
      </c>
      <c r="K2523">
        <v>0</v>
      </c>
      <c r="L2523">
        <v>1</v>
      </c>
      <c r="M2523">
        <v>7</v>
      </c>
      <c r="N2523" t="s">
        <v>26</v>
      </c>
      <c r="O2523" t="s">
        <v>32</v>
      </c>
      <c r="P2523">
        <v>12.868719936981</v>
      </c>
      <c r="Q2523">
        <v>2.2756152922900599</v>
      </c>
      <c r="R2523">
        <v>9.1577855439076306</v>
      </c>
      <c r="S2523">
        <v>128</v>
      </c>
      <c r="T2523">
        <v>73</v>
      </c>
      <c r="U2523">
        <v>260.32872888826603</v>
      </c>
      <c r="V2523">
        <v>2.2749431264218298E-3</v>
      </c>
      <c r="W2523">
        <v>1112514.0998565101</v>
      </c>
      <c r="X2523" t="s">
        <v>44</v>
      </c>
      <c r="Y2523">
        <f>1-337-115-9684</f>
        <v>-10135</v>
      </c>
    </row>
    <row r="2524" spans="1:25" x14ac:dyDescent="0.35">
      <c r="A2524">
        <v>40.919299600021397</v>
      </c>
      <c r="B2524">
        <v>-114.59888876886301</v>
      </c>
      <c r="C2524" t="s">
        <v>34</v>
      </c>
      <c r="D2524">
        <v>32.390149937099601</v>
      </c>
      <c r="E2524">
        <v>9</v>
      </c>
      <c r="F2524">
        <v>4421</v>
      </c>
      <c r="G2524">
        <v>2</v>
      </c>
      <c r="H2524">
        <v>2</v>
      </c>
      <c r="I2524">
        <v>1978</v>
      </c>
      <c r="J2524">
        <v>0</v>
      </c>
      <c r="K2524">
        <v>0</v>
      </c>
      <c r="L2524">
        <v>1</v>
      </c>
      <c r="M2524">
        <v>3</v>
      </c>
      <c r="N2524" t="s">
        <v>35</v>
      </c>
      <c r="O2524" t="s">
        <v>27</v>
      </c>
      <c r="P2524">
        <v>7.5046780650083198</v>
      </c>
      <c r="Q2524">
        <v>1.49247350299083</v>
      </c>
      <c r="R2524">
        <v>5.6163332385395499</v>
      </c>
      <c r="S2524">
        <v>13</v>
      </c>
      <c r="T2524">
        <v>73</v>
      </c>
      <c r="U2524">
        <v>231.425185579047</v>
      </c>
      <c r="V2524">
        <v>6.7857950689889104E-4</v>
      </c>
      <c r="W2524">
        <v>1193018.83524401</v>
      </c>
      <c r="X2524" t="s">
        <v>28</v>
      </c>
      <c r="Y2524">
        <f>1-422-497-4816</f>
        <v>-5734</v>
      </c>
    </row>
    <row r="2525" spans="1:25" x14ac:dyDescent="0.35">
      <c r="A2525">
        <v>35.183469532675602</v>
      </c>
      <c r="B2525">
        <v>-118.50909444727201</v>
      </c>
      <c r="C2525" t="s">
        <v>25</v>
      </c>
      <c r="D2525">
        <v>41.366482375689301</v>
      </c>
      <c r="E2525">
        <v>2</v>
      </c>
      <c r="F2525">
        <v>1380</v>
      </c>
      <c r="G2525">
        <v>4</v>
      </c>
      <c r="H2525">
        <v>3</v>
      </c>
      <c r="I2525">
        <v>2000</v>
      </c>
      <c r="J2525">
        <v>1</v>
      </c>
      <c r="K2525">
        <v>1</v>
      </c>
      <c r="L2525">
        <v>1</v>
      </c>
      <c r="M2525">
        <v>9</v>
      </c>
      <c r="N2525" t="s">
        <v>41</v>
      </c>
      <c r="O2525" t="s">
        <v>32</v>
      </c>
      <c r="P2525">
        <v>12.1443860412612</v>
      </c>
      <c r="Q2525">
        <v>1.0681173604608101</v>
      </c>
      <c r="R2525">
        <v>5.2393508155737401</v>
      </c>
      <c r="S2525">
        <v>148</v>
      </c>
      <c r="T2525">
        <v>40</v>
      </c>
      <c r="U2525">
        <v>733.94794383480303</v>
      </c>
      <c r="V2525">
        <v>6.5217391304347797E-3</v>
      </c>
      <c r="W2525">
        <v>1464500.5196781601</v>
      </c>
      <c r="X2525" t="s">
        <v>42</v>
      </c>
      <c r="Y2525">
        <f>1-944-516-4090</f>
        <v>-5549</v>
      </c>
    </row>
    <row r="2526" spans="1:25" x14ac:dyDescent="0.35">
      <c r="A2526">
        <v>36.654272931635603</v>
      </c>
      <c r="B2526">
        <v>-117.586889425401</v>
      </c>
      <c r="C2526" t="s">
        <v>34</v>
      </c>
      <c r="D2526">
        <v>2.6912228757529499</v>
      </c>
      <c r="E2526">
        <v>5</v>
      </c>
      <c r="F2526">
        <v>3238</v>
      </c>
      <c r="G2526">
        <v>1</v>
      </c>
      <c r="H2526">
        <v>2</v>
      </c>
      <c r="I2526">
        <v>2010</v>
      </c>
      <c r="J2526">
        <v>1</v>
      </c>
      <c r="K2526">
        <v>0</v>
      </c>
      <c r="L2526">
        <v>0</v>
      </c>
      <c r="M2526">
        <v>10</v>
      </c>
      <c r="N2526" t="s">
        <v>26</v>
      </c>
      <c r="O2526" t="s">
        <v>27</v>
      </c>
      <c r="P2526">
        <v>10.6894987603572</v>
      </c>
      <c r="Q2526">
        <v>1.4563109243175001</v>
      </c>
      <c r="R2526">
        <v>7.4812500135593503</v>
      </c>
      <c r="S2526">
        <v>93</v>
      </c>
      <c r="T2526">
        <v>22</v>
      </c>
      <c r="U2526">
        <v>598.21996645551098</v>
      </c>
      <c r="V2526">
        <v>3.0883261272390298E-3</v>
      </c>
      <c r="W2526">
        <v>2179299.1065425202</v>
      </c>
      <c r="X2526" t="s">
        <v>28</v>
      </c>
      <c r="Y2526">
        <f>1-241-483-3671</f>
        <v>-4394</v>
      </c>
    </row>
    <row r="2527" spans="1:25" x14ac:dyDescent="0.35">
      <c r="A2527">
        <v>34.061851132300099</v>
      </c>
      <c r="B2527">
        <v>-120.927410442873</v>
      </c>
      <c r="C2527" t="s">
        <v>34</v>
      </c>
      <c r="D2527">
        <v>18.464883300439499</v>
      </c>
      <c r="E2527">
        <v>6</v>
      </c>
      <c r="F2527">
        <v>1995</v>
      </c>
      <c r="G2527">
        <v>1</v>
      </c>
      <c r="H2527">
        <v>1</v>
      </c>
      <c r="I2527">
        <v>1959</v>
      </c>
      <c r="J2527">
        <v>0</v>
      </c>
      <c r="K2527">
        <v>0</v>
      </c>
      <c r="L2527">
        <v>0</v>
      </c>
      <c r="M2527">
        <v>9</v>
      </c>
      <c r="N2527" t="s">
        <v>35</v>
      </c>
      <c r="O2527" t="s">
        <v>27</v>
      </c>
      <c r="P2527">
        <v>6.9695945999464</v>
      </c>
      <c r="Q2527">
        <v>2.3388064397347499</v>
      </c>
      <c r="R2527">
        <v>4.2537410876369099</v>
      </c>
      <c r="S2527">
        <v>83</v>
      </c>
      <c r="T2527">
        <v>48</v>
      </c>
      <c r="U2527">
        <v>587.67588926187102</v>
      </c>
      <c r="V2527">
        <v>4.5112781954887203E-3</v>
      </c>
      <c r="W2527">
        <v>1253121.2861814101</v>
      </c>
      <c r="X2527" t="s">
        <v>36</v>
      </c>
      <c r="Y2527">
        <f>1-667-926-6083</f>
        <v>-7675</v>
      </c>
    </row>
    <row r="2528" spans="1:25" x14ac:dyDescent="0.35">
      <c r="A2528">
        <v>32.963304029965201</v>
      </c>
      <c r="B2528">
        <v>-118.868348470356</v>
      </c>
      <c r="C2528" t="s">
        <v>34</v>
      </c>
      <c r="D2528">
        <v>7.2762467603115102</v>
      </c>
      <c r="E2528">
        <v>1</v>
      </c>
      <c r="F2528">
        <v>2078</v>
      </c>
      <c r="G2528">
        <v>3</v>
      </c>
      <c r="H2528">
        <v>2</v>
      </c>
      <c r="I2528">
        <v>1990</v>
      </c>
      <c r="J2528">
        <v>1</v>
      </c>
      <c r="K2528">
        <v>0</v>
      </c>
      <c r="L2528">
        <v>0</v>
      </c>
      <c r="M2528">
        <v>12</v>
      </c>
      <c r="N2528" t="s">
        <v>41</v>
      </c>
      <c r="O2528" t="s">
        <v>27</v>
      </c>
      <c r="P2528">
        <v>6.2806007553951799</v>
      </c>
      <c r="Q2528">
        <v>0.74944928092868901</v>
      </c>
      <c r="R2528">
        <v>1.4476852855079201</v>
      </c>
      <c r="S2528">
        <v>82</v>
      </c>
      <c r="T2528">
        <v>28</v>
      </c>
      <c r="U2528">
        <v>379.66679900060001</v>
      </c>
      <c r="V2528">
        <v>5.7747834456207802E-3</v>
      </c>
      <c r="W2528">
        <v>1089191.0464953701</v>
      </c>
      <c r="X2528" t="s">
        <v>43</v>
      </c>
      <c r="Y2528">
        <f>1-918-554-7029</f>
        <v>-8500</v>
      </c>
    </row>
    <row r="2529" spans="1:25" x14ac:dyDescent="0.35">
      <c r="A2529">
        <v>41.2825782634958</v>
      </c>
      <c r="B2529">
        <v>-122.497802310015</v>
      </c>
      <c r="C2529" t="s">
        <v>25</v>
      </c>
      <c r="D2529">
        <v>19.114495872565598</v>
      </c>
      <c r="E2529">
        <v>7</v>
      </c>
      <c r="F2529">
        <v>2643</v>
      </c>
      <c r="G2529">
        <v>2</v>
      </c>
      <c r="H2529">
        <v>3</v>
      </c>
      <c r="I2529">
        <v>2011</v>
      </c>
      <c r="J2529">
        <v>0</v>
      </c>
      <c r="K2529">
        <v>0</v>
      </c>
      <c r="L2529">
        <v>1</v>
      </c>
      <c r="M2529">
        <v>12</v>
      </c>
      <c r="N2529" t="s">
        <v>37</v>
      </c>
      <c r="O2529" t="s">
        <v>32</v>
      </c>
      <c r="P2529">
        <v>4.6922579505585897</v>
      </c>
      <c r="Q2529">
        <v>0.813331258685426</v>
      </c>
      <c r="R2529">
        <v>7.1447809171772798</v>
      </c>
      <c r="S2529">
        <v>174</v>
      </c>
      <c r="T2529">
        <v>54</v>
      </c>
      <c r="U2529">
        <v>622.33273898353298</v>
      </c>
      <c r="V2529">
        <v>4.5402951191827398E-3</v>
      </c>
      <c r="W2529">
        <v>1905861.2983476699</v>
      </c>
      <c r="X2529" t="s">
        <v>36</v>
      </c>
      <c r="Y2529">
        <f>1-853-900-4267</f>
        <v>-6019</v>
      </c>
    </row>
    <row r="2530" spans="1:25" x14ac:dyDescent="0.35">
      <c r="A2530">
        <v>39.578483658518998</v>
      </c>
      <c r="B2530">
        <v>-116.587754981353</v>
      </c>
      <c r="C2530" t="s">
        <v>34</v>
      </c>
      <c r="D2530">
        <v>30.811710727764201</v>
      </c>
      <c r="E2530">
        <v>4</v>
      </c>
      <c r="F2530">
        <v>1022</v>
      </c>
      <c r="G2530">
        <v>5</v>
      </c>
      <c r="H2530">
        <v>3</v>
      </c>
      <c r="I2530">
        <v>2001</v>
      </c>
      <c r="J2530">
        <v>0</v>
      </c>
      <c r="K2530">
        <v>1</v>
      </c>
      <c r="L2530">
        <v>1</v>
      </c>
      <c r="M2530">
        <v>10</v>
      </c>
      <c r="N2530" t="s">
        <v>41</v>
      </c>
      <c r="O2530" t="s">
        <v>27</v>
      </c>
      <c r="P2530">
        <v>11.9541125943607</v>
      </c>
      <c r="Q2530">
        <v>1.9736426497791799</v>
      </c>
      <c r="R2530">
        <v>4.5354615573080297</v>
      </c>
      <c r="S2530">
        <v>84</v>
      </c>
      <c r="T2530">
        <v>44</v>
      </c>
      <c r="U2530">
        <v>358.01051744037801</v>
      </c>
      <c r="V2530">
        <v>9.7847358121330701E-3</v>
      </c>
      <c r="W2530">
        <v>827193.53765496798</v>
      </c>
      <c r="X2530" t="s">
        <v>38</v>
      </c>
      <c r="Y2530">
        <f>1-899-348-3128</f>
        <v>-4374</v>
      </c>
    </row>
    <row r="2531" spans="1:25" x14ac:dyDescent="0.35">
      <c r="A2531">
        <v>33.9707196281637</v>
      </c>
      <c r="B2531">
        <v>-124.30078668132499</v>
      </c>
      <c r="C2531" t="s">
        <v>25</v>
      </c>
      <c r="D2531">
        <v>8.8674457929524699</v>
      </c>
      <c r="E2531">
        <v>1</v>
      </c>
      <c r="F2531">
        <v>1028</v>
      </c>
      <c r="G2531">
        <v>4</v>
      </c>
      <c r="H2531">
        <v>2</v>
      </c>
      <c r="I2531">
        <v>2018</v>
      </c>
      <c r="J2531">
        <v>0</v>
      </c>
      <c r="K2531">
        <v>0</v>
      </c>
      <c r="L2531">
        <v>0</v>
      </c>
      <c r="M2531">
        <v>3</v>
      </c>
      <c r="N2531" t="s">
        <v>41</v>
      </c>
      <c r="O2531" t="s">
        <v>30</v>
      </c>
      <c r="P2531">
        <v>13.7644622282615</v>
      </c>
      <c r="Q2531">
        <v>2.37005494476854</v>
      </c>
      <c r="R2531">
        <v>2.1094118478170998</v>
      </c>
      <c r="S2531">
        <v>64</v>
      </c>
      <c r="T2531">
        <v>78</v>
      </c>
      <c r="U2531">
        <v>614.35674341849995</v>
      </c>
      <c r="V2531">
        <v>2.9182879377431898E-3</v>
      </c>
      <c r="W2531">
        <v>942249.52475552296</v>
      </c>
      <c r="X2531" t="s">
        <v>33</v>
      </c>
      <c r="Y2531">
        <f>1-523-915-7109</f>
        <v>-8546</v>
      </c>
    </row>
    <row r="2532" spans="1:25" x14ac:dyDescent="0.35">
      <c r="A2532">
        <v>38.768985477163099</v>
      </c>
      <c r="B2532">
        <v>-117.57770568352301</v>
      </c>
      <c r="C2532" t="s">
        <v>25</v>
      </c>
      <c r="D2532">
        <v>32.350627804634797</v>
      </c>
      <c r="E2532">
        <v>5</v>
      </c>
      <c r="F2532">
        <v>1987</v>
      </c>
      <c r="G2532">
        <v>5</v>
      </c>
      <c r="H2532">
        <v>3</v>
      </c>
      <c r="I2532">
        <v>1984</v>
      </c>
      <c r="J2532">
        <v>1</v>
      </c>
      <c r="K2532">
        <v>1</v>
      </c>
      <c r="L2532">
        <v>1</v>
      </c>
      <c r="M2532">
        <v>14</v>
      </c>
      <c r="N2532" t="s">
        <v>37</v>
      </c>
      <c r="O2532" t="s">
        <v>30</v>
      </c>
      <c r="P2532">
        <v>2.8105404207390099</v>
      </c>
      <c r="Q2532">
        <v>1.8510669108639199</v>
      </c>
      <c r="R2532">
        <v>4.3164747885867101</v>
      </c>
      <c r="S2532">
        <v>103</v>
      </c>
      <c r="T2532">
        <v>40</v>
      </c>
      <c r="U2532">
        <v>422.23171572071902</v>
      </c>
      <c r="V2532">
        <v>7.0457976849521804E-3</v>
      </c>
      <c r="W2532">
        <v>1402176.5541435501</v>
      </c>
      <c r="X2532" t="s">
        <v>28</v>
      </c>
      <c r="Y2532">
        <f>1-942-744-2689</f>
        <v>-4374</v>
      </c>
    </row>
    <row r="2533" spans="1:25" x14ac:dyDescent="0.35">
      <c r="A2533">
        <v>33.6348731461363</v>
      </c>
      <c r="B2533">
        <v>-121.136047060512</v>
      </c>
      <c r="C2533" t="s">
        <v>34</v>
      </c>
      <c r="D2533">
        <v>22.585816394542</v>
      </c>
      <c r="E2533">
        <v>9</v>
      </c>
      <c r="F2533">
        <v>2014</v>
      </c>
      <c r="G2533">
        <v>5</v>
      </c>
      <c r="H2533">
        <v>1</v>
      </c>
      <c r="I2533">
        <v>1966</v>
      </c>
      <c r="J2533">
        <v>0</v>
      </c>
      <c r="K2533">
        <v>0</v>
      </c>
      <c r="L2533">
        <v>1</v>
      </c>
      <c r="M2533">
        <v>5</v>
      </c>
      <c r="N2533" t="s">
        <v>35</v>
      </c>
      <c r="O2533" t="s">
        <v>30</v>
      </c>
      <c r="P2533">
        <v>14.139272838584001</v>
      </c>
      <c r="Q2533">
        <v>0.73341592620041796</v>
      </c>
      <c r="R2533">
        <v>5.9813488287611802</v>
      </c>
      <c r="S2533">
        <v>89</v>
      </c>
      <c r="T2533">
        <v>41</v>
      </c>
      <c r="U2533">
        <v>380.00312450399701</v>
      </c>
      <c r="V2533">
        <v>2.4826216484607698E-3</v>
      </c>
      <c r="W2533">
        <v>1029651.3451785099</v>
      </c>
      <c r="X2533" t="s">
        <v>39</v>
      </c>
      <c r="Y2533">
        <f>1-817-236-6219</f>
        <v>-7271</v>
      </c>
    </row>
    <row r="2534" spans="1:25" x14ac:dyDescent="0.35">
      <c r="A2534">
        <v>40.705599961827097</v>
      </c>
      <c r="B2534">
        <v>-117.26536687057801</v>
      </c>
      <c r="C2534" t="s">
        <v>25</v>
      </c>
      <c r="D2534">
        <v>48.012714259113203</v>
      </c>
      <c r="E2534">
        <v>1</v>
      </c>
      <c r="F2534">
        <v>4628</v>
      </c>
      <c r="G2534">
        <v>1</v>
      </c>
      <c r="H2534">
        <v>1</v>
      </c>
      <c r="I2534">
        <v>1992</v>
      </c>
      <c r="J2534">
        <v>0</v>
      </c>
      <c r="K2534">
        <v>1</v>
      </c>
      <c r="L2534">
        <v>0</v>
      </c>
      <c r="M2534">
        <v>7</v>
      </c>
      <c r="N2534" t="s">
        <v>41</v>
      </c>
      <c r="O2534" t="s">
        <v>32</v>
      </c>
      <c r="P2534">
        <v>12.3827107201893</v>
      </c>
      <c r="Q2534">
        <v>1.7507971228914601</v>
      </c>
      <c r="R2534">
        <v>6.8929494040559298</v>
      </c>
      <c r="S2534">
        <v>131</v>
      </c>
      <c r="T2534">
        <v>38</v>
      </c>
      <c r="U2534">
        <v>335.91936354705803</v>
      </c>
      <c r="V2534">
        <v>1.51253241140881E-3</v>
      </c>
      <c r="W2534">
        <v>1800688.1376517999</v>
      </c>
      <c r="X2534" t="s">
        <v>31</v>
      </c>
      <c r="Y2534">
        <f>1-927-618-3714</f>
        <v>-5258</v>
      </c>
    </row>
    <row r="2535" spans="1:25" x14ac:dyDescent="0.35">
      <c r="A2535">
        <v>35.000847783723501</v>
      </c>
      <c r="B2535">
        <v>-123.109370763374</v>
      </c>
      <c r="C2535" t="s">
        <v>25</v>
      </c>
      <c r="D2535">
        <v>2.9756565767103802</v>
      </c>
      <c r="E2535">
        <v>7</v>
      </c>
      <c r="F2535">
        <v>1932</v>
      </c>
      <c r="G2535">
        <v>4</v>
      </c>
      <c r="H2535">
        <v>2</v>
      </c>
      <c r="I2535">
        <v>1959</v>
      </c>
      <c r="J2535">
        <v>1</v>
      </c>
      <c r="K2535">
        <v>0</v>
      </c>
      <c r="L2535">
        <v>0</v>
      </c>
      <c r="M2535">
        <v>7</v>
      </c>
      <c r="N2535" t="s">
        <v>35</v>
      </c>
      <c r="O2535" t="s">
        <v>27</v>
      </c>
      <c r="P2535">
        <v>14.580241597707699</v>
      </c>
      <c r="Q2535">
        <v>1.85327560020106</v>
      </c>
      <c r="R2535">
        <v>7.8751819459411996</v>
      </c>
      <c r="S2535">
        <v>36</v>
      </c>
      <c r="T2535">
        <v>76</v>
      </c>
      <c r="U2535">
        <v>816.53039706428694</v>
      </c>
      <c r="V2535">
        <v>3.6231884057971002E-3</v>
      </c>
      <c r="W2535">
        <v>1960766.0199758799</v>
      </c>
      <c r="X2535" t="s">
        <v>43</v>
      </c>
      <c r="Y2535">
        <f>1-735-399-6283</f>
        <v>-7416</v>
      </c>
    </row>
    <row r="2536" spans="1:25" x14ac:dyDescent="0.35">
      <c r="A2536">
        <v>39.766357438795097</v>
      </c>
      <c r="B2536">
        <v>-115.26174678643901</v>
      </c>
      <c r="C2536" t="s">
        <v>29</v>
      </c>
      <c r="D2536">
        <v>48.144756315725203</v>
      </c>
      <c r="E2536">
        <v>0</v>
      </c>
      <c r="F2536">
        <v>1722</v>
      </c>
      <c r="G2536">
        <v>3</v>
      </c>
      <c r="H2536">
        <v>1</v>
      </c>
      <c r="I2536">
        <v>1994</v>
      </c>
      <c r="J2536">
        <v>0</v>
      </c>
      <c r="K2536">
        <v>0</v>
      </c>
      <c r="L2536">
        <v>0</v>
      </c>
      <c r="M2536">
        <v>12</v>
      </c>
      <c r="N2536" t="s">
        <v>37</v>
      </c>
      <c r="O2536" t="s">
        <v>27</v>
      </c>
      <c r="P2536">
        <v>6.6607892669747804</v>
      </c>
      <c r="Q2536">
        <v>0.805806568705002</v>
      </c>
      <c r="R2536">
        <v>8.7871731241004092</v>
      </c>
      <c r="S2536">
        <v>147</v>
      </c>
      <c r="T2536">
        <v>79</v>
      </c>
      <c r="U2536">
        <v>820.20116231184295</v>
      </c>
      <c r="V2536">
        <v>6.9686411149825697E-3</v>
      </c>
      <c r="W2536">
        <v>1503571.76168737</v>
      </c>
      <c r="X2536" t="s">
        <v>33</v>
      </c>
      <c r="Y2536">
        <f>1-283-913-5859</f>
        <v>-7054</v>
      </c>
    </row>
    <row r="2537" spans="1:25" x14ac:dyDescent="0.35">
      <c r="A2537">
        <v>38.209175943146597</v>
      </c>
      <c r="B2537">
        <v>-114.437114904761</v>
      </c>
      <c r="C2537" t="s">
        <v>29</v>
      </c>
      <c r="D2537">
        <v>37.4413080048501</v>
      </c>
      <c r="E2537">
        <v>3</v>
      </c>
      <c r="F2537">
        <v>1037</v>
      </c>
      <c r="G2537">
        <v>2</v>
      </c>
      <c r="H2537">
        <v>3</v>
      </c>
      <c r="I2537">
        <v>2019</v>
      </c>
      <c r="J2537">
        <v>1</v>
      </c>
      <c r="K2537">
        <v>0</v>
      </c>
      <c r="L2537">
        <v>0</v>
      </c>
      <c r="M2537">
        <v>12</v>
      </c>
      <c r="N2537" t="s">
        <v>37</v>
      </c>
      <c r="O2537" t="s">
        <v>30</v>
      </c>
      <c r="P2537">
        <v>10.636703423754</v>
      </c>
      <c r="Q2537">
        <v>1.4697523028671999</v>
      </c>
      <c r="R2537">
        <v>2.6717521554047701</v>
      </c>
      <c r="S2537">
        <v>7</v>
      </c>
      <c r="T2537">
        <v>31</v>
      </c>
      <c r="U2537">
        <v>227.59266875135799</v>
      </c>
      <c r="V2537">
        <v>1.15718418514946E-2</v>
      </c>
      <c r="W2537">
        <v>619588.32578763796</v>
      </c>
      <c r="X2537" t="s">
        <v>42</v>
      </c>
      <c r="Y2537">
        <f>1-691-424-3229</f>
        <v>-4343</v>
      </c>
    </row>
    <row r="2538" spans="1:25" x14ac:dyDescent="0.35">
      <c r="A2538">
        <v>34.990937200234903</v>
      </c>
      <c r="B2538">
        <v>-121.51292004261801</v>
      </c>
      <c r="C2538" t="s">
        <v>25</v>
      </c>
      <c r="D2538">
        <v>18.193552874016799</v>
      </c>
      <c r="E2538">
        <v>7</v>
      </c>
      <c r="F2538">
        <v>4895</v>
      </c>
      <c r="G2538">
        <v>4</v>
      </c>
      <c r="H2538">
        <v>3</v>
      </c>
      <c r="I2538">
        <v>1956</v>
      </c>
      <c r="J2538">
        <v>1</v>
      </c>
      <c r="K2538">
        <v>1</v>
      </c>
      <c r="L2538">
        <v>0</v>
      </c>
      <c r="M2538">
        <v>7</v>
      </c>
      <c r="N2538" t="s">
        <v>41</v>
      </c>
      <c r="O2538" t="s">
        <v>30</v>
      </c>
      <c r="P2538">
        <v>14.6737493054521</v>
      </c>
      <c r="Q2538">
        <v>2.0893818911985802</v>
      </c>
      <c r="R2538">
        <v>3.8279226385966898</v>
      </c>
      <c r="S2538">
        <v>10</v>
      </c>
      <c r="T2538">
        <v>43</v>
      </c>
      <c r="U2538">
        <v>663.03368804464299</v>
      </c>
      <c r="V2538">
        <v>1.4300306435137799E-3</v>
      </c>
      <c r="W2538">
        <v>3740967.8327728799</v>
      </c>
      <c r="X2538" t="s">
        <v>40</v>
      </c>
      <c r="Y2538">
        <f>1-904-453-3431</f>
        <v>-4787</v>
      </c>
    </row>
    <row r="2539" spans="1:25" x14ac:dyDescent="0.35">
      <c r="A2539">
        <v>38.338504668872602</v>
      </c>
      <c r="B2539">
        <v>-123.090481234484</v>
      </c>
      <c r="C2539" t="s">
        <v>25</v>
      </c>
      <c r="D2539">
        <v>43.943148300693302</v>
      </c>
      <c r="E2539">
        <v>9</v>
      </c>
      <c r="F2539">
        <v>4299</v>
      </c>
      <c r="G2539">
        <v>4</v>
      </c>
      <c r="H2539">
        <v>1</v>
      </c>
      <c r="I2539">
        <v>1987</v>
      </c>
      <c r="J2539">
        <v>0</v>
      </c>
      <c r="K2539">
        <v>1</v>
      </c>
      <c r="L2539">
        <v>1</v>
      </c>
      <c r="M2539">
        <v>3</v>
      </c>
      <c r="N2539" t="s">
        <v>35</v>
      </c>
      <c r="O2539" t="s">
        <v>27</v>
      </c>
      <c r="P2539">
        <v>11.990930441163201</v>
      </c>
      <c r="Q2539">
        <v>1.3541500293692299</v>
      </c>
      <c r="R2539">
        <v>9.8128776691468396</v>
      </c>
      <c r="S2539">
        <v>116</v>
      </c>
      <c r="T2539">
        <v>45</v>
      </c>
      <c r="U2539">
        <v>707.55910082681396</v>
      </c>
      <c r="V2539">
        <v>6.9783670621074599E-4</v>
      </c>
      <c r="W2539">
        <v>3444625.5685028001</v>
      </c>
      <c r="X2539" t="s">
        <v>33</v>
      </c>
      <c r="Y2539">
        <f>1-663-190-4504</f>
        <v>-5356</v>
      </c>
    </row>
    <row r="2540" spans="1:25" x14ac:dyDescent="0.35">
      <c r="A2540">
        <v>36.939611998261</v>
      </c>
      <c r="B2540">
        <v>-121.206927873692</v>
      </c>
      <c r="C2540" t="s">
        <v>34</v>
      </c>
      <c r="D2540">
        <v>44.923262932926299</v>
      </c>
      <c r="E2540">
        <v>9</v>
      </c>
      <c r="F2540">
        <v>3396</v>
      </c>
      <c r="G2540">
        <v>1</v>
      </c>
      <c r="H2540">
        <v>2</v>
      </c>
      <c r="I2540">
        <v>1965</v>
      </c>
      <c r="J2540">
        <v>0</v>
      </c>
      <c r="K2540">
        <v>1</v>
      </c>
      <c r="L2540">
        <v>1</v>
      </c>
      <c r="M2540">
        <v>11</v>
      </c>
      <c r="N2540" t="s">
        <v>37</v>
      </c>
      <c r="O2540" t="s">
        <v>27</v>
      </c>
      <c r="P2540">
        <v>4.5249661688653999</v>
      </c>
      <c r="Q2540">
        <v>2.23749985683797</v>
      </c>
      <c r="R2540">
        <v>5.9484037502974303</v>
      </c>
      <c r="S2540">
        <v>47</v>
      </c>
      <c r="T2540">
        <v>48</v>
      </c>
      <c r="U2540">
        <v>647.25762906771695</v>
      </c>
      <c r="V2540">
        <v>3.2391048292108298E-3</v>
      </c>
      <c r="W2540">
        <v>2367856.6069289702</v>
      </c>
      <c r="X2540" t="s">
        <v>38</v>
      </c>
      <c r="Y2540">
        <f>1-546-232-1713</f>
        <v>-2490</v>
      </c>
    </row>
    <row r="2541" spans="1:25" x14ac:dyDescent="0.35">
      <c r="A2541">
        <v>34.305994024534897</v>
      </c>
      <c r="B2541">
        <v>-118.780721638505</v>
      </c>
      <c r="C2541" t="s">
        <v>34</v>
      </c>
      <c r="D2541">
        <v>38.895416317312602</v>
      </c>
      <c r="E2541">
        <v>6</v>
      </c>
      <c r="F2541">
        <v>4915</v>
      </c>
      <c r="G2541">
        <v>3</v>
      </c>
      <c r="H2541">
        <v>2</v>
      </c>
      <c r="I2541">
        <v>2006</v>
      </c>
      <c r="J2541">
        <v>1</v>
      </c>
      <c r="K2541">
        <v>1</v>
      </c>
      <c r="L2541">
        <v>0</v>
      </c>
      <c r="M2541">
        <v>8</v>
      </c>
      <c r="N2541" t="s">
        <v>26</v>
      </c>
      <c r="O2541" t="s">
        <v>27</v>
      </c>
      <c r="P2541">
        <v>5.8654539279925499</v>
      </c>
      <c r="Q2541">
        <v>2.1077645793218101</v>
      </c>
      <c r="R2541">
        <v>1.45902175073864</v>
      </c>
      <c r="S2541">
        <v>49</v>
      </c>
      <c r="T2541">
        <v>54</v>
      </c>
      <c r="U2541">
        <v>630.52790757145601</v>
      </c>
      <c r="V2541">
        <v>1.6276703967446501E-3</v>
      </c>
      <c r="W2541">
        <v>3480362.9115328598</v>
      </c>
      <c r="X2541" t="s">
        <v>44</v>
      </c>
      <c r="Y2541">
        <f>1-881-461-1335</f>
        <v>-2676</v>
      </c>
    </row>
    <row r="2542" spans="1:25" x14ac:dyDescent="0.35">
      <c r="A2542">
        <v>36.718577338882</v>
      </c>
      <c r="B2542">
        <v>-122.355257980297</v>
      </c>
      <c r="C2542" t="s">
        <v>25</v>
      </c>
      <c r="D2542">
        <v>13.7813358099902</v>
      </c>
      <c r="E2542">
        <v>5</v>
      </c>
      <c r="F2542">
        <v>2516</v>
      </c>
      <c r="G2542">
        <v>2</v>
      </c>
      <c r="H2542">
        <v>2</v>
      </c>
      <c r="I2542">
        <v>1971</v>
      </c>
      <c r="J2542">
        <v>0</v>
      </c>
      <c r="K2542">
        <v>1</v>
      </c>
      <c r="L2542">
        <v>1</v>
      </c>
      <c r="M2542">
        <v>9</v>
      </c>
      <c r="N2542" t="s">
        <v>37</v>
      </c>
      <c r="O2542" t="s">
        <v>27</v>
      </c>
      <c r="P2542">
        <v>3.9441561042591098</v>
      </c>
      <c r="Q2542">
        <v>1.9207642446108699</v>
      </c>
      <c r="R2542">
        <v>4.5453371694224298</v>
      </c>
      <c r="S2542">
        <v>134</v>
      </c>
      <c r="T2542">
        <v>32</v>
      </c>
      <c r="U2542">
        <v>822.15880234895599</v>
      </c>
      <c r="V2542">
        <v>3.5771065182829799E-3</v>
      </c>
      <c r="W2542">
        <v>2248713.13007522</v>
      </c>
      <c r="X2542" t="s">
        <v>39</v>
      </c>
      <c r="Y2542">
        <f>1-426-386-9858</f>
        <v>-10669</v>
      </c>
    </row>
    <row r="2543" spans="1:25" x14ac:dyDescent="0.35">
      <c r="A2543">
        <v>38.896351668574603</v>
      </c>
      <c r="B2543">
        <v>-120.500080439854</v>
      </c>
      <c r="C2543" t="s">
        <v>34</v>
      </c>
      <c r="D2543">
        <v>49.522575342398603</v>
      </c>
      <c r="E2543">
        <v>6</v>
      </c>
      <c r="F2543">
        <v>1444</v>
      </c>
      <c r="G2543">
        <v>3</v>
      </c>
      <c r="H2543">
        <v>1</v>
      </c>
      <c r="I2543">
        <v>1975</v>
      </c>
      <c r="J2543">
        <v>1</v>
      </c>
      <c r="K2543">
        <v>0</v>
      </c>
      <c r="L2543">
        <v>1</v>
      </c>
      <c r="M2543">
        <v>6</v>
      </c>
      <c r="N2543" t="s">
        <v>35</v>
      </c>
      <c r="O2543" t="s">
        <v>27</v>
      </c>
      <c r="P2543">
        <v>6.2391896921671304</v>
      </c>
      <c r="Q2543">
        <v>2.0237300829762801</v>
      </c>
      <c r="R2543">
        <v>8.4460982124215995</v>
      </c>
      <c r="S2543">
        <v>55</v>
      </c>
      <c r="T2543">
        <v>75</v>
      </c>
      <c r="U2543">
        <v>706.91118165907199</v>
      </c>
      <c r="V2543">
        <v>4.1551246537396098E-3</v>
      </c>
      <c r="W2543">
        <v>1207399.29995187</v>
      </c>
      <c r="X2543" t="s">
        <v>33</v>
      </c>
      <c r="Y2543">
        <f>1-352-822-3588</f>
        <v>-4761</v>
      </c>
    </row>
    <row r="2544" spans="1:25" x14ac:dyDescent="0.35">
      <c r="A2544">
        <v>40.335319555549802</v>
      </c>
      <c r="B2544">
        <v>-119.864755336242</v>
      </c>
      <c r="C2544" t="s">
        <v>25</v>
      </c>
      <c r="D2544">
        <v>48.4033120462325</v>
      </c>
      <c r="E2544">
        <v>4</v>
      </c>
      <c r="F2544">
        <v>3514</v>
      </c>
      <c r="G2544">
        <v>1</v>
      </c>
      <c r="H2544">
        <v>2</v>
      </c>
      <c r="I2544">
        <v>1985</v>
      </c>
      <c r="J2544">
        <v>0</v>
      </c>
      <c r="K2544">
        <v>0</v>
      </c>
      <c r="L2544">
        <v>0</v>
      </c>
      <c r="M2544">
        <v>4</v>
      </c>
      <c r="N2544" t="s">
        <v>41</v>
      </c>
      <c r="O2544" t="s">
        <v>30</v>
      </c>
      <c r="P2544">
        <v>11.039112422153</v>
      </c>
      <c r="Q2544">
        <v>2.0361442079555898</v>
      </c>
      <c r="R2544">
        <v>5.8414661371688297</v>
      </c>
      <c r="S2544">
        <v>164</v>
      </c>
      <c r="T2544">
        <v>27</v>
      </c>
      <c r="U2544">
        <v>242.60798236380199</v>
      </c>
      <c r="V2544">
        <v>1.13830392714854E-3</v>
      </c>
      <c r="W2544">
        <v>882783.46954981098</v>
      </c>
      <c r="X2544" t="s">
        <v>38</v>
      </c>
      <c r="Y2544">
        <f>1-761-800-3115</f>
        <v>-4675</v>
      </c>
    </row>
    <row r="2545" spans="1:25" x14ac:dyDescent="0.35">
      <c r="A2545">
        <v>41.192284785841402</v>
      </c>
      <c r="B2545">
        <v>-117.096039856329</v>
      </c>
      <c r="C2545" t="s">
        <v>29</v>
      </c>
      <c r="D2545">
        <v>45.403520500197402</v>
      </c>
      <c r="E2545">
        <v>3</v>
      </c>
      <c r="F2545">
        <v>3395</v>
      </c>
      <c r="G2545">
        <v>3</v>
      </c>
      <c r="H2545">
        <v>1</v>
      </c>
      <c r="I2545">
        <v>1983</v>
      </c>
      <c r="J2545">
        <v>0</v>
      </c>
      <c r="K2545">
        <v>1</v>
      </c>
      <c r="L2545">
        <v>1</v>
      </c>
      <c r="M2545">
        <v>12</v>
      </c>
      <c r="N2545" t="s">
        <v>26</v>
      </c>
      <c r="O2545" t="s">
        <v>30</v>
      </c>
      <c r="P2545">
        <v>11.2790949663805</v>
      </c>
      <c r="Q2545">
        <v>0.89649088977482505</v>
      </c>
      <c r="R2545">
        <v>8.8714931303175195</v>
      </c>
      <c r="S2545">
        <v>143</v>
      </c>
      <c r="T2545">
        <v>65</v>
      </c>
      <c r="U2545">
        <v>986.926358870738</v>
      </c>
      <c r="V2545">
        <v>3.5346097201767301E-3</v>
      </c>
      <c r="W2545">
        <v>3709195.3210541499</v>
      </c>
      <c r="X2545" t="s">
        <v>28</v>
      </c>
      <c r="Y2545">
        <f>1-214-437-4082</f>
        <v>-4732</v>
      </c>
    </row>
    <row r="2546" spans="1:25" x14ac:dyDescent="0.35">
      <c r="A2546">
        <v>33.494620849288999</v>
      </c>
      <c r="B2546">
        <v>-122.768313080331</v>
      </c>
      <c r="C2546" t="s">
        <v>25</v>
      </c>
      <c r="D2546">
        <v>4.8481366175496996</v>
      </c>
      <c r="E2546">
        <v>8</v>
      </c>
      <c r="F2546">
        <v>4123</v>
      </c>
      <c r="G2546">
        <v>2</v>
      </c>
      <c r="H2546">
        <v>2</v>
      </c>
      <c r="I2546">
        <v>1997</v>
      </c>
      <c r="J2546">
        <v>1</v>
      </c>
      <c r="K2546">
        <v>1</v>
      </c>
      <c r="L2546">
        <v>1</v>
      </c>
      <c r="M2546">
        <v>8</v>
      </c>
      <c r="N2546" t="s">
        <v>37</v>
      </c>
      <c r="O2546" t="s">
        <v>27</v>
      </c>
      <c r="P2546">
        <v>8.7976383144432297</v>
      </c>
      <c r="Q2546">
        <v>1.0843362723035901</v>
      </c>
      <c r="R2546">
        <v>9.8482322166927805</v>
      </c>
      <c r="S2546">
        <v>60</v>
      </c>
      <c r="T2546">
        <v>52</v>
      </c>
      <c r="U2546">
        <v>966.23435696673005</v>
      </c>
      <c r="V2546">
        <v>1.94033470773708E-3</v>
      </c>
      <c r="W2546">
        <v>4327714.0899551101</v>
      </c>
      <c r="X2546" t="s">
        <v>28</v>
      </c>
      <c r="Y2546">
        <f>1-812-630-8223</f>
        <v>-9664</v>
      </c>
    </row>
    <row r="2547" spans="1:25" x14ac:dyDescent="0.35">
      <c r="A2547">
        <v>38.403640896598098</v>
      </c>
      <c r="B2547">
        <v>-124.279483258879</v>
      </c>
      <c r="C2547" t="s">
        <v>29</v>
      </c>
      <c r="D2547">
        <v>21.337838611033501</v>
      </c>
      <c r="E2547">
        <v>8</v>
      </c>
      <c r="F2547">
        <v>971</v>
      </c>
      <c r="G2547">
        <v>4</v>
      </c>
      <c r="H2547">
        <v>3</v>
      </c>
      <c r="I2547">
        <v>1979</v>
      </c>
      <c r="J2547">
        <v>1</v>
      </c>
      <c r="K2547">
        <v>1</v>
      </c>
      <c r="L2547">
        <v>0</v>
      </c>
      <c r="M2547">
        <v>8</v>
      </c>
      <c r="N2547" t="s">
        <v>41</v>
      </c>
      <c r="O2547" t="s">
        <v>27</v>
      </c>
      <c r="P2547">
        <v>12.953790105798699</v>
      </c>
      <c r="Q2547">
        <v>0.70179320351329999</v>
      </c>
      <c r="R2547">
        <v>5.6739736652585</v>
      </c>
      <c r="S2547">
        <v>13</v>
      </c>
      <c r="T2547">
        <v>43</v>
      </c>
      <c r="U2547">
        <v>744.76059850566605</v>
      </c>
      <c r="V2547">
        <v>8.2389289392378901E-3</v>
      </c>
      <c r="W2547">
        <v>1188986.6399369801</v>
      </c>
      <c r="X2547" t="s">
        <v>39</v>
      </c>
      <c r="Y2547">
        <f>1-938-495-2658</f>
        <v>-4090</v>
      </c>
    </row>
    <row r="2548" spans="1:25" x14ac:dyDescent="0.35">
      <c r="A2548">
        <v>35.091981956690397</v>
      </c>
      <c r="B2548">
        <v>-119.956364883601</v>
      </c>
      <c r="C2548" t="s">
        <v>34</v>
      </c>
      <c r="D2548">
        <v>46.411360447376197</v>
      </c>
      <c r="E2548">
        <v>6</v>
      </c>
      <c r="F2548">
        <v>2805</v>
      </c>
      <c r="G2548">
        <v>3</v>
      </c>
      <c r="H2548">
        <v>2</v>
      </c>
      <c r="I2548">
        <v>1989</v>
      </c>
      <c r="J2548">
        <v>0</v>
      </c>
      <c r="K2548">
        <v>1</v>
      </c>
      <c r="L2548">
        <v>0</v>
      </c>
      <c r="M2548">
        <v>13</v>
      </c>
      <c r="N2548" t="s">
        <v>26</v>
      </c>
      <c r="O2548" t="s">
        <v>30</v>
      </c>
      <c r="P2548">
        <v>2.92871955007005</v>
      </c>
      <c r="Q2548">
        <v>1.5388133288919099</v>
      </c>
      <c r="R2548">
        <v>8.22546779412205</v>
      </c>
      <c r="S2548">
        <v>64</v>
      </c>
      <c r="T2548">
        <v>40</v>
      </c>
      <c r="U2548">
        <v>259.15905669715301</v>
      </c>
      <c r="V2548">
        <v>4.6345811051693398E-3</v>
      </c>
      <c r="W2548">
        <v>893683.15264806198</v>
      </c>
      <c r="X2548" t="s">
        <v>38</v>
      </c>
      <c r="Y2548">
        <f>1-746-732-6469</f>
        <v>-7946</v>
      </c>
    </row>
    <row r="2549" spans="1:25" x14ac:dyDescent="0.35">
      <c r="A2549">
        <v>38.9934953831592</v>
      </c>
      <c r="B2549">
        <v>-122.109147397157</v>
      </c>
      <c r="C2549" t="s">
        <v>29</v>
      </c>
      <c r="D2549">
        <v>26.3185756046332</v>
      </c>
      <c r="E2549">
        <v>3</v>
      </c>
      <c r="F2549">
        <v>2505</v>
      </c>
      <c r="G2549">
        <v>2</v>
      </c>
      <c r="H2549">
        <v>3</v>
      </c>
      <c r="I2549">
        <v>1997</v>
      </c>
      <c r="J2549">
        <v>0</v>
      </c>
      <c r="K2549">
        <v>1</v>
      </c>
      <c r="L2549">
        <v>0</v>
      </c>
      <c r="M2549">
        <v>14</v>
      </c>
      <c r="N2549" t="s">
        <v>41</v>
      </c>
      <c r="O2549" t="s">
        <v>32</v>
      </c>
      <c r="P2549">
        <v>13.4568510138182</v>
      </c>
      <c r="Q2549">
        <v>0.95649309046173403</v>
      </c>
      <c r="R2549">
        <v>3.95677868898755</v>
      </c>
      <c r="S2549">
        <v>22</v>
      </c>
      <c r="T2549">
        <v>74</v>
      </c>
      <c r="U2549">
        <v>670.355345772899</v>
      </c>
      <c r="V2549">
        <v>5.5888223552894196E-3</v>
      </c>
      <c r="W2549">
        <v>2045288.37413825</v>
      </c>
      <c r="X2549" t="s">
        <v>38</v>
      </c>
      <c r="Y2549">
        <f>1-712-239-8666</f>
        <v>-9616</v>
      </c>
    </row>
    <row r="2550" spans="1:25" x14ac:dyDescent="0.35">
      <c r="A2550">
        <v>34.365190989083203</v>
      </c>
      <c r="B2550">
        <v>-117.205308689994</v>
      </c>
      <c r="C2550" t="s">
        <v>25</v>
      </c>
      <c r="D2550">
        <v>10.299663712496899</v>
      </c>
      <c r="E2550">
        <v>0</v>
      </c>
      <c r="F2550">
        <v>3221</v>
      </c>
      <c r="G2550">
        <v>2</v>
      </c>
      <c r="H2550">
        <v>2</v>
      </c>
      <c r="I2550">
        <v>2005</v>
      </c>
      <c r="J2550">
        <v>0</v>
      </c>
      <c r="K2550">
        <v>1</v>
      </c>
      <c r="L2550">
        <v>0</v>
      </c>
      <c r="M2550">
        <v>2</v>
      </c>
      <c r="N2550" t="s">
        <v>41</v>
      </c>
      <c r="O2550" t="s">
        <v>27</v>
      </c>
      <c r="P2550">
        <v>9.56638414251338</v>
      </c>
      <c r="Q2550">
        <v>0.52319638286301695</v>
      </c>
      <c r="R2550">
        <v>6.6263656046729196</v>
      </c>
      <c r="S2550">
        <v>198</v>
      </c>
      <c r="T2550">
        <v>50</v>
      </c>
      <c r="U2550">
        <v>750.41863412654595</v>
      </c>
      <c r="V2550">
        <v>6.2092517851598805E-4</v>
      </c>
      <c r="W2550">
        <v>2626076.6602538601</v>
      </c>
      <c r="X2550" t="s">
        <v>44</v>
      </c>
      <c r="Y2550">
        <f>1-935-772-5106</f>
        <v>-6812</v>
      </c>
    </row>
    <row r="2551" spans="1:25" x14ac:dyDescent="0.35">
      <c r="A2551">
        <v>33.431968283013902</v>
      </c>
      <c r="B2551">
        <v>-120.410165529897</v>
      </c>
      <c r="C2551" t="s">
        <v>34</v>
      </c>
      <c r="D2551">
        <v>37.214195078329197</v>
      </c>
      <c r="E2551">
        <v>8</v>
      </c>
      <c r="F2551">
        <v>757</v>
      </c>
      <c r="G2551">
        <v>5</v>
      </c>
      <c r="H2551">
        <v>2</v>
      </c>
      <c r="I2551">
        <v>1964</v>
      </c>
      <c r="J2551">
        <v>0</v>
      </c>
      <c r="K2551">
        <v>1</v>
      </c>
      <c r="L2551">
        <v>1</v>
      </c>
      <c r="M2551">
        <v>13</v>
      </c>
      <c r="N2551" t="s">
        <v>37</v>
      </c>
      <c r="O2551" t="s">
        <v>30</v>
      </c>
      <c r="P2551">
        <v>13.612608561821199</v>
      </c>
      <c r="Q2551">
        <v>1.8442307272442999</v>
      </c>
      <c r="R2551">
        <v>2.5397538444673202</v>
      </c>
      <c r="S2551">
        <v>150</v>
      </c>
      <c r="T2551">
        <v>54</v>
      </c>
      <c r="U2551">
        <v>919.94811211971205</v>
      </c>
      <c r="V2551">
        <v>1.7173051519154499E-2</v>
      </c>
      <c r="W2551">
        <v>1170932.3213650701</v>
      </c>
      <c r="X2551" t="s">
        <v>39</v>
      </c>
      <c r="Y2551">
        <f>1-836-325-5385</f>
        <v>-6545</v>
      </c>
    </row>
    <row r="2552" spans="1:25" x14ac:dyDescent="0.35">
      <c r="A2552">
        <v>33.269771701409702</v>
      </c>
      <c r="B2552">
        <v>-119.74617158410599</v>
      </c>
      <c r="C2552" t="s">
        <v>25</v>
      </c>
      <c r="D2552">
        <v>19.5315031351637</v>
      </c>
      <c r="E2552">
        <v>9</v>
      </c>
      <c r="F2552">
        <v>936</v>
      </c>
      <c r="G2552">
        <v>5</v>
      </c>
      <c r="H2552">
        <v>3</v>
      </c>
      <c r="I2552">
        <v>1951</v>
      </c>
      <c r="J2552">
        <v>0</v>
      </c>
      <c r="K2552">
        <v>0</v>
      </c>
      <c r="L2552">
        <v>0</v>
      </c>
      <c r="M2552">
        <v>12</v>
      </c>
      <c r="N2552" t="s">
        <v>41</v>
      </c>
      <c r="O2552" t="s">
        <v>30</v>
      </c>
      <c r="P2552">
        <v>5.2829169802051297</v>
      </c>
      <c r="Q2552">
        <v>2.0666262223986598</v>
      </c>
      <c r="R2552">
        <v>2.9181259138311901</v>
      </c>
      <c r="S2552">
        <v>105</v>
      </c>
      <c r="T2552">
        <v>74</v>
      </c>
      <c r="U2552">
        <v>503.38936501343198</v>
      </c>
      <c r="V2552">
        <v>1.2820512820512799E-2</v>
      </c>
      <c r="W2552">
        <v>781274.19736721099</v>
      </c>
      <c r="X2552" t="s">
        <v>42</v>
      </c>
      <c r="Y2552">
        <f>1-943-473-2668</f>
        <v>-4083</v>
      </c>
    </row>
    <row r="2553" spans="1:25" x14ac:dyDescent="0.35">
      <c r="A2553">
        <v>34.212873934696198</v>
      </c>
      <c r="B2553">
        <v>-122.23753753393601</v>
      </c>
      <c r="C2553" t="s">
        <v>25</v>
      </c>
      <c r="D2553">
        <v>9.6214763221270996</v>
      </c>
      <c r="E2553">
        <v>8</v>
      </c>
      <c r="F2553">
        <v>3817</v>
      </c>
      <c r="G2553">
        <v>2</v>
      </c>
      <c r="H2553">
        <v>1</v>
      </c>
      <c r="I2553">
        <v>1994</v>
      </c>
      <c r="J2553">
        <v>1</v>
      </c>
      <c r="K2553">
        <v>0</v>
      </c>
      <c r="L2553">
        <v>0</v>
      </c>
      <c r="M2553">
        <v>13</v>
      </c>
      <c r="N2553" t="s">
        <v>35</v>
      </c>
      <c r="O2553" t="s">
        <v>30</v>
      </c>
      <c r="P2553">
        <v>10.3474384157669</v>
      </c>
      <c r="Q2553">
        <v>1.52062128923971</v>
      </c>
      <c r="R2553">
        <v>2.7223206682707</v>
      </c>
      <c r="S2553">
        <v>86</v>
      </c>
      <c r="T2553">
        <v>71</v>
      </c>
      <c r="U2553">
        <v>533.82978410020905</v>
      </c>
      <c r="V2553">
        <v>3.40581608593135E-3</v>
      </c>
      <c r="W2553">
        <v>2290316.2545307698</v>
      </c>
      <c r="X2553" t="s">
        <v>40</v>
      </c>
      <c r="Y2553">
        <f>1-852-993-1633</f>
        <v>-3477</v>
      </c>
    </row>
    <row r="2554" spans="1:25" x14ac:dyDescent="0.35">
      <c r="A2554">
        <v>37.331756068327699</v>
      </c>
      <c r="B2554">
        <v>-122.80032187380699</v>
      </c>
      <c r="C2554" t="s">
        <v>25</v>
      </c>
      <c r="D2554">
        <v>26.8187744148834</v>
      </c>
      <c r="E2554">
        <v>8</v>
      </c>
      <c r="F2554">
        <v>2992</v>
      </c>
      <c r="G2554">
        <v>3</v>
      </c>
      <c r="H2554">
        <v>3</v>
      </c>
      <c r="I2554">
        <v>2010</v>
      </c>
      <c r="J2554">
        <v>1</v>
      </c>
      <c r="K2554">
        <v>0</v>
      </c>
      <c r="L2554">
        <v>0</v>
      </c>
      <c r="M2554">
        <v>12</v>
      </c>
      <c r="N2554" t="s">
        <v>26</v>
      </c>
      <c r="O2554" t="s">
        <v>30</v>
      </c>
      <c r="P2554">
        <v>8.7440046626619008</v>
      </c>
      <c r="Q2554">
        <v>2.03803066554062</v>
      </c>
      <c r="R2554">
        <v>4.9086334820100204</v>
      </c>
      <c r="S2554">
        <v>25</v>
      </c>
      <c r="T2554">
        <v>62</v>
      </c>
      <c r="U2554">
        <v>255.830625329789</v>
      </c>
      <c r="V2554">
        <v>4.0106951871657697E-3</v>
      </c>
      <c r="W2554">
        <v>1048556.5065295401</v>
      </c>
      <c r="X2554" t="s">
        <v>36</v>
      </c>
      <c r="Y2554">
        <f>1-903-868-2517</f>
        <v>-4287</v>
      </c>
    </row>
    <row r="2555" spans="1:25" x14ac:dyDescent="0.35">
      <c r="A2555">
        <v>32.853997926116101</v>
      </c>
      <c r="B2555">
        <v>-114.824952246824</v>
      </c>
      <c r="C2555" t="s">
        <v>25</v>
      </c>
      <c r="D2555">
        <v>13.943158449135099</v>
      </c>
      <c r="E2555">
        <v>2</v>
      </c>
      <c r="F2555">
        <v>900</v>
      </c>
      <c r="G2555">
        <v>5</v>
      </c>
      <c r="H2555">
        <v>1</v>
      </c>
      <c r="I2555">
        <v>1957</v>
      </c>
      <c r="J2555">
        <v>1</v>
      </c>
      <c r="K2555">
        <v>1</v>
      </c>
      <c r="L2555">
        <v>1</v>
      </c>
      <c r="M2555">
        <v>4</v>
      </c>
      <c r="N2555" t="s">
        <v>41</v>
      </c>
      <c r="O2555" t="s">
        <v>27</v>
      </c>
      <c r="P2555">
        <v>6.4873454629537601</v>
      </c>
      <c r="Q2555">
        <v>1.9533654837866401</v>
      </c>
      <c r="R2555">
        <v>3.7526599809967598</v>
      </c>
      <c r="S2555">
        <v>149</v>
      </c>
      <c r="T2555">
        <v>26</v>
      </c>
      <c r="U2555">
        <v>752.43084208225901</v>
      </c>
      <c r="V2555">
        <v>4.4444444444444401E-3</v>
      </c>
      <c r="W2555">
        <v>1007999.6958689</v>
      </c>
      <c r="X2555" t="s">
        <v>31</v>
      </c>
      <c r="Y2555">
        <f>1-845-394-6422</f>
        <v>-7660</v>
      </c>
    </row>
    <row r="2556" spans="1:25" x14ac:dyDescent="0.35">
      <c r="A2556">
        <v>40.760384128352896</v>
      </c>
      <c r="B2556">
        <v>-123.381059576236</v>
      </c>
      <c r="C2556" t="s">
        <v>25</v>
      </c>
      <c r="D2556">
        <v>11.367601451102599</v>
      </c>
      <c r="E2556">
        <v>8</v>
      </c>
      <c r="F2556">
        <v>1166</v>
      </c>
      <c r="G2556">
        <v>3</v>
      </c>
      <c r="H2556">
        <v>1</v>
      </c>
      <c r="I2556">
        <v>1997</v>
      </c>
      <c r="J2556">
        <v>1</v>
      </c>
      <c r="K2556">
        <v>1</v>
      </c>
      <c r="L2556">
        <v>1</v>
      </c>
      <c r="M2556">
        <v>9</v>
      </c>
      <c r="N2556" t="s">
        <v>41</v>
      </c>
      <c r="O2556" t="s">
        <v>27</v>
      </c>
      <c r="P2556">
        <v>8.3990849450359502</v>
      </c>
      <c r="Q2556">
        <v>1.6242480078605901</v>
      </c>
      <c r="R2556">
        <v>0.57999033256431998</v>
      </c>
      <c r="S2556">
        <v>159</v>
      </c>
      <c r="T2556">
        <v>45</v>
      </c>
      <c r="U2556">
        <v>568.72942589508602</v>
      </c>
      <c r="V2556">
        <v>7.7186963979416802E-3</v>
      </c>
      <c r="W2556">
        <v>1115325.65395697</v>
      </c>
      <c r="X2556" t="s">
        <v>28</v>
      </c>
      <c r="Y2556">
        <f>1-802-101-4807</f>
        <v>-5709</v>
      </c>
    </row>
    <row r="2557" spans="1:25" x14ac:dyDescent="0.35">
      <c r="A2557">
        <v>39.430638328180002</v>
      </c>
      <c r="B2557">
        <v>-117.23381795880699</v>
      </c>
      <c r="C2557" t="s">
        <v>29</v>
      </c>
      <c r="D2557">
        <v>7.1691529926552304</v>
      </c>
      <c r="E2557">
        <v>0</v>
      </c>
      <c r="F2557">
        <v>4122</v>
      </c>
      <c r="G2557">
        <v>2</v>
      </c>
      <c r="H2557">
        <v>1</v>
      </c>
      <c r="I2557">
        <v>2018</v>
      </c>
      <c r="J2557">
        <v>0</v>
      </c>
      <c r="K2557">
        <v>1</v>
      </c>
      <c r="L2557">
        <v>0</v>
      </c>
      <c r="M2557">
        <v>7</v>
      </c>
      <c r="N2557" t="s">
        <v>26</v>
      </c>
      <c r="O2557" t="s">
        <v>32</v>
      </c>
      <c r="P2557">
        <v>9.5100454537553194</v>
      </c>
      <c r="Q2557">
        <v>0.83610190160574704</v>
      </c>
      <c r="R2557">
        <v>1.7729560687191599</v>
      </c>
      <c r="S2557">
        <v>84</v>
      </c>
      <c r="T2557">
        <v>76</v>
      </c>
      <c r="U2557">
        <v>395.66026500930201</v>
      </c>
      <c r="V2557">
        <v>1.69820475497331E-3</v>
      </c>
      <c r="W2557">
        <v>1895048.06657041</v>
      </c>
      <c r="X2557" t="s">
        <v>31</v>
      </c>
      <c r="Y2557">
        <f>1-533-944-3830</f>
        <v>-5306</v>
      </c>
    </row>
    <row r="2558" spans="1:25" x14ac:dyDescent="0.35">
      <c r="A2558">
        <v>33.17087691343</v>
      </c>
      <c r="B2558">
        <v>-120.367822085112</v>
      </c>
      <c r="C2558" t="s">
        <v>34</v>
      </c>
      <c r="D2558">
        <v>30.9208394344993</v>
      </c>
      <c r="E2558">
        <v>8</v>
      </c>
      <c r="F2558">
        <v>557</v>
      </c>
      <c r="G2558">
        <v>1</v>
      </c>
      <c r="H2558">
        <v>3</v>
      </c>
      <c r="I2558">
        <v>2020</v>
      </c>
      <c r="J2558">
        <v>1</v>
      </c>
      <c r="K2558">
        <v>0</v>
      </c>
      <c r="L2558">
        <v>0</v>
      </c>
      <c r="M2558">
        <v>2</v>
      </c>
      <c r="N2558" t="s">
        <v>26</v>
      </c>
      <c r="O2558" t="s">
        <v>27</v>
      </c>
      <c r="P2558">
        <v>5.5217450567885802</v>
      </c>
      <c r="Q2558">
        <v>1.7123063362463</v>
      </c>
      <c r="R2558">
        <v>4.6247132542860703</v>
      </c>
      <c r="S2558">
        <v>159</v>
      </c>
      <c r="T2558">
        <v>70</v>
      </c>
      <c r="U2558">
        <v>398.76497159855001</v>
      </c>
      <c r="V2558">
        <v>3.5906642728904801E-3</v>
      </c>
      <c r="W2558">
        <v>305613.545607095</v>
      </c>
      <c r="X2558" t="s">
        <v>38</v>
      </c>
      <c r="Y2558">
        <f>1-227-632-4617</f>
        <v>-5475</v>
      </c>
    </row>
    <row r="2559" spans="1:25" x14ac:dyDescent="0.35">
      <c r="A2559">
        <v>36.868483802248903</v>
      </c>
      <c r="B2559">
        <v>-119.029620990034</v>
      </c>
      <c r="C2559" t="s">
        <v>34</v>
      </c>
      <c r="D2559">
        <v>45.075838858745101</v>
      </c>
      <c r="E2559">
        <v>7</v>
      </c>
      <c r="F2559">
        <v>842</v>
      </c>
      <c r="G2559">
        <v>4</v>
      </c>
      <c r="H2559">
        <v>1</v>
      </c>
      <c r="I2559">
        <v>1951</v>
      </c>
      <c r="J2559">
        <v>1</v>
      </c>
      <c r="K2559">
        <v>1</v>
      </c>
      <c r="L2559">
        <v>0</v>
      </c>
      <c r="M2559">
        <v>5</v>
      </c>
      <c r="N2559" t="s">
        <v>26</v>
      </c>
      <c r="O2559" t="s">
        <v>30</v>
      </c>
      <c r="P2559">
        <v>12.561281281129499</v>
      </c>
      <c r="Q2559">
        <v>1.0630050576054999</v>
      </c>
      <c r="R2559">
        <v>8.7907072480467008</v>
      </c>
      <c r="S2559">
        <v>67</v>
      </c>
      <c r="T2559">
        <v>75</v>
      </c>
      <c r="U2559">
        <v>539.51099699541101</v>
      </c>
      <c r="V2559">
        <v>5.9382422802850303E-3</v>
      </c>
      <c r="W2559">
        <v>872846.26214539795</v>
      </c>
      <c r="X2559" t="s">
        <v>33</v>
      </c>
      <c r="Y2559">
        <f>1-426-810-9159</f>
        <v>-10394</v>
      </c>
    </row>
    <row r="2560" spans="1:25" x14ac:dyDescent="0.35">
      <c r="A2560">
        <v>33.745523289693203</v>
      </c>
      <c r="B2560">
        <v>-120.106397790901</v>
      </c>
      <c r="C2560" t="s">
        <v>29</v>
      </c>
      <c r="D2560">
        <v>47.392410260052998</v>
      </c>
      <c r="E2560">
        <v>8</v>
      </c>
      <c r="F2560">
        <v>1950</v>
      </c>
      <c r="G2560">
        <v>2</v>
      </c>
      <c r="H2560">
        <v>2</v>
      </c>
      <c r="I2560">
        <v>2004</v>
      </c>
      <c r="J2560">
        <v>0</v>
      </c>
      <c r="K2560">
        <v>0</v>
      </c>
      <c r="L2560">
        <v>1</v>
      </c>
      <c r="M2560">
        <v>10</v>
      </c>
      <c r="N2560" t="s">
        <v>26</v>
      </c>
      <c r="O2560" t="s">
        <v>32</v>
      </c>
      <c r="P2560">
        <v>2.87418676481402</v>
      </c>
      <c r="Q2560">
        <v>1.85438844872776</v>
      </c>
      <c r="R2560">
        <v>7.6575965997912698</v>
      </c>
      <c r="S2560">
        <v>91</v>
      </c>
      <c r="T2560">
        <v>46</v>
      </c>
      <c r="U2560">
        <v>351.56948966799598</v>
      </c>
      <c r="V2560">
        <v>5.1282051282051204E-3</v>
      </c>
      <c r="W2560">
        <v>786898.43216996803</v>
      </c>
      <c r="X2560" t="s">
        <v>36</v>
      </c>
      <c r="Y2560">
        <f>1-410-756-5398</f>
        <v>-6563</v>
      </c>
    </row>
    <row r="2561" spans="1:25" x14ac:dyDescent="0.35">
      <c r="A2561">
        <v>41.484456171255403</v>
      </c>
      <c r="B2561">
        <v>-117.329918232924</v>
      </c>
      <c r="C2561" t="s">
        <v>29</v>
      </c>
      <c r="D2561">
        <v>23.859071328401399</v>
      </c>
      <c r="E2561">
        <v>6</v>
      </c>
      <c r="F2561">
        <v>1421</v>
      </c>
      <c r="G2561">
        <v>3</v>
      </c>
      <c r="H2561">
        <v>2</v>
      </c>
      <c r="I2561">
        <v>1987</v>
      </c>
      <c r="J2561">
        <v>1</v>
      </c>
      <c r="K2561">
        <v>1</v>
      </c>
      <c r="L2561">
        <v>0</v>
      </c>
      <c r="M2561">
        <v>11</v>
      </c>
      <c r="N2561" t="s">
        <v>35</v>
      </c>
      <c r="O2561" t="s">
        <v>30</v>
      </c>
      <c r="P2561">
        <v>6.0011613711317402</v>
      </c>
      <c r="Q2561">
        <v>0.56168926996636503</v>
      </c>
      <c r="R2561">
        <v>9.3104502150137307</v>
      </c>
      <c r="S2561">
        <v>6</v>
      </c>
      <c r="T2561">
        <v>50</v>
      </c>
      <c r="U2561">
        <v>315.76555938901799</v>
      </c>
      <c r="V2561">
        <v>7.74102744546094E-3</v>
      </c>
      <c r="W2561">
        <v>721900.80659236002</v>
      </c>
      <c r="X2561" t="s">
        <v>38</v>
      </c>
      <c r="Y2561">
        <f>1-435-770-1795</f>
        <v>-2999</v>
      </c>
    </row>
    <row r="2562" spans="1:25" x14ac:dyDescent="0.35">
      <c r="A2562">
        <v>33.062797458914801</v>
      </c>
      <c r="B2562">
        <v>-118.930357735393</v>
      </c>
      <c r="C2562" t="s">
        <v>25</v>
      </c>
      <c r="D2562">
        <v>42.897159871494701</v>
      </c>
      <c r="E2562">
        <v>7</v>
      </c>
      <c r="F2562">
        <v>4277</v>
      </c>
      <c r="G2562">
        <v>4</v>
      </c>
      <c r="H2562">
        <v>1</v>
      </c>
      <c r="I2562">
        <v>2001</v>
      </c>
      <c r="J2562">
        <v>0</v>
      </c>
      <c r="K2562">
        <v>1</v>
      </c>
      <c r="L2562">
        <v>0</v>
      </c>
      <c r="M2562">
        <v>5</v>
      </c>
      <c r="N2562" t="s">
        <v>41</v>
      </c>
      <c r="O2562" t="s">
        <v>30</v>
      </c>
      <c r="P2562">
        <v>4.2087245713695802</v>
      </c>
      <c r="Q2562">
        <v>2.0840442547572202</v>
      </c>
      <c r="R2562">
        <v>6.4853886907234202</v>
      </c>
      <c r="S2562">
        <v>187</v>
      </c>
      <c r="T2562">
        <v>20</v>
      </c>
      <c r="U2562">
        <v>970.02516889933395</v>
      </c>
      <c r="V2562">
        <v>1.16904372223521E-3</v>
      </c>
      <c r="W2562">
        <v>4376070.7022911897</v>
      </c>
      <c r="X2562" t="s">
        <v>42</v>
      </c>
      <c r="Y2562">
        <f>1-648-249-9895</f>
        <v>-10791</v>
      </c>
    </row>
    <row r="2563" spans="1:25" x14ac:dyDescent="0.35">
      <c r="A2563">
        <v>33.790687548317301</v>
      </c>
      <c r="B2563">
        <v>-120.567370408496</v>
      </c>
      <c r="C2563" t="s">
        <v>29</v>
      </c>
      <c r="D2563">
        <v>21.4805835831033</v>
      </c>
      <c r="E2563">
        <v>3</v>
      </c>
      <c r="F2563">
        <v>3329</v>
      </c>
      <c r="G2563">
        <v>2</v>
      </c>
      <c r="H2563">
        <v>1</v>
      </c>
      <c r="I2563">
        <v>2010</v>
      </c>
      <c r="J2563">
        <v>0</v>
      </c>
      <c r="K2563">
        <v>0</v>
      </c>
      <c r="L2563">
        <v>0</v>
      </c>
      <c r="M2563">
        <v>5</v>
      </c>
      <c r="N2563" t="s">
        <v>26</v>
      </c>
      <c r="O2563" t="s">
        <v>27</v>
      </c>
      <c r="P2563">
        <v>7.0900253273565204</v>
      </c>
      <c r="Q2563">
        <v>1.71348086020644</v>
      </c>
      <c r="R2563">
        <v>4.6751464072350597</v>
      </c>
      <c r="S2563">
        <v>93</v>
      </c>
      <c r="T2563">
        <v>70</v>
      </c>
      <c r="U2563">
        <v>795.15683704882497</v>
      </c>
      <c r="V2563">
        <v>1.5019525382997799E-3</v>
      </c>
      <c r="W2563">
        <v>2766788.29781244</v>
      </c>
      <c r="X2563" t="s">
        <v>36</v>
      </c>
      <c r="Y2563">
        <f>1-834-666-9610</f>
        <v>-11109</v>
      </c>
    </row>
    <row r="2564" spans="1:25" x14ac:dyDescent="0.35">
      <c r="A2564">
        <v>41.308527369784201</v>
      </c>
      <c r="B2564">
        <v>-119.590925838271</v>
      </c>
      <c r="C2564" t="s">
        <v>34</v>
      </c>
      <c r="D2564">
        <v>30.8220099788646</v>
      </c>
      <c r="E2564">
        <v>9</v>
      </c>
      <c r="F2564">
        <v>4874</v>
      </c>
      <c r="G2564">
        <v>1</v>
      </c>
      <c r="H2564">
        <v>1</v>
      </c>
      <c r="I2564">
        <v>2009</v>
      </c>
      <c r="J2564">
        <v>0</v>
      </c>
      <c r="K2564">
        <v>0</v>
      </c>
      <c r="L2564">
        <v>1</v>
      </c>
      <c r="M2564">
        <v>12</v>
      </c>
      <c r="N2564" t="s">
        <v>26</v>
      </c>
      <c r="O2564" t="s">
        <v>27</v>
      </c>
      <c r="P2564">
        <v>9.3941488891941294</v>
      </c>
      <c r="Q2564">
        <v>1.3423906062564499</v>
      </c>
      <c r="R2564">
        <v>1.0657063013303001</v>
      </c>
      <c r="S2564">
        <v>16</v>
      </c>
      <c r="T2564">
        <v>22</v>
      </c>
      <c r="U2564">
        <v>517.97349911947902</v>
      </c>
      <c r="V2564">
        <v>2.4620434961017601E-3</v>
      </c>
      <c r="W2564">
        <v>2679717.2243028199</v>
      </c>
      <c r="X2564" t="s">
        <v>33</v>
      </c>
      <c r="Y2564">
        <f>1-421-331-8945</f>
        <v>-9696</v>
      </c>
    </row>
    <row r="2565" spans="1:25" x14ac:dyDescent="0.35">
      <c r="A2565">
        <v>34.372568639038697</v>
      </c>
      <c r="B2565">
        <v>-123.84899612388701</v>
      </c>
      <c r="C2565" t="s">
        <v>29</v>
      </c>
      <c r="D2565">
        <v>35.0188556343032</v>
      </c>
      <c r="E2565">
        <v>6</v>
      </c>
      <c r="F2565">
        <v>3612</v>
      </c>
      <c r="G2565">
        <v>2</v>
      </c>
      <c r="H2565">
        <v>2</v>
      </c>
      <c r="I2565">
        <v>1997</v>
      </c>
      <c r="J2565">
        <v>0</v>
      </c>
      <c r="K2565">
        <v>0</v>
      </c>
      <c r="L2565">
        <v>1</v>
      </c>
      <c r="M2565">
        <v>6</v>
      </c>
      <c r="N2565" t="s">
        <v>35</v>
      </c>
      <c r="O2565" t="s">
        <v>27</v>
      </c>
      <c r="P2565">
        <v>6.85122280793831</v>
      </c>
      <c r="Q2565">
        <v>0.82190804481800905</v>
      </c>
      <c r="R2565">
        <v>4.0362654724711904</v>
      </c>
      <c r="S2565">
        <v>178</v>
      </c>
      <c r="T2565">
        <v>42</v>
      </c>
      <c r="U2565">
        <v>902.68440399466795</v>
      </c>
      <c r="V2565">
        <v>1.6611295681063099E-3</v>
      </c>
      <c r="W2565">
        <v>3415975.3523462401</v>
      </c>
      <c r="X2565" t="s">
        <v>44</v>
      </c>
      <c r="Y2565">
        <f>1-233-375-8036</f>
        <v>-8643</v>
      </c>
    </row>
    <row r="2566" spans="1:25" x14ac:dyDescent="0.35">
      <c r="A2566">
        <v>34.593018089196399</v>
      </c>
      <c r="B2566">
        <v>-118.200022229487</v>
      </c>
      <c r="C2566" t="s">
        <v>34</v>
      </c>
      <c r="D2566">
        <v>16.230832269640501</v>
      </c>
      <c r="E2566">
        <v>5</v>
      </c>
      <c r="F2566">
        <v>3193</v>
      </c>
      <c r="G2566">
        <v>3</v>
      </c>
      <c r="H2566">
        <v>3</v>
      </c>
      <c r="I2566">
        <v>2005</v>
      </c>
      <c r="J2566">
        <v>1</v>
      </c>
      <c r="K2566">
        <v>1</v>
      </c>
      <c r="L2566">
        <v>1</v>
      </c>
      <c r="M2566">
        <v>10</v>
      </c>
      <c r="N2566" t="s">
        <v>26</v>
      </c>
      <c r="O2566" t="s">
        <v>32</v>
      </c>
      <c r="P2566">
        <v>4.9024665030251304</v>
      </c>
      <c r="Q2566">
        <v>1.48373566100348</v>
      </c>
      <c r="R2566">
        <v>9.9664055643310903</v>
      </c>
      <c r="S2566">
        <v>51</v>
      </c>
      <c r="T2566">
        <v>53</v>
      </c>
      <c r="U2566">
        <v>859.19172074297899</v>
      </c>
      <c r="V2566">
        <v>3.1318509238960198E-3</v>
      </c>
      <c r="W2566">
        <v>3142861.73736005</v>
      </c>
      <c r="X2566" t="s">
        <v>36</v>
      </c>
      <c r="Y2566">
        <f>1-800-389-2252</f>
        <v>-3440</v>
      </c>
    </row>
    <row r="2567" spans="1:25" x14ac:dyDescent="0.35">
      <c r="A2567">
        <v>37.342404356949402</v>
      </c>
      <c r="B2567">
        <v>-116.407972887423</v>
      </c>
      <c r="C2567" t="s">
        <v>29</v>
      </c>
      <c r="D2567">
        <v>33.443762970933101</v>
      </c>
      <c r="E2567">
        <v>7</v>
      </c>
      <c r="F2567">
        <v>914</v>
      </c>
      <c r="G2567">
        <v>3</v>
      </c>
      <c r="H2567">
        <v>1</v>
      </c>
      <c r="I2567">
        <v>2003</v>
      </c>
      <c r="J2567">
        <v>0</v>
      </c>
      <c r="K2567">
        <v>0</v>
      </c>
      <c r="L2567">
        <v>1</v>
      </c>
      <c r="M2567">
        <v>2</v>
      </c>
      <c r="N2567" t="s">
        <v>35</v>
      </c>
      <c r="O2567" t="s">
        <v>30</v>
      </c>
      <c r="P2567">
        <v>14.849649419966299</v>
      </c>
      <c r="Q2567">
        <v>0.96695643892341998</v>
      </c>
      <c r="R2567">
        <v>7.6274951869659597</v>
      </c>
      <c r="S2567">
        <v>39</v>
      </c>
      <c r="T2567">
        <v>76</v>
      </c>
      <c r="U2567">
        <v>513.41365647978705</v>
      </c>
      <c r="V2567">
        <v>2.1881838074398201E-3</v>
      </c>
      <c r="W2567">
        <v>852384.21533884399</v>
      </c>
      <c r="X2567" t="s">
        <v>38</v>
      </c>
      <c r="Y2567">
        <f>1-884-616-6463</f>
        <v>-7962</v>
      </c>
    </row>
    <row r="2568" spans="1:25" x14ac:dyDescent="0.35">
      <c r="A2568">
        <v>36.4286910334636</v>
      </c>
      <c r="B2568">
        <v>-124.451288702841</v>
      </c>
      <c r="C2568" t="s">
        <v>34</v>
      </c>
      <c r="D2568">
        <v>38.8647312219288</v>
      </c>
      <c r="E2568">
        <v>6</v>
      </c>
      <c r="F2568">
        <v>809</v>
      </c>
      <c r="G2568">
        <v>5</v>
      </c>
      <c r="H2568">
        <v>3</v>
      </c>
      <c r="I2568">
        <v>1978</v>
      </c>
      <c r="J2568">
        <v>0</v>
      </c>
      <c r="K2568">
        <v>1</v>
      </c>
      <c r="L2568">
        <v>1</v>
      </c>
      <c r="M2568">
        <v>11</v>
      </c>
      <c r="N2568" t="s">
        <v>41</v>
      </c>
      <c r="O2568" t="s">
        <v>27</v>
      </c>
      <c r="P2568">
        <v>2.2694318656456201</v>
      </c>
      <c r="Q2568">
        <v>1.20551761449793</v>
      </c>
      <c r="R2568">
        <v>9.84886846425489</v>
      </c>
      <c r="S2568">
        <v>143</v>
      </c>
      <c r="T2568">
        <v>68</v>
      </c>
      <c r="U2568">
        <v>912.69629269579502</v>
      </c>
      <c r="V2568">
        <v>1.35970333745364E-2</v>
      </c>
      <c r="W2568">
        <v>1067349.9851043101</v>
      </c>
      <c r="X2568" t="s">
        <v>44</v>
      </c>
      <c r="Y2568">
        <f>1-549-300-3591</f>
        <v>-4439</v>
      </c>
    </row>
    <row r="2569" spans="1:25" x14ac:dyDescent="0.35">
      <c r="A2569">
        <v>34.323971792354001</v>
      </c>
      <c r="B2569">
        <v>-122.193047007746</v>
      </c>
      <c r="C2569" t="s">
        <v>29</v>
      </c>
      <c r="D2569">
        <v>42.299005013778199</v>
      </c>
      <c r="E2569">
        <v>1</v>
      </c>
      <c r="F2569">
        <v>610</v>
      </c>
      <c r="G2569">
        <v>1</v>
      </c>
      <c r="H2569">
        <v>1</v>
      </c>
      <c r="I2569">
        <v>1984</v>
      </c>
      <c r="J2569">
        <v>1</v>
      </c>
      <c r="K2569">
        <v>1</v>
      </c>
      <c r="L2569">
        <v>1</v>
      </c>
      <c r="M2569">
        <v>7</v>
      </c>
      <c r="N2569" t="s">
        <v>41</v>
      </c>
      <c r="O2569" t="s">
        <v>27</v>
      </c>
      <c r="P2569">
        <v>7.40316790239258</v>
      </c>
      <c r="Q2569">
        <v>0.73012611760884405</v>
      </c>
      <c r="R2569">
        <v>1.30978365437547</v>
      </c>
      <c r="S2569">
        <v>55</v>
      </c>
      <c r="T2569">
        <v>64</v>
      </c>
      <c r="U2569">
        <v>970.67247372057295</v>
      </c>
      <c r="V2569">
        <v>1.14754098360655E-2</v>
      </c>
      <c r="W2569">
        <v>894994.697631952</v>
      </c>
      <c r="X2569" t="s">
        <v>36</v>
      </c>
      <c r="Y2569">
        <f>1-899-297-5638</f>
        <v>-6833</v>
      </c>
    </row>
    <row r="2570" spans="1:25" x14ac:dyDescent="0.35">
      <c r="A2570">
        <v>32.931404391066799</v>
      </c>
      <c r="B2570">
        <v>-124.442037830291</v>
      </c>
      <c r="C2570" t="s">
        <v>25</v>
      </c>
      <c r="D2570">
        <v>33.229909867160302</v>
      </c>
      <c r="E2570">
        <v>4</v>
      </c>
      <c r="F2570">
        <v>2596</v>
      </c>
      <c r="G2570">
        <v>4</v>
      </c>
      <c r="H2570">
        <v>1</v>
      </c>
      <c r="I2570">
        <v>1978</v>
      </c>
      <c r="J2570">
        <v>0</v>
      </c>
      <c r="K2570">
        <v>1</v>
      </c>
      <c r="L2570">
        <v>1</v>
      </c>
      <c r="M2570">
        <v>9</v>
      </c>
      <c r="N2570" t="s">
        <v>37</v>
      </c>
      <c r="O2570" t="s">
        <v>30</v>
      </c>
      <c r="P2570">
        <v>2.1042109730988301</v>
      </c>
      <c r="Q2570">
        <v>2.0174847989429101</v>
      </c>
      <c r="R2570">
        <v>9.0671152581269308</v>
      </c>
      <c r="S2570">
        <v>71</v>
      </c>
      <c r="T2570">
        <v>53</v>
      </c>
      <c r="U2570">
        <v>922.241931114301</v>
      </c>
      <c r="V2570">
        <v>3.4668721109398998E-3</v>
      </c>
      <c r="W2570">
        <v>2572450.2406831202</v>
      </c>
      <c r="X2570" t="s">
        <v>28</v>
      </c>
      <c r="Y2570">
        <f>1-415-130-4577</f>
        <v>-5121</v>
      </c>
    </row>
    <row r="2571" spans="1:25" x14ac:dyDescent="0.35">
      <c r="A2571">
        <v>36.846097440681604</v>
      </c>
      <c r="B2571">
        <v>-118.00692432384</v>
      </c>
      <c r="C2571" t="s">
        <v>29</v>
      </c>
      <c r="D2571">
        <v>5.6797132953946798</v>
      </c>
      <c r="E2571">
        <v>4</v>
      </c>
      <c r="F2571">
        <v>1499</v>
      </c>
      <c r="G2571">
        <v>4</v>
      </c>
      <c r="H2571">
        <v>1</v>
      </c>
      <c r="I2571">
        <v>1998</v>
      </c>
      <c r="J2571">
        <v>1</v>
      </c>
      <c r="K2571">
        <v>0</v>
      </c>
      <c r="L2571">
        <v>0</v>
      </c>
      <c r="M2571">
        <v>13</v>
      </c>
      <c r="N2571" t="s">
        <v>41</v>
      </c>
      <c r="O2571" t="s">
        <v>27</v>
      </c>
      <c r="P2571">
        <v>13.323978917429001</v>
      </c>
      <c r="Q2571">
        <v>1.7865947955839101</v>
      </c>
      <c r="R2571">
        <v>7.7910291010785198</v>
      </c>
      <c r="S2571">
        <v>193</v>
      </c>
      <c r="T2571">
        <v>53</v>
      </c>
      <c r="U2571">
        <v>582.862942368022</v>
      </c>
      <c r="V2571">
        <v>8.6724482988659105E-3</v>
      </c>
      <c r="W2571">
        <v>1174537.47702921</v>
      </c>
      <c r="X2571" t="s">
        <v>33</v>
      </c>
      <c r="Y2571">
        <f>1-489-101-8563</f>
        <v>-9152</v>
      </c>
    </row>
    <row r="2572" spans="1:25" x14ac:dyDescent="0.35">
      <c r="A2572">
        <v>36.272251322268197</v>
      </c>
      <c r="B2572">
        <v>-114.109278468878</v>
      </c>
      <c r="C2572" t="s">
        <v>25</v>
      </c>
      <c r="D2572">
        <v>13.081790379804101</v>
      </c>
      <c r="E2572">
        <v>9</v>
      </c>
      <c r="F2572">
        <v>2021</v>
      </c>
      <c r="G2572">
        <v>5</v>
      </c>
      <c r="H2572">
        <v>2</v>
      </c>
      <c r="I2572">
        <v>2001</v>
      </c>
      <c r="J2572">
        <v>1</v>
      </c>
      <c r="K2572">
        <v>0</v>
      </c>
      <c r="L2572">
        <v>1</v>
      </c>
      <c r="M2572">
        <v>7</v>
      </c>
      <c r="N2572" t="s">
        <v>35</v>
      </c>
      <c r="O2572" t="s">
        <v>32</v>
      </c>
      <c r="P2572">
        <v>12.970403036877601</v>
      </c>
      <c r="Q2572">
        <v>1.59384768591293</v>
      </c>
      <c r="R2572">
        <v>9.9924417453318206</v>
      </c>
      <c r="S2572">
        <v>93</v>
      </c>
      <c r="T2572">
        <v>71</v>
      </c>
      <c r="U2572">
        <v>705.81086782298598</v>
      </c>
      <c r="V2572">
        <v>3.46363186541316E-3</v>
      </c>
      <c r="W2572">
        <v>1858794.2218180001</v>
      </c>
      <c r="X2572" t="s">
        <v>31</v>
      </c>
      <c r="Y2572">
        <f>1-266-597-1656</f>
        <v>-2518</v>
      </c>
    </row>
    <row r="2573" spans="1:25" x14ac:dyDescent="0.35">
      <c r="A2573">
        <v>36.835056317325297</v>
      </c>
      <c r="B2573">
        <v>-115.05675791261299</v>
      </c>
      <c r="C2573" t="s">
        <v>29</v>
      </c>
      <c r="D2573">
        <v>5.0084445470459</v>
      </c>
      <c r="E2573">
        <v>2</v>
      </c>
      <c r="F2573">
        <v>2436</v>
      </c>
      <c r="G2573">
        <v>2</v>
      </c>
      <c r="H2573">
        <v>2</v>
      </c>
      <c r="I2573">
        <v>1971</v>
      </c>
      <c r="J2573">
        <v>0</v>
      </c>
      <c r="K2573">
        <v>0</v>
      </c>
      <c r="L2573">
        <v>0</v>
      </c>
      <c r="M2573">
        <v>14</v>
      </c>
      <c r="N2573" t="s">
        <v>41</v>
      </c>
      <c r="O2573" t="s">
        <v>27</v>
      </c>
      <c r="P2573">
        <v>8.2449031901214394</v>
      </c>
      <c r="Q2573">
        <v>1.6141687970958301</v>
      </c>
      <c r="R2573">
        <v>4.7037273446264702</v>
      </c>
      <c r="S2573">
        <v>135</v>
      </c>
      <c r="T2573">
        <v>75</v>
      </c>
      <c r="U2573">
        <v>760.30094951883598</v>
      </c>
      <c r="V2573">
        <v>5.7471264367815996E-3</v>
      </c>
      <c r="W2573">
        <v>1939781.16332437</v>
      </c>
      <c r="X2573" t="s">
        <v>39</v>
      </c>
      <c r="Y2573">
        <f>1-898-664-2001</f>
        <v>-3562</v>
      </c>
    </row>
    <row r="2574" spans="1:25" x14ac:dyDescent="0.35">
      <c r="A2574">
        <v>38.537223805878497</v>
      </c>
      <c r="B2574">
        <v>-118.621716827171</v>
      </c>
      <c r="C2574" t="s">
        <v>25</v>
      </c>
      <c r="D2574">
        <v>3.39758769801908</v>
      </c>
      <c r="E2574">
        <v>1</v>
      </c>
      <c r="F2574">
        <v>4714</v>
      </c>
      <c r="G2574">
        <v>4</v>
      </c>
      <c r="H2574">
        <v>1</v>
      </c>
      <c r="I2574">
        <v>1954</v>
      </c>
      <c r="J2574">
        <v>1</v>
      </c>
      <c r="K2574">
        <v>0</v>
      </c>
      <c r="L2574">
        <v>1</v>
      </c>
      <c r="M2574">
        <v>10</v>
      </c>
      <c r="N2574" t="s">
        <v>26</v>
      </c>
      <c r="O2574" t="s">
        <v>30</v>
      </c>
      <c r="P2574">
        <v>2.9719999303818798</v>
      </c>
      <c r="Q2574">
        <v>1.3085624281649499</v>
      </c>
      <c r="R2574">
        <v>0.96234187267367199</v>
      </c>
      <c r="S2574">
        <v>90</v>
      </c>
      <c r="T2574">
        <v>22</v>
      </c>
      <c r="U2574">
        <v>298.561084822775</v>
      </c>
      <c r="V2574">
        <v>2.1213406873143801E-3</v>
      </c>
      <c r="W2574">
        <v>1664836.06800742</v>
      </c>
      <c r="X2574" t="s">
        <v>40</v>
      </c>
      <c r="Y2574">
        <f>1-646-541-8850</f>
        <v>-10036</v>
      </c>
    </row>
    <row r="2575" spans="1:25" x14ac:dyDescent="0.35">
      <c r="A2575">
        <v>40.107864524780901</v>
      </c>
      <c r="B2575">
        <v>-121.706511832736</v>
      </c>
      <c r="C2575" t="s">
        <v>29</v>
      </c>
      <c r="D2575">
        <v>48.650367980544097</v>
      </c>
      <c r="E2575">
        <v>3</v>
      </c>
      <c r="F2575">
        <v>4455</v>
      </c>
      <c r="G2575">
        <v>3</v>
      </c>
      <c r="H2575">
        <v>1</v>
      </c>
      <c r="I2575">
        <v>1989</v>
      </c>
      <c r="J2575">
        <v>0</v>
      </c>
      <c r="K2575">
        <v>1</v>
      </c>
      <c r="L2575">
        <v>0</v>
      </c>
      <c r="M2575">
        <v>10</v>
      </c>
      <c r="N2575" t="s">
        <v>41</v>
      </c>
      <c r="O2575" t="s">
        <v>30</v>
      </c>
      <c r="P2575">
        <v>14.299777704848299</v>
      </c>
      <c r="Q2575">
        <v>0.51231180241761198</v>
      </c>
      <c r="R2575">
        <v>9.2761395260530399</v>
      </c>
      <c r="S2575">
        <v>111</v>
      </c>
      <c r="T2575">
        <v>26</v>
      </c>
      <c r="U2575">
        <v>843.65540642788903</v>
      </c>
      <c r="V2575">
        <v>2.24466891133557E-3</v>
      </c>
      <c r="W2575">
        <v>4074168.7016210598</v>
      </c>
      <c r="X2575" t="s">
        <v>44</v>
      </c>
      <c r="Y2575">
        <f>1-928-264-6479</f>
        <v>-7670</v>
      </c>
    </row>
    <row r="2576" spans="1:25" x14ac:dyDescent="0.35">
      <c r="A2576">
        <v>35.607433045277702</v>
      </c>
      <c r="B2576">
        <v>-120.838716970908</v>
      </c>
      <c r="C2576" t="s">
        <v>29</v>
      </c>
      <c r="D2576">
        <v>14.656911452300699</v>
      </c>
      <c r="E2576">
        <v>1</v>
      </c>
      <c r="F2576">
        <v>4873</v>
      </c>
      <c r="G2576">
        <v>5</v>
      </c>
      <c r="H2576">
        <v>2</v>
      </c>
      <c r="I2576">
        <v>1978</v>
      </c>
      <c r="J2576">
        <v>1</v>
      </c>
      <c r="K2576">
        <v>0</v>
      </c>
      <c r="L2576">
        <v>1</v>
      </c>
      <c r="M2576">
        <v>13</v>
      </c>
      <c r="N2576" t="s">
        <v>37</v>
      </c>
      <c r="O2576" t="s">
        <v>27</v>
      </c>
      <c r="P2576">
        <v>13.154040462613599</v>
      </c>
      <c r="Q2576">
        <v>0.79352043504937197</v>
      </c>
      <c r="R2576">
        <v>5.2207134253513603</v>
      </c>
      <c r="S2576">
        <v>113</v>
      </c>
      <c r="T2576">
        <v>51</v>
      </c>
      <c r="U2576">
        <v>945.75351283873397</v>
      </c>
      <c r="V2576">
        <v>2.6677611327724101E-3</v>
      </c>
      <c r="W2576">
        <v>5060269.0382067198</v>
      </c>
      <c r="X2576" t="s">
        <v>43</v>
      </c>
      <c r="Y2576">
        <f>1-728-634-6018</f>
        <v>-7379</v>
      </c>
    </row>
    <row r="2577" spans="1:25" x14ac:dyDescent="0.35">
      <c r="A2577">
        <v>39.382635335547903</v>
      </c>
      <c r="B2577">
        <v>-119.646860042445</v>
      </c>
      <c r="C2577" t="s">
        <v>29</v>
      </c>
      <c r="D2577">
        <v>17.098818807814698</v>
      </c>
      <c r="E2577">
        <v>1</v>
      </c>
      <c r="F2577">
        <v>4196</v>
      </c>
      <c r="G2577">
        <v>4</v>
      </c>
      <c r="H2577">
        <v>2</v>
      </c>
      <c r="I2577">
        <v>1998</v>
      </c>
      <c r="J2577">
        <v>0</v>
      </c>
      <c r="K2577">
        <v>0</v>
      </c>
      <c r="L2577">
        <v>1</v>
      </c>
      <c r="M2577">
        <v>4</v>
      </c>
      <c r="N2577" t="s">
        <v>37</v>
      </c>
      <c r="O2577" t="s">
        <v>27</v>
      </c>
      <c r="P2577">
        <v>3.7104615147131699</v>
      </c>
      <c r="Q2577">
        <v>0.77061558270345099</v>
      </c>
      <c r="R2577">
        <v>3.9111169403348902</v>
      </c>
      <c r="S2577">
        <v>3</v>
      </c>
      <c r="T2577">
        <v>73</v>
      </c>
      <c r="U2577">
        <v>621.37415868476603</v>
      </c>
      <c r="V2577">
        <v>9.5328884652049503E-4</v>
      </c>
      <c r="W2577">
        <v>2864099.13892172</v>
      </c>
      <c r="X2577" t="s">
        <v>33</v>
      </c>
      <c r="Y2577">
        <f>1-639-175-2100</f>
        <v>-2913</v>
      </c>
    </row>
    <row r="2578" spans="1:25" x14ac:dyDescent="0.35">
      <c r="A2578">
        <v>34.6639844814881</v>
      </c>
      <c r="B2578">
        <v>-119.658596430735</v>
      </c>
      <c r="C2578" t="s">
        <v>34</v>
      </c>
      <c r="D2578">
        <v>11.1328032580052</v>
      </c>
      <c r="E2578">
        <v>9</v>
      </c>
      <c r="F2578">
        <v>3159</v>
      </c>
      <c r="G2578">
        <v>3</v>
      </c>
      <c r="H2578">
        <v>1</v>
      </c>
      <c r="I2578">
        <v>2015</v>
      </c>
      <c r="J2578">
        <v>0</v>
      </c>
      <c r="K2578">
        <v>0</v>
      </c>
      <c r="L2578">
        <v>1</v>
      </c>
      <c r="M2578">
        <v>9</v>
      </c>
      <c r="N2578" t="s">
        <v>37</v>
      </c>
      <c r="O2578" t="s">
        <v>30</v>
      </c>
      <c r="P2578">
        <v>12.5152892202857</v>
      </c>
      <c r="Q2578">
        <v>1.76436602139314</v>
      </c>
      <c r="R2578">
        <v>1.66659184931815</v>
      </c>
      <c r="S2578">
        <v>155</v>
      </c>
      <c r="T2578">
        <v>42</v>
      </c>
      <c r="U2578">
        <v>360.48354017733499</v>
      </c>
      <c r="V2578">
        <v>2.84900284900284E-3</v>
      </c>
      <c r="W2578">
        <v>1405021.3279442</v>
      </c>
      <c r="X2578" t="s">
        <v>39</v>
      </c>
      <c r="Y2578">
        <f>1-607-342-2584</f>
        <v>-3532</v>
      </c>
    </row>
    <row r="2579" spans="1:25" x14ac:dyDescent="0.35">
      <c r="A2579">
        <v>38.103213687647703</v>
      </c>
      <c r="B2579">
        <v>-118.36575239538701</v>
      </c>
      <c r="C2579" t="s">
        <v>34</v>
      </c>
      <c r="D2579">
        <v>29.471493644880599</v>
      </c>
      <c r="E2579">
        <v>4</v>
      </c>
      <c r="F2579">
        <v>4708</v>
      </c>
      <c r="G2579">
        <v>1</v>
      </c>
      <c r="H2579">
        <v>1</v>
      </c>
      <c r="I2579">
        <v>1980</v>
      </c>
      <c r="J2579">
        <v>1</v>
      </c>
      <c r="K2579">
        <v>0</v>
      </c>
      <c r="L2579">
        <v>1</v>
      </c>
      <c r="M2579">
        <v>14</v>
      </c>
      <c r="N2579" t="s">
        <v>37</v>
      </c>
      <c r="O2579" t="s">
        <v>30</v>
      </c>
      <c r="P2579">
        <v>13.3400093909363</v>
      </c>
      <c r="Q2579">
        <v>0.74325332731938698</v>
      </c>
      <c r="R2579">
        <v>8.4414572933603491</v>
      </c>
      <c r="S2579">
        <v>134</v>
      </c>
      <c r="T2579">
        <v>66</v>
      </c>
      <c r="U2579">
        <v>378.80142905186602</v>
      </c>
      <c r="V2579">
        <v>2.9736618521665199E-3</v>
      </c>
      <c r="W2579">
        <v>2051058.11135011</v>
      </c>
      <c r="X2579" t="s">
        <v>43</v>
      </c>
      <c r="Y2579">
        <f>1-213-477-9631</f>
        <v>-10320</v>
      </c>
    </row>
    <row r="2580" spans="1:25" x14ac:dyDescent="0.35">
      <c r="A2580">
        <v>35.318912215361003</v>
      </c>
      <c r="B2580">
        <v>-118.108303491432</v>
      </c>
      <c r="C2580" t="s">
        <v>25</v>
      </c>
      <c r="D2580">
        <v>14.7843681816637</v>
      </c>
      <c r="E2580">
        <v>9</v>
      </c>
      <c r="F2580">
        <v>1849</v>
      </c>
      <c r="G2580">
        <v>5</v>
      </c>
      <c r="H2580">
        <v>2</v>
      </c>
      <c r="I2580">
        <v>2003</v>
      </c>
      <c r="J2580">
        <v>1</v>
      </c>
      <c r="K2580">
        <v>0</v>
      </c>
      <c r="L2580">
        <v>1</v>
      </c>
      <c r="M2580">
        <v>4</v>
      </c>
      <c r="N2580" t="s">
        <v>26</v>
      </c>
      <c r="O2580" t="s">
        <v>32</v>
      </c>
      <c r="P2580">
        <v>5.4746232948270697</v>
      </c>
      <c r="Q2580">
        <v>0.98473858622419197</v>
      </c>
      <c r="R2580">
        <v>7.57656149177524</v>
      </c>
      <c r="S2580">
        <v>156</v>
      </c>
      <c r="T2580">
        <v>73</v>
      </c>
      <c r="U2580">
        <v>684.99375617549094</v>
      </c>
      <c r="V2580">
        <v>2.1633315305570498E-3</v>
      </c>
      <c r="W2580">
        <v>1646826.51009356</v>
      </c>
      <c r="X2580" t="s">
        <v>28</v>
      </c>
      <c r="Y2580">
        <f>1-860-677-4595</f>
        <v>-6131</v>
      </c>
    </row>
    <row r="2581" spans="1:25" x14ac:dyDescent="0.35">
      <c r="A2581">
        <v>35.520237394205601</v>
      </c>
      <c r="B2581">
        <v>-123.648234489692</v>
      </c>
      <c r="C2581" t="s">
        <v>25</v>
      </c>
      <c r="D2581">
        <v>10.359300070661201</v>
      </c>
      <c r="E2581">
        <v>3</v>
      </c>
      <c r="F2581">
        <v>2697</v>
      </c>
      <c r="G2581">
        <v>2</v>
      </c>
      <c r="H2581">
        <v>1</v>
      </c>
      <c r="I2581">
        <v>1973</v>
      </c>
      <c r="J2581">
        <v>1</v>
      </c>
      <c r="K2581">
        <v>0</v>
      </c>
      <c r="L2581">
        <v>1</v>
      </c>
      <c r="M2581">
        <v>14</v>
      </c>
      <c r="N2581" t="s">
        <v>26</v>
      </c>
      <c r="O2581" t="s">
        <v>32</v>
      </c>
      <c r="P2581">
        <v>6.3783467926338497</v>
      </c>
      <c r="Q2581">
        <v>1.89312886913453</v>
      </c>
      <c r="R2581">
        <v>2.9626977926018601</v>
      </c>
      <c r="S2581">
        <v>192</v>
      </c>
      <c r="T2581">
        <v>35</v>
      </c>
      <c r="U2581">
        <v>496.26384668035399</v>
      </c>
      <c r="V2581">
        <v>5.1909529106414498E-3</v>
      </c>
      <c r="W2581">
        <v>1542263.6595689801</v>
      </c>
      <c r="X2581" t="s">
        <v>28</v>
      </c>
      <c r="Y2581">
        <f>1-252-483-6391</f>
        <v>-7125</v>
      </c>
    </row>
    <row r="2582" spans="1:25" x14ac:dyDescent="0.35">
      <c r="A2582">
        <v>37.6655988863427</v>
      </c>
      <c r="B2582">
        <v>-115.29857668897</v>
      </c>
      <c r="C2582" t="s">
        <v>34</v>
      </c>
      <c r="D2582">
        <v>6.9230674650343103</v>
      </c>
      <c r="E2582">
        <v>7</v>
      </c>
      <c r="F2582">
        <v>1077</v>
      </c>
      <c r="G2582">
        <v>5</v>
      </c>
      <c r="H2582">
        <v>2</v>
      </c>
      <c r="I2582">
        <v>2012</v>
      </c>
      <c r="J2582">
        <v>1</v>
      </c>
      <c r="K2582">
        <v>1</v>
      </c>
      <c r="L2582">
        <v>1</v>
      </c>
      <c r="M2582">
        <v>8</v>
      </c>
      <c r="N2582" t="s">
        <v>35</v>
      </c>
      <c r="O2582" t="s">
        <v>32</v>
      </c>
      <c r="P2582">
        <v>14.331597837857601</v>
      </c>
      <c r="Q2582">
        <v>0.94264658058184403</v>
      </c>
      <c r="R2582">
        <v>1.20244063079498</v>
      </c>
      <c r="S2582">
        <v>20</v>
      </c>
      <c r="T2582">
        <v>38</v>
      </c>
      <c r="U2582">
        <v>990.61323378525901</v>
      </c>
      <c r="V2582">
        <v>7.4280408542246896E-3</v>
      </c>
      <c r="W2582">
        <v>1659243.6771136301</v>
      </c>
      <c r="X2582" t="s">
        <v>40</v>
      </c>
      <c r="Y2582">
        <f>1-308-742-1801</f>
        <v>-2850</v>
      </c>
    </row>
    <row r="2583" spans="1:25" x14ac:dyDescent="0.35">
      <c r="A2583">
        <v>35.947874017270401</v>
      </c>
      <c r="B2583">
        <v>-122.42239804223701</v>
      </c>
      <c r="C2583" t="s">
        <v>25</v>
      </c>
      <c r="D2583">
        <v>9.9263951865883797</v>
      </c>
      <c r="E2583">
        <v>4</v>
      </c>
      <c r="F2583">
        <v>3091</v>
      </c>
      <c r="G2583">
        <v>4</v>
      </c>
      <c r="H2583">
        <v>3</v>
      </c>
      <c r="I2583">
        <v>1972</v>
      </c>
      <c r="J2583">
        <v>1</v>
      </c>
      <c r="K2583">
        <v>0</v>
      </c>
      <c r="L2583">
        <v>0</v>
      </c>
      <c r="M2583">
        <v>6</v>
      </c>
      <c r="N2583" t="s">
        <v>37</v>
      </c>
      <c r="O2583" t="s">
        <v>30</v>
      </c>
      <c r="P2583">
        <v>9.1092679730987793</v>
      </c>
      <c r="Q2583">
        <v>1.9385772291360499</v>
      </c>
      <c r="R2583">
        <v>5.9668880532333404</v>
      </c>
      <c r="S2583">
        <v>173</v>
      </c>
      <c r="T2583">
        <v>78</v>
      </c>
      <c r="U2583">
        <v>336.43299369945697</v>
      </c>
      <c r="V2583">
        <v>1.94111937884179E-3</v>
      </c>
      <c r="W2583">
        <v>1377683.39869523</v>
      </c>
      <c r="X2583" t="s">
        <v>38</v>
      </c>
      <c r="Y2583">
        <f>1-869-378-2160</f>
        <v>-3406</v>
      </c>
    </row>
    <row r="2584" spans="1:25" x14ac:dyDescent="0.35">
      <c r="A2584">
        <v>36.953011234251697</v>
      </c>
      <c r="B2584">
        <v>-121.076168292975</v>
      </c>
      <c r="C2584" t="s">
        <v>25</v>
      </c>
      <c r="D2584">
        <v>17.673089632118899</v>
      </c>
      <c r="E2584">
        <v>2</v>
      </c>
      <c r="F2584">
        <v>2395</v>
      </c>
      <c r="G2584">
        <v>3</v>
      </c>
      <c r="H2584">
        <v>3</v>
      </c>
      <c r="I2584">
        <v>1967</v>
      </c>
      <c r="J2584">
        <v>1</v>
      </c>
      <c r="K2584">
        <v>1</v>
      </c>
      <c r="L2584">
        <v>1</v>
      </c>
      <c r="M2584">
        <v>11</v>
      </c>
      <c r="N2584" t="s">
        <v>41</v>
      </c>
      <c r="O2584" t="s">
        <v>30</v>
      </c>
      <c r="P2584">
        <v>3.26266074462663</v>
      </c>
      <c r="Q2584">
        <v>1.7069832150078199</v>
      </c>
      <c r="R2584">
        <v>9.0377019600467108</v>
      </c>
      <c r="S2584">
        <v>65</v>
      </c>
      <c r="T2584">
        <v>59</v>
      </c>
      <c r="U2584">
        <v>262.93426113088202</v>
      </c>
      <c r="V2584">
        <v>4.5929018789144004E-3</v>
      </c>
      <c r="W2584">
        <v>859242.65575102204</v>
      </c>
      <c r="X2584" t="s">
        <v>38</v>
      </c>
      <c r="Y2584">
        <f>1-389-941-5433</f>
        <v>-6762</v>
      </c>
    </row>
    <row r="2585" spans="1:25" x14ac:dyDescent="0.35">
      <c r="A2585">
        <v>33.466632861029503</v>
      </c>
      <c r="B2585">
        <v>-121.982578922321</v>
      </c>
      <c r="C2585" t="s">
        <v>25</v>
      </c>
      <c r="D2585">
        <v>13.135735348932499</v>
      </c>
      <c r="E2585">
        <v>4</v>
      </c>
      <c r="F2585">
        <v>1454</v>
      </c>
      <c r="G2585">
        <v>4</v>
      </c>
      <c r="H2585">
        <v>2</v>
      </c>
      <c r="I2585">
        <v>1959</v>
      </c>
      <c r="J2585">
        <v>0</v>
      </c>
      <c r="K2585">
        <v>0</v>
      </c>
      <c r="L2585">
        <v>1</v>
      </c>
      <c r="M2585">
        <v>8</v>
      </c>
      <c r="N2585" t="s">
        <v>41</v>
      </c>
      <c r="O2585" t="s">
        <v>30</v>
      </c>
      <c r="P2585">
        <v>2.5650382718021101</v>
      </c>
      <c r="Q2585">
        <v>1.8006623836943401</v>
      </c>
      <c r="R2585">
        <v>8.3448619868543901</v>
      </c>
      <c r="S2585">
        <v>179</v>
      </c>
      <c r="T2585">
        <v>72</v>
      </c>
      <c r="U2585">
        <v>774.90845544755496</v>
      </c>
      <c r="V2585">
        <v>5.5020632737276401E-3</v>
      </c>
      <c r="W2585">
        <v>1246800.09235988</v>
      </c>
      <c r="X2585" t="s">
        <v>43</v>
      </c>
      <c r="Y2585">
        <f>1-949-237-7531</f>
        <v>-8716</v>
      </c>
    </row>
    <row r="2586" spans="1:25" x14ac:dyDescent="0.35">
      <c r="A2586">
        <v>36.229255505029201</v>
      </c>
      <c r="B2586">
        <v>-114.729578279664</v>
      </c>
      <c r="C2586" t="s">
        <v>29</v>
      </c>
      <c r="D2586">
        <v>34.808347705985</v>
      </c>
      <c r="E2586">
        <v>2</v>
      </c>
      <c r="F2586">
        <v>2399</v>
      </c>
      <c r="G2586">
        <v>3</v>
      </c>
      <c r="H2586">
        <v>3</v>
      </c>
      <c r="I2586">
        <v>1977</v>
      </c>
      <c r="J2586">
        <v>1</v>
      </c>
      <c r="K2586">
        <v>0</v>
      </c>
      <c r="L2586">
        <v>1</v>
      </c>
      <c r="M2586">
        <v>5</v>
      </c>
      <c r="N2586" t="s">
        <v>26</v>
      </c>
      <c r="O2586" t="s">
        <v>27</v>
      </c>
      <c r="P2586">
        <v>9.9815796648219397</v>
      </c>
      <c r="Q2586">
        <v>0.65629844922496305</v>
      </c>
      <c r="R2586">
        <v>3.0786423988437801</v>
      </c>
      <c r="S2586">
        <v>17</v>
      </c>
      <c r="T2586">
        <v>46</v>
      </c>
      <c r="U2586">
        <v>217.900414105534</v>
      </c>
      <c r="V2586">
        <v>2.0842017507294698E-3</v>
      </c>
      <c r="W2586">
        <v>864764.27185975795</v>
      </c>
      <c r="X2586" t="s">
        <v>44</v>
      </c>
      <c r="Y2586">
        <f>1-893-648-7016</f>
        <v>-8556</v>
      </c>
    </row>
    <row r="2587" spans="1:25" x14ac:dyDescent="0.35">
      <c r="A2587">
        <v>35.388093471199298</v>
      </c>
      <c r="B2587">
        <v>-124.439049731889</v>
      </c>
      <c r="C2587" t="s">
        <v>34</v>
      </c>
      <c r="D2587">
        <v>9.4498654776695297</v>
      </c>
      <c r="E2587">
        <v>6</v>
      </c>
      <c r="F2587">
        <v>3057</v>
      </c>
      <c r="G2587">
        <v>3</v>
      </c>
      <c r="H2587">
        <v>2</v>
      </c>
      <c r="I2587">
        <v>1968</v>
      </c>
      <c r="J2587">
        <v>1</v>
      </c>
      <c r="K2587">
        <v>0</v>
      </c>
      <c r="L2587">
        <v>1</v>
      </c>
      <c r="M2587">
        <v>9</v>
      </c>
      <c r="N2587" t="s">
        <v>37</v>
      </c>
      <c r="O2587" t="s">
        <v>30</v>
      </c>
      <c r="P2587">
        <v>5.2224699931890104</v>
      </c>
      <c r="Q2587">
        <v>1.1594938701412101</v>
      </c>
      <c r="R2587">
        <v>5.20714182781734</v>
      </c>
      <c r="S2587">
        <v>171</v>
      </c>
      <c r="T2587">
        <v>50</v>
      </c>
      <c r="U2587">
        <v>788.81897711532997</v>
      </c>
      <c r="V2587">
        <v>2.9440628066731999E-3</v>
      </c>
      <c r="W2587">
        <v>2662636.51327956</v>
      </c>
      <c r="X2587" t="s">
        <v>33</v>
      </c>
      <c r="Y2587">
        <f>1-430-783-1138</f>
        <v>-2350</v>
      </c>
    </row>
    <row r="2588" spans="1:25" x14ac:dyDescent="0.35">
      <c r="A2588">
        <v>41.797748890155198</v>
      </c>
      <c r="B2588">
        <v>-120.801012867396</v>
      </c>
      <c r="C2588" t="s">
        <v>29</v>
      </c>
      <c r="D2588">
        <v>12.8862640796882</v>
      </c>
      <c r="E2588">
        <v>4</v>
      </c>
      <c r="F2588">
        <v>1505</v>
      </c>
      <c r="G2588">
        <v>4</v>
      </c>
      <c r="H2588">
        <v>2</v>
      </c>
      <c r="I2588">
        <v>1972</v>
      </c>
      <c r="J2588">
        <v>1</v>
      </c>
      <c r="K2588">
        <v>1</v>
      </c>
      <c r="L2588">
        <v>1</v>
      </c>
      <c r="M2588">
        <v>13</v>
      </c>
      <c r="N2588" t="s">
        <v>35</v>
      </c>
      <c r="O2588" t="s">
        <v>32</v>
      </c>
      <c r="P2588">
        <v>13.3409826506151</v>
      </c>
      <c r="Q2588">
        <v>0.79949193740629798</v>
      </c>
      <c r="R2588">
        <v>6.8279780180516596</v>
      </c>
      <c r="S2588">
        <v>136</v>
      </c>
      <c r="T2588">
        <v>51</v>
      </c>
      <c r="U2588">
        <v>702.32801937131001</v>
      </c>
      <c r="V2588">
        <v>8.6378737541528208E-3</v>
      </c>
      <c r="W2588">
        <v>1437071.80002914</v>
      </c>
      <c r="X2588" t="s">
        <v>36</v>
      </c>
      <c r="Y2588">
        <f>1-980-857-5465</f>
        <v>-7301</v>
      </c>
    </row>
    <row r="2589" spans="1:25" x14ac:dyDescent="0.35">
      <c r="A2589">
        <v>39.030234035021302</v>
      </c>
      <c r="B2589">
        <v>-114.000216426208</v>
      </c>
      <c r="C2589" t="s">
        <v>25</v>
      </c>
      <c r="D2589">
        <v>18.138463738201899</v>
      </c>
      <c r="E2589">
        <v>1</v>
      </c>
      <c r="F2589">
        <v>4604</v>
      </c>
      <c r="G2589">
        <v>5</v>
      </c>
      <c r="H2589">
        <v>2</v>
      </c>
      <c r="I2589">
        <v>1965</v>
      </c>
      <c r="J2589">
        <v>1</v>
      </c>
      <c r="K2589">
        <v>0</v>
      </c>
      <c r="L2589">
        <v>0</v>
      </c>
      <c r="M2589">
        <v>13</v>
      </c>
      <c r="N2589" t="s">
        <v>26</v>
      </c>
      <c r="O2589" t="s">
        <v>30</v>
      </c>
      <c r="P2589">
        <v>13.485584287809999</v>
      </c>
      <c r="Q2589">
        <v>0.90250628926703003</v>
      </c>
      <c r="R2589">
        <v>7.6908755963744602</v>
      </c>
      <c r="S2589">
        <v>25</v>
      </c>
      <c r="T2589">
        <v>36</v>
      </c>
      <c r="U2589">
        <v>467.67185843082501</v>
      </c>
      <c r="V2589">
        <v>2.82363162467419E-3</v>
      </c>
      <c r="W2589">
        <v>2497664.7472109399</v>
      </c>
      <c r="X2589" t="s">
        <v>44</v>
      </c>
      <c r="Y2589">
        <f>1-544-972-4194</f>
        <v>-5709</v>
      </c>
    </row>
    <row r="2590" spans="1:25" x14ac:dyDescent="0.35">
      <c r="A2590">
        <v>37.206859279506801</v>
      </c>
      <c r="B2590">
        <v>-120.133655860251</v>
      </c>
      <c r="C2590" t="s">
        <v>25</v>
      </c>
      <c r="D2590">
        <v>42.784631999384402</v>
      </c>
      <c r="E2590">
        <v>1</v>
      </c>
      <c r="F2590">
        <v>3516</v>
      </c>
      <c r="G2590">
        <v>2</v>
      </c>
      <c r="H2590">
        <v>3</v>
      </c>
      <c r="I2590">
        <v>1961</v>
      </c>
      <c r="J2590">
        <v>0</v>
      </c>
      <c r="K2590">
        <v>0</v>
      </c>
      <c r="L2590">
        <v>0</v>
      </c>
      <c r="M2590">
        <v>14</v>
      </c>
      <c r="N2590" t="s">
        <v>37</v>
      </c>
      <c r="O2590" t="s">
        <v>27</v>
      </c>
      <c r="P2590">
        <v>2.83174809438467</v>
      </c>
      <c r="Q2590">
        <v>1.18989911581424</v>
      </c>
      <c r="R2590">
        <v>8.2338861285775202</v>
      </c>
      <c r="S2590">
        <v>68</v>
      </c>
      <c r="T2590">
        <v>30</v>
      </c>
      <c r="U2590">
        <v>324.11043895818</v>
      </c>
      <c r="V2590">
        <v>3.9817974971558499E-3</v>
      </c>
      <c r="W2590">
        <v>1231161.4004714</v>
      </c>
      <c r="X2590" t="s">
        <v>28</v>
      </c>
      <c r="Y2590">
        <f>1-632-843-9465</f>
        <v>-10939</v>
      </c>
    </row>
    <row r="2591" spans="1:25" x14ac:dyDescent="0.35">
      <c r="A2591">
        <v>40.133909144795503</v>
      </c>
      <c r="B2591">
        <v>-120.301478790592</v>
      </c>
      <c r="C2591" t="s">
        <v>29</v>
      </c>
      <c r="D2591">
        <v>22.9467340839429</v>
      </c>
      <c r="E2591">
        <v>9</v>
      </c>
      <c r="F2591">
        <v>532</v>
      </c>
      <c r="G2591">
        <v>5</v>
      </c>
      <c r="H2591">
        <v>1</v>
      </c>
      <c r="I2591">
        <v>2018</v>
      </c>
      <c r="J2591">
        <v>0</v>
      </c>
      <c r="K2591">
        <v>0</v>
      </c>
      <c r="L2591">
        <v>0</v>
      </c>
      <c r="M2591">
        <v>8</v>
      </c>
      <c r="N2591" t="s">
        <v>35</v>
      </c>
      <c r="O2591" t="s">
        <v>32</v>
      </c>
      <c r="P2591">
        <v>10.9268569952739</v>
      </c>
      <c r="Q2591">
        <v>1.72529523716351</v>
      </c>
      <c r="R2591">
        <v>2.29624296432578</v>
      </c>
      <c r="S2591">
        <v>153</v>
      </c>
      <c r="T2591">
        <v>55</v>
      </c>
      <c r="U2591">
        <v>914.68278236015101</v>
      </c>
      <c r="V2591">
        <v>1.50375939849624E-2</v>
      </c>
      <c r="W2591">
        <v>757533.12239092798</v>
      </c>
      <c r="X2591" t="s">
        <v>31</v>
      </c>
      <c r="Y2591">
        <f>1-853-991-7295</f>
        <v>-9138</v>
      </c>
    </row>
    <row r="2592" spans="1:25" x14ac:dyDescent="0.35">
      <c r="A2592">
        <v>35.649139039459698</v>
      </c>
      <c r="B2592">
        <v>-120.04737406878201</v>
      </c>
      <c r="C2592" t="s">
        <v>34</v>
      </c>
      <c r="D2592">
        <v>12.194269938324</v>
      </c>
      <c r="E2592">
        <v>5</v>
      </c>
      <c r="F2592">
        <v>3952</v>
      </c>
      <c r="G2592">
        <v>5</v>
      </c>
      <c r="H2592">
        <v>1</v>
      </c>
      <c r="I2592">
        <v>1960</v>
      </c>
      <c r="J2592">
        <v>1</v>
      </c>
      <c r="K2592">
        <v>1</v>
      </c>
      <c r="L2592">
        <v>1</v>
      </c>
      <c r="M2592">
        <v>12</v>
      </c>
      <c r="N2592" t="s">
        <v>35</v>
      </c>
      <c r="O2592" t="s">
        <v>30</v>
      </c>
      <c r="P2592">
        <v>7.8610429404747899</v>
      </c>
      <c r="Q2592">
        <v>1.50622261367044</v>
      </c>
      <c r="R2592">
        <v>1.02190683956384</v>
      </c>
      <c r="S2592">
        <v>190</v>
      </c>
      <c r="T2592">
        <v>72</v>
      </c>
      <c r="U2592">
        <v>966.53255228185901</v>
      </c>
      <c r="V2592">
        <v>3.0364372469635602E-3</v>
      </c>
      <c r="W2592">
        <v>4272474.9763329299</v>
      </c>
      <c r="X2592" t="s">
        <v>33</v>
      </c>
      <c r="Y2592">
        <f>1-298-876-9961</f>
        <v>-11134</v>
      </c>
    </row>
    <row r="2593" spans="1:25" x14ac:dyDescent="0.35">
      <c r="A2593">
        <v>41.5654119192289</v>
      </c>
      <c r="B2593">
        <v>-117.954021269432</v>
      </c>
      <c r="C2593" t="s">
        <v>29</v>
      </c>
      <c r="D2593">
        <v>7.4973498073024496</v>
      </c>
      <c r="E2593">
        <v>3</v>
      </c>
      <c r="F2593">
        <v>3472</v>
      </c>
      <c r="G2593">
        <v>5</v>
      </c>
      <c r="H2593">
        <v>2</v>
      </c>
      <c r="I2593">
        <v>2000</v>
      </c>
      <c r="J2593">
        <v>1</v>
      </c>
      <c r="K2593">
        <v>0</v>
      </c>
      <c r="L2593">
        <v>0</v>
      </c>
      <c r="M2593">
        <v>4</v>
      </c>
      <c r="N2593" t="s">
        <v>37</v>
      </c>
      <c r="O2593" t="s">
        <v>27</v>
      </c>
      <c r="P2593">
        <v>13.065014470134001</v>
      </c>
      <c r="Q2593">
        <v>1.51632924010357</v>
      </c>
      <c r="R2593">
        <v>5.6130324755301997</v>
      </c>
      <c r="S2593">
        <v>87</v>
      </c>
      <c r="T2593">
        <v>62</v>
      </c>
      <c r="U2593">
        <v>628.75094307206803</v>
      </c>
      <c r="V2593">
        <v>1.1520737327188901E-3</v>
      </c>
      <c r="W2593">
        <v>2712539.6814455502</v>
      </c>
      <c r="X2593" t="s">
        <v>43</v>
      </c>
      <c r="Y2593">
        <f>1-484-907-6451</f>
        <v>-7841</v>
      </c>
    </row>
    <row r="2594" spans="1:25" x14ac:dyDescent="0.35">
      <c r="A2594">
        <v>34.140455229515801</v>
      </c>
      <c r="B2594">
        <v>-121.69377454123</v>
      </c>
      <c r="C2594" t="s">
        <v>25</v>
      </c>
      <c r="D2594">
        <v>9.5354419283860103</v>
      </c>
      <c r="E2594">
        <v>0</v>
      </c>
      <c r="F2594">
        <v>4785</v>
      </c>
      <c r="G2594">
        <v>1</v>
      </c>
      <c r="H2594">
        <v>1</v>
      </c>
      <c r="I2594">
        <v>2022</v>
      </c>
      <c r="J2594">
        <v>1</v>
      </c>
      <c r="K2594">
        <v>0</v>
      </c>
      <c r="L2594">
        <v>1</v>
      </c>
      <c r="M2594">
        <v>7</v>
      </c>
      <c r="N2594" t="s">
        <v>35</v>
      </c>
      <c r="O2594" t="s">
        <v>32</v>
      </c>
      <c r="P2594">
        <v>7.5829643855028799</v>
      </c>
      <c r="Q2594">
        <v>2.1282755772884099</v>
      </c>
      <c r="R2594">
        <v>3.21320348527636</v>
      </c>
      <c r="S2594">
        <v>154</v>
      </c>
      <c r="T2594">
        <v>77</v>
      </c>
      <c r="U2594">
        <v>821.58121856968705</v>
      </c>
      <c r="V2594">
        <v>1.4629049111807701E-3</v>
      </c>
      <c r="W2594">
        <v>4228390.6197895799</v>
      </c>
      <c r="X2594" t="s">
        <v>40</v>
      </c>
      <c r="Y2594">
        <f>1-782-310-9558</f>
        <v>-10649</v>
      </c>
    </row>
    <row r="2595" spans="1:25" x14ac:dyDescent="0.35">
      <c r="A2595">
        <v>36.717179655769598</v>
      </c>
      <c r="B2595">
        <v>-119.514128947787</v>
      </c>
      <c r="C2595" t="s">
        <v>25</v>
      </c>
      <c r="D2595">
        <v>26.4929406094633</v>
      </c>
      <c r="E2595">
        <v>3</v>
      </c>
      <c r="F2595">
        <v>4190</v>
      </c>
      <c r="G2595">
        <v>4</v>
      </c>
      <c r="H2595">
        <v>2</v>
      </c>
      <c r="I2595">
        <v>1953</v>
      </c>
      <c r="J2595">
        <v>0</v>
      </c>
      <c r="K2595">
        <v>1</v>
      </c>
      <c r="L2595">
        <v>0</v>
      </c>
      <c r="M2595">
        <v>6</v>
      </c>
      <c r="N2595" t="s">
        <v>41</v>
      </c>
      <c r="O2595" t="s">
        <v>27</v>
      </c>
      <c r="P2595">
        <v>7.7678118312598796</v>
      </c>
      <c r="Q2595">
        <v>2.1806806839286899</v>
      </c>
      <c r="R2595">
        <v>1.7080836488193301</v>
      </c>
      <c r="S2595">
        <v>147</v>
      </c>
      <c r="T2595">
        <v>76</v>
      </c>
      <c r="U2595">
        <v>971.85037908208596</v>
      </c>
      <c r="V2595">
        <v>1.4319809069212399E-3</v>
      </c>
      <c r="W2595">
        <v>4382638.9356558798</v>
      </c>
      <c r="X2595" t="s">
        <v>39</v>
      </c>
      <c r="Y2595">
        <f>1-813-998-6397</f>
        <v>-8207</v>
      </c>
    </row>
    <row r="2596" spans="1:25" x14ac:dyDescent="0.35">
      <c r="A2596">
        <v>37.221160323478102</v>
      </c>
      <c r="B2596">
        <v>-115.592687158244</v>
      </c>
      <c r="C2596" t="s">
        <v>34</v>
      </c>
      <c r="D2596">
        <v>6.2035421029294699</v>
      </c>
      <c r="E2596">
        <v>4</v>
      </c>
      <c r="F2596">
        <v>1450</v>
      </c>
      <c r="G2596">
        <v>2</v>
      </c>
      <c r="H2596">
        <v>1</v>
      </c>
      <c r="I2596">
        <v>1956</v>
      </c>
      <c r="J2596">
        <v>0</v>
      </c>
      <c r="K2596">
        <v>0</v>
      </c>
      <c r="L2596">
        <v>0</v>
      </c>
      <c r="M2596">
        <v>7</v>
      </c>
      <c r="N2596" t="s">
        <v>37</v>
      </c>
      <c r="O2596" t="s">
        <v>27</v>
      </c>
      <c r="P2596">
        <v>11.3187478393126</v>
      </c>
      <c r="Q2596">
        <v>1.69177002134885</v>
      </c>
      <c r="R2596">
        <v>1.8422137246392001</v>
      </c>
      <c r="S2596">
        <v>193</v>
      </c>
      <c r="T2596">
        <v>73</v>
      </c>
      <c r="U2596">
        <v>791.97394158140798</v>
      </c>
      <c r="V2596">
        <v>4.8275862068965503E-3</v>
      </c>
      <c r="W2596">
        <v>1252552.33245625</v>
      </c>
      <c r="X2596" t="s">
        <v>33</v>
      </c>
      <c r="Y2596">
        <f>1-504-558-6081</f>
        <v>-7142</v>
      </c>
    </row>
    <row r="2597" spans="1:25" x14ac:dyDescent="0.35">
      <c r="A2597">
        <v>34.5445620553783</v>
      </c>
      <c r="B2597">
        <v>-117.839320204597</v>
      </c>
      <c r="C2597" t="s">
        <v>29</v>
      </c>
      <c r="D2597">
        <v>41.951039509633901</v>
      </c>
      <c r="E2597">
        <v>7</v>
      </c>
      <c r="F2597">
        <v>4643</v>
      </c>
      <c r="G2597">
        <v>1</v>
      </c>
      <c r="H2597">
        <v>3</v>
      </c>
      <c r="I2597">
        <v>1983</v>
      </c>
      <c r="J2597">
        <v>0</v>
      </c>
      <c r="K2597">
        <v>1</v>
      </c>
      <c r="L2597">
        <v>1</v>
      </c>
      <c r="M2597">
        <v>3</v>
      </c>
      <c r="N2597" t="s">
        <v>26</v>
      </c>
      <c r="O2597" t="s">
        <v>30</v>
      </c>
      <c r="P2597">
        <v>4.1001703780803203</v>
      </c>
      <c r="Q2597">
        <v>1.56834780378139</v>
      </c>
      <c r="R2597">
        <v>4.5733841763816301</v>
      </c>
      <c r="S2597">
        <v>85</v>
      </c>
      <c r="T2597">
        <v>43</v>
      </c>
      <c r="U2597">
        <v>928.248636094988</v>
      </c>
      <c r="V2597">
        <v>6.4613396510876495E-4</v>
      </c>
      <c r="W2597">
        <v>4389006.0308262398</v>
      </c>
      <c r="X2597" t="s">
        <v>44</v>
      </c>
      <c r="Y2597">
        <f>1-464-743-9755</f>
        <v>-10961</v>
      </c>
    </row>
    <row r="2598" spans="1:25" x14ac:dyDescent="0.35">
      <c r="A2598">
        <v>35.140098153764399</v>
      </c>
      <c r="B2598">
        <v>-116.729788116835</v>
      </c>
      <c r="C2598" t="s">
        <v>29</v>
      </c>
      <c r="D2598">
        <v>33.366453378599203</v>
      </c>
      <c r="E2598">
        <v>7</v>
      </c>
      <c r="F2598">
        <v>3918</v>
      </c>
      <c r="G2598">
        <v>3</v>
      </c>
      <c r="H2598">
        <v>3</v>
      </c>
      <c r="I2598">
        <v>1961</v>
      </c>
      <c r="J2598">
        <v>0</v>
      </c>
      <c r="K2598">
        <v>1</v>
      </c>
      <c r="L2598">
        <v>1</v>
      </c>
      <c r="M2598">
        <v>10</v>
      </c>
      <c r="N2598" t="s">
        <v>35</v>
      </c>
      <c r="O2598" t="s">
        <v>27</v>
      </c>
      <c r="P2598">
        <v>14.348454192387701</v>
      </c>
      <c r="Q2598">
        <v>1.77429963974292</v>
      </c>
      <c r="R2598">
        <v>1.4802438988231901</v>
      </c>
      <c r="S2598">
        <v>104</v>
      </c>
      <c r="T2598">
        <v>38</v>
      </c>
      <c r="U2598">
        <v>802.10552348696797</v>
      </c>
      <c r="V2598">
        <v>2.5523226135783501E-3</v>
      </c>
      <c r="W2598">
        <v>3520405.5749446601</v>
      </c>
      <c r="X2598" t="s">
        <v>42</v>
      </c>
      <c r="Y2598">
        <f>1-985-438-8576</f>
        <v>-9998</v>
      </c>
    </row>
    <row r="2599" spans="1:25" x14ac:dyDescent="0.35">
      <c r="A2599">
        <v>37.357327486867398</v>
      </c>
      <c r="B2599">
        <v>-122.09922572105501</v>
      </c>
      <c r="C2599" t="s">
        <v>34</v>
      </c>
      <c r="D2599">
        <v>38.542080142451603</v>
      </c>
      <c r="E2599">
        <v>3</v>
      </c>
      <c r="F2599">
        <v>873</v>
      </c>
      <c r="G2599">
        <v>5</v>
      </c>
      <c r="H2599">
        <v>1</v>
      </c>
      <c r="I2599">
        <v>2004</v>
      </c>
      <c r="J2599">
        <v>0</v>
      </c>
      <c r="K2599">
        <v>1</v>
      </c>
      <c r="L2599">
        <v>0</v>
      </c>
      <c r="M2599">
        <v>11</v>
      </c>
      <c r="N2599" t="s">
        <v>37</v>
      </c>
      <c r="O2599" t="s">
        <v>27</v>
      </c>
      <c r="P2599">
        <v>3.76979932451593</v>
      </c>
      <c r="Q2599">
        <v>1.3592680296133901</v>
      </c>
      <c r="R2599">
        <v>7.5383391076154798</v>
      </c>
      <c r="S2599">
        <v>37</v>
      </c>
      <c r="T2599">
        <v>79</v>
      </c>
      <c r="U2599">
        <v>525.74282496236106</v>
      </c>
      <c r="V2599">
        <v>1.2600229095074401E-2</v>
      </c>
      <c r="W2599">
        <v>739475.59125585202</v>
      </c>
      <c r="X2599" t="s">
        <v>42</v>
      </c>
      <c r="Y2599">
        <f>1-662-380-1641</f>
        <v>-2682</v>
      </c>
    </row>
    <row r="2600" spans="1:25" x14ac:dyDescent="0.35">
      <c r="A2600">
        <v>40.315506685018697</v>
      </c>
      <c r="B2600">
        <v>-116.575745365084</v>
      </c>
      <c r="C2600" t="s">
        <v>34</v>
      </c>
      <c r="D2600">
        <v>10.698502111253701</v>
      </c>
      <c r="E2600">
        <v>0</v>
      </c>
      <c r="F2600">
        <v>4097</v>
      </c>
      <c r="G2600">
        <v>3</v>
      </c>
      <c r="H2600">
        <v>1</v>
      </c>
      <c r="I2600">
        <v>1967</v>
      </c>
      <c r="J2600">
        <v>1</v>
      </c>
      <c r="K2600">
        <v>0</v>
      </c>
      <c r="L2600">
        <v>1</v>
      </c>
      <c r="M2600">
        <v>11</v>
      </c>
      <c r="N2600" t="s">
        <v>35</v>
      </c>
      <c r="O2600" t="s">
        <v>30</v>
      </c>
      <c r="P2600">
        <v>4.5480059152501697</v>
      </c>
      <c r="Q2600">
        <v>0.615135983620689</v>
      </c>
      <c r="R2600">
        <v>6.8942162868476098</v>
      </c>
      <c r="S2600">
        <v>101</v>
      </c>
      <c r="T2600">
        <v>43</v>
      </c>
      <c r="U2600">
        <v>494.26720139082801</v>
      </c>
      <c r="V2600">
        <v>2.6848913839394601E-3</v>
      </c>
      <c r="W2600">
        <v>2200489.8949285401</v>
      </c>
      <c r="X2600" t="s">
        <v>39</v>
      </c>
      <c r="Y2600">
        <f>1-811-182-6847</f>
        <v>-7839</v>
      </c>
    </row>
    <row r="2601" spans="1:25" x14ac:dyDescent="0.35">
      <c r="A2601">
        <v>40.402519966442199</v>
      </c>
      <c r="B2601">
        <v>-124.314236464866</v>
      </c>
      <c r="C2601" t="s">
        <v>29</v>
      </c>
      <c r="D2601">
        <v>24.8443924121236</v>
      </c>
      <c r="E2601">
        <v>0</v>
      </c>
      <c r="F2601">
        <v>3485</v>
      </c>
      <c r="G2601">
        <v>4</v>
      </c>
      <c r="H2601">
        <v>2</v>
      </c>
      <c r="I2601">
        <v>1964</v>
      </c>
      <c r="J2601">
        <v>0</v>
      </c>
      <c r="K2601">
        <v>0</v>
      </c>
      <c r="L2601">
        <v>0</v>
      </c>
      <c r="M2601">
        <v>8</v>
      </c>
      <c r="N2601" t="s">
        <v>35</v>
      </c>
      <c r="O2601" t="s">
        <v>30</v>
      </c>
      <c r="P2601">
        <v>6.3385442490535304</v>
      </c>
      <c r="Q2601">
        <v>0.87644396990795903</v>
      </c>
      <c r="R2601">
        <v>8.1507035256573097</v>
      </c>
      <c r="S2601">
        <v>157</v>
      </c>
      <c r="T2601">
        <v>53</v>
      </c>
      <c r="U2601">
        <v>425.54701576566498</v>
      </c>
      <c r="V2601">
        <v>2.29555236728837E-3</v>
      </c>
      <c r="W2601">
        <v>1688203.1702328499</v>
      </c>
      <c r="X2601" t="s">
        <v>42</v>
      </c>
      <c r="Y2601">
        <f>1-397-298-7753</f>
        <v>-8447</v>
      </c>
    </row>
    <row r="2602" spans="1:25" x14ac:dyDescent="0.35">
      <c r="A2602">
        <v>38.5963299851363</v>
      </c>
      <c r="B2602">
        <v>-120.08180600140599</v>
      </c>
      <c r="C2602" t="s">
        <v>29</v>
      </c>
      <c r="D2602">
        <v>32.822123962298399</v>
      </c>
      <c r="E2602">
        <v>3</v>
      </c>
      <c r="F2602">
        <v>3422</v>
      </c>
      <c r="G2602">
        <v>5</v>
      </c>
      <c r="H2602">
        <v>3</v>
      </c>
      <c r="I2602">
        <v>1986</v>
      </c>
      <c r="J2602">
        <v>1</v>
      </c>
      <c r="K2602">
        <v>1</v>
      </c>
      <c r="L2602">
        <v>1</v>
      </c>
      <c r="M2602">
        <v>10</v>
      </c>
      <c r="N2602" t="s">
        <v>26</v>
      </c>
      <c r="O2602" t="s">
        <v>30</v>
      </c>
      <c r="P2602">
        <v>2.4992829542702699</v>
      </c>
      <c r="Q2602">
        <v>1.5067485727999701</v>
      </c>
      <c r="R2602">
        <v>5.7953613432702502</v>
      </c>
      <c r="S2602">
        <v>123</v>
      </c>
      <c r="T2602">
        <v>23</v>
      </c>
      <c r="U2602">
        <v>546.303557834819</v>
      </c>
      <c r="V2602">
        <v>2.9222676797194601E-3</v>
      </c>
      <c r="W2602">
        <v>2324800.1456651799</v>
      </c>
      <c r="X2602" t="s">
        <v>39</v>
      </c>
      <c r="Y2602">
        <f>1-964-832-5499</f>
        <v>-7294</v>
      </c>
    </row>
    <row r="2603" spans="1:25" x14ac:dyDescent="0.35">
      <c r="A2603">
        <v>37.621116901050797</v>
      </c>
      <c r="B2603">
        <v>-119.660458782559</v>
      </c>
      <c r="C2603" t="s">
        <v>25</v>
      </c>
      <c r="D2603">
        <v>20.039068610057701</v>
      </c>
      <c r="E2603">
        <v>0</v>
      </c>
      <c r="F2603">
        <v>765</v>
      </c>
      <c r="G2603">
        <v>2</v>
      </c>
      <c r="H2603">
        <v>3</v>
      </c>
      <c r="I2603">
        <v>2001</v>
      </c>
      <c r="J2603">
        <v>0</v>
      </c>
      <c r="K2603">
        <v>1</v>
      </c>
      <c r="L2603">
        <v>1</v>
      </c>
      <c r="M2603">
        <v>9</v>
      </c>
      <c r="N2603" t="s">
        <v>37</v>
      </c>
      <c r="O2603" t="s">
        <v>27</v>
      </c>
      <c r="P2603">
        <v>3.3683470346758102</v>
      </c>
      <c r="Q2603">
        <v>1.1280127123127599</v>
      </c>
      <c r="R2603">
        <v>2.3617674453330899</v>
      </c>
      <c r="S2603">
        <v>199</v>
      </c>
      <c r="T2603">
        <v>58</v>
      </c>
      <c r="U2603">
        <v>917.99791349949101</v>
      </c>
      <c r="V2603">
        <v>1.1764705882352899E-2</v>
      </c>
      <c r="W2603">
        <v>974769.08071476896</v>
      </c>
      <c r="X2603" t="s">
        <v>40</v>
      </c>
      <c r="Y2603">
        <f>1-927-440-6436</f>
        <v>-7802</v>
      </c>
    </row>
    <row r="2604" spans="1:25" x14ac:dyDescent="0.35">
      <c r="A2604">
        <v>37.944543117579201</v>
      </c>
      <c r="B2604">
        <v>-120.148729101233</v>
      </c>
      <c r="C2604" t="s">
        <v>34</v>
      </c>
      <c r="D2604">
        <v>31.301705651446301</v>
      </c>
      <c r="E2604">
        <v>8</v>
      </c>
      <c r="F2604">
        <v>1001</v>
      </c>
      <c r="G2604">
        <v>4</v>
      </c>
      <c r="H2604">
        <v>1</v>
      </c>
      <c r="I2604">
        <v>1961</v>
      </c>
      <c r="J2604">
        <v>1</v>
      </c>
      <c r="K2604">
        <v>0</v>
      </c>
      <c r="L2604">
        <v>1</v>
      </c>
      <c r="M2604">
        <v>2</v>
      </c>
      <c r="N2604" t="s">
        <v>37</v>
      </c>
      <c r="O2604" t="s">
        <v>27</v>
      </c>
      <c r="P2604">
        <v>3.3546441809186298</v>
      </c>
      <c r="Q2604">
        <v>0.77655422491922699</v>
      </c>
      <c r="R2604">
        <v>5.9090077245647903</v>
      </c>
      <c r="S2604">
        <v>176</v>
      </c>
      <c r="T2604">
        <v>44</v>
      </c>
      <c r="U2604">
        <v>740.99459805644005</v>
      </c>
      <c r="V2604">
        <v>1.9980019980019902E-3</v>
      </c>
      <c r="W2604">
        <v>876774.49712163303</v>
      </c>
      <c r="X2604" t="s">
        <v>39</v>
      </c>
      <c r="Y2604">
        <f>1-456-831-2163</f>
        <v>-3449</v>
      </c>
    </row>
    <row r="2605" spans="1:25" x14ac:dyDescent="0.35">
      <c r="A2605">
        <v>38.7927144245959</v>
      </c>
      <c r="B2605">
        <v>-118.277433088389</v>
      </c>
      <c r="C2605" t="s">
        <v>25</v>
      </c>
      <c r="D2605">
        <v>2.4710303424212299</v>
      </c>
      <c r="E2605">
        <v>3</v>
      </c>
      <c r="F2605">
        <v>659</v>
      </c>
      <c r="G2605">
        <v>1</v>
      </c>
      <c r="H2605">
        <v>1</v>
      </c>
      <c r="I2605">
        <v>1994</v>
      </c>
      <c r="J2605">
        <v>0</v>
      </c>
      <c r="K2605">
        <v>1</v>
      </c>
      <c r="L2605">
        <v>0</v>
      </c>
      <c r="M2605">
        <v>12</v>
      </c>
      <c r="N2605" t="s">
        <v>41</v>
      </c>
      <c r="O2605" t="s">
        <v>32</v>
      </c>
      <c r="P2605">
        <v>13.546789614143099</v>
      </c>
      <c r="Q2605">
        <v>1.64936396144907</v>
      </c>
      <c r="R2605">
        <v>7.5097253462026696</v>
      </c>
      <c r="S2605">
        <v>108</v>
      </c>
      <c r="T2605">
        <v>43</v>
      </c>
      <c r="U2605">
        <v>869.28478602633402</v>
      </c>
      <c r="V2605">
        <v>1.8209408194233601E-2</v>
      </c>
      <c r="W2605">
        <v>808053.04526153905</v>
      </c>
      <c r="X2605" t="s">
        <v>44</v>
      </c>
      <c r="Y2605">
        <f>1-214-228-6258</f>
        <v>-6699</v>
      </c>
    </row>
    <row r="2606" spans="1:25" x14ac:dyDescent="0.35">
      <c r="A2606">
        <v>36.062365141709499</v>
      </c>
      <c r="B2606">
        <v>-117.427198531475</v>
      </c>
      <c r="C2606" t="s">
        <v>34</v>
      </c>
      <c r="D2606">
        <v>23.4932855917334</v>
      </c>
      <c r="E2606">
        <v>1</v>
      </c>
      <c r="F2606">
        <v>2853</v>
      </c>
      <c r="G2606">
        <v>5</v>
      </c>
      <c r="H2606">
        <v>3</v>
      </c>
      <c r="I2606">
        <v>1959</v>
      </c>
      <c r="J2606">
        <v>1</v>
      </c>
      <c r="K2606">
        <v>0</v>
      </c>
      <c r="L2606">
        <v>0</v>
      </c>
      <c r="M2606">
        <v>13</v>
      </c>
      <c r="N2606" t="s">
        <v>37</v>
      </c>
      <c r="O2606" t="s">
        <v>30</v>
      </c>
      <c r="P2606">
        <v>2.7802436934424799</v>
      </c>
      <c r="Q2606">
        <v>2.1637187793388901</v>
      </c>
      <c r="R2606">
        <v>9.4656547115488703</v>
      </c>
      <c r="S2606">
        <v>112</v>
      </c>
      <c r="T2606">
        <v>70</v>
      </c>
      <c r="U2606">
        <v>854.27888595459206</v>
      </c>
      <c r="V2606">
        <v>4.5566070802663802E-3</v>
      </c>
      <c r="W2606">
        <v>2639475.8086043899</v>
      </c>
      <c r="X2606" t="s">
        <v>42</v>
      </c>
      <c r="Y2606">
        <f>1-731-630-3021</f>
        <v>-4381</v>
      </c>
    </row>
    <row r="2607" spans="1:25" x14ac:dyDescent="0.35">
      <c r="A2607">
        <v>32.596605393772997</v>
      </c>
      <c r="B2607">
        <v>-114.397956107941</v>
      </c>
      <c r="C2607" t="s">
        <v>29</v>
      </c>
      <c r="D2607">
        <v>26.812949861827601</v>
      </c>
      <c r="E2607">
        <v>0</v>
      </c>
      <c r="F2607">
        <v>4468</v>
      </c>
      <c r="G2607">
        <v>2</v>
      </c>
      <c r="H2607">
        <v>1</v>
      </c>
      <c r="I2607">
        <v>1990</v>
      </c>
      <c r="J2607">
        <v>1</v>
      </c>
      <c r="K2607">
        <v>1</v>
      </c>
      <c r="L2607">
        <v>1</v>
      </c>
      <c r="M2607">
        <v>14</v>
      </c>
      <c r="N2607" t="s">
        <v>41</v>
      </c>
      <c r="O2607" t="s">
        <v>27</v>
      </c>
      <c r="P2607">
        <v>12.1688776157473</v>
      </c>
      <c r="Q2607">
        <v>1.35771589417892</v>
      </c>
      <c r="R2607">
        <v>8.8470046717004696</v>
      </c>
      <c r="S2607">
        <v>47</v>
      </c>
      <c r="T2607">
        <v>79</v>
      </c>
      <c r="U2607">
        <v>997.47311319503297</v>
      </c>
      <c r="V2607">
        <v>3.1333930170098401E-3</v>
      </c>
      <c r="W2607">
        <v>4879774.4497944703</v>
      </c>
      <c r="X2607" t="s">
        <v>33</v>
      </c>
      <c r="Y2607">
        <f>1-706-154-5215</f>
        <v>-6074</v>
      </c>
    </row>
    <row r="2608" spans="1:25" x14ac:dyDescent="0.35">
      <c r="A2608">
        <v>33.411465727725997</v>
      </c>
      <c r="B2608">
        <v>-116.876568053075</v>
      </c>
      <c r="C2608" t="s">
        <v>25</v>
      </c>
      <c r="D2608">
        <v>8.2130258871678201</v>
      </c>
      <c r="E2608">
        <v>6</v>
      </c>
      <c r="F2608">
        <v>3882</v>
      </c>
      <c r="G2608">
        <v>5</v>
      </c>
      <c r="H2608">
        <v>2</v>
      </c>
      <c r="I2608">
        <v>1956</v>
      </c>
      <c r="J2608">
        <v>0</v>
      </c>
      <c r="K2608">
        <v>1</v>
      </c>
      <c r="L2608">
        <v>1</v>
      </c>
      <c r="M2608">
        <v>2</v>
      </c>
      <c r="N2608" t="s">
        <v>37</v>
      </c>
      <c r="O2608" t="s">
        <v>32</v>
      </c>
      <c r="P2608">
        <v>12.9672437612547</v>
      </c>
      <c r="Q2608">
        <v>1.16842542649694</v>
      </c>
      <c r="R2608">
        <v>9.2173331171769899</v>
      </c>
      <c r="S2608">
        <v>76</v>
      </c>
      <c r="T2608">
        <v>67</v>
      </c>
      <c r="U2608">
        <v>316.47229079709899</v>
      </c>
      <c r="V2608">
        <v>5.1519835136527501E-4</v>
      </c>
      <c r="W2608">
        <v>1641860.0917291199</v>
      </c>
      <c r="X2608" t="s">
        <v>44</v>
      </c>
      <c r="Y2608">
        <f>1-540-792-2056</f>
        <v>-3387</v>
      </c>
    </row>
    <row r="2609" spans="1:25" x14ac:dyDescent="0.35">
      <c r="A2609">
        <v>33.633115051553197</v>
      </c>
      <c r="B2609">
        <v>-115.760027508108</v>
      </c>
      <c r="C2609" t="s">
        <v>34</v>
      </c>
      <c r="D2609">
        <v>26.032586402247201</v>
      </c>
      <c r="E2609">
        <v>3</v>
      </c>
      <c r="F2609">
        <v>1546</v>
      </c>
      <c r="G2609">
        <v>5</v>
      </c>
      <c r="H2609">
        <v>1</v>
      </c>
      <c r="I2609">
        <v>1974</v>
      </c>
      <c r="J2609">
        <v>1</v>
      </c>
      <c r="K2609">
        <v>0</v>
      </c>
      <c r="L2609">
        <v>0</v>
      </c>
      <c r="M2609">
        <v>7</v>
      </c>
      <c r="N2609" t="s">
        <v>37</v>
      </c>
      <c r="O2609" t="s">
        <v>32</v>
      </c>
      <c r="P2609">
        <v>8.05768599626027</v>
      </c>
      <c r="Q2609">
        <v>1.8380398548927701</v>
      </c>
      <c r="R2609">
        <v>1.36036944252459</v>
      </c>
      <c r="S2609">
        <v>92</v>
      </c>
      <c r="T2609">
        <v>76</v>
      </c>
      <c r="U2609">
        <v>239.86044354552999</v>
      </c>
      <c r="V2609">
        <v>4.5278137128072398E-3</v>
      </c>
      <c r="W2609">
        <v>669402.95523153304</v>
      </c>
      <c r="X2609" t="s">
        <v>38</v>
      </c>
      <c r="Y2609">
        <f>1-645-364-7344</f>
        <v>-8352</v>
      </c>
    </row>
    <row r="2610" spans="1:25" x14ac:dyDescent="0.35">
      <c r="A2610">
        <v>39.794906870296003</v>
      </c>
      <c r="B2610">
        <v>-117.21187285214801</v>
      </c>
      <c r="C2610" t="s">
        <v>25</v>
      </c>
      <c r="D2610">
        <v>12.678164196013</v>
      </c>
      <c r="E2610">
        <v>3</v>
      </c>
      <c r="F2610">
        <v>2963</v>
      </c>
      <c r="G2610">
        <v>4</v>
      </c>
      <c r="H2610">
        <v>2</v>
      </c>
      <c r="I2610">
        <v>1964</v>
      </c>
      <c r="J2610">
        <v>1</v>
      </c>
      <c r="K2610">
        <v>1</v>
      </c>
      <c r="L2610">
        <v>1</v>
      </c>
      <c r="M2610">
        <v>8</v>
      </c>
      <c r="N2610" t="s">
        <v>41</v>
      </c>
      <c r="O2610" t="s">
        <v>32</v>
      </c>
      <c r="P2610">
        <v>2.8666503962353</v>
      </c>
      <c r="Q2610">
        <v>0.91151860450658995</v>
      </c>
      <c r="R2610">
        <v>6.6630770937407204</v>
      </c>
      <c r="S2610">
        <v>81</v>
      </c>
      <c r="T2610">
        <v>47</v>
      </c>
      <c r="U2610">
        <v>881.58760772146002</v>
      </c>
      <c r="V2610">
        <v>2.6999662504218602E-3</v>
      </c>
      <c r="W2610">
        <v>2957496.1873895801</v>
      </c>
      <c r="X2610" t="s">
        <v>44</v>
      </c>
      <c r="Y2610">
        <f>1-509-601-4011</f>
        <v>-5120</v>
      </c>
    </row>
    <row r="2611" spans="1:25" x14ac:dyDescent="0.35">
      <c r="A2611">
        <v>37.4562110513031</v>
      </c>
      <c r="B2611">
        <v>-121.579350957323</v>
      </c>
      <c r="C2611" t="s">
        <v>29</v>
      </c>
      <c r="D2611">
        <v>44.205861953671999</v>
      </c>
      <c r="E2611">
        <v>6</v>
      </c>
      <c r="F2611">
        <v>3233</v>
      </c>
      <c r="G2611">
        <v>3</v>
      </c>
      <c r="H2611">
        <v>2</v>
      </c>
      <c r="I2611">
        <v>1984</v>
      </c>
      <c r="J2611">
        <v>1</v>
      </c>
      <c r="K2611">
        <v>0</v>
      </c>
      <c r="L2611">
        <v>1</v>
      </c>
      <c r="M2611">
        <v>7</v>
      </c>
      <c r="N2611" t="s">
        <v>37</v>
      </c>
      <c r="O2611" t="s">
        <v>32</v>
      </c>
      <c r="P2611">
        <v>5.42487771133802</v>
      </c>
      <c r="Q2611">
        <v>1.5097042381905901</v>
      </c>
      <c r="R2611">
        <v>4.2789755982244904</v>
      </c>
      <c r="S2611">
        <v>53</v>
      </c>
      <c r="T2611">
        <v>22</v>
      </c>
      <c r="U2611">
        <v>266.40678562610202</v>
      </c>
      <c r="V2611">
        <v>2.1651716671821802E-3</v>
      </c>
      <c r="W2611">
        <v>1139012.83868215</v>
      </c>
      <c r="X2611" t="s">
        <v>36</v>
      </c>
      <c r="Y2611">
        <f>1-991-202-2319</f>
        <v>-3511</v>
      </c>
    </row>
    <row r="2612" spans="1:25" x14ac:dyDescent="0.35">
      <c r="A2612">
        <v>41.880331145552297</v>
      </c>
      <c r="B2612">
        <v>-116.111619259075</v>
      </c>
      <c r="C2612" t="s">
        <v>34</v>
      </c>
      <c r="D2612">
        <v>43.986962057406899</v>
      </c>
      <c r="E2612">
        <v>1</v>
      </c>
      <c r="F2612">
        <v>631</v>
      </c>
      <c r="G2612">
        <v>4</v>
      </c>
      <c r="H2612">
        <v>3</v>
      </c>
      <c r="I2612">
        <v>2013</v>
      </c>
      <c r="J2612">
        <v>0</v>
      </c>
      <c r="K2612">
        <v>1</v>
      </c>
      <c r="L2612">
        <v>1</v>
      </c>
      <c r="M2612">
        <v>13</v>
      </c>
      <c r="N2612" t="s">
        <v>26</v>
      </c>
      <c r="O2612" t="s">
        <v>27</v>
      </c>
      <c r="P2612">
        <v>2.6038642659005302</v>
      </c>
      <c r="Q2612">
        <v>1.0117239841644901</v>
      </c>
      <c r="R2612">
        <v>9.0028447213511207</v>
      </c>
      <c r="S2612">
        <v>18</v>
      </c>
      <c r="T2612">
        <v>66</v>
      </c>
      <c r="U2612">
        <v>595.75675581610994</v>
      </c>
      <c r="V2612">
        <v>2.0602218700475398E-2</v>
      </c>
      <c r="W2612">
        <v>793160.57551820704</v>
      </c>
      <c r="X2612" t="s">
        <v>43</v>
      </c>
      <c r="Y2612">
        <f>1-389-324-7879</f>
        <v>-8591</v>
      </c>
    </row>
    <row r="2613" spans="1:25" x14ac:dyDescent="0.35">
      <c r="A2613">
        <v>38.588462204442003</v>
      </c>
      <c r="B2613">
        <v>-121.74562399983</v>
      </c>
      <c r="C2613" t="s">
        <v>34</v>
      </c>
      <c r="D2613">
        <v>14.9585678358346</v>
      </c>
      <c r="E2613">
        <v>7</v>
      </c>
      <c r="F2613">
        <v>4695</v>
      </c>
      <c r="G2613">
        <v>5</v>
      </c>
      <c r="H2613">
        <v>1</v>
      </c>
      <c r="I2613">
        <v>2008</v>
      </c>
      <c r="J2613">
        <v>0</v>
      </c>
      <c r="K2613">
        <v>1</v>
      </c>
      <c r="L2613">
        <v>0</v>
      </c>
      <c r="M2613">
        <v>6</v>
      </c>
      <c r="N2613" t="s">
        <v>35</v>
      </c>
      <c r="O2613" t="s">
        <v>27</v>
      </c>
      <c r="P2613">
        <v>10.829681862835701</v>
      </c>
      <c r="Q2613">
        <v>1.73683743123842</v>
      </c>
      <c r="R2613">
        <v>9.5696352403515803</v>
      </c>
      <c r="S2613">
        <v>180</v>
      </c>
      <c r="T2613">
        <v>43</v>
      </c>
      <c r="U2613">
        <v>538.18645615993205</v>
      </c>
      <c r="V2613">
        <v>1.27795527156549E-3</v>
      </c>
      <c r="W2613">
        <v>2914003.0175451799</v>
      </c>
      <c r="X2613" t="s">
        <v>28</v>
      </c>
      <c r="Y2613">
        <f>1-661-172-8694</f>
        <v>-9526</v>
      </c>
    </row>
    <row r="2614" spans="1:25" x14ac:dyDescent="0.35">
      <c r="A2614">
        <v>33.811670628915302</v>
      </c>
      <c r="B2614">
        <v>-121.708610013637</v>
      </c>
      <c r="C2614" t="s">
        <v>29</v>
      </c>
      <c r="D2614">
        <v>48.340927395921497</v>
      </c>
      <c r="E2614">
        <v>5</v>
      </c>
      <c r="F2614">
        <v>1266</v>
      </c>
      <c r="G2614">
        <v>3</v>
      </c>
      <c r="H2614">
        <v>1</v>
      </c>
      <c r="I2614">
        <v>2010</v>
      </c>
      <c r="J2614">
        <v>0</v>
      </c>
      <c r="K2614">
        <v>0</v>
      </c>
      <c r="L2614">
        <v>1</v>
      </c>
      <c r="M2614">
        <v>5</v>
      </c>
      <c r="N2614" t="s">
        <v>37</v>
      </c>
      <c r="O2614" t="s">
        <v>32</v>
      </c>
      <c r="P2614">
        <v>10.8180532533936</v>
      </c>
      <c r="Q2614">
        <v>0.99160497470669395</v>
      </c>
      <c r="R2614">
        <v>6.6172996480640496</v>
      </c>
      <c r="S2614">
        <v>2</v>
      </c>
      <c r="T2614">
        <v>23</v>
      </c>
      <c r="U2614">
        <v>665.663024679312</v>
      </c>
      <c r="V2614">
        <v>3.9494470774091598E-3</v>
      </c>
      <c r="W2614">
        <v>1146931.6716196199</v>
      </c>
      <c r="X2614" t="s">
        <v>43</v>
      </c>
      <c r="Y2614">
        <f>1-206-375-9830</f>
        <v>-10410</v>
      </c>
    </row>
    <row r="2615" spans="1:25" x14ac:dyDescent="0.35">
      <c r="A2615">
        <v>35.366611368232697</v>
      </c>
      <c r="B2615">
        <v>-121.314021315025</v>
      </c>
      <c r="C2615" t="s">
        <v>29</v>
      </c>
      <c r="D2615">
        <v>45.434364500201099</v>
      </c>
      <c r="E2615">
        <v>1</v>
      </c>
      <c r="F2615">
        <v>4601</v>
      </c>
      <c r="G2615">
        <v>2</v>
      </c>
      <c r="H2615">
        <v>1</v>
      </c>
      <c r="I2615">
        <v>2018</v>
      </c>
      <c r="J2615">
        <v>1</v>
      </c>
      <c r="K2615">
        <v>0</v>
      </c>
      <c r="L2615">
        <v>1</v>
      </c>
      <c r="M2615">
        <v>4</v>
      </c>
      <c r="N2615" t="s">
        <v>37</v>
      </c>
      <c r="O2615" t="s">
        <v>27</v>
      </c>
      <c r="P2615">
        <v>11.159761992857399</v>
      </c>
      <c r="Q2615">
        <v>1.8898706497706499</v>
      </c>
      <c r="R2615">
        <v>8.9056181441413997</v>
      </c>
      <c r="S2615">
        <v>183</v>
      </c>
      <c r="T2615">
        <v>38</v>
      </c>
      <c r="U2615">
        <v>578.95493771692395</v>
      </c>
      <c r="V2615">
        <v>8.69376222560313E-4</v>
      </c>
      <c r="W2615">
        <v>2873246.93211004</v>
      </c>
      <c r="X2615" t="s">
        <v>28</v>
      </c>
      <c r="Y2615">
        <f>1-599-914-7766</f>
        <v>-9278</v>
      </c>
    </row>
    <row r="2616" spans="1:25" x14ac:dyDescent="0.35">
      <c r="A2616">
        <v>36.952189537683999</v>
      </c>
      <c r="B2616">
        <v>-123.208536601974</v>
      </c>
      <c r="C2616" t="s">
        <v>29</v>
      </c>
      <c r="D2616">
        <v>45.794133052638898</v>
      </c>
      <c r="E2616">
        <v>7</v>
      </c>
      <c r="F2616">
        <v>4220</v>
      </c>
      <c r="G2616">
        <v>5</v>
      </c>
      <c r="H2616">
        <v>2</v>
      </c>
      <c r="I2616">
        <v>2009</v>
      </c>
      <c r="J2616">
        <v>1</v>
      </c>
      <c r="K2616">
        <v>0</v>
      </c>
      <c r="L2616">
        <v>1</v>
      </c>
      <c r="M2616">
        <v>5</v>
      </c>
      <c r="N2616" t="s">
        <v>37</v>
      </c>
      <c r="O2616" t="s">
        <v>32</v>
      </c>
      <c r="P2616">
        <v>13.4370164892203</v>
      </c>
      <c r="Q2616">
        <v>1.6064862909519799</v>
      </c>
      <c r="R2616">
        <v>9.5302685047992095E-2</v>
      </c>
      <c r="S2616">
        <v>71</v>
      </c>
      <c r="T2616">
        <v>38</v>
      </c>
      <c r="U2616">
        <v>899.27821288430005</v>
      </c>
      <c r="V2616">
        <v>1.18483412322274E-3</v>
      </c>
      <c r="W2616">
        <v>4278959.4739449797</v>
      </c>
      <c r="X2616" t="s">
        <v>28</v>
      </c>
      <c r="Y2616">
        <f>1-349-577-8976</f>
        <v>-9901</v>
      </c>
    </row>
    <row r="2617" spans="1:25" x14ac:dyDescent="0.35">
      <c r="A2617">
        <v>41.407747977866499</v>
      </c>
      <c r="B2617">
        <v>-118.06007152947601</v>
      </c>
      <c r="C2617" t="s">
        <v>34</v>
      </c>
      <c r="D2617">
        <v>27.3583349305136</v>
      </c>
      <c r="E2617">
        <v>9</v>
      </c>
      <c r="F2617">
        <v>3861</v>
      </c>
      <c r="G2617">
        <v>1</v>
      </c>
      <c r="H2617">
        <v>1</v>
      </c>
      <c r="I2617">
        <v>1998</v>
      </c>
      <c r="J2617">
        <v>0</v>
      </c>
      <c r="K2617">
        <v>1</v>
      </c>
      <c r="L2617">
        <v>1</v>
      </c>
      <c r="M2617">
        <v>14</v>
      </c>
      <c r="N2617" t="s">
        <v>35</v>
      </c>
      <c r="O2617" t="s">
        <v>27</v>
      </c>
      <c r="P2617">
        <v>2.4474800995462598</v>
      </c>
      <c r="Q2617">
        <v>2.4957179012910502</v>
      </c>
      <c r="R2617">
        <v>3.10186054064848</v>
      </c>
      <c r="S2617">
        <v>131</v>
      </c>
      <c r="T2617">
        <v>74</v>
      </c>
      <c r="U2617">
        <v>626.44813794930405</v>
      </c>
      <c r="V2617">
        <v>3.6260036260036201E-3</v>
      </c>
      <c r="W2617">
        <v>2549612.0586600201</v>
      </c>
      <c r="X2617" t="s">
        <v>43</v>
      </c>
      <c r="Y2617">
        <f>1-902-921-3243</f>
        <v>-5065</v>
      </c>
    </row>
    <row r="2618" spans="1:25" x14ac:dyDescent="0.35">
      <c r="A2618">
        <v>38.0198640991022</v>
      </c>
      <c r="B2618">
        <v>-114.155019656459</v>
      </c>
      <c r="C2618" t="s">
        <v>25</v>
      </c>
      <c r="D2618">
        <v>23.797693389236599</v>
      </c>
      <c r="E2618">
        <v>3</v>
      </c>
      <c r="F2618">
        <v>2607</v>
      </c>
      <c r="G2618">
        <v>5</v>
      </c>
      <c r="H2618">
        <v>2</v>
      </c>
      <c r="I2618">
        <v>2010</v>
      </c>
      <c r="J2618">
        <v>0</v>
      </c>
      <c r="K2618">
        <v>0</v>
      </c>
      <c r="L2618">
        <v>1</v>
      </c>
      <c r="M2618">
        <v>6</v>
      </c>
      <c r="N2618" t="s">
        <v>26</v>
      </c>
      <c r="O2618" t="s">
        <v>32</v>
      </c>
      <c r="P2618">
        <v>2.4510178525996298</v>
      </c>
      <c r="Q2618">
        <v>1.7430458005529601</v>
      </c>
      <c r="R2618">
        <v>2.1520494916964499E-2</v>
      </c>
      <c r="S2618">
        <v>47</v>
      </c>
      <c r="T2618">
        <v>32</v>
      </c>
      <c r="U2618">
        <v>896.22358503486998</v>
      </c>
      <c r="V2618">
        <v>2.3014959723820401E-3</v>
      </c>
      <c r="W2618">
        <v>2621205.2046606601</v>
      </c>
      <c r="X2618" t="s">
        <v>38</v>
      </c>
      <c r="Y2618">
        <f>1-904-199-4680</f>
        <v>-5782</v>
      </c>
    </row>
    <row r="2619" spans="1:25" x14ac:dyDescent="0.35">
      <c r="A2619">
        <v>40.617722878675004</v>
      </c>
      <c r="B2619">
        <v>-122.84151960712499</v>
      </c>
      <c r="C2619" t="s">
        <v>34</v>
      </c>
      <c r="D2619">
        <v>29.274953764022701</v>
      </c>
      <c r="E2619">
        <v>5</v>
      </c>
      <c r="F2619">
        <v>3468</v>
      </c>
      <c r="G2619">
        <v>3</v>
      </c>
      <c r="H2619">
        <v>1</v>
      </c>
      <c r="I2619">
        <v>1997</v>
      </c>
      <c r="J2619">
        <v>0</v>
      </c>
      <c r="K2619">
        <v>1</v>
      </c>
      <c r="L2619">
        <v>1</v>
      </c>
      <c r="M2619">
        <v>8</v>
      </c>
      <c r="N2619" t="s">
        <v>37</v>
      </c>
      <c r="O2619" t="s">
        <v>32</v>
      </c>
      <c r="P2619">
        <v>6.5979019152849903</v>
      </c>
      <c r="Q2619">
        <v>0.79173323972618304</v>
      </c>
      <c r="R2619">
        <v>7.0537349697985796</v>
      </c>
      <c r="S2619">
        <v>107</v>
      </c>
      <c r="T2619">
        <v>72</v>
      </c>
      <c r="U2619">
        <v>576.44061028918202</v>
      </c>
      <c r="V2619">
        <v>2.3068050749711598E-3</v>
      </c>
      <c r="W2619">
        <v>2285475.1426278399</v>
      </c>
      <c r="X2619" t="s">
        <v>33</v>
      </c>
      <c r="Y2619">
        <f>1-652-498-3999</f>
        <v>-5148</v>
      </c>
    </row>
    <row r="2620" spans="1:25" x14ac:dyDescent="0.35">
      <c r="A2620">
        <v>37.471050891841699</v>
      </c>
      <c r="B2620">
        <v>-115.239404023408</v>
      </c>
      <c r="C2620" t="s">
        <v>29</v>
      </c>
      <c r="D2620">
        <v>33.681994436077503</v>
      </c>
      <c r="E2620">
        <v>4</v>
      </c>
      <c r="F2620">
        <v>4438</v>
      </c>
      <c r="G2620">
        <v>1</v>
      </c>
      <c r="H2620">
        <v>3</v>
      </c>
      <c r="I2620">
        <v>2002</v>
      </c>
      <c r="J2620">
        <v>0</v>
      </c>
      <c r="K2620">
        <v>0</v>
      </c>
      <c r="L2620">
        <v>1</v>
      </c>
      <c r="M2620">
        <v>7</v>
      </c>
      <c r="N2620" t="s">
        <v>37</v>
      </c>
      <c r="O2620" t="s">
        <v>30</v>
      </c>
      <c r="P2620">
        <v>4.7364674778246698</v>
      </c>
      <c r="Q2620">
        <v>2.3261214932034799</v>
      </c>
      <c r="R2620">
        <v>2.8923415696796702</v>
      </c>
      <c r="S2620">
        <v>57</v>
      </c>
      <c r="T2620">
        <v>35</v>
      </c>
      <c r="U2620">
        <v>387.55947017738498</v>
      </c>
      <c r="V2620">
        <v>1.57728706624605E-3</v>
      </c>
      <c r="W2620">
        <v>1823480.2400429801</v>
      </c>
      <c r="X2620" t="s">
        <v>40</v>
      </c>
      <c r="Y2620">
        <f>1-879-124-6144</f>
        <v>-7146</v>
      </c>
    </row>
    <row r="2621" spans="1:25" x14ac:dyDescent="0.35">
      <c r="A2621">
        <v>37.604970155722903</v>
      </c>
      <c r="B2621">
        <v>-119.24692626417</v>
      </c>
      <c r="C2621" t="s">
        <v>29</v>
      </c>
      <c r="D2621">
        <v>10.0496271940317</v>
      </c>
      <c r="E2621">
        <v>1</v>
      </c>
      <c r="F2621">
        <v>3277</v>
      </c>
      <c r="G2621">
        <v>1</v>
      </c>
      <c r="H2621">
        <v>2</v>
      </c>
      <c r="I2621">
        <v>1951</v>
      </c>
      <c r="J2621">
        <v>0</v>
      </c>
      <c r="K2621">
        <v>1</v>
      </c>
      <c r="L2621">
        <v>0</v>
      </c>
      <c r="M2621">
        <v>14</v>
      </c>
      <c r="N2621" t="s">
        <v>26</v>
      </c>
      <c r="O2621" t="s">
        <v>32</v>
      </c>
      <c r="P2621">
        <v>8.6804197699192898</v>
      </c>
      <c r="Q2621">
        <v>0.93743102863448602</v>
      </c>
      <c r="R2621">
        <v>0.362941080780953</v>
      </c>
      <c r="S2621">
        <v>191</v>
      </c>
      <c r="T2621">
        <v>60</v>
      </c>
      <c r="U2621">
        <v>856.24565761599297</v>
      </c>
      <c r="V2621">
        <v>4.27220018309429E-3</v>
      </c>
      <c r="W2621">
        <v>2912138.3010385502</v>
      </c>
      <c r="X2621" t="s">
        <v>42</v>
      </c>
      <c r="Y2621">
        <f>1-898-730-7590</f>
        <v>-9217</v>
      </c>
    </row>
    <row r="2622" spans="1:25" x14ac:dyDescent="0.35">
      <c r="A2622">
        <v>41.141560578497398</v>
      </c>
      <c r="B2622">
        <v>-121.416348018839</v>
      </c>
      <c r="C2622" t="s">
        <v>34</v>
      </c>
      <c r="D2622">
        <v>44.367856643072798</v>
      </c>
      <c r="E2622">
        <v>1</v>
      </c>
      <c r="F2622">
        <v>885</v>
      </c>
      <c r="G2622">
        <v>3</v>
      </c>
      <c r="H2622">
        <v>1</v>
      </c>
      <c r="I2622">
        <v>2007</v>
      </c>
      <c r="J2622">
        <v>1</v>
      </c>
      <c r="K2622">
        <v>0</v>
      </c>
      <c r="L2622">
        <v>0</v>
      </c>
      <c r="M2622">
        <v>14</v>
      </c>
      <c r="N2622" t="s">
        <v>26</v>
      </c>
      <c r="O2622" t="s">
        <v>27</v>
      </c>
      <c r="P2622">
        <v>13.7948550168006</v>
      </c>
      <c r="Q2622">
        <v>1.0341666330446899</v>
      </c>
      <c r="R2622">
        <v>2.6211381900940198</v>
      </c>
      <c r="S2622">
        <v>56</v>
      </c>
      <c r="T2622">
        <v>45</v>
      </c>
      <c r="U2622">
        <v>835.84486843987304</v>
      </c>
      <c r="V2622">
        <v>1.5819209039548001E-2</v>
      </c>
      <c r="W2622">
        <v>1015731.18282581</v>
      </c>
      <c r="X2622" t="s">
        <v>42</v>
      </c>
      <c r="Y2622">
        <f>1-219-922-1732</f>
        <v>-2872</v>
      </c>
    </row>
    <row r="2623" spans="1:25" x14ac:dyDescent="0.35">
      <c r="A2623">
        <v>34.434736897391701</v>
      </c>
      <c r="B2623">
        <v>-123.752932649851</v>
      </c>
      <c r="C2623" t="s">
        <v>29</v>
      </c>
      <c r="D2623">
        <v>29.613195453704499</v>
      </c>
      <c r="E2623">
        <v>6</v>
      </c>
      <c r="F2623">
        <v>4517</v>
      </c>
      <c r="G2623">
        <v>2</v>
      </c>
      <c r="H2623">
        <v>3</v>
      </c>
      <c r="I2623">
        <v>1964</v>
      </c>
      <c r="J2623">
        <v>0</v>
      </c>
      <c r="K2623">
        <v>0</v>
      </c>
      <c r="L2623">
        <v>1</v>
      </c>
      <c r="M2623">
        <v>7</v>
      </c>
      <c r="N2623" t="s">
        <v>26</v>
      </c>
      <c r="O2623" t="s">
        <v>30</v>
      </c>
      <c r="P2623">
        <v>3.85035708549113</v>
      </c>
      <c r="Q2623">
        <v>1.07167832111621</v>
      </c>
      <c r="R2623">
        <v>4.9499326713401599</v>
      </c>
      <c r="S2623">
        <v>57</v>
      </c>
      <c r="T2623">
        <v>28</v>
      </c>
      <c r="U2623">
        <v>658.04899611646204</v>
      </c>
      <c r="V2623">
        <v>1.54970112906796E-3</v>
      </c>
      <c r="W2623">
        <v>3110803.6861850601</v>
      </c>
      <c r="X2623" t="s">
        <v>40</v>
      </c>
      <c r="Y2623">
        <f>1-432-429-2158</f>
        <v>-3018</v>
      </c>
    </row>
    <row r="2624" spans="1:25" x14ac:dyDescent="0.35">
      <c r="A2624">
        <v>38.224340139270502</v>
      </c>
      <c r="B2624">
        <v>-117.77946144739001</v>
      </c>
      <c r="C2624" t="s">
        <v>25</v>
      </c>
      <c r="D2624">
        <v>17.877879354854102</v>
      </c>
      <c r="E2624">
        <v>5</v>
      </c>
      <c r="F2624">
        <v>1828</v>
      </c>
      <c r="G2624">
        <v>5</v>
      </c>
      <c r="H2624">
        <v>3</v>
      </c>
      <c r="I2624">
        <v>1963</v>
      </c>
      <c r="J2624">
        <v>0</v>
      </c>
      <c r="K2624">
        <v>0</v>
      </c>
      <c r="L2624">
        <v>0</v>
      </c>
      <c r="M2624">
        <v>14</v>
      </c>
      <c r="N2624" t="s">
        <v>41</v>
      </c>
      <c r="O2624" t="s">
        <v>27</v>
      </c>
      <c r="P2624">
        <v>3.5926592273116502</v>
      </c>
      <c r="Q2624">
        <v>0.67624282592159801</v>
      </c>
      <c r="R2624">
        <v>8.6351414093300907</v>
      </c>
      <c r="S2624">
        <v>20</v>
      </c>
      <c r="T2624">
        <v>27</v>
      </c>
      <c r="U2624">
        <v>821.05833364419698</v>
      </c>
      <c r="V2624">
        <v>7.6586433260393801E-3</v>
      </c>
      <c r="W2624">
        <v>1733322.0864891901</v>
      </c>
      <c r="X2624" t="s">
        <v>28</v>
      </c>
      <c r="Y2624">
        <f>1-351-309-4557</f>
        <v>-5216</v>
      </c>
    </row>
    <row r="2625" spans="1:25" x14ac:dyDescent="0.35">
      <c r="A2625">
        <v>33.291172571015402</v>
      </c>
      <c r="B2625">
        <v>-119.47921256524</v>
      </c>
      <c r="C2625" t="s">
        <v>25</v>
      </c>
      <c r="D2625">
        <v>19.9764941171257</v>
      </c>
      <c r="E2625">
        <v>8</v>
      </c>
      <c r="F2625">
        <v>835</v>
      </c>
      <c r="G2625">
        <v>1</v>
      </c>
      <c r="H2625">
        <v>2</v>
      </c>
      <c r="I2625">
        <v>2005</v>
      </c>
      <c r="J2625">
        <v>1</v>
      </c>
      <c r="K2625">
        <v>0</v>
      </c>
      <c r="L2625">
        <v>0</v>
      </c>
      <c r="M2625">
        <v>4</v>
      </c>
      <c r="N2625" t="s">
        <v>37</v>
      </c>
      <c r="O2625" t="s">
        <v>27</v>
      </c>
      <c r="P2625">
        <v>11.9663128148913</v>
      </c>
      <c r="Q2625">
        <v>2.3305380453332201</v>
      </c>
      <c r="R2625">
        <v>0.59895563913222005</v>
      </c>
      <c r="S2625">
        <v>104</v>
      </c>
      <c r="T2625">
        <v>26</v>
      </c>
      <c r="U2625">
        <v>726.73983004215404</v>
      </c>
      <c r="V2625">
        <v>4.7904191616766397E-3</v>
      </c>
      <c r="W2625">
        <v>843845.468163896</v>
      </c>
      <c r="X2625" t="s">
        <v>42</v>
      </c>
      <c r="Y2625">
        <f>1-838-427-4999</f>
        <v>-6263</v>
      </c>
    </row>
    <row r="2626" spans="1:25" x14ac:dyDescent="0.35">
      <c r="A2626">
        <v>36.201025188896402</v>
      </c>
      <c r="B2626">
        <v>-114.501754685053</v>
      </c>
      <c r="C2626" t="s">
        <v>25</v>
      </c>
      <c r="D2626">
        <v>30.4919557693547</v>
      </c>
      <c r="E2626">
        <v>4</v>
      </c>
      <c r="F2626">
        <v>3170</v>
      </c>
      <c r="G2626">
        <v>3</v>
      </c>
      <c r="H2626">
        <v>2</v>
      </c>
      <c r="I2626">
        <v>2022</v>
      </c>
      <c r="J2626">
        <v>0</v>
      </c>
      <c r="K2626">
        <v>1</v>
      </c>
      <c r="L2626">
        <v>1</v>
      </c>
      <c r="M2626">
        <v>6</v>
      </c>
      <c r="N2626" t="s">
        <v>35</v>
      </c>
      <c r="O2626" t="s">
        <v>30</v>
      </c>
      <c r="P2626">
        <v>6.6150734864789804</v>
      </c>
      <c r="Q2626">
        <v>1.03945592053783</v>
      </c>
      <c r="R2626">
        <v>6.1482025020169404</v>
      </c>
      <c r="S2626">
        <v>125</v>
      </c>
      <c r="T2626">
        <v>55</v>
      </c>
      <c r="U2626">
        <v>729.52906490611599</v>
      </c>
      <c r="V2626">
        <v>1.8927444794952599E-3</v>
      </c>
      <c r="W2626">
        <v>2726310.1416549799</v>
      </c>
      <c r="X2626" t="s">
        <v>38</v>
      </c>
      <c r="Y2626">
        <f>1-641-306-5974</f>
        <v>-6920</v>
      </c>
    </row>
    <row r="2627" spans="1:25" x14ac:dyDescent="0.35">
      <c r="A2627">
        <v>41.568981014004201</v>
      </c>
      <c r="B2627">
        <v>-118.19426121685299</v>
      </c>
      <c r="C2627" t="s">
        <v>25</v>
      </c>
      <c r="D2627">
        <v>33.649589996436099</v>
      </c>
      <c r="E2627">
        <v>6</v>
      </c>
      <c r="F2627">
        <v>3807</v>
      </c>
      <c r="G2627">
        <v>1</v>
      </c>
      <c r="H2627">
        <v>3</v>
      </c>
      <c r="I2627">
        <v>2020</v>
      </c>
      <c r="J2627">
        <v>0</v>
      </c>
      <c r="K2627">
        <v>0</v>
      </c>
      <c r="L2627">
        <v>1</v>
      </c>
      <c r="M2627">
        <v>4</v>
      </c>
      <c r="N2627" t="s">
        <v>37</v>
      </c>
      <c r="O2627" t="s">
        <v>32</v>
      </c>
      <c r="P2627">
        <v>11.4897508845222</v>
      </c>
      <c r="Q2627">
        <v>1.3949174719756701</v>
      </c>
      <c r="R2627">
        <v>1.4726858476097899</v>
      </c>
      <c r="S2627">
        <v>189</v>
      </c>
      <c r="T2627">
        <v>34</v>
      </c>
      <c r="U2627">
        <v>869.97167531009597</v>
      </c>
      <c r="V2627">
        <v>1.05069608615707E-3</v>
      </c>
      <c r="W2627">
        <v>3617492.5329069099</v>
      </c>
      <c r="X2627" t="s">
        <v>39</v>
      </c>
      <c r="Y2627">
        <f>1-932-754-1597</f>
        <v>-3282</v>
      </c>
    </row>
    <row r="2628" spans="1:25" x14ac:dyDescent="0.35">
      <c r="A2628">
        <v>34.192955799058701</v>
      </c>
      <c r="B2628">
        <v>-122.686866433802</v>
      </c>
      <c r="C2628" t="s">
        <v>29</v>
      </c>
      <c r="D2628">
        <v>14.986597049741899</v>
      </c>
      <c r="E2628">
        <v>4</v>
      </c>
      <c r="F2628">
        <v>2922</v>
      </c>
      <c r="G2628">
        <v>1</v>
      </c>
      <c r="H2628">
        <v>1</v>
      </c>
      <c r="I2628">
        <v>1995</v>
      </c>
      <c r="J2628">
        <v>1</v>
      </c>
      <c r="K2628">
        <v>1</v>
      </c>
      <c r="L2628">
        <v>0</v>
      </c>
      <c r="M2628">
        <v>8</v>
      </c>
      <c r="N2628" t="s">
        <v>35</v>
      </c>
      <c r="O2628" t="s">
        <v>32</v>
      </c>
      <c r="P2628">
        <v>7.1904346050597701</v>
      </c>
      <c r="Q2628">
        <v>1.09158327369856</v>
      </c>
      <c r="R2628">
        <v>4.8936330057643804</v>
      </c>
      <c r="S2628">
        <v>177</v>
      </c>
      <c r="T2628">
        <v>28</v>
      </c>
      <c r="U2628">
        <v>629.14901306372406</v>
      </c>
      <c r="V2628">
        <v>2.7378507871321E-3</v>
      </c>
      <c r="W2628">
        <v>2076793.01415956</v>
      </c>
      <c r="X2628" t="s">
        <v>43</v>
      </c>
      <c r="Y2628">
        <f>1-253-248-6793</f>
        <v>-7293</v>
      </c>
    </row>
    <row r="2629" spans="1:25" x14ac:dyDescent="0.35">
      <c r="A2629">
        <v>36.258663549818202</v>
      </c>
      <c r="B2629">
        <v>-119.10371341866799</v>
      </c>
      <c r="C2629" t="s">
        <v>29</v>
      </c>
      <c r="D2629">
        <v>38.974690061786099</v>
      </c>
      <c r="E2629">
        <v>9</v>
      </c>
      <c r="F2629">
        <v>2383</v>
      </c>
      <c r="G2629">
        <v>4</v>
      </c>
      <c r="H2629">
        <v>1</v>
      </c>
      <c r="I2629">
        <v>1954</v>
      </c>
      <c r="J2629">
        <v>0</v>
      </c>
      <c r="K2629">
        <v>0</v>
      </c>
      <c r="L2629">
        <v>0</v>
      </c>
      <c r="M2629">
        <v>2</v>
      </c>
      <c r="N2629" t="s">
        <v>41</v>
      </c>
      <c r="O2629" t="s">
        <v>32</v>
      </c>
      <c r="P2629">
        <v>4.9648810269410601</v>
      </c>
      <c r="Q2629">
        <v>0.86020582839920301</v>
      </c>
      <c r="R2629">
        <v>2.2349543524043001</v>
      </c>
      <c r="S2629">
        <v>53</v>
      </c>
      <c r="T2629">
        <v>27</v>
      </c>
      <c r="U2629">
        <v>888.27809318487198</v>
      </c>
      <c r="V2629">
        <v>8.3927822073017204E-4</v>
      </c>
      <c r="W2629">
        <v>2227659.7094042301</v>
      </c>
      <c r="X2629" t="s">
        <v>43</v>
      </c>
      <c r="Y2629">
        <f>1-810-574-8193</f>
        <v>-9576</v>
      </c>
    </row>
    <row r="2630" spans="1:25" x14ac:dyDescent="0.35">
      <c r="A2630">
        <v>33.860546676040997</v>
      </c>
      <c r="B2630">
        <v>-117.660500635099</v>
      </c>
      <c r="C2630" t="s">
        <v>34</v>
      </c>
      <c r="D2630">
        <v>14.559671518745301</v>
      </c>
      <c r="E2630">
        <v>5</v>
      </c>
      <c r="F2630">
        <v>3612</v>
      </c>
      <c r="G2630">
        <v>3</v>
      </c>
      <c r="H2630">
        <v>1</v>
      </c>
      <c r="I2630">
        <v>1982</v>
      </c>
      <c r="J2630">
        <v>0</v>
      </c>
      <c r="K2630">
        <v>1</v>
      </c>
      <c r="L2630">
        <v>0</v>
      </c>
      <c r="M2630">
        <v>9</v>
      </c>
      <c r="N2630" t="s">
        <v>41</v>
      </c>
      <c r="O2630" t="s">
        <v>30</v>
      </c>
      <c r="P2630">
        <v>5.9283659312091199</v>
      </c>
      <c r="Q2630">
        <v>1.70124851092103</v>
      </c>
      <c r="R2630">
        <v>9.6701567575023404</v>
      </c>
      <c r="S2630">
        <v>61</v>
      </c>
      <c r="T2630">
        <v>43</v>
      </c>
      <c r="U2630">
        <v>395.587168145519</v>
      </c>
      <c r="V2630">
        <v>2.49169435215946E-3</v>
      </c>
      <c r="W2630">
        <v>1661125.3300226999</v>
      </c>
      <c r="X2630" t="s">
        <v>42</v>
      </c>
      <c r="Y2630">
        <f>1-470-137-6150</f>
        <v>-6756</v>
      </c>
    </row>
    <row r="2631" spans="1:25" x14ac:dyDescent="0.35">
      <c r="A2631">
        <v>41.066541939472799</v>
      </c>
      <c r="B2631">
        <v>-122.48286922326299</v>
      </c>
      <c r="C2631" t="s">
        <v>34</v>
      </c>
      <c r="D2631">
        <v>35.598082650299098</v>
      </c>
      <c r="E2631">
        <v>1</v>
      </c>
      <c r="F2631">
        <v>3014</v>
      </c>
      <c r="G2631">
        <v>1</v>
      </c>
      <c r="H2631">
        <v>1</v>
      </c>
      <c r="I2631">
        <v>2021</v>
      </c>
      <c r="J2631">
        <v>0</v>
      </c>
      <c r="K2631">
        <v>0</v>
      </c>
      <c r="L2631">
        <v>0</v>
      </c>
      <c r="M2631">
        <v>7</v>
      </c>
      <c r="N2631" t="s">
        <v>37</v>
      </c>
      <c r="O2631" t="s">
        <v>30</v>
      </c>
      <c r="P2631">
        <v>14.546986077533701</v>
      </c>
      <c r="Q2631">
        <v>0.88168532846322401</v>
      </c>
      <c r="R2631">
        <v>0.926180777055022</v>
      </c>
      <c r="S2631">
        <v>64</v>
      </c>
      <c r="T2631">
        <v>38</v>
      </c>
      <c r="U2631">
        <v>670.52287184943805</v>
      </c>
      <c r="V2631">
        <v>2.3224950232249501E-3</v>
      </c>
      <c r="W2631">
        <v>2210329.3234210899</v>
      </c>
      <c r="X2631" t="s">
        <v>44</v>
      </c>
      <c r="Y2631">
        <f>1-834-705-3072</f>
        <v>-4610</v>
      </c>
    </row>
    <row r="2632" spans="1:25" x14ac:dyDescent="0.35">
      <c r="A2632">
        <v>36.226079175702402</v>
      </c>
      <c r="B2632">
        <v>-122.520942709431</v>
      </c>
      <c r="C2632" t="s">
        <v>34</v>
      </c>
      <c r="D2632">
        <v>27.298975963218201</v>
      </c>
      <c r="E2632">
        <v>8</v>
      </c>
      <c r="F2632">
        <v>4790</v>
      </c>
      <c r="G2632">
        <v>4</v>
      </c>
      <c r="H2632">
        <v>2</v>
      </c>
      <c r="I2632">
        <v>1974</v>
      </c>
      <c r="J2632">
        <v>1</v>
      </c>
      <c r="K2632">
        <v>0</v>
      </c>
      <c r="L2632">
        <v>1</v>
      </c>
      <c r="M2632">
        <v>7</v>
      </c>
      <c r="N2632" t="s">
        <v>41</v>
      </c>
      <c r="O2632" t="s">
        <v>32</v>
      </c>
      <c r="P2632">
        <v>3.63250984304553</v>
      </c>
      <c r="Q2632">
        <v>0.72287451561870597</v>
      </c>
      <c r="R2632">
        <v>0.91903618373691498</v>
      </c>
      <c r="S2632">
        <v>25</v>
      </c>
      <c r="T2632">
        <v>20</v>
      </c>
      <c r="U2632">
        <v>869.23904607255395</v>
      </c>
      <c r="V2632">
        <v>1.46137787056367E-3</v>
      </c>
      <c r="W2632">
        <v>4573780.5827999003</v>
      </c>
      <c r="X2632" t="s">
        <v>28</v>
      </c>
      <c r="Y2632">
        <f>1-236-920-4844</f>
        <v>-5999</v>
      </c>
    </row>
    <row r="2633" spans="1:25" x14ac:dyDescent="0.35">
      <c r="A2633">
        <v>33.613992871618898</v>
      </c>
      <c r="B2633">
        <v>-123.184826339271</v>
      </c>
      <c r="C2633" t="s">
        <v>34</v>
      </c>
      <c r="D2633">
        <v>15.0860590021991</v>
      </c>
      <c r="E2633">
        <v>5</v>
      </c>
      <c r="F2633">
        <v>537</v>
      </c>
      <c r="G2633">
        <v>3</v>
      </c>
      <c r="H2633">
        <v>2</v>
      </c>
      <c r="I2633">
        <v>2001</v>
      </c>
      <c r="J2633">
        <v>0</v>
      </c>
      <c r="K2633">
        <v>0</v>
      </c>
      <c r="L2633">
        <v>0</v>
      </c>
      <c r="M2633">
        <v>11</v>
      </c>
      <c r="N2633" t="s">
        <v>41</v>
      </c>
      <c r="O2633" t="s">
        <v>32</v>
      </c>
      <c r="P2633">
        <v>3.5935094081888299</v>
      </c>
      <c r="Q2633">
        <v>1.1947872757662401</v>
      </c>
      <c r="R2633">
        <v>7.2438608523708696</v>
      </c>
      <c r="S2633">
        <v>10</v>
      </c>
      <c r="T2633">
        <v>55</v>
      </c>
      <c r="U2633">
        <v>956.772635989734</v>
      </c>
      <c r="V2633">
        <v>2.04841713221601E-2</v>
      </c>
      <c r="W2633">
        <v>667180.10740373202</v>
      </c>
      <c r="X2633" t="s">
        <v>42</v>
      </c>
      <c r="Y2633">
        <f>1-595-595-2374</f>
        <v>-3563</v>
      </c>
    </row>
    <row r="2634" spans="1:25" x14ac:dyDescent="0.35">
      <c r="A2634">
        <v>40.535474315864001</v>
      </c>
      <c r="B2634">
        <v>-115.623675239759</v>
      </c>
      <c r="C2634" t="s">
        <v>25</v>
      </c>
      <c r="D2634">
        <v>34.392295614906502</v>
      </c>
      <c r="E2634">
        <v>0</v>
      </c>
      <c r="F2634">
        <v>1011</v>
      </c>
      <c r="G2634">
        <v>2</v>
      </c>
      <c r="H2634">
        <v>3</v>
      </c>
      <c r="I2634">
        <v>1953</v>
      </c>
      <c r="J2634">
        <v>0</v>
      </c>
      <c r="K2634">
        <v>0</v>
      </c>
      <c r="L2634">
        <v>0</v>
      </c>
      <c r="M2634">
        <v>7</v>
      </c>
      <c r="N2634" t="s">
        <v>26</v>
      </c>
      <c r="O2634" t="s">
        <v>32</v>
      </c>
      <c r="P2634">
        <v>14.390616797010599</v>
      </c>
      <c r="Q2634">
        <v>1.7983628804065901</v>
      </c>
      <c r="R2634">
        <v>0.14430282271004799</v>
      </c>
      <c r="S2634">
        <v>0</v>
      </c>
      <c r="T2634">
        <v>51</v>
      </c>
      <c r="U2634">
        <v>785.83858022271897</v>
      </c>
      <c r="V2634">
        <v>6.9238377843719003E-3</v>
      </c>
      <c r="W2634">
        <v>948644.66580132104</v>
      </c>
      <c r="X2634" t="s">
        <v>31</v>
      </c>
      <c r="Y2634">
        <f>1-214-930-8888</f>
        <v>-10031</v>
      </c>
    </row>
    <row r="2635" spans="1:25" x14ac:dyDescent="0.35">
      <c r="A2635">
        <v>33.843386016080402</v>
      </c>
      <c r="B2635">
        <v>-121.296232092788</v>
      </c>
      <c r="C2635" t="s">
        <v>29</v>
      </c>
      <c r="D2635">
        <v>20.186871785132102</v>
      </c>
      <c r="E2635">
        <v>3</v>
      </c>
      <c r="F2635">
        <v>1050</v>
      </c>
      <c r="G2635">
        <v>5</v>
      </c>
      <c r="H2635">
        <v>3</v>
      </c>
      <c r="I2635">
        <v>1996</v>
      </c>
      <c r="J2635">
        <v>0</v>
      </c>
      <c r="K2635">
        <v>1</v>
      </c>
      <c r="L2635">
        <v>1</v>
      </c>
      <c r="M2635">
        <v>12</v>
      </c>
      <c r="N2635" t="s">
        <v>41</v>
      </c>
      <c r="O2635" t="s">
        <v>30</v>
      </c>
      <c r="P2635">
        <v>9.1326184313955494</v>
      </c>
      <c r="Q2635">
        <v>1.45662176869923</v>
      </c>
      <c r="R2635">
        <v>9.0407823521802992</v>
      </c>
      <c r="S2635">
        <v>50</v>
      </c>
      <c r="T2635">
        <v>36</v>
      </c>
      <c r="U2635">
        <v>767.34467793947897</v>
      </c>
      <c r="V2635">
        <v>1.1428571428571401E-2</v>
      </c>
      <c r="W2635">
        <v>1366169.2661802</v>
      </c>
      <c r="X2635" t="s">
        <v>42</v>
      </c>
      <c r="Y2635">
        <f>1-292-982-9287</f>
        <v>-10560</v>
      </c>
    </row>
    <row r="2636" spans="1:25" x14ac:dyDescent="0.35">
      <c r="A2636">
        <v>40.972108577370797</v>
      </c>
      <c r="B2636">
        <v>-119.618467509966</v>
      </c>
      <c r="C2636" t="s">
        <v>25</v>
      </c>
      <c r="D2636">
        <v>24.856302214502801</v>
      </c>
      <c r="E2636">
        <v>0</v>
      </c>
      <c r="F2636">
        <v>1130</v>
      </c>
      <c r="G2636">
        <v>4</v>
      </c>
      <c r="H2636">
        <v>1</v>
      </c>
      <c r="I2636">
        <v>1982</v>
      </c>
      <c r="J2636">
        <v>0</v>
      </c>
      <c r="K2636">
        <v>1</v>
      </c>
      <c r="L2636">
        <v>0</v>
      </c>
      <c r="M2636">
        <v>7</v>
      </c>
      <c r="N2636" t="s">
        <v>26</v>
      </c>
      <c r="O2636" t="s">
        <v>32</v>
      </c>
      <c r="P2636">
        <v>12.723189322269199</v>
      </c>
      <c r="Q2636">
        <v>2.0971913991553501</v>
      </c>
      <c r="R2636">
        <v>4.8751027158455598</v>
      </c>
      <c r="S2636">
        <v>40</v>
      </c>
      <c r="T2636">
        <v>77</v>
      </c>
      <c r="U2636">
        <v>518.28602024518796</v>
      </c>
      <c r="V2636">
        <v>6.1946902654867204E-3</v>
      </c>
      <c r="W2636">
        <v>943855.52676123101</v>
      </c>
      <c r="X2636" t="s">
        <v>31</v>
      </c>
      <c r="Y2636">
        <f>1-928-124-4460</f>
        <v>-5511</v>
      </c>
    </row>
    <row r="2637" spans="1:25" x14ac:dyDescent="0.35">
      <c r="A2637">
        <v>33.903262163688098</v>
      </c>
      <c r="B2637">
        <v>-115.90788570289</v>
      </c>
      <c r="C2637" t="s">
        <v>34</v>
      </c>
      <c r="D2637">
        <v>29.647198770498001</v>
      </c>
      <c r="E2637">
        <v>3</v>
      </c>
      <c r="F2637">
        <v>3581</v>
      </c>
      <c r="G2637">
        <v>2</v>
      </c>
      <c r="H2637">
        <v>2</v>
      </c>
      <c r="I2637">
        <v>1983</v>
      </c>
      <c r="J2637">
        <v>1</v>
      </c>
      <c r="K2637">
        <v>0</v>
      </c>
      <c r="L2637">
        <v>1</v>
      </c>
      <c r="M2637">
        <v>13</v>
      </c>
      <c r="N2637" t="s">
        <v>26</v>
      </c>
      <c r="O2637" t="s">
        <v>32</v>
      </c>
      <c r="P2637">
        <v>4.15930192613851</v>
      </c>
      <c r="Q2637">
        <v>0.54979624136050498</v>
      </c>
      <c r="R2637">
        <v>8.1864236007456501</v>
      </c>
      <c r="S2637">
        <v>186</v>
      </c>
      <c r="T2637">
        <v>48</v>
      </c>
      <c r="U2637">
        <v>854.84602857034304</v>
      </c>
      <c r="V2637">
        <v>3.63027087405752E-3</v>
      </c>
      <c r="W2637">
        <v>3174320.2588709798</v>
      </c>
      <c r="X2637" t="s">
        <v>33</v>
      </c>
      <c r="Y2637">
        <f>1-947-932-1632</f>
        <v>-3510</v>
      </c>
    </row>
    <row r="2638" spans="1:25" x14ac:dyDescent="0.35">
      <c r="A2638">
        <v>34.120460179427198</v>
      </c>
      <c r="B2638">
        <v>-117.965120542576</v>
      </c>
      <c r="C2638" t="s">
        <v>29</v>
      </c>
      <c r="D2638">
        <v>21.6457431563711</v>
      </c>
      <c r="E2638">
        <v>1</v>
      </c>
      <c r="F2638">
        <v>2790</v>
      </c>
      <c r="G2638">
        <v>1</v>
      </c>
      <c r="H2638">
        <v>3</v>
      </c>
      <c r="I2638">
        <v>1963</v>
      </c>
      <c r="J2638">
        <v>0</v>
      </c>
      <c r="K2638">
        <v>1</v>
      </c>
      <c r="L2638">
        <v>1</v>
      </c>
      <c r="M2638">
        <v>7</v>
      </c>
      <c r="N2638" t="s">
        <v>35</v>
      </c>
      <c r="O2638" t="s">
        <v>32</v>
      </c>
      <c r="P2638">
        <v>2.0978282758128</v>
      </c>
      <c r="Q2638">
        <v>0.83011187783134799</v>
      </c>
      <c r="R2638">
        <v>6.0681705991811796</v>
      </c>
      <c r="S2638">
        <v>33</v>
      </c>
      <c r="T2638">
        <v>54</v>
      </c>
      <c r="U2638">
        <v>696.88322264558496</v>
      </c>
      <c r="V2638">
        <v>2.5089605734766999E-3</v>
      </c>
      <c r="W2638">
        <v>2159089.02995623</v>
      </c>
      <c r="X2638" t="s">
        <v>40</v>
      </c>
      <c r="Y2638">
        <f>1-577-541-1284</f>
        <v>-2401</v>
      </c>
    </row>
    <row r="2639" spans="1:25" x14ac:dyDescent="0.35">
      <c r="A2639">
        <v>41.923142299555003</v>
      </c>
      <c r="B2639">
        <v>-116.174844606286</v>
      </c>
      <c r="C2639" t="s">
        <v>29</v>
      </c>
      <c r="D2639">
        <v>40.085221480643902</v>
      </c>
      <c r="E2639">
        <v>1</v>
      </c>
      <c r="F2639">
        <v>3592</v>
      </c>
      <c r="G2639">
        <v>2</v>
      </c>
      <c r="H2639">
        <v>1</v>
      </c>
      <c r="I2639">
        <v>1981</v>
      </c>
      <c r="J2639">
        <v>1</v>
      </c>
      <c r="K2639">
        <v>1</v>
      </c>
      <c r="L2639">
        <v>1</v>
      </c>
      <c r="M2639">
        <v>7</v>
      </c>
      <c r="N2639" t="s">
        <v>35</v>
      </c>
      <c r="O2639" t="s">
        <v>32</v>
      </c>
      <c r="P2639">
        <v>3.3042826484129302</v>
      </c>
      <c r="Q2639">
        <v>1.72197849307967</v>
      </c>
      <c r="R2639">
        <v>0.31489457595016002</v>
      </c>
      <c r="S2639">
        <v>35</v>
      </c>
      <c r="T2639">
        <v>22</v>
      </c>
      <c r="U2639">
        <v>376.359938759991</v>
      </c>
      <c r="V2639">
        <v>1.94877505567928E-3</v>
      </c>
      <c r="W2639">
        <v>1653086.9340156401</v>
      </c>
      <c r="X2639" t="s">
        <v>42</v>
      </c>
      <c r="Y2639">
        <f>1-456-815-6113</f>
        <v>-7383</v>
      </c>
    </row>
    <row r="2640" spans="1:25" x14ac:dyDescent="0.35">
      <c r="A2640">
        <v>40.194021428080298</v>
      </c>
      <c r="B2640">
        <v>-119.00431079322399</v>
      </c>
      <c r="C2640" t="s">
        <v>29</v>
      </c>
      <c r="D2640">
        <v>8.4490647214525207</v>
      </c>
      <c r="E2640">
        <v>3</v>
      </c>
      <c r="F2640">
        <v>3734</v>
      </c>
      <c r="G2640">
        <v>5</v>
      </c>
      <c r="H2640">
        <v>2</v>
      </c>
      <c r="I2640">
        <v>1972</v>
      </c>
      <c r="J2640">
        <v>0</v>
      </c>
      <c r="K2640">
        <v>1</v>
      </c>
      <c r="L2640">
        <v>1</v>
      </c>
      <c r="M2640">
        <v>7</v>
      </c>
      <c r="N2640" t="s">
        <v>26</v>
      </c>
      <c r="O2640" t="s">
        <v>27</v>
      </c>
      <c r="P2640">
        <v>11.8957497153687</v>
      </c>
      <c r="Q2640">
        <v>1.68647023732941</v>
      </c>
      <c r="R2640">
        <v>3.0188993116309</v>
      </c>
      <c r="S2640">
        <v>116</v>
      </c>
      <c r="T2640">
        <v>58</v>
      </c>
      <c r="U2640">
        <v>555.11010719979595</v>
      </c>
      <c r="V2640">
        <v>1.87466523835029E-3</v>
      </c>
      <c r="W2640">
        <v>2421414.3716941099</v>
      </c>
      <c r="X2640" t="s">
        <v>31</v>
      </c>
      <c r="Y2640">
        <f>1-447-509-8380</f>
        <v>-9335</v>
      </c>
    </row>
    <row r="2641" spans="1:25" x14ac:dyDescent="0.35">
      <c r="A2641">
        <v>41.369784236974198</v>
      </c>
      <c r="B2641">
        <v>-123.114020869188</v>
      </c>
      <c r="C2641" t="s">
        <v>34</v>
      </c>
      <c r="D2641">
        <v>20.171393542243699</v>
      </c>
      <c r="E2641">
        <v>3</v>
      </c>
      <c r="F2641">
        <v>1486</v>
      </c>
      <c r="G2641">
        <v>4</v>
      </c>
      <c r="H2641">
        <v>2</v>
      </c>
      <c r="I2641">
        <v>1950</v>
      </c>
      <c r="J2641">
        <v>0</v>
      </c>
      <c r="K2641">
        <v>0</v>
      </c>
      <c r="L2641">
        <v>1</v>
      </c>
      <c r="M2641">
        <v>13</v>
      </c>
      <c r="N2641" t="s">
        <v>26</v>
      </c>
      <c r="O2641" t="s">
        <v>32</v>
      </c>
      <c r="P2641">
        <v>14.6742260328942</v>
      </c>
      <c r="Q2641">
        <v>1.4468406248482699</v>
      </c>
      <c r="R2641">
        <v>9.3556274819969794</v>
      </c>
      <c r="S2641">
        <v>94</v>
      </c>
      <c r="T2641">
        <v>21</v>
      </c>
      <c r="U2641">
        <v>416.57774472793</v>
      </c>
      <c r="V2641">
        <v>8.7483176312247602E-3</v>
      </c>
      <c r="W2641">
        <v>955449.965002627</v>
      </c>
      <c r="X2641" t="s">
        <v>31</v>
      </c>
      <c r="Y2641">
        <f>1-435-267-7489</f>
        <v>-8190</v>
      </c>
    </row>
    <row r="2642" spans="1:25" x14ac:dyDescent="0.35">
      <c r="A2642">
        <v>36.296909160081398</v>
      </c>
      <c r="B2642">
        <v>-124.012135106027</v>
      </c>
      <c r="C2642" t="s">
        <v>29</v>
      </c>
      <c r="D2642">
        <v>7.5458246138795699</v>
      </c>
      <c r="E2642">
        <v>8</v>
      </c>
      <c r="F2642">
        <v>2178</v>
      </c>
      <c r="G2642">
        <v>5</v>
      </c>
      <c r="H2642">
        <v>3</v>
      </c>
      <c r="I2642">
        <v>2015</v>
      </c>
      <c r="J2642">
        <v>1</v>
      </c>
      <c r="K2642">
        <v>1</v>
      </c>
      <c r="L2642">
        <v>0</v>
      </c>
      <c r="M2642">
        <v>11</v>
      </c>
      <c r="N2642" t="s">
        <v>26</v>
      </c>
      <c r="O2642" t="s">
        <v>32</v>
      </c>
      <c r="P2642">
        <v>8.8459884212955604</v>
      </c>
      <c r="Q2642">
        <v>0.64845441168228701</v>
      </c>
      <c r="R2642">
        <v>1.9064575613450401</v>
      </c>
      <c r="S2642">
        <v>74</v>
      </c>
      <c r="T2642">
        <v>43</v>
      </c>
      <c r="U2642">
        <v>978.70705980694595</v>
      </c>
      <c r="V2642">
        <v>5.0505050505050501E-3</v>
      </c>
      <c r="W2642">
        <v>2606971.7969336398</v>
      </c>
      <c r="X2642" t="s">
        <v>40</v>
      </c>
      <c r="Y2642">
        <f>1-256-162-2953</f>
        <v>-3370</v>
      </c>
    </row>
    <row r="2643" spans="1:25" x14ac:dyDescent="0.35">
      <c r="A2643">
        <v>33.081708622659797</v>
      </c>
      <c r="B2643">
        <v>-123.590893827961</v>
      </c>
      <c r="C2643" t="s">
        <v>34</v>
      </c>
      <c r="D2643">
        <v>45.813106998304299</v>
      </c>
      <c r="E2643">
        <v>8</v>
      </c>
      <c r="F2643">
        <v>4242</v>
      </c>
      <c r="G2643">
        <v>3</v>
      </c>
      <c r="H2643">
        <v>2</v>
      </c>
      <c r="I2643">
        <v>1963</v>
      </c>
      <c r="J2643">
        <v>0</v>
      </c>
      <c r="K2643">
        <v>0</v>
      </c>
      <c r="L2643">
        <v>1</v>
      </c>
      <c r="M2643">
        <v>6</v>
      </c>
      <c r="N2643" t="s">
        <v>26</v>
      </c>
      <c r="O2643" t="s">
        <v>32</v>
      </c>
      <c r="P2643">
        <v>10.2711284509873</v>
      </c>
      <c r="Q2643">
        <v>1.0184048365946201</v>
      </c>
      <c r="R2643">
        <v>1.8786784287256999</v>
      </c>
      <c r="S2643">
        <v>174</v>
      </c>
      <c r="T2643">
        <v>72</v>
      </c>
      <c r="U2643">
        <v>965.68847130103404</v>
      </c>
      <c r="V2643">
        <v>1.4144271570014099E-3</v>
      </c>
      <c r="W2643">
        <v>4309196.1350157596</v>
      </c>
      <c r="X2643" t="s">
        <v>38</v>
      </c>
      <c r="Y2643">
        <f>1-854-837-5486</f>
        <v>-7176</v>
      </c>
    </row>
    <row r="2644" spans="1:25" x14ac:dyDescent="0.35">
      <c r="A2644">
        <v>35.625439621928301</v>
      </c>
      <c r="B2644">
        <v>-120.30246105112001</v>
      </c>
      <c r="C2644" t="s">
        <v>29</v>
      </c>
      <c r="D2644">
        <v>31.667202046463501</v>
      </c>
      <c r="E2644">
        <v>5</v>
      </c>
      <c r="F2644">
        <v>4061</v>
      </c>
      <c r="G2644">
        <v>2</v>
      </c>
      <c r="H2644">
        <v>3</v>
      </c>
      <c r="I2644">
        <v>1992</v>
      </c>
      <c r="J2644">
        <v>0</v>
      </c>
      <c r="K2644">
        <v>1</v>
      </c>
      <c r="L2644">
        <v>1</v>
      </c>
      <c r="M2644">
        <v>11</v>
      </c>
      <c r="N2644" t="s">
        <v>26</v>
      </c>
      <c r="O2644" t="s">
        <v>27</v>
      </c>
      <c r="P2644">
        <v>9.8568854942467699</v>
      </c>
      <c r="Q2644">
        <v>1.3101752724203499</v>
      </c>
      <c r="R2644">
        <v>5.1238348282362196</v>
      </c>
      <c r="S2644">
        <v>56</v>
      </c>
      <c r="T2644">
        <v>31</v>
      </c>
      <c r="U2644">
        <v>359.288232925133</v>
      </c>
      <c r="V2644">
        <v>2.7086924402856399E-3</v>
      </c>
      <c r="W2644">
        <v>1810599.79942551</v>
      </c>
      <c r="X2644" t="s">
        <v>36</v>
      </c>
      <c r="Y2644">
        <f>1-829-260-5120</f>
        <v>-6208</v>
      </c>
    </row>
    <row r="2645" spans="1:25" x14ac:dyDescent="0.35">
      <c r="A2645">
        <v>36.018937506930797</v>
      </c>
      <c r="B2645">
        <v>-120.87311756552501</v>
      </c>
      <c r="C2645" t="s">
        <v>29</v>
      </c>
      <c r="D2645">
        <v>8.5239059608305805</v>
      </c>
      <c r="E2645">
        <v>4</v>
      </c>
      <c r="F2645">
        <v>1082</v>
      </c>
      <c r="G2645">
        <v>3</v>
      </c>
      <c r="H2645">
        <v>1</v>
      </c>
      <c r="I2645">
        <v>2015</v>
      </c>
      <c r="J2645">
        <v>0</v>
      </c>
      <c r="K2645">
        <v>0</v>
      </c>
      <c r="L2645">
        <v>0</v>
      </c>
      <c r="M2645">
        <v>11</v>
      </c>
      <c r="N2645" t="s">
        <v>41</v>
      </c>
      <c r="O2645" t="s">
        <v>30</v>
      </c>
      <c r="P2645">
        <v>4.6502625868380303</v>
      </c>
      <c r="Q2645">
        <v>0.92254008531693299</v>
      </c>
      <c r="R2645">
        <v>3.92498756607803</v>
      </c>
      <c r="S2645">
        <v>196</v>
      </c>
      <c r="T2645">
        <v>69</v>
      </c>
      <c r="U2645">
        <v>385.59397295704701</v>
      </c>
      <c r="V2645">
        <v>1.0166358595194E-2</v>
      </c>
      <c r="W2645">
        <v>593140.51792900497</v>
      </c>
      <c r="X2645" t="s">
        <v>40</v>
      </c>
      <c r="Y2645">
        <f>1-724-970-8641</f>
        <v>-10334</v>
      </c>
    </row>
    <row r="2646" spans="1:25" x14ac:dyDescent="0.35">
      <c r="A2646">
        <v>40.390608883430303</v>
      </c>
      <c r="B2646">
        <v>-122.001738542163</v>
      </c>
      <c r="C2646" t="s">
        <v>25</v>
      </c>
      <c r="D2646">
        <v>24.3829611381164</v>
      </c>
      <c r="E2646">
        <v>2</v>
      </c>
      <c r="F2646">
        <v>3069</v>
      </c>
      <c r="G2646">
        <v>4</v>
      </c>
      <c r="H2646">
        <v>2</v>
      </c>
      <c r="I2646">
        <v>1968</v>
      </c>
      <c r="J2646">
        <v>0</v>
      </c>
      <c r="K2646">
        <v>1</v>
      </c>
      <c r="L2646">
        <v>0</v>
      </c>
      <c r="M2646">
        <v>13</v>
      </c>
      <c r="N2646" t="s">
        <v>41</v>
      </c>
      <c r="O2646" t="s">
        <v>32</v>
      </c>
      <c r="P2646">
        <v>8.5286975237785896</v>
      </c>
      <c r="Q2646">
        <v>1.84381555561943</v>
      </c>
      <c r="R2646">
        <v>9.4791678834008106</v>
      </c>
      <c r="S2646">
        <v>176</v>
      </c>
      <c r="T2646">
        <v>66</v>
      </c>
      <c r="U2646">
        <v>608.38380798829201</v>
      </c>
      <c r="V2646">
        <v>4.2359074617139099E-3</v>
      </c>
      <c r="W2646">
        <v>2169827.8724968201</v>
      </c>
      <c r="X2646" t="s">
        <v>43</v>
      </c>
      <c r="Y2646">
        <f>1-228-487-8868</f>
        <v>-9582</v>
      </c>
    </row>
    <row r="2647" spans="1:25" x14ac:dyDescent="0.35">
      <c r="A2647">
        <v>40.488523904711698</v>
      </c>
      <c r="B2647">
        <v>-117.89517543173299</v>
      </c>
      <c r="C2647" t="s">
        <v>29</v>
      </c>
      <c r="D2647">
        <v>49.334005223530902</v>
      </c>
      <c r="E2647">
        <v>6</v>
      </c>
      <c r="F2647">
        <v>1109</v>
      </c>
      <c r="G2647">
        <v>5</v>
      </c>
      <c r="H2647">
        <v>2</v>
      </c>
      <c r="I2647">
        <v>1972</v>
      </c>
      <c r="J2647">
        <v>0</v>
      </c>
      <c r="K2647">
        <v>1</v>
      </c>
      <c r="L2647">
        <v>1</v>
      </c>
      <c r="M2647">
        <v>13</v>
      </c>
      <c r="N2647" t="s">
        <v>35</v>
      </c>
      <c r="O2647" t="s">
        <v>27</v>
      </c>
      <c r="P2647">
        <v>10.4271047933</v>
      </c>
      <c r="Q2647">
        <v>2.2203876679037502</v>
      </c>
      <c r="R2647">
        <v>9.28523227233838</v>
      </c>
      <c r="S2647">
        <v>106</v>
      </c>
      <c r="T2647">
        <v>70</v>
      </c>
      <c r="U2647">
        <v>269.28733540689399</v>
      </c>
      <c r="V2647">
        <v>1.1722272317403E-2</v>
      </c>
      <c r="W2647">
        <v>665898.49174347601</v>
      </c>
      <c r="X2647" t="s">
        <v>28</v>
      </c>
      <c r="Y2647">
        <f>1-971-779-9757</f>
        <v>-11506</v>
      </c>
    </row>
    <row r="2648" spans="1:25" x14ac:dyDescent="0.35">
      <c r="A2648">
        <v>38.842834460368799</v>
      </c>
      <c r="B2648">
        <v>-123.638216650693</v>
      </c>
      <c r="C2648" t="s">
        <v>34</v>
      </c>
      <c r="D2648">
        <v>13.8744897221797</v>
      </c>
      <c r="E2648">
        <v>5</v>
      </c>
      <c r="F2648">
        <v>2520</v>
      </c>
      <c r="G2648">
        <v>1</v>
      </c>
      <c r="H2648">
        <v>1</v>
      </c>
      <c r="I2648">
        <v>1972</v>
      </c>
      <c r="J2648">
        <v>0</v>
      </c>
      <c r="K2648">
        <v>1</v>
      </c>
      <c r="L2648">
        <v>1</v>
      </c>
      <c r="M2648">
        <v>5</v>
      </c>
      <c r="N2648" t="s">
        <v>35</v>
      </c>
      <c r="O2648" t="s">
        <v>30</v>
      </c>
      <c r="P2648">
        <v>8.0224482650545799</v>
      </c>
      <c r="Q2648">
        <v>1.7261566169367599</v>
      </c>
      <c r="R2648">
        <v>7.4884151767828797</v>
      </c>
      <c r="S2648">
        <v>124</v>
      </c>
      <c r="T2648">
        <v>50</v>
      </c>
      <c r="U2648">
        <v>800.80162297608297</v>
      </c>
      <c r="V2648">
        <v>1.9841269841269801E-3</v>
      </c>
      <c r="W2648">
        <v>2190437.92576038</v>
      </c>
      <c r="X2648" t="s">
        <v>33</v>
      </c>
      <c r="Y2648">
        <f>1-370-746-1357</f>
        <v>-2472</v>
      </c>
    </row>
    <row r="2649" spans="1:25" x14ac:dyDescent="0.35">
      <c r="A2649">
        <v>37.670238582243101</v>
      </c>
      <c r="B2649">
        <v>-120.418644057687</v>
      </c>
      <c r="C2649" t="s">
        <v>34</v>
      </c>
      <c r="D2649">
        <v>25.052969328225998</v>
      </c>
      <c r="E2649">
        <v>5</v>
      </c>
      <c r="F2649">
        <v>3637</v>
      </c>
      <c r="G2649">
        <v>5</v>
      </c>
      <c r="H2649">
        <v>1</v>
      </c>
      <c r="I2649">
        <v>2011</v>
      </c>
      <c r="J2649">
        <v>0</v>
      </c>
      <c r="K2649">
        <v>1</v>
      </c>
      <c r="L2649">
        <v>0</v>
      </c>
      <c r="M2649">
        <v>4</v>
      </c>
      <c r="N2649" t="s">
        <v>26</v>
      </c>
      <c r="O2649" t="s">
        <v>27</v>
      </c>
      <c r="P2649">
        <v>4.10912955657259</v>
      </c>
      <c r="Q2649">
        <v>1.3345893120349801</v>
      </c>
      <c r="R2649">
        <v>4.5790320905358799</v>
      </c>
      <c r="S2649">
        <v>120</v>
      </c>
      <c r="T2649">
        <v>70</v>
      </c>
      <c r="U2649">
        <v>735.95206903559199</v>
      </c>
      <c r="V2649">
        <v>1.0998075336816E-3</v>
      </c>
      <c r="W2649">
        <v>3030613.7905592299</v>
      </c>
      <c r="X2649" t="s">
        <v>44</v>
      </c>
      <c r="Y2649">
        <f>1-389-444-4102</f>
        <v>-4934</v>
      </c>
    </row>
    <row r="2650" spans="1:25" x14ac:dyDescent="0.35">
      <c r="A2650">
        <v>35.242306692598198</v>
      </c>
      <c r="B2650">
        <v>-122.491276084191</v>
      </c>
      <c r="C2650" t="s">
        <v>34</v>
      </c>
      <c r="D2650">
        <v>24.630724052226199</v>
      </c>
      <c r="E2650">
        <v>3</v>
      </c>
      <c r="F2650">
        <v>4515</v>
      </c>
      <c r="G2650">
        <v>3</v>
      </c>
      <c r="H2650">
        <v>3</v>
      </c>
      <c r="I2650">
        <v>2005</v>
      </c>
      <c r="J2650">
        <v>0</v>
      </c>
      <c r="K2650">
        <v>1</v>
      </c>
      <c r="L2650">
        <v>1</v>
      </c>
      <c r="M2650">
        <v>14</v>
      </c>
      <c r="N2650" t="s">
        <v>35</v>
      </c>
      <c r="O2650" t="s">
        <v>30</v>
      </c>
      <c r="P2650">
        <v>9.2576366563153591</v>
      </c>
      <c r="Q2650">
        <v>2.0909514967866398</v>
      </c>
      <c r="R2650">
        <v>6.0946025804384698</v>
      </c>
      <c r="S2650">
        <v>68</v>
      </c>
      <c r="T2650">
        <v>74</v>
      </c>
      <c r="U2650">
        <v>741.93103252564504</v>
      </c>
      <c r="V2650">
        <v>3.10077519379844E-3</v>
      </c>
      <c r="W2650">
        <v>3823133.7459509</v>
      </c>
      <c r="X2650" t="s">
        <v>28</v>
      </c>
      <c r="Y2650">
        <f>1-238-468-9984</f>
        <v>-10689</v>
      </c>
    </row>
    <row r="2651" spans="1:25" x14ac:dyDescent="0.35">
      <c r="A2651">
        <v>38.499110972190003</v>
      </c>
      <c r="B2651">
        <v>-114.572775577938</v>
      </c>
      <c r="C2651" t="s">
        <v>25</v>
      </c>
      <c r="D2651">
        <v>17.7456773993542</v>
      </c>
      <c r="E2651">
        <v>7</v>
      </c>
      <c r="F2651">
        <v>4693</v>
      </c>
      <c r="G2651">
        <v>4</v>
      </c>
      <c r="H2651">
        <v>3</v>
      </c>
      <c r="I2651">
        <v>2006</v>
      </c>
      <c r="J2651">
        <v>0</v>
      </c>
      <c r="K2651">
        <v>0</v>
      </c>
      <c r="L2651">
        <v>0</v>
      </c>
      <c r="M2651">
        <v>5</v>
      </c>
      <c r="N2651" t="s">
        <v>37</v>
      </c>
      <c r="O2651" t="s">
        <v>32</v>
      </c>
      <c r="P2651">
        <v>8.41869736545212</v>
      </c>
      <c r="Q2651">
        <v>2.340553276379</v>
      </c>
      <c r="R2651">
        <v>0.54044050295059898</v>
      </c>
      <c r="S2651">
        <v>101</v>
      </c>
      <c r="T2651">
        <v>50</v>
      </c>
      <c r="U2651">
        <v>321.596815290454</v>
      </c>
      <c r="V2651">
        <v>1.06541657788195E-3</v>
      </c>
      <c r="W2651">
        <v>1713519.3674355899</v>
      </c>
      <c r="X2651" t="s">
        <v>44</v>
      </c>
      <c r="Y2651">
        <f>1-667-256-4208</f>
        <v>-5130</v>
      </c>
    </row>
    <row r="2652" spans="1:25" x14ac:dyDescent="0.35">
      <c r="A2652">
        <v>32.771737503309701</v>
      </c>
      <c r="B2652">
        <v>-120.614478986721</v>
      </c>
      <c r="C2652" t="s">
        <v>34</v>
      </c>
      <c r="D2652">
        <v>43.955972216581799</v>
      </c>
      <c r="E2652">
        <v>9</v>
      </c>
      <c r="F2652">
        <v>1556</v>
      </c>
      <c r="G2652">
        <v>3</v>
      </c>
      <c r="H2652">
        <v>2</v>
      </c>
      <c r="I2652">
        <v>1963</v>
      </c>
      <c r="J2652">
        <v>0</v>
      </c>
      <c r="K2652">
        <v>0</v>
      </c>
      <c r="L2652">
        <v>0</v>
      </c>
      <c r="M2652">
        <v>3</v>
      </c>
      <c r="N2652" t="s">
        <v>37</v>
      </c>
      <c r="O2652" t="s">
        <v>27</v>
      </c>
      <c r="P2652">
        <v>3.4342129952005598</v>
      </c>
      <c r="Q2652">
        <v>1.65731202262586</v>
      </c>
      <c r="R2652">
        <v>5.3853423351314502</v>
      </c>
      <c r="S2652">
        <v>68</v>
      </c>
      <c r="T2652">
        <v>73</v>
      </c>
      <c r="U2652">
        <v>957.16070877358595</v>
      </c>
      <c r="V2652">
        <v>1.9280205655526901E-3</v>
      </c>
      <c r="W2652">
        <v>1630436.96631238</v>
      </c>
      <c r="X2652" t="s">
        <v>36</v>
      </c>
      <c r="Y2652">
        <f>1-600-161-1804</f>
        <v>-2564</v>
      </c>
    </row>
    <row r="2653" spans="1:25" x14ac:dyDescent="0.35">
      <c r="A2653">
        <v>39.219421351202499</v>
      </c>
      <c r="B2653">
        <v>-120.787713668056</v>
      </c>
      <c r="C2653" t="s">
        <v>29</v>
      </c>
      <c r="D2653">
        <v>24.4310564081553</v>
      </c>
      <c r="E2653">
        <v>1</v>
      </c>
      <c r="F2653">
        <v>4498</v>
      </c>
      <c r="G2653">
        <v>3</v>
      </c>
      <c r="H2653">
        <v>3</v>
      </c>
      <c r="I2653">
        <v>1985</v>
      </c>
      <c r="J2653">
        <v>1</v>
      </c>
      <c r="K2653">
        <v>1</v>
      </c>
      <c r="L2653">
        <v>0</v>
      </c>
      <c r="M2653">
        <v>8</v>
      </c>
      <c r="N2653" t="s">
        <v>35</v>
      </c>
      <c r="O2653" t="s">
        <v>27</v>
      </c>
      <c r="P2653">
        <v>5.96388957000989</v>
      </c>
      <c r="Q2653">
        <v>0.88619014813340002</v>
      </c>
      <c r="R2653">
        <v>0.98857374631791495</v>
      </c>
      <c r="S2653">
        <v>67</v>
      </c>
      <c r="T2653">
        <v>46</v>
      </c>
      <c r="U2653">
        <v>756.79226361015606</v>
      </c>
      <c r="V2653">
        <v>1.7785682525566901E-3</v>
      </c>
      <c r="W2653">
        <v>3791615.2976700002</v>
      </c>
      <c r="X2653" t="s">
        <v>38</v>
      </c>
      <c r="Y2653">
        <f>1-545-901-6072</f>
        <v>-7517</v>
      </c>
    </row>
    <row r="2654" spans="1:25" x14ac:dyDescent="0.35">
      <c r="A2654">
        <v>40.318928241805096</v>
      </c>
      <c r="B2654">
        <v>-120.99259850571799</v>
      </c>
      <c r="C2654" t="s">
        <v>29</v>
      </c>
      <c r="D2654">
        <v>3.2450549354738798</v>
      </c>
      <c r="E2654">
        <v>9</v>
      </c>
      <c r="F2654">
        <v>1137</v>
      </c>
      <c r="G2654">
        <v>2</v>
      </c>
      <c r="H2654">
        <v>3</v>
      </c>
      <c r="I2654">
        <v>2007</v>
      </c>
      <c r="J2654">
        <v>1</v>
      </c>
      <c r="K2654">
        <v>1</v>
      </c>
      <c r="L2654">
        <v>1</v>
      </c>
      <c r="M2654">
        <v>4</v>
      </c>
      <c r="N2654" t="s">
        <v>41</v>
      </c>
      <c r="O2654" t="s">
        <v>30</v>
      </c>
      <c r="P2654">
        <v>6.0363825273595104</v>
      </c>
      <c r="Q2654">
        <v>1.10453952254537</v>
      </c>
      <c r="R2654">
        <v>6.3223435157477397</v>
      </c>
      <c r="S2654">
        <v>4</v>
      </c>
      <c r="T2654">
        <v>45</v>
      </c>
      <c r="U2654">
        <v>677.57196737448305</v>
      </c>
      <c r="V2654">
        <v>3.51802990325417E-3</v>
      </c>
      <c r="W2654">
        <v>1099514.7097255001</v>
      </c>
      <c r="X2654" t="s">
        <v>28</v>
      </c>
      <c r="Y2654">
        <f>1-346-307-6019</f>
        <v>-6671</v>
      </c>
    </row>
    <row r="2655" spans="1:25" x14ac:dyDescent="0.35">
      <c r="A2655">
        <v>34.261362962613497</v>
      </c>
      <c r="B2655">
        <v>-115.234479957213</v>
      </c>
      <c r="C2655" t="s">
        <v>25</v>
      </c>
      <c r="D2655">
        <v>6.0497861542558899</v>
      </c>
      <c r="E2655">
        <v>4</v>
      </c>
      <c r="F2655">
        <v>538</v>
      </c>
      <c r="G2655">
        <v>1</v>
      </c>
      <c r="H2655">
        <v>2</v>
      </c>
      <c r="I2655">
        <v>1972</v>
      </c>
      <c r="J2655">
        <v>1</v>
      </c>
      <c r="K2655">
        <v>1</v>
      </c>
      <c r="L2655">
        <v>0</v>
      </c>
      <c r="M2655">
        <v>5</v>
      </c>
      <c r="N2655" t="s">
        <v>35</v>
      </c>
      <c r="O2655" t="s">
        <v>32</v>
      </c>
      <c r="P2655">
        <v>8.5759915943474105</v>
      </c>
      <c r="Q2655">
        <v>1.3213055754926699</v>
      </c>
      <c r="R2655">
        <v>9.3739876120625301</v>
      </c>
      <c r="S2655">
        <v>76</v>
      </c>
      <c r="T2655">
        <v>53</v>
      </c>
      <c r="U2655">
        <v>235.683579940919</v>
      </c>
      <c r="V2655">
        <v>9.2936802973977699E-3</v>
      </c>
      <c r="W2655">
        <v>245834.32147552801</v>
      </c>
      <c r="X2655" t="s">
        <v>36</v>
      </c>
      <c r="Y2655">
        <f>1-614-752-2272</f>
        <v>-3637</v>
      </c>
    </row>
    <row r="2656" spans="1:25" x14ac:dyDescent="0.35">
      <c r="A2656">
        <v>41.593049469053597</v>
      </c>
      <c r="B2656">
        <v>-116.142121380858</v>
      </c>
      <c r="C2656" t="s">
        <v>25</v>
      </c>
      <c r="D2656">
        <v>13.1846042627741</v>
      </c>
      <c r="E2656">
        <v>7</v>
      </c>
      <c r="F2656">
        <v>2173</v>
      </c>
      <c r="G2656">
        <v>2</v>
      </c>
      <c r="H2656">
        <v>1</v>
      </c>
      <c r="I2656">
        <v>1993</v>
      </c>
      <c r="J2656">
        <v>0</v>
      </c>
      <c r="K2656">
        <v>1</v>
      </c>
      <c r="L2656">
        <v>1</v>
      </c>
      <c r="M2656">
        <v>7</v>
      </c>
      <c r="N2656" t="s">
        <v>26</v>
      </c>
      <c r="O2656" t="s">
        <v>32</v>
      </c>
      <c r="P2656">
        <v>9.3515965396046106</v>
      </c>
      <c r="Q2656">
        <v>0.95651989074890098</v>
      </c>
      <c r="R2656">
        <v>6.3142553762920199</v>
      </c>
      <c r="S2656">
        <v>199</v>
      </c>
      <c r="T2656">
        <v>46</v>
      </c>
      <c r="U2656">
        <v>254.05773176978599</v>
      </c>
      <c r="V2656">
        <v>3.2213529682466602E-3</v>
      </c>
      <c r="W2656">
        <v>781409.15694531496</v>
      </c>
      <c r="X2656" t="s">
        <v>31</v>
      </c>
      <c r="Y2656">
        <f>1-436-734-9443</f>
        <v>-10612</v>
      </c>
    </row>
    <row r="2657" spans="1:25" x14ac:dyDescent="0.35">
      <c r="A2657">
        <v>33.668113369945701</v>
      </c>
      <c r="B2657">
        <v>-115.53790634672301</v>
      </c>
      <c r="C2657" t="s">
        <v>25</v>
      </c>
      <c r="D2657">
        <v>49.087731078098102</v>
      </c>
      <c r="E2657">
        <v>2</v>
      </c>
      <c r="F2657">
        <v>3091</v>
      </c>
      <c r="G2657">
        <v>3</v>
      </c>
      <c r="H2657">
        <v>2</v>
      </c>
      <c r="I2657">
        <v>1958</v>
      </c>
      <c r="J2657">
        <v>1</v>
      </c>
      <c r="K2657">
        <v>1</v>
      </c>
      <c r="L2657">
        <v>0</v>
      </c>
      <c r="M2657">
        <v>14</v>
      </c>
      <c r="N2657" t="s">
        <v>26</v>
      </c>
      <c r="O2657" t="s">
        <v>30</v>
      </c>
      <c r="P2657">
        <v>5.7166188155810298</v>
      </c>
      <c r="Q2657">
        <v>1.1973110601958901</v>
      </c>
      <c r="R2657">
        <v>9.59116330519897</v>
      </c>
      <c r="S2657">
        <v>81</v>
      </c>
      <c r="T2657">
        <v>25</v>
      </c>
      <c r="U2657">
        <v>463.86971223867903</v>
      </c>
      <c r="V2657">
        <v>4.5292785506308598E-3</v>
      </c>
      <c r="W2657">
        <v>1648619.98586047</v>
      </c>
      <c r="X2657" t="s">
        <v>40</v>
      </c>
      <c r="Y2657">
        <f>1-632-423-4472</f>
        <v>-5526</v>
      </c>
    </row>
    <row r="2658" spans="1:25" x14ac:dyDescent="0.35">
      <c r="A2658">
        <v>41.508031249591802</v>
      </c>
      <c r="B2658">
        <v>-120.316972855749</v>
      </c>
      <c r="C2658" t="s">
        <v>34</v>
      </c>
      <c r="D2658">
        <v>6.74581840922614</v>
      </c>
      <c r="E2658">
        <v>3</v>
      </c>
      <c r="F2658">
        <v>4655</v>
      </c>
      <c r="G2658">
        <v>1</v>
      </c>
      <c r="H2658">
        <v>2</v>
      </c>
      <c r="I2658">
        <v>2016</v>
      </c>
      <c r="J2658">
        <v>1</v>
      </c>
      <c r="K2658">
        <v>0</v>
      </c>
      <c r="L2658">
        <v>1</v>
      </c>
      <c r="M2658">
        <v>4</v>
      </c>
      <c r="N2658" t="s">
        <v>37</v>
      </c>
      <c r="O2658" t="s">
        <v>30</v>
      </c>
      <c r="P2658">
        <v>10.166124457876901</v>
      </c>
      <c r="Q2658">
        <v>1.9236009004797401</v>
      </c>
      <c r="R2658">
        <v>9.1783640743823494</v>
      </c>
      <c r="S2658">
        <v>42</v>
      </c>
      <c r="T2658">
        <v>40</v>
      </c>
      <c r="U2658">
        <v>618.37658265042398</v>
      </c>
      <c r="V2658">
        <v>8.59291084854994E-4</v>
      </c>
      <c r="W2658">
        <v>3121394.73062748</v>
      </c>
      <c r="X2658" t="s">
        <v>42</v>
      </c>
      <c r="Y2658">
        <f>1-500-697-4969</f>
        <v>-6165</v>
      </c>
    </row>
    <row r="2659" spans="1:25" x14ac:dyDescent="0.35">
      <c r="A2659">
        <v>32.687285945024698</v>
      </c>
      <c r="B2659">
        <v>-122.584167508492</v>
      </c>
      <c r="C2659" t="s">
        <v>29</v>
      </c>
      <c r="D2659">
        <v>36.768563196115799</v>
      </c>
      <c r="E2659">
        <v>3</v>
      </c>
      <c r="F2659">
        <v>3097</v>
      </c>
      <c r="G2659">
        <v>2</v>
      </c>
      <c r="H2659">
        <v>2</v>
      </c>
      <c r="I2659">
        <v>2020</v>
      </c>
      <c r="J2659">
        <v>1</v>
      </c>
      <c r="K2659">
        <v>0</v>
      </c>
      <c r="L2659">
        <v>1</v>
      </c>
      <c r="M2659">
        <v>5</v>
      </c>
      <c r="N2659" t="s">
        <v>41</v>
      </c>
      <c r="O2659" t="s">
        <v>27</v>
      </c>
      <c r="P2659">
        <v>13.4579181646334</v>
      </c>
      <c r="Q2659">
        <v>1.6451957878927499</v>
      </c>
      <c r="R2659">
        <v>4.8688867581446003</v>
      </c>
      <c r="S2659">
        <v>79</v>
      </c>
      <c r="T2659">
        <v>57</v>
      </c>
      <c r="U2659">
        <v>719.56481676264798</v>
      </c>
      <c r="V2659">
        <v>1.6144656118824601E-3</v>
      </c>
      <c r="W2659">
        <v>2542731.3041715198</v>
      </c>
      <c r="X2659" t="s">
        <v>44</v>
      </c>
      <c r="Y2659">
        <f>1-926-767-1841</f>
        <v>-3533</v>
      </c>
    </row>
    <row r="2660" spans="1:25" x14ac:dyDescent="0.35">
      <c r="A2660">
        <v>40.4789417414</v>
      </c>
      <c r="B2660">
        <v>-121.289586251391</v>
      </c>
      <c r="C2660" t="s">
        <v>34</v>
      </c>
      <c r="D2660">
        <v>38.343020267828102</v>
      </c>
      <c r="E2660">
        <v>0</v>
      </c>
      <c r="F2660">
        <v>3797</v>
      </c>
      <c r="G2660">
        <v>4</v>
      </c>
      <c r="H2660">
        <v>3</v>
      </c>
      <c r="I2660">
        <v>2015</v>
      </c>
      <c r="J2660">
        <v>1</v>
      </c>
      <c r="K2660">
        <v>0</v>
      </c>
      <c r="L2660">
        <v>0</v>
      </c>
      <c r="M2660">
        <v>8</v>
      </c>
      <c r="N2660" t="s">
        <v>41</v>
      </c>
      <c r="O2660" t="s">
        <v>30</v>
      </c>
      <c r="P2660">
        <v>7.6246943989903002</v>
      </c>
      <c r="Q2660">
        <v>1.23323262067164</v>
      </c>
      <c r="R2660">
        <v>4.3998892298990597</v>
      </c>
      <c r="S2660">
        <v>157</v>
      </c>
      <c r="T2660">
        <v>72</v>
      </c>
      <c r="U2660">
        <v>490.039923437536</v>
      </c>
      <c r="V2660">
        <v>2.1069265209375798E-3</v>
      </c>
      <c r="W2660">
        <v>2148177.9870545901</v>
      </c>
      <c r="X2660" t="s">
        <v>33</v>
      </c>
      <c r="Y2660">
        <f>1-859-498-3720</f>
        <v>-5076</v>
      </c>
    </row>
    <row r="2661" spans="1:25" x14ac:dyDescent="0.35">
      <c r="A2661">
        <v>40.507496516327897</v>
      </c>
      <c r="B2661">
        <v>-120.243528365185</v>
      </c>
      <c r="C2661" t="s">
        <v>29</v>
      </c>
      <c r="D2661">
        <v>38.4277615957132</v>
      </c>
      <c r="E2661">
        <v>7</v>
      </c>
      <c r="F2661">
        <v>3033</v>
      </c>
      <c r="G2661">
        <v>2</v>
      </c>
      <c r="H2661">
        <v>3</v>
      </c>
      <c r="I2661">
        <v>1979</v>
      </c>
      <c r="J2661">
        <v>0</v>
      </c>
      <c r="K2661">
        <v>1</v>
      </c>
      <c r="L2661">
        <v>1</v>
      </c>
      <c r="M2661">
        <v>7</v>
      </c>
      <c r="N2661" t="s">
        <v>41</v>
      </c>
      <c r="O2661" t="s">
        <v>27</v>
      </c>
      <c r="P2661">
        <v>12.6453504198382</v>
      </c>
      <c r="Q2661">
        <v>1.69314593047922</v>
      </c>
      <c r="R2661">
        <v>8.3144405665102106</v>
      </c>
      <c r="S2661">
        <v>188</v>
      </c>
      <c r="T2661">
        <v>61</v>
      </c>
      <c r="U2661">
        <v>453.48216947791002</v>
      </c>
      <c r="V2661">
        <v>2.3079459281239601E-3</v>
      </c>
      <c r="W2661">
        <v>1646853.4612282999</v>
      </c>
      <c r="X2661" t="s">
        <v>40</v>
      </c>
      <c r="Y2661">
        <f>1-688-355-6501</f>
        <v>-7543</v>
      </c>
    </row>
    <row r="2662" spans="1:25" x14ac:dyDescent="0.35">
      <c r="A2662">
        <v>32.641460158045803</v>
      </c>
      <c r="B2662">
        <v>-115.461612358544</v>
      </c>
      <c r="C2662" t="s">
        <v>34</v>
      </c>
      <c r="D2662">
        <v>6.0408426008997003</v>
      </c>
      <c r="E2662">
        <v>4</v>
      </c>
      <c r="F2662">
        <v>1962</v>
      </c>
      <c r="G2662">
        <v>1</v>
      </c>
      <c r="H2662">
        <v>1</v>
      </c>
      <c r="I2662">
        <v>1970</v>
      </c>
      <c r="J2662">
        <v>1</v>
      </c>
      <c r="K2662">
        <v>1</v>
      </c>
      <c r="L2662">
        <v>1</v>
      </c>
      <c r="M2662">
        <v>13</v>
      </c>
      <c r="N2662" t="s">
        <v>26</v>
      </c>
      <c r="O2662" t="s">
        <v>27</v>
      </c>
      <c r="P2662">
        <v>8.5324295912165304</v>
      </c>
      <c r="Q2662">
        <v>2.4363928956654801</v>
      </c>
      <c r="R2662">
        <v>0.53326541564704799</v>
      </c>
      <c r="S2662">
        <v>164</v>
      </c>
      <c r="T2662">
        <v>53</v>
      </c>
      <c r="U2662">
        <v>580.69325157533001</v>
      </c>
      <c r="V2662">
        <v>6.6258919469928601E-3</v>
      </c>
      <c r="W2662">
        <v>1296096.6860030801</v>
      </c>
      <c r="X2662" t="s">
        <v>36</v>
      </c>
      <c r="Y2662">
        <f>1-539-313-9222</f>
        <v>-10073</v>
      </c>
    </row>
    <row r="2663" spans="1:25" x14ac:dyDescent="0.35">
      <c r="A2663">
        <v>35.295139841540703</v>
      </c>
      <c r="B2663">
        <v>-118.746168092906</v>
      </c>
      <c r="C2663" t="s">
        <v>34</v>
      </c>
      <c r="D2663">
        <v>41.296582208108198</v>
      </c>
      <c r="E2663">
        <v>8</v>
      </c>
      <c r="F2663">
        <v>4790</v>
      </c>
      <c r="G2663">
        <v>3</v>
      </c>
      <c r="H2663">
        <v>2</v>
      </c>
      <c r="I2663">
        <v>1958</v>
      </c>
      <c r="J2663">
        <v>0</v>
      </c>
      <c r="K2663">
        <v>1</v>
      </c>
      <c r="L2663">
        <v>0</v>
      </c>
      <c r="M2663">
        <v>14</v>
      </c>
      <c r="N2663" t="s">
        <v>37</v>
      </c>
      <c r="O2663" t="s">
        <v>30</v>
      </c>
      <c r="P2663">
        <v>3.2618782223407199</v>
      </c>
      <c r="Q2663">
        <v>1.6528396570959001</v>
      </c>
      <c r="R2663">
        <v>8.0524634501602392</v>
      </c>
      <c r="S2663">
        <v>164</v>
      </c>
      <c r="T2663">
        <v>44</v>
      </c>
      <c r="U2663">
        <v>362.24662743134098</v>
      </c>
      <c r="V2663">
        <v>2.92275574112734E-3</v>
      </c>
      <c r="W2663">
        <v>1925810.49315795</v>
      </c>
      <c r="X2663" t="s">
        <v>38</v>
      </c>
      <c r="Y2663">
        <f>1-940-644-7680</f>
        <v>-9263</v>
      </c>
    </row>
    <row r="2664" spans="1:25" x14ac:dyDescent="0.35">
      <c r="A2664">
        <v>33.438092628951203</v>
      </c>
      <c r="B2664">
        <v>-115.311036051435</v>
      </c>
      <c r="C2664" t="s">
        <v>29</v>
      </c>
      <c r="D2664">
        <v>3.7841126248196999</v>
      </c>
      <c r="E2664">
        <v>7</v>
      </c>
      <c r="F2664">
        <v>4576</v>
      </c>
      <c r="G2664">
        <v>4</v>
      </c>
      <c r="H2664">
        <v>2</v>
      </c>
      <c r="I2664">
        <v>1981</v>
      </c>
      <c r="J2664">
        <v>1</v>
      </c>
      <c r="K2664">
        <v>0</v>
      </c>
      <c r="L2664">
        <v>1</v>
      </c>
      <c r="M2664">
        <v>2</v>
      </c>
      <c r="N2664" t="s">
        <v>41</v>
      </c>
      <c r="O2664" t="s">
        <v>27</v>
      </c>
      <c r="P2664">
        <v>14.1564472822587</v>
      </c>
      <c r="Q2664">
        <v>2.4265549788156</v>
      </c>
      <c r="R2664">
        <v>3.4716357424317699</v>
      </c>
      <c r="S2664">
        <v>151</v>
      </c>
      <c r="T2664">
        <v>63</v>
      </c>
      <c r="U2664">
        <v>933.59677600223199</v>
      </c>
      <c r="V2664">
        <v>4.3706293706293701E-4</v>
      </c>
      <c r="W2664">
        <v>4622410.1799167404</v>
      </c>
      <c r="X2664" t="s">
        <v>38</v>
      </c>
      <c r="Y2664">
        <f>1-656-360-7961</f>
        <v>-8976</v>
      </c>
    </row>
    <row r="2665" spans="1:25" x14ac:dyDescent="0.35">
      <c r="A2665">
        <v>37.736234729740701</v>
      </c>
      <c r="B2665">
        <v>-114.383170860432</v>
      </c>
      <c r="C2665" t="s">
        <v>29</v>
      </c>
      <c r="D2665">
        <v>7.6109387236434998</v>
      </c>
      <c r="E2665">
        <v>8</v>
      </c>
      <c r="F2665">
        <v>1943</v>
      </c>
      <c r="G2665">
        <v>2</v>
      </c>
      <c r="H2665">
        <v>3</v>
      </c>
      <c r="I2665">
        <v>1950</v>
      </c>
      <c r="J2665">
        <v>1</v>
      </c>
      <c r="K2665">
        <v>0</v>
      </c>
      <c r="L2665">
        <v>0</v>
      </c>
      <c r="M2665">
        <v>3</v>
      </c>
      <c r="N2665" t="s">
        <v>41</v>
      </c>
      <c r="O2665" t="s">
        <v>27</v>
      </c>
      <c r="P2665">
        <v>8.0660827656811005</v>
      </c>
      <c r="Q2665">
        <v>0.54332722531020206</v>
      </c>
      <c r="R2665">
        <v>1.0088335095757699</v>
      </c>
      <c r="S2665">
        <v>100</v>
      </c>
      <c r="T2665">
        <v>59</v>
      </c>
      <c r="U2665">
        <v>259.96151591601199</v>
      </c>
      <c r="V2665">
        <v>1.5440041173443099E-3</v>
      </c>
      <c r="W2665">
        <v>702459.76119353995</v>
      </c>
      <c r="X2665" t="s">
        <v>31</v>
      </c>
      <c r="Y2665">
        <f>1-832-494-2186</f>
        <v>-3511</v>
      </c>
    </row>
    <row r="2666" spans="1:25" x14ac:dyDescent="0.35">
      <c r="A2666">
        <v>34.472037192675003</v>
      </c>
      <c r="B2666">
        <v>-115.55516373473</v>
      </c>
      <c r="C2666" t="s">
        <v>34</v>
      </c>
      <c r="D2666">
        <v>17.749354353123501</v>
      </c>
      <c r="E2666">
        <v>8</v>
      </c>
      <c r="F2666">
        <v>1214</v>
      </c>
      <c r="G2666">
        <v>4</v>
      </c>
      <c r="H2666">
        <v>2</v>
      </c>
      <c r="I2666">
        <v>2020</v>
      </c>
      <c r="J2666">
        <v>1</v>
      </c>
      <c r="K2666">
        <v>0</v>
      </c>
      <c r="L2666">
        <v>1</v>
      </c>
      <c r="M2666">
        <v>4</v>
      </c>
      <c r="N2666" t="s">
        <v>26</v>
      </c>
      <c r="O2666" t="s">
        <v>30</v>
      </c>
      <c r="P2666">
        <v>11.486430736042999</v>
      </c>
      <c r="Q2666">
        <v>1.5859048941352301</v>
      </c>
      <c r="R2666">
        <v>1.09793893926455</v>
      </c>
      <c r="S2666">
        <v>181</v>
      </c>
      <c r="T2666">
        <v>55</v>
      </c>
      <c r="U2666">
        <v>285.64137483716598</v>
      </c>
      <c r="V2666">
        <v>3.2948929159802298E-3</v>
      </c>
      <c r="W2666">
        <v>693392.75425577594</v>
      </c>
      <c r="X2666" t="s">
        <v>36</v>
      </c>
      <c r="Y2666">
        <f>1-712-676-1165</f>
        <v>-2552</v>
      </c>
    </row>
    <row r="2667" spans="1:25" x14ac:dyDescent="0.35">
      <c r="A2667">
        <v>37.108926060327697</v>
      </c>
      <c r="B2667">
        <v>-121.382579018603</v>
      </c>
      <c r="C2667" t="s">
        <v>34</v>
      </c>
      <c r="D2667">
        <v>4.3982669644548302</v>
      </c>
      <c r="E2667">
        <v>1</v>
      </c>
      <c r="F2667">
        <v>3947</v>
      </c>
      <c r="G2667">
        <v>5</v>
      </c>
      <c r="H2667">
        <v>1</v>
      </c>
      <c r="I2667">
        <v>1971</v>
      </c>
      <c r="J2667">
        <v>1</v>
      </c>
      <c r="K2667">
        <v>1</v>
      </c>
      <c r="L2667">
        <v>0</v>
      </c>
      <c r="M2667">
        <v>4</v>
      </c>
      <c r="N2667" t="s">
        <v>37</v>
      </c>
      <c r="O2667" t="s">
        <v>30</v>
      </c>
      <c r="P2667">
        <v>11.635754541869201</v>
      </c>
      <c r="Q2667">
        <v>2.0837072211667498</v>
      </c>
      <c r="R2667">
        <v>0.384864645997955</v>
      </c>
      <c r="S2667">
        <v>145</v>
      </c>
      <c r="T2667">
        <v>73</v>
      </c>
      <c r="U2667">
        <v>875.71458972442804</v>
      </c>
      <c r="V2667">
        <v>1.0134279199391901E-3</v>
      </c>
      <c r="W2667">
        <v>3793680.1942799999</v>
      </c>
      <c r="X2667" t="s">
        <v>44</v>
      </c>
      <c r="Y2667">
        <f>1-896-347-9711</f>
        <v>-10953</v>
      </c>
    </row>
    <row r="2668" spans="1:25" x14ac:dyDescent="0.35">
      <c r="A2668">
        <v>38.9146371331043</v>
      </c>
      <c r="B2668">
        <v>-123.52641645904301</v>
      </c>
      <c r="C2668" t="s">
        <v>25</v>
      </c>
      <c r="D2668">
        <v>18.778415490720501</v>
      </c>
      <c r="E2668">
        <v>5</v>
      </c>
      <c r="F2668">
        <v>3648</v>
      </c>
      <c r="G2668">
        <v>1</v>
      </c>
      <c r="H2668">
        <v>1</v>
      </c>
      <c r="I2668">
        <v>2006</v>
      </c>
      <c r="J2668">
        <v>1</v>
      </c>
      <c r="K2668">
        <v>0</v>
      </c>
      <c r="L2668">
        <v>0</v>
      </c>
      <c r="M2668">
        <v>8</v>
      </c>
      <c r="N2668" t="s">
        <v>35</v>
      </c>
      <c r="O2668" t="s">
        <v>30</v>
      </c>
      <c r="P2668">
        <v>2.09148214124047</v>
      </c>
      <c r="Q2668">
        <v>1.0461639836246599</v>
      </c>
      <c r="R2668">
        <v>1.46058562064957</v>
      </c>
      <c r="S2668">
        <v>30</v>
      </c>
      <c r="T2668">
        <v>79</v>
      </c>
      <c r="U2668">
        <v>343.51840997508901</v>
      </c>
      <c r="V2668">
        <v>2.1929824561403499E-3</v>
      </c>
      <c r="W2668">
        <v>1315657.0968772001</v>
      </c>
      <c r="X2668" t="s">
        <v>28</v>
      </c>
      <c r="Y2668">
        <f>1-391-859-7254</f>
        <v>-8503</v>
      </c>
    </row>
    <row r="2669" spans="1:25" x14ac:dyDescent="0.35">
      <c r="A2669">
        <v>40.432991039891398</v>
      </c>
      <c r="B2669">
        <v>-117.677028893113</v>
      </c>
      <c r="C2669" t="s">
        <v>25</v>
      </c>
      <c r="D2669">
        <v>39.0188615969995</v>
      </c>
      <c r="E2669">
        <v>3</v>
      </c>
      <c r="F2669">
        <v>4202</v>
      </c>
      <c r="G2669">
        <v>2</v>
      </c>
      <c r="H2669">
        <v>2</v>
      </c>
      <c r="I2669">
        <v>1962</v>
      </c>
      <c r="J2669">
        <v>0</v>
      </c>
      <c r="K2669">
        <v>0</v>
      </c>
      <c r="L2669">
        <v>1</v>
      </c>
      <c r="M2669">
        <v>8</v>
      </c>
      <c r="N2669" t="s">
        <v>35</v>
      </c>
      <c r="O2669" t="s">
        <v>30</v>
      </c>
      <c r="P2669">
        <v>7.3085155569912201</v>
      </c>
      <c r="Q2669">
        <v>0.83123406419798096</v>
      </c>
      <c r="R2669">
        <v>1.86600274551158</v>
      </c>
      <c r="S2669">
        <v>3</v>
      </c>
      <c r="T2669">
        <v>63</v>
      </c>
      <c r="U2669">
        <v>636.72115573942597</v>
      </c>
      <c r="V2669">
        <v>1.90385530699666E-3</v>
      </c>
      <c r="W2669">
        <v>2775815.4707259601</v>
      </c>
      <c r="X2669" t="s">
        <v>42</v>
      </c>
      <c r="Y2669">
        <f>1-716-538-3849</f>
        <v>-5102</v>
      </c>
    </row>
    <row r="2670" spans="1:25" x14ac:dyDescent="0.35">
      <c r="A2670">
        <v>37.192279532110803</v>
      </c>
      <c r="B2670">
        <v>-115.725838025954</v>
      </c>
      <c r="C2670" t="s">
        <v>34</v>
      </c>
      <c r="D2670">
        <v>20.564218423148699</v>
      </c>
      <c r="E2670">
        <v>1</v>
      </c>
      <c r="F2670">
        <v>1371</v>
      </c>
      <c r="G2670">
        <v>2</v>
      </c>
      <c r="H2670">
        <v>1</v>
      </c>
      <c r="I2670">
        <v>1963</v>
      </c>
      <c r="J2670">
        <v>1</v>
      </c>
      <c r="K2670">
        <v>0</v>
      </c>
      <c r="L2670">
        <v>1</v>
      </c>
      <c r="M2670">
        <v>11</v>
      </c>
      <c r="N2670" t="s">
        <v>35</v>
      </c>
      <c r="O2670" t="s">
        <v>32</v>
      </c>
      <c r="P2670">
        <v>5.3758232524409904</v>
      </c>
      <c r="Q2670">
        <v>0.73913096001787804</v>
      </c>
      <c r="R2670">
        <v>6.3326058511015999</v>
      </c>
      <c r="S2670">
        <v>145</v>
      </c>
      <c r="T2670">
        <v>48</v>
      </c>
      <c r="U2670">
        <v>892.33859541029801</v>
      </c>
      <c r="V2670">
        <v>8.0233406272793503E-3</v>
      </c>
      <c r="W2670">
        <v>1381098.83017518</v>
      </c>
      <c r="X2670" t="s">
        <v>42</v>
      </c>
      <c r="Y2670">
        <f>1-206-586-8083</f>
        <v>-8874</v>
      </c>
    </row>
    <row r="2671" spans="1:25" x14ac:dyDescent="0.35">
      <c r="A2671">
        <v>34.942388710707498</v>
      </c>
      <c r="B2671">
        <v>-118.26344014587001</v>
      </c>
      <c r="C2671" t="s">
        <v>34</v>
      </c>
      <c r="D2671">
        <v>25.8557801916144</v>
      </c>
      <c r="E2671">
        <v>2</v>
      </c>
      <c r="F2671">
        <v>1475</v>
      </c>
      <c r="G2671">
        <v>1</v>
      </c>
      <c r="H2671">
        <v>1</v>
      </c>
      <c r="I2671">
        <v>2022</v>
      </c>
      <c r="J2671">
        <v>1</v>
      </c>
      <c r="K2671">
        <v>1</v>
      </c>
      <c r="L2671">
        <v>1</v>
      </c>
      <c r="M2671">
        <v>5</v>
      </c>
      <c r="N2671" t="s">
        <v>26</v>
      </c>
      <c r="O2671" t="s">
        <v>32</v>
      </c>
      <c r="P2671">
        <v>7.6205804675545199</v>
      </c>
      <c r="Q2671">
        <v>2.2110310937422</v>
      </c>
      <c r="R2671">
        <v>0.85901037420608795</v>
      </c>
      <c r="S2671">
        <v>102</v>
      </c>
      <c r="T2671">
        <v>34</v>
      </c>
      <c r="U2671">
        <v>904.61178199474</v>
      </c>
      <c r="V2671">
        <v>3.3898305084745701E-3</v>
      </c>
      <c r="W2671">
        <v>1608247.2169910299</v>
      </c>
      <c r="X2671" t="s">
        <v>39</v>
      </c>
      <c r="Y2671">
        <f>1-863-693-5056</f>
        <v>-6611</v>
      </c>
    </row>
    <row r="2672" spans="1:25" x14ac:dyDescent="0.35">
      <c r="A2672">
        <v>34.503011240640298</v>
      </c>
      <c r="B2672">
        <v>-120.494259133347</v>
      </c>
      <c r="C2672" t="s">
        <v>34</v>
      </c>
      <c r="D2672">
        <v>40.1293364900055</v>
      </c>
      <c r="E2672">
        <v>3</v>
      </c>
      <c r="F2672">
        <v>4650</v>
      </c>
      <c r="G2672">
        <v>1</v>
      </c>
      <c r="H2672">
        <v>2</v>
      </c>
      <c r="I2672">
        <v>1978</v>
      </c>
      <c r="J2672">
        <v>0</v>
      </c>
      <c r="K2672">
        <v>0</v>
      </c>
      <c r="L2672">
        <v>1</v>
      </c>
      <c r="M2672">
        <v>2</v>
      </c>
      <c r="N2672" t="s">
        <v>26</v>
      </c>
      <c r="O2672" t="s">
        <v>32</v>
      </c>
      <c r="P2672">
        <v>3.2536723655401301</v>
      </c>
      <c r="Q2672">
        <v>1.36076582719145</v>
      </c>
      <c r="R2672">
        <v>6.4139921795892603</v>
      </c>
      <c r="S2672">
        <v>40</v>
      </c>
      <c r="T2672">
        <v>22</v>
      </c>
      <c r="U2672">
        <v>931.372587653511</v>
      </c>
      <c r="V2672">
        <v>4.3010752688172E-4</v>
      </c>
      <c r="W2672">
        <v>4527125.9124615202</v>
      </c>
      <c r="X2672" t="s">
        <v>36</v>
      </c>
      <c r="Y2672">
        <f>1-896-520-7724</f>
        <v>-9139</v>
      </c>
    </row>
    <row r="2673" spans="1:25" x14ac:dyDescent="0.35">
      <c r="A2673">
        <v>39.1115965206045</v>
      </c>
      <c r="B2673">
        <v>-122.719227287305</v>
      </c>
      <c r="C2673" t="s">
        <v>34</v>
      </c>
      <c r="D2673">
        <v>47.517989638566902</v>
      </c>
      <c r="E2673">
        <v>3</v>
      </c>
      <c r="F2673">
        <v>2444</v>
      </c>
      <c r="G2673">
        <v>4</v>
      </c>
      <c r="H2673">
        <v>3</v>
      </c>
      <c r="I2673">
        <v>1970</v>
      </c>
      <c r="J2673">
        <v>1</v>
      </c>
      <c r="K2673">
        <v>0</v>
      </c>
      <c r="L2673">
        <v>0</v>
      </c>
      <c r="M2673">
        <v>6</v>
      </c>
      <c r="N2673" t="s">
        <v>37</v>
      </c>
      <c r="O2673" t="s">
        <v>27</v>
      </c>
      <c r="P2673">
        <v>11.1611937033035</v>
      </c>
      <c r="Q2673">
        <v>1.88900619736343</v>
      </c>
      <c r="R2673">
        <v>5.75888882542157</v>
      </c>
      <c r="S2673">
        <v>35</v>
      </c>
      <c r="T2673">
        <v>45</v>
      </c>
      <c r="U2673">
        <v>831.01224898169096</v>
      </c>
      <c r="V2673">
        <v>2.45499181669394E-3</v>
      </c>
      <c r="W2673">
        <v>2391100.9722398501</v>
      </c>
      <c r="X2673" t="s">
        <v>38</v>
      </c>
      <c r="Y2673">
        <f>1-857-181-8813</f>
        <v>-9850</v>
      </c>
    </row>
    <row r="2674" spans="1:25" x14ac:dyDescent="0.35">
      <c r="A2674">
        <v>39.147205349334897</v>
      </c>
      <c r="B2674">
        <v>-120.73234694926499</v>
      </c>
      <c r="C2674" t="s">
        <v>25</v>
      </c>
      <c r="D2674">
        <v>14.399624908480099</v>
      </c>
      <c r="E2674">
        <v>7</v>
      </c>
      <c r="F2674">
        <v>2725</v>
      </c>
      <c r="G2674">
        <v>3</v>
      </c>
      <c r="H2674">
        <v>1</v>
      </c>
      <c r="I2674">
        <v>2011</v>
      </c>
      <c r="J2674">
        <v>0</v>
      </c>
      <c r="K2674">
        <v>0</v>
      </c>
      <c r="L2674">
        <v>1</v>
      </c>
      <c r="M2674">
        <v>9</v>
      </c>
      <c r="N2674" t="s">
        <v>37</v>
      </c>
      <c r="O2674" t="s">
        <v>27</v>
      </c>
      <c r="P2674">
        <v>10.365739803904299</v>
      </c>
      <c r="Q2674">
        <v>0.70407133608362304</v>
      </c>
      <c r="R2674">
        <v>3.8733777481720102</v>
      </c>
      <c r="S2674">
        <v>149</v>
      </c>
      <c r="T2674">
        <v>69</v>
      </c>
      <c r="U2674">
        <v>540.28301929189797</v>
      </c>
      <c r="V2674">
        <v>3.30275229357798E-3</v>
      </c>
      <c r="W2674">
        <v>1712342.0437538901</v>
      </c>
      <c r="X2674" t="s">
        <v>42</v>
      </c>
      <c r="Y2674">
        <f>1-762-129-9931</f>
        <v>-10821</v>
      </c>
    </row>
    <row r="2675" spans="1:25" x14ac:dyDescent="0.35">
      <c r="A2675">
        <v>33.434609786481097</v>
      </c>
      <c r="B2675">
        <v>-121.429175932715</v>
      </c>
      <c r="C2675" t="s">
        <v>29</v>
      </c>
      <c r="D2675">
        <v>13.059114706386501</v>
      </c>
      <c r="E2675">
        <v>6</v>
      </c>
      <c r="F2675">
        <v>3081</v>
      </c>
      <c r="G2675">
        <v>1</v>
      </c>
      <c r="H2675">
        <v>3</v>
      </c>
      <c r="I2675">
        <v>1952</v>
      </c>
      <c r="J2675">
        <v>1</v>
      </c>
      <c r="K2675">
        <v>0</v>
      </c>
      <c r="L2675">
        <v>1</v>
      </c>
      <c r="M2675">
        <v>4</v>
      </c>
      <c r="N2675" t="s">
        <v>41</v>
      </c>
      <c r="O2675" t="s">
        <v>27</v>
      </c>
      <c r="P2675">
        <v>7.9987392816796801</v>
      </c>
      <c r="Q2675">
        <v>1.9569855065959401</v>
      </c>
      <c r="R2675">
        <v>0.78909866473346402</v>
      </c>
      <c r="S2675">
        <v>141</v>
      </c>
      <c r="T2675">
        <v>37</v>
      </c>
      <c r="U2675">
        <v>527.281123428608</v>
      </c>
      <c r="V2675">
        <v>1.2982797792924299E-3</v>
      </c>
      <c r="W2675">
        <v>1827773.10147605</v>
      </c>
      <c r="X2675" t="s">
        <v>40</v>
      </c>
      <c r="Y2675">
        <f>1-431-488-8110</f>
        <v>-9028</v>
      </c>
    </row>
    <row r="2676" spans="1:25" x14ac:dyDescent="0.35">
      <c r="A2676">
        <v>37.993092839184001</v>
      </c>
      <c r="B2676">
        <v>-120.325478380912</v>
      </c>
      <c r="C2676" t="s">
        <v>34</v>
      </c>
      <c r="D2676">
        <v>7.6589778531798096</v>
      </c>
      <c r="E2676">
        <v>8</v>
      </c>
      <c r="F2676">
        <v>2973</v>
      </c>
      <c r="G2676">
        <v>4</v>
      </c>
      <c r="H2676">
        <v>1</v>
      </c>
      <c r="I2676">
        <v>2005</v>
      </c>
      <c r="J2676">
        <v>1</v>
      </c>
      <c r="K2676">
        <v>0</v>
      </c>
      <c r="L2676">
        <v>1</v>
      </c>
      <c r="M2676">
        <v>14</v>
      </c>
      <c r="N2676" t="s">
        <v>41</v>
      </c>
      <c r="O2676" t="s">
        <v>27</v>
      </c>
      <c r="P2676">
        <v>6.5248994176160302</v>
      </c>
      <c r="Q2676">
        <v>0.92443568155986999</v>
      </c>
      <c r="R2676">
        <v>2.1140301579287399</v>
      </c>
      <c r="S2676">
        <v>46</v>
      </c>
      <c r="T2676">
        <v>72</v>
      </c>
      <c r="U2676">
        <v>571.92669531026002</v>
      </c>
      <c r="V2676">
        <v>4.70904809956273E-3</v>
      </c>
      <c r="W2676">
        <v>1975788.7259160299</v>
      </c>
      <c r="X2676" t="s">
        <v>31</v>
      </c>
      <c r="Y2676">
        <f>1-666-230-5899</f>
        <v>-6794</v>
      </c>
    </row>
    <row r="2677" spans="1:25" x14ac:dyDescent="0.35">
      <c r="A2677">
        <v>33.061060507658397</v>
      </c>
      <c r="B2677">
        <v>-122.173311138752</v>
      </c>
      <c r="C2677" t="s">
        <v>25</v>
      </c>
      <c r="D2677">
        <v>30.393836894048899</v>
      </c>
      <c r="E2677">
        <v>4</v>
      </c>
      <c r="F2677">
        <v>3024</v>
      </c>
      <c r="G2677">
        <v>4</v>
      </c>
      <c r="H2677">
        <v>1</v>
      </c>
      <c r="I2677">
        <v>1974</v>
      </c>
      <c r="J2677">
        <v>0</v>
      </c>
      <c r="K2677">
        <v>0</v>
      </c>
      <c r="L2677">
        <v>1</v>
      </c>
      <c r="M2677">
        <v>5</v>
      </c>
      <c r="N2677" t="s">
        <v>41</v>
      </c>
      <c r="O2677" t="s">
        <v>32</v>
      </c>
      <c r="P2677">
        <v>14.553094491605499</v>
      </c>
      <c r="Q2677">
        <v>0.91886486580292404</v>
      </c>
      <c r="R2677">
        <v>3.4548789066860999</v>
      </c>
      <c r="S2677">
        <v>95</v>
      </c>
      <c r="T2677">
        <v>50</v>
      </c>
      <c r="U2677">
        <v>786.30836856084397</v>
      </c>
      <c r="V2677">
        <v>1.6534391534391501E-3</v>
      </c>
      <c r="W2677">
        <v>2591279.6949842698</v>
      </c>
      <c r="X2677" t="s">
        <v>33</v>
      </c>
      <c r="Y2677">
        <f>1-477-950-8437</f>
        <v>-9863</v>
      </c>
    </row>
    <row r="2678" spans="1:25" x14ac:dyDescent="0.35">
      <c r="A2678">
        <v>35.541646632452398</v>
      </c>
      <c r="B2678">
        <v>-117.147941096976</v>
      </c>
      <c r="C2678" t="s">
        <v>34</v>
      </c>
      <c r="D2678">
        <v>48.685082760699402</v>
      </c>
      <c r="E2678">
        <v>0</v>
      </c>
      <c r="F2678">
        <v>3037</v>
      </c>
      <c r="G2678">
        <v>1</v>
      </c>
      <c r="H2678">
        <v>3</v>
      </c>
      <c r="I2678">
        <v>1969</v>
      </c>
      <c r="J2678">
        <v>1</v>
      </c>
      <c r="K2678">
        <v>1</v>
      </c>
      <c r="L2678">
        <v>1</v>
      </c>
      <c r="M2678">
        <v>12</v>
      </c>
      <c r="N2678" t="s">
        <v>37</v>
      </c>
      <c r="O2678" t="s">
        <v>30</v>
      </c>
      <c r="P2678">
        <v>12.0074450108573</v>
      </c>
      <c r="Q2678">
        <v>1.00689286874255</v>
      </c>
      <c r="R2678">
        <v>1.6015379115020301</v>
      </c>
      <c r="S2678">
        <v>136</v>
      </c>
      <c r="T2678">
        <v>73</v>
      </c>
      <c r="U2678">
        <v>958.74885596120805</v>
      </c>
      <c r="V2678">
        <v>3.95126769838656E-3</v>
      </c>
      <c r="W2678">
        <v>3252470.0181099102</v>
      </c>
      <c r="X2678" t="s">
        <v>36</v>
      </c>
      <c r="Y2678">
        <f>1-824-842-7827</f>
        <v>-9492</v>
      </c>
    </row>
    <row r="2679" spans="1:25" x14ac:dyDescent="0.35">
      <c r="A2679">
        <v>41.788129737523903</v>
      </c>
      <c r="B2679">
        <v>-119.938304503433</v>
      </c>
      <c r="C2679" t="s">
        <v>34</v>
      </c>
      <c r="D2679">
        <v>35.798604533292199</v>
      </c>
      <c r="E2679">
        <v>1</v>
      </c>
      <c r="F2679">
        <v>3175</v>
      </c>
      <c r="G2679">
        <v>2</v>
      </c>
      <c r="H2679">
        <v>2</v>
      </c>
      <c r="I2679">
        <v>1971</v>
      </c>
      <c r="J2679">
        <v>0</v>
      </c>
      <c r="K2679">
        <v>0</v>
      </c>
      <c r="L2679">
        <v>1</v>
      </c>
      <c r="M2679">
        <v>5</v>
      </c>
      <c r="N2679" t="s">
        <v>41</v>
      </c>
      <c r="O2679" t="s">
        <v>30</v>
      </c>
      <c r="P2679">
        <v>14.484336350600501</v>
      </c>
      <c r="Q2679">
        <v>1.0004010701522299</v>
      </c>
      <c r="R2679">
        <v>4.5226558598646296</v>
      </c>
      <c r="S2679">
        <v>16</v>
      </c>
      <c r="T2679">
        <v>58</v>
      </c>
      <c r="U2679">
        <v>739.66058525733104</v>
      </c>
      <c r="V2679">
        <v>1.5748031496062901E-3</v>
      </c>
      <c r="W2679">
        <v>2504807.63839695</v>
      </c>
      <c r="X2679" t="s">
        <v>31</v>
      </c>
      <c r="Y2679">
        <f>1-660-333-4769</f>
        <v>-5761</v>
      </c>
    </row>
    <row r="2680" spans="1:25" x14ac:dyDescent="0.35">
      <c r="A2680">
        <v>33.477167058549902</v>
      </c>
      <c r="B2680">
        <v>-115.417876350976</v>
      </c>
      <c r="C2680" t="s">
        <v>25</v>
      </c>
      <c r="D2680">
        <v>3.6361147263191098</v>
      </c>
      <c r="E2680">
        <v>2</v>
      </c>
      <c r="F2680">
        <v>4997</v>
      </c>
      <c r="G2680">
        <v>3</v>
      </c>
      <c r="H2680">
        <v>2</v>
      </c>
      <c r="I2680">
        <v>2019</v>
      </c>
      <c r="J2680">
        <v>1</v>
      </c>
      <c r="K2680">
        <v>0</v>
      </c>
      <c r="L2680">
        <v>1</v>
      </c>
      <c r="M2680">
        <v>10</v>
      </c>
      <c r="N2680" t="s">
        <v>41</v>
      </c>
      <c r="O2680" t="s">
        <v>32</v>
      </c>
      <c r="P2680">
        <v>2.8229938668921202</v>
      </c>
      <c r="Q2680">
        <v>1.99888162308633</v>
      </c>
      <c r="R2680">
        <v>9.4047763642663096</v>
      </c>
      <c r="S2680">
        <v>123</v>
      </c>
      <c r="T2680">
        <v>57</v>
      </c>
      <c r="U2680">
        <v>633.58447978350398</v>
      </c>
      <c r="V2680">
        <v>2.0012007204322502E-3</v>
      </c>
      <c r="W2680">
        <v>3394748.8620938198</v>
      </c>
      <c r="X2680" t="s">
        <v>38</v>
      </c>
      <c r="Y2680">
        <f>1-490-237-5525</f>
        <v>-6251</v>
      </c>
    </row>
    <row r="2681" spans="1:25" x14ac:dyDescent="0.35">
      <c r="A2681">
        <v>34.228761833164498</v>
      </c>
      <c r="B2681">
        <v>-118.376846900633</v>
      </c>
      <c r="C2681" t="s">
        <v>25</v>
      </c>
      <c r="D2681">
        <v>30.8110052613672</v>
      </c>
      <c r="E2681">
        <v>0</v>
      </c>
      <c r="F2681">
        <v>3248</v>
      </c>
      <c r="G2681">
        <v>1</v>
      </c>
      <c r="H2681">
        <v>3</v>
      </c>
      <c r="I2681">
        <v>1990</v>
      </c>
      <c r="J2681">
        <v>0</v>
      </c>
      <c r="K2681">
        <v>1</v>
      </c>
      <c r="L2681">
        <v>1</v>
      </c>
      <c r="M2681">
        <v>13</v>
      </c>
      <c r="N2681" t="s">
        <v>35</v>
      </c>
      <c r="O2681" t="s">
        <v>32</v>
      </c>
      <c r="P2681">
        <v>13.960365539531701</v>
      </c>
      <c r="Q2681">
        <v>1.8789783516477101</v>
      </c>
      <c r="R2681">
        <v>5.9776195050631804</v>
      </c>
      <c r="S2681">
        <v>12</v>
      </c>
      <c r="T2681">
        <v>40</v>
      </c>
      <c r="U2681">
        <v>252.32136164683601</v>
      </c>
      <c r="V2681">
        <v>4.0024630541871898E-3</v>
      </c>
      <c r="W2681">
        <v>1230671.9463087199</v>
      </c>
      <c r="X2681" t="s">
        <v>36</v>
      </c>
      <c r="Y2681">
        <f>1-212-455-1989</f>
        <v>-2655</v>
      </c>
    </row>
    <row r="2682" spans="1:25" x14ac:dyDescent="0.35">
      <c r="A2682">
        <v>35.731013578355999</v>
      </c>
      <c r="B2682">
        <v>-118.46861782744</v>
      </c>
      <c r="C2682" t="s">
        <v>25</v>
      </c>
      <c r="D2682">
        <v>39.923214951572497</v>
      </c>
      <c r="E2682">
        <v>1</v>
      </c>
      <c r="F2682">
        <v>2560</v>
      </c>
      <c r="G2682">
        <v>1</v>
      </c>
      <c r="H2682">
        <v>2</v>
      </c>
      <c r="I2682">
        <v>1977</v>
      </c>
      <c r="J2682">
        <v>0</v>
      </c>
      <c r="K2682">
        <v>0</v>
      </c>
      <c r="L2682">
        <v>1</v>
      </c>
      <c r="M2682">
        <v>2</v>
      </c>
      <c r="N2682" t="s">
        <v>35</v>
      </c>
      <c r="O2682" t="s">
        <v>27</v>
      </c>
      <c r="P2682">
        <v>10.237391088787501</v>
      </c>
      <c r="Q2682">
        <v>1.4673442267380601</v>
      </c>
      <c r="R2682">
        <v>4.2899107621748804</v>
      </c>
      <c r="S2682">
        <v>158</v>
      </c>
      <c r="T2682">
        <v>68</v>
      </c>
      <c r="U2682">
        <v>692.55309227890905</v>
      </c>
      <c r="V2682">
        <v>7.8125000000000004E-4</v>
      </c>
      <c r="W2682">
        <v>1891764.3297849</v>
      </c>
      <c r="X2682" t="s">
        <v>38</v>
      </c>
      <c r="Y2682">
        <f>1-922-664-9415</f>
        <v>-11000</v>
      </c>
    </row>
    <row r="2683" spans="1:25" x14ac:dyDescent="0.35">
      <c r="A2683">
        <v>41.415593357696501</v>
      </c>
      <c r="B2683">
        <v>-114.648959264018</v>
      </c>
      <c r="C2683" t="s">
        <v>25</v>
      </c>
      <c r="D2683">
        <v>27.3468781506852</v>
      </c>
      <c r="E2683">
        <v>0</v>
      </c>
      <c r="F2683">
        <v>1413</v>
      </c>
      <c r="G2683">
        <v>3</v>
      </c>
      <c r="H2683">
        <v>2</v>
      </c>
      <c r="I2683">
        <v>1953</v>
      </c>
      <c r="J2683">
        <v>1</v>
      </c>
      <c r="K2683">
        <v>0</v>
      </c>
      <c r="L2683">
        <v>0</v>
      </c>
      <c r="M2683">
        <v>6</v>
      </c>
      <c r="N2683" t="s">
        <v>37</v>
      </c>
      <c r="O2683" t="s">
        <v>27</v>
      </c>
      <c r="P2683">
        <v>2.22525584761989</v>
      </c>
      <c r="Q2683">
        <v>0.77554184056793896</v>
      </c>
      <c r="R2683">
        <v>2.3256428633297501</v>
      </c>
      <c r="S2683">
        <v>190</v>
      </c>
      <c r="T2683">
        <v>44</v>
      </c>
      <c r="U2683">
        <v>423.89010266885401</v>
      </c>
      <c r="V2683">
        <v>4.2462845010615702E-3</v>
      </c>
      <c r="W2683">
        <v>758682.36161629797</v>
      </c>
      <c r="X2683" t="s">
        <v>44</v>
      </c>
      <c r="Y2683">
        <f>1-864-998-4489</f>
        <v>-6350</v>
      </c>
    </row>
    <row r="2684" spans="1:25" x14ac:dyDescent="0.35">
      <c r="A2684">
        <v>40.805811410214901</v>
      </c>
      <c r="B2684">
        <v>-117.18806892412699</v>
      </c>
      <c r="C2684" t="s">
        <v>29</v>
      </c>
      <c r="D2684">
        <v>27.408843100938501</v>
      </c>
      <c r="E2684">
        <v>6</v>
      </c>
      <c r="F2684">
        <v>2350</v>
      </c>
      <c r="G2684">
        <v>5</v>
      </c>
      <c r="H2684">
        <v>1</v>
      </c>
      <c r="I2684">
        <v>1976</v>
      </c>
      <c r="J2684">
        <v>0</v>
      </c>
      <c r="K2684">
        <v>1</v>
      </c>
      <c r="L2684">
        <v>1</v>
      </c>
      <c r="M2684">
        <v>4</v>
      </c>
      <c r="N2684" t="s">
        <v>37</v>
      </c>
      <c r="O2684" t="s">
        <v>32</v>
      </c>
      <c r="P2684">
        <v>12.825242854257301</v>
      </c>
      <c r="Q2684">
        <v>1.3538649482667799</v>
      </c>
      <c r="R2684">
        <v>9.9275498223782606</v>
      </c>
      <c r="S2684">
        <v>199</v>
      </c>
      <c r="T2684">
        <v>65</v>
      </c>
      <c r="U2684">
        <v>501.13973624697002</v>
      </c>
      <c r="V2684">
        <v>1.70212765957446E-3</v>
      </c>
      <c r="W2684">
        <v>1533407.21671217</v>
      </c>
      <c r="X2684" t="s">
        <v>44</v>
      </c>
      <c r="Y2684">
        <f>1-647-926-4165</f>
        <v>-5737</v>
      </c>
    </row>
    <row r="2685" spans="1:25" x14ac:dyDescent="0.35">
      <c r="A2685">
        <v>41.009957950778698</v>
      </c>
      <c r="B2685">
        <v>-115.315381766548</v>
      </c>
      <c r="C2685" t="s">
        <v>25</v>
      </c>
      <c r="D2685">
        <v>6.4327220781198404</v>
      </c>
      <c r="E2685">
        <v>4</v>
      </c>
      <c r="F2685">
        <v>879</v>
      </c>
      <c r="G2685">
        <v>2</v>
      </c>
      <c r="H2685">
        <v>1</v>
      </c>
      <c r="I2685">
        <v>2002</v>
      </c>
      <c r="J2685">
        <v>1</v>
      </c>
      <c r="K2685">
        <v>0</v>
      </c>
      <c r="L2685">
        <v>0</v>
      </c>
      <c r="M2685">
        <v>9</v>
      </c>
      <c r="N2685" t="s">
        <v>35</v>
      </c>
      <c r="O2685" t="s">
        <v>30</v>
      </c>
      <c r="P2685">
        <v>13.749748324806401</v>
      </c>
      <c r="Q2685">
        <v>2.32113380116136</v>
      </c>
      <c r="R2685">
        <v>6.1047944832601502</v>
      </c>
      <c r="S2685">
        <v>111</v>
      </c>
      <c r="T2685">
        <v>48</v>
      </c>
      <c r="U2685">
        <v>805.91796805655997</v>
      </c>
      <c r="V2685">
        <v>1.0238907849829299E-2</v>
      </c>
      <c r="W2685">
        <v>840498.83080577897</v>
      </c>
      <c r="X2685" t="s">
        <v>39</v>
      </c>
      <c r="Y2685">
        <f>1-296-596-9967</f>
        <v>-10858</v>
      </c>
    </row>
    <row r="2686" spans="1:25" x14ac:dyDescent="0.35">
      <c r="A2686">
        <v>33.720953980125799</v>
      </c>
      <c r="B2686">
        <v>-123.660780183067</v>
      </c>
      <c r="C2686" t="s">
        <v>29</v>
      </c>
      <c r="D2686">
        <v>44.254173790712301</v>
      </c>
      <c r="E2686">
        <v>8</v>
      </c>
      <c r="F2686">
        <v>3244</v>
      </c>
      <c r="G2686">
        <v>2</v>
      </c>
      <c r="H2686">
        <v>3</v>
      </c>
      <c r="I2686">
        <v>2013</v>
      </c>
      <c r="J2686">
        <v>0</v>
      </c>
      <c r="K2686">
        <v>1</v>
      </c>
      <c r="L2686">
        <v>0</v>
      </c>
      <c r="M2686">
        <v>4</v>
      </c>
      <c r="N2686" t="s">
        <v>41</v>
      </c>
      <c r="O2686" t="s">
        <v>27</v>
      </c>
      <c r="P2686">
        <v>9.0698791450893896</v>
      </c>
      <c r="Q2686">
        <v>1.6203164679373501</v>
      </c>
      <c r="R2686">
        <v>8.0646349280302392</v>
      </c>
      <c r="S2686">
        <v>101</v>
      </c>
      <c r="T2686">
        <v>52</v>
      </c>
      <c r="U2686">
        <v>502.393660553519</v>
      </c>
      <c r="V2686">
        <v>1.2330456226880299E-3</v>
      </c>
      <c r="W2686">
        <v>1924751.66641709</v>
      </c>
      <c r="X2686" t="s">
        <v>43</v>
      </c>
      <c r="Y2686">
        <f>1-236-157-8068</f>
        <v>-8460</v>
      </c>
    </row>
    <row r="2687" spans="1:25" x14ac:dyDescent="0.35">
      <c r="A2687">
        <v>40.134197662356698</v>
      </c>
      <c r="B2687">
        <v>-120.04548781303301</v>
      </c>
      <c r="C2687" t="s">
        <v>25</v>
      </c>
      <c r="D2687">
        <v>20.984864766386799</v>
      </c>
      <c r="E2687">
        <v>8</v>
      </c>
      <c r="F2687">
        <v>3555</v>
      </c>
      <c r="G2687">
        <v>5</v>
      </c>
      <c r="H2687">
        <v>3</v>
      </c>
      <c r="I2687">
        <v>1958</v>
      </c>
      <c r="J2687">
        <v>1</v>
      </c>
      <c r="K2687">
        <v>0</v>
      </c>
      <c r="L2687">
        <v>1</v>
      </c>
      <c r="M2687">
        <v>4</v>
      </c>
      <c r="N2687" t="s">
        <v>26</v>
      </c>
      <c r="O2687" t="s">
        <v>27</v>
      </c>
      <c r="P2687">
        <v>10.293894335828201</v>
      </c>
      <c r="Q2687">
        <v>0.58651402399459895</v>
      </c>
      <c r="R2687">
        <v>9.0488764401857207</v>
      </c>
      <c r="S2687">
        <v>94</v>
      </c>
      <c r="T2687">
        <v>26</v>
      </c>
      <c r="U2687">
        <v>834.47704198488896</v>
      </c>
      <c r="V2687">
        <v>1.1251758087201099E-3</v>
      </c>
      <c r="W2687">
        <v>3361336.6567978002</v>
      </c>
      <c r="X2687" t="s">
        <v>40</v>
      </c>
      <c r="Y2687">
        <f>1-602-472-8443</f>
        <v>-9516</v>
      </c>
    </row>
    <row r="2688" spans="1:25" x14ac:dyDescent="0.35">
      <c r="A2688">
        <v>40.129486366463901</v>
      </c>
      <c r="B2688">
        <v>-123.364076049663</v>
      </c>
      <c r="C2688" t="s">
        <v>25</v>
      </c>
      <c r="D2688">
        <v>32.828886289550603</v>
      </c>
      <c r="E2688">
        <v>5</v>
      </c>
      <c r="F2688">
        <v>753</v>
      </c>
      <c r="G2688">
        <v>3</v>
      </c>
      <c r="H2688">
        <v>3</v>
      </c>
      <c r="I2688">
        <v>1994</v>
      </c>
      <c r="J2688">
        <v>0</v>
      </c>
      <c r="K2688">
        <v>0</v>
      </c>
      <c r="L2688">
        <v>0</v>
      </c>
      <c r="M2688">
        <v>13</v>
      </c>
      <c r="N2688" t="s">
        <v>35</v>
      </c>
      <c r="O2688" t="s">
        <v>32</v>
      </c>
      <c r="P2688">
        <v>4.4720238685372298</v>
      </c>
      <c r="Q2688">
        <v>0.98227801252693203</v>
      </c>
      <c r="R2688">
        <v>4.3948860368467804</v>
      </c>
      <c r="S2688">
        <v>191</v>
      </c>
      <c r="T2688">
        <v>29</v>
      </c>
      <c r="U2688">
        <v>674.44732946421402</v>
      </c>
      <c r="V2688">
        <v>1.7264276228419601E-2</v>
      </c>
      <c r="W2688">
        <v>764081.09314572997</v>
      </c>
      <c r="X2688" t="s">
        <v>39</v>
      </c>
      <c r="Y2688">
        <f>1-408-154-3347</f>
        <v>-3908</v>
      </c>
    </row>
    <row r="2689" spans="1:25" x14ac:dyDescent="0.35">
      <c r="A2689">
        <v>36.880129009886197</v>
      </c>
      <c r="B2689">
        <v>-116.221701344895</v>
      </c>
      <c r="C2689" t="s">
        <v>34</v>
      </c>
      <c r="D2689">
        <v>13.7181820888815</v>
      </c>
      <c r="E2689">
        <v>9</v>
      </c>
      <c r="F2689">
        <v>1400</v>
      </c>
      <c r="G2689">
        <v>2</v>
      </c>
      <c r="H2689">
        <v>1</v>
      </c>
      <c r="I2689">
        <v>2014</v>
      </c>
      <c r="J2689">
        <v>1</v>
      </c>
      <c r="K2689">
        <v>0</v>
      </c>
      <c r="L2689">
        <v>0</v>
      </c>
      <c r="M2689">
        <v>13</v>
      </c>
      <c r="N2689" t="s">
        <v>35</v>
      </c>
      <c r="O2689" t="s">
        <v>32</v>
      </c>
      <c r="P2689">
        <v>13.7818430366718</v>
      </c>
      <c r="Q2689">
        <v>2.2971952385160002</v>
      </c>
      <c r="R2689">
        <v>4.6863393959164101</v>
      </c>
      <c r="S2689">
        <v>59</v>
      </c>
      <c r="T2689">
        <v>23</v>
      </c>
      <c r="U2689">
        <v>957.43561437130995</v>
      </c>
      <c r="V2689">
        <v>9.2857142857142808E-3</v>
      </c>
      <c r="W2689">
        <v>1621708.42852871</v>
      </c>
      <c r="X2689" t="s">
        <v>31</v>
      </c>
      <c r="Y2689">
        <f>1-555-992-6175</f>
        <v>-7721</v>
      </c>
    </row>
    <row r="2690" spans="1:25" x14ac:dyDescent="0.35">
      <c r="A2690">
        <v>33.149134361899002</v>
      </c>
      <c r="B2690">
        <v>-119.29395804543501</v>
      </c>
      <c r="C2690" t="s">
        <v>34</v>
      </c>
      <c r="D2690">
        <v>36.3349392377797</v>
      </c>
      <c r="E2690">
        <v>2</v>
      </c>
      <c r="F2690">
        <v>4461</v>
      </c>
      <c r="G2690">
        <v>2</v>
      </c>
      <c r="H2690">
        <v>2</v>
      </c>
      <c r="I2690">
        <v>2011</v>
      </c>
      <c r="J2690">
        <v>0</v>
      </c>
      <c r="K2690">
        <v>0</v>
      </c>
      <c r="L2690">
        <v>0</v>
      </c>
      <c r="M2690">
        <v>7</v>
      </c>
      <c r="N2690" t="s">
        <v>26</v>
      </c>
      <c r="O2690" t="s">
        <v>32</v>
      </c>
      <c r="P2690">
        <v>5.9412875275592096</v>
      </c>
      <c r="Q2690">
        <v>2.0517540177540199</v>
      </c>
      <c r="R2690">
        <v>4.4406534342616899</v>
      </c>
      <c r="S2690">
        <v>198</v>
      </c>
      <c r="T2690">
        <v>44</v>
      </c>
      <c r="U2690">
        <v>338.34389699652098</v>
      </c>
      <c r="V2690">
        <v>1.5691548980049301E-3</v>
      </c>
      <c r="W2690">
        <v>1632106.45132851</v>
      </c>
      <c r="X2690" t="s">
        <v>31</v>
      </c>
      <c r="Y2690">
        <f>1-938-124-4846</f>
        <v>-5907</v>
      </c>
    </row>
    <row r="2691" spans="1:25" x14ac:dyDescent="0.35">
      <c r="A2691">
        <v>35.487515521846802</v>
      </c>
      <c r="B2691">
        <v>-119.25065672424</v>
      </c>
      <c r="C2691" t="s">
        <v>34</v>
      </c>
      <c r="D2691">
        <v>12.6225445836098</v>
      </c>
      <c r="E2691">
        <v>2</v>
      </c>
      <c r="F2691">
        <v>593</v>
      </c>
      <c r="G2691">
        <v>1</v>
      </c>
      <c r="H2691">
        <v>2</v>
      </c>
      <c r="I2691">
        <v>2010</v>
      </c>
      <c r="J2691">
        <v>0</v>
      </c>
      <c r="K2691">
        <v>1</v>
      </c>
      <c r="L2691">
        <v>1</v>
      </c>
      <c r="M2691">
        <v>7</v>
      </c>
      <c r="N2691" t="s">
        <v>41</v>
      </c>
      <c r="O2691" t="s">
        <v>32</v>
      </c>
      <c r="P2691">
        <v>3.7081897553401002</v>
      </c>
      <c r="Q2691">
        <v>1.5164345150433201</v>
      </c>
      <c r="R2691">
        <v>7.5360337929593504</v>
      </c>
      <c r="S2691">
        <v>184</v>
      </c>
      <c r="T2691">
        <v>26</v>
      </c>
      <c r="U2691">
        <v>224.611944901377</v>
      </c>
      <c r="V2691">
        <v>1.18043844856661E-2</v>
      </c>
      <c r="W2691">
        <v>341008.75431927299</v>
      </c>
      <c r="X2691" t="s">
        <v>40</v>
      </c>
      <c r="Y2691">
        <f>1-255-481-7180</f>
        <v>-7915</v>
      </c>
    </row>
    <row r="2692" spans="1:25" x14ac:dyDescent="0.35">
      <c r="A2692">
        <v>35.133717639605997</v>
      </c>
      <c r="B2692">
        <v>-118.56904239253301</v>
      </c>
      <c r="C2692" t="s">
        <v>29</v>
      </c>
      <c r="D2692">
        <v>11.373905747869401</v>
      </c>
      <c r="E2692">
        <v>6</v>
      </c>
      <c r="F2692">
        <v>4324</v>
      </c>
      <c r="G2692">
        <v>5</v>
      </c>
      <c r="H2692">
        <v>1</v>
      </c>
      <c r="I2692">
        <v>1977</v>
      </c>
      <c r="J2692">
        <v>1</v>
      </c>
      <c r="K2692">
        <v>0</v>
      </c>
      <c r="L2692">
        <v>1</v>
      </c>
      <c r="M2692">
        <v>4</v>
      </c>
      <c r="N2692" t="s">
        <v>26</v>
      </c>
      <c r="O2692" t="s">
        <v>32</v>
      </c>
      <c r="P2692">
        <v>6.6851025474356103</v>
      </c>
      <c r="Q2692">
        <v>1.64658640218646</v>
      </c>
      <c r="R2692">
        <v>2.3069149783588001</v>
      </c>
      <c r="S2692">
        <v>80</v>
      </c>
      <c r="T2692">
        <v>58</v>
      </c>
      <c r="U2692">
        <v>698.64553855722602</v>
      </c>
      <c r="V2692">
        <v>9.2506938020351498E-4</v>
      </c>
      <c r="W2692">
        <v>3296789.70373262</v>
      </c>
      <c r="X2692" t="s">
        <v>43</v>
      </c>
      <c r="Y2692">
        <f>1-740-721-7766</f>
        <v>-9226</v>
      </c>
    </row>
    <row r="2693" spans="1:25" x14ac:dyDescent="0.35">
      <c r="A2693">
        <v>40.7112960351512</v>
      </c>
      <c r="B2693">
        <v>-120.54101347949199</v>
      </c>
      <c r="C2693" t="s">
        <v>29</v>
      </c>
      <c r="D2693">
        <v>6.23921612951598</v>
      </c>
      <c r="E2693">
        <v>3</v>
      </c>
      <c r="F2693">
        <v>2037</v>
      </c>
      <c r="G2693">
        <v>5</v>
      </c>
      <c r="H2693">
        <v>1</v>
      </c>
      <c r="I2693">
        <v>1971</v>
      </c>
      <c r="J2693">
        <v>1</v>
      </c>
      <c r="K2693">
        <v>0</v>
      </c>
      <c r="L2693">
        <v>1</v>
      </c>
      <c r="M2693">
        <v>10</v>
      </c>
      <c r="N2693" t="s">
        <v>26</v>
      </c>
      <c r="O2693" t="s">
        <v>30</v>
      </c>
      <c r="P2693">
        <v>13.486108554023801</v>
      </c>
      <c r="Q2693">
        <v>2.16585360518294</v>
      </c>
      <c r="R2693">
        <v>5.7695607267691997</v>
      </c>
      <c r="S2693">
        <v>147</v>
      </c>
      <c r="T2693">
        <v>69</v>
      </c>
      <c r="U2693">
        <v>528.84160125109895</v>
      </c>
      <c r="V2693">
        <v>4.9091801669121204E-3</v>
      </c>
      <c r="W2693">
        <v>1423171.4001493901</v>
      </c>
      <c r="X2693" t="s">
        <v>44</v>
      </c>
      <c r="Y2693">
        <f>1-795-815-1770</f>
        <v>-3379</v>
      </c>
    </row>
    <row r="2694" spans="1:25" x14ac:dyDescent="0.35">
      <c r="A2694">
        <v>36.384113809590197</v>
      </c>
      <c r="B2694">
        <v>-118.37513695787899</v>
      </c>
      <c r="C2694" t="s">
        <v>25</v>
      </c>
      <c r="D2694">
        <v>11.9532962897747</v>
      </c>
      <c r="E2694">
        <v>5</v>
      </c>
      <c r="F2694">
        <v>4558</v>
      </c>
      <c r="G2694">
        <v>3</v>
      </c>
      <c r="H2694">
        <v>2</v>
      </c>
      <c r="I2694">
        <v>1963</v>
      </c>
      <c r="J2694">
        <v>1</v>
      </c>
      <c r="K2694">
        <v>1</v>
      </c>
      <c r="L2694">
        <v>1</v>
      </c>
      <c r="M2694">
        <v>4</v>
      </c>
      <c r="N2694" t="s">
        <v>35</v>
      </c>
      <c r="O2694" t="s">
        <v>30</v>
      </c>
      <c r="P2694">
        <v>7.00431863913425</v>
      </c>
      <c r="Q2694">
        <v>0.52293713986618595</v>
      </c>
      <c r="R2694">
        <v>9.5395999336769499</v>
      </c>
      <c r="S2694">
        <v>177</v>
      </c>
      <c r="T2694">
        <v>21</v>
      </c>
      <c r="U2694">
        <v>875.12980763770395</v>
      </c>
      <c r="V2694">
        <v>8.7757788503729697E-4</v>
      </c>
      <c r="W2694">
        <v>4290323.4518920202</v>
      </c>
      <c r="X2694" t="s">
        <v>36</v>
      </c>
      <c r="Y2694">
        <f>1-723-708-2853</f>
        <v>-4283</v>
      </c>
    </row>
    <row r="2695" spans="1:25" x14ac:dyDescent="0.35">
      <c r="A2695">
        <v>39.910997435719203</v>
      </c>
      <c r="B2695">
        <v>-124.09137095021499</v>
      </c>
      <c r="C2695" t="s">
        <v>34</v>
      </c>
      <c r="D2695">
        <v>25.974202073936699</v>
      </c>
      <c r="E2695">
        <v>9</v>
      </c>
      <c r="F2695">
        <v>2736</v>
      </c>
      <c r="G2695">
        <v>3</v>
      </c>
      <c r="H2695">
        <v>2</v>
      </c>
      <c r="I2695">
        <v>2001</v>
      </c>
      <c r="J2695">
        <v>1</v>
      </c>
      <c r="K2695">
        <v>0</v>
      </c>
      <c r="L2695">
        <v>0</v>
      </c>
      <c r="M2695">
        <v>3</v>
      </c>
      <c r="N2695" t="s">
        <v>41</v>
      </c>
      <c r="O2695" t="s">
        <v>30</v>
      </c>
      <c r="P2695">
        <v>6.0759675240300002</v>
      </c>
      <c r="Q2695">
        <v>0.76204568009936702</v>
      </c>
      <c r="R2695">
        <v>1.35923712427483</v>
      </c>
      <c r="S2695">
        <v>25</v>
      </c>
      <c r="T2695">
        <v>55</v>
      </c>
      <c r="U2695">
        <v>296.06055854778998</v>
      </c>
      <c r="V2695">
        <v>1.09649122807017E-3</v>
      </c>
      <c r="W2695">
        <v>1054969.2986602399</v>
      </c>
      <c r="X2695" t="s">
        <v>38</v>
      </c>
      <c r="Y2695">
        <f>1-718-586-5973</f>
        <v>-7276</v>
      </c>
    </row>
    <row r="2696" spans="1:25" x14ac:dyDescent="0.35">
      <c r="A2696">
        <v>37.6313609039371</v>
      </c>
      <c r="B2696">
        <v>-120.248811808388</v>
      </c>
      <c r="C2696" t="s">
        <v>34</v>
      </c>
      <c r="D2696">
        <v>13.3102371483445</v>
      </c>
      <c r="E2696">
        <v>6</v>
      </c>
      <c r="F2696">
        <v>566</v>
      </c>
      <c r="G2696">
        <v>1</v>
      </c>
      <c r="H2696">
        <v>2</v>
      </c>
      <c r="I2696">
        <v>1989</v>
      </c>
      <c r="J2696">
        <v>1</v>
      </c>
      <c r="K2696">
        <v>0</v>
      </c>
      <c r="L2696">
        <v>1</v>
      </c>
      <c r="M2696">
        <v>10</v>
      </c>
      <c r="N2696" t="s">
        <v>37</v>
      </c>
      <c r="O2696" t="s">
        <v>30</v>
      </c>
      <c r="P2696">
        <v>5.9645653001656704</v>
      </c>
      <c r="Q2696">
        <v>1.95049074580808</v>
      </c>
      <c r="R2696">
        <v>5.9071387465818201</v>
      </c>
      <c r="S2696">
        <v>129</v>
      </c>
      <c r="T2696">
        <v>78</v>
      </c>
      <c r="U2696">
        <v>516.44300985359496</v>
      </c>
      <c r="V2696">
        <v>1.7667844522968199E-2</v>
      </c>
      <c r="W2696">
        <v>400812.06939216802</v>
      </c>
      <c r="X2696" t="s">
        <v>39</v>
      </c>
      <c r="Y2696">
        <f>1-333-706-9295</f>
        <v>-10333</v>
      </c>
    </row>
    <row r="2697" spans="1:25" x14ac:dyDescent="0.35">
      <c r="A2697">
        <v>32.8690166274109</v>
      </c>
      <c r="B2697">
        <v>-124.47457006305299</v>
      </c>
      <c r="C2697" t="s">
        <v>34</v>
      </c>
      <c r="D2697">
        <v>36.459276489784699</v>
      </c>
      <c r="E2697">
        <v>5</v>
      </c>
      <c r="F2697">
        <v>2144</v>
      </c>
      <c r="G2697">
        <v>1</v>
      </c>
      <c r="H2697">
        <v>1</v>
      </c>
      <c r="I2697">
        <v>1990</v>
      </c>
      <c r="J2697">
        <v>0</v>
      </c>
      <c r="K2697">
        <v>1</v>
      </c>
      <c r="L2697">
        <v>1</v>
      </c>
      <c r="M2697">
        <v>10</v>
      </c>
      <c r="N2697" t="s">
        <v>41</v>
      </c>
      <c r="O2697" t="s">
        <v>32</v>
      </c>
      <c r="P2697">
        <v>6.7767770503944398</v>
      </c>
      <c r="Q2697">
        <v>0.99410772633537603</v>
      </c>
      <c r="R2697">
        <v>1.8880433932915199</v>
      </c>
      <c r="S2697">
        <v>75</v>
      </c>
      <c r="T2697">
        <v>27</v>
      </c>
      <c r="U2697">
        <v>364.36294108864001</v>
      </c>
      <c r="V2697">
        <v>4.6641791044776098E-3</v>
      </c>
      <c r="W2697">
        <v>1019174.71110673</v>
      </c>
      <c r="X2697" t="s">
        <v>42</v>
      </c>
      <c r="Y2697">
        <f>1-852-356-1329</f>
        <v>-2536</v>
      </c>
    </row>
    <row r="2698" spans="1:25" x14ac:dyDescent="0.35">
      <c r="A2698">
        <v>32.8932041098086</v>
      </c>
      <c r="B2698">
        <v>-115.195351132176</v>
      </c>
      <c r="C2698" t="s">
        <v>34</v>
      </c>
      <c r="D2698">
        <v>25.7523548420494</v>
      </c>
      <c r="E2698">
        <v>2</v>
      </c>
      <c r="F2698">
        <v>2759</v>
      </c>
      <c r="G2698">
        <v>5</v>
      </c>
      <c r="H2698">
        <v>3</v>
      </c>
      <c r="I2698">
        <v>1987</v>
      </c>
      <c r="J2698">
        <v>0</v>
      </c>
      <c r="K2698">
        <v>0</v>
      </c>
      <c r="L2698">
        <v>0</v>
      </c>
      <c r="M2698">
        <v>9</v>
      </c>
      <c r="N2698" t="s">
        <v>26</v>
      </c>
      <c r="O2698" t="s">
        <v>32</v>
      </c>
      <c r="P2698">
        <v>7.3098659820011296</v>
      </c>
      <c r="Q2698">
        <v>1.9701032656897199</v>
      </c>
      <c r="R2698">
        <v>4.3279476975159596</v>
      </c>
      <c r="S2698">
        <v>89</v>
      </c>
      <c r="T2698">
        <v>52</v>
      </c>
      <c r="U2698">
        <v>869.28826693537701</v>
      </c>
      <c r="V2698">
        <v>3.26205146792316E-3</v>
      </c>
      <c r="W2698">
        <v>2651535.5485060001</v>
      </c>
      <c r="X2698" t="s">
        <v>33</v>
      </c>
      <c r="Y2698">
        <f>1-494-627-7872</f>
        <v>-8992</v>
      </c>
    </row>
    <row r="2699" spans="1:25" x14ac:dyDescent="0.35">
      <c r="A2699">
        <v>41.708214500805703</v>
      </c>
      <c r="B2699">
        <v>-121.78061193607</v>
      </c>
      <c r="C2699" t="s">
        <v>25</v>
      </c>
      <c r="D2699">
        <v>42.701486860922898</v>
      </c>
      <c r="E2699">
        <v>4</v>
      </c>
      <c r="F2699">
        <v>4688</v>
      </c>
      <c r="G2699">
        <v>5</v>
      </c>
      <c r="H2699">
        <v>2</v>
      </c>
      <c r="I2699">
        <v>1997</v>
      </c>
      <c r="J2699">
        <v>1</v>
      </c>
      <c r="K2699">
        <v>1</v>
      </c>
      <c r="L2699">
        <v>0</v>
      </c>
      <c r="M2699">
        <v>3</v>
      </c>
      <c r="N2699" t="s">
        <v>41</v>
      </c>
      <c r="O2699" t="s">
        <v>27</v>
      </c>
      <c r="P2699">
        <v>13.7024400735875</v>
      </c>
      <c r="Q2699">
        <v>1.00280586722973</v>
      </c>
      <c r="R2699">
        <v>6.0035050901334701</v>
      </c>
      <c r="S2699">
        <v>117</v>
      </c>
      <c r="T2699">
        <v>25</v>
      </c>
      <c r="U2699">
        <v>506.24052558259899</v>
      </c>
      <c r="V2699">
        <v>6.3993174061433402E-4</v>
      </c>
      <c r="W2699">
        <v>2875239.72986631</v>
      </c>
      <c r="X2699" t="s">
        <v>40</v>
      </c>
      <c r="Y2699">
        <f>1-914-620-3418</f>
        <v>-4951</v>
      </c>
    </row>
    <row r="2700" spans="1:25" x14ac:dyDescent="0.35">
      <c r="A2700">
        <v>33.718749947297198</v>
      </c>
      <c r="B2700">
        <v>-120.47699072712</v>
      </c>
      <c r="C2700" t="s">
        <v>34</v>
      </c>
      <c r="D2700">
        <v>33.457052215728197</v>
      </c>
      <c r="E2700">
        <v>8</v>
      </c>
      <c r="F2700">
        <v>3072</v>
      </c>
      <c r="G2700">
        <v>3</v>
      </c>
      <c r="H2700">
        <v>2</v>
      </c>
      <c r="I2700">
        <v>1952</v>
      </c>
      <c r="J2700">
        <v>0</v>
      </c>
      <c r="K2700">
        <v>1</v>
      </c>
      <c r="L2700">
        <v>0</v>
      </c>
      <c r="M2700">
        <v>13</v>
      </c>
      <c r="N2700" t="s">
        <v>37</v>
      </c>
      <c r="O2700" t="s">
        <v>30</v>
      </c>
      <c r="P2700">
        <v>10.548621093017401</v>
      </c>
      <c r="Q2700">
        <v>1.8272454002285601</v>
      </c>
      <c r="R2700">
        <v>7.12021096296316</v>
      </c>
      <c r="S2700">
        <v>18</v>
      </c>
      <c r="T2700">
        <v>74</v>
      </c>
      <c r="U2700">
        <v>763.18812429748903</v>
      </c>
      <c r="V2700">
        <v>4.2317708333333296E-3</v>
      </c>
      <c r="W2700">
        <v>2745302.2908136901</v>
      </c>
      <c r="X2700" t="s">
        <v>40</v>
      </c>
      <c r="Y2700">
        <f>1-858-139-9166</f>
        <v>-10162</v>
      </c>
    </row>
    <row r="2701" spans="1:25" x14ac:dyDescent="0.35">
      <c r="A2701">
        <v>37.535639364654898</v>
      </c>
      <c r="B2701">
        <v>-119.88717107414</v>
      </c>
      <c r="C2701" t="s">
        <v>29</v>
      </c>
      <c r="D2701">
        <v>47.064010625872903</v>
      </c>
      <c r="E2701">
        <v>1</v>
      </c>
      <c r="F2701">
        <v>2440</v>
      </c>
      <c r="G2701">
        <v>1</v>
      </c>
      <c r="H2701">
        <v>1</v>
      </c>
      <c r="I2701">
        <v>1961</v>
      </c>
      <c r="J2701">
        <v>0</v>
      </c>
      <c r="K2701">
        <v>1</v>
      </c>
      <c r="L2701">
        <v>0</v>
      </c>
      <c r="M2701">
        <v>14</v>
      </c>
      <c r="N2701" t="s">
        <v>35</v>
      </c>
      <c r="O2701" t="s">
        <v>30</v>
      </c>
      <c r="P2701">
        <v>6.9050662242420398</v>
      </c>
      <c r="Q2701">
        <v>0.53959909178910104</v>
      </c>
      <c r="R2701">
        <v>8.8764820004253497</v>
      </c>
      <c r="S2701">
        <v>81</v>
      </c>
      <c r="T2701">
        <v>40</v>
      </c>
      <c r="U2701">
        <v>960.65459296729</v>
      </c>
      <c r="V2701">
        <v>5.7377049180327797E-3</v>
      </c>
      <c r="W2701">
        <v>2342531.0899196598</v>
      </c>
      <c r="X2701" t="s">
        <v>31</v>
      </c>
      <c r="Y2701">
        <f>1-810-996-9848</f>
        <v>-11653</v>
      </c>
    </row>
    <row r="2702" spans="1:25" x14ac:dyDescent="0.35">
      <c r="A2702">
        <v>38.983652019440903</v>
      </c>
      <c r="B2702">
        <v>-122.513750214694</v>
      </c>
      <c r="C2702" t="s">
        <v>25</v>
      </c>
      <c r="D2702">
        <v>22.655270949257702</v>
      </c>
      <c r="E2702">
        <v>8</v>
      </c>
      <c r="F2702">
        <v>4010</v>
      </c>
      <c r="G2702">
        <v>3</v>
      </c>
      <c r="H2702">
        <v>3</v>
      </c>
      <c r="I2702">
        <v>1978</v>
      </c>
      <c r="J2702">
        <v>1</v>
      </c>
      <c r="K2702">
        <v>1</v>
      </c>
      <c r="L2702">
        <v>1</v>
      </c>
      <c r="M2702">
        <v>2</v>
      </c>
      <c r="N2702" t="s">
        <v>35</v>
      </c>
      <c r="O2702" t="s">
        <v>27</v>
      </c>
      <c r="P2702">
        <v>7.2087000833018697</v>
      </c>
      <c r="Q2702">
        <v>2.2323269409875501</v>
      </c>
      <c r="R2702">
        <v>0.76446725130163196</v>
      </c>
      <c r="S2702">
        <v>128</v>
      </c>
      <c r="T2702">
        <v>70</v>
      </c>
      <c r="U2702">
        <v>675.531965277935</v>
      </c>
      <c r="V2702">
        <v>4.9875311720698197E-4</v>
      </c>
      <c r="W2702">
        <v>3114344.3703665999</v>
      </c>
      <c r="X2702" t="s">
        <v>43</v>
      </c>
      <c r="Y2702">
        <f>1-306-662-9703</f>
        <v>-10670</v>
      </c>
    </row>
    <row r="2703" spans="1:25" x14ac:dyDescent="0.35">
      <c r="A2703">
        <v>33.347220740940898</v>
      </c>
      <c r="B2703">
        <v>-121.964755285378</v>
      </c>
      <c r="C2703" t="s">
        <v>29</v>
      </c>
      <c r="D2703">
        <v>6.6762581613841796</v>
      </c>
      <c r="E2703">
        <v>1</v>
      </c>
      <c r="F2703">
        <v>2092</v>
      </c>
      <c r="G2703">
        <v>4</v>
      </c>
      <c r="H2703">
        <v>3</v>
      </c>
      <c r="I2703">
        <v>2002</v>
      </c>
      <c r="J2703">
        <v>1</v>
      </c>
      <c r="K2703">
        <v>0</v>
      </c>
      <c r="L2703">
        <v>0</v>
      </c>
      <c r="M2703">
        <v>11</v>
      </c>
      <c r="N2703" t="s">
        <v>37</v>
      </c>
      <c r="O2703" t="s">
        <v>32</v>
      </c>
      <c r="P2703">
        <v>12.6484899236711</v>
      </c>
      <c r="Q2703">
        <v>0.91497433437328202</v>
      </c>
      <c r="R2703">
        <v>4.9519830454453002</v>
      </c>
      <c r="S2703">
        <v>177</v>
      </c>
      <c r="T2703">
        <v>48</v>
      </c>
      <c r="U2703">
        <v>942.57735696466102</v>
      </c>
      <c r="V2703">
        <v>5.25812619502868E-3</v>
      </c>
      <c r="W2703">
        <v>2321246.7479232401</v>
      </c>
      <c r="X2703" t="s">
        <v>38</v>
      </c>
      <c r="Y2703">
        <f>1-778-626-4797</f>
        <v>-6200</v>
      </c>
    </row>
    <row r="2704" spans="1:25" x14ac:dyDescent="0.35">
      <c r="A2704">
        <v>40.602736067306203</v>
      </c>
      <c r="B2704">
        <v>-118.041446476765</v>
      </c>
      <c r="C2704" t="s">
        <v>25</v>
      </c>
      <c r="D2704">
        <v>24.819265951395099</v>
      </c>
      <c r="E2704">
        <v>9</v>
      </c>
      <c r="F2704">
        <v>1707</v>
      </c>
      <c r="G2704">
        <v>1</v>
      </c>
      <c r="H2704">
        <v>1</v>
      </c>
      <c r="I2704">
        <v>1978</v>
      </c>
      <c r="J2704">
        <v>1</v>
      </c>
      <c r="K2704">
        <v>0</v>
      </c>
      <c r="L2704">
        <v>0</v>
      </c>
      <c r="M2704">
        <v>9</v>
      </c>
      <c r="N2704" t="s">
        <v>26</v>
      </c>
      <c r="O2704" t="s">
        <v>32</v>
      </c>
      <c r="P2704">
        <v>14.144093632605999</v>
      </c>
      <c r="Q2704">
        <v>1.7432671221762699</v>
      </c>
      <c r="R2704">
        <v>4.8257596782084997</v>
      </c>
      <c r="S2704">
        <v>195</v>
      </c>
      <c r="T2704">
        <v>50</v>
      </c>
      <c r="U2704">
        <v>764.55337698314804</v>
      </c>
      <c r="V2704">
        <v>5.2724077328646698E-3</v>
      </c>
      <c r="W2704">
        <v>1467363.4345473</v>
      </c>
      <c r="X2704" t="s">
        <v>31</v>
      </c>
      <c r="Y2704">
        <f>1-273-627-9890</f>
        <v>-10789</v>
      </c>
    </row>
    <row r="2705" spans="1:25" x14ac:dyDescent="0.35">
      <c r="A2705">
        <v>36.6530382214818</v>
      </c>
      <c r="B2705">
        <v>-123.981310117934</v>
      </c>
      <c r="C2705" t="s">
        <v>34</v>
      </c>
      <c r="D2705">
        <v>41.072947752094898</v>
      </c>
      <c r="E2705">
        <v>8</v>
      </c>
      <c r="F2705">
        <v>3174</v>
      </c>
      <c r="G2705">
        <v>5</v>
      </c>
      <c r="H2705">
        <v>3</v>
      </c>
      <c r="I2705">
        <v>1996</v>
      </c>
      <c r="J2705">
        <v>1</v>
      </c>
      <c r="K2705">
        <v>1</v>
      </c>
      <c r="L2705">
        <v>0</v>
      </c>
      <c r="M2705">
        <v>9</v>
      </c>
      <c r="N2705" t="s">
        <v>35</v>
      </c>
      <c r="O2705" t="s">
        <v>32</v>
      </c>
      <c r="P2705">
        <v>11.086669940763599</v>
      </c>
      <c r="Q2705">
        <v>0.58324296616328397</v>
      </c>
      <c r="R2705">
        <v>2.2566753737365799</v>
      </c>
      <c r="S2705">
        <v>121</v>
      </c>
      <c r="T2705">
        <v>47</v>
      </c>
      <c r="U2705">
        <v>358.91602068078203</v>
      </c>
      <c r="V2705">
        <v>2.83553875236294E-3</v>
      </c>
      <c r="W2705">
        <v>1682919.8178248</v>
      </c>
      <c r="X2705" t="s">
        <v>42</v>
      </c>
      <c r="Y2705">
        <f>1-796-266-2776</f>
        <v>-3837</v>
      </c>
    </row>
    <row r="2706" spans="1:25" x14ac:dyDescent="0.35">
      <c r="A2706">
        <v>40.420256662482799</v>
      </c>
      <c r="B2706">
        <v>-118.79914341417</v>
      </c>
      <c r="C2706" t="s">
        <v>34</v>
      </c>
      <c r="D2706">
        <v>26.011191300059401</v>
      </c>
      <c r="E2706">
        <v>8</v>
      </c>
      <c r="F2706">
        <v>4667</v>
      </c>
      <c r="G2706">
        <v>1</v>
      </c>
      <c r="H2706">
        <v>2</v>
      </c>
      <c r="I2706">
        <v>1986</v>
      </c>
      <c r="J2706">
        <v>0</v>
      </c>
      <c r="K2706">
        <v>0</v>
      </c>
      <c r="L2706">
        <v>1</v>
      </c>
      <c r="M2706">
        <v>4</v>
      </c>
      <c r="N2706" t="s">
        <v>37</v>
      </c>
      <c r="O2706" t="s">
        <v>30</v>
      </c>
      <c r="P2706">
        <v>4.0856082452857301</v>
      </c>
      <c r="Q2706">
        <v>1.1523060788347901</v>
      </c>
      <c r="R2706">
        <v>7.6980563484011597</v>
      </c>
      <c r="S2706">
        <v>185</v>
      </c>
      <c r="T2706">
        <v>48</v>
      </c>
      <c r="U2706">
        <v>484.017507046567</v>
      </c>
      <c r="V2706">
        <v>8.5708163702592603E-4</v>
      </c>
      <c r="W2706">
        <v>2396994.2779608299</v>
      </c>
      <c r="X2706" t="s">
        <v>31</v>
      </c>
      <c r="Y2706">
        <f>1-251-941-4926</f>
        <v>-6117</v>
      </c>
    </row>
    <row r="2707" spans="1:25" x14ac:dyDescent="0.35">
      <c r="A2707">
        <v>37.3380427401191</v>
      </c>
      <c r="B2707">
        <v>-123.15063892216</v>
      </c>
      <c r="C2707" t="s">
        <v>34</v>
      </c>
      <c r="D2707">
        <v>18.4827250414756</v>
      </c>
      <c r="E2707">
        <v>3</v>
      </c>
      <c r="F2707">
        <v>1706</v>
      </c>
      <c r="G2707">
        <v>4</v>
      </c>
      <c r="H2707">
        <v>3</v>
      </c>
      <c r="I2707">
        <v>1959</v>
      </c>
      <c r="J2707">
        <v>0</v>
      </c>
      <c r="K2707">
        <v>0</v>
      </c>
      <c r="L2707">
        <v>0</v>
      </c>
      <c r="M2707">
        <v>10</v>
      </c>
      <c r="N2707" t="s">
        <v>35</v>
      </c>
      <c r="O2707" t="s">
        <v>30</v>
      </c>
      <c r="P2707">
        <v>13.0726637309761</v>
      </c>
      <c r="Q2707">
        <v>0.76636657162965505</v>
      </c>
      <c r="R2707">
        <v>1.7175523216801101</v>
      </c>
      <c r="S2707">
        <v>78</v>
      </c>
      <c r="T2707">
        <v>26</v>
      </c>
      <c r="U2707">
        <v>771.10896966166001</v>
      </c>
      <c r="V2707">
        <v>5.8616647127784204E-3</v>
      </c>
      <c r="W2707">
        <v>1679424.9167190299</v>
      </c>
      <c r="X2707" t="s">
        <v>36</v>
      </c>
      <c r="Y2707">
        <f>1-895-551-1401</f>
        <v>-2846</v>
      </c>
    </row>
    <row r="2708" spans="1:25" x14ac:dyDescent="0.35">
      <c r="A2708">
        <v>38.409251872426701</v>
      </c>
      <c r="B2708">
        <v>-117.360337844634</v>
      </c>
      <c r="C2708" t="s">
        <v>29</v>
      </c>
      <c r="D2708">
        <v>4.6782008940177304</v>
      </c>
      <c r="E2708">
        <v>7</v>
      </c>
      <c r="F2708">
        <v>871</v>
      </c>
      <c r="G2708">
        <v>1</v>
      </c>
      <c r="H2708">
        <v>1</v>
      </c>
      <c r="I2708">
        <v>1964</v>
      </c>
      <c r="J2708">
        <v>1</v>
      </c>
      <c r="K2708">
        <v>0</v>
      </c>
      <c r="L2708">
        <v>1</v>
      </c>
      <c r="M2708">
        <v>12</v>
      </c>
      <c r="N2708" t="s">
        <v>26</v>
      </c>
      <c r="O2708" t="s">
        <v>32</v>
      </c>
      <c r="P2708">
        <v>7.5808625282229603</v>
      </c>
      <c r="Q2708">
        <v>0.78600267381946398</v>
      </c>
      <c r="R2708">
        <v>5.4156948187419598</v>
      </c>
      <c r="S2708">
        <v>88</v>
      </c>
      <c r="T2708">
        <v>63</v>
      </c>
      <c r="U2708">
        <v>215.80681430983799</v>
      </c>
      <c r="V2708">
        <v>1.37772675086107E-2</v>
      </c>
      <c r="W2708">
        <v>307762.87558938301</v>
      </c>
      <c r="X2708" t="s">
        <v>31</v>
      </c>
      <c r="Y2708">
        <f>1-812-280-4798</f>
        <v>-5889</v>
      </c>
    </row>
    <row r="2709" spans="1:25" x14ac:dyDescent="0.35">
      <c r="A2709">
        <v>33.610527429788903</v>
      </c>
      <c r="B2709">
        <v>-124.38745117316699</v>
      </c>
      <c r="C2709" t="s">
        <v>25</v>
      </c>
      <c r="D2709">
        <v>22.810750576495501</v>
      </c>
      <c r="E2709">
        <v>0</v>
      </c>
      <c r="F2709">
        <v>3595</v>
      </c>
      <c r="G2709">
        <v>1</v>
      </c>
      <c r="H2709">
        <v>2</v>
      </c>
      <c r="I2709">
        <v>2014</v>
      </c>
      <c r="J2709">
        <v>1</v>
      </c>
      <c r="K2709">
        <v>1</v>
      </c>
      <c r="L2709">
        <v>0</v>
      </c>
      <c r="M2709">
        <v>7</v>
      </c>
      <c r="N2709" t="s">
        <v>41</v>
      </c>
      <c r="O2709" t="s">
        <v>30</v>
      </c>
      <c r="P2709">
        <v>13.454615814410699</v>
      </c>
      <c r="Q2709">
        <v>1.18024476233199</v>
      </c>
      <c r="R2709">
        <v>9.9957215416473897</v>
      </c>
      <c r="S2709">
        <v>44</v>
      </c>
      <c r="T2709">
        <v>79</v>
      </c>
      <c r="U2709">
        <v>561.68093475764499</v>
      </c>
      <c r="V2709">
        <v>1.9471488178025001E-3</v>
      </c>
      <c r="W2709">
        <v>2433944.1911412701</v>
      </c>
      <c r="X2709" t="s">
        <v>42</v>
      </c>
      <c r="Y2709">
        <f>1-267-516-9848</f>
        <v>-10630</v>
      </c>
    </row>
    <row r="2710" spans="1:25" x14ac:dyDescent="0.35">
      <c r="A2710">
        <v>35.968655264324099</v>
      </c>
      <c r="B2710">
        <v>-121.987500235688</v>
      </c>
      <c r="C2710" t="s">
        <v>25</v>
      </c>
      <c r="D2710">
        <v>36.611168855149003</v>
      </c>
      <c r="E2710">
        <v>1</v>
      </c>
      <c r="F2710">
        <v>1027</v>
      </c>
      <c r="G2710">
        <v>1</v>
      </c>
      <c r="H2710">
        <v>3</v>
      </c>
      <c r="I2710">
        <v>2013</v>
      </c>
      <c r="J2710">
        <v>1</v>
      </c>
      <c r="K2710">
        <v>1</v>
      </c>
      <c r="L2710">
        <v>0</v>
      </c>
      <c r="M2710">
        <v>12</v>
      </c>
      <c r="N2710" t="s">
        <v>26</v>
      </c>
      <c r="O2710" t="s">
        <v>27</v>
      </c>
      <c r="P2710">
        <v>3.4304013274825498</v>
      </c>
      <c r="Q2710">
        <v>1.8073504891441301</v>
      </c>
      <c r="R2710">
        <v>0.53823475055125702</v>
      </c>
      <c r="S2710">
        <v>112</v>
      </c>
      <c r="T2710">
        <v>61</v>
      </c>
      <c r="U2710">
        <v>984.82714180608002</v>
      </c>
      <c r="V2710">
        <v>1.1684518013631901E-2</v>
      </c>
      <c r="W2710">
        <v>1315263.6374206501</v>
      </c>
      <c r="X2710" t="s">
        <v>42</v>
      </c>
      <c r="Y2710">
        <f>1-931-465-1946</f>
        <v>-3341</v>
      </c>
    </row>
    <row r="2711" spans="1:25" x14ac:dyDescent="0.35">
      <c r="A2711">
        <v>33.130473209730802</v>
      </c>
      <c r="B2711">
        <v>-120.679658273012</v>
      </c>
      <c r="C2711" t="s">
        <v>34</v>
      </c>
      <c r="D2711">
        <v>43.649520623902802</v>
      </c>
      <c r="E2711">
        <v>7</v>
      </c>
      <c r="F2711">
        <v>531</v>
      </c>
      <c r="G2711">
        <v>2</v>
      </c>
      <c r="H2711">
        <v>1</v>
      </c>
      <c r="I2711">
        <v>1957</v>
      </c>
      <c r="J2711">
        <v>0</v>
      </c>
      <c r="K2711">
        <v>1</v>
      </c>
      <c r="L2711">
        <v>1</v>
      </c>
      <c r="M2711">
        <v>12</v>
      </c>
      <c r="N2711" t="s">
        <v>35</v>
      </c>
      <c r="O2711" t="s">
        <v>32</v>
      </c>
      <c r="P2711">
        <v>7.0141426971159699</v>
      </c>
      <c r="Q2711">
        <v>1.92410883444208</v>
      </c>
      <c r="R2711">
        <v>7.4559294146208099</v>
      </c>
      <c r="S2711">
        <v>58</v>
      </c>
      <c r="T2711">
        <v>57</v>
      </c>
      <c r="U2711">
        <v>388.91258256582501</v>
      </c>
      <c r="V2711">
        <v>2.2598870056497099E-2</v>
      </c>
      <c r="W2711">
        <v>425564.11259898101</v>
      </c>
      <c r="X2711" t="s">
        <v>33</v>
      </c>
      <c r="Y2711">
        <f>1-809-389-7634</f>
        <v>-8831</v>
      </c>
    </row>
    <row r="2712" spans="1:25" x14ac:dyDescent="0.35">
      <c r="A2712">
        <v>33.863093026957998</v>
      </c>
      <c r="B2712">
        <v>-116.88187763543201</v>
      </c>
      <c r="C2712" t="s">
        <v>25</v>
      </c>
      <c r="D2712">
        <v>29.438462006534401</v>
      </c>
      <c r="E2712">
        <v>2</v>
      </c>
      <c r="F2712">
        <v>4902</v>
      </c>
      <c r="G2712">
        <v>4</v>
      </c>
      <c r="H2712">
        <v>2</v>
      </c>
      <c r="I2712">
        <v>1977</v>
      </c>
      <c r="J2712">
        <v>1</v>
      </c>
      <c r="K2712">
        <v>0</v>
      </c>
      <c r="L2712">
        <v>1</v>
      </c>
      <c r="M2712">
        <v>8</v>
      </c>
      <c r="N2712" t="s">
        <v>26</v>
      </c>
      <c r="O2712" t="s">
        <v>32</v>
      </c>
      <c r="P2712">
        <v>10.052170968484999</v>
      </c>
      <c r="Q2712">
        <v>1.81870009523873</v>
      </c>
      <c r="R2712">
        <v>5.8619966305374298</v>
      </c>
      <c r="S2712">
        <v>182</v>
      </c>
      <c r="T2712">
        <v>68</v>
      </c>
      <c r="U2712">
        <v>224.670714511364</v>
      </c>
      <c r="V2712">
        <v>1.63198694410444E-3</v>
      </c>
      <c r="W2712">
        <v>1333095.9129135299</v>
      </c>
      <c r="X2712" t="s">
        <v>40</v>
      </c>
      <c r="Y2712">
        <f>1-645-143-1917</f>
        <v>-2704</v>
      </c>
    </row>
    <row r="2713" spans="1:25" x14ac:dyDescent="0.35">
      <c r="A2713">
        <v>33.077576244556198</v>
      </c>
      <c r="B2713">
        <v>-116.050185047239</v>
      </c>
      <c r="C2713" t="s">
        <v>29</v>
      </c>
      <c r="D2713">
        <v>22.5370804613753</v>
      </c>
      <c r="E2713">
        <v>4</v>
      </c>
      <c r="F2713">
        <v>3718</v>
      </c>
      <c r="G2713">
        <v>2</v>
      </c>
      <c r="H2713">
        <v>2</v>
      </c>
      <c r="I2713">
        <v>2019</v>
      </c>
      <c r="J2713">
        <v>1</v>
      </c>
      <c r="K2713">
        <v>1</v>
      </c>
      <c r="L2713">
        <v>0</v>
      </c>
      <c r="M2713">
        <v>5</v>
      </c>
      <c r="N2713" t="s">
        <v>41</v>
      </c>
      <c r="O2713" t="s">
        <v>32</v>
      </c>
      <c r="P2713">
        <v>7.0622122365376798</v>
      </c>
      <c r="Q2713">
        <v>1.06701769831403</v>
      </c>
      <c r="R2713">
        <v>2.8513775300814701</v>
      </c>
      <c r="S2713">
        <v>10</v>
      </c>
      <c r="T2713">
        <v>37</v>
      </c>
      <c r="U2713">
        <v>617.88643157017202</v>
      </c>
      <c r="V2713">
        <v>1.34480903711672E-3</v>
      </c>
      <c r="W2713">
        <v>2719997.3685536399</v>
      </c>
      <c r="X2713" t="s">
        <v>42</v>
      </c>
      <c r="Y2713">
        <f>1-540-115-4536</f>
        <v>-5190</v>
      </c>
    </row>
    <row r="2714" spans="1:25" x14ac:dyDescent="0.35">
      <c r="A2714">
        <v>40.416972268790801</v>
      </c>
      <c r="B2714">
        <v>-122.33905882745</v>
      </c>
      <c r="C2714" t="s">
        <v>25</v>
      </c>
      <c r="D2714">
        <v>31.8759095415583</v>
      </c>
      <c r="E2714">
        <v>3</v>
      </c>
      <c r="F2714">
        <v>2477</v>
      </c>
      <c r="G2714">
        <v>2</v>
      </c>
      <c r="H2714">
        <v>3</v>
      </c>
      <c r="I2714">
        <v>2015</v>
      </c>
      <c r="J2714">
        <v>1</v>
      </c>
      <c r="K2714">
        <v>0</v>
      </c>
      <c r="L2714">
        <v>1</v>
      </c>
      <c r="M2714">
        <v>5</v>
      </c>
      <c r="N2714" t="s">
        <v>35</v>
      </c>
      <c r="O2714" t="s">
        <v>30</v>
      </c>
      <c r="P2714">
        <v>2.28837466941531</v>
      </c>
      <c r="Q2714">
        <v>1.27384045754744</v>
      </c>
      <c r="R2714">
        <v>4.1835937706384296</v>
      </c>
      <c r="S2714">
        <v>54</v>
      </c>
      <c r="T2714">
        <v>33</v>
      </c>
      <c r="U2714">
        <v>240.80418814436601</v>
      </c>
      <c r="V2714">
        <v>2.01857085183689E-3</v>
      </c>
      <c r="W2714">
        <v>811687.79221619095</v>
      </c>
      <c r="X2714" t="s">
        <v>28</v>
      </c>
      <c r="Y2714">
        <f>1-603-768-1445</f>
        <v>-2815</v>
      </c>
    </row>
    <row r="2715" spans="1:25" x14ac:dyDescent="0.35">
      <c r="A2715">
        <v>38.956584159255698</v>
      </c>
      <c r="B2715">
        <v>-114.643800512293</v>
      </c>
      <c r="C2715" t="s">
        <v>29</v>
      </c>
      <c r="D2715">
        <v>35.489018786884102</v>
      </c>
      <c r="E2715">
        <v>9</v>
      </c>
      <c r="F2715">
        <v>1105</v>
      </c>
      <c r="G2715">
        <v>1</v>
      </c>
      <c r="H2715">
        <v>2</v>
      </c>
      <c r="I2715">
        <v>1957</v>
      </c>
      <c r="J2715">
        <v>0</v>
      </c>
      <c r="K2715">
        <v>1</v>
      </c>
      <c r="L2715">
        <v>1</v>
      </c>
      <c r="M2715">
        <v>7</v>
      </c>
      <c r="N2715" t="s">
        <v>35</v>
      </c>
      <c r="O2715" t="s">
        <v>32</v>
      </c>
      <c r="P2715">
        <v>5.3224898899216297</v>
      </c>
      <c r="Q2715">
        <v>1.14773846784384</v>
      </c>
      <c r="R2715">
        <v>3.05749970629495</v>
      </c>
      <c r="S2715">
        <v>5</v>
      </c>
      <c r="T2715">
        <v>38</v>
      </c>
      <c r="U2715">
        <v>253.37862632330999</v>
      </c>
      <c r="V2715">
        <v>6.33484162895927E-3</v>
      </c>
      <c r="W2715">
        <v>408021.74197161198</v>
      </c>
      <c r="X2715" t="s">
        <v>40</v>
      </c>
      <c r="Y2715">
        <f>1-565-833-3524</f>
        <v>-4921</v>
      </c>
    </row>
    <row r="2716" spans="1:25" x14ac:dyDescent="0.35">
      <c r="A2716">
        <v>39.344533076128897</v>
      </c>
      <c r="B2716">
        <v>-123.578927640418</v>
      </c>
      <c r="C2716" t="s">
        <v>25</v>
      </c>
      <c r="D2716">
        <v>28.2212798732774</v>
      </c>
      <c r="E2716">
        <v>5</v>
      </c>
      <c r="F2716">
        <v>1161</v>
      </c>
      <c r="G2716">
        <v>5</v>
      </c>
      <c r="H2716">
        <v>3</v>
      </c>
      <c r="I2716">
        <v>1995</v>
      </c>
      <c r="J2716">
        <v>1</v>
      </c>
      <c r="K2716">
        <v>1</v>
      </c>
      <c r="L2716">
        <v>1</v>
      </c>
      <c r="M2716">
        <v>10</v>
      </c>
      <c r="N2716" t="s">
        <v>41</v>
      </c>
      <c r="O2716" t="s">
        <v>30</v>
      </c>
      <c r="P2716">
        <v>9.6878454548931696</v>
      </c>
      <c r="Q2716">
        <v>1.2210833210984799</v>
      </c>
      <c r="R2716">
        <v>6.2781038498659401</v>
      </c>
      <c r="S2716">
        <v>2</v>
      </c>
      <c r="T2716">
        <v>76</v>
      </c>
      <c r="U2716">
        <v>932.94445533388796</v>
      </c>
      <c r="V2716">
        <v>8.6132644272179093E-3</v>
      </c>
      <c r="W2716">
        <v>1513392.9094328701</v>
      </c>
      <c r="X2716" t="s">
        <v>38</v>
      </c>
      <c r="Y2716">
        <f>1-275-422-8469</f>
        <v>-9165</v>
      </c>
    </row>
    <row r="2717" spans="1:25" x14ac:dyDescent="0.35">
      <c r="A2717">
        <v>37.110252601449702</v>
      </c>
      <c r="B2717">
        <v>-120.201720825466</v>
      </c>
      <c r="C2717" t="s">
        <v>34</v>
      </c>
      <c r="D2717">
        <v>17.446244438814801</v>
      </c>
      <c r="E2717">
        <v>9</v>
      </c>
      <c r="F2717">
        <v>649</v>
      </c>
      <c r="G2717">
        <v>3</v>
      </c>
      <c r="H2717">
        <v>3</v>
      </c>
      <c r="I2717">
        <v>1993</v>
      </c>
      <c r="J2717">
        <v>0</v>
      </c>
      <c r="K2717">
        <v>1</v>
      </c>
      <c r="L2717">
        <v>1</v>
      </c>
      <c r="M2717">
        <v>3</v>
      </c>
      <c r="N2717" t="s">
        <v>26</v>
      </c>
      <c r="O2717" t="s">
        <v>32</v>
      </c>
      <c r="P2717">
        <v>7.0143850558924603</v>
      </c>
      <c r="Q2717">
        <v>1.4665349240922601</v>
      </c>
      <c r="R2717">
        <v>1.87227204103356</v>
      </c>
      <c r="S2717">
        <v>145</v>
      </c>
      <c r="T2717">
        <v>71</v>
      </c>
      <c r="U2717">
        <v>210.67039435199601</v>
      </c>
      <c r="V2717">
        <v>4.6224961479198702E-3</v>
      </c>
      <c r="W2717">
        <v>531070.344123694</v>
      </c>
      <c r="X2717" t="s">
        <v>40</v>
      </c>
      <c r="Y2717">
        <f>1-698-663-8885</f>
        <v>-10245</v>
      </c>
    </row>
    <row r="2718" spans="1:25" x14ac:dyDescent="0.35">
      <c r="A2718">
        <v>41.000263607441497</v>
      </c>
      <c r="B2718">
        <v>-121.667100569705</v>
      </c>
      <c r="C2718" t="s">
        <v>25</v>
      </c>
      <c r="D2718">
        <v>9.7195422686753794</v>
      </c>
      <c r="E2718">
        <v>6</v>
      </c>
      <c r="F2718">
        <v>4710</v>
      </c>
      <c r="G2718">
        <v>1</v>
      </c>
      <c r="H2718">
        <v>3</v>
      </c>
      <c r="I2718">
        <v>1996</v>
      </c>
      <c r="J2718">
        <v>0</v>
      </c>
      <c r="K2718">
        <v>1</v>
      </c>
      <c r="L2718">
        <v>1</v>
      </c>
      <c r="M2718">
        <v>3</v>
      </c>
      <c r="N2718" t="s">
        <v>26</v>
      </c>
      <c r="O2718" t="s">
        <v>27</v>
      </c>
      <c r="P2718">
        <v>9.0893879817721004</v>
      </c>
      <c r="Q2718">
        <v>2.3156251393856899</v>
      </c>
      <c r="R2718">
        <v>8.0776190860975401</v>
      </c>
      <c r="S2718">
        <v>97</v>
      </c>
      <c r="T2718">
        <v>72</v>
      </c>
      <c r="U2718">
        <v>321.80811022367197</v>
      </c>
      <c r="V2718">
        <v>6.3694267515923499E-4</v>
      </c>
      <c r="W2718">
        <v>1751117.12455236</v>
      </c>
      <c r="X2718" t="s">
        <v>33</v>
      </c>
      <c r="Y2718">
        <f>1-400-542-4876</f>
        <v>-5817</v>
      </c>
    </row>
    <row r="2719" spans="1:25" x14ac:dyDescent="0.35">
      <c r="A2719">
        <v>40.123539791656498</v>
      </c>
      <c r="B2719">
        <v>-115.822580322416</v>
      </c>
      <c r="C2719" t="s">
        <v>29</v>
      </c>
      <c r="D2719">
        <v>19.648788505600301</v>
      </c>
      <c r="E2719">
        <v>2</v>
      </c>
      <c r="F2719">
        <v>4734</v>
      </c>
      <c r="G2719">
        <v>4</v>
      </c>
      <c r="H2719">
        <v>1</v>
      </c>
      <c r="I2719">
        <v>2016</v>
      </c>
      <c r="J2719">
        <v>1</v>
      </c>
      <c r="K2719">
        <v>0</v>
      </c>
      <c r="L2719">
        <v>1</v>
      </c>
      <c r="M2719">
        <v>14</v>
      </c>
      <c r="N2719" t="s">
        <v>35</v>
      </c>
      <c r="O2719" t="s">
        <v>27</v>
      </c>
      <c r="P2719">
        <v>14.413180288393701</v>
      </c>
      <c r="Q2719">
        <v>1.6487492167631299</v>
      </c>
      <c r="R2719">
        <v>7.1101090413203902</v>
      </c>
      <c r="S2719">
        <v>41</v>
      </c>
      <c r="T2719">
        <v>74</v>
      </c>
      <c r="U2719">
        <v>918.25949474634604</v>
      </c>
      <c r="V2719">
        <v>2.9573299535276699E-3</v>
      </c>
      <c r="W2719">
        <v>4720988.3615170503</v>
      </c>
      <c r="X2719" t="s">
        <v>33</v>
      </c>
      <c r="Y2719">
        <f>1-887-740-1026</f>
        <v>-2652</v>
      </c>
    </row>
    <row r="2720" spans="1:25" x14ac:dyDescent="0.35">
      <c r="A2720">
        <v>38.521111945216497</v>
      </c>
      <c r="B2720">
        <v>-121.47908538461</v>
      </c>
      <c r="C2720" t="s">
        <v>29</v>
      </c>
      <c r="D2720">
        <v>3.75798742769113</v>
      </c>
      <c r="E2720">
        <v>3</v>
      </c>
      <c r="F2720">
        <v>1415</v>
      </c>
      <c r="G2720">
        <v>1</v>
      </c>
      <c r="H2720">
        <v>3</v>
      </c>
      <c r="I2720">
        <v>2011</v>
      </c>
      <c r="J2720">
        <v>1</v>
      </c>
      <c r="K2720">
        <v>0</v>
      </c>
      <c r="L2720">
        <v>1</v>
      </c>
      <c r="M2720">
        <v>7</v>
      </c>
      <c r="N2720" t="s">
        <v>35</v>
      </c>
      <c r="O2720" t="s">
        <v>32</v>
      </c>
      <c r="P2720">
        <v>5.2274286803700898</v>
      </c>
      <c r="Q2720">
        <v>1.77769897478844</v>
      </c>
      <c r="R2720">
        <v>4.4748577146506898</v>
      </c>
      <c r="S2720">
        <v>11</v>
      </c>
      <c r="T2720">
        <v>50</v>
      </c>
      <c r="U2720">
        <v>659.98965229735097</v>
      </c>
      <c r="V2720">
        <v>4.9469964664310903E-3</v>
      </c>
      <c r="W2720">
        <v>1185760.92332813</v>
      </c>
      <c r="X2720" t="s">
        <v>28</v>
      </c>
      <c r="Y2720">
        <f>1-228-131-4578</f>
        <v>-4936</v>
      </c>
    </row>
    <row r="2721" spans="1:25" x14ac:dyDescent="0.35">
      <c r="A2721">
        <v>38.083560296807903</v>
      </c>
      <c r="B2721">
        <v>-114.608654253887</v>
      </c>
      <c r="C2721" t="s">
        <v>29</v>
      </c>
      <c r="D2721">
        <v>16.475825584936899</v>
      </c>
      <c r="E2721">
        <v>6</v>
      </c>
      <c r="F2721">
        <v>4797</v>
      </c>
      <c r="G2721">
        <v>2</v>
      </c>
      <c r="H2721">
        <v>2</v>
      </c>
      <c r="I2721">
        <v>1975</v>
      </c>
      <c r="J2721">
        <v>1</v>
      </c>
      <c r="K2721">
        <v>1</v>
      </c>
      <c r="L2721">
        <v>0</v>
      </c>
      <c r="M2721">
        <v>13</v>
      </c>
      <c r="N2721" t="s">
        <v>37</v>
      </c>
      <c r="O2721" t="s">
        <v>30</v>
      </c>
      <c r="P2721">
        <v>14.347481615597999</v>
      </c>
      <c r="Q2721">
        <v>1.1272535353585</v>
      </c>
      <c r="R2721">
        <v>9.8486378631001603</v>
      </c>
      <c r="S2721">
        <v>104</v>
      </c>
      <c r="T2721">
        <v>55</v>
      </c>
      <c r="U2721">
        <v>792.18559099842196</v>
      </c>
      <c r="V2721">
        <v>2.7100271002710001E-3</v>
      </c>
      <c r="W2721">
        <v>4147090.87690175</v>
      </c>
      <c r="X2721" t="s">
        <v>39</v>
      </c>
      <c r="Y2721">
        <f>1-779-207-8196</f>
        <v>-9181</v>
      </c>
    </row>
    <row r="2722" spans="1:25" x14ac:dyDescent="0.35">
      <c r="A2722">
        <v>35.086623012809703</v>
      </c>
      <c r="B2722">
        <v>-116.83378223778</v>
      </c>
      <c r="C2722" t="s">
        <v>34</v>
      </c>
      <c r="D2722">
        <v>10.926457911223601</v>
      </c>
      <c r="E2722">
        <v>6</v>
      </c>
      <c r="F2722">
        <v>3264</v>
      </c>
      <c r="G2722">
        <v>3</v>
      </c>
      <c r="H2722">
        <v>1</v>
      </c>
      <c r="I2722">
        <v>1972</v>
      </c>
      <c r="J2722">
        <v>0</v>
      </c>
      <c r="K2722">
        <v>0</v>
      </c>
      <c r="L2722">
        <v>0</v>
      </c>
      <c r="M2722">
        <v>14</v>
      </c>
      <c r="N2722" t="s">
        <v>35</v>
      </c>
      <c r="O2722" t="s">
        <v>32</v>
      </c>
      <c r="P2722">
        <v>4.2192629487852003</v>
      </c>
      <c r="Q2722">
        <v>0.797635272070218</v>
      </c>
      <c r="R2722">
        <v>0.35284599831854602</v>
      </c>
      <c r="S2722">
        <v>124</v>
      </c>
      <c r="T2722">
        <v>55</v>
      </c>
      <c r="U2722">
        <v>470.00811212088399</v>
      </c>
      <c r="V2722">
        <v>4.2892156862745102E-3</v>
      </c>
      <c r="W2722">
        <v>1682459.90965611</v>
      </c>
      <c r="X2722" t="s">
        <v>42</v>
      </c>
      <c r="Y2722">
        <f>1-606-458-3094</f>
        <v>-4157</v>
      </c>
    </row>
    <row r="2723" spans="1:25" x14ac:dyDescent="0.35">
      <c r="A2723">
        <v>32.687689444856403</v>
      </c>
      <c r="B2723">
        <v>-122.098351521854</v>
      </c>
      <c r="C2723" t="s">
        <v>25</v>
      </c>
      <c r="D2723">
        <v>21.841807509338</v>
      </c>
      <c r="E2723">
        <v>7</v>
      </c>
      <c r="F2723">
        <v>4726</v>
      </c>
      <c r="G2723">
        <v>2</v>
      </c>
      <c r="H2723">
        <v>2</v>
      </c>
      <c r="I2723">
        <v>1999</v>
      </c>
      <c r="J2723">
        <v>1</v>
      </c>
      <c r="K2723">
        <v>1</v>
      </c>
      <c r="L2723">
        <v>1</v>
      </c>
      <c r="M2723">
        <v>11</v>
      </c>
      <c r="N2723" t="s">
        <v>26</v>
      </c>
      <c r="O2723" t="s">
        <v>30</v>
      </c>
      <c r="P2723">
        <v>2.6185597357619002</v>
      </c>
      <c r="Q2723">
        <v>1.37346685348985</v>
      </c>
      <c r="R2723">
        <v>5.7151801188869502</v>
      </c>
      <c r="S2723">
        <v>125</v>
      </c>
      <c r="T2723">
        <v>38</v>
      </c>
      <c r="U2723">
        <v>481.81962176801198</v>
      </c>
      <c r="V2723">
        <v>2.32754972492594E-3</v>
      </c>
      <c r="W2723">
        <v>2627932.4096677499</v>
      </c>
      <c r="X2723" t="s">
        <v>28</v>
      </c>
      <c r="Y2723">
        <f>1-863-813-4837</f>
        <v>-6512</v>
      </c>
    </row>
    <row r="2724" spans="1:25" x14ac:dyDescent="0.35">
      <c r="A2724">
        <v>35.523183716790598</v>
      </c>
      <c r="B2724">
        <v>-122.23816832368701</v>
      </c>
      <c r="C2724" t="s">
        <v>29</v>
      </c>
      <c r="D2724">
        <v>13.0936198423394</v>
      </c>
      <c r="E2724">
        <v>9</v>
      </c>
      <c r="F2724">
        <v>4579</v>
      </c>
      <c r="G2724">
        <v>1</v>
      </c>
      <c r="H2724">
        <v>1</v>
      </c>
      <c r="I2724">
        <v>1986</v>
      </c>
      <c r="J2724">
        <v>0</v>
      </c>
      <c r="K2724">
        <v>1</v>
      </c>
      <c r="L2724">
        <v>1</v>
      </c>
      <c r="M2724">
        <v>10</v>
      </c>
      <c r="N2724" t="s">
        <v>41</v>
      </c>
      <c r="O2724" t="s">
        <v>27</v>
      </c>
      <c r="P2724">
        <v>12.087246238147101</v>
      </c>
      <c r="Q2724">
        <v>0.85260323529673399</v>
      </c>
      <c r="R2724">
        <v>2.2948162844626601</v>
      </c>
      <c r="S2724">
        <v>164</v>
      </c>
      <c r="T2724">
        <v>31</v>
      </c>
      <c r="U2724">
        <v>709.68609641084095</v>
      </c>
      <c r="V2724">
        <v>2.1838829438742E-3</v>
      </c>
      <c r="W2724">
        <v>3416210.3049904099</v>
      </c>
      <c r="X2724" t="s">
        <v>42</v>
      </c>
      <c r="Y2724">
        <f>1-684-977-6207</f>
        <v>-7867</v>
      </c>
    </row>
    <row r="2725" spans="1:25" x14ac:dyDescent="0.35">
      <c r="A2725">
        <v>41.654783274795797</v>
      </c>
      <c r="B2725">
        <v>-123.702662433719</v>
      </c>
      <c r="C2725" t="s">
        <v>34</v>
      </c>
      <c r="D2725">
        <v>41.240162686312203</v>
      </c>
      <c r="E2725">
        <v>4</v>
      </c>
      <c r="F2725">
        <v>3548</v>
      </c>
      <c r="G2725">
        <v>4</v>
      </c>
      <c r="H2725">
        <v>1</v>
      </c>
      <c r="I2725">
        <v>1978</v>
      </c>
      <c r="J2725">
        <v>1</v>
      </c>
      <c r="K2725">
        <v>0</v>
      </c>
      <c r="L2725">
        <v>1</v>
      </c>
      <c r="M2725">
        <v>6</v>
      </c>
      <c r="N2725" t="s">
        <v>41</v>
      </c>
      <c r="O2725" t="s">
        <v>27</v>
      </c>
      <c r="P2725">
        <v>4.5796367465351198</v>
      </c>
      <c r="Q2725">
        <v>0.58351042072338699</v>
      </c>
      <c r="R2725">
        <v>7.40147373843969</v>
      </c>
      <c r="S2725">
        <v>124</v>
      </c>
      <c r="T2725">
        <v>22</v>
      </c>
      <c r="U2725">
        <v>474.78022681129698</v>
      </c>
      <c r="V2725">
        <v>1.69109357384441E-3</v>
      </c>
      <c r="W2725">
        <v>1919434.6650354101</v>
      </c>
      <c r="X2725" t="s">
        <v>43</v>
      </c>
      <c r="Y2725">
        <f>1-391-106-4263</f>
        <v>-4759</v>
      </c>
    </row>
    <row r="2726" spans="1:25" x14ac:dyDescent="0.35">
      <c r="A2726">
        <v>40.975866293146098</v>
      </c>
      <c r="B2726">
        <v>-116.454643718284</v>
      </c>
      <c r="C2726" t="s">
        <v>25</v>
      </c>
      <c r="D2726">
        <v>7.5438616405973198</v>
      </c>
      <c r="E2726">
        <v>1</v>
      </c>
      <c r="F2726">
        <v>2479</v>
      </c>
      <c r="G2726">
        <v>4</v>
      </c>
      <c r="H2726">
        <v>1</v>
      </c>
      <c r="I2726">
        <v>1961</v>
      </c>
      <c r="J2726">
        <v>1</v>
      </c>
      <c r="K2726">
        <v>1</v>
      </c>
      <c r="L2726">
        <v>1</v>
      </c>
      <c r="M2726">
        <v>14</v>
      </c>
      <c r="N2726" t="s">
        <v>37</v>
      </c>
      <c r="O2726" t="s">
        <v>27</v>
      </c>
      <c r="P2726">
        <v>4.4993758285690602</v>
      </c>
      <c r="Q2726">
        <v>0.75184939491467495</v>
      </c>
      <c r="R2726">
        <v>2.7719819422780101</v>
      </c>
      <c r="S2726">
        <v>192</v>
      </c>
      <c r="T2726">
        <v>53</v>
      </c>
      <c r="U2726">
        <v>386.87062234912401</v>
      </c>
      <c r="V2726">
        <v>5.6474384832593703E-3</v>
      </c>
      <c r="W2726">
        <v>1293878.8934410999</v>
      </c>
      <c r="X2726" t="s">
        <v>33</v>
      </c>
      <c r="Y2726">
        <f>1-274-766-4210</f>
        <v>-5249</v>
      </c>
    </row>
    <row r="2727" spans="1:25" x14ac:dyDescent="0.35">
      <c r="A2727">
        <v>36.250868824194903</v>
      </c>
      <c r="B2727">
        <v>-117.527234714294</v>
      </c>
      <c r="C2727" t="s">
        <v>25</v>
      </c>
      <c r="D2727">
        <v>25.875796979561599</v>
      </c>
      <c r="E2727">
        <v>5</v>
      </c>
      <c r="F2727">
        <v>3539</v>
      </c>
      <c r="G2727">
        <v>5</v>
      </c>
      <c r="H2727">
        <v>2</v>
      </c>
      <c r="I2727">
        <v>1966</v>
      </c>
      <c r="J2727">
        <v>1</v>
      </c>
      <c r="K2727">
        <v>0</v>
      </c>
      <c r="L2727">
        <v>0</v>
      </c>
      <c r="M2727">
        <v>14</v>
      </c>
      <c r="N2727" t="s">
        <v>35</v>
      </c>
      <c r="O2727" t="s">
        <v>27</v>
      </c>
      <c r="P2727">
        <v>8.7333639553440392</v>
      </c>
      <c r="Q2727">
        <v>1.52322115219287</v>
      </c>
      <c r="R2727">
        <v>6.8779038930348504</v>
      </c>
      <c r="S2727">
        <v>3</v>
      </c>
      <c r="T2727">
        <v>33</v>
      </c>
      <c r="U2727">
        <v>259.412265316461</v>
      </c>
      <c r="V2727">
        <v>3.9559197513421799E-3</v>
      </c>
      <c r="W2727">
        <v>1256482.62048632</v>
      </c>
      <c r="X2727" t="s">
        <v>33</v>
      </c>
      <c r="Y2727">
        <f>1-628-994-5122</f>
        <v>-6743</v>
      </c>
    </row>
    <row r="2728" spans="1:25" x14ac:dyDescent="0.35">
      <c r="A2728">
        <v>39.2122544895375</v>
      </c>
      <c r="B2728">
        <v>-120.852609488646</v>
      </c>
      <c r="C2728" t="s">
        <v>25</v>
      </c>
      <c r="D2728">
        <v>40.570230288121699</v>
      </c>
      <c r="E2728">
        <v>0</v>
      </c>
      <c r="F2728">
        <v>725</v>
      </c>
      <c r="G2728">
        <v>2</v>
      </c>
      <c r="H2728">
        <v>2</v>
      </c>
      <c r="I2728">
        <v>1956</v>
      </c>
      <c r="J2728">
        <v>1</v>
      </c>
      <c r="K2728">
        <v>1</v>
      </c>
      <c r="L2728">
        <v>0</v>
      </c>
      <c r="M2728">
        <v>8</v>
      </c>
      <c r="N2728" t="s">
        <v>26</v>
      </c>
      <c r="O2728" t="s">
        <v>27</v>
      </c>
      <c r="P2728">
        <v>11.220148354198299</v>
      </c>
      <c r="Q2728">
        <v>2.0277023297591801</v>
      </c>
      <c r="R2728">
        <v>5.9457769397104698</v>
      </c>
      <c r="S2728">
        <v>138</v>
      </c>
      <c r="T2728">
        <v>75</v>
      </c>
      <c r="U2728">
        <v>633.23784400216402</v>
      </c>
      <c r="V2728">
        <v>1.10344827586206E-2</v>
      </c>
      <c r="W2728">
        <v>706989.12756593805</v>
      </c>
      <c r="X2728" t="s">
        <v>43</v>
      </c>
      <c r="Y2728">
        <f>1-978-258-1612</f>
        <v>-2847</v>
      </c>
    </row>
    <row r="2729" spans="1:25" x14ac:dyDescent="0.35">
      <c r="A2729">
        <v>38.195646948721901</v>
      </c>
      <c r="B2729">
        <v>-116.410618038747</v>
      </c>
      <c r="C2729" t="s">
        <v>34</v>
      </c>
      <c r="D2729">
        <v>9.2562416116210908</v>
      </c>
      <c r="E2729">
        <v>0</v>
      </c>
      <c r="F2729">
        <v>4338</v>
      </c>
      <c r="G2729">
        <v>5</v>
      </c>
      <c r="H2729">
        <v>3</v>
      </c>
      <c r="I2729">
        <v>1961</v>
      </c>
      <c r="J2729">
        <v>1</v>
      </c>
      <c r="K2729">
        <v>1</v>
      </c>
      <c r="L2729">
        <v>1</v>
      </c>
      <c r="M2729">
        <v>13</v>
      </c>
      <c r="N2729" t="s">
        <v>41</v>
      </c>
      <c r="O2729" t="s">
        <v>30</v>
      </c>
      <c r="P2729">
        <v>2.26470338427107</v>
      </c>
      <c r="Q2729">
        <v>0.921102019201267</v>
      </c>
      <c r="R2729">
        <v>3.22669405718778</v>
      </c>
      <c r="S2729">
        <v>127</v>
      </c>
      <c r="T2729">
        <v>28</v>
      </c>
      <c r="U2729">
        <v>955.03303593324097</v>
      </c>
      <c r="V2729">
        <v>2.9967727063162702E-3</v>
      </c>
      <c r="W2729">
        <v>4468639.0663520098</v>
      </c>
      <c r="X2729" t="s">
        <v>43</v>
      </c>
      <c r="Y2729">
        <f>1-712-793-5148</f>
        <v>-6652</v>
      </c>
    </row>
    <row r="2730" spans="1:25" x14ac:dyDescent="0.35">
      <c r="A2730">
        <v>41.405851953954297</v>
      </c>
      <c r="B2730">
        <v>-122.87494754210699</v>
      </c>
      <c r="C2730" t="s">
        <v>29</v>
      </c>
      <c r="D2730">
        <v>2.9407172160177102</v>
      </c>
      <c r="E2730">
        <v>7</v>
      </c>
      <c r="F2730">
        <v>3942</v>
      </c>
      <c r="G2730">
        <v>4</v>
      </c>
      <c r="H2730">
        <v>2</v>
      </c>
      <c r="I2730">
        <v>1979</v>
      </c>
      <c r="J2730">
        <v>0</v>
      </c>
      <c r="K2730">
        <v>0</v>
      </c>
      <c r="L2730">
        <v>0</v>
      </c>
      <c r="M2730">
        <v>8</v>
      </c>
      <c r="N2730" t="s">
        <v>35</v>
      </c>
      <c r="O2730" t="s">
        <v>30</v>
      </c>
      <c r="P2730">
        <v>6.0909127799022196</v>
      </c>
      <c r="Q2730">
        <v>0.59699953461597</v>
      </c>
      <c r="R2730">
        <v>6.8371051329449299</v>
      </c>
      <c r="S2730">
        <v>20</v>
      </c>
      <c r="T2730">
        <v>76</v>
      </c>
      <c r="U2730">
        <v>953.15616821122399</v>
      </c>
      <c r="V2730">
        <v>2.02942668696093E-3</v>
      </c>
      <c r="W2730">
        <v>3964860.1186158098</v>
      </c>
      <c r="X2730" t="s">
        <v>31</v>
      </c>
      <c r="Y2730">
        <f>1-309-600-3233</f>
        <v>-4141</v>
      </c>
    </row>
    <row r="2731" spans="1:25" x14ac:dyDescent="0.35">
      <c r="A2731">
        <v>35.1359106299453</v>
      </c>
      <c r="B2731">
        <v>-120.70468886385601</v>
      </c>
      <c r="C2731" t="s">
        <v>34</v>
      </c>
      <c r="D2731">
        <v>6.9220464884804596</v>
      </c>
      <c r="E2731">
        <v>3</v>
      </c>
      <c r="F2731">
        <v>4282</v>
      </c>
      <c r="G2731">
        <v>2</v>
      </c>
      <c r="H2731">
        <v>1</v>
      </c>
      <c r="I2731">
        <v>1976</v>
      </c>
      <c r="J2731">
        <v>1</v>
      </c>
      <c r="K2731">
        <v>0</v>
      </c>
      <c r="L2731">
        <v>0</v>
      </c>
      <c r="M2731">
        <v>7</v>
      </c>
      <c r="N2731" t="s">
        <v>26</v>
      </c>
      <c r="O2731" t="s">
        <v>27</v>
      </c>
      <c r="P2731">
        <v>8.9477939123703791</v>
      </c>
      <c r="Q2731">
        <v>2.45048401179583</v>
      </c>
      <c r="R2731">
        <v>0.25539264959639302</v>
      </c>
      <c r="S2731">
        <v>1</v>
      </c>
      <c r="T2731">
        <v>52</v>
      </c>
      <c r="U2731">
        <v>663.58235161981099</v>
      </c>
      <c r="V2731">
        <v>1.6347501167678601E-3</v>
      </c>
      <c r="W2731">
        <v>3065520.59943088</v>
      </c>
      <c r="X2731" t="s">
        <v>31</v>
      </c>
      <c r="Y2731">
        <f>1-711-503-7726</f>
        <v>-8939</v>
      </c>
    </row>
    <row r="2732" spans="1:25" x14ac:dyDescent="0.35">
      <c r="A2732">
        <v>41.672238521250797</v>
      </c>
      <c r="B2732">
        <v>-114.072071410753</v>
      </c>
      <c r="C2732" t="s">
        <v>25</v>
      </c>
      <c r="D2732">
        <v>8.9917253894394609</v>
      </c>
      <c r="E2732">
        <v>4</v>
      </c>
      <c r="F2732">
        <v>4304</v>
      </c>
      <c r="G2732">
        <v>1</v>
      </c>
      <c r="H2732">
        <v>2</v>
      </c>
      <c r="I2732">
        <v>1997</v>
      </c>
      <c r="J2732">
        <v>1</v>
      </c>
      <c r="K2732">
        <v>0</v>
      </c>
      <c r="L2732">
        <v>1</v>
      </c>
      <c r="M2732">
        <v>2</v>
      </c>
      <c r="N2732" t="s">
        <v>26</v>
      </c>
      <c r="O2732" t="s">
        <v>30</v>
      </c>
      <c r="P2732">
        <v>8.4231613280470103</v>
      </c>
      <c r="Q2732">
        <v>2.4860245336481501</v>
      </c>
      <c r="R2732">
        <v>1.2623089546906101</v>
      </c>
      <c r="S2732">
        <v>3</v>
      </c>
      <c r="T2732">
        <v>29</v>
      </c>
      <c r="U2732">
        <v>635.27953500885201</v>
      </c>
      <c r="V2732">
        <v>4.6468401486988802E-4</v>
      </c>
      <c r="W2732">
        <v>2923695.3909694902</v>
      </c>
      <c r="X2732" t="s">
        <v>36</v>
      </c>
      <c r="Y2732">
        <f>1-224-777-5879</f>
        <v>-6879</v>
      </c>
    </row>
    <row r="2733" spans="1:25" x14ac:dyDescent="0.35">
      <c r="A2733">
        <v>36.518739041409802</v>
      </c>
      <c r="B2733">
        <v>-118.21786954096</v>
      </c>
      <c r="C2733" t="s">
        <v>34</v>
      </c>
      <c r="D2733">
        <v>42.493775447296997</v>
      </c>
      <c r="E2733">
        <v>3</v>
      </c>
      <c r="F2733">
        <v>1999</v>
      </c>
      <c r="G2733">
        <v>1</v>
      </c>
      <c r="H2733">
        <v>2</v>
      </c>
      <c r="I2733">
        <v>1991</v>
      </c>
      <c r="J2733">
        <v>0</v>
      </c>
      <c r="K2733">
        <v>0</v>
      </c>
      <c r="L2733">
        <v>1</v>
      </c>
      <c r="M2733">
        <v>10</v>
      </c>
      <c r="N2733" t="s">
        <v>41</v>
      </c>
      <c r="O2733" t="s">
        <v>30</v>
      </c>
      <c r="P2733">
        <v>10.414076766385399</v>
      </c>
      <c r="Q2733">
        <v>1.2701778596125599</v>
      </c>
      <c r="R2733">
        <v>2.8917127355479599</v>
      </c>
      <c r="S2733">
        <v>199</v>
      </c>
      <c r="T2733">
        <v>51</v>
      </c>
      <c r="U2733">
        <v>803.42136509330101</v>
      </c>
      <c r="V2733">
        <v>5.0025012506253099E-3</v>
      </c>
      <c r="W2733">
        <v>1717774.2889995</v>
      </c>
      <c r="X2733" t="s">
        <v>28</v>
      </c>
      <c r="Y2733">
        <f>1-418-124-3334</f>
        <v>-3875</v>
      </c>
    </row>
    <row r="2734" spans="1:25" x14ac:dyDescent="0.35">
      <c r="A2734">
        <v>37.660467827753003</v>
      </c>
      <c r="B2734">
        <v>-114.743991299627</v>
      </c>
      <c r="C2734" t="s">
        <v>25</v>
      </c>
      <c r="D2734">
        <v>38.552721190450399</v>
      </c>
      <c r="E2734">
        <v>8</v>
      </c>
      <c r="F2734">
        <v>1466</v>
      </c>
      <c r="G2734">
        <v>1</v>
      </c>
      <c r="H2734">
        <v>3</v>
      </c>
      <c r="I2734">
        <v>1957</v>
      </c>
      <c r="J2734">
        <v>0</v>
      </c>
      <c r="K2734">
        <v>0</v>
      </c>
      <c r="L2734">
        <v>0</v>
      </c>
      <c r="M2734">
        <v>10</v>
      </c>
      <c r="N2734" t="s">
        <v>35</v>
      </c>
      <c r="O2734" t="s">
        <v>32</v>
      </c>
      <c r="P2734">
        <v>11.3698247362979</v>
      </c>
      <c r="Q2734">
        <v>1.2136099909015501</v>
      </c>
      <c r="R2734">
        <v>6.8127296069717396</v>
      </c>
      <c r="S2734">
        <v>19</v>
      </c>
      <c r="T2734">
        <v>69</v>
      </c>
      <c r="U2734">
        <v>935.52404501332796</v>
      </c>
      <c r="V2734">
        <v>6.8212824010914002E-3</v>
      </c>
      <c r="W2734">
        <v>1575016.53179129</v>
      </c>
      <c r="X2734" t="s">
        <v>39</v>
      </c>
      <c r="Y2734">
        <f>1-375-272-9996</f>
        <v>-10642</v>
      </c>
    </row>
    <row r="2735" spans="1:25" x14ac:dyDescent="0.35">
      <c r="A2735">
        <v>40.4556718048484</v>
      </c>
      <c r="B2735">
        <v>-116.252183823067</v>
      </c>
      <c r="C2735" t="s">
        <v>34</v>
      </c>
      <c r="D2735">
        <v>11.816255003624899</v>
      </c>
      <c r="E2735">
        <v>7</v>
      </c>
      <c r="F2735">
        <v>3050</v>
      </c>
      <c r="G2735">
        <v>5</v>
      </c>
      <c r="H2735">
        <v>1</v>
      </c>
      <c r="I2735">
        <v>1954</v>
      </c>
      <c r="J2735">
        <v>1</v>
      </c>
      <c r="K2735">
        <v>1</v>
      </c>
      <c r="L2735">
        <v>0</v>
      </c>
      <c r="M2735">
        <v>12</v>
      </c>
      <c r="N2735" t="s">
        <v>35</v>
      </c>
      <c r="O2735" t="s">
        <v>30</v>
      </c>
      <c r="P2735">
        <v>3.7254209497795099</v>
      </c>
      <c r="Q2735">
        <v>1.8220107207796199</v>
      </c>
      <c r="R2735">
        <v>4.2010391043285296</v>
      </c>
      <c r="S2735">
        <v>176</v>
      </c>
      <c r="T2735">
        <v>26</v>
      </c>
      <c r="U2735">
        <v>329.111758618576</v>
      </c>
      <c r="V2735">
        <v>3.9344262295081898E-3</v>
      </c>
      <c r="W2735">
        <v>1341023.05356446</v>
      </c>
      <c r="X2735" t="s">
        <v>36</v>
      </c>
      <c r="Y2735">
        <f>1-545-927-4264</f>
        <v>-5735</v>
      </c>
    </row>
    <row r="2736" spans="1:25" x14ac:dyDescent="0.35">
      <c r="A2736">
        <v>41.829069073369503</v>
      </c>
      <c r="B2736">
        <v>-116.53877729783299</v>
      </c>
      <c r="C2736" t="s">
        <v>29</v>
      </c>
      <c r="D2736">
        <v>17.684621388292801</v>
      </c>
      <c r="E2736">
        <v>3</v>
      </c>
      <c r="F2736">
        <v>934</v>
      </c>
      <c r="G2736">
        <v>5</v>
      </c>
      <c r="H2736">
        <v>3</v>
      </c>
      <c r="I2736">
        <v>1986</v>
      </c>
      <c r="J2736">
        <v>0</v>
      </c>
      <c r="K2736">
        <v>0</v>
      </c>
      <c r="L2736">
        <v>1</v>
      </c>
      <c r="M2736">
        <v>10</v>
      </c>
      <c r="N2736" t="s">
        <v>26</v>
      </c>
      <c r="O2736" t="s">
        <v>27</v>
      </c>
      <c r="P2736">
        <v>9.5013197263753302</v>
      </c>
      <c r="Q2736">
        <v>1.18144081372845</v>
      </c>
      <c r="R2736">
        <v>4.0600412908614398</v>
      </c>
      <c r="S2736">
        <v>37</v>
      </c>
      <c r="T2736">
        <v>53</v>
      </c>
      <c r="U2736">
        <v>316.684353933892</v>
      </c>
      <c r="V2736">
        <v>1.0706638115631601E-2</v>
      </c>
      <c r="W2736">
        <v>652123.53539628698</v>
      </c>
      <c r="X2736" t="s">
        <v>33</v>
      </c>
      <c r="Y2736">
        <f>1-695-902-7511</f>
        <v>-9107</v>
      </c>
    </row>
    <row r="2737" spans="1:25" x14ac:dyDescent="0.35">
      <c r="A2737">
        <v>37.650303243490299</v>
      </c>
      <c r="B2737">
        <v>-118.22791652159199</v>
      </c>
      <c r="C2737" t="s">
        <v>25</v>
      </c>
      <c r="D2737">
        <v>6.76456567623406</v>
      </c>
      <c r="E2737">
        <v>2</v>
      </c>
      <c r="F2737">
        <v>3325</v>
      </c>
      <c r="G2737">
        <v>5</v>
      </c>
      <c r="H2737">
        <v>3</v>
      </c>
      <c r="I2737">
        <v>2006</v>
      </c>
      <c r="J2737">
        <v>1</v>
      </c>
      <c r="K2737">
        <v>1</v>
      </c>
      <c r="L2737">
        <v>1</v>
      </c>
      <c r="M2737">
        <v>2</v>
      </c>
      <c r="N2737" t="s">
        <v>35</v>
      </c>
      <c r="O2737" t="s">
        <v>27</v>
      </c>
      <c r="P2737">
        <v>13.4501980183806</v>
      </c>
      <c r="Q2737">
        <v>1.6589594274392301</v>
      </c>
      <c r="R2737">
        <v>5.4474260441607401</v>
      </c>
      <c r="S2737">
        <v>71</v>
      </c>
      <c r="T2737">
        <v>70</v>
      </c>
      <c r="U2737">
        <v>324.68245681300499</v>
      </c>
      <c r="V2737">
        <v>6.0150375939849599E-4</v>
      </c>
      <c r="W2737">
        <v>1763806.87180017</v>
      </c>
      <c r="X2737" t="s">
        <v>28</v>
      </c>
      <c r="Y2737">
        <f>1-994-871-5559</f>
        <v>-7423</v>
      </c>
    </row>
    <row r="2738" spans="1:25" x14ac:dyDescent="0.35">
      <c r="A2738">
        <v>32.527323268740602</v>
      </c>
      <c r="B2738">
        <v>-117.89665045981</v>
      </c>
      <c r="C2738" t="s">
        <v>29</v>
      </c>
      <c r="D2738">
        <v>31.054513377874599</v>
      </c>
      <c r="E2738">
        <v>9</v>
      </c>
      <c r="F2738">
        <v>3109</v>
      </c>
      <c r="G2738">
        <v>1</v>
      </c>
      <c r="H2738">
        <v>1</v>
      </c>
      <c r="I2738">
        <v>1959</v>
      </c>
      <c r="J2738">
        <v>1</v>
      </c>
      <c r="K2738">
        <v>1</v>
      </c>
      <c r="L2738">
        <v>1</v>
      </c>
      <c r="M2738">
        <v>9</v>
      </c>
      <c r="N2738" t="s">
        <v>37</v>
      </c>
      <c r="O2738" t="s">
        <v>27</v>
      </c>
      <c r="P2738">
        <v>3.7547334049763998</v>
      </c>
      <c r="Q2738">
        <v>0.99397017283841504</v>
      </c>
      <c r="R2738">
        <v>2.4865255657846399</v>
      </c>
      <c r="S2738">
        <v>44</v>
      </c>
      <c r="T2738">
        <v>74</v>
      </c>
      <c r="U2738">
        <v>222.63555179123</v>
      </c>
      <c r="V2738">
        <v>2.89482148600836E-3</v>
      </c>
      <c r="W2738">
        <v>858498.27783429599</v>
      </c>
      <c r="X2738" t="s">
        <v>42</v>
      </c>
      <c r="Y2738">
        <f>1-895-822-9290</f>
        <v>-11006</v>
      </c>
    </row>
    <row r="2739" spans="1:25" x14ac:dyDescent="0.35">
      <c r="A2739">
        <v>39.8582293236624</v>
      </c>
      <c r="B2739">
        <v>-119.544861637908</v>
      </c>
      <c r="C2739" t="s">
        <v>25</v>
      </c>
      <c r="D2739">
        <v>34.437691144657201</v>
      </c>
      <c r="E2739">
        <v>4</v>
      </c>
      <c r="F2739">
        <v>3838</v>
      </c>
      <c r="G2739">
        <v>2</v>
      </c>
      <c r="H2739">
        <v>2</v>
      </c>
      <c r="I2739">
        <v>1954</v>
      </c>
      <c r="J2739">
        <v>1</v>
      </c>
      <c r="K2739">
        <v>0</v>
      </c>
      <c r="L2739">
        <v>0</v>
      </c>
      <c r="M2739">
        <v>8</v>
      </c>
      <c r="N2739" t="s">
        <v>37</v>
      </c>
      <c r="O2739" t="s">
        <v>32</v>
      </c>
      <c r="P2739">
        <v>4.0043031312973101</v>
      </c>
      <c r="Q2739">
        <v>0.65517009596987597</v>
      </c>
      <c r="R2739">
        <v>0.242349898969759</v>
      </c>
      <c r="S2739">
        <v>26</v>
      </c>
      <c r="T2739">
        <v>75</v>
      </c>
      <c r="U2739">
        <v>769.40695041121398</v>
      </c>
      <c r="V2739">
        <v>2.0844189682126101E-3</v>
      </c>
      <c r="W2739">
        <v>3115323.76808509</v>
      </c>
      <c r="X2739" t="s">
        <v>28</v>
      </c>
      <c r="Y2739">
        <f>1-370-476-5300</f>
        <v>-6145</v>
      </c>
    </row>
    <row r="2740" spans="1:25" x14ac:dyDescent="0.35">
      <c r="A2740">
        <v>36.722578604530703</v>
      </c>
      <c r="B2740">
        <v>-120.845766111145</v>
      </c>
      <c r="C2740" t="s">
        <v>34</v>
      </c>
      <c r="D2740">
        <v>35.821211638409999</v>
      </c>
      <c r="E2740">
        <v>9</v>
      </c>
      <c r="F2740">
        <v>2335</v>
      </c>
      <c r="G2740">
        <v>3</v>
      </c>
      <c r="H2740">
        <v>3</v>
      </c>
      <c r="I2740">
        <v>1959</v>
      </c>
      <c r="J2740">
        <v>1</v>
      </c>
      <c r="K2740">
        <v>0</v>
      </c>
      <c r="L2740">
        <v>0</v>
      </c>
      <c r="M2740">
        <v>8</v>
      </c>
      <c r="N2740" t="s">
        <v>35</v>
      </c>
      <c r="O2740" t="s">
        <v>30</v>
      </c>
      <c r="P2740">
        <v>4.4625460397790304</v>
      </c>
      <c r="Q2740">
        <v>1.79639445982458</v>
      </c>
      <c r="R2740">
        <v>5.3114979643568301</v>
      </c>
      <c r="S2740">
        <v>179</v>
      </c>
      <c r="T2740">
        <v>72</v>
      </c>
      <c r="U2740">
        <v>510.49809320589799</v>
      </c>
      <c r="V2740">
        <v>3.4261241970021399E-3</v>
      </c>
      <c r="W2740">
        <v>1363491.5106527701</v>
      </c>
      <c r="X2740" t="s">
        <v>31</v>
      </c>
      <c r="Y2740">
        <f>1-534-563-2565</f>
        <v>-3661</v>
      </c>
    </row>
    <row r="2741" spans="1:25" x14ac:dyDescent="0.35">
      <c r="A2741">
        <v>37.425557332594202</v>
      </c>
      <c r="B2741">
        <v>-117.059528404975</v>
      </c>
      <c r="C2741" t="s">
        <v>25</v>
      </c>
      <c r="D2741">
        <v>11.2013396696873</v>
      </c>
      <c r="E2741">
        <v>6</v>
      </c>
      <c r="F2741">
        <v>1209</v>
      </c>
      <c r="G2741">
        <v>5</v>
      </c>
      <c r="H2741">
        <v>3</v>
      </c>
      <c r="I2741">
        <v>2007</v>
      </c>
      <c r="J2741">
        <v>1</v>
      </c>
      <c r="K2741">
        <v>1</v>
      </c>
      <c r="L2741">
        <v>1</v>
      </c>
      <c r="M2741">
        <v>6</v>
      </c>
      <c r="N2741" t="s">
        <v>37</v>
      </c>
      <c r="O2741" t="s">
        <v>27</v>
      </c>
      <c r="P2741">
        <v>10.562265877229899</v>
      </c>
      <c r="Q2741">
        <v>1.9678639114173599</v>
      </c>
      <c r="R2741">
        <v>8.9402222303592005</v>
      </c>
      <c r="S2741">
        <v>107</v>
      </c>
      <c r="T2741">
        <v>46</v>
      </c>
      <c r="U2741">
        <v>733.10810770283194</v>
      </c>
      <c r="V2741">
        <v>4.96277915632754E-3</v>
      </c>
      <c r="W2741">
        <v>1481228.83246359</v>
      </c>
      <c r="X2741" t="s">
        <v>43</v>
      </c>
      <c r="Y2741">
        <f>1-463-804-9026</f>
        <v>-10292</v>
      </c>
    </row>
    <row r="2742" spans="1:25" x14ac:dyDescent="0.35">
      <c r="A2742">
        <v>33.2481096689014</v>
      </c>
      <c r="B2742">
        <v>-119.895965998148</v>
      </c>
      <c r="C2742" t="s">
        <v>34</v>
      </c>
      <c r="D2742">
        <v>37.871119690314998</v>
      </c>
      <c r="E2742">
        <v>3</v>
      </c>
      <c r="F2742">
        <v>3907</v>
      </c>
      <c r="G2742">
        <v>3</v>
      </c>
      <c r="H2742">
        <v>2</v>
      </c>
      <c r="I2742">
        <v>1956</v>
      </c>
      <c r="J2742">
        <v>0</v>
      </c>
      <c r="K2742">
        <v>1</v>
      </c>
      <c r="L2742">
        <v>0</v>
      </c>
      <c r="M2742">
        <v>4</v>
      </c>
      <c r="N2742" t="s">
        <v>41</v>
      </c>
      <c r="O2742" t="s">
        <v>27</v>
      </c>
      <c r="P2742">
        <v>11.4312435289124</v>
      </c>
      <c r="Q2742">
        <v>1.9253991726192501</v>
      </c>
      <c r="R2742">
        <v>4.8266968512457096</v>
      </c>
      <c r="S2742">
        <v>107</v>
      </c>
      <c r="T2742">
        <v>21</v>
      </c>
      <c r="U2742">
        <v>427.392149032313</v>
      </c>
      <c r="V2742">
        <v>1.02380342974148E-3</v>
      </c>
      <c r="W2742">
        <v>2031238.8589586499</v>
      </c>
      <c r="X2742" t="s">
        <v>44</v>
      </c>
      <c r="Y2742">
        <f>1-468-812-1035</f>
        <v>-2314</v>
      </c>
    </row>
    <row r="2743" spans="1:25" x14ac:dyDescent="0.35">
      <c r="A2743">
        <v>32.752717231047903</v>
      </c>
      <c r="B2743">
        <v>-114.64500494337101</v>
      </c>
      <c r="C2743" t="s">
        <v>25</v>
      </c>
      <c r="D2743">
        <v>37.1149201852676</v>
      </c>
      <c r="E2743">
        <v>8</v>
      </c>
      <c r="F2743">
        <v>3514</v>
      </c>
      <c r="G2743">
        <v>1</v>
      </c>
      <c r="H2743">
        <v>1</v>
      </c>
      <c r="I2743">
        <v>1967</v>
      </c>
      <c r="J2743">
        <v>0</v>
      </c>
      <c r="K2743">
        <v>1</v>
      </c>
      <c r="L2743">
        <v>0</v>
      </c>
      <c r="M2743">
        <v>14</v>
      </c>
      <c r="N2743" t="s">
        <v>41</v>
      </c>
      <c r="O2743" t="s">
        <v>27</v>
      </c>
      <c r="P2743">
        <v>13.335148821233499</v>
      </c>
      <c r="Q2743">
        <v>2.4120519283005901</v>
      </c>
      <c r="R2743">
        <v>2.00823615786083E-2</v>
      </c>
      <c r="S2743">
        <v>53</v>
      </c>
      <c r="T2743">
        <v>63</v>
      </c>
      <c r="U2743">
        <v>528.62623950301997</v>
      </c>
      <c r="V2743">
        <v>3.9840637450199202E-3</v>
      </c>
      <c r="W2743">
        <v>2105471.2697331598</v>
      </c>
      <c r="X2743" t="s">
        <v>42</v>
      </c>
      <c r="Y2743">
        <f>1-303-978-6399</f>
        <v>-7679</v>
      </c>
    </row>
    <row r="2744" spans="1:25" x14ac:dyDescent="0.35">
      <c r="A2744">
        <v>38.917913468518996</v>
      </c>
      <c r="B2744">
        <v>-119.902302188769</v>
      </c>
      <c r="C2744" t="s">
        <v>29</v>
      </c>
      <c r="D2744">
        <v>32.155990274635101</v>
      </c>
      <c r="E2744">
        <v>4</v>
      </c>
      <c r="F2744">
        <v>884</v>
      </c>
      <c r="G2744">
        <v>3</v>
      </c>
      <c r="H2744">
        <v>2</v>
      </c>
      <c r="I2744">
        <v>2011</v>
      </c>
      <c r="J2744">
        <v>1</v>
      </c>
      <c r="K2744">
        <v>0</v>
      </c>
      <c r="L2744">
        <v>1</v>
      </c>
      <c r="M2744">
        <v>13</v>
      </c>
      <c r="N2744" t="s">
        <v>26</v>
      </c>
      <c r="O2744" t="s">
        <v>30</v>
      </c>
      <c r="P2744">
        <v>12.091306181777099</v>
      </c>
      <c r="Q2744">
        <v>1.9558182995543201</v>
      </c>
      <c r="R2744">
        <v>1.81692713052035</v>
      </c>
      <c r="S2744">
        <v>124</v>
      </c>
      <c r="T2744">
        <v>42</v>
      </c>
      <c r="U2744">
        <v>743.44927514140295</v>
      </c>
      <c r="V2744">
        <v>1.47058823529411E-2</v>
      </c>
      <c r="W2744">
        <v>1014674.2796559</v>
      </c>
      <c r="X2744" t="s">
        <v>31</v>
      </c>
      <c r="Y2744">
        <f>1-309-195-4517</f>
        <v>-5020</v>
      </c>
    </row>
    <row r="2745" spans="1:25" x14ac:dyDescent="0.35">
      <c r="A2745">
        <v>35.271689256744899</v>
      </c>
      <c r="B2745">
        <v>-117.114528759405</v>
      </c>
      <c r="C2745" t="s">
        <v>34</v>
      </c>
      <c r="D2745">
        <v>9.3677186140298598</v>
      </c>
      <c r="E2745">
        <v>0</v>
      </c>
      <c r="F2745">
        <v>959</v>
      </c>
      <c r="G2745">
        <v>2</v>
      </c>
      <c r="H2745">
        <v>3</v>
      </c>
      <c r="I2745">
        <v>1969</v>
      </c>
      <c r="J2745">
        <v>1</v>
      </c>
      <c r="K2745">
        <v>0</v>
      </c>
      <c r="L2745">
        <v>0</v>
      </c>
      <c r="M2745">
        <v>6</v>
      </c>
      <c r="N2745" t="s">
        <v>37</v>
      </c>
      <c r="O2745" t="s">
        <v>27</v>
      </c>
      <c r="P2745">
        <v>5.93052479881002</v>
      </c>
      <c r="Q2745">
        <v>2.1158735870540899</v>
      </c>
      <c r="R2745">
        <v>6.8666702311186096</v>
      </c>
      <c r="S2745">
        <v>44</v>
      </c>
      <c r="T2745">
        <v>64</v>
      </c>
      <c r="U2745">
        <v>943.52253278155399</v>
      </c>
      <c r="V2745">
        <v>6.2565172054223099E-3</v>
      </c>
      <c r="W2745">
        <v>1091866.4272106099</v>
      </c>
      <c r="X2745" t="s">
        <v>38</v>
      </c>
      <c r="Y2745">
        <f>1-640-317-5272</f>
        <v>-6228</v>
      </c>
    </row>
    <row r="2746" spans="1:25" x14ac:dyDescent="0.35">
      <c r="A2746">
        <v>37.821119833965497</v>
      </c>
      <c r="B2746">
        <v>-122.057197941309</v>
      </c>
      <c r="C2746" t="s">
        <v>25</v>
      </c>
      <c r="D2746">
        <v>46.035766648709497</v>
      </c>
      <c r="E2746">
        <v>6</v>
      </c>
      <c r="F2746">
        <v>3498</v>
      </c>
      <c r="G2746">
        <v>3</v>
      </c>
      <c r="H2746">
        <v>1</v>
      </c>
      <c r="I2746">
        <v>1976</v>
      </c>
      <c r="J2746">
        <v>0</v>
      </c>
      <c r="K2746">
        <v>0</v>
      </c>
      <c r="L2746">
        <v>0</v>
      </c>
      <c r="M2746">
        <v>13</v>
      </c>
      <c r="N2746" t="s">
        <v>26</v>
      </c>
      <c r="O2746" t="s">
        <v>27</v>
      </c>
      <c r="P2746">
        <v>5.3317388607786</v>
      </c>
      <c r="Q2746">
        <v>1.7906288070118901</v>
      </c>
      <c r="R2746">
        <v>7.68046882955184</v>
      </c>
      <c r="S2746">
        <v>169</v>
      </c>
      <c r="T2746">
        <v>70</v>
      </c>
      <c r="U2746">
        <v>945.17551486943205</v>
      </c>
      <c r="V2746">
        <v>3.7164093767867298E-3</v>
      </c>
      <c r="W2746">
        <v>3457375.4696761202</v>
      </c>
      <c r="X2746" t="s">
        <v>40</v>
      </c>
      <c r="Y2746">
        <f>1-782-231-5548</f>
        <v>-6560</v>
      </c>
    </row>
    <row r="2747" spans="1:25" x14ac:dyDescent="0.35">
      <c r="A2747">
        <v>40.287275476700202</v>
      </c>
      <c r="B2747">
        <v>-114.16805167870299</v>
      </c>
      <c r="C2747" t="s">
        <v>29</v>
      </c>
      <c r="D2747">
        <v>6.9867321856125697</v>
      </c>
      <c r="E2747">
        <v>7</v>
      </c>
      <c r="F2747">
        <v>1202</v>
      </c>
      <c r="G2747">
        <v>4</v>
      </c>
      <c r="H2747">
        <v>1</v>
      </c>
      <c r="I2747">
        <v>1977</v>
      </c>
      <c r="J2747">
        <v>0</v>
      </c>
      <c r="K2747">
        <v>1</v>
      </c>
      <c r="L2747">
        <v>1</v>
      </c>
      <c r="M2747">
        <v>11</v>
      </c>
      <c r="N2747" t="s">
        <v>26</v>
      </c>
      <c r="O2747" t="s">
        <v>32</v>
      </c>
      <c r="P2747">
        <v>11.4657329770058</v>
      </c>
      <c r="Q2747">
        <v>2.2839808402373301</v>
      </c>
      <c r="R2747">
        <v>4.8644750255501998</v>
      </c>
      <c r="S2747">
        <v>193</v>
      </c>
      <c r="T2747">
        <v>64</v>
      </c>
      <c r="U2747">
        <v>310.00408248663302</v>
      </c>
      <c r="V2747">
        <v>9.1514143094841901E-3</v>
      </c>
      <c r="W2747">
        <v>672566.91641685297</v>
      </c>
      <c r="X2747" t="s">
        <v>38</v>
      </c>
      <c r="Y2747">
        <f>1-691-966-5244</f>
        <v>-6900</v>
      </c>
    </row>
    <row r="2748" spans="1:25" x14ac:dyDescent="0.35">
      <c r="A2748">
        <v>41.855015085702597</v>
      </c>
      <c r="B2748">
        <v>-120.892357265706</v>
      </c>
      <c r="C2748" t="s">
        <v>34</v>
      </c>
      <c r="D2748">
        <v>45.509109813391902</v>
      </c>
      <c r="E2748">
        <v>3</v>
      </c>
      <c r="F2748">
        <v>1390</v>
      </c>
      <c r="G2748">
        <v>3</v>
      </c>
      <c r="H2748">
        <v>3</v>
      </c>
      <c r="I2748">
        <v>1990</v>
      </c>
      <c r="J2748">
        <v>1</v>
      </c>
      <c r="K2748">
        <v>1</v>
      </c>
      <c r="L2748">
        <v>1</v>
      </c>
      <c r="M2748">
        <v>13</v>
      </c>
      <c r="N2748" t="s">
        <v>41</v>
      </c>
      <c r="O2748" t="s">
        <v>27</v>
      </c>
      <c r="P2748">
        <v>8.5590931921488007</v>
      </c>
      <c r="Q2748">
        <v>1.4419440153515799</v>
      </c>
      <c r="R2748">
        <v>2.51109901093331</v>
      </c>
      <c r="S2748">
        <v>114</v>
      </c>
      <c r="T2748">
        <v>47</v>
      </c>
      <c r="U2748">
        <v>915.98690118957995</v>
      </c>
      <c r="V2748">
        <v>9.3525179856115102E-3</v>
      </c>
      <c r="W2748">
        <v>1706037.5671540799</v>
      </c>
      <c r="X2748" t="s">
        <v>36</v>
      </c>
      <c r="Y2748">
        <f>1-439-672-4404</f>
        <v>-5514</v>
      </c>
    </row>
    <row r="2749" spans="1:25" x14ac:dyDescent="0.35">
      <c r="A2749">
        <v>34.574849821397898</v>
      </c>
      <c r="B2749">
        <v>-124.297482470053</v>
      </c>
      <c r="C2749" t="s">
        <v>25</v>
      </c>
      <c r="D2749">
        <v>2.3663447335371499</v>
      </c>
      <c r="E2749">
        <v>6</v>
      </c>
      <c r="F2749">
        <v>4846</v>
      </c>
      <c r="G2749">
        <v>1</v>
      </c>
      <c r="H2749">
        <v>2</v>
      </c>
      <c r="I2749">
        <v>1992</v>
      </c>
      <c r="J2749">
        <v>1</v>
      </c>
      <c r="K2749">
        <v>1</v>
      </c>
      <c r="L2749">
        <v>0</v>
      </c>
      <c r="M2749">
        <v>6</v>
      </c>
      <c r="N2749" t="s">
        <v>26</v>
      </c>
      <c r="O2749" t="s">
        <v>27</v>
      </c>
      <c r="P2749">
        <v>7.3964550409888998</v>
      </c>
      <c r="Q2749">
        <v>1.61102628746708</v>
      </c>
      <c r="R2749">
        <v>1.06172435697657</v>
      </c>
      <c r="S2749">
        <v>91</v>
      </c>
      <c r="T2749">
        <v>42</v>
      </c>
      <c r="U2749">
        <v>658.66726290306099</v>
      </c>
      <c r="V2749">
        <v>1.2381345439537699E-3</v>
      </c>
      <c r="W2749">
        <v>3473839.5489408802</v>
      </c>
      <c r="X2749" t="s">
        <v>39</v>
      </c>
      <c r="Y2749">
        <f>1-563-101-2538</f>
        <v>-3201</v>
      </c>
    </row>
    <row r="2750" spans="1:25" x14ac:dyDescent="0.35">
      <c r="A2750">
        <v>38.494742681774603</v>
      </c>
      <c r="B2750">
        <v>-121.90977261514099</v>
      </c>
      <c r="C2750" t="s">
        <v>25</v>
      </c>
      <c r="D2750">
        <v>9.6437449095896906</v>
      </c>
      <c r="E2750">
        <v>8</v>
      </c>
      <c r="F2750">
        <v>3178</v>
      </c>
      <c r="G2750">
        <v>4</v>
      </c>
      <c r="H2750">
        <v>1</v>
      </c>
      <c r="I2750">
        <v>1973</v>
      </c>
      <c r="J2750">
        <v>0</v>
      </c>
      <c r="K2750">
        <v>0</v>
      </c>
      <c r="L2750">
        <v>0</v>
      </c>
      <c r="M2750">
        <v>7</v>
      </c>
      <c r="N2750" t="s">
        <v>26</v>
      </c>
      <c r="O2750" t="s">
        <v>30</v>
      </c>
      <c r="P2750">
        <v>7.9878321231610201</v>
      </c>
      <c r="Q2750">
        <v>0.70366045362347096</v>
      </c>
      <c r="R2750">
        <v>9.7624987225209896</v>
      </c>
      <c r="S2750">
        <v>19</v>
      </c>
      <c r="T2750">
        <v>49</v>
      </c>
      <c r="U2750">
        <v>633.29583301604998</v>
      </c>
      <c r="V2750">
        <v>2.2026431718061598E-3</v>
      </c>
      <c r="W2750">
        <v>2219205.1353643099</v>
      </c>
      <c r="X2750" t="s">
        <v>28</v>
      </c>
      <c r="Y2750">
        <f>1-255-676-8517</f>
        <v>-9447</v>
      </c>
    </row>
    <row r="2751" spans="1:25" x14ac:dyDescent="0.35">
      <c r="A2751">
        <v>32.968859372611099</v>
      </c>
      <c r="B2751">
        <v>-124.1897378665</v>
      </c>
      <c r="C2751" t="s">
        <v>34</v>
      </c>
      <c r="D2751">
        <v>21.450322941356099</v>
      </c>
      <c r="E2751">
        <v>8</v>
      </c>
      <c r="F2751">
        <v>4007</v>
      </c>
      <c r="G2751">
        <v>3</v>
      </c>
      <c r="H2751">
        <v>2</v>
      </c>
      <c r="I2751">
        <v>2021</v>
      </c>
      <c r="J2751">
        <v>1</v>
      </c>
      <c r="K2751">
        <v>0</v>
      </c>
      <c r="L2751">
        <v>1</v>
      </c>
      <c r="M2751">
        <v>11</v>
      </c>
      <c r="N2751" t="s">
        <v>41</v>
      </c>
      <c r="O2751" t="s">
        <v>27</v>
      </c>
      <c r="P2751">
        <v>6.8291572273485102</v>
      </c>
      <c r="Q2751">
        <v>0.57201294524290702</v>
      </c>
      <c r="R2751">
        <v>9.9778941937836994</v>
      </c>
      <c r="S2751">
        <v>139</v>
      </c>
      <c r="T2751">
        <v>35</v>
      </c>
      <c r="U2751">
        <v>449.47043617211102</v>
      </c>
      <c r="V2751">
        <v>2.7451959071624599E-3</v>
      </c>
      <c r="W2751">
        <v>2145889.57502962</v>
      </c>
      <c r="X2751" t="s">
        <v>44</v>
      </c>
      <c r="Y2751">
        <f>1-320-259-7298</f>
        <v>-7876</v>
      </c>
    </row>
    <row r="2752" spans="1:25" x14ac:dyDescent="0.35">
      <c r="A2752">
        <v>40.424529911229797</v>
      </c>
      <c r="B2752">
        <v>-117.709328091307</v>
      </c>
      <c r="C2752" t="s">
        <v>25</v>
      </c>
      <c r="D2752">
        <v>36.973487624752202</v>
      </c>
      <c r="E2752">
        <v>6</v>
      </c>
      <c r="F2752">
        <v>1983</v>
      </c>
      <c r="G2752">
        <v>5</v>
      </c>
      <c r="H2752">
        <v>3</v>
      </c>
      <c r="I2752">
        <v>2017</v>
      </c>
      <c r="J2752">
        <v>1</v>
      </c>
      <c r="K2752">
        <v>0</v>
      </c>
      <c r="L2752">
        <v>0</v>
      </c>
      <c r="M2752">
        <v>8</v>
      </c>
      <c r="N2752" t="s">
        <v>35</v>
      </c>
      <c r="O2752" t="s">
        <v>30</v>
      </c>
      <c r="P2752">
        <v>6.8407470010517999</v>
      </c>
      <c r="Q2752">
        <v>0.53859422245160604</v>
      </c>
      <c r="R2752">
        <v>9.0588164354651095</v>
      </c>
      <c r="S2752">
        <v>190</v>
      </c>
      <c r="T2752">
        <v>71</v>
      </c>
      <c r="U2752">
        <v>775.51826906432802</v>
      </c>
      <c r="V2752">
        <v>4.0342914775592497E-3</v>
      </c>
      <c r="W2752">
        <v>1987262.80760486</v>
      </c>
      <c r="X2752" t="s">
        <v>36</v>
      </c>
      <c r="Y2752">
        <f>1-328-840-2586</f>
        <v>-3753</v>
      </c>
    </row>
    <row r="2753" spans="1:25" x14ac:dyDescent="0.35">
      <c r="A2753">
        <v>39.0197824399431</v>
      </c>
      <c r="B2753">
        <v>-118.342496806059</v>
      </c>
      <c r="C2753" t="s">
        <v>34</v>
      </c>
      <c r="D2753">
        <v>21.8241735771782</v>
      </c>
      <c r="E2753">
        <v>6</v>
      </c>
      <c r="F2753">
        <v>2224</v>
      </c>
      <c r="G2753">
        <v>1</v>
      </c>
      <c r="H2753">
        <v>3</v>
      </c>
      <c r="I2753">
        <v>1959</v>
      </c>
      <c r="J2753">
        <v>1</v>
      </c>
      <c r="K2753">
        <v>0</v>
      </c>
      <c r="L2753">
        <v>0</v>
      </c>
      <c r="M2753">
        <v>7</v>
      </c>
      <c r="N2753" t="s">
        <v>37</v>
      </c>
      <c r="O2753" t="s">
        <v>30</v>
      </c>
      <c r="P2753">
        <v>11.4165271411507</v>
      </c>
      <c r="Q2753">
        <v>2.1079980588731799</v>
      </c>
      <c r="R2753">
        <v>5.3450933792543696</v>
      </c>
      <c r="S2753">
        <v>107</v>
      </c>
      <c r="T2753">
        <v>71</v>
      </c>
      <c r="U2753">
        <v>236.246586477573</v>
      </c>
      <c r="V2753">
        <v>3.14748201438848E-3</v>
      </c>
      <c r="W2753">
        <v>641246.19921850099</v>
      </c>
      <c r="X2753" t="s">
        <v>43</v>
      </c>
      <c r="Y2753">
        <f>1-412-206-8960</f>
        <v>-9577</v>
      </c>
    </row>
    <row r="2754" spans="1:25" x14ac:dyDescent="0.35">
      <c r="A2754">
        <v>41.751080049497197</v>
      </c>
      <c r="B2754">
        <v>-117.340204181296</v>
      </c>
      <c r="C2754" t="s">
        <v>25</v>
      </c>
      <c r="D2754">
        <v>36.945563426362497</v>
      </c>
      <c r="E2754">
        <v>3</v>
      </c>
      <c r="F2754">
        <v>2869</v>
      </c>
      <c r="G2754">
        <v>4</v>
      </c>
      <c r="H2754">
        <v>2</v>
      </c>
      <c r="I2754">
        <v>1983</v>
      </c>
      <c r="J2754">
        <v>0</v>
      </c>
      <c r="K2754">
        <v>0</v>
      </c>
      <c r="L2754">
        <v>0</v>
      </c>
      <c r="M2754">
        <v>11</v>
      </c>
      <c r="N2754" t="s">
        <v>37</v>
      </c>
      <c r="O2754" t="s">
        <v>32</v>
      </c>
      <c r="P2754">
        <v>4.4652916072896902</v>
      </c>
      <c r="Q2754">
        <v>1.46996765552653</v>
      </c>
      <c r="R2754">
        <v>1.9339343340772801</v>
      </c>
      <c r="S2754">
        <v>130</v>
      </c>
      <c r="T2754">
        <v>67</v>
      </c>
      <c r="U2754">
        <v>413.75457458324399</v>
      </c>
      <c r="V2754">
        <v>3.8340885325897499E-3</v>
      </c>
      <c r="W2754">
        <v>1381847.7781251201</v>
      </c>
      <c r="X2754" t="s">
        <v>36</v>
      </c>
      <c r="Y2754">
        <f>1-854-414-4807</f>
        <v>-6074</v>
      </c>
    </row>
    <row r="2755" spans="1:25" x14ac:dyDescent="0.35">
      <c r="A2755">
        <v>34.679345826553401</v>
      </c>
      <c r="B2755">
        <v>-118.278002339604</v>
      </c>
      <c r="C2755" t="s">
        <v>29</v>
      </c>
      <c r="D2755">
        <v>47.3080285027537</v>
      </c>
      <c r="E2755">
        <v>5</v>
      </c>
      <c r="F2755">
        <v>731</v>
      </c>
      <c r="G2755">
        <v>3</v>
      </c>
      <c r="H2755">
        <v>3</v>
      </c>
      <c r="I2755">
        <v>2006</v>
      </c>
      <c r="J2755">
        <v>1</v>
      </c>
      <c r="K2755">
        <v>0</v>
      </c>
      <c r="L2755">
        <v>1</v>
      </c>
      <c r="M2755">
        <v>11</v>
      </c>
      <c r="N2755" t="s">
        <v>37</v>
      </c>
      <c r="O2755" t="s">
        <v>27</v>
      </c>
      <c r="P2755">
        <v>9.7764827509824599</v>
      </c>
      <c r="Q2755">
        <v>2.3339268773189898</v>
      </c>
      <c r="R2755">
        <v>4.4100530932163998E-2</v>
      </c>
      <c r="S2755">
        <v>117</v>
      </c>
      <c r="T2755">
        <v>66</v>
      </c>
      <c r="U2755">
        <v>388.35778589064699</v>
      </c>
      <c r="V2755">
        <v>1.5047879616963E-2</v>
      </c>
      <c r="W2755">
        <v>633803.982186376</v>
      </c>
      <c r="X2755" t="s">
        <v>36</v>
      </c>
      <c r="Y2755">
        <f>1-625-697-3132</f>
        <v>-4453</v>
      </c>
    </row>
    <row r="2756" spans="1:25" x14ac:dyDescent="0.35">
      <c r="A2756">
        <v>41.1935055600133</v>
      </c>
      <c r="B2756">
        <v>-116.500586495029</v>
      </c>
      <c r="C2756" t="s">
        <v>34</v>
      </c>
      <c r="D2756">
        <v>46.712864920414503</v>
      </c>
      <c r="E2756">
        <v>5</v>
      </c>
      <c r="F2756">
        <v>3370</v>
      </c>
      <c r="G2756">
        <v>4</v>
      </c>
      <c r="H2756">
        <v>3</v>
      </c>
      <c r="I2756">
        <v>1952</v>
      </c>
      <c r="J2756">
        <v>0</v>
      </c>
      <c r="K2756">
        <v>1</v>
      </c>
      <c r="L2756">
        <v>0</v>
      </c>
      <c r="M2756">
        <v>14</v>
      </c>
      <c r="N2756" t="s">
        <v>26</v>
      </c>
      <c r="O2756" t="s">
        <v>30</v>
      </c>
      <c r="P2756">
        <v>8.0760431870603995</v>
      </c>
      <c r="Q2756">
        <v>2.1937157178791602</v>
      </c>
      <c r="R2756">
        <v>6.6494655152119</v>
      </c>
      <c r="S2756">
        <v>3</v>
      </c>
      <c r="T2756">
        <v>39</v>
      </c>
      <c r="U2756">
        <v>267.59534993168899</v>
      </c>
      <c r="V2756">
        <v>4.1543026706231398E-3</v>
      </c>
      <c r="W2756">
        <v>1234518.9126160101</v>
      </c>
      <c r="X2756" t="s">
        <v>36</v>
      </c>
      <c r="Y2756">
        <f>1-432-876-4623</f>
        <v>-5930</v>
      </c>
    </row>
    <row r="2757" spans="1:25" x14ac:dyDescent="0.35">
      <c r="A2757">
        <v>35.619802427611802</v>
      </c>
      <c r="B2757">
        <v>-120.425324810994</v>
      </c>
      <c r="C2757" t="s">
        <v>34</v>
      </c>
      <c r="D2757">
        <v>43.073617052162703</v>
      </c>
      <c r="E2757">
        <v>1</v>
      </c>
      <c r="F2757">
        <v>3812</v>
      </c>
      <c r="G2757">
        <v>5</v>
      </c>
      <c r="H2757">
        <v>3</v>
      </c>
      <c r="I2757">
        <v>2016</v>
      </c>
      <c r="J2757">
        <v>0</v>
      </c>
      <c r="K2757">
        <v>1</v>
      </c>
      <c r="L2757">
        <v>1</v>
      </c>
      <c r="M2757">
        <v>10</v>
      </c>
      <c r="N2757" t="s">
        <v>35</v>
      </c>
      <c r="O2757" t="s">
        <v>27</v>
      </c>
      <c r="P2757">
        <v>5.2393296686214397</v>
      </c>
      <c r="Q2757">
        <v>0.856885723281963</v>
      </c>
      <c r="R2757">
        <v>2.8580523563620601</v>
      </c>
      <c r="S2757">
        <v>182</v>
      </c>
      <c r="T2757">
        <v>27</v>
      </c>
      <c r="U2757">
        <v>373.81830479821099</v>
      </c>
      <c r="V2757">
        <v>2.6232948583420701E-3</v>
      </c>
      <c r="W2757">
        <v>1881188.8337900101</v>
      </c>
      <c r="X2757" t="s">
        <v>33</v>
      </c>
      <c r="Y2757">
        <f>1-320-351-7444</f>
        <v>-8114</v>
      </c>
    </row>
    <row r="2758" spans="1:25" x14ac:dyDescent="0.35">
      <c r="A2758">
        <v>36.787347063197998</v>
      </c>
      <c r="B2758">
        <v>-120.304408729169</v>
      </c>
      <c r="C2758" t="s">
        <v>25</v>
      </c>
      <c r="D2758">
        <v>42.815008054301103</v>
      </c>
      <c r="E2758">
        <v>1</v>
      </c>
      <c r="F2758">
        <v>4565</v>
      </c>
      <c r="G2758">
        <v>1</v>
      </c>
      <c r="H2758">
        <v>3</v>
      </c>
      <c r="I2758">
        <v>1995</v>
      </c>
      <c r="J2758">
        <v>1</v>
      </c>
      <c r="K2758">
        <v>0</v>
      </c>
      <c r="L2758">
        <v>0</v>
      </c>
      <c r="M2758">
        <v>2</v>
      </c>
      <c r="N2758" t="s">
        <v>37</v>
      </c>
      <c r="O2758" t="s">
        <v>32</v>
      </c>
      <c r="P2758">
        <v>4.2027686626678902</v>
      </c>
      <c r="Q2758">
        <v>0.64843003256185106</v>
      </c>
      <c r="R2758">
        <v>1.0208578236030801</v>
      </c>
      <c r="S2758">
        <v>172</v>
      </c>
      <c r="T2758">
        <v>25</v>
      </c>
      <c r="U2758">
        <v>359.86662293862298</v>
      </c>
      <c r="V2758">
        <v>4.3811610076670298E-4</v>
      </c>
      <c r="W2758">
        <v>1702169.0537378199</v>
      </c>
      <c r="X2758" t="s">
        <v>43</v>
      </c>
      <c r="Y2758">
        <f>1-533-713-8264</f>
        <v>-9509</v>
      </c>
    </row>
    <row r="2759" spans="1:25" x14ac:dyDescent="0.35">
      <c r="A2759">
        <v>41.226636724577403</v>
      </c>
      <c r="B2759">
        <v>-123.01918940310399</v>
      </c>
      <c r="C2759" t="s">
        <v>25</v>
      </c>
      <c r="D2759">
        <v>38.980987460322197</v>
      </c>
      <c r="E2759">
        <v>2</v>
      </c>
      <c r="F2759">
        <v>4068</v>
      </c>
      <c r="G2759">
        <v>5</v>
      </c>
      <c r="H2759">
        <v>3</v>
      </c>
      <c r="I2759">
        <v>1982</v>
      </c>
      <c r="J2759">
        <v>1</v>
      </c>
      <c r="K2759">
        <v>0</v>
      </c>
      <c r="L2759">
        <v>0</v>
      </c>
      <c r="M2759">
        <v>8</v>
      </c>
      <c r="N2759" t="s">
        <v>26</v>
      </c>
      <c r="O2759" t="s">
        <v>32</v>
      </c>
      <c r="P2759">
        <v>5.3647574772904596</v>
      </c>
      <c r="Q2759">
        <v>0.78060570538547502</v>
      </c>
      <c r="R2759">
        <v>9.58097372537528</v>
      </c>
      <c r="S2759">
        <v>55</v>
      </c>
      <c r="T2759">
        <v>23</v>
      </c>
      <c r="U2759">
        <v>914.04256581645996</v>
      </c>
      <c r="V2759">
        <v>1.96656833824975E-3</v>
      </c>
      <c r="W2759">
        <v>4114044.3223946998</v>
      </c>
      <c r="X2759" t="s">
        <v>39</v>
      </c>
      <c r="Y2759">
        <f>1-388-166-2603</f>
        <v>-3156</v>
      </c>
    </row>
    <row r="2760" spans="1:25" x14ac:dyDescent="0.35">
      <c r="A2760">
        <v>38.488668708639501</v>
      </c>
      <c r="B2760">
        <v>-118.939006803094</v>
      </c>
      <c r="C2760" t="s">
        <v>25</v>
      </c>
      <c r="D2760">
        <v>14.4581880768511</v>
      </c>
      <c r="E2760">
        <v>1</v>
      </c>
      <c r="F2760">
        <v>3906</v>
      </c>
      <c r="G2760">
        <v>2</v>
      </c>
      <c r="H2760">
        <v>3</v>
      </c>
      <c r="I2760">
        <v>1993</v>
      </c>
      <c r="J2760">
        <v>0</v>
      </c>
      <c r="K2760">
        <v>0</v>
      </c>
      <c r="L2760">
        <v>1</v>
      </c>
      <c r="M2760">
        <v>9</v>
      </c>
      <c r="N2760" t="s">
        <v>35</v>
      </c>
      <c r="O2760" t="s">
        <v>32</v>
      </c>
      <c r="P2760">
        <v>10.5027534457102</v>
      </c>
      <c r="Q2760">
        <v>1.96274604644909</v>
      </c>
      <c r="R2760">
        <v>9.41200678832009</v>
      </c>
      <c r="S2760">
        <v>189</v>
      </c>
      <c r="T2760">
        <v>58</v>
      </c>
      <c r="U2760">
        <v>296.53443951119101</v>
      </c>
      <c r="V2760">
        <v>2.3041474654377802E-3</v>
      </c>
      <c r="W2760">
        <v>1380415.43266326</v>
      </c>
      <c r="X2760" t="s">
        <v>31</v>
      </c>
      <c r="Y2760">
        <f>1-228-470-7602</f>
        <v>-8299</v>
      </c>
    </row>
    <row r="2761" spans="1:25" x14ac:dyDescent="0.35">
      <c r="A2761">
        <v>35.080202016403703</v>
      </c>
      <c r="B2761">
        <v>-123.329208280917</v>
      </c>
      <c r="C2761" t="s">
        <v>34</v>
      </c>
      <c r="D2761">
        <v>24.707049482615801</v>
      </c>
      <c r="E2761">
        <v>4</v>
      </c>
      <c r="F2761">
        <v>2036</v>
      </c>
      <c r="G2761">
        <v>1</v>
      </c>
      <c r="H2761">
        <v>3</v>
      </c>
      <c r="I2761">
        <v>2020</v>
      </c>
      <c r="J2761">
        <v>0</v>
      </c>
      <c r="K2761">
        <v>1</v>
      </c>
      <c r="L2761">
        <v>1</v>
      </c>
      <c r="M2761">
        <v>10</v>
      </c>
      <c r="N2761" t="s">
        <v>37</v>
      </c>
      <c r="O2761" t="s">
        <v>32</v>
      </c>
      <c r="P2761">
        <v>9.0878164601636406</v>
      </c>
      <c r="Q2761">
        <v>2.0354112584695701</v>
      </c>
      <c r="R2761">
        <v>2.3509539251898302</v>
      </c>
      <c r="S2761">
        <v>50</v>
      </c>
      <c r="T2761">
        <v>54</v>
      </c>
      <c r="U2761">
        <v>315.01343006857201</v>
      </c>
      <c r="V2761">
        <v>4.9115913555992097E-3</v>
      </c>
      <c r="W2761">
        <v>966867.34436067205</v>
      </c>
      <c r="X2761" t="s">
        <v>43</v>
      </c>
      <c r="Y2761">
        <f>1-918-430-5551</f>
        <v>-6898</v>
      </c>
    </row>
    <row r="2762" spans="1:25" x14ac:dyDescent="0.35">
      <c r="A2762">
        <v>34.643390427681602</v>
      </c>
      <c r="B2762">
        <v>-115.469482427519</v>
      </c>
      <c r="C2762" t="s">
        <v>29</v>
      </c>
      <c r="D2762">
        <v>41.088115340393102</v>
      </c>
      <c r="E2762">
        <v>8</v>
      </c>
      <c r="F2762">
        <v>3602</v>
      </c>
      <c r="G2762">
        <v>1</v>
      </c>
      <c r="H2762">
        <v>2</v>
      </c>
      <c r="I2762">
        <v>2016</v>
      </c>
      <c r="J2762">
        <v>0</v>
      </c>
      <c r="K2762">
        <v>0</v>
      </c>
      <c r="L2762">
        <v>0</v>
      </c>
      <c r="M2762">
        <v>12</v>
      </c>
      <c r="N2762" t="s">
        <v>35</v>
      </c>
      <c r="O2762" t="s">
        <v>30</v>
      </c>
      <c r="P2762">
        <v>6.5736684232663096</v>
      </c>
      <c r="Q2762">
        <v>1.4651780622024799</v>
      </c>
      <c r="R2762">
        <v>9.0390517451728307</v>
      </c>
      <c r="S2762">
        <v>196</v>
      </c>
      <c r="T2762">
        <v>61</v>
      </c>
      <c r="U2762">
        <v>206.215217315231</v>
      </c>
      <c r="V2762">
        <v>3.3314825097168202E-3</v>
      </c>
      <c r="W2762">
        <v>783438.860764549</v>
      </c>
      <c r="X2762" t="s">
        <v>31</v>
      </c>
      <c r="Y2762">
        <f>1-201-996-6030</f>
        <v>-7226</v>
      </c>
    </row>
    <row r="2763" spans="1:25" x14ac:dyDescent="0.35">
      <c r="A2763">
        <v>39.513031365512497</v>
      </c>
      <c r="B2763">
        <v>-121.47445341179299</v>
      </c>
      <c r="C2763" t="s">
        <v>29</v>
      </c>
      <c r="D2763">
        <v>29.449203270280901</v>
      </c>
      <c r="E2763">
        <v>6</v>
      </c>
      <c r="F2763">
        <v>1168</v>
      </c>
      <c r="G2763">
        <v>1</v>
      </c>
      <c r="H2763">
        <v>2</v>
      </c>
      <c r="I2763">
        <v>1987</v>
      </c>
      <c r="J2763">
        <v>1</v>
      </c>
      <c r="K2763">
        <v>1</v>
      </c>
      <c r="L2763">
        <v>1</v>
      </c>
      <c r="M2763">
        <v>13</v>
      </c>
      <c r="N2763" t="s">
        <v>41</v>
      </c>
      <c r="O2763" t="s">
        <v>27</v>
      </c>
      <c r="P2763">
        <v>8.8199206865797901</v>
      </c>
      <c r="Q2763">
        <v>1.40576102235373</v>
      </c>
      <c r="R2763">
        <v>4.3026870590655601</v>
      </c>
      <c r="S2763">
        <v>197</v>
      </c>
      <c r="T2763">
        <v>41</v>
      </c>
      <c r="U2763">
        <v>937.935393728284</v>
      </c>
      <c r="V2763">
        <v>1.11301369863013E-2</v>
      </c>
      <c r="W2763">
        <v>1389866.98534303</v>
      </c>
      <c r="X2763" t="s">
        <v>31</v>
      </c>
      <c r="Y2763">
        <f>1-867-817-7761</f>
        <v>-9444</v>
      </c>
    </row>
    <row r="2764" spans="1:25" x14ac:dyDescent="0.35">
      <c r="A2764">
        <v>41.5616556524703</v>
      </c>
      <c r="B2764">
        <v>-121.21559328325399</v>
      </c>
      <c r="C2764" t="s">
        <v>34</v>
      </c>
      <c r="D2764">
        <v>20.438195648645198</v>
      </c>
      <c r="E2764">
        <v>8</v>
      </c>
      <c r="F2764">
        <v>1297</v>
      </c>
      <c r="G2764">
        <v>2</v>
      </c>
      <c r="H2764">
        <v>3</v>
      </c>
      <c r="I2764">
        <v>1979</v>
      </c>
      <c r="J2764">
        <v>1</v>
      </c>
      <c r="K2764">
        <v>1</v>
      </c>
      <c r="L2764">
        <v>1</v>
      </c>
      <c r="M2764">
        <v>14</v>
      </c>
      <c r="N2764" t="s">
        <v>37</v>
      </c>
      <c r="O2764" t="s">
        <v>30</v>
      </c>
      <c r="P2764">
        <v>6.0453468129055699</v>
      </c>
      <c r="Q2764">
        <v>2.38201362527515</v>
      </c>
      <c r="R2764">
        <v>0.92523746380596195</v>
      </c>
      <c r="S2764">
        <v>128</v>
      </c>
      <c r="T2764">
        <v>26</v>
      </c>
      <c r="U2764">
        <v>630.28720728285396</v>
      </c>
      <c r="V2764">
        <v>1.0794140323824201E-2</v>
      </c>
      <c r="W2764">
        <v>1178059.52534222</v>
      </c>
      <c r="X2764" t="s">
        <v>42</v>
      </c>
      <c r="Y2764">
        <f>1-234-310-5707</f>
        <v>-6250</v>
      </c>
    </row>
    <row r="2765" spans="1:25" x14ac:dyDescent="0.35">
      <c r="A2765">
        <v>32.747731757352902</v>
      </c>
      <c r="B2765">
        <v>-115.11480219361501</v>
      </c>
      <c r="C2765" t="s">
        <v>29</v>
      </c>
      <c r="D2765">
        <v>24.330945150326102</v>
      </c>
      <c r="E2765">
        <v>9</v>
      </c>
      <c r="F2765">
        <v>3533</v>
      </c>
      <c r="G2765">
        <v>3</v>
      </c>
      <c r="H2765">
        <v>2</v>
      </c>
      <c r="I2765">
        <v>2007</v>
      </c>
      <c r="J2765">
        <v>1</v>
      </c>
      <c r="K2765">
        <v>0</v>
      </c>
      <c r="L2765">
        <v>0</v>
      </c>
      <c r="M2765">
        <v>4</v>
      </c>
      <c r="N2765" t="s">
        <v>35</v>
      </c>
      <c r="O2765" t="s">
        <v>32</v>
      </c>
      <c r="P2765">
        <v>13.689216618691599</v>
      </c>
      <c r="Q2765">
        <v>1.31883249376084</v>
      </c>
      <c r="R2765">
        <v>9.4328945756999705</v>
      </c>
      <c r="S2765">
        <v>142</v>
      </c>
      <c r="T2765">
        <v>55</v>
      </c>
      <c r="U2765">
        <v>584.60954036065698</v>
      </c>
      <c r="V2765">
        <v>1.1321822813472901E-3</v>
      </c>
      <c r="W2765">
        <v>2342957.8052245998</v>
      </c>
      <c r="X2765" t="s">
        <v>31</v>
      </c>
      <c r="Y2765">
        <f>1-821-716-7722</f>
        <v>-9258</v>
      </c>
    </row>
    <row r="2766" spans="1:25" x14ac:dyDescent="0.35">
      <c r="A2766">
        <v>40.402770619875497</v>
      </c>
      <c r="B2766">
        <v>-115.584222462528</v>
      </c>
      <c r="C2766" t="s">
        <v>34</v>
      </c>
      <c r="D2766">
        <v>1.1287820800252399</v>
      </c>
      <c r="E2766">
        <v>5</v>
      </c>
      <c r="F2766">
        <v>4108</v>
      </c>
      <c r="G2766">
        <v>1</v>
      </c>
      <c r="H2766">
        <v>1</v>
      </c>
      <c r="I2766">
        <v>2003</v>
      </c>
      <c r="J2766">
        <v>1</v>
      </c>
      <c r="K2766">
        <v>1</v>
      </c>
      <c r="L2766">
        <v>1</v>
      </c>
      <c r="M2766">
        <v>7</v>
      </c>
      <c r="N2766" t="s">
        <v>37</v>
      </c>
      <c r="O2766" t="s">
        <v>30</v>
      </c>
      <c r="P2766">
        <v>3.7702267283817599</v>
      </c>
      <c r="Q2766">
        <v>2.2317378426304999</v>
      </c>
      <c r="R2766">
        <v>3.05212164649756</v>
      </c>
      <c r="S2766">
        <v>53</v>
      </c>
      <c r="T2766">
        <v>40</v>
      </c>
      <c r="U2766">
        <v>877.57350799956396</v>
      </c>
      <c r="V2766">
        <v>1.7039922103213199E-3</v>
      </c>
      <c r="W2766">
        <v>3841914.4087397102</v>
      </c>
      <c r="X2766" t="s">
        <v>31</v>
      </c>
      <c r="Y2766">
        <f>1-328-168-3610</f>
        <v>-4105</v>
      </c>
    </row>
    <row r="2767" spans="1:25" x14ac:dyDescent="0.35">
      <c r="A2767">
        <v>41.743964965853699</v>
      </c>
      <c r="B2767">
        <v>-122.330396545133</v>
      </c>
      <c r="C2767" t="s">
        <v>34</v>
      </c>
      <c r="D2767">
        <v>18.9109073846443</v>
      </c>
      <c r="E2767">
        <v>8</v>
      </c>
      <c r="F2767">
        <v>4487</v>
      </c>
      <c r="G2767">
        <v>5</v>
      </c>
      <c r="H2767">
        <v>2</v>
      </c>
      <c r="I2767">
        <v>1978</v>
      </c>
      <c r="J2767">
        <v>0</v>
      </c>
      <c r="K2767">
        <v>1</v>
      </c>
      <c r="L2767">
        <v>1</v>
      </c>
      <c r="M2767">
        <v>8</v>
      </c>
      <c r="N2767" t="s">
        <v>26</v>
      </c>
      <c r="O2767" t="s">
        <v>27</v>
      </c>
      <c r="P2767">
        <v>11.8694531982639</v>
      </c>
      <c r="Q2767">
        <v>0.76426342899563704</v>
      </c>
      <c r="R2767">
        <v>3.4798046501061801</v>
      </c>
      <c r="S2767">
        <v>26</v>
      </c>
      <c r="T2767">
        <v>43</v>
      </c>
      <c r="U2767">
        <v>686.30682218653203</v>
      </c>
      <c r="V2767">
        <v>1.78292845999554E-3</v>
      </c>
      <c r="W2767">
        <v>3484496.3924243902</v>
      </c>
      <c r="X2767" t="s">
        <v>42</v>
      </c>
      <c r="Y2767">
        <f>1-591-323-1616</f>
        <v>-2529</v>
      </c>
    </row>
    <row r="2768" spans="1:25" x14ac:dyDescent="0.35">
      <c r="A2768">
        <v>34.449556379411803</v>
      </c>
      <c r="B2768">
        <v>-122.151189551166</v>
      </c>
      <c r="C2768" t="s">
        <v>34</v>
      </c>
      <c r="D2768">
        <v>18.627928745646699</v>
      </c>
      <c r="E2768">
        <v>0</v>
      </c>
      <c r="F2768">
        <v>1207</v>
      </c>
      <c r="G2768">
        <v>2</v>
      </c>
      <c r="H2768">
        <v>3</v>
      </c>
      <c r="I2768">
        <v>2019</v>
      </c>
      <c r="J2768">
        <v>1</v>
      </c>
      <c r="K2768">
        <v>0</v>
      </c>
      <c r="L2768">
        <v>0</v>
      </c>
      <c r="M2768">
        <v>2</v>
      </c>
      <c r="N2768" t="s">
        <v>41</v>
      </c>
      <c r="O2768" t="s">
        <v>27</v>
      </c>
      <c r="P2768">
        <v>4.7039689661989099</v>
      </c>
      <c r="Q2768">
        <v>0.96583555574803104</v>
      </c>
      <c r="R2768">
        <v>7.2561935752064102</v>
      </c>
      <c r="S2768">
        <v>107</v>
      </c>
      <c r="T2768">
        <v>53</v>
      </c>
      <c r="U2768">
        <v>232.72779410595999</v>
      </c>
      <c r="V2768">
        <v>1.65700082850041E-3</v>
      </c>
      <c r="W2768">
        <v>611862.05489204195</v>
      </c>
      <c r="X2768" t="s">
        <v>44</v>
      </c>
      <c r="Y2768">
        <f>1-728-944-3671</f>
        <v>-5342</v>
      </c>
    </row>
    <row r="2769" spans="1:25" x14ac:dyDescent="0.35">
      <c r="A2769">
        <v>33.849134393266702</v>
      </c>
      <c r="B2769">
        <v>-121.625450300043</v>
      </c>
      <c r="C2769" t="s">
        <v>29</v>
      </c>
      <c r="D2769">
        <v>47.938594156835997</v>
      </c>
      <c r="E2769">
        <v>2</v>
      </c>
      <c r="F2769">
        <v>4227</v>
      </c>
      <c r="G2769">
        <v>3</v>
      </c>
      <c r="H2769">
        <v>2</v>
      </c>
      <c r="I2769">
        <v>2013</v>
      </c>
      <c r="J2769">
        <v>1</v>
      </c>
      <c r="K2769">
        <v>0</v>
      </c>
      <c r="L2769">
        <v>0</v>
      </c>
      <c r="M2769">
        <v>9</v>
      </c>
      <c r="N2769" t="s">
        <v>35</v>
      </c>
      <c r="O2769" t="s">
        <v>32</v>
      </c>
      <c r="P2769">
        <v>9.10273587453303</v>
      </c>
      <c r="Q2769">
        <v>1.1780377734788301</v>
      </c>
      <c r="R2769">
        <v>5.1579690042536299</v>
      </c>
      <c r="S2769">
        <v>127</v>
      </c>
      <c r="T2769">
        <v>34</v>
      </c>
      <c r="U2769">
        <v>765.76562537478401</v>
      </c>
      <c r="V2769">
        <v>2.1291696238466898E-3</v>
      </c>
      <c r="W2769">
        <v>3509498.3062873799</v>
      </c>
      <c r="X2769" t="s">
        <v>36</v>
      </c>
      <c r="Y2769">
        <f>1-715-836-9026</f>
        <v>-10576</v>
      </c>
    </row>
    <row r="2770" spans="1:25" x14ac:dyDescent="0.35">
      <c r="A2770">
        <v>35.127891642249097</v>
      </c>
      <c r="B2770">
        <v>-120.54466379788001</v>
      </c>
      <c r="C2770" t="s">
        <v>34</v>
      </c>
      <c r="D2770">
        <v>2.20375428852349</v>
      </c>
      <c r="E2770">
        <v>6</v>
      </c>
      <c r="F2770">
        <v>1235</v>
      </c>
      <c r="G2770">
        <v>4</v>
      </c>
      <c r="H2770">
        <v>3</v>
      </c>
      <c r="I2770">
        <v>1972</v>
      </c>
      <c r="J2770">
        <v>1</v>
      </c>
      <c r="K2770">
        <v>1</v>
      </c>
      <c r="L2770">
        <v>1</v>
      </c>
      <c r="M2770">
        <v>13</v>
      </c>
      <c r="N2770" t="s">
        <v>37</v>
      </c>
      <c r="O2770" t="s">
        <v>32</v>
      </c>
      <c r="P2770">
        <v>6.0512216062790403</v>
      </c>
      <c r="Q2770">
        <v>0.74719607738798599</v>
      </c>
      <c r="R2770">
        <v>8.3457185268492893</v>
      </c>
      <c r="S2770">
        <v>38</v>
      </c>
      <c r="T2770">
        <v>50</v>
      </c>
      <c r="U2770">
        <v>632.42938255894103</v>
      </c>
      <c r="V2770">
        <v>1.0526315789473601E-2</v>
      </c>
      <c r="W2770">
        <v>1175334.69027089</v>
      </c>
      <c r="X2770" t="s">
        <v>44</v>
      </c>
      <c r="Y2770">
        <f>1-628-731-6356</f>
        <v>-7714</v>
      </c>
    </row>
    <row r="2771" spans="1:25" x14ac:dyDescent="0.35">
      <c r="A2771">
        <v>40.078419473383804</v>
      </c>
      <c r="B2771">
        <v>-118.50085423123799</v>
      </c>
      <c r="C2771" t="s">
        <v>25</v>
      </c>
      <c r="D2771">
        <v>27.286139418176798</v>
      </c>
      <c r="E2771">
        <v>2</v>
      </c>
      <c r="F2771">
        <v>2324</v>
      </c>
      <c r="G2771">
        <v>5</v>
      </c>
      <c r="H2771">
        <v>3</v>
      </c>
      <c r="I2771">
        <v>2016</v>
      </c>
      <c r="J2771">
        <v>0</v>
      </c>
      <c r="K2771">
        <v>0</v>
      </c>
      <c r="L2771">
        <v>1</v>
      </c>
      <c r="M2771">
        <v>5</v>
      </c>
      <c r="N2771" t="s">
        <v>41</v>
      </c>
      <c r="O2771" t="s">
        <v>27</v>
      </c>
      <c r="P2771">
        <v>13.384877121381701</v>
      </c>
      <c r="Q2771">
        <v>1.00878283351304</v>
      </c>
      <c r="R2771">
        <v>8.7194673227977706</v>
      </c>
      <c r="S2771">
        <v>152</v>
      </c>
      <c r="T2771">
        <v>58</v>
      </c>
      <c r="U2771">
        <v>833.37463846186097</v>
      </c>
      <c r="V2771">
        <v>2.1514629948364799E-3</v>
      </c>
      <c r="W2771">
        <v>2353888.81587967</v>
      </c>
      <c r="X2771" t="s">
        <v>39</v>
      </c>
      <c r="Y2771">
        <f>1-242-258-2746</f>
        <v>-3245</v>
      </c>
    </row>
    <row r="2772" spans="1:25" x14ac:dyDescent="0.35">
      <c r="A2772">
        <v>41.925929149456799</v>
      </c>
      <c r="B2772">
        <v>-115.933812075113</v>
      </c>
      <c r="C2772" t="s">
        <v>34</v>
      </c>
      <c r="D2772">
        <v>20.5426213432049</v>
      </c>
      <c r="E2772">
        <v>1</v>
      </c>
      <c r="F2772">
        <v>936</v>
      </c>
      <c r="G2772">
        <v>5</v>
      </c>
      <c r="H2772">
        <v>1</v>
      </c>
      <c r="I2772">
        <v>1980</v>
      </c>
      <c r="J2772">
        <v>0</v>
      </c>
      <c r="K2772">
        <v>0</v>
      </c>
      <c r="L2772">
        <v>0</v>
      </c>
      <c r="M2772">
        <v>2</v>
      </c>
      <c r="N2772" t="s">
        <v>26</v>
      </c>
      <c r="O2772" t="s">
        <v>30</v>
      </c>
      <c r="P2772">
        <v>2.3710490293973701</v>
      </c>
      <c r="Q2772">
        <v>1.3933443789461999</v>
      </c>
      <c r="R2772">
        <v>1.6629392545919699</v>
      </c>
      <c r="S2772">
        <v>33</v>
      </c>
      <c r="T2772">
        <v>31</v>
      </c>
      <c r="U2772">
        <v>270.72420905466601</v>
      </c>
      <c r="V2772">
        <v>2.13675213675213E-3</v>
      </c>
      <c r="W2772">
        <v>354121.37870658998</v>
      </c>
      <c r="X2772" t="s">
        <v>43</v>
      </c>
      <c r="Y2772">
        <f>1-410-658-1473</f>
        <v>-2540</v>
      </c>
    </row>
    <row r="2773" spans="1:25" x14ac:dyDescent="0.35">
      <c r="A2773">
        <v>38.845614263680098</v>
      </c>
      <c r="B2773">
        <v>-119.299471463123</v>
      </c>
      <c r="C2773" t="s">
        <v>25</v>
      </c>
      <c r="D2773">
        <v>43.579194604491903</v>
      </c>
      <c r="E2773">
        <v>2</v>
      </c>
      <c r="F2773">
        <v>526</v>
      </c>
      <c r="G2773">
        <v>2</v>
      </c>
      <c r="H2773">
        <v>3</v>
      </c>
      <c r="I2773">
        <v>2003</v>
      </c>
      <c r="J2773">
        <v>1</v>
      </c>
      <c r="K2773">
        <v>0</v>
      </c>
      <c r="L2773">
        <v>0</v>
      </c>
      <c r="M2773">
        <v>5</v>
      </c>
      <c r="N2773" t="s">
        <v>41</v>
      </c>
      <c r="O2773" t="s">
        <v>32</v>
      </c>
      <c r="P2773">
        <v>5.3247496216166104</v>
      </c>
      <c r="Q2773">
        <v>1.14451215218467</v>
      </c>
      <c r="R2773">
        <v>3.71130584655269</v>
      </c>
      <c r="S2773">
        <v>154</v>
      </c>
      <c r="T2773">
        <v>53</v>
      </c>
      <c r="U2773">
        <v>561.18520873101204</v>
      </c>
      <c r="V2773">
        <v>9.5057034220532299E-3</v>
      </c>
      <c r="W2773">
        <v>500304.77564082399</v>
      </c>
      <c r="X2773" t="s">
        <v>44</v>
      </c>
      <c r="Y2773">
        <f>1-220-978-9172</f>
        <v>-10369</v>
      </c>
    </row>
    <row r="2774" spans="1:25" x14ac:dyDescent="0.35">
      <c r="A2774">
        <v>33.163039753793399</v>
      </c>
      <c r="B2774">
        <v>-123.550866294629</v>
      </c>
      <c r="C2774" t="s">
        <v>29</v>
      </c>
      <c r="D2774">
        <v>5.53447156160078</v>
      </c>
      <c r="E2774">
        <v>2</v>
      </c>
      <c r="F2774">
        <v>1175</v>
      </c>
      <c r="G2774">
        <v>1</v>
      </c>
      <c r="H2774">
        <v>3</v>
      </c>
      <c r="I2774">
        <v>2005</v>
      </c>
      <c r="J2774">
        <v>0</v>
      </c>
      <c r="K2774">
        <v>0</v>
      </c>
      <c r="L2774">
        <v>1</v>
      </c>
      <c r="M2774">
        <v>4</v>
      </c>
      <c r="N2774" t="s">
        <v>26</v>
      </c>
      <c r="O2774" t="s">
        <v>27</v>
      </c>
      <c r="P2774">
        <v>8.8761519600140897</v>
      </c>
      <c r="Q2774">
        <v>1.4447203876208601</v>
      </c>
      <c r="R2774">
        <v>6.2520392663044504</v>
      </c>
      <c r="S2774">
        <v>123</v>
      </c>
      <c r="T2774">
        <v>29</v>
      </c>
      <c r="U2774">
        <v>244.61586484074999</v>
      </c>
      <c r="V2774">
        <v>3.4042553191489301E-3</v>
      </c>
      <c r="W2774">
        <v>475638.40728796198</v>
      </c>
      <c r="X2774" t="s">
        <v>42</v>
      </c>
      <c r="Y2774">
        <f>1-459-947-6591</f>
        <v>-7996</v>
      </c>
    </row>
    <row r="2775" spans="1:25" x14ac:dyDescent="0.35">
      <c r="A2775">
        <v>39.000178411547303</v>
      </c>
      <c r="B2775">
        <v>-124.32869988348099</v>
      </c>
      <c r="C2775" t="s">
        <v>29</v>
      </c>
      <c r="D2775">
        <v>28.6913802916749</v>
      </c>
      <c r="E2775">
        <v>5</v>
      </c>
      <c r="F2775">
        <v>3140</v>
      </c>
      <c r="G2775">
        <v>1</v>
      </c>
      <c r="H2775">
        <v>1</v>
      </c>
      <c r="I2775">
        <v>1988</v>
      </c>
      <c r="J2775">
        <v>1</v>
      </c>
      <c r="K2775">
        <v>0</v>
      </c>
      <c r="L2775">
        <v>0</v>
      </c>
      <c r="M2775">
        <v>9</v>
      </c>
      <c r="N2775" t="s">
        <v>26</v>
      </c>
      <c r="O2775" t="s">
        <v>30</v>
      </c>
      <c r="P2775">
        <v>14.2691070053625</v>
      </c>
      <c r="Q2775">
        <v>1.89632617078377</v>
      </c>
      <c r="R2775">
        <v>4.7050502162421104</v>
      </c>
      <c r="S2775">
        <v>153</v>
      </c>
      <c r="T2775">
        <v>54</v>
      </c>
      <c r="U2775">
        <v>877.59241674916996</v>
      </c>
      <c r="V2775">
        <v>2.8662420382165599E-3</v>
      </c>
      <c r="W2775">
        <v>2923478.2026225599</v>
      </c>
      <c r="X2775" t="s">
        <v>36</v>
      </c>
      <c r="Y2775">
        <f>1-891-307-9415</f>
        <v>-10612</v>
      </c>
    </row>
    <row r="2776" spans="1:25" x14ac:dyDescent="0.35">
      <c r="A2776">
        <v>32.920104563009403</v>
      </c>
      <c r="B2776">
        <v>-119.404625671421</v>
      </c>
      <c r="C2776" t="s">
        <v>25</v>
      </c>
      <c r="D2776">
        <v>39.713771013598901</v>
      </c>
      <c r="E2776">
        <v>4</v>
      </c>
      <c r="F2776">
        <v>2238</v>
      </c>
      <c r="G2776">
        <v>3</v>
      </c>
      <c r="H2776">
        <v>2</v>
      </c>
      <c r="I2776">
        <v>1954</v>
      </c>
      <c r="J2776">
        <v>0</v>
      </c>
      <c r="K2776">
        <v>0</v>
      </c>
      <c r="L2776">
        <v>0</v>
      </c>
      <c r="M2776">
        <v>11</v>
      </c>
      <c r="N2776" t="s">
        <v>41</v>
      </c>
      <c r="O2776" t="s">
        <v>32</v>
      </c>
      <c r="P2776">
        <v>6.28883128525493</v>
      </c>
      <c r="Q2776">
        <v>1.26997106894736</v>
      </c>
      <c r="R2776">
        <v>8.7321725084272792</v>
      </c>
      <c r="S2776">
        <v>116</v>
      </c>
      <c r="T2776">
        <v>64</v>
      </c>
      <c r="U2776">
        <v>975.69429041347905</v>
      </c>
      <c r="V2776">
        <v>4.9151027703306501E-3</v>
      </c>
      <c r="W2776">
        <v>2195793.2678982001</v>
      </c>
      <c r="X2776" t="s">
        <v>42</v>
      </c>
      <c r="Y2776">
        <f>1-743-400-6442</f>
        <v>-7584</v>
      </c>
    </row>
    <row r="2777" spans="1:25" x14ac:dyDescent="0.35">
      <c r="A2777">
        <v>41.255700935996003</v>
      </c>
      <c r="B2777">
        <v>-122.488419528957</v>
      </c>
      <c r="C2777" t="s">
        <v>29</v>
      </c>
      <c r="D2777">
        <v>33.442220005607403</v>
      </c>
      <c r="E2777">
        <v>9</v>
      </c>
      <c r="F2777">
        <v>4706</v>
      </c>
      <c r="G2777">
        <v>3</v>
      </c>
      <c r="H2777">
        <v>3</v>
      </c>
      <c r="I2777">
        <v>2018</v>
      </c>
      <c r="J2777">
        <v>0</v>
      </c>
      <c r="K2777">
        <v>1</v>
      </c>
      <c r="L2777">
        <v>0</v>
      </c>
      <c r="M2777">
        <v>2</v>
      </c>
      <c r="N2777" t="s">
        <v>26</v>
      </c>
      <c r="O2777" t="s">
        <v>32</v>
      </c>
      <c r="P2777">
        <v>11.350123725223201</v>
      </c>
      <c r="Q2777">
        <v>2.3274712353620601</v>
      </c>
      <c r="R2777">
        <v>4.0053192726302003</v>
      </c>
      <c r="S2777">
        <v>162</v>
      </c>
      <c r="T2777">
        <v>29</v>
      </c>
      <c r="U2777">
        <v>799.468873324029</v>
      </c>
      <c r="V2777">
        <v>4.2498937526561802E-4</v>
      </c>
      <c r="W2777">
        <v>4096939.62614829</v>
      </c>
      <c r="X2777" t="s">
        <v>33</v>
      </c>
      <c r="Y2777">
        <f>1-214-788-6291</f>
        <v>-7292</v>
      </c>
    </row>
    <row r="2778" spans="1:25" x14ac:dyDescent="0.35">
      <c r="A2778">
        <v>40.693919843609699</v>
      </c>
      <c r="B2778">
        <v>-115.21698400781401</v>
      </c>
      <c r="C2778" t="s">
        <v>25</v>
      </c>
      <c r="D2778">
        <v>39.860436884986903</v>
      </c>
      <c r="E2778">
        <v>7</v>
      </c>
      <c r="F2778">
        <v>2848</v>
      </c>
      <c r="G2778">
        <v>4</v>
      </c>
      <c r="H2778">
        <v>2</v>
      </c>
      <c r="I2778">
        <v>1976</v>
      </c>
      <c r="J2778">
        <v>1</v>
      </c>
      <c r="K2778">
        <v>1</v>
      </c>
      <c r="L2778">
        <v>0</v>
      </c>
      <c r="M2778">
        <v>9</v>
      </c>
      <c r="N2778" t="s">
        <v>35</v>
      </c>
      <c r="O2778" t="s">
        <v>27</v>
      </c>
      <c r="P2778">
        <v>11.837625412225499</v>
      </c>
      <c r="Q2778">
        <v>2.2994192371744799</v>
      </c>
      <c r="R2778">
        <v>9.9537165269877903</v>
      </c>
      <c r="S2778">
        <v>4</v>
      </c>
      <c r="T2778">
        <v>44</v>
      </c>
      <c r="U2778">
        <v>358.035753358992</v>
      </c>
      <c r="V2778">
        <v>3.16011235955056E-3</v>
      </c>
      <c r="W2778">
        <v>1466140.0582000101</v>
      </c>
      <c r="X2778" t="s">
        <v>40</v>
      </c>
      <c r="Y2778">
        <f>1-791-579-3761</f>
        <v>-5130</v>
      </c>
    </row>
    <row r="2779" spans="1:25" x14ac:dyDescent="0.35">
      <c r="A2779">
        <v>41.859402819045897</v>
      </c>
      <c r="B2779">
        <v>-122.05739479941001</v>
      </c>
      <c r="C2779" t="s">
        <v>29</v>
      </c>
      <c r="D2779">
        <v>31.858322304268199</v>
      </c>
      <c r="E2779">
        <v>7</v>
      </c>
      <c r="F2779">
        <v>3437</v>
      </c>
      <c r="G2779">
        <v>3</v>
      </c>
      <c r="H2779">
        <v>1</v>
      </c>
      <c r="I2779">
        <v>2015</v>
      </c>
      <c r="J2779">
        <v>0</v>
      </c>
      <c r="K2779">
        <v>0</v>
      </c>
      <c r="L2779">
        <v>1</v>
      </c>
      <c r="M2779">
        <v>4</v>
      </c>
      <c r="N2779" t="s">
        <v>35</v>
      </c>
      <c r="O2779" t="s">
        <v>30</v>
      </c>
      <c r="P2779">
        <v>14.139070482740101</v>
      </c>
      <c r="Q2779">
        <v>1.27246140652497</v>
      </c>
      <c r="R2779">
        <v>2.9424676274149899</v>
      </c>
      <c r="S2779">
        <v>186</v>
      </c>
      <c r="T2779">
        <v>55</v>
      </c>
      <c r="U2779">
        <v>515.18335909558698</v>
      </c>
      <c r="V2779">
        <v>1.16380564445737E-3</v>
      </c>
      <c r="W2779">
        <v>2118367.5571635701</v>
      </c>
      <c r="X2779" t="s">
        <v>36</v>
      </c>
      <c r="Y2779">
        <f>1-537-445-1062</f>
        <v>-2043</v>
      </c>
    </row>
    <row r="2780" spans="1:25" x14ac:dyDescent="0.35">
      <c r="A2780">
        <v>33.724164746801797</v>
      </c>
      <c r="B2780">
        <v>-123.246292554845</v>
      </c>
      <c r="C2780" t="s">
        <v>25</v>
      </c>
      <c r="D2780">
        <v>11.0164473308437</v>
      </c>
      <c r="E2780">
        <v>1</v>
      </c>
      <c r="F2780">
        <v>2781</v>
      </c>
      <c r="G2780">
        <v>2</v>
      </c>
      <c r="H2780">
        <v>1</v>
      </c>
      <c r="I2780">
        <v>2000</v>
      </c>
      <c r="J2780">
        <v>0</v>
      </c>
      <c r="K2780">
        <v>1</v>
      </c>
      <c r="L2780">
        <v>1</v>
      </c>
      <c r="M2780">
        <v>3</v>
      </c>
      <c r="N2780" t="s">
        <v>26</v>
      </c>
      <c r="O2780" t="s">
        <v>32</v>
      </c>
      <c r="P2780">
        <v>12.265309652419701</v>
      </c>
      <c r="Q2780">
        <v>0.52359806671492004</v>
      </c>
      <c r="R2780">
        <v>7.0578091964474003</v>
      </c>
      <c r="S2780">
        <v>40</v>
      </c>
      <c r="T2780">
        <v>64</v>
      </c>
      <c r="U2780">
        <v>351.070075038646</v>
      </c>
      <c r="V2780">
        <v>1.07874865156418E-3</v>
      </c>
      <c r="W2780">
        <v>1374112.10875907</v>
      </c>
      <c r="X2780" t="s">
        <v>42</v>
      </c>
      <c r="Y2780">
        <f>1-637-316-2732</f>
        <v>-3684</v>
      </c>
    </row>
    <row r="2781" spans="1:25" x14ac:dyDescent="0.35">
      <c r="A2781">
        <v>33.057019620572902</v>
      </c>
      <c r="B2781">
        <v>-114.57061667949399</v>
      </c>
      <c r="C2781" t="s">
        <v>34</v>
      </c>
      <c r="D2781">
        <v>40.783980838930603</v>
      </c>
      <c r="E2781">
        <v>8</v>
      </c>
      <c r="F2781">
        <v>2808</v>
      </c>
      <c r="G2781">
        <v>1</v>
      </c>
      <c r="H2781">
        <v>1</v>
      </c>
      <c r="I2781">
        <v>1977</v>
      </c>
      <c r="J2781">
        <v>1</v>
      </c>
      <c r="K2781">
        <v>0</v>
      </c>
      <c r="L2781">
        <v>0</v>
      </c>
      <c r="M2781">
        <v>10</v>
      </c>
      <c r="N2781" t="s">
        <v>37</v>
      </c>
      <c r="O2781" t="s">
        <v>30</v>
      </c>
      <c r="P2781">
        <v>14.9145729830084</v>
      </c>
      <c r="Q2781">
        <v>2.3474054583252899</v>
      </c>
      <c r="R2781">
        <v>1.7348116815443499</v>
      </c>
      <c r="S2781">
        <v>55</v>
      </c>
      <c r="T2781">
        <v>43</v>
      </c>
      <c r="U2781">
        <v>708.58801763403096</v>
      </c>
      <c r="V2781">
        <v>3.56125356125356E-3</v>
      </c>
      <c r="W2781">
        <v>2239038.9330346999</v>
      </c>
      <c r="X2781" t="s">
        <v>28</v>
      </c>
      <c r="Y2781">
        <f>1-618-582-3463</f>
        <v>-4662</v>
      </c>
    </row>
    <row r="2782" spans="1:25" x14ac:dyDescent="0.35">
      <c r="A2782">
        <v>38.205926689455701</v>
      </c>
      <c r="B2782">
        <v>-119.83875951363601</v>
      </c>
      <c r="C2782" t="s">
        <v>34</v>
      </c>
      <c r="D2782">
        <v>47.324877559039997</v>
      </c>
      <c r="E2782">
        <v>5</v>
      </c>
      <c r="F2782">
        <v>796</v>
      </c>
      <c r="G2782">
        <v>3</v>
      </c>
      <c r="H2782">
        <v>3</v>
      </c>
      <c r="I2782">
        <v>1977</v>
      </c>
      <c r="J2782">
        <v>1</v>
      </c>
      <c r="K2782">
        <v>1</v>
      </c>
      <c r="L2782">
        <v>0</v>
      </c>
      <c r="M2782">
        <v>6</v>
      </c>
      <c r="N2782" t="s">
        <v>41</v>
      </c>
      <c r="O2782" t="s">
        <v>27</v>
      </c>
      <c r="P2782">
        <v>3.2355453585582299</v>
      </c>
      <c r="Q2782">
        <v>0.69524652873733905</v>
      </c>
      <c r="R2782">
        <v>5.1448372359276897</v>
      </c>
      <c r="S2782">
        <v>59</v>
      </c>
      <c r="T2782">
        <v>57</v>
      </c>
      <c r="U2782">
        <v>960.06849719195895</v>
      </c>
      <c r="V2782">
        <v>7.5376884422110497E-3</v>
      </c>
      <c r="W2782">
        <v>1145312.2472645601</v>
      </c>
      <c r="X2782" t="s">
        <v>36</v>
      </c>
      <c r="Y2782">
        <f>1-882-611-7957</f>
        <v>-9449</v>
      </c>
    </row>
    <row r="2783" spans="1:25" x14ac:dyDescent="0.35">
      <c r="A2783">
        <v>37.827966832018198</v>
      </c>
      <c r="B2783">
        <v>-120.568381441516</v>
      </c>
      <c r="C2783" t="s">
        <v>29</v>
      </c>
      <c r="D2783">
        <v>12.754732468453801</v>
      </c>
      <c r="E2783">
        <v>2</v>
      </c>
      <c r="F2783">
        <v>3807</v>
      </c>
      <c r="G2783">
        <v>2</v>
      </c>
      <c r="H2783">
        <v>3</v>
      </c>
      <c r="I2783">
        <v>1980</v>
      </c>
      <c r="J2783">
        <v>1</v>
      </c>
      <c r="K2783">
        <v>1</v>
      </c>
      <c r="L2783">
        <v>0</v>
      </c>
      <c r="M2783">
        <v>10</v>
      </c>
      <c r="N2783" t="s">
        <v>26</v>
      </c>
      <c r="O2783" t="s">
        <v>32</v>
      </c>
      <c r="P2783">
        <v>6.8915761177497696</v>
      </c>
      <c r="Q2783">
        <v>2.0597054901680698</v>
      </c>
      <c r="R2783">
        <v>0.397203357417034</v>
      </c>
      <c r="S2783">
        <v>180</v>
      </c>
      <c r="T2783">
        <v>79</v>
      </c>
      <c r="U2783">
        <v>531.35291703095902</v>
      </c>
      <c r="V2783">
        <v>2.62674021539269E-3</v>
      </c>
      <c r="W2783">
        <v>2384289.04901557</v>
      </c>
      <c r="X2783" t="s">
        <v>39</v>
      </c>
      <c r="Y2783">
        <f>1-478-117-1710</f>
        <v>-2304</v>
      </c>
    </row>
    <row r="2784" spans="1:25" x14ac:dyDescent="0.35">
      <c r="A2784">
        <v>36.210376828782998</v>
      </c>
      <c r="B2784">
        <v>-119.56343789054399</v>
      </c>
      <c r="C2784" t="s">
        <v>34</v>
      </c>
      <c r="D2784">
        <v>18.9407604915246</v>
      </c>
      <c r="E2784">
        <v>9</v>
      </c>
      <c r="F2784">
        <v>4578</v>
      </c>
      <c r="G2784">
        <v>3</v>
      </c>
      <c r="H2784">
        <v>3</v>
      </c>
      <c r="I2784">
        <v>2019</v>
      </c>
      <c r="J2784">
        <v>1</v>
      </c>
      <c r="K2784">
        <v>0</v>
      </c>
      <c r="L2784">
        <v>0</v>
      </c>
      <c r="M2784">
        <v>10</v>
      </c>
      <c r="N2784" t="s">
        <v>41</v>
      </c>
      <c r="O2784" t="s">
        <v>32</v>
      </c>
      <c r="P2784">
        <v>5.7058384003538603</v>
      </c>
      <c r="Q2784">
        <v>1.2809638541775501</v>
      </c>
      <c r="R2784">
        <v>4.7418181325681896</v>
      </c>
      <c r="S2784">
        <v>189</v>
      </c>
      <c r="T2784">
        <v>51</v>
      </c>
      <c r="U2784">
        <v>711.97755379406601</v>
      </c>
      <c r="V2784">
        <v>2.1843599825251202E-3</v>
      </c>
      <c r="W2784">
        <v>3495672.5691660601</v>
      </c>
      <c r="X2784" t="s">
        <v>31</v>
      </c>
      <c r="Y2784">
        <f>1-742-612-8061</f>
        <v>-9414</v>
      </c>
    </row>
    <row r="2785" spans="1:25" x14ac:dyDescent="0.35">
      <c r="A2785">
        <v>35.742114714891997</v>
      </c>
      <c r="B2785">
        <v>-116.38934414524</v>
      </c>
      <c r="C2785" t="s">
        <v>29</v>
      </c>
      <c r="D2785">
        <v>24.9967237333159</v>
      </c>
      <c r="E2785">
        <v>8</v>
      </c>
      <c r="F2785">
        <v>4373</v>
      </c>
      <c r="G2785">
        <v>3</v>
      </c>
      <c r="H2785">
        <v>2</v>
      </c>
      <c r="I2785">
        <v>1974</v>
      </c>
      <c r="J2785">
        <v>1</v>
      </c>
      <c r="K2785">
        <v>0</v>
      </c>
      <c r="L2785">
        <v>0</v>
      </c>
      <c r="M2785">
        <v>7</v>
      </c>
      <c r="N2785" t="s">
        <v>37</v>
      </c>
      <c r="O2785" t="s">
        <v>30</v>
      </c>
      <c r="P2785">
        <v>13.5002871279952</v>
      </c>
      <c r="Q2785">
        <v>1.28311577476857</v>
      </c>
      <c r="R2785">
        <v>1.2273569448127</v>
      </c>
      <c r="S2785">
        <v>43</v>
      </c>
      <c r="T2785">
        <v>72</v>
      </c>
      <c r="U2785">
        <v>800.02497986650906</v>
      </c>
      <c r="V2785">
        <v>1.6007317630916901E-3</v>
      </c>
      <c r="W2785">
        <v>3748288.2853184799</v>
      </c>
      <c r="X2785" t="s">
        <v>44</v>
      </c>
      <c r="Y2785">
        <f>1-594-130-2180</f>
        <v>-2903</v>
      </c>
    </row>
    <row r="2786" spans="1:25" x14ac:dyDescent="0.35">
      <c r="A2786">
        <v>40.320071829850598</v>
      </c>
      <c r="B2786">
        <v>-119.45075798587</v>
      </c>
      <c r="C2786" t="s">
        <v>25</v>
      </c>
      <c r="D2786">
        <v>28.363051898737201</v>
      </c>
      <c r="E2786">
        <v>9</v>
      </c>
      <c r="F2786">
        <v>2703</v>
      </c>
      <c r="G2786">
        <v>1</v>
      </c>
      <c r="H2786">
        <v>2</v>
      </c>
      <c r="I2786">
        <v>1978</v>
      </c>
      <c r="J2786">
        <v>1</v>
      </c>
      <c r="K2786">
        <v>1</v>
      </c>
      <c r="L2786">
        <v>1</v>
      </c>
      <c r="M2786">
        <v>6</v>
      </c>
      <c r="N2786" t="s">
        <v>26</v>
      </c>
      <c r="O2786" t="s">
        <v>27</v>
      </c>
      <c r="P2786">
        <v>2.6135852096710099</v>
      </c>
      <c r="Q2786">
        <v>1.5441568885461201</v>
      </c>
      <c r="R2786">
        <v>9.1192114145388903</v>
      </c>
      <c r="S2786">
        <v>141</v>
      </c>
      <c r="T2786">
        <v>53</v>
      </c>
      <c r="U2786">
        <v>711.90123941414504</v>
      </c>
      <c r="V2786">
        <v>2.2197558268590399E-3</v>
      </c>
      <c r="W2786">
        <v>2052330.0535688901</v>
      </c>
      <c r="X2786" t="s">
        <v>43</v>
      </c>
      <c r="Y2786">
        <f>1-753-358-8989</f>
        <v>-10099</v>
      </c>
    </row>
    <row r="2787" spans="1:25" x14ac:dyDescent="0.35">
      <c r="A2787">
        <v>35.3833158479272</v>
      </c>
      <c r="B2787">
        <v>-120.702376115769</v>
      </c>
      <c r="C2787" t="s">
        <v>29</v>
      </c>
      <c r="D2787">
        <v>47.372697620636501</v>
      </c>
      <c r="E2787">
        <v>8</v>
      </c>
      <c r="F2787">
        <v>538</v>
      </c>
      <c r="G2787">
        <v>5</v>
      </c>
      <c r="H2787">
        <v>3</v>
      </c>
      <c r="I2787">
        <v>1999</v>
      </c>
      <c r="J2787">
        <v>1</v>
      </c>
      <c r="K2787">
        <v>0</v>
      </c>
      <c r="L2787">
        <v>0</v>
      </c>
      <c r="M2787">
        <v>8</v>
      </c>
      <c r="N2787" t="s">
        <v>35</v>
      </c>
      <c r="O2787" t="s">
        <v>32</v>
      </c>
      <c r="P2787">
        <v>10.971273634950901</v>
      </c>
      <c r="Q2787">
        <v>1.9181574571014399</v>
      </c>
      <c r="R2787">
        <v>4.2198105600264002</v>
      </c>
      <c r="S2787">
        <v>166</v>
      </c>
      <c r="T2787">
        <v>23</v>
      </c>
      <c r="U2787">
        <v>452.199840967434</v>
      </c>
      <c r="V2787">
        <v>1.4869888475836399E-2</v>
      </c>
      <c r="W2787">
        <v>681637.43977565703</v>
      </c>
      <c r="X2787" t="s">
        <v>28</v>
      </c>
      <c r="Y2787">
        <f>1-864-202-8280</f>
        <v>-9345</v>
      </c>
    </row>
    <row r="2788" spans="1:25" x14ac:dyDescent="0.35">
      <c r="A2788">
        <v>38.861691530437902</v>
      </c>
      <c r="B2788">
        <v>-123.092939483873</v>
      </c>
      <c r="C2788" t="s">
        <v>25</v>
      </c>
      <c r="D2788">
        <v>10.568924744429999</v>
      </c>
      <c r="E2788">
        <v>8</v>
      </c>
      <c r="F2788">
        <v>3920</v>
      </c>
      <c r="G2788">
        <v>2</v>
      </c>
      <c r="H2788">
        <v>3</v>
      </c>
      <c r="I2788">
        <v>2020</v>
      </c>
      <c r="J2788">
        <v>1</v>
      </c>
      <c r="K2788">
        <v>1</v>
      </c>
      <c r="L2788">
        <v>0</v>
      </c>
      <c r="M2788">
        <v>6</v>
      </c>
      <c r="N2788" t="s">
        <v>26</v>
      </c>
      <c r="O2788" t="s">
        <v>32</v>
      </c>
      <c r="P2788">
        <v>13.841083093712699</v>
      </c>
      <c r="Q2788">
        <v>1.5532810652295601</v>
      </c>
      <c r="R2788">
        <v>5.2594701175437804</v>
      </c>
      <c r="S2788">
        <v>20</v>
      </c>
      <c r="T2788">
        <v>61</v>
      </c>
      <c r="U2788">
        <v>920.13665944291495</v>
      </c>
      <c r="V2788">
        <v>1.53061224489795E-3</v>
      </c>
      <c r="W2788">
        <v>4006556.1384733901</v>
      </c>
      <c r="X2788" t="s">
        <v>31</v>
      </c>
      <c r="Y2788">
        <f>1-293-372-4632</f>
        <v>-5296</v>
      </c>
    </row>
    <row r="2789" spans="1:25" x14ac:dyDescent="0.35">
      <c r="A2789">
        <v>33.4174870430003</v>
      </c>
      <c r="B2789">
        <v>-114.586387790874</v>
      </c>
      <c r="C2789" t="s">
        <v>29</v>
      </c>
      <c r="D2789">
        <v>43.864141297283503</v>
      </c>
      <c r="E2789">
        <v>1</v>
      </c>
      <c r="F2789">
        <v>1535</v>
      </c>
      <c r="G2789">
        <v>1</v>
      </c>
      <c r="H2789">
        <v>1</v>
      </c>
      <c r="I2789">
        <v>1965</v>
      </c>
      <c r="J2789">
        <v>1</v>
      </c>
      <c r="K2789">
        <v>1</v>
      </c>
      <c r="L2789">
        <v>1</v>
      </c>
      <c r="M2789">
        <v>6</v>
      </c>
      <c r="N2789" t="s">
        <v>26</v>
      </c>
      <c r="O2789" t="s">
        <v>27</v>
      </c>
      <c r="P2789">
        <v>6.9490217981294302</v>
      </c>
      <c r="Q2789">
        <v>1.47109602867213</v>
      </c>
      <c r="R2789">
        <v>9.3531628281404799</v>
      </c>
      <c r="S2789">
        <v>2</v>
      </c>
      <c r="T2789">
        <v>38</v>
      </c>
      <c r="U2789">
        <v>322.08339619494097</v>
      </c>
      <c r="V2789">
        <v>3.9087947882736097E-3</v>
      </c>
      <c r="W2789">
        <v>682455.79434200202</v>
      </c>
      <c r="X2789" t="s">
        <v>40</v>
      </c>
      <c r="Y2789">
        <f>1-776-872-9901</f>
        <v>-11548</v>
      </c>
    </row>
    <row r="2790" spans="1:25" x14ac:dyDescent="0.35">
      <c r="A2790">
        <v>39.494115713674198</v>
      </c>
      <c r="B2790">
        <v>-122.49177967113501</v>
      </c>
      <c r="C2790" t="s">
        <v>34</v>
      </c>
      <c r="D2790">
        <v>15.6695343228563</v>
      </c>
      <c r="E2790">
        <v>8</v>
      </c>
      <c r="F2790">
        <v>2852</v>
      </c>
      <c r="G2790">
        <v>1</v>
      </c>
      <c r="H2790">
        <v>3</v>
      </c>
      <c r="I2790">
        <v>1991</v>
      </c>
      <c r="J2790">
        <v>0</v>
      </c>
      <c r="K2790">
        <v>1</v>
      </c>
      <c r="L2790">
        <v>1</v>
      </c>
      <c r="M2790">
        <v>2</v>
      </c>
      <c r="N2790" t="s">
        <v>37</v>
      </c>
      <c r="O2790" t="s">
        <v>30</v>
      </c>
      <c r="P2790">
        <v>4.1103897362760904</v>
      </c>
      <c r="Q2790">
        <v>2.29180401438916</v>
      </c>
      <c r="R2790">
        <v>7.9905689801811803</v>
      </c>
      <c r="S2790">
        <v>41</v>
      </c>
      <c r="T2790">
        <v>55</v>
      </c>
      <c r="U2790">
        <v>471.76690584912302</v>
      </c>
      <c r="V2790">
        <v>7.0126227208976101E-4</v>
      </c>
      <c r="W2790">
        <v>1616500.76839827</v>
      </c>
      <c r="X2790" t="s">
        <v>36</v>
      </c>
      <c r="Y2790">
        <f>1-695-827-2646</f>
        <v>-4167</v>
      </c>
    </row>
    <row r="2791" spans="1:25" x14ac:dyDescent="0.35">
      <c r="A2791">
        <v>39.009408290714397</v>
      </c>
      <c r="B2791">
        <v>-122.763162695197</v>
      </c>
      <c r="C2791" t="s">
        <v>34</v>
      </c>
      <c r="D2791">
        <v>28.6420078756245</v>
      </c>
      <c r="E2791">
        <v>1</v>
      </c>
      <c r="F2791">
        <v>716</v>
      </c>
      <c r="G2791">
        <v>3</v>
      </c>
      <c r="H2791">
        <v>1</v>
      </c>
      <c r="I2791">
        <v>1973</v>
      </c>
      <c r="J2791">
        <v>1</v>
      </c>
      <c r="K2791">
        <v>1</v>
      </c>
      <c r="L2791">
        <v>1</v>
      </c>
      <c r="M2791">
        <v>11</v>
      </c>
      <c r="N2791" t="s">
        <v>35</v>
      </c>
      <c r="O2791" t="s">
        <v>30</v>
      </c>
      <c r="P2791">
        <v>7.9830200001518001</v>
      </c>
      <c r="Q2791">
        <v>1.1625746934544099</v>
      </c>
      <c r="R2791">
        <v>2.4789422593655699</v>
      </c>
      <c r="S2791">
        <v>29</v>
      </c>
      <c r="T2791">
        <v>38</v>
      </c>
      <c r="U2791">
        <v>758.44504061519899</v>
      </c>
      <c r="V2791">
        <v>1.5363128491620101E-2</v>
      </c>
      <c r="W2791">
        <v>840583.61903673701</v>
      </c>
      <c r="X2791" t="s">
        <v>43</v>
      </c>
      <c r="Y2791">
        <f>1-698-792-7858</f>
        <v>-9347</v>
      </c>
    </row>
    <row r="2792" spans="1:25" x14ac:dyDescent="0.35">
      <c r="A2792">
        <v>41.805249148258397</v>
      </c>
      <c r="B2792">
        <v>-118.86026062990901</v>
      </c>
      <c r="C2792" t="s">
        <v>34</v>
      </c>
      <c r="D2792">
        <v>19.655203786400399</v>
      </c>
      <c r="E2792">
        <v>3</v>
      </c>
      <c r="F2792">
        <v>4296</v>
      </c>
      <c r="G2792">
        <v>5</v>
      </c>
      <c r="H2792">
        <v>1</v>
      </c>
      <c r="I2792">
        <v>1996</v>
      </c>
      <c r="J2792">
        <v>0</v>
      </c>
      <c r="K2792">
        <v>0</v>
      </c>
      <c r="L2792">
        <v>1</v>
      </c>
      <c r="M2792">
        <v>2</v>
      </c>
      <c r="N2792" t="s">
        <v>35</v>
      </c>
      <c r="O2792" t="s">
        <v>30</v>
      </c>
      <c r="P2792">
        <v>7.6684333853345299</v>
      </c>
      <c r="Q2792">
        <v>0.88360024513969604</v>
      </c>
      <c r="R2792">
        <v>2.0787115537712402</v>
      </c>
      <c r="S2792">
        <v>27</v>
      </c>
      <c r="T2792">
        <v>35</v>
      </c>
      <c r="U2792">
        <v>911.77030529543595</v>
      </c>
      <c r="V2792">
        <v>4.6554934823091199E-4</v>
      </c>
      <c r="W2792">
        <v>4193849.1137137199</v>
      </c>
      <c r="X2792" t="s">
        <v>42</v>
      </c>
      <c r="Y2792">
        <f>1-414-708-7389</f>
        <v>-8510</v>
      </c>
    </row>
    <row r="2793" spans="1:25" x14ac:dyDescent="0.35">
      <c r="A2793">
        <v>41.080957331908699</v>
      </c>
      <c r="B2793">
        <v>-119.452013668359</v>
      </c>
      <c r="C2793" t="s">
        <v>29</v>
      </c>
      <c r="D2793">
        <v>30.123875293208499</v>
      </c>
      <c r="E2793">
        <v>4</v>
      </c>
      <c r="F2793">
        <v>4083</v>
      </c>
      <c r="G2793">
        <v>3</v>
      </c>
      <c r="H2793">
        <v>3</v>
      </c>
      <c r="I2793">
        <v>1996</v>
      </c>
      <c r="J2793">
        <v>1</v>
      </c>
      <c r="K2793">
        <v>1</v>
      </c>
      <c r="L2793">
        <v>1</v>
      </c>
      <c r="M2793">
        <v>6</v>
      </c>
      <c r="N2793" t="s">
        <v>37</v>
      </c>
      <c r="O2793" t="s">
        <v>30</v>
      </c>
      <c r="P2793">
        <v>4.4768009583498998</v>
      </c>
      <c r="Q2793">
        <v>1.5562359924489999</v>
      </c>
      <c r="R2793">
        <v>8.6567514277122495</v>
      </c>
      <c r="S2793">
        <v>186</v>
      </c>
      <c r="T2793">
        <v>37</v>
      </c>
      <c r="U2793">
        <v>733.39650900634297</v>
      </c>
      <c r="V2793">
        <v>1.4695077149155E-3</v>
      </c>
      <c r="W2793">
        <v>3367019.1456215498</v>
      </c>
      <c r="X2793" t="s">
        <v>39</v>
      </c>
      <c r="Y2793">
        <f>1-716-875-3749</f>
        <v>-5339</v>
      </c>
    </row>
    <row r="2794" spans="1:25" x14ac:dyDescent="0.35">
      <c r="A2794">
        <v>39.199624345013603</v>
      </c>
      <c r="B2794">
        <v>-118.04509260666801</v>
      </c>
      <c r="C2794" t="s">
        <v>34</v>
      </c>
      <c r="D2794">
        <v>11.2293642622408</v>
      </c>
      <c r="E2794">
        <v>9</v>
      </c>
      <c r="F2794">
        <v>1689</v>
      </c>
      <c r="G2794">
        <v>5</v>
      </c>
      <c r="H2794">
        <v>3</v>
      </c>
      <c r="I2794">
        <v>1979</v>
      </c>
      <c r="J2794">
        <v>1</v>
      </c>
      <c r="K2794">
        <v>0</v>
      </c>
      <c r="L2794">
        <v>0</v>
      </c>
      <c r="M2794">
        <v>9</v>
      </c>
      <c r="N2794" t="s">
        <v>35</v>
      </c>
      <c r="O2794" t="s">
        <v>30</v>
      </c>
      <c r="P2794">
        <v>8.5468596875904197</v>
      </c>
      <c r="Q2794">
        <v>1.0942837707028601</v>
      </c>
      <c r="R2794">
        <v>3.41169679338853</v>
      </c>
      <c r="S2794">
        <v>87</v>
      </c>
      <c r="T2794">
        <v>41</v>
      </c>
      <c r="U2794">
        <v>521.13368679475298</v>
      </c>
      <c r="V2794">
        <v>5.3285968028419098E-3</v>
      </c>
      <c r="W2794">
        <v>1281891.2405814701</v>
      </c>
      <c r="X2794" t="s">
        <v>44</v>
      </c>
      <c r="Y2794">
        <f>1-575-869-2217</f>
        <v>-3660</v>
      </c>
    </row>
    <row r="2795" spans="1:25" x14ac:dyDescent="0.35">
      <c r="A2795">
        <v>40.774368893171399</v>
      </c>
      <c r="B2795">
        <v>-123.188416825693</v>
      </c>
      <c r="C2795" t="s">
        <v>34</v>
      </c>
      <c r="D2795">
        <v>48.298672596335599</v>
      </c>
      <c r="E2795">
        <v>4</v>
      </c>
      <c r="F2795">
        <v>2324</v>
      </c>
      <c r="G2795">
        <v>1</v>
      </c>
      <c r="H2795">
        <v>3</v>
      </c>
      <c r="I2795">
        <v>1983</v>
      </c>
      <c r="J2795">
        <v>1</v>
      </c>
      <c r="K2795">
        <v>1</v>
      </c>
      <c r="L2795">
        <v>1</v>
      </c>
      <c r="M2795">
        <v>7</v>
      </c>
      <c r="N2795" t="s">
        <v>35</v>
      </c>
      <c r="O2795" t="s">
        <v>32</v>
      </c>
      <c r="P2795">
        <v>12.717619589321</v>
      </c>
      <c r="Q2795">
        <v>2.04466746841456</v>
      </c>
      <c r="R2795">
        <v>6.6731995865049996</v>
      </c>
      <c r="S2795">
        <v>165</v>
      </c>
      <c r="T2795">
        <v>70</v>
      </c>
      <c r="U2795">
        <v>614.53496596996399</v>
      </c>
      <c r="V2795">
        <v>3.0120481927710802E-3</v>
      </c>
      <c r="W2795">
        <v>1682759.40072555</v>
      </c>
      <c r="X2795" t="s">
        <v>36</v>
      </c>
      <c r="Y2795">
        <f>1-916-327-3720</f>
        <v>-4962</v>
      </c>
    </row>
    <row r="2796" spans="1:25" x14ac:dyDescent="0.35">
      <c r="A2796">
        <v>38.132062588530701</v>
      </c>
      <c r="B2796">
        <v>-114.886287332509</v>
      </c>
      <c r="C2796" t="s">
        <v>25</v>
      </c>
      <c r="D2796">
        <v>36.0717135050526</v>
      </c>
      <c r="E2796">
        <v>5</v>
      </c>
      <c r="F2796">
        <v>4214</v>
      </c>
      <c r="G2796">
        <v>5</v>
      </c>
      <c r="H2796">
        <v>3</v>
      </c>
      <c r="I2796">
        <v>2017</v>
      </c>
      <c r="J2796">
        <v>0</v>
      </c>
      <c r="K2796">
        <v>1</v>
      </c>
      <c r="L2796">
        <v>1</v>
      </c>
      <c r="M2796">
        <v>12</v>
      </c>
      <c r="N2796" t="s">
        <v>26</v>
      </c>
      <c r="O2796" t="s">
        <v>32</v>
      </c>
      <c r="P2796">
        <v>13.5306325944837</v>
      </c>
      <c r="Q2796">
        <v>1.88210779318814</v>
      </c>
      <c r="R2796">
        <v>8.0160057565047698</v>
      </c>
      <c r="S2796">
        <v>83</v>
      </c>
      <c r="T2796">
        <v>22</v>
      </c>
      <c r="U2796">
        <v>400.845827158529</v>
      </c>
      <c r="V2796">
        <v>2.8476506881822401E-3</v>
      </c>
      <c r="W2796">
        <v>2287010.5577864698</v>
      </c>
      <c r="X2796" t="s">
        <v>42</v>
      </c>
      <c r="Y2796">
        <f>1-787-276-1789</f>
        <v>-2851</v>
      </c>
    </row>
    <row r="2797" spans="1:25" x14ac:dyDescent="0.35">
      <c r="A2797">
        <v>36.007975629831499</v>
      </c>
      <c r="B2797">
        <v>-117.88070083904501</v>
      </c>
      <c r="C2797" t="s">
        <v>29</v>
      </c>
      <c r="D2797">
        <v>47.385047886848298</v>
      </c>
      <c r="E2797">
        <v>2</v>
      </c>
      <c r="F2797">
        <v>2357</v>
      </c>
      <c r="G2797">
        <v>2</v>
      </c>
      <c r="H2797">
        <v>2</v>
      </c>
      <c r="I2797">
        <v>1957</v>
      </c>
      <c r="J2797">
        <v>1</v>
      </c>
      <c r="K2797">
        <v>1</v>
      </c>
      <c r="L2797">
        <v>0</v>
      </c>
      <c r="M2797">
        <v>7</v>
      </c>
      <c r="N2797" t="s">
        <v>26</v>
      </c>
      <c r="O2797" t="s">
        <v>32</v>
      </c>
      <c r="P2797">
        <v>3.0836397303304599</v>
      </c>
      <c r="Q2797">
        <v>0.77201426785510896</v>
      </c>
      <c r="R2797">
        <v>1.54904090965885</v>
      </c>
      <c r="S2797">
        <v>86</v>
      </c>
      <c r="T2797">
        <v>75</v>
      </c>
      <c r="U2797">
        <v>715.73304872117205</v>
      </c>
      <c r="V2797">
        <v>2.9698769622401298E-3</v>
      </c>
      <c r="W2797">
        <v>1833525.4991070901</v>
      </c>
      <c r="X2797" t="s">
        <v>44</v>
      </c>
      <c r="Y2797">
        <f>1-790-745-1852</f>
        <v>-3386</v>
      </c>
    </row>
    <row r="2798" spans="1:25" x14ac:dyDescent="0.35">
      <c r="A2798">
        <v>41.864735124487297</v>
      </c>
      <c r="B2798">
        <v>-117.888355600491</v>
      </c>
      <c r="C2798" t="s">
        <v>34</v>
      </c>
      <c r="D2798">
        <v>23.406615601066999</v>
      </c>
      <c r="E2798">
        <v>7</v>
      </c>
      <c r="F2798">
        <v>1000</v>
      </c>
      <c r="G2798">
        <v>1</v>
      </c>
      <c r="H2798">
        <v>1</v>
      </c>
      <c r="I2798">
        <v>1980</v>
      </c>
      <c r="J2798">
        <v>1</v>
      </c>
      <c r="K2798">
        <v>1</v>
      </c>
      <c r="L2798">
        <v>0</v>
      </c>
      <c r="M2798">
        <v>5</v>
      </c>
      <c r="N2798" t="s">
        <v>41</v>
      </c>
      <c r="O2798" t="s">
        <v>30</v>
      </c>
      <c r="P2798">
        <v>13.818031919068201</v>
      </c>
      <c r="Q2798">
        <v>2.47172864671575</v>
      </c>
      <c r="R2798">
        <v>3.6715418277371801</v>
      </c>
      <c r="S2798">
        <v>19</v>
      </c>
      <c r="T2798">
        <v>23</v>
      </c>
      <c r="U2798">
        <v>898.28396190223998</v>
      </c>
      <c r="V2798">
        <v>5.0000000000000001E-3</v>
      </c>
      <c r="W2798">
        <v>1130244.3879563699</v>
      </c>
      <c r="X2798" t="s">
        <v>43</v>
      </c>
      <c r="Y2798">
        <f>1-367-781-8171</f>
        <v>-9318</v>
      </c>
    </row>
    <row r="2799" spans="1:25" x14ac:dyDescent="0.35">
      <c r="A2799">
        <v>34.478311284874302</v>
      </c>
      <c r="B2799">
        <v>-124.124960706596</v>
      </c>
      <c r="C2799" t="s">
        <v>25</v>
      </c>
      <c r="D2799">
        <v>39.175805175447003</v>
      </c>
      <c r="E2799">
        <v>7</v>
      </c>
      <c r="F2799">
        <v>3426</v>
      </c>
      <c r="G2799">
        <v>5</v>
      </c>
      <c r="H2799">
        <v>1</v>
      </c>
      <c r="I2799">
        <v>1965</v>
      </c>
      <c r="J2799">
        <v>0</v>
      </c>
      <c r="K2799">
        <v>0</v>
      </c>
      <c r="L2799">
        <v>1</v>
      </c>
      <c r="M2799">
        <v>7</v>
      </c>
      <c r="N2799" t="s">
        <v>26</v>
      </c>
      <c r="O2799" t="s">
        <v>30</v>
      </c>
      <c r="P2799">
        <v>11.999004910788599</v>
      </c>
      <c r="Q2799">
        <v>0.59381407848650802</v>
      </c>
      <c r="R2799">
        <v>5.0872221207016999</v>
      </c>
      <c r="S2799">
        <v>65</v>
      </c>
      <c r="T2799">
        <v>78</v>
      </c>
      <c r="U2799">
        <v>690.76810657713099</v>
      </c>
      <c r="V2799">
        <v>2.04319906596614E-3</v>
      </c>
      <c r="W2799">
        <v>2665760.8045953098</v>
      </c>
      <c r="X2799" t="s">
        <v>39</v>
      </c>
      <c r="Y2799">
        <f>1-440-867-7063</f>
        <v>-8369</v>
      </c>
    </row>
    <row r="2800" spans="1:25" x14ac:dyDescent="0.35">
      <c r="A2800">
        <v>41.696183841073697</v>
      </c>
      <c r="B2800">
        <v>-117.060108326329</v>
      </c>
      <c r="C2800" t="s">
        <v>25</v>
      </c>
      <c r="D2800">
        <v>26.751788793434802</v>
      </c>
      <c r="E2800">
        <v>7</v>
      </c>
      <c r="F2800">
        <v>4868</v>
      </c>
      <c r="G2800">
        <v>5</v>
      </c>
      <c r="H2800">
        <v>3</v>
      </c>
      <c r="I2800">
        <v>1976</v>
      </c>
      <c r="J2800">
        <v>1</v>
      </c>
      <c r="K2800">
        <v>1</v>
      </c>
      <c r="L2800">
        <v>0</v>
      </c>
      <c r="M2800">
        <v>2</v>
      </c>
      <c r="N2800" t="s">
        <v>35</v>
      </c>
      <c r="O2800" t="s">
        <v>27</v>
      </c>
      <c r="P2800">
        <v>3.2581186322453899</v>
      </c>
      <c r="Q2800">
        <v>1.82600647373345</v>
      </c>
      <c r="R2800">
        <v>9.0271523641458593</v>
      </c>
      <c r="S2800">
        <v>78</v>
      </c>
      <c r="T2800">
        <v>76</v>
      </c>
      <c r="U2800">
        <v>797.46398044892203</v>
      </c>
      <c r="V2800">
        <v>4.1084634346754301E-4</v>
      </c>
      <c r="W2800">
        <v>4389577.4235339398</v>
      </c>
      <c r="X2800" t="s">
        <v>31</v>
      </c>
      <c r="Y2800">
        <f>1-295-387-8483</f>
        <v>-9164</v>
      </c>
    </row>
    <row r="2801" spans="1:25" x14ac:dyDescent="0.35">
      <c r="A2801">
        <v>36.867701317425997</v>
      </c>
      <c r="B2801">
        <v>-122.50147413145901</v>
      </c>
      <c r="C2801" t="s">
        <v>34</v>
      </c>
      <c r="D2801">
        <v>28.520014668133001</v>
      </c>
      <c r="E2801">
        <v>2</v>
      </c>
      <c r="F2801">
        <v>2322</v>
      </c>
      <c r="G2801">
        <v>1</v>
      </c>
      <c r="H2801">
        <v>3</v>
      </c>
      <c r="I2801">
        <v>1959</v>
      </c>
      <c r="J2801">
        <v>1</v>
      </c>
      <c r="K2801">
        <v>1</v>
      </c>
      <c r="L2801">
        <v>0</v>
      </c>
      <c r="M2801">
        <v>8</v>
      </c>
      <c r="N2801" t="s">
        <v>35</v>
      </c>
      <c r="O2801" t="s">
        <v>30</v>
      </c>
      <c r="P2801">
        <v>10.9617662458424</v>
      </c>
      <c r="Q2801">
        <v>2.40487681849589</v>
      </c>
      <c r="R2801">
        <v>2.9394438199081399</v>
      </c>
      <c r="S2801">
        <v>90</v>
      </c>
      <c r="T2801">
        <v>39</v>
      </c>
      <c r="U2801">
        <v>221.829201169952</v>
      </c>
      <c r="V2801">
        <v>3.4453057708871602E-3</v>
      </c>
      <c r="W2801">
        <v>780227.10225685302</v>
      </c>
      <c r="X2801" t="s">
        <v>28</v>
      </c>
      <c r="Y2801">
        <f>1-735-373-7368</f>
        <v>-8475</v>
      </c>
    </row>
    <row r="2802" spans="1:25" x14ac:dyDescent="0.35">
      <c r="A2802">
        <v>39.476061523019503</v>
      </c>
      <c r="B2802">
        <v>-119.639070418697</v>
      </c>
      <c r="C2802" t="s">
        <v>29</v>
      </c>
      <c r="D2802">
        <v>31.5769232023864</v>
      </c>
      <c r="E2802">
        <v>4</v>
      </c>
      <c r="F2802">
        <v>2570</v>
      </c>
      <c r="G2802">
        <v>2</v>
      </c>
      <c r="H2802">
        <v>1</v>
      </c>
      <c r="I2802">
        <v>2002</v>
      </c>
      <c r="J2802">
        <v>1</v>
      </c>
      <c r="K2802">
        <v>0</v>
      </c>
      <c r="L2802">
        <v>0</v>
      </c>
      <c r="M2802">
        <v>2</v>
      </c>
      <c r="N2802" t="s">
        <v>37</v>
      </c>
      <c r="O2802" t="s">
        <v>32</v>
      </c>
      <c r="P2802">
        <v>9.3220861582056092</v>
      </c>
      <c r="Q2802">
        <v>1.85100269036851</v>
      </c>
      <c r="R2802">
        <v>2.7607729569966102</v>
      </c>
      <c r="S2802">
        <v>19</v>
      </c>
      <c r="T2802">
        <v>61</v>
      </c>
      <c r="U2802">
        <v>631.18039051625499</v>
      </c>
      <c r="V2802">
        <v>7.7821011673151702E-4</v>
      </c>
      <c r="W2802">
        <v>1777302.99057324</v>
      </c>
      <c r="X2802" t="s">
        <v>36</v>
      </c>
      <c r="Y2802">
        <f>1-641-807-8254</f>
        <v>-9701</v>
      </c>
    </row>
    <row r="2803" spans="1:25" x14ac:dyDescent="0.35">
      <c r="A2803">
        <v>33.218177522167203</v>
      </c>
      <c r="B2803">
        <v>-114.453966443772</v>
      </c>
      <c r="C2803" t="s">
        <v>25</v>
      </c>
      <c r="D2803">
        <v>41.848329698810502</v>
      </c>
      <c r="E2803">
        <v>8</v>
      </c>
      <c r="F2803">
        <v>1079</v>
      </c>
      <c r="G2803">
        <v>3</v>
      </c>
      <c r="H2803">
        <v>3</v>
      </c>
      <c r="I2803">
        <v>1995</v>
      </c>
      <c r="J2803">
        <v>0</v>
      </c>
      <c r="K2803">
        <v>0</v>
      </c>
      <c r="L2803">
        <v>1</v>
      </c>
      <c r="M2803">
        <v>11</v>
      </c>
      <c r="N2803" t="s">
        <v>37</v>
      </c>
      <c r="O2803" t="s">
        <v>30</v>
      </c>
      <c r="P2803">
        <v>3.17389130692934</v>
      </c>
      <c r="Q2803">
        <v>1.9021097350532901</v>
      </c>
      <c r="R2803">
        <v>8.4709623452438496</v>
      </c>
      <c r="S2803">
        <v>79</v>
      </c>
      <c r="T2803">
        <v>57</v>
      </c>
      <c r="U2803">
        <v>852.06323522217701</v>
      </c>
      <c r="V2803">
        <v>1.0194624652455899E-2</v>
      </c>
      <c r="W2803">
        <v>1132857.71872858</v>
      </c>
      <c r="X2803" t="s">
        <v>38</v>
      </c>
      <c r="Y2803">
        <f>1-542-894-1261</f>
        <v>-2696</v>
      </c>
    </row>
    <row r="2804" spans="1:25" x14ac:dyDescent="0.35">
      <c r="A2804">
        <v>41.219659203441203</v>
      </c>
      <c r="B2804">
        <v>-117.486135737913</v>
      </c>
      <c r="C2804" t="s">
        <v>25</v>
      </c>
      <c r="D2804">
        <v>10.734594885096501</v>
      </c>
      <c r="E2804">
        <v>8</v>
      </c>
      <c r="F2804">
        <v>1201</v>
      </c>
      <c r="G2804">
        <v>2</v>
      </c>
      <c r="H2804">
        <v>2</v>
      </c>
      <c r="I2804">
        <v>2004</v>
      </c>
      <c r="J2804">
        <v>1</v>
      </c>
      <c r="K2804">
        <v>0</v>
      </c>
      <c r="L2804">
        <v>0</v>
      </c>
      <c r="M2804">
        <v>11</v>
      </c>
      <c r="N2804" t="s">
        <v>41</v>
      </c>
      <c r="O2804" t="s">
        <v>27</v>
      </c>
      <c r="P2804">
        <v>8.0899303201747799</v>
      </c>
      <c r="Q2804">
        <v>1.8154441306240601</v>
      </c>
      <c r="R2804">
        <v>4.6711289954207302</v>
      </c>
      <c r="S2804">
        <v>110</v>
      </c>
      <c r="T2804">
        <v>43</v>
      </c>
      <c r="U2804">
        <v>981.54541678702503</v>
      </c>
      <c r="V2804">
        <v>9.1590341382181504E-3</v>
      </c>
      <c r="W2804">
        <v>1322234.9125162901</v>
      </c>
      <c r="X2804" t="s">
        <v>44</v>
      </c>
      <c r="Y2804">
        <f>1-320-135-7603</f>
        <v>-8057</v>
      </c>
    </row>
    <row r="2805" spans="1:25" x14ac:dyDescent="0.35">
      <c r="A2805">
        <v>36.382317085290403</v>
      </c>
      <c r="B2805">
        <v>-117.559694646872</v>
      </c>
      <c r="C2805" t="s">
        <v>34</v>
      </c>
      <c r="D2805">
        <v>26.2053526586758</v>
      </c>
      <c r="E2805">
        <v>9</v>
      </c>
      <c r="F2805">
        <v>638</v>
      </c>
      <c r="G2805">
        <v>1</v>
      </c>
      <c r="H2805">
        <v>1</v>
      </c>
      <c r="I2805">
        <v>2007</v>
      </c>
      <c r="J2805">
        <v>1</v>
      </c>
      <c r="K2805">
        <v>1</v>
      </c>
      <c r="L2805">
        <v>1</v>
      </c>
      <c r="M2805">
        <v>14</v>
      </c>
      <c r="N2805" t="s">
        <v>37</v>
      </c>
      <c r="O2805" t="s">
        <v>30</v>
      </c>
      <c r="P2805">
        <v>11.902735822485599</v>
      </c>
      <c r="Q2805">
        <v>1.2613143899298001</v>
      </c>
      <c r="R2805">
        <v>1.01460994391285</v>
      </c>
      <c r="S2805">
        <v>127</v>
      </c>
      <c r="T2805">
        <v>78</v>
      </c>
      <c r="U2805">
        <v>855.04764951636196</v>
      </c>
      <c r="V2805">
        <v>2.1943573667711599E-2</v>
      </c>
      <c r="W2805">
        <v>905631.179210186</v>
      </c>
      <c r="X2805" t="s">
        <v>39</v>
      </c>
      <c r="Y2805">
        <f>1-234-875-2118</f>
        <v>-3226</v>
      </c>
    </row>
    <row r="2806" spans="1:25" x14ac:dyDescent="0.35">
      <c r="A2806">
        <v>40.122458640416397</v>
      </c>
      <c r="B2806">
        <v>-117.799542506454</v>
      </c>
      <c r="C2806" t="s">
        <v>29</v>
      </c>
      <c r="D2806">
        <v>36.562682638787898</v>
      </c>
      <c r="E2806">
        <v>8</v>
      </c>
      <c r="F2806">
        <v>2670</v>
      </c>
      <c r="G2806">
        <v>4</v>
      </c>
      <c r="H2806">
        <v>3</v>
      </c>
      <c r="I2806">
        <v>1982</v>
      </c>
      <c r="J2806">
        <v>1</v>
      </c>
      <c r="K2806">
        <v>1</v>
      </c>
      <c r="L2806">
        <v>1</v>
      </c>
      <c r="M2806">
        <v>12</v>
      </c>
      <c r="N2806" t="s">
        <v>35</v>
      </c>
      <c r="O2806" t="s">
        <v>32</v>
      </c>
      <c r="P2806">
        <v>5.1313710183135397</v>
      </c>
      <c r="Q2806">
        <v>1.66273071716929</v>
      </c>
      <c r="R2806">
        <v>3.1473198421589998</v>
      </c>
      <c r="S2806">
        <v>84</v>
      </c>
      <c r="T2806">
        <v>60</v>
      </c>
      <c r="U2806">
        <v>978.09447054400096</v>
      </c>
      <c r="V2806">
        <v>4.4943820224719096E-3</v>
      </c>
      <c r="W2806">
        <v>2989343.9479918499</v>
      </c>
      <c r="X2806" t="s">
        <v>44</v>
      </c>
      <c r="Y2806">
        <f>1-891-920-2285</f>
        <v>-4095</v>
      </c>
    </row>
    <row r="2807" spans="1:25" x14ac:dyDescent="0.35">
      <c r="A2807">
        <v>39.5605553124078</v>
      </c>
      <c r="B2807">
        <v>-124.192545731103</v>
      </c>
      <c r="C2807" t="s">
        <v>29</v>
      </c>
      <c r="D2807">
        <v>29.290720307978699</v>
      </c>
      <c r="E2807">
        <v>9</v>
      </c>
      <c r="F2807">
        <v>4859</v>
      </c>
      <c r="G2807">
        <v>5</v>
      </c>
      <c r="H2807">
        <v>3</v>
      </c>
      <c r="I2807">
        <v>2003</v>
      </c>
      <c r="J2807">
        <v>0</v>
      </c>
      <c r="K2807">
        <v>0</v>
      </c>
      <c r="L2807">
        <v>0</v>
      </c>
      <c r="M2807">
        <v>13</v>
      </c>
      <c r="N2807" t="s">
        <v>41</v>
      </c>
      <c r="O2807" t="s">
        <v>30</v>
      </c>
      <c r="P2807">
        <v>13.5539617458154</v>
      </c>
      <c r="Q2807">
        <v>1.47371108526489</v>
      </c>
      <c r="R2807">
        <v>6.8628517494729904</v>
      </c>
      <c r="S2807">
        <v>27</v>
      </c>
      <c r="T2807">
        <v>55</v>
      </c>
      <c r="U2807">
        <v>490.52778942855201</v>
      </c>
      <c r="V2807">
        <v>2.6754476229676801E-3</v>
      </c>
      <c r="W2807">
        <v>2795917.5059775901</v>
      </c>
      <c r="X2807" t="s">
        <v>28</v>
      </c>
      <c r="Y2807">
        <f>1-345-702-3171</f>
        <v>-4217</v>
      </c>
    </row>
    <row r="2808" spans="1:25" x14ac:dyDescent="0.35">
      <c r="A2808">
        <v>39.364043755149197</v>
      </c>
      <c r="B2808">
        <v>-116.41683353913901</v>
      </c>
      <c r="C2808" t="s">
        <v>34</v>
      </c>
      <c r="D2808">
        <v>14.868258197197299</v>
      </c>
      <c r="E2808">
        <v>7</v>
      </c>
      <c r="F2808">
        <v>2365</v>
      </c>
      <c r="G2808">
        <v>2</v>
      </c>
      <c r="H2808">
        <v>1</v>
      </c>
      <c r="I2808">
        <v>1955</v>
      </c>
      <c r="J2808">
        <v>1</v>
      </c>
      <c r="K2808">
        <v>0</v>
      </c>
      <c r="L2808">
        <v>1</v>
      </c>
      <c r="M2808">
        <v>2</v>
      </c>
      <c r="N2808" t="s">
        <v>26</v>
      </c>
      <c r="O2808" t="s">
        <v>27</v>
      </c>
      <c r="P2808">
        <v>10.4117241233896</v>
      </c>
      <c r="Q2808">
        <v>1.6872015544962</v>
      </c>
      <c r="R2808">
        <v>1.67408077564859</v>
      </c>
      <c r="S2808">
        <v>135</v>
      </c>
      <c r="T2808">
        <v>59</v>
      </c>
      <c r="U2808">
        <v>516.25593041274101</v>
      </c>
      <c r="V2808">
        <v>8.4566596194503101E-4</v>
      </c>
      <c r="W2808">
        <v>1549246.00639812</v>
      </c>
      <c r="X2808" t="s">
        <v>33</v>
      </c>
      <c r="Y2808">
        <f>1-714-476-3906</f>
        <v>-5095</v>
      </c>
    </row>
    <row r="2809" spans="1:25" x14ac:dyDescent="0.35">
      <c r="A2809">
        <v>41.253509910142903</v>
      </c>
      <c r="B2809">
        <v>-116.412242311059</v>
      </c>
      <c r="C2809" t="s">
        <v>25</v>
      </c>
      <c r="D2809">
        <v>29.1480999782639</v>
      </c>
      <c r="E2809">
        <v>5</v>
      </c>
      <c r="F2809">
        <v>4875</v>
      </c>
      <c r="G2809">
        <v>4</v>
      </c>
      <c r="H2809">
        <v>1</v>
      </c>
      <c r="I2809">
        <v>2016</v>
      </c>
      <c r="J2809">
        <v>1</v>
      </c>
      <c r="K2809">
        <v>0</v>
      </c>
      <c r="L2809">
        <v>1</v>
      </c>
      <c r="M2809">
        <v>3</v>
      </c>
      <c r="N2809" t="s">
        <v>35</v>
      </c>
      <c r="O2809" t="s">
        <v>27</v>
      </c>
      <c r="P2809">
        <v>2.3772473021487901</v>
      </c>
      <c r="Q2809">
        <v>1.05311215230865</v>
      </c>
      <c r="R2809">
        <v>6.5270923352939096</v>
      </c>
      <c r="S2809">
        <v>141</v>
      </c>
      <c r="T2809">
        <v>48</v>
      </c>
      <c r="U2809">
        <v>376.40779305177398</v>
      </c>
      <c r="V2809">
        <v>6.1538461538461497E-4</v>
      </c>
      <c r="W2809">
        <v>2119737.7635646798</v>
      </c>
      <c r="X2809" t="s">
        <v>43</v>
      </c>
      <c r="Y2809">
        <f>1-815-829-2369</f>
        <v>-4012</v>
      </c>
    </row>
    <row r="2810" spans="1:25" x14ac:dyDescent="0.35">
      <c r="A2810">
        <v>38.823402019382399</v>
      </c>
      <c r="B2810">
        <v>-118.65967856824599</v>
      </c>
      <c r="C2810" t="s">
        <v>29</v>
      </c>
      <c r="D2810">
        <v>36.872086332461897</v>
      </c>
      <c r="E2810">
        <v>4</v>
      </c>
      <c r="F2810">
        <v>1324</v>
      </c>
      <c r="G2810">
        <v>1</v>
      </c>
      <c r="H2810">
        <v>2</v>
      </c>
      <c r="I2810">
        <v>1994</v>
      </c>
      <c r="J2810">
        <v>1</v>
      </c>
      <c r="K2810">
        <v>1</v>
      </c>
      <c r="L2810">
        <v>1</v>
      </c>
      <c r="M2810">
        <v>13</v>
      </c>
      <c r="N2810" t="s">
        <v>35</v>
      </c>
      <c r="O2810" t="s">
        <v>27</v>
      </c>
      <c r="P2810">
        <v>7.4569828583563798</v>
      </c>
      <c r="Q2810">
        <v>1.3936731819821799</v>
      </c>
      <c r="R2810">
        <v>3.16022827436655</v>
      </c>
      <c r="S2810">
        <v>57</v>
      </c>
      <c r="T2810">
        <v>24</v>
      </c>
      <c r="U2810">
        <v>966.72785750672801</v>
      </c>
      <c r="V2810">
        <v>9.8187311178247697E-3</v>
      </c>
      <c r="W2810">
        <v>1661490.0939068701</v>
      </c>
      <c r="X2810" t="s">
        <v>38</v>
      </c>
      <c r="Y2810">
        <f>1-331-778-6347</f>
        <v>-7455</v>
      </c>
    </row>
    <row r="2811" spans="1:25" x14ac:dyDescent="0.35">
      <c r="A2811">
        <v>33.010839929287002</v>
      </c>
      <c r="B2811">
        <v>-121.501894526699</v>
      </c>
      <c r="C2811" t="s">
        <v>34</v>
      </c>
      <c r="D2811">
        <v>6.1260954902533298</v>
      </c>
      <c r="E2811">
        <v>2</v>
      </c>
      <c r="F2811">
        <v>1003</v>
      </c>
      <c r="G2811">
        <v>1</v>
      </c>
      <c r="H2811">
        <v>2</v>
      </c>
      <c r="I2811">
        <v>2001</v>
      </c>
      <c r="J2811">
        <v>0</v>
      </c>
      <c r="K2811">
        <v>1</v>
      </c>
      <c r="L2811">
        <v>1</v>
      </c>
      <c r="M2811">
        <v>11</v>
      </c>
      <c r="N2811" t="s">
        <v>35</v>
      </c>
      <c r="O2811" t="s">
        <v>32</v>
      </c>
      <c r="P2811">
        <v>8.1827772397890897</v>
      </c>
      <c r="Q2811">
        <v>2.0110768200920899</v>
      </c>
      <c r="R2811">
        <v>3.1691464721805498</v>
      </c>
      <c r="S2811">
        <v>197</v>
      </c>
      <c r="T2811">
        <v>51</v>
      </c>
      <c r="U2811">
        <v>679.96662374910102</v>
      </c>
      <c r="V2811">
        <v>1.09670987038883E-2</v>
      </c>
      <c r="W2811">
        <v>1034850.4741571</v>
      </c>
      <c r="X2811" t="s">
        <v>43</v>
      </c>
      <c r="Y2811">
        <f>1-416-826-4903</f>
        <v>-6144</v>
      </c>
    </row>
    <row r="2812" spans="1:25" x14ac:dyDescent="0.35">
      <c r="A2812">
        <v>40.143941789373102</v>
      </c>
      <c r="B2812">
        <v>-123.11273444626801</v>
      </c>
      <c r="C2812" t="s">
        <v>34</v>
      </c>
      <c r="D2812">
        <v>42.654155041075498</v>
      </c>
      <c r="E2812">
        <v>6</v>
      </c>
      <c r="F2812">
        <v>1586</v>
      </c>
      <c r="G2812">
        <v>1</v>
      </c>
      <c r="H2812">
        <v>1</v>
      </c>
      <c r="I2812">
        <v>1990</v>
      </c>
      <c r="J2812">
        <v>0</v>
      </c>
      <c r="K2812">
        <v>0</v>
      </c>
      <c r="L2812">
        <v>0</v>
      </c>
      <c r="M2812">
        <v>3</v>
      </c>
      <c r="N2812" t="s">
        <v>37</v>
      </c>
      <c r="O2812" t="s">
        <v>30</v>
      </c>
      <c r="P2812">
        <v>11.3337090100789</v>
      </c>
      <c r="Q2812">
        <v>0.56454945230192699</v>
      </c>
      <c r="R2812">
        <v>8.1583765704484197</v>
      </c>
      <c r="S2812">
        <v>189</v>
      </c>
      <c r="T2812">
        <v>29</v>
      </c>
      <c r="U2812">
        <v>637.20386053980906</v>
      </c>
      <c r="V2812">
        <v>1.8915510718789401E-3</v>
      </c>
      <c r="W2812">
        <v>1124827.42950745</v>
      </c>
      <c r="X2812" t="s">
        <v>38</v>
      </c>
      <c r="Y2812">
        <f>1-308-422-6234</f>
        <v>-6963</v>
      </c>
    </row>
    <row r="2813" spans="1:25" x14ac:dyDescent="0.35">
      <c r="A2813">
        <v>38.022882599886202</v>
      </c>
      <c r="B2813">
        <v>-114.947519159208</v>
      </c>
      <c r="C2813" t="s">
        <v>34</v>
      </c>
      <c r="D2813">
        <v>33.6927532738952</v>
      </c>
      <c r="E2813">
        <v>9</v>
      </c>
      <c r="F2813">
        <v>3446</v>
      </c>
      <c r="G2813">
        <v>4</v>
      </c>
      <c r="H2813">
        <v>3</v>
      </c>
      <c r="I2813">
        <v>2022</v>
      </c>
      <c r="J2813">
        <v>1</v>
      </c>
      <c r="K2813">
        <v>1</v>
      </c>
      <c r="L2813">
        <v>0</v>
      </c>
      <c r="M2813">
        <v>7</v>
      </c>
      <c r="N2813" t="s">
        <v>26</v>
      </c>
      <c r="O2813" t="s">
        <v>27</v>
      </c>
      <c r="P2813">
        <v>3.8867617558840402</v>
      </c>
      <c r="Q2813">
        <v>2.1947307984673201</v>
      </c>
      <c r="R2813">
        <v>1.738769006576</v>
      </c>
      <c r="S2813">
        <v>141</v>
      </c>
      <c r="T2813">
        <v>65</v>
      </c>
      <c r="U2813">
        <v>397.356391480333</v>
      </c>
      <c r="V2813">
        <v>2.0313406848520002E-3</v>
      </c>
      <c r="W2813">
        <v>1790350.3237345901</v>
      </c>
      <c r="X2813" t="s">
        <v>39</v>
      </c>
      <c r="Y2813">
        <f>1-559-822-1793</f>
        <v>-3173</v>
      </c>
    </row>
    <row r="2814" spans="1:25" x14ac:dyDescent="0.35">
      <c r="A2814">
        <v>36.794242868674303</v>
      </c>
      <c r="B2814">
        <v>-119.72643311004001</v>
      </c>
      <c r="C2814" t="s">
        <v>34</v>
      </c>
      <c r="D2814">
        <v>19.853520457693001</v>
      </c>
      <c r="E2814">
        <v>1</v>
      </c>
      <c r="F2814">
        <v>4118</v>
      </c>
      <c r="G2814">
        <v>3</v>
      </c>
      <c r="H2814">
        <v>1</v>
      </c>
      <c r="I2814">
        <v>1998</v>
      </c>
      <c r="J2814">
        <v>1</v>
      </c>
      <c r="K2814">
        <v>1</v>
      </c>
      <c r="L2814">
        <v>0</v>
      </c>
      <c r="M2814">
        <v>9</v>
      </c>
      <c r="N2814" t="s">
        <v>26</v>
      </c>
      <c r="O2814" t="s">
        <v>27</v>
      </c>
      <c r="P2814">
        <v>5.9905695831138601</v>
      </c>
      <c r="Q2814">
        <v>2.2611142083854201</v>
      </c>
      <c r="R2814">
        <v>8.9619705206879505</v>
      </c>
      <c r="S2814">
        <v>86</v>
      </c>
      <c r="T2814">
        <v>79</v>
      </c>
      <c r="U2814">
        <v>440.08871915815399</v>
      </c>
      <c r="V2814">
        <v>2.1855269548324398E-3</v>
      </c>
      <c r="W2814">
        <v>2129080.7334828898</v>
      </c>
      <c r="X2814" t="s">
        <v>38</v>
      </c>
      <c r="Y2814">
        <f>1-279-213-1093</f>
        <v>-1584</v>
      </c>
    </row>
    <row r="2815" spans="1:25" x14ac:dyDescent="0.35">
      <c r="A2815">
        <v>38.907517203248197</v>
      </c>
      <c r="B2815">
        <v>-124.309421199524</v>
      </c>
      <c r="C2815" t="s">
        <v>29</v>
      </c>
      <c r="D2815">
        <v>21.830518297985201</v>
      </c>
      <c r="E2815">
        <v>4</v>
      </c>
      <c r="F2815">
        <v>2238</v>
      </c>
      <c r="G2815">
        <v>2</v>
      </c>
      <c r="H2815">
        <v>3</v>
      </c>
      <c r="I2815">
        <v>2005</v>
      </c>
      <c r="J2815">
        <v>0</v>
      </c>
      <c r="K2815">
        <v>1</v>
      </c>
      <c r="L2815">
        <v>1</v>
      </c>
      <c r="M2815">
        <v>10</v>
      </c>
      <c r="N2815" t="s">
        <v>35</v>
      </c>
      <c r="O2815" t="s">
        <v>30</v>
      </c>
      <c r="P2815">
        <v>10.460364244503999</v>
      </c>
      <c r="Q2815">
        <v>1.9299760543567701</v>
      </c>
      <c r="R2815">
        <v>7.6565390474282902</v>
      </c>
      <c r="S2815">
        <v>196</v>
      </c>
      <c r="T2815">
        <v>26</v>
      </c>
      <c r="U2815">
        <v>283.02601921826499</v>
      </c>
      <c r="V2815">
        <v>4.4682752457551296E-3</v>
      </c>
      <c r="W2815">
        <v>1008481.65777529</v>
      </c>
      <c r="X2815" t="s">
        <v>40</v>
      </c>
      <c r="Y2815">
        <f>1-817-232-9226</f>
        <v>-10274</v>
      </c>
    </row>
    <row r="2816" spans="1:25" x14ac:dyDescent="0.35">
      <c r="A2816">
        <v>35.702174447314299</v>
      </c>
      <c r="B2816">
        <v>-124.394982362828</v>
      </c>
      <c r="C2816" t="s">
        <v>29</v>
      </c>
      <c r="D2816">
        <v>17.749086077065801</v>
      </c>
      <c r="E2816">
        <v>7</v>
      </c>
      <c r="F2816">
        <v>2121</v>
      </c>
      <c r="G2816">
        <v>3</v>
      </c>
      <c r="H2816">
        <v>1</v>
      </c>
      <c r="I2816">
        <v>1961</v>
      </c>
      <c r="J2816">
        <v>1</v>
      </c>
      <c r="K2816">
        <v>1</v>
      </c>
      <c r="L2816">
        <v>1</v>
      </c>
      <c r="M2816">
        <v>9</v>
      </c>
      <c r="N2816" t="s">
        <v>26</v>
      </c>
      <c r="O2816" t="s">
        <v>30</v>
      </c>
      <c r="P2816">
        <v>12.402022298905599</v>
      </c>
      <c r="Q2816">
        <v>1.90301041978129</v>
      </c>
      <c r="R2816">
        <v>9.9776066278723992</v>
      </c>
      <c r="S2816">
        <v>68</v>
      </c>
      <c r="T2816">
        <v>52</v>
      </c>
      <c r="U2816">
        <v>803.10616424913496</v>
      </c>
      <c r="V2816">
        <v>4.2432814710042397E-3</v>
      </c>
      <c r="W2816">
        <v>2135653.9610268301</v>
      </c>
      <c r="X2816" t="s">
        <v>36</v>
      </c>
      <c r="Y2816">
        <f>1-923-556-5873</f>
        <v>-7351</v>
      </c>
    </row>
    <row r="2817" spans="1:25" x14ac:dyDescent="0.35">
      <c r="A2817">
        <v>41.1086133785982</v>
      </c>
      <c r="B2817">
        <v>-123.894511808313</v>
      </c>
      <c r="C2817" t="s">
        <v>34</v>
      </c>
      <c r="D2817">
        <v>40.481965580068398</v>
      </c>
      <c r="E2817">
        <v>2</v>
      </c>
      <c r="F2817">
        <v>2154</v>
      </c>
      <c r="G2817">
        <v>1</v>
      </c>
      <c r="H2817">
        <v>1</v>
      </c>
      <c r="I2817">
        <v>2009</v>
      </c>
      <c r="J2817">
        <v>1</v>
      </c>
      <c r="K2817">
        <v>1</v>
      </c>
      <c r="L2817">
        <v>1</v>
      </c>
      <c r="M2817">
        <v>6</v>
      </c>
      <c r="N2817" t="s">
        <v>41</v>
      </c>
      <c r="O2817" t="s">
        <v>27</v>
      </c>
      <c r="P2817">
        <v>13.4134985199242</v>
      </c>
      <c r="Q2817">
        <v>1.39955454489498</v>
      </c>
      <c r="R2817">
        <v>8.3708404668687297</v>
      </c>
      <c r="S2817">
        <v>49</v>
      </c>
      <c r="T2817">
        <v>48</v>
      </c>
      <c r="U2817">
        <v>379.57549905318302</v>
      </c>
      <c r="V2817">
        <v>2.7855153203342601E-3</v>
      </c>
      <c r="W2817">
        <v>1107961.5792372499</v>
      </c>
      <c r="X2817" t="s">
        <v>39</v>
      </c>
      <c r="Y2817">
        <f>1-389-281-8468</f>
        <v>-9137</v>
      </c>
    </row>
    <row r="2818" spans="1:25" x14ac:dyDescent="0.35">
      <c r="A2818">
        <v>40.822205019204603</v>
      </c>
      <c r="B2818">
        <v>-123.426924599076</v>
      </c>
      <c r="C2818" t="s">
        <v>34</v>
      </c>
      <c r="D2818">
        <v>17.868758668627098</v>
      </c>
      <c r="E2818">
        <v>5</v>
      </c>
      <c r="F2818">
        <v>4077</v>
      </c>
      <c r="G2818">
        <v>2</v>
      </c>
      <c r="H2818">
        <v>3</v>
      </c>
      <c r="I2818">
        <v>1958</v>
      </c>
      <c r="J2818">
        <v>1</v>
      </c>
      <c r="K2818">
        <v>1</v>
      </c>
      <c r="L2818">
        <v>1</v>
      </c>
      <c r="M2818">
        <v>9</v>
      </c>
      <c r="N2818" t="s">
        <v>26</v>
      </c>
      <c r="O2818" t="s">
        <v>30</v>
      </c>
      <c r="P2818">
        <v>5.8931098319698902</v>
      </c>
      <c r="Q2818">
        <v>1.53975620457491</v>
      </c>
      <c r="R2818">
        <v>6.7615417815218806E-2</v>
      </c>
      <c r="S2818">
        <v>64</v>
      </c>
      <c r="T2818">
        <v>38</v>
      </c>
      <c r="U2818">
        <v>436.27091647677798</v>
      </c>
      <c r="V2818">
        <v>2.20750551876379E-3</v>
      </c>
      <c r="W2818">
        <v>2147274.4472132502</v>
      </c>
      <c r="X2818" t="s">
        <v>38</v>
      </c>
      <c r="Y2818">
        <f>1-985-502-3819</f>
        <v>-5305</v>
      </c>
    </row>
    <row r="2819" spans="1:25" x14ac:dyDescent="0.35">
      <c r="A2819">
        <v>41.191716180698101</v>
      </c>
      <c r="B2819">
        <v>-114.738432590062</v>
      </c>
      <c r="C2819" t="s">
        <v>25</v>
      </c>
      <c r="D2819">
        <v>24.8878543167516</v>
      </c>
      <c r="E2819">
        <v>5</v>
      </c>
      <c r="F2819">
        <v>2997</v>
      </c>
      <c r="G2819">
        <v>2</v>
      </c>
      <c r="H2819">
        <v>2</v>
      </c>
      <c r="I2819">
        <v>2015</v>
      </c>
      <c r="J2819">
        <v>1</v>
      </c>
      <c r="K2819">
        <v>0</v>
      </c>
      <c r="L2819">
        <v>0</v>
      </c>
      <c r="M2819">
        <v>7</v>
      </c>
      <c r="N2819" t="s">
        <v>35</v>
      </c>
      <c r="O2819" t="s">
        <v>27</v>
      </c>
      <c r="P2819">
        <v>11.406035247296799</v>
      </c>
      <c r="Q2819">
        <v>0.56002413187565303</v>
      </c>
      <c r="R2819">
        <v>1.5522749060018699</v>
      </c>
      <c r="S2819">
        <v>136</v>
      </c>
      <c r="T2819">
        <v>71</v>
      </c>
      <c r="U2819">
        <v>237.03666280138501</v>
      </c>
      <c r="V2819">
        <v>2.3356690023356602E-3</v>
      </c>
      <c r="W2819">
        <v>1001285.54205128</v>
      </c>
      <c r="X2819" t="s">
        <v>28</v>
      </c>
      <c r="Y2819">
        <f>1-214-510-1393</f>
        <v>-2116</v>
      </c>
    </row>
    <row r="2820" spans="1:25" x14ac:dyDescent="0.35">
      <c r="A2820">
        <v>40.186905388697497</v>
      </c>
      <c r="B2820">
        <v>-118.778093702457</v>
      </c>
      <c r="C2820" t="s">
        <v>29</v>
      </c>
      <c r="D2820">
        <v>43.252819724740903</v>
      </c>
      <c r="E2820">
        <v>7</v>
      </c>
      <c r="F2820">
        <v>4942</v>
      </c>
      <c r="G2820">
        <v>4</v>
      </c>
      <c r="H2820">
        <v>3</v>
      </c>
      <c r="I2820">
        <v>2021</v>
      </c>
      <c r="J2820">
        <v>0</v>
      </c>
      <c r="K2820">
        <v>0</v>
      </c>
      <c r="L2820">
        <v>1</v>
      </c>
      <c r="M2820">
        <v>10</v>
      </c>
      <c r="N2820" t="s">
        <v>26</v>
      </c>
      <c r="O2820" t="s">
        <v>27</v>
      </c>
      <c r="P2820">
        <v>6.27093505809587</v>
      </c>
      <c r="Q2820">
        <v>2.00069584033485</v>
      </c>
      <c r="R2820">
        <v>9.4613713563566204</v>
      </c>
      <c r="S2820">
        <v>36</v>
      </c>
      <c r="T2820">
        <v>20</v>
      </c>
      <c r="U2820">
        <v>263.49177759908702</v>
      </c>
      <c r="V2820">
        <v>2.0234722784297798E-3</v>
      </c>
      <c r="W2820">
        <v>1636162.38450226</v>
      </c>
      <c r="X2820" t="s">
        <v>33</v>
      </c>
      <c r="Y2820">
        <f>1-836-884-4365</f>
        <v>-6084</v>
      </c>
    </row>
    <row r="2821" spans="1:25" x14ac:dyDescent="0.35">
      <c r="A2821">
        <v>40.880647219348702</v>
      </c>
      <c r="B2821">
        <v>-122.36296446509201</v>
      </c>
      <c r="C2821" t="s">
        <v>29</v>
      </c>
      <c r="D2821">
        <v>38.6339174554289</v>
      </c>
      <c r="E2821">
        <v>4</v>
      </c>
      <c r="F2821">
        <v>711</v>
      </c>
      <c r="G2821">
        <v>2</v>
      </c>
      <c r="H2821">
        <v>3</v>
      </c>
      <c r="I2821">
        <v>1979</v>
      </c>
      <c r="J2821">
        <v>0</v>
      </c>
      <c r="K2821">
        <v>1</v>
      </c>
      <c r="L2821">
        <v>0</v>
      </c>
      <c r="M2821">
        <v>5</v>
      </c>
      <c r="N2821" t="s">
        <v>35</v>
      </c>
      <c r="O2821" t="s">
        <v>27</v>
      </c>
      <c r="P2821">
        <v>5.5142303110173598</v>
      </c>
      <c r="Q2821">
        <v>0.67651867504334495</v>
      </c>
      <c r="R2821">
        <v>4.9027481103355104</v>
      </c>
      <c r="S2821">
        <v>94</v>
      </c>
      <c r="T2821">
        <v>24</v>
      </c>
      <c r="U2821">
        <v>811.61017742875197</v>
      </c>
      <c r="V2821">
        <v>7.0323488045007003E-3</v>
      </c>
      <c r="W2821">
        <v>868429.86145954102</v>
      </c>
      <c r="X2821" t="s">
        <v>33</v>
      </c>
      <c r="Y2821">
        <f>1-435-544-5618</f>
        <v>-6596</v>
      </c>
    </row>
    <row r="2822" spans="1:25" x14ac:dyDescent="0.35">
      <c r="A2822">
        <v>36.550815604306003</v>
      </c>
      <c r="B2822">
        <v>-123.10108752064799</v>
      </c>
      <c r="C2822" t="s">
        <v>34</v>
      </c>
      <c r="D2822">
        <v>20.128634486293802</v>
      </c>
      <c r="E2822">
        <v>9</v>
      </c>
      <c r="F2822">
        <v>2778</v>
      </c>
      <c r="G2822">
        <v>2</v>
      </c>
      <c r="H2822">
        <v>3</v>
      </c>
      <c r="I2822">
        <v>1961</v>
      </c>
      <c r="J2822">
        <v>0</v>
      </c>
      <c r="K2822">
        <v>1</v>
      </c>
      <c r="L2822">
        <v>1</v>
      </c>
      <c r="M2822">
        <v>3</v>
      </c>
      <c r="N2822" t="s">
        <v>41</v>
      </c>
      <c r="O2822" t="s">
        <v>30</v>
      </c>
      <c r="P2822">
        <v>5.5399535859258497</v>
      </c>
      <c r="Q2822">
        <v>2.48963777779365</v>
      </c>
      <c r="R2822">
        <v>4.48171625794728</v>
      </c>
      <c r="S2822">
        <v>193</v>
      </c>
      <c r="T2822">
        <v>49</v>
      </c>
      <c r="U2822">
        <v>676.74798354331801</v>
      </c>
      <c r="V2822">
        <v>1.07991360691144E-3</v>
      </c>
      <c r="W2822">
        <v>2017676.37191356</v>
      </c>
      <c r="X2822" t="s">
        <v>39</v>
      </c>
      <c r="Y2822">
        <f>1-288-600-8807</f>
        <v>-9694</v>
      </c>
    </row>
    <row r="2823" spans="1:25" x14ac:dyDescent="0.35">
      <c r="A2823">
        <v>41.039737204263702</v>
      </c>
      <c r="B2823">
        <v>-122.51255739787899</v>
      </c>
      <c r="C2823" t="s">
        <v>25</v>
      </c>
      <c r="D2823">
        <v>38.322542147827001</v>
      </c>
      <c r="E2823">
        <v>9</v>
      </c>
      <c r="F2823">
        <v>3326</v>
      </c>
      <c r="G2823">
        <v>4</v>
      </c>
      <c r="H2823">
        <v>3</v>
      </c>
      <c r="I2823">
        <v>2001</v>
      </c>
      <c r="J2823">
        <v>1</v>
      </c>
      <c r="K2823">
        <v>1</v>
      </c>
      <c r="L2823">
        <v>1</v>
      </c>
      <c r="M2823">
        <v>9</v>
      </c>
      <c r="N2823" t="s">
        <v>37</v>
      </c>
      <c r="O2823" t="s">
        <v>27</v>
      </c>
      <c r="P2823">
        <v>8.7906465001765692</v>
      </c>
      <c r="Q2823">
        <v>0.71513835038250395</v>
      </c>
      <c r="R2823">
        <v>3.47001006186506</v>
      </c>
      <c r="S2823">
        <v>127</v>
      </c>
      <c r="T2823">
        <v>52</v>
      </c>
      <c r="U2823">
        <v>280.39645964776003</v>
      </c>
      <c r="V2823">
        <v>2.70595309681298E-3</v>
      </c>
      <c r="W2823">
        <v>1396834.98406999</v>
      </c>
      <c r="X2823" t="s">
        <v>28</v>
      </c>
      <c r="Y2823">
        <f>1-226-421-8531</f>
        <v>-9177</v>
      </c>
    </row>
    <row r="2824" spans="1:25" x14ac:dyDescent="0.35">
      <c r="A2824">
        <v>33.568063318302997</v>
      </c>
      <c r="B2824">
        <v>-116.78933406317201</v>
      </c>
      <c r="C2824" t="s">
        <v>34</v>
      </c>
      <c r="D2824">
        <v>10.2657532869238</v>
      </c>
      <c r="E2824">
        <v>9</v>
      </c>
      <c r="F2824">
        <v>2984</v>
      </c>
      <c r="G2824">
        <v>2</v>
      </c>
      <c r="H2824">
        <v>1</v>
      </c>
      <c r="I2824">
        <v>2019</v>
      </c>
      <c r="J2824">
        <v>0</v>
      </c>
      <c r="K2824">
        <v>1</v>
      </c>
      <c r="L2824">
        <v>1</v>
      </c>
      <c r="M2824">
        <v>13</v>
      </c>
      <c r="N2824" t="s">
        <v>26</v>
      </c>
      <c r="O2824" t="s">
        <v>27</v>
      </c>
      <c r="P2824">
        <v>12.0786755058107</v>
      </c>
      <c r="Q2824">
        <v>0.61284115174037401</v>
      </c>
      <c r="R2824">
        <v>9.2775664498371295</v>
      </c>
      <c r="S2824">
        <v>70</v>
      </c>
      <c r="T2824">
        <v>49</v>
      </c>
      <c r="U2824">
        <v>296.28849834355998</v>
      </c>
      <c r="V2824">
        <v>4.3565683646112604E-3</v>
      </c>
      <c r="W2824">
        <v>1168403.61013003</v>
      </c>
      <c r="X2824" t="s">
        <v>38</v>
      </c>
      <c r="Y2824">
        <f>1-964-626-8111</f>
        <v>-9700</v>
      </c>
    </row>
    <row r="2825" spans="1:25" x14ac:dyDescent="0.35">
      <c r="A2825">
        <v>33.153092064882003</v>
      </c>
      <c r="B2825">
        <v>-123.859164361941</v>
      </c>
      <c r="C2825" t="s">
        <v>29</v>
      </c>
      <c r="D2825">
        <v>14.3703092055718</v>
      </c>
      <c r="E2825">
        <v>4</v>
      </c>
      <c r="F2825">
        <v>1124</v>
      </c>
      <c r="G2825">
        <v>1</v>
      </c>
      <c r="H2825">
        <v>3</v>
      </c>
      <c r="I2825">
        <v>1983</v>
      </c>
      <c r="J2825">
        <v>0</v>
      </c>
      <c r="K2825">
        <v>0</v>
      </c>
      <c r="L2825">
        <v>1</v>
      </c>
      <c r="M2825">
        <v>11</v>
      </c>
      <c r="N2825" t="s">
        <v>35</v>
      </c>
      <c r="O2825" t="s">
        <v>30</v>
      </c>
      <c r="P2825">
        <v>13.067118984331399</v>
      </c>
      <c r="Q2825">
        <v>1.5863249650960201</v>
      </c>
      <c r="R2825">
        <v>5.2660562835913201</v>
      </c>
      <c r="S2825">
        <v>17</v>
      </c>
      <c r="T2825">
        <v>70</v>
      </c>
      <c r="U2825">
        <v>666.47202706618395</v>
      </c>
      <c r="V2825">
        <v>9.7864768683274001E-3</v>
      </c>
      <c r="W2825">
        <v>899691.248287166</v>
      </c>
      <c r="X2825" t="s">
        <v>38</v>
      </c>
      <c r="Y2825">
        <f>1-295-702-7895</f>
        <v>-8891</v>
      </c>
    </row>
    <row r="2826" spans="1:25" x14ac:dyDescent="0.35">
      <c r="A2826">
        <v>40.882584824890699</v>
      </c>
      <c r="B2826">
        <v>-121.560505390541</v>
      </c>
      <c r="C2826" t="s">
        <v>29</v>
      </c>
      <c r="D2826">
        <v>11.7906832926171</v>
      </c>
      <c r="E2826">
        <v>0</v>
      </c>
      <c r="F2826">
        <v>4740</v>
      </c>
      <c r="G2826">
        <v>1</v>
      </c>
      <c r="H2826">
        <v>1</v>
      </c>
      <c r="I2826">
        <v>2018</v>
      </c>
      <c r="J2826">
        <v>1</v>
      </c>
      <c r="K2826">
        <v>0</v>
      </c>
      <c r="L2826">
        <v>1</v>
      </c>
      <c r="M2826">
        <v>5</v>
      </c>
      <c r="N2826" t="s">
        <v>26</v>
      </c>
      <c r="O2826" t="s">
        <v>30</v>
      </c>
      <c r="P2826">
        <v>13.6255513307995</v>
      </c>
      <c r="Q2826">
        <v>2.28259973939935</v>
      </c>
      <c r="R2826">
        <v>1.9480980986577701</v>
      </c>
      <c r="S2826">
        <v>17</v>
      </c>
      <c r="T2826">
        <v>67</v>
      </c>
      <c r="U2826">
        <v>850.93659280643499</v>
      </c>
      <c r="V2826">
        <v>1.0548523206751E-3</v>
      </c>
      <c r="W2826">
        <v>4367881.5763665196</v>
      </c>
      <c r="X2826" t="s">
        <v>28</v>
      </c>
      <c r="Y2826">
        <f>1-441-505-3182</f>
        <v>-4127</v>
      </c>
    </row>
    <row r="2827" spans="1:25" x14ac:dyDescent="0.35">
      <c r="A2827">
        <v>41.521789338381602</v>
      </c>
      <c r="B2827">
        <v>-119.89107765747301</v>
      </c>
      <c r="C2827" t="s">
        <v>25</v>
      </c>
      <c r="D2827">
        <v>3.6938536197268701</v>
      </c>
      <c r="E2827">
        <v>2</v>
      </c>
      <c r="F2827">
        <v>3904</v>
      </c>
      <c r="G2827">
        <v>3</v>
      </c>
      <c r="H2827">
        <v>2</v>
      </c>
      <c r="I2827">
        <v>2012</v>
      </c>
      <c r="J2827">
        <v>1</v>
      </c>
      <c r="K2827">
        <v>1</v>
      </c>
      <c r="L2827">
        <v>1</v>
      </c>
      <c r="M2827">
        <v>13</v>
      </c>
      <c r="N2827" t="s">
        <v>26</v>
      </c>
      <c r="O2827" t="s">
        <v>30</v>
      </c>
      <c r="P2827">
        <v>6.0804042644031204</v>
      </c>
      <c r="Q2827">
        <v>2.3274196454081602</v>
      </c>
      <c r="R2827">
        <v>1.40109859927784</v>
      </c>
      <c r="S2827">
        <v>7</v>
      </c>
      <c r="T2827">
        <v>68</v>
      </c>
      <c r="U2827">
        <v>679.37595092902495</v>
      </c>
      <c r="V2827">
        <v>3.3299180327868798E-3</v>
      </c>
      <c r="W2827">
        <v>3022600.06949209</v>
      </c>
      <c r="X2827" t="s">
        <v>31</v>
      </c>
      <c r="Y2827">
        <f>1-403-248-4686</f>
        <v>-5336</v>
      </c>
    </row>
    <row r="2828" spans="1:25" x14ac:dyDescent="0.35">
      <c r="A2828">
        <v>35.359617485876299</v>
      </c>
      <c r="B2828">
        <v>-117.293521453625</v>
      </c>
      <c r="C2828" t="s">
        <v>29</v>
      </c>
      <c r="D2828">
        <v>34.092819639198503</v>
      </c>
      <c r="E2828">
        <v>8</v>
      </c>
      <c r="F2828">
        <v>1524</v>
      </c>
      <c r="G2828">
        <v>4</v>
      </c>
      <c r="H2828">
        <v>1</v>
      </c>
      <c r="I2828">
        <v>2003</v>
      </c>
      <c r="J2828">
        <v>0</v>
      </c>
      <c r="K2828">
        <v>1</v>
      </c>
      <c r="L2828">
        <v>1</v>
      </c>
      <c r="M2828">
        <v>3</v>
      </c>
      <c r="N2828" t="s">
        <v>37</v>
      </c>
      <c r="O2828" t="s">
        <v>32</v>
      </c>
      <c r="P2828">
        <v>9.6401768784100401</v>
      </c>
      <c r="Q2828">
        <v>1.9561672115323701</v>
      </c>
      <c r="R2828">
        <v>4.4945007177700997</v>
      </c>
      <c r="S2828">
        <v>55</v>
      </c>
      <c r="T2828">
        <v>39</v>
      </c>
      <c r="U2828">
        <v>815.16416542497404</v>
      </c>
      <c r="V2828">
        <v>1.9685039370078701E-3</v>
      </c>
      <c r="W2828">
        <v>1630162.3823589501</v>
      </c>
      <c r="X2828" t="s">
        <v>40</v>
      </c>
      <c r="Y2828">
        <f>1-453-533-2722</f>
        <v>-3707</v>
      </c>
    </row>
    <row r="2829" spans="1:25" x14ac:dyDescent="0.35">
      <c r="A2829">
        <v>33.336690510804097</v>
      </c>
      <c r="B2829">
        <v>-114.568025914327</v>
      </c>
      <c r="C2829" t="s">
        <v>34</v>
      </c>
      <c r="D2829">
        <v>27.3502859724566</v>
      </c>
      <c r="E2829">
        <v>0</v>
      </c>
      <c r="F2829">
        <v>525</v>
      </c>
      <c r="G2829">
        <v>5</v>
      </c>
      <c r="H2829">
        <v>2</v>
      </c>
      <c r="I2829">
        <v>1968</v>
      </c>
      <c r="J2829">
        <v>1</v>
      </c>
      <c r="K2829">
        <v>0</v>
      </c>
      <c r="L2829">
        <v>0</v>
      </c>
      <c r="M2829">
        <v>6</v>
      </c>
      <c r="N2829" t="s">
        <v>35</v>
      </c>
      <c r="O2829" t="s">
        <v>32</v>
      </c>
      <c r="P2829">
        <v>10.382759827548499</v>
      </c>
      <c r="Q2829">
        <v>1.6533445822538999</v>
      </c>
      <c r="R2829">
        <v>0.41311787675301997</v>
      </c>
      <c r="S2829">
        <v>18</v>
      </c>
      <c r="T2829">
        <v>25</v>
      </c>
      <c r="U2829">
        <v>979.53492223629598</v>
      </c>
      <c r="V2829">
        <v>1.1428571428571401E-2</v>
      </c>
      <c r="W2829">
        <v>766391.42796174297</v>
      </c>
      <c r="X2829" t="s">
        <v>39</v>
      </c>
      <c r="Y2829">
        <f>1-661-386-9578</f>
        <v>-10624</v>
      </c>
    </row>
    <row r="2830" spans="1:25" x14ac:dyDescent="0.35">
      <c r="A2830">
        <v>35.771970971182903</v>
      </c>
      <c r="B2830">
        <v>-114.688324510301</v>
      </c>
      <c r="C2830" t="s">
        <v>29</v>
      </c>
      <c r="D2830">
        <v>16.5327730178503</v>
      </c>
      <c r="E2830">
        <v>3</v>
      </c>
      <c r="F2830">
        <v>2341</v>
      </c>
      <c r="G2830">
        <v>1</v>
      </c>
      <c r="H2830">
        <v>3</v>
      </c>
      <c r="I2830">
        <v>1966</v>
      </c>
      <c r="J2830">
        <v>1</v>
      </c>
      <c r="K2830">
        <v>1</v>
      </c>
      <c r="L2830">
        <v>0</v>
      </c>
      <c r="M2830">
        <v>10</v>
      </c>
      <c r="N2830" t="s">
        <v>41</v>
      </c>
      <c r="O2830" t="s">
        <v>27</v>
      </c>
      <c r="P2830">
        <v>12.5834201156372</v>
      </c>
      <c r="Q2830">
        <v>2.0655338015361702</v>
      </c>
      <c r="R2830">
        <v>3.4222985682471498</v>
      </c>
      <c r="S2830">
        <v>27</v>
      </c>
      <c r="T2830">
        <v>79</v>
      </c>
      <c r="U2830">
        <v>701.53339390258805</v>
      </c>
      <c r="V2830">
        <v>4.2716787697565104E-3</v>
      </c>
      <c r="W2830">
        <v>1932248.9183938401</v>
      </c>
      <c r="X2830" t="s">
        <v>43</v>
      </c>
      <c r="Y2830">
        <f>1-696-195-5771</f>
        <v>-6661</v>
      </c>
    </row>
    <row r="2831" spans="1:25" x14ac:dyDescent="0.35">
      <c r="A2831">
        <v>33.758850528973298</v>
      </c>
      <c r="B2831">
        <v>-124.385879126074</v>
      </c>
      <c r="C2831" t="s">
        <v>29</v>
      </c>
      <c r="D2831">
        <v>19.441478806711601</v>
      </c>
      <c r="E2831">
        <v>1</v>
      </c>
      <c r="F2831">
        <v>3488</v>
      </c>
      <c r="G2831">
        <v>4</v>
      </c>
      <c r="H2831">
        <v>1</v>
      </c>
      <c r="I2831">
        <v>2004</v>
      </c>
      <c r="J2831">
        <v>1</v>
      </c>
      <c r="K2831">
        <v>1</v>
      </c>
      <c r="L2831">
        <v>0</v>
      </c>
      <c r="M2831">
        <v>3</v>
      </c>
      <c r="N2831" t="s">
        <v>41</v>
      </c>
      <c r="O2831" t="s">
        <v>30</v>
      </c>
      <c r="P2831">
        <v>5.6711358553191404</v>
      </c>
      <c r="Q2831">
        <v>1.36809052976909</v>
      </c>
      <c r="R2831">
        <v>8.0050077347167505</v>
      </c>
      <c r="S2831">
        <v>175</v>
      </c>
      <c r="T2831">
        <v>69</v>
      </c>
      <c r="U2831">
        <v>748.45784453972203</v>
      </c>
      <c r="V2831">
        <v>8.6009174311926599E-4</v>
      </c>
      <c r="W2831">
        <v>2963485.9945997498</v>
      </c>
      <c r="X2831" t="s">
        <v>40</v>
      </c>
      <c r="Y2831">
        <f>1-564-955-4202</f>
        <v>-5720</v>
      </c>
    </row>
    <row r="2832" spans="1:25" x14ac:dyDescent="0.35">
      <c r="A2832">
        <v>38.094436138250799</v>
      </c>
      <c r="B2832">
        <v>-114.4469586969</v>
      </c>
      <c r="C2832" t="s">
        <v>34</v>
      </c>
      <c r="D2832">
        <v>6.34363312505831</v>
      </c>
      <c r="E2832">
        <v>4</v>
      </c>
      <c r="F2832">
        <v>3038</v>
      </c>
      <c r="G2832">
        <v>1</v>
      </c>
      <c r="H2832">
        <v>1</v>
      </c>
      <c r="I2832">
        <v>1963</v>
      </c>
      <c r="J2832">
        <v>0</v>
      </c>
      <c r="K2832">
        <v>0</v>
      </c>
      <c r="L2832">
        <v>1</v>
      </c>
      <c r="M2832">
        <v>4</v>
      </c>
      <c r="N2832" t="s">
        <v>37</v>
      </c>
      <c r="O2832" t="s">
        <v>32</v>
      </c>
      <c r="P2832">
        <v>6.8419187740591001</v>
      </c>
      <c r="Q2832">
        <v>2.0863237644486299</v>
      </c>
      <c r="R2832">
        <v>2.8257744519412902</v>
      </c>
      <c r="S2832">
        <v>147</v>
      </c>
      <c r="T2832">
        <v>22</v>
      </c>
      <c r="U2832">
        <v>377.743915529221</v>
      </c>
      <c r="V2832">
        <v>1.3166556945358699E-3</v>
      </c>
      <c r="W2832">
        <v>1249123.51266699</v>
      </c>
      <c r="X2832" t="s">
        <v>31</v>
      </c>
      <c r="Y2832">
        <f>1-796-765-7000</f>
        <v>-8560</v>
      </c>
    </row>
    <row r="2833" spans="1:25" x14ac:dyDescent="0.35">
      <c r="A2833">
        <v>41.985014940050803</v>
      </c>
      <c r="B2833">
        <v>-115.433192792737</v>
      </c>
      <c r="C2833" t="s">
        <v>34</v>
      </c>
      <c r="D2833">
        <v>13.906695071677801</v>
      </c>
      <c r="E2833">
        <v>5</v>
      </c>
      <c r="F2833">
        <v>2524</v>
      </c>
      <c r="G2833">
        <v>1</v>
      </c>
      <c r="H2833">
        <v>3</v>
      </c>
      <c r="I2833">
        <v>1954</v>
      </c>
      <c r="J2833">
        <v>0</v>
      </c>
      <c r="K2833">
        <v>1</v>
      </c>
      <c r="L2833">
        <v>1</v>
      </c>
      <c r="M2833">
        <v>12</v>
      </c>
      <c r="N2833" t="s">
        <v>37</v>
      </c>
      <c r="O2833" t="s">
        <v>32</v>
      </c>
      <c r="P2833">
        <v>12.7673367896769</v>
      </c>
      <c r="Q2833">
        <v>0.88261418449546403</v>
      </c>
      <c r="R2833">
        <v>1.89176165461805</v>
      </c>
      <c r="S2833">
        <v>114</v>
      </c>
      <c r="T2833">
        <v>25</v>
      </c>
      <c r="U2833">
        <v>551.37244567526704</v>
      </c>
      <c r="V2833">
        <v>4.7543581616481699E-3</v>
      </c>
      <c r="W2833">
        <v>1625251.9767825201</v>
      </c>
      <c r="X2833" t="s">
        <v>36</v>
      </c>
      <c r="Y2833">
        <f>1-431-684-5060</f>
        <v>-6174</v>
      </c>
    </row>
    <row r="2834" spans="1:25" x14ac:dyDescent="0.35">
      <c r="A2834">
        <v>41.369929311711701</v>
      </c>
      <c r="B2834">
        <v>-124.362180679418</v>
      </c>
      <c r="C2834" t="s">
        <v>25</v>
      </c>
      <c r="D2834">
        <v>35.317487624712399</v>
      </c>
      <c r="E2834">
        <v>9</v>
      </c>
      <c r="F2834">
        <v>3068</v>
      </c>
      <c r="G2834">
        <v>3</v>
      </c>
      <c r="H2834">
        <v>2</v>
      </c>
      <c r="I2834">
        <v>1958</v>
      </c>
      <c r="J2834">
        <v>0</v>
      </c>
      <c r="K2834">
        <v>0</v>
      </c>
      <c r="L2834">
        <v>0</v>
      </c>
      <c r="M2834">
        <v>3</v>
      </c>
      <c r="N2834" t="s">
        <v>41</v>
      </c>
      <c r="O2834" t="s">
        <v>32</v>
      </c>
      <c r="P2834">
        <v>5.0891074196651198</v>
      </c>
      <c r="Q2834">
        <v>2.2973458452275901</v>
      </c>
      <c r="R2834">
        <v>6.0017044307585401</v>
      </c>
      <c r="S2834">
        <v>182</v>
      </c>
      <c r="T2834">
        <v>73</v>
      </c>
      <c r="U2834">
        <v>603.77560454440095</v>
      </c>
      <c r="V2834">
        <v>9.7783572359843489E-4</v>
      </c>
      <c r="W2834">
        <v>1989794.81970981</v>
      </c>
      <c r="X2834" t="s">
        <v>36</v>
      </c>
      <c r="Y2834">
        <f>1-460-143-1349</f>
        <v>-1951</v>
      </c>
    </row>
    <row r="2835" spans="1:25" x14ac:dyDescent="0.35">
      <c r="A2835">
        <v>38.925472396009702</v>
      </c>
      <c r="B2835">
        <v>-122.399497321769</v>
      </c>
      <c r="C2835" t="s">
        <v>29</v>
      </c>
      <c r="D2835">
        <v>25.6521147240279</v>
      </c>
      <c r="E2835">
        <v>6</v>
      </c>
      <c r="F2835">
        <v>2213</v>
      </c>
      <c r="G2835">
        <v>1</v>
      </c>
      <c r="H2835">
        <v>1</v>
      </c>
      <c r="I2835">
        <v>1995</v>
      </c>
      <c r="J2835">
        <v>0</v>
      </c>
      <c r="K2835">
        <v>0</v>
      </c>
      <c r="L2835">
        <v>0</v>
      </c>
      <c r="M2835">
        <v>12</v>
      </c>
      <c r="N2835" t="s">
        <v>41</v>
      </c>
      <c r="O2835" t="s">
        <v>27</v>
      </c>
      <c r="P2835">
        <v>13.8685487478984</v>
      </c>
      <c r="Q2835">
        <v>0.77808378001656497</v>
      </c>
      <c r="R2835">
        <v>8.8378671873911099</v>
      </c>
      <c r="S2835">
        <v>171</v>
      </c>
      <c r="T2835">
        <v>63</v>
      </c>
      <c r="U2835">
        <v>665.21871782991605</v>
      </c>
      <c r="V2835">
        <v>5.4225033890646099E-3</v>
      </c>
      <c r="W2835">
        <v>1572640.09652071</v>
      </c>
      <c r="X2835" t="s">
        <v>43</v>
      </c>
      <c r="Y2835">
        <f>1-625-970-2395</f>
        <v>-3989</v>
      </c>
    </row>
    <row r="2836" spans="1:25" x14ac:dyDescent="0.35">
      <c r="A2836">
        <v>41.185967274536097</v>
      </c>
      <c r="B2836">
        <v>-121.339694341411</v>
      </c>
      <c r="C2836" t="s">
        <v>34</v>
      </c>
      <c r="D2836">
        <v>15.4895815786947</v>
      </c>
      <c r="E2836">
        <v>8</v>
      </c>
      <c r="F2836">
        <v>3510</v>
      </c>
      <c r="G2836">
        <v>2</v>
      </c>
      <c r="H2836">
        <v>2</v>
      </c>
      <c r="I2836">
        <v>1968</v>
      </c>
      <c r="J2836">
        <v>0</v>
      </c>
      <c r="K2836">
        <v>0</v>
      </c>
      <c r="L2836">
        <v>1</v>
      </c>
      <c r="M2836">
        <v>13</v>
      </c>
      <c r="N2836" t="s">
        <v>35</v>
      </c>
      <c r="O2836" t="s">
        <v>32</v>
      </c>
      <c r="P2836">
        <v>12.156187051888899</v>
      </c>
      <c r="Q2836">
        <v>1.33852242240153</v>
      </c>
      <c r="R2836">
        <v>0.97035967505568699</v>
      </c>
      <c r="S2836">
        <v>24</v>
      </c>
      <c r="T2836">
        <v>22</v>
      </c>
      <c r="U2836">
        <v>503.19883810063902</v>
      </c>
      <c r="V2836">
        <v>3.7037037037036999E-3</v>
      </c>
      <c r="W2836">
        <v>1937589.3595586901</v>
      </c>
      <c r="X2836" t="s">
        <v>40</v>
      </c>
      <c r="Y2836">
        <f>1-704-565-8141</f>
        <v>-9409</v>
      </c>
    </row>
    <row r="2837" spans="1:25" x14ac:dyDescent="0.35">
      <c r="A2837">
        <v>33.320573571174698</v>
      </c>
      <c r="B2837">
        <v>-115.046817301921</v>
      </c>
      <c r="C2837" t="s">
        <v>25</v>
      </c>
      <c r="D2837">
        <v>34.818594616600599</v>
      </c>
      <c r="E2837">
        <v>1</v>
      </c>
      <c r="F2837">
        <v>3128</v>
      </c>
      <c r="G2837">
        <v>3</v>
      </c>
      <c r="H2837">
        <v>1</v>
      </c>
      <c r="I2837">
        <v>1997</v>
      </c>
      <c r="J2837">
        <v>1</v>
      </c>
      <c r="K2837">
        <v>1</v>
      </c>
      <c r="L2837">
        <v>1</v>
      </c>
      <c r="M2837">
        <v>13</v>
      </c>
      <c r="N2837" t="s">
        <v>37</v>
      </c>
      <c r="O2837" t="s">
        <v>27</v>
      </c>
      <c r="P2837">
        <v>3.62506590911264</v>
      </c>
      <c r="Q2837">
        <v>2.2867078015075699</v>
      </c>
      <c r="R2837">
        <v>7.4079222440065999</v>
      </c>
      <c r="S2837">
        <v>143</v>
      </c>
      <c r="T2837">
        <v>29</v>
      </c>
      <c r="U2837">
        <v>608.83516676761997</v>
      </c>
      <c r="V2837">
        <v>4.1560102301790199E-3</v>
      </c>
      <c r="W2837">
        <v>2227526.5250024302</v>
      </c>
      <c r="X2837" t="s">
        <v>33</v>
      </c>
      <c r="Y2837">
        <f>1-924-382-5475</f>
        <v>-6780</v>
      </c>
    </row>
    <row r="2838" spans="1:25" x14ac:dyDescent="0.35">
      <c r="A2838">
        <v>33.888760944416703</v>
      </c>
      <c r="B2838">
        <v>-117.91163673974199</v>
      </c>
      <c r="C2838" t="s">
        <v>34</v>
      </c>
      <c r="D2838">
        <v>48.427092342382799</v>
      </c>
      <c r="E2838">
        <v>0</v>
      </c>
      <c r="F2838">
        <v>1487</v>
      </c>
      <c r="G2838">
        <v>5</v>
      </c>
      <c r="H2838">
        <v>3</v>
      </c>
      <c r="I2838">
        <v>1978</v>
      </c>
      <c r="J2838">
        <v>1</v>
      </c>
      <c r="K2838">
        <v>1</v>
      </c>
      <c r="L2838">
        <v>1</v>
      </c>
      <c r="M2838">
        <v>14</v>
      </c>
      <c r="N2838" t="s">
        <v>26</v>
      </c>
      <c r="O2838" t="s">
        <v>30</v>
      </c>
      <c r="P2838">
        <v>10.7076436012707</v>
      </c>
      <c r="Q2838">
        <v>2.10037802474048</v>
      </c>
      <c r="R2838">
        <v>1.2899178070256301</v>
      </c>
      <c r="S2838">
        <v>156</v>
      </c>
      <c r="T2838">
        <v>25</v>
      </c>
      <c r="U2838">
        <v>297.85206479341798</v>
      </c>
      <c r="V2838">
        <v>9.4149293880295901E-3</v>
      </c>
      <c r="W2838">
        <v>1041494.16527481</v>
      </c>
      <c r="X2838" t="s">
        <v>44</v>
      </c>
      <c r="Y2838">
        <f>1-874-724-8001</f>
        <v>-9598</v>
      </c>
    </row>
    <row r="2839" spans="1:25" x14ac:dyDescent="0.35">
      <c r="A2839">
        <v>37.693694174730403</v>
      </c>
      <c r="B2839">
        <v>-121.34200122361101</v>
      </c>
      <c r="C2839" t="s">
        <v>34</v>
      </c>
      <c r="D2839">
        <v>39.500115988431098</v>
      </c>
      <c r="E2839">
        <v>8</v>
      </c>
      <c r="F2839">
        <v>2117</v>
      </c>
      <c r="G2839">
        <v>1</v>
      </c>
      <c r="H2839">
        <v>2</v>
      </c>
      <c r="I2839">
        <v>2000</v>
      </c>
      <c r="J2839">
        <v>1</v>
      </c>
      <c r="K2839">
        <v>0</v>
      </c>
      <c r="L2839">
        <v>0</v>
      </c>
      <c r="M2839">
        <v>11</v>
      </c>
      <c r="N2839" t="s">
        <v>37</v>
      </c>
      <c r="O2839" t="s">
        <v>32</v>
      </c>
      <c r="P2839">
        <v>14.6943900945694</v>
      </c>
      <c r="Q2839">
        <v>2.2001266613971899</v>
      </c>
      <c r="R2839">
        <v>8.8764028699940702</v>
      </c>
      <c r="S2839">
        <v>80</v>
      </c>
      <c r="T2839">
        <v>27</v>
      </c>
      <c r="U2839">
        <v>845.27360748815602</v>
      </c>
      <c r="V2839">
        <v>5.1960321209258298E-3</v>
      </c>
      <c r="W2839">
        <v>2064312.1075170699</v>
      </c>
      <c r="X2839" t="s">
        <v>33</v>
      </c>
      <c r="Y2839">
        <f>1-626-642-7114</f>
        <v>-8381</v>
      </c>
    </row>
    <row r="2840" spans="1:25" x14ac:dyDescent="0.35">
      <c r="A2840">
        <v>34.317539025944498</v>
      </c>
      <c r="B2840">
        <v>-117.46479431359499</v>
      </c>
      <c r="C2840" t="s">
        <v>25</v>
      </c>
      <c r="D2840">
        <v>17.813443119339201</v>
      </c>
      <c r="E2840">
        <v>5</v>
      </c>
      <c r="F2840">
        <v>3758</v>
      </c>
      <c r="G2840">
        <v>1</v>
      </c>
      <c r="H2840">
        <v>3</v>
      </c>
      <c r="I2840">
        <v>1978</v>
      </c>
      <c r="J2840">
        <v>0</v>
      </c>
      <c r="K2840">
        <v>1</v>
      </c>
      <c r="L2840">
        <v>1</v>
      </c>
      <c r="M2840">
        <v>11</v>
      </c>
      <c r="N2840" t="s">
        <v>41</v>
      </c>
      <c r="O2840" t="s">
        <v>27</v>
      </c>
      <c r="P2840">
        <v>7.64261403033092</v>
      </c>
      <c r="Q2840">
        <v>2.1495371124167799</v>
      </c>
      <c r="R2840">
        <v>7.9425564539565796</v>
      </c>
      <c r="S2840">
        <v>73</v>
      </c>
      <c r="T2840">
        <v>65</v>
      </c>
      <c r="U2840">
        <v>341.86652655977701</v>
      </c>
      <c r="V2840">
        <v>2.9270888770622601E-3</v>
      </c>
      <c r="W2840">
        <v>1570583.22121589</v>
      </c>
      <c r="X2840" t="s">
        <v>33</v>
      </c>
      <c r="Y2840">
        <f>1-816-707-4864</f>
        <v>-6386</v>
      </c>
    </row>
    <row r="2841" spans="1:25" x14ac:dyDescent="0.35">
      <c r="A2841">
        <v>38.781340106046002</v>
      </c>
      <c r="B2841">
        <v>-119.786121916087</v>
      </c>
      <c r="C2841" t="s">
        <v>29</v>
      </c>
      <c r="D2841">
        <v>15.0138205560184</v>
      </c>
      <c r="E2841">
        <v>3</v>
      </c>
      <c r="F2841">
        <v>4077</v>
      </c>
      <c r="G2841">
        <v>4</v>
      </c>
      <c r="H2841">
        <v>3</v>
      </c>
      <c r="I2841">
        <v>1977</v>
      </c>
      <c r="J2841">
        <v>0</v>
      </c>
      <c r="K2841">
        <v>0</v>
      </c>
      <c r="L2841">
        <v>1</v>
      </c>
      <c r="M2841">
        <v>4</v>
      </c>
      <c r="N2841" t="s">
        <v>37</v>
      </c>
      <c r="O2841" t="s">
        <v>30</v>
      </c>
      <c r="P2841">
        <v>14.641837719202901</v>
      </c>
      <c r="Q2841">
        <v>1.9017439527368001</v>
      </c>
      <c r="R2841">
        <v>7.0628179057395997</v>
      </c>
      <c r="S2841">
        <v>50</v>
      </c>
      <c r="T2841">
        <v>47</v>
      </c>
      <c r="U2841">
        <v>462.22807382363902</v>
      </c>
      <c r="V2841">
        <v>9.8111356389501991E-4</v>
      </c>
      <c r="W2841">
        <v>2218194.1658373899</v>
      </c>
      <c r="X2841" t="s">
        <v>39</v>
      </c>
      <c r="Y2841">
        <f>1-990-438-8312</f>
        <v>-9739</v>
      </c>
    </row>
    <row r="2842" spans="1:25" x14ac:dyDescent="0.35">
      <c r="A2842">
        <v>41.572036275786303</v>
      </c>
      <c r="B2842">
        <v>-121.08665657428</v>
      </c>
      <c r="C2842" t="s">
        <v>25</v>
      </c>
      <c r="D2842">
        <v>12.226800894757</v>
      </c>
      <c r="E2842">
        <v>0</v>
      </c>
      <c r="F2842">
        <v>2755</v>
      </c>
      <c r="G2842">
        <v>1</v>
      </c>
      <c r="H2842">
        <v>3</v>
      </c>
      <c r="I2842">
        <v>1996</v>
      </c>
      <c r="J2842">
        <v>0</v>
      </c>
      <c r="K2842">
        <v>1</v>
      </c>
      <c r="L2842">
        <v>0</v>
      </c>
      <c r="M2842">
        <v>6</v>
      </c>
      <c r="N2842" t="s">
        <v>35</v>
      </c>
      <c r="O2842" t="s">
        <v>27</v>
      </c>
      <c r="P2842">
        <v>3.1354524017844301</v>
      </c>
      <c r="Q2842">
        <v>1.16035700229948</v>
      </c>
      <c r="R2842">
        <v>7.2387899971689604</v>
      </c>
      <c r="S2842">
        <v>65</v>
      </c>
      <c r="T2842">
        <v>70</v>
      </c>
      <c r="U2842">
        <v>684.71142984655398</v>
      </c>
      <c r="V2842">
        <v>2.1778584392014499E-3</v>
      </c>
      <c r="W2842">
        <v>2036850.80315811</v>
      </c>
      <c r="X2842" t="s">
        <v>31</v>
      </c>
      <c r="Y2842">
        <f>1-537-745-1133</f>
        <v>-2414</v>
      </c>
    </row>
    <row r="2843" spans="1:25" x14ac:dyDescent="0.35">
      <c r="A2843">
        <v>33.522351178798701</v>
      </c>
      <c r="B2843">
        <v>-117.437845663188</v>
      </c>
      <c r="C2843" t="s">
        <v>25</v>
      </c>
      <c r="D2843">
        <v>5.50217949392189</v>
      </c>
      <c r="E2843">
        <v>1</v>
      </c>
      <c r="F2843">
        <v>4671</v>
      </c>
      <c r="G2843">
        <v>5</v>
      </c>
      <c r="H2843">
        <v>1</v>
      </c>
      <c r="I2843">
        <v>1967</v>
      </c>
      <c r="J2843">
        <v>0</v>
      </c>
      <c r="K2843">
        <v>0</v>
      </c>
      <c r="L2843">
        <v>0</v>
      </c>
      <c r="M2843">
        <v>7</v>
      </c>
      <c r="N2843" t="s">
        <v>35</v>
      </c>
      <c r="O2843" t="s">
        <v>32</v>
      </c>
      <c r="P2843">
        <v>3.0473185944929</v>
      </c>
      <c r="Q2843">
        <v>1.97606597627078</v>
      </c>
      <c r="R2843">
        <v>7.0186279647315803</v>
      </c>
      <c r="S2843">
        <v>58</v>
      </c>
      <c r="T2843">
        <v>44</v>
      </c>
      <c r="U2843">
        <v>367.61167346506801</v>
      </c>
      <c r="V2843">
        <v>1.4986084350246201E-3</v>
      </c>
      <c r="W2843">
        <v>1932433.0148924501</v>
      </c>
      <c r="X2843" t="s">
        <v>31</v>
      </c>
      <c r="Y2843">
        <f>1-812-418-6916</f>
        <v>-8145</v>
      </c>
    </row>
    <row r="2844" spans="1:25" x14ac:dyDescent="0.35">
      <c r="A2844">
        <v>41.983874260689703</v>
      </c>
      <c r="B2844">
        <v>-120.56542152556899</v>
      </c>
      <c r="C2844" t="s">
        <v>34</v>
      </c>
      <c r="D2844">
        <v>3.8606244610814699</v>
      </c>
      <c r="E2844">
        <v>4</v>
      </c>
      <c r="F2844">
        <v>2001</v>
      </c>
      <c r="G2844">
        <v>1</v>
      </c>
      <c r="H2844">
        <v>3</v>
      </c>
      <c r="I2844">
        <v>1962</v>
      </c>
      <c r="J2844">
        <v>1</v>
      </c>
      <c r="K2844">
        <v>1</v>
      </c>
      <c r="L2844">
        <v>1</v>
      </c>
      <c r="M2844">
        <v>4</v>
      </c>
      <c r="N2844" t="s">
        <v>37</v>
      </c>
      <c r="O2844" t="s">
        <v>32</v>
      </c>
      <c r="P2844">
        <v>12.5092544187822</v>
      </c>
      <c r="Q2844">
        <v>1.7004810623041899</v>
      </c>
      <c r="R2844">
        <v>9.7251440684473902</v>
      </c>
      <c r="S2844">
        <v>77</v>
      </c>
      <c r="T2844">
        <v>49</v>
      </c>
      <c r="U2844">
        <v>831.82484841416999</v>
      </c>
      <c r="V2844">
        <v>1.9990004997501201E-3</v>
      </c>
      <c r="W2844">
        <v>1898137.70821905</v>
      </c>
      <c r="X2844" t="s">
        <v>38</v>
      </c>
      <c r="Y2844">
        <f>1-510-887-5085</f>
        <v>-6481</v>
      </c>
    </row>
    <row r="2845" spans="1:25" x14ac:dyDescent="0.35">
      <c r="A2845">
        <v>33.148326854523297</v>
      </c>
      <c r="B2845">
        <v>-119.785950199053</v>
      </c>
      <c r="C2845" t="s">
        <v>29</v>
      </c>
      <c r="D2845">
        <v>29.685391108401099</v>
      </c>
      <c r="E2845">
        <v>6</v>
      </c>
      <c r="F2845">
        <v>2783</v>
      </c>
      <c r="G2845">
        <v>3</v>
      </c>
      <c r="H2845">
        <v>2</v>
      </c>
      <c r="I2845">
        <v>2019</v>
      </c>
      <c r="J2845">
        <v>0</v>
      </c>
      <c r="K2845">
        <v>1</v>
      </c>
      <c r="L2845">
        <v>1</v>
      </c>
      <c r="M2845">
        <v>2</v>
      </c>
      <c r="N2845" t="s">
        <v>35</v>
      </c>
      <c r="O2845" t="s">
        <v>32</v>
      </c>
      <c r="P2845">
        <v>11.4206806014989</v>
      </c>
      <c r="Q2845">
        <v>1.30363166375009</v>
      </c>
      <c r="R2845">
        <v>1.51488886651966</v>
      </c>
      <c r="S2845">
        <v>52</v>
      </c>
      <c r="T2845">
        <v>60</v>
      </c>
      <c r="U2845">
        <v>907.49624153459604</v>
      </c>
      <c r="V2845">
        <v>7.1864893999281298E-4</v>
      </c>
      <c r="W2845">
        <v>2961525.5989402402</v>
      </c>
      <c r="X2845" t="s">
        <v>38</v>
      </c>
      <c r="Y2845">
        <f>1-303-357-8360</f>
        <v>-9019</v>
      </c>
    </row>
    <row r="2846" spans="1:25" x14ac:dyDescent="0.35">
      <c r="A2846">
        <v>33.4493487955598</v>
      </c>
      <c r="B2846">
        <v>-115.975364887509</v>
      </c>
      <c r="C2846" t="s">
        <v>25</v>
      </c>
      <c r="D2846">
        <v>6.7923983217383403</v>
      </c>
      <c r="E2846">
        <v>5</v>
      </c>
      <c r="F2846">
        <v>2912</v>
      </c>
      <c r="G2846">
        <v>3</v>
      </c>
      <c r="H2846">
        <v>1</v>
      </c>
      <c r="I2846">
        <v>1964</v>
      </c>
      <c r="J2846">
        <v>0</v>
      </c>
      <c r="K2846">
        <v>0</v>
      </c>
      <c r="L2846">
        <v>0</v>
      </c>
      <c r="M2846">
        <v>12</v>
      </c>
      <c r="N2846" t="s">
        <v>37</v>
      </c>
      <c r="O2846" t="s">
        <v>30</v>
      </c>
      <c r="P2846">
        <v>14.5703827637165</v>
      </c>
      <c r="Q2846">
        <v>1.6662379385647099</v>
      </c>
      <c r="R2846">
        <v>8.6854831593594799</v>
      </c>
      <c r="S2846">
        <v>7</v>
      </c>
      <c r="T2846">
        <v>76</v>
      </c>
      <c r="U2846">
        <v>668.262961986395</v>
      </c>
      <c r="V2846">
        <v>4.1208791208791201E-3</v>
      </c>
      <c r="W2846">
        <v>2147036.6175863398</v>
      </c>
      <c r="X2846" t="s">
        <v>28</v>
      </c>
      <c r="Y2846">
        <f>1-774-226-4537</f>
        <v>-5536</v>
      </c>
    </row>
    <row r="2847" spans="1:25" x14ac:dyDescent="0.35">
      <c r="A2847">
        <v>39.334467353160903</v>
      </c>
      <c r="B2847">
        <v>-121.239864364659</v>
      </c>
      <c r="C2847" t="s">
        <v>34</v>
      </c>
      <c r="D2847">
        <v>18.220416670360802</v>
      </c>
      <c r="E2847">
        <v>2</v>
      </c>
      <c r="F2847">
        <v>672</v>
      </c>
      <c r="G2847">
        <v>4</v>
      </c>
      <c r="H2847">
        <v>3</v>
      </c>
      <c r="I2847">
        <v>2014</v>
      </c>
      <c r="J2847">
        <v>1</v>
      </c>
      <c r="K2847">
        <v>0</v>
      </c>
      <c r="L2847">
        <v>1</v>
      </c>
      <c r="M2847">
        <v>3</v>
      </c>
      <c r="N2847" t="s">
        <v>41</v>
      </c>
      <c r="O2847" t="s">
        <v>30</v>
      </c>
      <c r="P2847">
        <v>5.8136409185975104</v>
      </c>
      <c r="Q2847">
        <v>2.4598571593382901</v>
      </c>
      <c r="R2847">
        <v>5.7518931455353499</v>
      </c>
      <c r="S2847">
        <v>51</v>
      </c>
      <c r="T2847">
        <v>31</v>
      </c>
      <c r="U2847">
        <v>262.17358768047302</v>
      </c>
      <c r="V2847">
        <v>4.4642857142857097E-3</v>
      </c>
      <c r="W2847">
        <v>524976.39136156905</v>
      </c>
      <c r="X2847" t="s">
        <v>43</v>
      </c>
      <c r="Y2847">
        <f>1-418-682-4283</f>
        <v>-5382</v>
      </c>
    </row>
    <row r="2848" spans="1:25" x14ac:dyDescent="0.35">
      <c r="A2848">
        <v>39.340331877144401</v>
      </c>
      <c r="B2848">
        <v>-124.092132703657</v>
      </c>
      <c r="C2848" t="s">
        <v>25</v>
      </c>
      <c r="D2848">
        <v>18.1545949384093</v>
      </c>
      <c r="E2848">
        <v>7</v>
      </c>
      <c r="F2848">
        <v>3786</v>
      </c>
      <c r="G2848">
        <v>2</v>
      </c>
      <c r="H2848">
        <v>3</v>
      </c>
      <c r="I2848">
        <v>2004</v>
      </c>
      <c r="J2848">
        <v>0</v>
      </c>
      <c r="K2848">
        <v>1</v>
      </c>
      <c r="L2848">
        <v>0</v>
      </c>
      <c r="M2848">
        <v>5</v>
      </c>
      <c r="N2848" t="s">
        <v>35</v>
      </c>
      <c r="O2848" t="s">
        <v>30</v>
      </c>
      <c r="P2848">
        <v>11.2326724073622</v>
      </c>
      <c r="Q2848">
        <v>0.51520075086792005</v>
      </c>
      <c r="R2848">
        <v>9.6789200636949104</v>
      </c>
      <c r="S2848">
        <v>100</v>
      </c>
      <c r="T2848">
        <v>28</v>
      </c>
      <c r="U2848">
        <v>591.65592878632594</v>
      </c>
      <c r="V2848">
        <v>1.3206550449022701E-3</v>
      </c>
      <c r="W2848">
        <v>2547108.23510738</v>
      </c>
      <c r="X2848" t="s">
        <v>43</v>
      </c>
      <c r="Y2848">
        <f>1-284-455-4794</f>
        <v>-5532</v>
      </c>
    </row>
    <row r="2849" spans="1:25" x14ac:dyDescent="0.35">
      <c r="A2849">
        <v>39.817235058709699</v>
      </c>
      <c r="B2849">
        <v>-115.81881584903</v>
      </c>
      <c r="C2849" t="s">
        <v>25</v>
      </c>
      <c r="D2849">
        <v>31.878729260321101</v>
      </c>
      <c r="E2849">
        <v>9</v>
      </c>
      <c r="F2849">
        <v>4801</v>
      </c>
      <c r="G2849">
        <v>5</v>
      </c>
      <c r="H2849">
        <v>1</v>
      </c>
      <c r="I2849">
        <v>2001</v>
      </c>
      <c r="J2849">
        <v>0</v>
      </c>
      <c r="K2849">
        <v>0</v>
      </c>
      <c r="L2849">
        <v>0</v>
      </c>
      <c r="M2849">
        <v>4</v>
      </c>
      <c r="N2849" t="s">
        <v>26</v>
      </c>
      <c r="O2849" t="s">
        <v>32</v>
      </c>
      <c r="P2849">
        <v>2.9497481900865399</v>
      </c>
      <c r="Q2849">
        <v>0.60245678460015195</v>
      </c>
      <c r="R2849">
        <v>7.01295977804158</v>
      </c>
      <c r="S2849">
        <v>53</v>
      </c>
      <c r="T2849">
        <v>34</v>
      </c>
      <c r="U2849">
        <v>853.02241109853105</v>
      </c>
      <c r="V2849">
        <v>8.3315975838366997E-4</v>
      </c>
      <c r="W2849">
        <v>4400315.4494479699</v>
      </c>
      <c r="X2849" t="s">
        <v>39</v>
      </c>
      <c r="Y2849">
        <f>1-662-151-1589</f>
        <v>-2401</v>
      </c>
    </row>
    <row r="2850" spans="1:25" x14ac:dyDescent="0.35">
      <c r="A2850">
        <v>37.437629293653799</v>
      </c>
      <c r="B2850">
        <v>-116.928639568376</v>
      </c>
      <c r="C2850" t="s">
        <v>25</v>
      </c>
      <c r="D2850">
        <v>3.9335356979606</v>
      </c>
      <c r="E2850">
        <v>2</v>
      </c>
      <c r="F2850">
        <v>3050</v>
      </c>
      <c r="G2850">
        <v>5</v>
      </c>
      <c r="H2850">
        <v>2</v>
      </c>
      <c r="I2850">
        <v>2017</v>
      </c>
      <c r="J2850">
        <v>0</v>
      </c>
      <c r="K2850">
        <v>0</v>
      </c>
      <c r="L2850">
        <v>1</v>
      </c>
      <c r="M2850">
        <v>4</v>
      </c>
      <c r="N2850" t="s">
        <v>41</v>
      </c>
      <c r="O2850" t="s">
        <v>30</v>
      </c>
      <c r="P2850">
        <v>3.6566151196083299</v>
      </c>
      <c r="Q2850">
        <v>2.4829745694711498</v>
      </c>
      <c r="R2850">
        <v>2.30718262079743</v>
      </c>
      <c r="S2850">
        <v>140</v>
      </c>
      <c r="T2850">
        <v>57</v>
      </c>
      <c r="U2850">
        <v>916.97426619949601</v>
      </c>
      <c r="V2850">
        <v>1.3114754098360599E-3</v>
      </c>
      <c r="W2850">
        <v>3046436.3267575698</v>
      </c>
      <c r="X2850" t="s">
        <v>43</v>
      </c>
      <c r="Y2850">
        <f>1-513-663-4751</f>
        <v>-5926</v>
      </c>
    </row>
    <row r="2851" spans="1:25" x14ac:dyDescent="0.35">
      <c r="A2851">
        <v>38.838898685342301</v>
      </c>
      <c r="B2851">
        <v>-117.58240070247</v>
      </c>
      <c r="C2851" t="s">
        <v>29</v>
      </c>
      <c r="D2851">
        <v>40.899548402686598</v>
      </c>
      <c r="E2851">
        <v>8</v>
      </c>
      <c r="F2851">
        <v>3041</v>
      </c>
      <c r="G2851">
        <v>4</v>
      </c>
      <c r="H2851">
        <v>3</v>
      </c>
      <c r="I2851">
        <v>2017</v>
      </c>
      <c r="J2851">
        <v>0</v>
      </c>
      <c r="K2851">
        <v>0</v>
      </c>
      <c r="L2851">
        <v>0</v>
      </c>
      <c r="M2851">
        <v>13</v>
      </c>
      <c r="N2851" t="s">
        <v>26</v>
      </c>
      <c r="O2851" t="s">
        <v>27</v>
      </c>
      <c r="P2851">
        <v>14.223285893860499</v>
      </c>
      <c r="Q2851">
        <v>1.90094508947721</v>
      </c>
      <c r="R2851">
        <v>5.3554188548212203</v>
      </c>
      <c r="S2851">
        <v>27</v>
      </c>
      <c r="T2851">
        <v>73</v>
      </c>
      <c r="U2851">
        <v>465.32589146215099</v>
      </c>
      <c r="V2851">
        <v>4.2749095692206501E-3</v>
      </c>
      <c r="W2851">
        <v>1807461.48744296</v>
      </c>
      <c r="X2851" t="s">
        <v>31</v>
      </c>
      <c r="Y2851">
        <f>1-476-592-7239</f>
        <v>-8306</v>
      </c>
    </row>
    <row r="2852" spans="1:25" x14ac:dyDescent="0.35">
      <c r="A2852">
        <v>34.047534455560303</v>
      </c>
      <c r="B2852">
        <v>-118.489136745179</v>
      </c>
      <c r="C2852" t="s">
        <v>25</v>
      </c>
      <c r="D2852">
        <v>41.077648419307401</v>
      </c>
      <c r="E2852">
        <v>3</v>
      </c>
      <c r="F2852">
        <v>2129</v>
      </c>
      <c r="G2852">
        <v>4</v>
      </c>
      <c r="H2852">
        <v>3</v>
      </c>
      <c r="I2852">
        <v>1978</v>
      </c>
      <c r="J2852">
        <v>1</v>
      </c>
      <c r="K2852">
        <v>1</v>
      </c>
      <c r="L2852">
        <v>1</v>
      </c>
      <c r="M2852">
        <v>9</v>
      </c>
      <c r="N2852" t="s">
        <v>37</v>
      </c>
      <c r="O2852" t="s">
        <v>30</v>
      </c>
      <c r="P2852">
        <v>10.6004598453074</v>
      </c>
      <c r="Q2852">
        <v>2.1777621856795699</v>
      </c>
      <c r="R2852">
        <v>6.1577776471621002</v>
      </c>
      <c r="S2852">
        <v>130</v>
      </c>
      <c r="T2852">
        <v>58</v>
      </c>
      <c r="U2852">
        <v>725.18488107103997</v>
      </c>
      <c r="V2852">
        <v>4.2273367778299601E-3</v>
      </c>
      <c r="W2852">
        <v>1988753.1110015099</v>
      </c>
      <c r="X2852" t="s">
        <v>39</v>
      </c>
      <c r="Y2852">
        <f>1-239-133-9332</f>
        <v>-9703</v>
      </c>
    </row>
    <row r="2853" spans="1:25" x14ac:dyDescent="0.35">
      <c r="A2853">
        <v>39.9484418856578</v>
      </c>
      <c r="B2853">
        <v>-121.75587815567999</v>
      </c>
      <c r="C2853" t="s">
        <v>25</v>
      </c>
      <c r="D2853">
        <v>21.662664424898601</v>
      </c>
      <c r="E2853">
        <v>2</v>
      </c>
      <c r="F2853">
        <v>2481</v>
      </c>
      <c r="G2853">
        <v>5</v>
      </c>
      <c r="H2853">
        <v>3</v>
      </c>
      <c r="I2853">
        <v>1996</v>
      </c>
      <c r="J2853">
        <v>1</v>
      </c>
      <c r="K2853">
        <v>1</v>
      </c>
      <c r="L2853">
        <v>0</v>
      </c>
      <c r="M2853">
        <v>6</v>
      </c>
      <c r="N2853" t="s">
        <v>41</v>
      </c>
      <c r="O2853" t="s">
        <v>27</v>
      </c>
      <c r="P2853">
        <v>4.6595762639178897</v>
      </c>
      <c r="Q2853">
        <v>1.2711255366843699</v>
      </c>
      <c r="R2853">
        <v>2.5887275538221002</v>
      </c>
      <c r="S2853">
        <v>175</v>
      </c>
      <c r="T2853">
        <v>61</v>
      </c>
      <c r="U2853">
        <v>678.82401628433502</v>
      </c>
      <c r="V2853">
        <v>2.4183796856106399E-3</v>
      </c>
      <c r="W2853">
        <v>2160099.1114128199</v>
      </c>
      <c r="X2853" t="s">
        <v>28</v>
      </c>
      <c r="Y2853">
        <f>1-233-761-2817</f>
        <v>-3810</v>
      </c>
    </row>
    <row r="2854" spans="1:25" x14ac:dyDescent="0.35">
      <c r="A2854">
        <v>37.052443759861603</v>
      </c>
      <c r="B2854">
        <v>-117.29261312227599</v>
      </c>
      <c r="C2854" t="s">
        <v>25</v>
      </c>
      <c r="D2854">
        <v>44.597114847977998</v>
      </c>
      <c r="E2854">
        <v>1</v>
      </c>
      <c r="F2854">
        <v>905</v>
      </c>
      <c r="G2854">
        <v>3</v>
      </c>
      <c r="H2854">
        <v>1</v>
      </c>
      <c r="I2854">
        <v>1961</v>
      </c>
      <c r="J2854">
        <v>1</v>
      </c>
      <c r="K2854">
        <v>0</v>
      </c>
      <c r="L2854">
        <v>1</v>
      </c>
      <c r="M2854">
        <v>14</v>
      </c>
      <c r="N2854" t="s">
        <v>37</v>
      </c>
      <c r="O2854" t="s">
        <v>32</v>
      </c>
      <c r="P2854">
        <v>12.2112071151652</v>
      </c>
      <c r="Q2854">
        <v>1.14613933853451</v>
      </c>
      <c r="R2854">
        <v>3.5654848621311199</v>
      </c>
      <c r="S2854">
        <v>18</v>
      </c>
      <c r="T2854">
        <v>47</v>
      </c>
      <c r="U2854">
        <v>610.66639075331</v>
      </c>
      <c r="V2854">
        <v>1.54696132596685E-2</v>
      </c>
      <c r="W2854">
        <v>765147.07480444096</v>
      </c>
      <c r="X2854" t="s">
        <v>36</v>
      </c>
      <c r="Y2854">
        <f>1-885-670-5396</f>
        <v>-6950</v>
      </c>
    </row>
    <row r="2855" spans="1:25" x14ac:dyDescent="0.35">
      <c r="A2855">
        <v>38.357472333172801</v>
      </c>
      <c r="B2855">
        <v>-117.80493113231699</v>
      </c>
      <c r="C2855" t="s">
        <v>29</v>
      </c>
      <c r="D2855">
        <v>21.8056430276363</v>
      </c>
      <c r="E2855">
        <v>8</v>
      </c>
      <c r="F2855">
        <v>621</v>
      </c>
      <c r="G2855">
        <v>5</v>
      </c>
      <c r="H2855">
        <v>3</v>
      </c>
      <c r="I2855">
        <v>1993</v>
      </c>
      <c r="J2855">
        <v>1</v>
      </c>
      <c r="K2855">
        <v>0</v>
      </c>
      <c r="L2855">
        <v>1</v>
      </c>
      <c r="M2855">
        <v>6</v>
      </c>
      <c r="N2855" t="s">
        <v>41</v>
      </c>
      <c r="O2855" t="s">
        <v>32</v>
      </c>
      <c r="P2855">
        <v>2.0587486172303602</v>
      </c>
      <c r="Q2855">
        <v>1.61448118658328</v>
      </c>
      <c r="R2855">
        <v>1.49183019045114</v>
      </c>
      <c r="S2855">
        <v>187</v>
      </c>
      <c r="T2855">
        <v>23</v>
      </c>
      <c r="U2855">
        <v>584.87465070862402</v>
      </c>
      <c r="V2855">
        <v>9.6618357487922701E-3</v>
      </c>
      <c r="W2855">
        <v>720802.37238996697</v>
      </c>
      <c r="X2855" t="s">
        <v>40</v>
      </c>
      <c r="Y2855">
        <f>1-492-588-9593</f>
        <v>-10672</v>
      </c>
    </row>
    <row r="2856" spans="1:25" x14ac:dyDescent="0.35">
      <c r="A2856">
        <v>37.394337000442199</v>
      </c>
      <c r="B2856">
        <v>-114.217735537531</v>
      </c>
      <c r="C2856" t="s">
        <v>29</v>
      </c>
      <c r="D2856">
        <v>4.2915815869240701</v>
      </c>
      <c r="E2856">
        <v>5</v>
      </c>
      <c r="F2856">
        <v>1420</v>
      </c>
      <c r="G2856">
        <v>1</v>
      </c>
      <c r="H2856">
        <v>3</v>
      </c>
      <c r="I2856">
        <v>2017</v>
      </c>
      <c r="J2856">
        <v>1</v>
      </c>
      <c r="K2856">
        <v>0</v>
      </c>
      <c r="L2856">
        <v>0</v>
      </c>
      <c r="M2856">
        <v>3</v>
      </c>
      <c r="N2856" t="s">
        <v>35</v>
      </c>
      <c r="O2856" t="s">
        <v>30</v>
      </c>
      <c r="P2856">
        <v>10.5983855621168</v>
      </c>
      <c r="Q2856">
        <v>1.1383572622346601</v>
      </c>
      <c r="R2856">
        <v>9.4328004197676307</v>
      </c>
      <c r="S2856">
        <v>129</v>
      </c>
      <c r="T2856">
        <v>20</v>
      </c>
      <c r="U2856">
        <v>386.641356768457</v>
      </c>
      <c r="V2856">
        <v>2.1126760563380202E-3</v>
      </c>
      <c r="W2856">
        <v>825795.99999885703</v>
      </c>
      <c r="X2856" t="s">
        <v>38</v>
      </c>
      <c r="Y2856">
        <f>1-990-204-7258</f>
        <v>-8451</v>
      </c>
    </row>
    <row r="2857" spans="1:25" x14ac:dyDescent="0.35">
      <c r="A2857">
        <v>35.197404336375797</v>
      </c>
      <c r="B2857">
        <v>-115.088989843905</v>
      </c>
      <c r="C2857" t="s">
        <v>29</v>
      </c>
      <c r="D2857">
        <v>33.3376242237483</v>
      </c>
      <c r="E2857">
        <v>0</v>
      </c>
      <c r="F2857">
        <v>1174</v>
      </c>
      <c r="G2857">
        <v>5</v>
      </c>
      <c r="H2857">
        <v>1</v>
      </c>
      <c r="I2857">
        <v>1959</v>
      </c>
      <c r="J2857">
        <v>1</v>
      </c>
      <c r="K2857">
        <v>1</v>
      </c>
      <c r="L2857">
        <v>1</v>
      </c>
      <c r="M2857">
        <v>14</v>
      </c>
      <c r="N2857" t="s">
        <v>41</v>
      </c>
      <c r="O2857" t="s">
        <v>30</v>
      </c>
      <c r="P2857">
        <v>3.3589700922366501</v>
      </c>
      <c r="Q2857">
        <v>2.3421065301695299</v>
      </c>
      <c r="R2857">
        <v>8.4338278265909103</v>
      </c>
      <c r="S2857">
        <v>72</v>
      </c>
      <c r="T2857">
        <v>38</v>
      </c>
      <c r="U2857">
        <v>423.29418337407498</v>
      </c>
      <c r="V2857">
        <v>1.1925042589437799E-2</v>
      </c>
      <c r="W2857">
        <v>841241.47282866796</v>
      </c>
      <c r="X2857" t="s">
        <v>43</v>
      </c>
      <c r="Y2857">
        <f>1-417-889-9550</f>
        <v>-10855</v>
      </c>
    </row>
    <row r="2858" spans="1:25" x14ac:dyDescent="0.35">
      <c r="A2858">
        <v>40.3590622807302</v>
      </c>
      <c r="B2858">
        <v>-118.348074459545</v>
      </c>
      <c r="C2858" t="s">
        <v>29</v>
      </c>
      <c r="D2858">
        <v>20.449856475173601</v>
      </c>
      <c r="E2858">
        <v>2</v>
      </c>
      <c r="F2858">
        <v>4429</v>
      </c>
      <c r="G2858">
        <v>2</v>
      </c>
      <c r="H2858">
        <v>2</v>
      </c>
      <c r="I2858">
        <v>1992</v>
      </c>
      <c r="J2858">
        <v>0</v>
      </c>
      <c r="K2858">
        <v>1</v>
      </c>
      <c r="L2858">
        <v>0</v>
      </c>
      <c r="M2858">
        <v>8</v>
      </c>
      <c r="N2858" t="s">
        <v>35</v>
      </c>
      <c r="O2858" t="s">
        <v>30</v>
      </c>
      <c r="P2858">
        <v>12.931631502359201</v>
      </c>
      <c r="Q2858">
        <v>2.3015268363895101</v>
      </c>
      <c r="R2858">
        <v>0.53015942439170005</v>
      </c>
      <c r="S2858">
        <v>85</v>
      </c>
      <c r="T2858">
        <v>70</v>
      </c>
      <c r="U2858">
        <v>301.41452833570202</v>
      </c>
      <c r="V2858">
        <v>1.80627681192142E-3</v>
      </c>
      <c r="W2858">
        <v>1592873.7277265601</v>
      </c>
      <c r="X2858" t="s">
        <v>40</v>
      </c>
      <c r="Y2858">
        <f>1-558-734-4709</f>
        <v>-6000</v>
      </c>
    </row>
    <row r="2859" spans="1:25" x14ac:dyDescent="0.35">
      <c r="A2859">
        <v>39.320980530588997</v>
      </c>
      <c r="B2859">
        <v>-119.515046642936</v>
      </c>
      <c r="C2859" t="s">
        <v>34</v>
      </c>
      <c r="D2859">
        <v>27.093821627615799</v>
      </c>
      <c r="E2859">
        <v>8</v>
      </c>
      <c r="F2859">
        <v>3584</v>
      </c>
      <c r="G2859">
        <v>5</v>
      </c>
      <c r="H2859">
        <v>1</v>
      </c>
      <c r="I2859">
        <v>2013</v>
      </c>
      <c r="J2859">
        <v>0</v>
      </c>
      <c r="K2859">
        <v>0</v>
      </c>
      <c r="L2859">
        <v>1</v>
      </c>
      <c r="M2859">
        <v>9</v>
      </c>
      <c r="N2859" t="s">
        <v>37</v>
      </c>
      <c r="O2859" t="s">
        <v>32</v>
      </c>
      <c r="P2859">
        <v>14.0677115858068</v>
      </c>
      <c r="Q2859">
        <v>0.81032179614924305</v>
      </c>
      <c r="R2859">
        <v>5.7236704643165197</v>
      </c>
      <c r="S2859">
        <v>168</v>
      </c>
      <c r="T2859">
        <v>35</v>
      </c>
      <c r="U2859">
        <v>945.32143690126497</v>
      </c>
      <c r="V2859">
        <v>2.5111607142857101E-3</v>
      </c>
      <c r="W2859">
        <v>3844222.1719491701</v>
      </c>
      <c r="X2859" t="s">
        <v>28</v>
      </c>
      <c r="Y2859">
        <f>1-276-559-6708</f>
        <v>-7542</v>
      </c>
    </row>
    <row r="2860" spans="1:25" x14ac:dyDescent="0.35">
      <c r="A2860">
        <v>33.123786817826598</v>
      </c>
      <c r="B2860">
        <v>-119.84504411014299</v>
      </c>
      <c r="C2860" t="s">
        <v>29</v>
      </c>
      <c r="D2860">
        <v>38.745905883373602</v>
      </c>
      <c r="E2860">
        <v>1</v>
      </c>
      <c r="F2860">
        <v>1249</v>
      </c>
      <c r="G2860">
        <v>4</v>
      </c>
      <c r="H2860">
        <v>3</v>
      </c>
      <c r="I2860">
        <v>1999</v>
      </c>
      <c r="J2860">
        <v>1</v>
      </c>
      <c r="K2860">
        <v>1</v>
      </c>
      <c r="L2860">
        <v>0</v>
      </c>
      <c r="M2860">
        <v>5</v>
      </c>
      <c r="N2860" t="s">
        <v>37</v>
      </c>
      <c r="O2860" t="s">
        <v>30</v>
      </c>
      <c r="P2860">
        <v>4.50740447757022</v>
      </c>
      <c r="Q2860">
        <v>1.0071769074954799</v>
      </c>
      <c r="R2860">
        <v>8.7808058302123904</v>
      </c>
      <c r="S2860">
        <v>111</v>
      </c>
      <c r="T2860">
        <v>64</v>
      </c>
      <c r="U2860">
        <v>601.43468515251595</v>
      </c>
      <c r="V2860">
        <v>4.0032025620496299E-3</v>
      </c>
      <c r="W2860">
        <v>1111049.21706148</v>
      </c>
      <c r="X2860" t="s">
        <v>40</v>
      </c>
      <c r="Y2860">
        <f>1-519-845-1842</f>
        <v>-3205</v>
      </c>
    </row>
    <row r="2861" spans="1:25" x14ac:dyDescent="0.35">
      <c r="A2861">
        <v>41.918738895858702</v>
      </c>
      <c r="B2861">
        <v>-114.39684645477401</v>
      </c>
      <c r="C2861" t="s">
        <v>25</v>
      </c>
      <c r="D2861">
        <v>39.864994362559301</v>
      </c>
      <c r="E2861">
        <v>4</v>
      </c>
      <c r="F2861">
        <v>4388</v>
      </c>
      <c r="G2861">
        <v>4</v>
      </c>
      <c r="H2861">
        <v>1</v>
      </c>
      <c r="I2861">
        <v>1976</v>
      </c>
      <c r="J2861">
        <v>1</v>
      </c>
      <c r="K2861">
        <v>0</v>
      </c>
      <c r="L2861">
        <v>0</v>
      </c>
      <c r="M2861">
        <v>11</v>
      </c>
      <c r="N2861" t="s">
        <v>37</v>
      </c>
      <c r="O2861" t="s">
        <v>27</v>
      </c>
      <c r="P2861">
        <v>4.1332532752275899</v>
      </c>
      <c r="Q2861">
        <v>1.79113321139057</v>
      </c>
      <c r="R2861">
        <v>7.3718044360634796</v>
      </c>
      <c r="S2861">
        <v>152</v>
      </c>
      <c r="T2861">
        <v>68</v>
      </c>
      <c r="U2861">
        <v>473.15917886072401</v>
      </c>
      <c r="V2861">
        <v>2.5068368277119399E-3</v>
      </c>
      <c r="W2861">
        <v>2274935.8626160002</v>
      </c>
      <c r="X2861" t="s">
        <v>43</v>
      </c>
      <c r="Y2861">
        <f>1-372-592-3328</f>
        <v>-4291</v>
      </c>
    </row>
    <row r="2862" spans="1:25" x14ac:dyDescent="0.35">
      <c r="A2862">
        <v>39.225529341331402</v>
      </c>
      <c r="B2862">
        <v>-114.06437276557899</v>
      </c>
      <c r="C2862" t="s">
        <v>34</v>
      </c>
      <c r="D2862">
        <v>3.3753569011855298</v>
      </c>
      <c r="E2862">
        <v>7</v>
      </c>
      <c r="F2862">
        <v>4435</v>
      </c>
      <c r="G2862">
        <v>3</v>
      </c>
      <c r="H2862">
        <v>2</v>
      </c>
      <c r="I2862">
        <v>2003</v>
      </c>
      <c r="J2862">
        <v>1</v>
      </c>
      <c r="K2862">
        <v>1</v>
      </c>
      <c r="L2862">
        <v>0</v>
      </c>
      <c r="M2862">
        <v>5</v>
      </c>
      <c r="N2862" t="s">
        <v>41</v>
      </c>
      <c r="O2862" t="s">
        <v>27</v>
      </c>
      <c r="P2862">
        <v>6.0989842265927603</v>
      </c>
      <c r="Q2862">
        <v>0.964999136483218</v>
      </c>
      <c r="R2862">
        <v>7.60559828643167</v>
      </c>
      <c r="S2862">
        <v>164</v>
      </c>
      <c r="T2862">
        <v>35</v>
      </c>
      <c r="U2862">
        <v>615.18619508390998</v>
      </c>
      <c r="V2862">
        <v>1.12739571589627E-3</v>
      </c>
      <c r="W2862">
        <v>3088802.19612158</v>
      </c>
      <c r="X2862" t="s">
        <v>36</v>
      </c>
      <c r="Y2862">
        <f>1-295-568-2021</f>
        <v>-2883</v>
      </c>
    </row>
    <row r="2863" spans="1:25" x14ac:dyDescent="0.35">
      <c r="A2863">
        <v>32.740801637022699</v>
      </c>
      <c r="B2863">
        <v>-121.027497733806</v>
      </c>
      <c r="C2863" t="s">
        <v>29</v>
      </c>
      <c r="D2863">
        <v>41.481334419833203</v>
      </c>
      <c r="E2863">
        <v>4</v>
      </c>
      <c r="F2863">
        <v>4854</v>
      </c>
      <c r="G2863">
        <v>1</v>
      </c>
      <c r="H2863">
        <v>1</v>
      </c>
      <c r="I2863">
        <v>2016</v>
      </c>
      <c r="J2863">
        <v>0</v>
      </c>
      <c r="K2863">
        <v>1</v>
      </c>
      <c r="L2863">
        <v>0</v>
      </c>
      <c r="M2863">
        <v>9</v>
      </c>
      <c r="N2863" t="s">
        <v>26</v>
      </c>
      <c r="O2863" t="s">
        <v>32</v>
      </c>
      <c r="P2863">
        <v>2.7701168728945902</v>
      </c>
      <c r="Q2863">
        <v>1.03529528630757</v>
      </c>
      <c r="R2863">
        <v>0.64815283902291898</v>
      </c>
      <c r="S2863">
        <v>62</v>
      </c>
      <c r="T2863">
        <v>22</v>
      </c>
      <c r="U2863">
        <v>740.02657961185002</v>
      </c>
      <c r="V2863">
        <v>1.85414091470951E-3</v>
      </c>
      <c r="W2863">
        <v>3734513.6017656601</v>
      </c>
      <c r="X2863" t="s">
        <v>43</v>
      </c>
      <c r="Y2863">
        <f>1-839-589-1357</f>
        <v>-2784</v>
      </c>
    </row>
    <row r="2864" spans="1:25" x14ac:dyDescent="0.35">
      <c r="A2864">
        <v>36.345373431546697</v>
      </c>
      <c r="B2864">
        <v>-119.391488293664</v>
      </c>
      <c r="C2864" t="s">
        <v>29</v>
      </c>
      <c r="D2864">
        <v>20.542209210760301</v>
      </c>
      <c r="E2864">
        <v>3</v>
      </c>
      <c r="F2864">
        <v>2972</v>
      </c>
      <c r="G2864">
        <v>5</v>
      </c>
      <c r="H2864">
        <v>3</v>
      </c>
      <c r="I2864">
        <v>1971</v>
      </c>
      <c r="J2864">
        <v>1</v>
      </c>
      <c r="K2864">
        <v>1</v>
      </c>
      <c r="L2864">
        <v>1</v>
      </c>
      <c r="M2864">
        <v>14</v>
      </c>
      <c r="N2864" t="s">
        <v>26</v>
      </c>
      <c r="O2864" t="s">
        <v>27</v>
      </c>
      <c r="P2864">
        <v>9.2224423122316601</v>
      </c>
      <c r="Q2864">
        <v>2.09252498144888</v>
      </c>
      <c r="R2864">
        <v>2.06609426480669</v>
      </c>
      <c r="S2864">
        <v>36</v>
      </c>
      <c r="T2864">
        <v>32</v>
      </c>
      <c r="U2864">
        <v>380.37739644392502</v>
      </c>
      <c r="V2864">
        <v>4.7106325706594799E-3</v>
      </c>
      <c r="W2864">
        <v>1596157.23878851</v>
      </c>
      <c r="X2864" t="s">
        <v>40</v>
      </c>
      <c r="Y2864">
        <f>1-945-401-2159</f>
        <v>-3504</v>
      </c>
    </row>
    <row r="2865" spans="1:25" x14ac:dyDescent="0.35">
      <c r="A2865">
        <v>33.394160809309298</v>
      </c>
      <c r="B2865">
        <v>-122.114124047996</v>
      </c>
      <c r="C2865" t="s">
        <v>34</v>
      </c>
      <c r="D2865">
        <v>8.0090299807540895</v>
      </c>
      <c r="E2865">
        <v>0</v>
      </c>
      <c r="F2865">
        <v>1948</v>
      </c>
      <c r="G2865">
        <v>3</v>
      </c>
      <c r="H2865">
        <v>1</v>
      </c>
      <c r="I2865">
        <v>1950</v>
      </c>
      <c r="J2865">
        <v>1</v>
      </c>
      <c r="K2865">
        <v>1</v>
      </c>
      <c r="L2865">
        <v>1</v>
      </c>
      <c r="M2865">
        <v>3</v>
      </c>
      <c r="N2865" t="s">
        <v>35</v>
      </c>
      <c r="O2865" t="s">
        <v>30</v>
      </c>
      <c r="P2865">
        <v>12.548405462894801</v>
      </c>
      <c r="Q2865">
        <v>2.1067295870768201</v>
      </c>
      <c r="R2865">
        <v>7.8100384253750903</v>
      </c>
      <c r="S2865">
        <v>186</v>
      </c>
      <c r="T2865">
        <v>36</v>
      </c>
      <c r="U2865">
        <v>221.61662872996101</v>
      </c>
      <c r="V2865">
        <v>1.5400410677618001E-3</v>
      </c>
      <c r="W2865">
        <v>746165.38967104605</v>
      </c>
      <c r="X2865" t="s">
        <v>28</v>
      </c>
      <c r="Y2865">
        <f>1-292-952-2416</f>
        <v>-3659</v>
      </c>
    </row>
    <row r="2866" spans="1:25" x14ac:dyDescent="0.35">
      <c r="A2866">
        <v>39.395480069101502</v>
      </c>
      <c r="B2866">
        <v>-114.060724027036</v>
      </c>
      <c r="C2866" t="s">
        <v>25</v>
      </c>
      <c r="D2866">
        <v>48.9851732090494</v>
      </c>
      <c r="E2866">
        <v>7</v>
      </c>
      <c r="F2866">
        <v>1019</v>
      </c>
      <c r="G2866">
        <v>3</v>
      </c>
      <c r="H2866">
        <v>3</v>
      </c>
      <c r="I2866">
        <v>2010</v>
      </c>
      <c r="J2866">
        <v>1</v>
      </c>
      <c r="K2866">
        <v>0</v>
      </c>
      <c r="L2866">
        <v>1</v>
      </c>
      <c r="M2866">
        <v>8</v>
      </c>
      <c r="N2866" t="s">
        <v>26</v>
      </c>
      <c r="O2866" t="s">
        <v>27</v>
      </c>
      <c r="P2866">
        <v>8.33551311996899</v>
      </c>
      <c r="Q2866">
        <v>1.0897191278123499</v>
      </c>
      <c r="R2866">
        <v>1.0056431629891101</v>
      </c>
      <c r="S2866">
        <v>191</v>
      </c>
      <c r="T2866">
        <v>64</v>
      </c>
      <c r="U2866">
        <v>942.06081745126005</v>
      </c>
      <c r="V2866">
        <v>7.8508341511285499E-3</v>
      </c>
      <c r="W2866">
        <v>1304924.0330992199</v>
      </c>
      <c r="X2866" t="s">
        <v>38</v>
      </c>
      <c r="Y2866">
        <f>1-263-190-1692</f>
        <v>-2144</v>
      </c>
    </row>
    <row r="2867" spans="1:25" x14ac:dyDescent="0.35">
      <c r="A2867">
        <v>40.318678548075098</v>
      </c>
      <c r="B2867">
        <v>-116.89523143621901</v>
      </c>
      <c r="C2867" t="s">
        <v>34</v>
      </c>
      <c r="D2867">
        <v>42.838491233460502</v>
      </c>
      <c r="E2867">
        <v>1</v>
      </c>
      <c r="F2867">
        <v>1792</v>
      </c>
      <c r="G2867">
        <v>5</v>
      </c>
      <c r="H2867">
        <v>2</v>
      </c>
      <c r="I2867">
        <v>1962</v>
      </c>
      <c r="J2867">
        <v>0</v>
      </c>
      <c r="K2867">
        <v>1</v>
      </c>
      <c r="L2867">
        <v>0</v>
      </c>
      <c r="M2867">
        <v>10</v>
      </c>
      <c r="N2867" t="s">
        <v>35</v>
      </c>
      <c r="O2867" t="s">
        <v>27</v>
      </c>
      <c r="P2867">
        <v>7.4724048016061797</v>
      </c>
      <c r="Q2867">
        <v>1.0516452075267499</v>
      </c>
      <c r="R2867">
        <v>2.6333656272938701</v>
      </c>
      <c r="S2867">
        <v>44</v>
      </c>
      <c r="T2867">
        <v>46</v>
      </c>
      <c r="U2867">
        <v>412.900119900623</v>
      </c>
      <c r="V2867">
        <v>5.5803571428571404E-3</v>
      </c>
      <c r="W2867">
        <v>1116416.9166445101</v>
      </c>
      <c r="X2867" t="s">
        <v>43</v>
      </c>
      <c r="Y2867">
        <f>1-202-927-6997</f>
        <v>-8125</v>
      </c>
    </row>
    <row r="2868" spans="1:25" x14ac:dyDescent="0.35">
      <c r="A2868">
        <v>41.158984693938798</v>
      </c>
      <c r="B2868">
        <v>-124.479130213167</v>
      </c>
      <c r="C2868" t="s">
        <v>29</v>
      </c>
      <c r="D2868">
        <v>44.183756633699097</v>
      </c>
      <c r="E2868">
        <v>5</v>
      </c>
      <c r="F2868">
        <v>3263</v>
      </c>
      <c r="G2868">
        <v>1</v>
      </c>
      <c r="H2868">
        <v>3</v>
      </c>
      <c r="I2868">
        <v>2013</v>
      </c>
      <c r="J2868">
        <v>0</v>
      </c>
      <c r="K2868">
        <v>1</v>
      </c>
      <c r="L2868">
        <v>1</v>
      </c>
      <c r="M2868">
        <v>14</v>
      </c>
      <c r="N2868" t="s">
        <v>41</v>
      </c>
      <c r="O2868" t="s">
        <v>30</v>
      </c>
      <c r="P2868">
        <v>8.6099211432253195</v>
      </c>
      <c r="Q2868">
        <v>2.4337893594383999</v>
      </c>
      <c r="R2868">
        <v>8.3577574002059301</v>
      </c>
      <c r="S2868">
        <v>91</v>
      </c>
      <c r="T2868">
        <v>52</v>
      </c>
      <c r="U2868">
        <v>921.48947220279899</v>
      </c>
      <c r="V2868">
        <v>4.2905301869445196E-3</v>
      </c>
      <c r="W2868">
        <v>3260260.8622287698</v>
      </c>
      <c r="X2868" t="s">
        <v>38</v>
      </c>
      <c r="Y2868">
        <f>1-490-146-8065</f>
        <v>-8700</v>
      </c>
    </row>
    <row r="2869" spans="1:25" x14ac:dyDescent="0.35">
      <c r="A2869">
        <v>39.8634349633002</v>
      </c>
      <c r="B2869">
        <v>-117.72191152186799</v>
      </c>
      <c r="C2869" t="s">
        <v>25</v>
      </c>
      <c r="D2869">
        <v>4.3196407411680999</v>
      </c>
      <c r="E2869">
        <v>5</v>
      </c>
      <c r="F2869">
        <v>3151</v>
      </c>
      <c r="G2869">
        <v>2</v>
      </c>
      <c r="H2869">
        <v>1</v>
      </c>
      <c r="I2869">
        <v>1994</v>
      </c>
      <c r="J2869">
        <v>0</v>
      </c>
      <c r="K2869">
        <v>1</v>
      </c>
      <c r="L2869">
        <v>1</v>
      </c>
      <c r="M2869">
        <v>13</v>
      </c>
      <c r="N2869" t="s">
        <v>41</v>
      </c>
      <c r="O2869" t="s">
        <v>30</v>
      </c>
      <c r="P2869">
        <v>13.7668275178891</v>
      </c>
      <c r="Q2869">
        <v>1.54293373219595</v>
      </c>
      <c r="R2869">
        <v>8.9138178059528794</v>
      </c>
      <c r="S2869">
        <v>157</v>
      </c>
      <c r="T2869">
        <v>41</v>
      </c>
      <c r="U2869">
        <v>586.35098133935298</v>
      </c>
      <c r="V2869">
        <v>4.1256743890828304E-3</v>
      </c>
      <c r="W2869">
        <v>2105955.8690102301</v>
      </c>
      <c r="X2869" t="s">
        <v>42</v>
      </c>
      <c r="Y2869">
        <f>1-842-412-4025</f>
        <v>-5278</v>
      </c>
    </row>
    <row r="2870" spans="1:25" x14ac:dyDescent="0.35">
      <c r="A2870">
        <v>34.002317280209901</v>
      </c>
      <c r="B2870">
        <v>-114.616994529114</v>
      </c>
      <c r="C2870" t="s">
        <v>29</v>
      </c>
      <c r="D2870">
        <v>2.1175336106298501</v>
      </c>
      <c r="E2870">
        <v>4</v>
      </c>
      <c r="F2870">
        <v>2419</v>
      </c>
      <c r="G2870">
        <v>5</v>
      </c>
      <c r="H2870">
        <v>2</v>
      </c>
      <c r="I2870">
        <v>1998</v>
      </c>
      <c r="J2870">
        <v>1</v>
      </c>
      <c r="K2870">
        <v>0</v>
      </c>
      <c r="L2870">
        <v>1</v>
      </c>
      <c r="M2870">
        <v>13</v>
      </c>
      <c r="N2870" t="s">
        <v>41</v>
      </c>
      <c r="O2870" t="s">
        <v>27</v>
      </c>
      <c r="P2870">
        <v>3.54138242279662</v>
      </c>
      <c r="Q2870">
        <v>1.9783661716485399</v>
      </c>
      <c r="R2870">
        <v>6.03886421588345</v>
      </c>
      <c r="S2870">
        <v>38</v>
      </c>
      <c r="T2870">
        <v>57</v>
      </c>
      <c r="U2870">
        <v>418.64013731868999</v>
      </c>
      <c r="V2870">
        <v>5.3741215378255401E-3</v>
      </c>
      <c r="W2870">
        <v>1441207.85108486</v>
      </c>
      <c r="X2870" t="s">
        <v>40</v>
      </c>
      <c r="Y2870">
        <f>1-393-886-4900</f>
        <v>-6178</v>
      </c>
    </row>
    <row r="2871" spans="1:25" x14ac:dyDescent="0.35">
      <c r="A2871">
        <v>34.993149789366903</v>
      </c>
      <c r="B2871">
        <v>-115.41810348206501</v>
      </c>
      <c r="C2871" t="s">
        <v>25</v>
      </c>
      <c r="D2871">
        <v>13.628076431835099</v>
      </c>
      <c r="E2871">
        <v>7</v>
      </c>
      <c r="F2871">
        <v>1693</v>
      </c>
      <c r="G2871">
        <v>5</v>
      </c>
      <c r="H2871">
        <v>3</v>
      </c>
      <c r="I2871">
        <v>2011</v>
      </c>
      <c r="J2871">
        <v>1</v>
      </c>
      <c r="K2871">
        <v>0</v>
      </c>
      <c r="L2871">
        <v>0</v>
      </c>
      <c r="M2871">
        <v>11</v>
      </c>
      <c r="N2871" t="s">
        <v>26</v>
      </c>
      <c r="O2871" t="s">
        <v>27</v>
      </c>
      <c r="P2871">
        <v>4.44515605968268</v>
      </c>
      <c r="Q2871">
        <v>0.56990904662561503</v>
      </c>
      <c r="R2871">
        <v>5.8853904430962096</v>
      </c>
      <c r="S2871">
        <v>28</v>
      </c>
      <c r="T2871">
        <v>35</v>
      </c>
      <c r="U2871">
        <v>846.63120341629303</v>
      </c>
      <c r="V2871">
        <v>6.49734199645599E-3</v>
      </c>
      <c r="W2871">
        <v>1784544.18578444</v>
      </c>
      <c r="X2871" t="s">
        <v>28</v>
      </c>
      <c r="Y2871">
        <f>1-274-253-2132</f>
        <v>-2658</v>
      </c>
    </row>
    <row r="2872" spans="1:25" x14ac:dyDescent="0.35">
      <c r="A2872">
        <v>38.983569381101198</v>
      </c>
      <c r="B2872">
        <v>-120.663018246924</v>
      </c>
      <c r="C2872" t="s">
        <v>34</v>
      </c>
      <c r="D2872">
        <v>30.827541491343101</v>
      </c>
      <c r="E2872">
        <v>3</v>
      </c>
      <c r="F2872">
        <v>511</v>
      </c>
      <c r="G2872">
        <v>2</v>
      </c>
      <c r="H2872">
        <v>2</v>
      </c>
      <c r="I2872">
        <v>1974</v>
      </c>
      <c r="J2872">
        <v>0</v>
      </c>
      <c r="K2872">
        <v>1</v>
      </c>
      <c r="L2872">
        <v>0</v>
      </c>
      <c r="M2872">
        <v>6</v>
      </c>
      <c r="N2872" t="s">
        <v>41</v>
      </c>
      <c r="O2872" t="s">
        <v>30</v>
      </c>
      <c r="P2872">
        <v>9.0767413237387</v>
      </c>
      <c r="Q2872">
        <v>2.4343282066796599</v>
      </c>
      <c r="R2872">
        <v>8.8812118301513507</v>
      </c>
      <c r="S2872">
        <v>115</v>
      </c>
      <c r="T2872">
        <v>59</v>
      </c>
      <c r="U2872">
        <v>666.28525665443703</v>
      </c>
      <c r="V2872">
        <v>1.17416829745596E-2</v>
      </c>
      <c r="W2872">
        <v>476524.813306558</v>
      </c>
      <c r="X2872" t="s">
        <v>42</v>
      </c>
      <c r="Y2872">
        <f>1-725-738-4007</f>
        <v>-5469</v>
      </c>
    </row>
    <row r="2873" spans="1:25" x14ac:dyDescent="0.35">
      <c r="A2873">
        <v>37.010459102803303</v>
      </c>
      <c r="B2873">
        <v>-121.96645802984</v>
      </c>
      <c r="C2873" t="s">
        <v>29</v>
      </c>
      <c r="D2873">
        <v>47.959694993473697</v>
      </c>
      <c r="E2873">
        <v>3</v>
      </c>
      <c r="F2873">
        <v>3567</v>
      </c>
      <c r="G2873">
        <v>1</v>
      </c>
      <c r="H2873">
        <v>3</v>
      </c>
      <c r="I2873">
        <v>1976</v>
      </c>
      <c r="J2873">
        <v>0</v>
      </c>
      <c r="K2873">
        <v>0</v>
      </c>
      <c r="L2873">
        <v>1</v>
      </c>
      <c r="M2873">
        <v>8</v>
      </c>
      <c r="N2873" t="s">
        <v>35</v>
      </c>
      <c r="O2873" t="s">
        <v>30</v>
      </c>
      <c r="P2873">
        <v>10.510631172622</v>
      </c>
      <c r="Q2873">
        <v>1.0598495047358101</v>
      </c>
      <c r="R2873">
        <v>8.6657183824803496</v>
      </c>
      <c r="S2873">
        <v>30</v>
      </c>
      <c r="T2873">
        <v>29</v>
      </c>
      <c r="U2873">
        <v>723.89608525975302</v>
      </c>
      <c r="V2873">
        <v>2.2427810485001398E-3</v>
      </c>
      <c r="W2873">
        <v>2721725.8299613302</v>
      </c>
      <c r="X2873" t="s">
        <v>39</v>
      </c>
      <c r="Y2873">
        <f>1-736-524-6602</f>
        <v>-7861</v>
      </c>
    </row>
    <row r="2874" spans="1:25" x14ac:dyDescent="0.35">
      <c r="A2874">
        <v>40.813867034175601</v>
      </c>
      <c r="B2874">
        <v>-122.359865179222</v>
      </c>
      <c r="C2874" t="s">
        <v>34</v>
      </c>
      <c r="D2874">
        <v>1.23002855034904</v>
      </c>
      <c r="E2874">
        <v>6</v>
      </c>
      <c r="F2874">
        <v>1004</v>
      </c>
      <c r="G2874">
        <v>4</v>
      </c>
      <c r="H2874">
        <v>3</v>
      </c>
      <c r="I2874">
        <v>1952</v>
      </c>
      <c r="J2874">
        <v>0</v>
      </c>
      <c r="K2874">
        <v>1</v>
      </c>
      <c r="L2874">
        <v>1</v>
      </c>
      <c r="M2874">
        <v>14</v>
      </c>
      <c r="N2874" t="s">
        <v>37</v>
      </c>
      <c r="O2874" t="s">
        <v>30</v>
      </c>
      <c r="P2874">
        <v>10.344849564635499</v>
      </c>
      <c r="Q2874">
        <v>1.7705949067175</v>
      </c>
      <c r="R2874">
        <v>5.8428262538859101</v>
      </c>
      <c r="S2874">
        <v>144</v>
      </c>
      <c r="T2874">
        <v>54</v>
      </c>
      <c r="U2874">
        <v>352.34709476101602</v>
      </c>
      <c r="V2874">
        <v>1.39442231075697E-2</v>
      </c>
      <c r="W2874">
        <v>703885.78040463896</v>
      </c>
      <c r="X2874" t="s">
        <v>28</v>
      </c>
      <c r="Y2874">
        <f>1-223-251-7694</f>
        <v>-8167</v>
      </c>
    </row>
    <row r="2875" spans="1:25" x14ac:dyDescent="0.35">
      <c r="A2875">
        <v>33.913490639469103</v>
      </c>
      <c r="B2875">
        <v>-120.99127545157</v>
      </c>
      <c r="C2875" t="s">
        <v>34</v>
      </c>
      <c r="D2875">
        <v>32.904496938737999</v>
      </c>
      <c r="E2875">
        <v>4</v>
      </c>
      <c r="F2875">
        <v>954</v>
      </c>
      <c r="G2875">
        <v>2</v>
      </c>
      <c r="H2875">
        <v>3</v>
      </c>
      <c r="I2875">
        <v>1958</v>
      </c>
      <c r="J2875">
        <v>0</v>
      </c>
      <c r="K2875">
        <v>0</v>
      </c>
      <c r="L2875">
        <v>1</v>
      </c>
      <c r="M2875">
        <v>8</v>
      </c>
      <c r="N2875" t="s">
        <v>35</v>
      </c>
      <c r="O2875" t="s">
        <v>32</v>
      </c>
      <c r="P2875">
        <v>12.7762797804453</v>
      </c>
      <c r="Q2875">
        <v>0.66421071502495299</v>
      </c>
      <c r="R2875">
        <v>3.39721652758073</v>
      </c>
      <c r="S2875">
        <v>151</v>
      </c>
      <c r="T2875">
        <v>45</v>
      </c>
      <c r="U2875">
        <v>693.81406680715099</v>
      </c>
      <c r="V2875">
        <v>8.3857442348008304E-3</v>
      </c>
      <c r="W2875">
        <v>822385.09577298595</v>
      </c>
      <c r="X2875" t="s">
        <v>38</v>
      </c>
      <c r="Y2875">
        <f>1-739-771-1992</f>
        <v>-3501</v>
      </c>
    </row>
    <row r="2876" spans="1:25" x14ac:dyDescent="0.35">
      <c r="A2876">
        <v>34.172013765000003</v>
      </c>
      <c r="B2876">
        <v>-115.30299836453401</v>
      </c>
      <c r="C2876" t="s">
        <v>34</v>
      </c>
      <c r="D2876">
        <v>14.7566113814863</v>
      </c>
      <c r="E2876">
        <v>5</v>
      </c>
      <c r="F2876">
        <v>4285</v>
      </c>
      <c r="G2876">
        <v>2</v>
      </c>
      <c r="H2876">
        <v>2</v>
      </c>
      <c r="I2876">
        <v>1952</v>
      </c>
      <c r="J2876">
        <v>0</v>
      </c>
      <c r="K2876">
        <v>0</v>
      </c>
      <c r="L2876">
        <v>1</v>
      </c>
      <c r="M2876">
        <v>14</v>
      </c>
      <c r="N2876" t="s">
        <v>26</v>
      </c>
      <c r="O2876" t="s">
        <v>27</v>
      </c>
      <c r="P2876">
        <v>11.4269855846768</v>
      </c>
      <c r="Q2876">
        <v>1.5831624522326999</v>
      </c>
      <c r="R2876">
        <v>4.9357151959711203</v>
      </c>
      <c r="S2876">
        <v>175</v>
      </c>
      <c r="T2876">
        <v>36</v>
      </c>
      <c r="U2876">
        <v>844.46295738277604</v>
      </c>
      <c r="V2876">
        <v>3.2672112018669701E-3</v>
      </c>
      <c r="W2876">
        <v>3797042.9500738801</v>
      </c>
      <c r="X2876" t="s">
        <v>28</v>
      </c>
      <c r="Y2876">
        <f>1-383-195-2355</f>
        <v>-2932</v>
      </c>
    </row>
    <row r="2877" spans="1:25" x14ac:dyDescent="0.35">
      <c r="A2877">
        <v>40.074746156899998</v>
      </c>
      <c r="B2877">
        <v>-114.285890573394</v>
      </c>
      <c r="C2877" t="s">
        <v>25</v>
      </c>
      <c r="D2877">
        <v>4.3603944861733899</v>
      </c>
      <c r="E2877">
        <v>6</v>
      </c>
      <c r="F2877">
        <v>1596</v>
      </c>
      <c r="G2877">
        <v>2</v>
      </c>
      <c r="H2877">
        <v>1</v>
      </c>
      <c r="I2877">
        <v>2005</v>
      </c>
      <c r="J2877">
        <v>1</v>
      </c>
      <c r="K2877">
        <v>0</v>
      </c>
      <c r="L2877">
        <v>0</v>
      </c>
      <c r="M2877">
        <v>9</v>
      </c>
      <c r="N2877" t="s">
        <v>37</v>
      </c>
      <c r="O2877" t="s">
        <v>30</v>
      </c>
      <c r="P2877">
        <v>11.1476542649651</v>
      </c>
      <c r="Q2877">
        <v>1.3286762284358</v>
      </c>
      <c r="R2877">
        <v>7.8225542575288003</v>
      </c>
      <c r="S2877">
        <v>127</v>
      </c>
      <c r="T2877">
        <v>31</v>
      </c>
      <c r="U2877">
        <v>937.990246860203</v>
      </c>
      <c r="V2877">
        <v>5.6390977443609002E-3</v>
      </c>
      <c r="W2877">
        <v>1732739.4268030999</v>
      </c>
      <c r="X2877" t="s">
        <v>28</v>
      </c>
      <c r="Y2877">
        <f>1-285-679-4567</f>
        <v>-5530</v>
      </c>
    </row>
    <row r="2878" spans="1:25" x14ac:dyDescent="0.35">
      <c r="A2878">
        <v>40.976364709823997</v>
      </c>
      <c r="B2878">
        <v>-119.95122226176601</v>
      </c>
      <c r="C2878" t="s">
        <v>25</v>
      </c>
      <c r="D2878">
        <v>30.404199145131098</v>
      </c>
      <c r="E2878">
        <v>5</v>
      </c>
      <c r="F2878">
        <v>2642</v>
      </c>
      <c r="G2878">
        <v>5</v>
      </c>
      <c r="H2878">
        <v>2</v>
      </c>
      <c r="I2878">
        <v>1990</v>
      </c>
      <c r="J2878">
        <v>1</v>
      </c>
      <c r="K2878">
        <v>1</v>
      </c>
      <c r="L2878">
        <v>0</v>
      </c>
      <c r="M2878">
        <v>14</v>
      </c>
      <c r="N2878" t="s">
        <v>35</v>
      </c>
      <c r="O2878" t="s">
        <v>27</v>
      </c>
      <c r="P2878">
        <v>13.474263652782501</v>
      </c>
      <c r="Q2878">
        <v>1.1526237220375399</v>
      </c>
      <c r="R2878">
        <v>7.3937680958932299</v>
      </c>
      <c r="S2878">
        <v>25</v>
      </c>
      <c r="T2878">
        <v>79</v>
      </c>
      <c r="U2878">
        <v>511.00667691152898</v>
      </c>
      <c r="V2878">
        <v>5.2990158970476903E-3</v>
      </c>
      <c r="W2878">
        <v>1841745.7013290999</v>
      </c>
      <c r="X2878" t="s">
        <v>40</v>
      </c>
      <c r="Y2878">
        <f>1-268-973-6428</f>
        <v>-7668</v>
      </c>
    </row>
    <row r="2879" spans="1:25" x14ac:dyDescent="0.35">
      <c r="A2879">
        <v>36.634928928392704</v>
      </c>
      <c r="B2879">
        <v>-117.980835382992</v>
      </c>
      <c r="C2879" t="s">
        <v>34</v>
      </c>
      <c r="D2879">
        <v>33.8353968265845</v>
      </c>
      <c r="E2879">
        <v>6</v>
      </c>
      <c r="F2879">
        <v>2430</v>
      </c>
      <c r="G2879">
        <v>2</v>
      </c>
      <c r="H2879">
        <v>2</v>
      </c>
      <c r="I2879">
        <v>2014</v>
      </c>
      <c r="J2879">
        <v>0</v>
      </c>
      <c r="K2879">
        <v>1</v>
      </c>
      <c r="L2879">
        <v>1</v>
      </c>
      <c r="M2879">
        <v>11</v>
      </c>
      <c r="N2879" t="s">
        <v>37</v>
      </c>
      <c r="O2879" t="s">
        <v>32</v>
      </c>
      <c r="P2879">
        <v>5.5646060883444397</v>
      </c>
      <c r="Q2879">
        <v>0.96119971605577903</v>
      </c>
      <c r="R2879">
        <v>8.4095517958080794</v>
      </c>
      <c r="S2879">
        <v>189</v>
      </c>
      <c r="T2879">
        <v>36</v>
      </c>
      <c r="U2879">
        <v>336.85554754098399</v>
      </c>
      <c r="V2879">
        <v>4.5267489711934101E-3</v>
      </c>
      <c r="W2879">
        <v>1060653.2046922599</v>
      </c>
      <c r="X2879" t="s">
        <v>38</v>
      </c>
      <c r="Y2879">
        <f>1-799-284-7058</f>
        <v>-8140</v>
      </c>
    </row>
    <row r="2880" spans="1:25" x14ac:dyDescent="0.35">
      <c r="A2880">
        <v>37.050974980347803</v>
      </c>
      <c r="B2880">
        <v>-122.590710802087</v>
      </c>
      <c r="C2880" t="s">
        <v>25</v>
      </c>
      <c r="D2880">
        <v>42.788635081200397</v>
      </c>
      <c r="E2880">
        <v>2</v>
      </c>
      <c r="F2880">
        <v>4042</v>
      </c>
      <c r="G2880">
        <v>1</v>
      </c>
      <c r="H2880">
        <v>1</v>
      </c>
      <c r="I2880">
        <v>2005</v>
      </c>
      <c r="J2880">
        <v>1</v>
      </c>
      <c r="K2880">
        <v>0</v>
      </c>
      <c r="L2880">
        <v>0</v>
      </c>
      <c r="M2880">
        <v>12</v>
      </c>
      <c r="N2880" t="s">
        <v>37</v>
      </c>
      <c r="O2880" t="s">
        <v>27</v>
      </c>
      <c r="P2880">
        <v>11.2051272402728</v>
      </c>
      <c r="Q2880">
        <v>1.88869379059906</v>
      </c>
      <c r="R2880">
        <v>7.5836492998963099</v>
      </c>
      <c r="S2880">
        <v>78</v>
      </c>
      <c r="T2880">
        <v>58</v>
      </c>
      <c r="U2880">
        <v>332.76959570166503</v>
      </c>
      <c r="V2880">
        <v>2.9688273132112801E-3</v>
      </c>
      <c r="W2880">
        <v>1485256.71073937</v>
      </c>
      <c r="X2880" t="s">
        <v>28</v>
      </c>
      <c r="Y2880">
        <f>1-718-378-2744</f>
        <v>-3839</v>
      </c>
    </row>
    <row r="2881" spans="1:25" x14ac:dyDescent="0.35">
      <c r="A2881">
        <v>36.640781089101303</v>
      </c>
      <c r="B2881">
        <v>-121.13777101669601</v>
      </c>
      <c r="C2881" t="s">
        <v>29</v>
      </c>
      <c r="D2881">
        <v>39.604927998609597</v>
      </c>
      <c r="E2881">
        <v>1</v>
      </c>
      <c r="F2881">
        <v>4581</v>
      </c>
      <c r="G2881">
        <v>3</v>
      </c>
      <c r="H2881">
        <v>2</v>
      </c>
      <c r="I2881">
        <v>2008</v>
      </c>
      <c r="J2881">
        <v>1</v>
      </c>
      <c r="K2881">
        <v>0</v>
      </c>
      <c r="L2881">
        <v>1</v>
      </c>
      <c r="M2881">
        <v>4</v>
      </c>
      <c r="N2881" t="s">
        <v>41</v>
      </c>
      <c r="O2881" t="s">
        <v>30</v>
      </c>
      <c r="P2881">
        <v>7.0117319638936504</v>
      </c>
      <c r="Q2881">
        <v>1.16753537189818</v>
      </c>
      <c r="R2881">
        <v>9.2471529781445696</v>
      </c>
      <c r="S2881">
        <v>187</v>
      </c>
      <c r="T2881">
        <v>35</v>
      </c>
      <c r="U2881">
        <v>916.90286599568003</v>
      </c>
      <c r="V2881">
        <v>8.7317179655097097E-4</v>
      </c>
      <c r="W2881">
        <v>4417165.8986478196</v>
      </c>
      <c r="X2881" t="s">
        <v>36</v>
      </c>
      <c r="Y2881">
        <f>1-363-965-5857</f>
        <v>-7184</v>
      </c>
    </row>
    <row r="2882" spans="1:25" x14ac:dyDescent="0.35">
      <c r="A2882">
        <v>33.796869743596503</v>
      </c>
      <c r="B2882">
        <v>-123.10570421808301</v>
      </c>
      <c r="C2882" t="s">
        <v>29</v>
      </c>
      <c r="D2882">
        <v>14.9976933874167</v>
      </c>
      <c r="E2882">
        <v>7</v>
      </c>
      <c r="F2882">
        <v>4678</v>
      </c>
      <c r="G2882">
        <v>3</v>
      </c>
      <c r="H2882">
        <v>1</v>
      </c>
      <c r="I2882">
        <v>1989</v>
      </c>
      <c r="J2882">
        <v>1</v>
      </c>
      <c r="K2882">
        <v>1</v>
      </c>
      <c r="L2882">
        <v>0</v>
      </c>
      <c r="M2882">
        <v>11</v>
      </c>
      <c r="N2882" t="s">
        <v>35</v>
      </c>
      <c r="O2882" t="s">
        <v>32</v>
      </c>
      <c r="P2882">
        <v>14.335361601321299</v>
      </c>
      <c r="Q2882">
        <v>1.7071648681755001</v>
      </c>
      <c r="R2882">
        <v>5.8734619483335697</v>
      </c>
      <c r="S2882">
        <v>86</v>
      </c>
      <c r="T2882">
        <v>42</v>
      </c>
      <c r="U2882">
        <v>294.55341898976098</v>
      </c>
      <c r="V2882">
        <v>2.35143223599829E-3</v>
      </c>
      <c r="W2882">
        <v>1732588.5208775301</v>
      </c>
      <c r="X2882" t="s">
        <v>43</v>
      </c>
      <c r="Y2882">
        <f>1-456-425-5097</f>
        <v>-5977</v>
      </c>
    </row>
    <row r="2883" spans="1:25" x14ac:dyDescent="0.35">
      <c r="A2883">
        <v>39.833877781739801</v>
      </c>
      <c r="B2883">
        <v>-117.737652916122</v>
      </c>
      <c r="C2883" t="s">
        <v>34</v>
      </c>
      <c r="D2883">
        <v>39.405496387398102</v>
      </c>
      <c r="E2883">
        <v>7</v>
      </c>
      <c r="F2883">
        <v>2465</v>
      </c>
      <c r="G2883">
        <v>2</v>
      </c>
      <c r="H2883">
        <v>3</v>
      </c>
      <c r="I2883">
        <v>2009</v>
      </c>
      <c r="J2883">
        <v>0</v>
      </c>
      <c r="K2883">
        <v>1</v>
      </c>
      <c r="L2883">
        <v>0</v>
      </c>
      <c r="M2883">
        <v>14</v>
      </c>
      <c r="N2883" t="s">
        <v>37</v>
      </c>
      <c r="O2883" t="s">
        <v>32</v>
      </c>
      <c r="P2883">
        <v>5.99600278329335</v>
      </c>
      <c r="Q2883">
        <v>2.1076397028478899</v>
      </c>
      <c r="R2883">
        <v>8.8657249882664093</v>
      </c>
      <c r="S2883">
        <v>59</v>
      </c>
      <c r="T2883">
        <v>42</v>
      </c>
      <c r="U2883">
        <v>387.88747856567602</v>
      </c>
      <c r="V2883">
        <v>5.6795131845841697E-3</v>
      </c>
      <c r="W2883">
        <v>1213507.09629333</v>
      </c>
      <c r="X2883" t="s">
        <v>39</v>
      </c>
      <c r="Y2883">
        <f>1-269-468-6199</f>
        <v>-6935</v>
      </c>
    </row>
    <row r="2884" spans="1:25" x14ac:dyDescent="0.35">
      <c r="A2884">
        <v>33.677997663581401</v>
      </c>
      <c r="B2884">
        <v>-122.907160595947</v>
      </c>
      <c r="C2884" t="s">
        <v>29</v>
      </c>
      <c r="D2884">
        <v>20.613417647461301</v>
      </c>
      <c r="E2884">
        <v>2</v>
      </c>
      <c r="F2884">
        <v>1965</v>
      </c>
      <c r="G2884">
        <v>1</v>
      </c>
      <c r="H2884">
        <v>1</v>
      </c>
      <c r="I2884">
        <v>1967</v>
      </c>
      <c r="J2884">
        <v>1</v>
      </c>
      <c r="K2884">
        <v>0</v>
      </c>
      <c r="L2884">
        <v>0</v>
      </c>
      <c r="M2884">
        <v>12</v>
      </c>
      <c r="N2884" t="s">
        <v>41</v>
      </c>
      <c r="O2884" t="s">
        <v>27</v>
      </c>
      <c r="P2884">
        <v>9.3492247447050794</v>
      </c>
      <c r="Q2884">
        <v>1.9369082910974</v>
      </c>
      <c r="R2884">
        <v>8.2185504409063004</v>
      </c>
      <c r="S2884">
        <v>83</v>
      </c>
      <c r="T2884">
        <v>40</v>
      </c>
      <c r="U2884">
        <v>513.509639710638</v>
      </c>
      <c r="V2884">
        <v>6.1068702290076301E-3</v>
      </c>
      <c r="W2884">
        <v>1086111.91074043</v>
      </c>
      <c r="X2884" t="s">
        <v>39</v>
      </c>
      <c r="Y2884">
        <f>1-568-219-2100</f>
        <v>-2886</v>
      </c>
    </row>
    <row r="2885" spans="1:25" x14ac:dyDescent="0.35">
      <c r="A2885">
        <v>35.646184612189202</v>
      </c>
      <c r="B2885">
        <v>-120.348976215001</v>
      </c>
      <c r="C2885" t="s">
        <v>29</v>
      </c>
      <c r="D2885">
        <v>16.305714715759098</v>
      </c>
      <c r="E2885">
        <v>1</v>
      </c>
      <c r="F2885">
        <v>4408</v>
      </c>
      <c r="G2885">
        <v>5</v>
      </c>
      <c r="H2885">
        <v>3</v>
      </c>
      <c r="I2885">
        <v>1975</v>
      </c>
      <c r="J2885">
        <v>1</v>
      </c>
      <c r="K2885">
        <v>0</v>
      </c>
      <c r="L2885">
        <v>0</v>
      </c>
      <c r="M2885">
        <v>13</v>
      </c>
      <c r="N2885" t="s">
        <v>35</v>
      </c>
      <c r="O2885" t="s">
        <v>27</v>
      </c>
      <c r="P2885">
        <v>3.0693160698792799</v>
      </c>
      <c r="Q2885">
        <v>1.06790685823269</v>
      </c>
      <c r="R2885">
        <v>6.1493390797977403</v>
      </c>
      <c r="S2885">
        <v>28</v>
      </c>
      <c r="T2885">
        <v>53</v>
      </c>
      <c r="U2885">
        <v>840.281973208517</v>
      </c>
      <c r="V2885">
        <v>2.9491833030852901E-3</v>
      </c>
      <c r="W2885">
        <v>4031242.60489407</v>
      </c>
      <c r="X2885" t="s">
        <v>33</v>
      </c>
      <c r="Y2885">
        <f>1-720-257-8702</f>
        <v>-9678</v>
      </c>
    </row>
    <row r="2886" spans="1:25" x14ac:dyDescent="0.35">
      <c r="A2886">
        <v>41.291227864708198</v>
      </c>
      <c r="B2886">
        <v>-122.301842263598</v>
      </c>
      <c r="C2886" t="s">
        <v>25</v>
      </c>
      <c r="D2886">
        <v>7.4777735019032798</v>
      </c>
      <c r="E2886">
        <v>5</v>
      </c>
      <c r="F2886">
        <v>4529</v>
      </c>
      <c r="G2886">
        <v>3</v>
      </c>
      <c r="H2886">
        <v>2</v>
      </c>
      <c r="I2886">
        <v>1975</v>
      </c>
      <c r="J2886">
        <v>0</v>
      </c>
      <c r="K2886">
        <v>1</v>
      </c>
      <c r="L2886">
        <v>0</v>
      </c>
      <c r="M2886">
        <v>11</v>
      </c>
      <c r="N2886" t="s">
        <v>26</v>
      </c>
      <c r="O2886" t="s">
        <v>27</v>
      </c>
      <c r="P2886">
        <v>4.8183017478672401</v>
      </c>
      <c r="Q2886">
        <v>1.2173370294545101</v>
      </c>
      <c r="R2886">
        <v>1.51537497099242</v>
      </c>
      <c r="S2886">
        <v>124</v>
      </c>
      <c r="T2886">
        <v>71</v>
      </c>
      <c r="U2886">
        <v>905.76907368678201</v>
      </c>
      <c r="V2886">
        <v>2.4287922278648701E-3</v>
      </c>
      <c r="W2886">
        <v>4346862.5002110396</v>
      </c>
      <c r="X2886" t="s">
        <v>40</v>
      </c>
      <c r="Y2886">
        <f>1-801-660-2691</f>
        <v>-4151</v>
      </c>
    </row>
    <row r="2887" spans="1:25" x14ac:dyDescent="0.35">
      <c r="A2887">
        <v>32.736361764663997</v>
      </c>
      <c r="B2887">
        <v>-117.111698921281</v>
      </c>
      <c r="C2887" t="s">
        <v>25</v>
      </c>
      <c r="D2887">
        <v>14.929014859598499</v>
      </c>
      <c r="E2887">
        <v>3</v>
      </c>
      <c r="F2887">
        <v>856</v>
      </c>
      <c r="G2887">
        <v>3</v>
      </c>
      <c r="H2887">
        <v>3</v>
      </c>
      <c r="I2887">
        <v>1988</v>
      </c>
      <c r="J2887">
        <v>1</v>
      </c>
      <c r="K2887">
        <v>1</v>
      </c>
      <c r="L2887">
        <v>0</v>
      </c>
      <c r="M2887">
        <v>4</v>
      </c>
      <c r="N2887" t="s">
        <v>35</v>
      </c>
      <c r="O2887" t="s">
        <v>30</v>
      </c>
      <c r="P2887">
        <v>9.0755289967197097</v>
      </c>
      <c r="Q2887">
        <v>2.4354626013415999</v>
      </c>
      <c r="R2887">
        <v>0.99174927263371904</v>
      </c>
      <c r="S2887">
        <v>82</v>
      </c>
      <c r="T2887">
        <v>75</v>
      </c>
      <c r="U2887">
        <v>394.91610610397998</v>
      </c>
      <c r="V2887">
        <v>4.6728971962616802E-3</v>
      </c>
      <c r="W2887">
        <v>785437.53257086605</v>
      </c>
      <c r="X2887" t="s">
        <v>43</v>
      </c>
      <c r="Y2887">
        <f>1-316-778-6477</f>
        <v>-7570</v>
      </c>
    </row>
    <row r="2888" spans="1:25" x14ac:dyDescent="0.35">
      <c r="A2888">
        <v>40.020457919613101</v>
      </c>
      <c r="B2888">
        <v>-114.788493028145</v>
      </c>
      <c r="C2888" t="s">
        <v>25</v>
      </c>
      <c r="D2888">
        <v>38.5586875437291</v>
      </c>
      <c r="E2888">
        <v>0</v>
      </c>
      <c r="F2888">
        <v>2923</v>
      </c>
      <c r="G2888">
        <v>4</v>
      </c>
      <c r="H2888">
        <v>2</v>
      </c>
      <c r="I2888">
        <v>2010</v>
      </c>
      <c r="J2888">
        <v>1</v>
      </c>
      <c r="K2888">
        <v>1</v>
      </c>
      <c r="L2888">
        <v>1</v>
      </c>
      <c r="M2888">
        <v>3</v>
      </c>
      <c r="N2888" t="s">
        <v>26</v>
      </c>
      <c r="O2888" t="s">
        <v>32</v>
      </c>
      <c r="P2888">
        <v>4.7124284200853896</v>
      </c>
      <c r="Q2888">
        <v>1.13874115507606</v>
      </c>
      <c r="R2888">
        <v>4.7114802614304896</v>
      </c>
      <c r="S2888">
        <v>28</v>
      </c>
      <c r="T2888">
        <v>42</v>
      </c>
      <c r="U2888">
        <v>786.31385281984103</v>
      </c>
      <c r="V2888">
        <v>1.02634279849469E-3</v>
      </c>
      <c r="W2888">
        <v>2779470.9020980601</v>
      </c>
      <c r="X2888" t="s">
        <v>31</v>
      </c>
      <c r="Y2888">
        <f>1-623-461-7101</f>
        <v>-8184</v>
      </c>
    </row>
    <row r="2889" spans="1:25" x14ac:dyDescent="0.35">
      <c r="A2889">
        <v>40.824742535295698</v>
      </c>
      <c r="B2889">
        <v>-121.07379511547001</v>
      </c>
      <c r="C2889" t="s">
        <v>25</v>
      </c>
      <c r="D2889">
        <v>38.984877125714199</v>
      </c>
      <c r="E2889">
        <v>1</v>
      </c>
      <c r="F2889">
        <v>4572</v>
      </c>
      <c r="G2889">
        <v>2</v>
      </c>
      <c r="H2889">
        <v>1</v>
      </c>
      <c r="I2889">
        <v>2017</v>
      </c>
      <c r="J2889">
        <v>1</v>
      </c>
      <c r="K2889">
        <v>1</v>
      </c>
      <c r="L2889">
        <v>0</v>
      </c>
      <c r="M2889">
        <v>6</v>
      </c>
      <c r="N2889" t="s">
        <v>26</v>
      </c>
      <c r="O2889" t="s">
        <v>32</v>
      </c>
      <c r="P2889">
        <v>8.6537262604419691</v>
      </c>
      <c r="Q2889">
        <v>2.24530146708886</v>
      </c>
      <c r="R2889">
        <v>9.5408443777541692</v>
      </c>
      <c r="S2889">
        <v>55</v>
      </c>
      <c r="T2889">
        <v>75</v>
      </c>
      <c r="U2889">
        <v>857.26926625811495</v>
      </c>
      <c r="V2889">
        <v>1.31233595800524E-3</v>
      </c>
      <c r="W2889">
        <v>4206922.2442650897</v>
      </c>
      <c r="X2889" t="s">
        <v>33</v>
      </c>
      <c r="Y2889">
        <f>1-511-757-5366</f>
        <v>-6633</v>
      </c>
    </row>
    <row r="2890" spans="1:25" x14ac:dyDescent="0.35">
      <c r="A2890">
        <v>38.191099821193397</v>
      </c>
      <c r="B2890">
        <v>-118.988644265416</v>
      </c>
      <c r="C2890" t="s">
        <v>25</v>
      </c>
      <c r="D2890">
        <v>14.9898328542185</v>
      </c>
      <c r="E2890">
        <v>6</v>
      </c>
      <c r="F2890">
        <v>2815</v>
      </c>
      <c r="G2890">
        <v>4</v>
      </c>
      <c r="H2890">
        <v>1</v>
      </c>
      <c r="I2890">
        <v>2014</v>
      </c>
      <c r="J2890">
        <v>0</v>
      </c>
      <c r="K2890">
        <v>1</v>
      </c>
      <c r="L2890">
        <v>0</v>
      </c>
      <c r="M2890">
        <v>5</v>
      </c>
      <c r="N2890" t="s">
        <v>35</v>
      </c>
      <c r="O2890" t="s">
        <v>30</v>
      </c>
      <c r="P2890">
        <v>2.7218186568772502</v>
      </c>
      <c r="Q2890">
        <v>1.9643539204618601</v>
      </c>
      <c r="R2890">
        <v>9.6682759934311804</v>
      </c>
      <c r="S2890">
        <v>33</v>
      </c>
      <c r="T2890">
        <v>75</v>
      </c>
      <c r="U2890">
        <v>532.20089663386204</v>
      </c>
      <c r="V2890">
        <v>1.77619893428063E-3</v>
      </c>
      <c r="W2890">
        <v>1784004.22229782</v>
      </c>
      <c r="X2890" t="s">
        <v>28</v>
      </c>
      <c r="Y2890">
        <f>1-750-946-2723</f>
        <v>-4418</v>
      </c>
    </row>
    <row r="2891" spans="1:25" x14ac:dyDescent="0.35">
      <c r="A2891">
        <v>34.068626516735797</v>
      </c>
      <c r="B2891">
        <v>-117.945041666566</v>
      </c>
      <c r="C2891" t="s">
        <v>29</v>
      </c>
      <c r="D2891">
        <v>10.837182079373401</v>
      </c>
      <c r="E2891">
        <v>0</v>
      </c>
      <c r="F2891">
        <v>1481</v>
      </c>
      <c r="G2891">
        <v>1</v>
      </c>
      <c r="H2891">
        <v>3</v>
      </c>
      <c r="I2891">
        <v>1991</v>
      </c>
      <c r="J2891">
        <v>0</v>
      </c>
      <c r="K2891">
        <v>1</v>
      </c>
      <c r="L2891">
        <v>0</v>
      </c>
      <c r="M2891">
        <v>9</v>
      </c>
      <c r="N2891" t="s">
        <v>41</v>
      </c>
      <c r="O2891" t="s">
        <v>27</v>
      </c>
      <c r="P2891">
        <v>3.9330364335772701</v>
      </c>
      <c r="Q2891">
        <v>1.80322689060415</v>
      </c>
      <c r="R2891">
        <v>3.31200534474389</v>
      </c>
      <c r="S2891">
        <v>114</v>
      </c>
      <c r="T2891">
        <v>28</v>
      </c>
      <c r="U2891">
        <v>293.40272205391301</v>
      </c>
      <c r="V2891">
        <v>6.0769750168804797E-3</v>
      </c>
      <c r="W2891">
        <v>531566.90250435704</v>
      </c>
      <c r="X2891" t="s">
        <v>43</v>
      </c>
      <c r="Y2891">
        <f>1-869-525-4893</f>
        <v>-6286</v>
      </c>
    </row>
    <row r="2892" spans="1:25" x14ac:dyDescent="0.35">
      <c r="A2892">
        <v>40.247624983789002</v>
      </c>
      <c r="B2892">
        <v>-122.584801003499</v>
      </c>
      <c r="C2892" t="s">
        <v>34</v>
      </c>
      <c r="D2892">
        <v>26.7075142558948</v>
      </c>
      <c r="E2892">
        <v>9</v>
      </c>
      <c r="F2892">
        <v>2494</v>
      </c>
      <c r="G2892">
        <v>2</v>
      </c>
      <c r="H2892">
        <v>2</v>
      </c>
      <c r="I2892">
        <v>2000</v>
      </c>
      <c r="J2892">
        <v>1</v>
      </c>
      <c r="K2892">
        <v>1</v>
      </c>
      <c r="L2892">
        <v>0</v>
      </c>
      <c r="M2892">
        <v>7</v>
      </c>
      <c r="N2892" t="s">
        <v>37</v>
      </c>
      <c r="O2892" t="s">
        <v>27</v>
      </c>
      <c r="P2892">
        <v>8.7843874494079301</v>
      </c>
      <c r="Q2892">
        <v>1.24713483009501</v>
      </c>
      <c r="R2892">
        <v>7.7033010651426501</v>
      </c>
      <c r="S2892">
        <v>53</v>
      </c>
      <c r="T2892">
        <v>20</v>
      </c>
      <c r="U2892">
        <v>805.004754107434</v>
      </c>
      <c r="V2892">
        <v>2.8067361668003199E-3</v>
      </c>
      <c r="W2892">
        <v>2360438.43733228</v>
      </c>
      <c r="X2892" t="s">
        <v>38</v>
      </c>
      <c r="Y2892">
        <f>1-501-868-1964</f>
        <v>-3332</v>
      </c>
    </row>
    <row r="2893" spans="1:25" x14ac:dyDescent="0.35">
      <c r="A2893">
        <v>39.8978572648019</v>
      </c>
      <c r="B2893">
        <v>-121.75633184053</v>
      </c>
      <c r="C2893" t="s">
        <v>29</v>
      </c>
      <c r="D2893">
        <v>29.382019974684201</v>
      </c>
      <c r="E2893">
        <v>7</v>
      </c>
      <c r="F2893">
        <v>2314</v>
      </c>
      <c r="G2893">
        <v>4</v>
      </c>
      <c r="H2893">
        <v>2</v>
      </c>
      <c r="I2893">
        <v>1956</v>
      </c>
      <c r="J2893">
        <v>0</v>
      </c>
      <c r="K2893">
        <v>1</v>
      </c>
      <c r="L2893">
        <v>0</v>
      </c>
      <c r="M2893">
        <v>8</v>
      </c>
      <c r="N2893" t="s">
        <v>35</v>
      </c>
      <c r="O2893" t="s">
        <v>27</v>
      </c>
      <c r="P2893">
        <v>13.265246607597099</v>
      </c>
      <c r="Q2893">
        <v>2.3649893810390701</v>
      </c>
      <c r="R2893">
        <v>2.67286659219462</v>
      </c>
      <c r="S2893">
        <v>197</v>
      </c>
      <c r="T2893">
        <v>34</v>
      </c>
      <c r="U2893">
        <v>851.58858405183105</v>
      </c>
      <c r="V2893">
        <v>3.4572169403630001E-3</v>
      </c>
      <c r="W2893">
        <v>2371446.9872064302</v>
      </c>
      <c r="X2893" t="s">
        <v>38</v>
      </c>
      <c r="Y2893">
        <f>1-740-544-1220</f>
        <v>-2503</v>
      </c>
    </row>
    <row r="2894" spans="1:25" x14ac:dyDescent="0.35">
      <c r="A2894">
        <v>39.976109783560403</v>
      </c>
      <c r="B2894">
        <v>-115.759033924899</v>
      </c>
      <c r="C2894" t="s">
        <v>29</v>
      </c>
      <c r="D2894">
        <v>23.3814107792629</v>
      </c>
      <c r="E2894">
        <v>5</v>
      </c>
      <c r="F2894">
        <v>3792</v>
      </c>
      <c r="G2894">
        <v>5</v>
      </c>
      <c r="H2894">
        <v>2</v>
      </c>
      <c r="I2894">
        <v>1989</v>
      </c>
      <c r="J2894">
        <v>1</v>
      </c>
      <c r="K2894">
        <v>0</v>
      </c>
      <c r="L2894">
        <v>1</v>
      </c>
      <c r="M2894">
        <v>3</v>
      </c>
      <c r="N2894" t="s">
        <v>41</v>
      </c>
      <c r="O2894" t="s">
        <v>30</v>
      </c>
      <c r="P2894">
        <v>4.8945113105465499</v>
      </c>
      <c r="Q2894">
        <v>1.7792790696541201</v>
      </c>
      <c r="R2894">
        <v>6.8834479628312497</v>
      </c>
      <c r="S2894">
        <v>58</v>
      </c>
      <c r="T2894">
        <v>47</v>
      </c>
      <c r="U2894">
        <v>355.45103696626398</v>
      </c>
      <c r="V2894">
        <v>7.9113924050632899E-4</v>
      </c>
      <c r="W2894">
        <v>1687781.87470334</v>
      </c>
      <c r="X2894" t="s">
        <v>31</v>
      </c>
      <c r="Y2894">
        <f>1-643-663-3050</f>
        <v>-4355</v>
      </c>
    </row>
    <row r="2895" spans="1:25" x14ac:dyDescent="0.35">
      <c r="A2895">
        <v>39.944155280239102</v>
      </c>
      <c r="B2895">
        <v>-114.76234109690699</v>
      </c>
      <c r="C2895" t="s">
        <v>34</v>
      </c>
      <c r="D2895">
        <v>14.092359122331899</v>
      </c>
      <c r="E2895">
        <v>2</v>
      </c>
      <c r="F2895">
        <v>3199</v>
      </c>
      <c r="G2895">
        <v>4</v>
      </c>
      <c r="H2895">
        <v>2</v>
      </c>
      <c r="I2895">
        <v>2019</v>
      </c>
      <c r="J2895">
        <v>1</v>
      </c>
      <c r="K2895">
        <v>1</v>
      </c>
      <c r="L2895">
        <v>1</v>
      </c>
      <c r="M2895">
        <v>8</v>
      </c>
      <c r="N2895" t="s">
        <v>37</v>
      </c>
      <c r="O2895" t="s">
        <v>30</v>
      </c>
      <c r="P2895">
        <v>6.0637161616727804</v>
      </c>
      <c r="Q2895">
        <v>1.9336120992349199</v>
      </c>
      <c r="R2895">
        <v>1.45170700229787</v>
      </c>
      <c r="S2895">
        <v>142</v>
      </c>
      <c r="T2895">
        <v>65</v>
      </c>
      <c r="U2895">
        <v>978.87394885328695</v>
      </c>
      <c r="V2895">
        <v>2.50078149421694E-3</v>
      </c>
      <c r="W2895">
        <v>3480982.79736439</v>
      </c>
      <c r="X2895" t="s">
        <v>39</v>
      </c>
      <c r="Y2895">
        <f>1-928-647-3205</f>
        <v>-4779</v>
      </c>
    </row>
    <row r="2896" spans="1:25" x14ac:dyDescent="0.35">
      <c r="A2896">
        <v>40.560400963172597</v>
      </c>
      <c r="B2896">
        <v>-118.998721042944</v>
      </c>
      <c r="C2896" t="s">
        <v>25</v>
      </c>
      <c r="D2896">
        <v>12.650706442453201</v>
      </c>
      <c r="E2896">
        <v>3</v>
      </c>
      <c r="F2896">
        <v>4183</v>
      </c>
      <c r="G2896">
        <v>4</v>
      </c>
      <c r="H2896">
        <v>2</v>
      </c>
      <c r="I2896">
        <v>1989</v>
      </c>
      <c r="J2896">
        <v>1</v>
      </c>
      <c r="K2896">
        <v>1</v>
      </c>
      <c r="L2896">
        <v>1</v>
      </c>
      <c r="M2896">
        <v>5</v>
      </c>
      <c r="N2896" t="s">
        <v>41</v>
      </c>
      <c r="O2896" t="s">
        <v>32</v>
      </c>
      <c r="P2896">
        <v>7.1039756000371401</v>
      </c>
      <c r="Q2896">
        <v>1.1674896830383801</v>
      </c>
      <c r="R2896">
        <v>9.0822839549256091</v>
      </c>
      <c r="S2896">
        <v>112</v>
      </c>
      <c r="T2896">
        <v>57</v>
      </c>
      <c r="U2896">
        <v>955.323048395657</v>
      </c>
      <c r="V2896">
        <v>1.1953143676786901E-3</v>
      </c>
      <c r="W2896">
        <v>4325913.5635895198</v>
      </c>
      <c r="X2896" t="s">
        <v>38</v>
      </c>
      <c r="Y2896">
        <f>1-619-984-7550</f>
        <v>-9152</v>
      </c>
    </row>
    <row r="2897" spans="1:25" x14ac:dyDescent="0.35">
      <c r="A2897">
        <v>36.665573707901103</v>
      </c>
      <c r="B2897">
        <v>-119.953954530017</v>
      </c>
      <c r="C2897" t="s">
        <v>34</v>
      </c>
      <c r="D2897">
        <v>39.928408625276198</v>
      </c>
      <c r="E2897">
        <v>1</v>
      </c>
      <c r="F2897">
        <v>3598</v>
      </c>
      <c r="G2897">
        <v>1</v>
      </c>
      <c r="H2897">
        <v>2</v>
      </c>
      <c r="I2897">
        <v>1986</v>
      </c>
      <c r="J2897">
        <v>0</v>
      </c>
      <c r="K2897">
        <v>1</v>
      </c>
      <c r="L2897">
        <v>0</v>
      </c>
      <c r="M2897">
        <v>14</v>
      </c>
      <c r="N2897" t="s">
        <v>26</v>
      </c>
      <c r="O2897" t="s">
        <v>32</v>
      </c>
      <c r="P2897">
        <v>13.111516135549699</v>
      </c>
      <c r="Q2897">
        <v>1.0910724815082899</v>
      </c>
      <c r="R2897">
        <v>6.4325890247921302</v>
      </c>
      <c r="S2897">
        <v>118</v>
      </c>
      <c r="T2897">
        <v>64</v>
      </c>
      <c r="U2897">
        <v>717.59642695472303</v>
      </c>
      <c r="V2897">
        <v>3.8910505836575798E-3</v>
      </c>
      <c r="W2897">
        <v>2764494.9156121798</v>
      </c>
      <c r="X2897" t="s">
        <v>43</v>
      </c>
      <c r="Y2897">
        <f>1-894-168-1313</f>
        <v>-2374</v>
      </c>
    </row>
    <row r="2898" spans="1:25" x14ac:dyDescent="0.35">
      <c r="A2898">
        <v>40.994731240589999</v>
      </c>
      <c r="B2898">
        <v>-114.286722521504</v>
      </c>
      <c r="C2898" t="s">
        <v>29</v>
      </c>
      <c r="D2898">
        <v>16.039971167611501</v>
      </c>
      <c r="E2898">
        <v>5</v>
      </c>
      <c r="F2898">
        <v>3176</v>
      </c>
      <c r="G2898">
        <v>4</v>
      </c>
      <c r="H2898">
        <v>3</v>
      </c>
      <c r="I2898">
        <v>2002</v>
      </c>
      <c r="J2898">
        <v>1</v>
      </c>
      <c r="K2898">
        <v>1</v>
      </c>
      <c r="L2898">
        <v>1</v>
      </c>
      <c r="M2898">
        <v>6</v>
      </c>
      <c r="N2898" t="s">
        <v>37</v>
      </c>
      <c r="O2898" t="s">
        <v>32</v>
      </c>
      <c r="P2898">
        <v>6.63332554916696</v>
      </c>
      <c r="Q2898">
        <v>2.2499646826449502</v>
      </c>
      <c r="R2898">
        <v>0.63662673244243895</v>
      </c>
      <c r="S2898">
        <v>105</v>
      </c>
      <c r="T2898">
        <v>50</v>
      </c>
      <c r="U2898">
        <v>931.96605889283899</v>
      </c>
      <c r="V2898">
        <v>1.88916876574307E-3</v>
      </c>
      <c r="W2898">
        <v>3500209.0437775399</v>
      </c>
      <c r="X2898" t="s">
        <v>43</v>
      </c>
      <c r="Y2898">
        <f>1-562-864-2613</f>
        <v>-4038</v>
      </c>
    </row>
    <row r="2899" spans="1:25" x14ac:dyDescent="0.35">
      <c r="A2899">
        <v>38.3023826920479</v>
      </c>
      <c r="B2899">
        <v>-117.332727973243</v>
      </c>
      <c r="C2899" t="s">
        <v>29</v>
      </c>
      <c r="D2899">
        <v>44.827014642185098</v>
      </c>
      <c r="E2899">
        <v>4</v>
      </c>
      <c r="F2899">
        <v>4247</v>
      </c>
      <c r="G2899">
        <v>2</v>
      </c>
      <c r="H2899">
        <v>1</v>
      </c>
      <c r="I2899">
        <v>2010</v>
      </c>
      <c r="J2899">
        <v>1</v>
      </c>
      <c r="K2899">
        <v>0</v>
      </c>
      <c r="L2899">
        <v>0</v>
      </c>
      <c r="M2899">
        <v>5</v>
      </c>
      <c r="N2899" t="s">
        <v>37</v>
      </c>
      <c r="O2899" t="s">
        <v>32</v>
      </c>
      <c r="P2899">
        <v>7.1043476629497002</v>
      </c>
      <c r="Q2899">
        <v>1.83528079340487</v>
      </c>
      <c r="R2899">
        <v>3.7628637792794901</v>
      </c>
      <c r="S2899">
        <v>93</v>
      </c>
      <c r="T2899">
        <v>59</v>
      </c>
      <c r="U2899">
        <v>900.55838041403695</v>
      </c>
      <c r="V2899">
        <v>1.1773016246762399E-3</v>
      </c>
      <c r="W2899">
        <v>4073781.8544681398</v>
      </c>
      <c r="X2899" t="s">
        <v>40</v>
      </c>
      <c r="Y2899">
        <f>1-504-199-7252</f>
        <v>-7954</v>
      </c>
    </row>
    <row r="2900" spans="1:25" x14ac:dyDescent="0.35">
      <c r="A2900">
        <v>41.759799303723298</v>
      </c>
      <c r="B2900">
        <v>-121.303598454411</v>
      </c>
      <c r="C2900" t="s">
        <v>25</v>
      </c>
      <c r="D2900">
        <v>16.643873244193799</v>
      </c>
      <c r="E2900">
        <v>9</v>
      </c>
      <c r="F2900">
        <v>1293</v>
      </c>
      <c r="G2900">
        <v>5</v>
      </c>
      <c r="H2900">
        <v>3</v>
      </c>
      <c r="I2900">
        <v>2001</v>
      </c>
      <c r="J2900">
        <v>0</v>
      </c>
      <c r="K2900">
        <v>1</v>
      </c>
      <c r="L2900">
        <v>1</v>
      </c>
      <c r="M2900">
        <v>3</v>
      </c>
      <c r="N2900" t="s">
        <v>41</v>
      </c>
      <c r="O2900" t="s">
        <v>30</v>
      </c>
      <c r="P2900">
        <v>12.8619397194815</v>
      </c>
      <c r="Q2900">
        <v>1.98976381785931</v>
      </c>
      <c r="R2900">
        <v>5.8414398378990704</v>
      </c>
      <c r="S2900">
        <v>8</v>
      </c>
      <c r="T2900">
        <v>22</v>
      </c>
      <c r="U2900">
        <v>220.18282752170299</v>
      </c>
      <c r="V2900">
        <v>2.32018561484918E-3</v>
      </c>
      <c r="W2900">
        <v>792249.198976313</v>
      </c>
      <c r="X2900" t="s">
        <v>42</v>
      </c>
      <c r="Y2900">
        <f>1-437-249-8014</f>
        <v>-8699</v>
      </c>
    </row>
    <row r="2901" spans="1:25" x14ac:dyDescent="0.35">
      <c r="A2901">
        <v>35.887159055362801</v>
      </c>
      <c r="B2901">
        <v>-123.59107995741699</v>
      </c>
      <c r="C2901" t="s">
        <v>25</v>
      </c>
      <c r="D2901">
        <v>20.301145628829602</v>
      </c>
      <c r="E2901">
        <v>8</v>
      </c>
      <c r="F2901">
        <v>2934</v>
      </c>
      <c r="G2901">
        <v>4</v>
      </c>
      <c r="H2901">
        <v>1</v>
      </c>
      <c r="I2901">
        <v>1984</v>
      </c>
      <c r="J2901">
        <v>1</v>
      </c>
      <c r="K2901">
        <v>1</v>
      </c>
      <c r="L2901">
        <v>1</v>
      </c>
      <c r="M2901">
        <v>7</v>
      </c>
      <c r="N2901" t="s">
        <v>35</v>
      </c>
      <c r="O2901" t="s">
        <v>30</v>
      </c>
      <c r="P2901">
        <v>6.3296068097696896</v>
      </c>
      <c r="Q2901">
        <v>1.6702603906074101</v>
      </c>
      <c r="R2901">
        <v>9.7855566838965906</v>
      </c>
      <c r="S2901">
        <v>127</v>
      </c>
      <c r="T2901">
        <v>53</v>
      </c>
      <c r="U2901">
        <v>792.01234782752601</v>
      </c>
      <c r="V2901">
        <v>2.3858214042263102E-3</v>
      </c>
      <c r="W2901">
        <v>2687425.4102909998</v>
      </c>
      <c r="X2901" t="s">
        <v>33</v>
      </c>
      <c r="Y2901">
        <f>1-864-488-4556</f>
        <v>-5907</v>
      </c>
    </row>
    <row r="2902" spans="1:25" x14ac:dyDescent="0.35">
      <c r="A2902">
        <v>39.271358128222602</v>
      </c>
      <c r="B2902">
        <v>-115.89964357304601</v>
      </c>
      <c r="C2902" t="s">
        <v>25</v>
      </c>
      <c r="D2902">
        <v>24.081662361872802</v>
      </c>
      <c r="E2902">
        <v>7</v>
      </c>
      <c r="F2902">
        <v>3885</v>
      </c>
      <c r="G2902">
        <v>3</v>
      </c>
      <c r="H2902">
        <v>1</v>
      </c>
      <c r="I2902">
        <v>1994</v>
      </c>
      <c r="J2902">
        <v>0</v>
      </c>
      <c r="K2902">
        <v>0</v>
      </c>
      <c r="L2902">
        <v>0</v>
      </c>
      <c r="M2902">
        <v>9</v>
      </c>
      <c r="N2902" t="s">
        <v>37</v>
      </c>
      <c r="O2902" t="s">
        <v>27</v>
      </c>
      <c r="P2902">
        <v>12.585396358162299</v>
      </c>
      <c r="Q2902">
        <v>2.3242249675966198</v>
      </c>
      <c r="R2902">
        <v>4.05980458796249</v>
      </c>
      <c r="S2902">
        <v>70</v>
      </c>
      <c r="T2902">
        <v>75</v>
      </c>
      <c r="U2902">
        <v>544.98941214194997</v>
      </c>
      <c r="V2902">
        <v>2.31660231660231E-3</v>
      </c>
      <c r="W2902">
        <v>2421763.60090756</v>
      </c>
      <c r="X2902" t="s">
        <v>39</v>
      </c>
      <c r="Y2902">
        <f>1-580-454-9204</f>
        <v>-10237</v>
      </c>
    </row>
    <row r="2903" spans="1:25" x14ac:dyDescent="0.35">
      <c r="A2903">
        <v>36.878299757207699</v>
      </c>
      <c r="B2903">
        <v>-117.126301998266</v>
      </c>
      <c r="C2903" t="s">
        <v>34</v>
      </c>
      <c r="D2903">
        <v>19.0331053936461</v>
      </c>
      <c r="E2903">
        <v>3</v>
      </c>
      <c r="F2903">
        <v>4544</v>
      </c>
      <c r="G2903">
        <v>1</v>
      </c>
      <c r="H2903">
        <v>3</v>
      </c>
      <c r="I2903">
        <v>2020</v>
      </c>
      <c r="J2903">
        <v>1</v>
      </c>
      <c r="K2903">
        <v>1</v>
      </c>
      <c r="L2903">
        <v>1</v>
      </c>
      <c r="M2903">
        <v>14</v>
      </c>
      <c r="N2903" t="s">
        <v>37</v>
      </c>
      <c r="O2903" t="s">
        <v>32</v>
      </c>
      <c r="P2903">
        <v>2.65783051709735</v>
      </c>
      <c r="Q2903">
        <v>2.4282333740614899</v>
      </c>
      <c r="R2903">
        <v>4.7089097468858201</v>
      </c>
      <c r="S2903">
        <v>189</v>
      </c>
      <c r="T2903">
        <v>47</v>
      </c>
      <c r="U2903">
        <v>293.930878157557</v>
      </c>
      <c r="V2903">
        <v>3.0809859154929502E-3</v>
      </c>
      <c r="W2903">
        <v>1610526.4664710199</v>
      </c>
      <c r="X2903" t="s">
        <v>39</v>
      </c>
      <c r="Y2903">
        <f>1-244-737-5875</f>
        <v>-6855</v>
      </c>
    </row>
    <row r="2904" spans="1:25" x14ac:dyDescent="0.35">
      <c r="A2904">
        <v>35.430709897236198</v>
      </c>
      <c r="B2904">
        <v>-122.22289639992</v>
      </c>
      <c r="C2904" t="s">
        <v>34</v>
      </c>
      <c r="D2904">
        <v>32.985187171120302</v>
      </c>
      <c r="E2904">
        <v>1</v>
      </c>
      <c r="F2904">
        <v>1508</v>
      </c>
      <c r="G2904">
        <v>4</v>
      </c>
      <c r="H2904">
        <v>2</v>
      </c>
      <c r="I2904">
        <v>1976</v>
      </c>
      <c r="J2904">
        <v>0</v>
      </c>
      <c r="K2904">
        <v>1</v>
      </c>
      <c r="L2904">
        <v>0</v>
      </c>
      <c r="M2904">
        <v>14</v>
      </c>
      <c r="N2904" t="s">
        <v>35</v>
      </c>
      <c r="O2904" t="s">
        <v>27</v>
      </c>
      <c r="P2904">
        <v>14.7452568226973</v>
      </c>
      <c r="Q2904">
        <v>0.97319002817971101</v>
      </c>
      <c r="R2904">
        <v>0.189937404808288</v>
      </c>
      <c r="S2904">
        <v>8</v>
      </c>
      <c r="T2904">
        <v>75</v>
      </c>
      <c r="U2904">
        <v>414.25300846037402</v>
      </c>
      <c r="V2904">
        <v>9.2838196286472094E-3</v>
      </c>
      <c r="W2904">
        <v>1059665.2905566299</v>
      </c>
      <c r="X2904" t="s">
        <v>43</v>
      </c>
      <c r="Y2904">
        <f>1-477-978-1001</f>
        <v>-2455</v>
      </c>
    </row>
    <row r="2905" spans="1:25" x14ac:dyDescent="0.35">
      <c r="A2905">
        <v>35.398289740715903</v>
      </c>
      <c r="B2905">
        <v>-115.549664038687</v>
      </c>
      <c r="C2905" t="s">
        <v>25</v>
      </c>
      <c r="D2905">
        <v>27.533578425647299</v>
      </c>
      <c r="E2905">
        <v>9</v>
      </c>
      <c r="F2905">
        <v>512</v>
      </c>
      <c r="G2905">
        <v>3</v>
      </c>
      <c r="H2905">
        <v>1</v>
      </c>
      <c r="I2905">
        <v>2014</v>
      </c>
      <c r="J2905">
        <v>1</v>
      </c>
      <c r="K2905">
        <v>0</v>
      </c>
      <c r="L2905">
        <v>0</v>
      </c>
      <c r="M2905">
        <v>10</v>
      </c>
      <c r="N2905" t="s">
        <v>37</v>
      </c>
      <c r="O2905" t="s">
        <v>32</v>
      </c>
      <c r="P2905">
        <v>7.73767012604839</v>
      </c>
      <c r="Q2905">
        <v>1.0622766223825799</v>
      </c>
      <c r="R2905">
        <v>8.4712667206849908</v>
      </c>
      <c r="S2905">
        <v>112</v>
      </c>
      <c r="T2905">
        <v>31</v>
      </c>
      <c r="U2905">
        <v>743.32923630230903</v>
      </c>
      <c r="V2905">
        <v>1.953125E-2</v>
      </c>
      <c r="W2905">
        <v>657311.01627821499</v>
      </c>
      <c r="X2905" t="s">
        <v>28</v>
      </c>
      <c r="Y2905">
        <f>1-692-638-6320</f>
        <v>-7649</v>
      </c>
    </row>
    <row r="2906" spans="1:25" x14ac:dyDescent="0.35">
      <c r="A2906">
        <v>40.426250117692298</v>
      </c>
      <c r="B2906">
        <v>-118.94062101370901</v>
      </c>
      <c r="C2906" t="s">
        <v>34</v>
      </c>
      <c r="D2906">
        <v>8.0489571899659893</v>
      </c>
      <c r="E2906">
        <v>4</v>
      </c>
      <c r="F2906">
        <v>2869</v>
      </c>
      <c r="G2906">
        <v>5</v>
      </c>
      <c r="H2906">
        <v>3</v>
      </c>
      <c r="I2906">
        <v>2007</v>
      </c>
      <c r="J2906">
        <v>1</v>
      </c>
      <c r="K2906">
        <v>0</v>
      </c>
      <c r="L2906">
        <v>0</v>
      </c>
      <c r="M2906">
        <v>12</v>
      </c>
      <c r="N2906" t="s">
        <v>41</v>
      </c>
      <c r="O2906" t="s">
        <v>30</v>
      </c>
      <c r="P2906">
        <v>2.4230200652989602</v>
      </c>
      <c r="Q2906">
        <v>2.41093497790057</v>
      </c>
      <c r="R2906">
        <v>8.95005357947303</v>
      </c>
      <c r="S2906">
        <v>185</v>
      </c>
      <c r="T2906">
        <v>46</v>
      </c>
      <c r="U2906">
        <v>604.42154460981601</v>
      </c>
      <c r="V2906">
        <v>4.1826420355524502E-3</v>
      </c>
      <c r="W2906">
        <v>2007666.02898027</v>
      </c>
      <c r="X2906" t="s">
        <v>40</v>
      </c>
      <c r="Y2906">
        <f>1-614-419-9240</f>
        <v>-10272</v>
      </c>
    </row>
    <row r="2907" spans="1:25" x14ac:dyDescent="0.35">
      <c r="A2907">
        <v>38.459497434629903</v>
      </c>
      <c r="B2907">
        <v>-122.710967847353</v>
      </c>
      <c r="C2907" t="s">
        <v>25</v>
      </c>
      <c r="D2907">
        <v>10.2785374743742</v>
      </c>
      <c r="E2907">
        <v>8</v>
      </c>
      <c r="F2907">
        <v>895</v>
      </c>
      <c r="G2907">
        <v>1</v>
      </c>
      <c r="H2907">
        <v>2</v>
      </c>
      <c r="I2907">
        <v>1994</v>
      </c>
      <c r="J2907">
        <v>1</v>
      </c>
      <c r="K2907">
        <v>0</v>
      </c>
      <c r="L2907">
        <v>0</v>
      </c>
      <c r="M2907">
        <v>9</v>
      </c>
      <c r="N2907" t="s">
        <v>41</v>
      </c>
      <c r="O2907" t="s">
        <v>32</v>
      </c>
      <c r="P2907">
        <v>3.9153088140716599</v>
      </c>
      <c r="Q2907">
        <v>1.5161936452993601</v>
      </c>
      <c r="R2907">
        <v>2.2130390033482801</v>
      </c>
      <c r="S2907">
        <v>110</v>
      </c>
      <c r="T2907">
        <v>56</v>
      </c>
      <c r="U2907">
        <v>807.41327343450496</v>
      </c>
      <c r="V2907">
        <v>1.0055865921787701E-2</v>
      </c>
      <c r="W2907">
        <v>800942.009798732</v>
      </c>
      <c r="X2907" t="s">
        <v>44</v>
      </c>
      <c r="Y2907">
        <f>1-521-206-1036</f>
        <v>-1762</v>
      </c>
    </row>
    <row r="2908" spans="1:25" x14ac:dyDescent="0.35">
      <c r="A2908">
        <v>38.351105959049001</v>
      </c>
      <c r="B2908">
        <v>-118.598366280345</v>
      </c>
      <c r="C2908" t="s">
        <v>25</v>
      </c>
      <c r="D2908">
        <v>31.5693186535552</v>
      </c>
      <c r="E2908">
        <v>4</v>
      </c>
      <c r="F2908">
        <v>4324</v>
      </c>
      <c r="G2908">
        <v>2</v>
      </c>
      <c r="H2908">
        <v>3</v>
      </c>
      <c r="I2908">
        <v>1989</v>
      </c>
      <c r="J2908">
        <v>0</v>
      </c>
      <c r="K2908">
        <v>0</v>
      </c>
      <c r="L2908">
        <v>1</v>
      </c>
      <c r="M2908">
        <v>8</v>
      </c>
      <c r="N2908" t="s">
        <v>26</v>
      </c>
      <c r="O2908" t="s">
        <v>32</v>
      </c>
      <c r="P2908">
        <v>9.1720132644335095</v>
      </c>
      <c r="Q2908">
        <v>0.85235438366217098</v>
      </c>
      <c r="R2908">
        <v>6.2486462582496003</v>
      </c>
      <c r="S2908">
        <v>64</v>
      </c>
      <c r="T2908">
        <v>73</v>
      </c>
      <c r="U2908">
        <v>801.52408270737897</v>
      </c>
      <c r="V2908">
        <v>1.85013876040703E-3</v>
      </c>
      <c r="W2908">
        <v>3686444.73769412</v>
      </c>
      <c r="X2908" t="s">
        <v>44</v>
      </c>
      <c r="Y2908">
        <f>1-392-899-7541</f>
        <v>-8831</v>
      </c>
    </row>
    <row r="2909" spans="1:25" x14ac:dyDescent="0.35">
      <c r="A2909">
        <v>39.768440409237101</v>
      </c>
      <c r="B2909">
        <v>-115.099750137063</v>
      </c>
      <c r="C2909" t="s">
        <v>34</v>
      </c>
      <c r="D2909">
        <v>29.1183825597655</v>
      </c>
      <c r="E2909">
        <v>5</v>
      </c>
      <c r="F2909">
        <v>2722</v>
      </c>
      <c r="G2909">
        <v>2</v>
      </c>
      <c r="H2909">
        <v>2</v>
      </c>
      <c r="I2909">
        <v>1967</v>
      </c>
      <c r="J2909">
        <v>1</v>
      </c>
      <c r="K2909">
        <v>1</v>
      </c>
      <c r="L2909">
        <v>0</v>
      </c>
      <c r="M2909">
        <v>9</v>
      </c>
      <c r="N2909" t="s">
        <v>26</v>
      </c>
      <c r="O2909" t="s">
        <v>30</v>
      </c>
      <c r="P2909">
        <v>9.0380509329343592</v>
      </c>
      <c r="Q2909">
        <v>0.99060200371894802</v>
      </c>
      <c r="R2909">
        <v>5.9984670126518402</v>
      </c>
      <c r="S2909">
        <v>185</v>
      </c>
      <c r="T2909">
        <v>20</v>
      </c>
      <c r="U2909">
        <v>912.97927327300204</v>
      </c>
      <c r="V2909">
        <v>3.3063923585598801E-3</v>
      </c>
      <c r="W2909">
        <v>2692677.6211125599</v>
      </c>
      <c r="X2909" t="s">
        <v>28</v>
      </c>
      <c r="Y2909">
        <f>1-988-714-8474</f>
        <v>-10175</v>
      </c>
    </row>
    <row r="2910" spans="1:25" x14ac:dyDescent="0.35">
      <c r="A2910">
        <v>35.8598855249979</v>
      </c>
      <c r="B2910">
        <v>-117.76103285709</v>
      </c>
      <c r="C2910" t="s">
        <v>34</v>
      </c>
      <c r="D2910">
        <v>29.171863434898999</v>
      </c>
      <c r="E2910">
        <v>1</v>
      </c>
      <c r="F2910">
        <v>2914</v>
      </c>
      <c r="G2910">
        <v>4</v>
      </c>
      <c r="H2910">
        <v>3</v>
      </c>
      <c r="I2910">
        <v>2004</v>
      </c>
      <c r="J2910">
        <v>1</v>
      </c>
      <c r="K2910">
        <v>1</v>
      </c>
      <c r="L2910">
        <v>0</v>
      </c>
      <c r="M2910">
        <v>10</v>
      </c>
      <c r="N2910" t="s">
        <v>41</v>
      </c>
      <c r="O2910" t="s">
        <v>27</v>
      </c>
      <c r="P2910">
        <v>8.7243680943063495</v>
      </c>
      <c r="Q2910">
        <v>1.78013208670128</v>
      </c>
      <c r="R2910">
        <v>9.4654326895661907</v>
      </c>
      <c r="S2910">
        <v>63</v>
      </c>
      <c r="T2910">
        <v>22</v>
      </c>
      <c r="U2910">
        <v>888.81562955608501</v>
      </c>
      <c r="V2910">
        <v>3.4317089910775502E-3</v>
      </c>
      <c r="W2910">
        <v>2967502.9089091201</v>
      </c>
      <c r="X2910" t="s">
        <v>31</v>
      </c>
      <c r="Y2910">
        <f>1-446-687-7007</f>
        <v>-8139</v>
      </c>
    </row>
    <row r="2911" spans="1:25" x14ac:dyDescent="0.35">
      <c r="A2911">
        <v>39.530975657364998</v>
      </c>
      <c r="B2911">
        <v>-114.316192159143</v>
      </c>
      <c r="C2911" t="s">
        <v>34</v>
      </c>
      <c r="D2911">
        <v>18.1620655484409</v>
      </c>
      <c r="E2911">
        <v>2</v>
      </c>
      <c r="F2911">
        <v>4964</v>
      </c>
      <c r="G2911">
        <v>5</v>
      </c>
      <c r="H2911">
        <v>2</v>
      </c>
      <c r="I2911">
        <v>2018</v>
      </c>
      <c r="J2911">
        <v>0</v>
      </c>
      <c r="K2911">
        <v>1</v>
      </c>
      <c r="L2911">
        <v>1</v>
      </c>
      <c r="M2911">
        <v>5</v>
      </c>
      <c r="N2911" t="s">
        <v>26</v>
      </c>
      <c r="O2911" t="s">
        <v>27</v>
      </c>
      <c r="P2911">
        <v>9.2969871119195595</v>
      </c>
      <c r="Q2911">
        <v>1.6962398259228599</v>
      </c>
      <c r="R2911">
        <v>8.6818693237734994</v>
      </c>
      <c r="S2911">
        <v>9</v>
      </c>
      <c r="T2911">
        <v>55</v>
      </c>
      <c r="U2911">
        <v>676.23548418743599</v>
      </c>
      <c r="V2911">
        <v>1.00725221595487E-3</v>
      </c>
      <c r="W2911">
        <v>3785647.6459647398</v>
      </c>
      <c r="X2911" t="s">
        <v>38</v>
      </c>
      <c r="Y2911">
        <f>1-997-631-8949</f>
        <v>-10576</v>
      </c>
    </row>
    <row r="2912" spans="1:25" x14ac:dyDescent="0.35">
      <c r="A2912">
        <v>33.312822874546001</v>
      </c>
      <c r="B2912">
        <v>-116.191335023476</v>
      </c>
      <c r="C2912" t="s">
        <v>29</v>
      </c>
      <c r="D2912">
        <v>18.266851442326299</v>
      </c>
      <c r="E2912">
        <v>9</v>
      </c>
      <c r="F2912">
        <v>4813</v>
      </c>
      <c r="G2912">
        <v>5</v>
      </c>
      <c r="H2912">
        <v>3</v>
      </c>
      <c r="I2912">
        <v>1967</v>
      </c>
      <c r="J2912">
        <v>1</v>
      </c>
      <c r="K2912">
        <v>0</v>
      </c>
      <c r="L2912">
        <v>0</v>
      </c>
      <c r="M2912">
        <v>13</v>
      </c>
      <c r="N2912" t="s">
        <v>37</v>
      </c>
      <c r="O2912" t="s">
        <v>30</v>
      </c>
      <c r="P2912">
        <v>10.2576189658618</v>
      </c>
      <c r="Q2912">
        <v>0.86139578923728699</v>
      </c>
      <c r="R2912">
        <v>1.9755549605121701</v>
      </c>
      <c r="S2912">
        <v>61</v>
      </c>
      <c r="T2912">
        <v>20</v>
      </c>
      <c r="U2912">
        <v>291.51579775202799</v>
      </c>
      <c r="V2912">
        <v>2.7010180760440399E-3</v>
      </c>
      <c r="W2912">
        <v>1719928.8942362401</v>
      </c>
      <c r="X2912" t="s">
        <v>38</v>
      </c>
      <c r="Y2912">
        <f>1-819-605-6772</f>
        <v>-8195</v>
      </c>
    </row>
    <row r="2913" spans="1:25" x14ac:dyDescent="0.35">
      <c r="A2913">
        <v>38.289454852738999</v>
      </c>
      <c r="B2913">
        <v>-123.523406616397</v>
      </c>
      <c r="C2913" t="s">
        <v>34</v>
      </c>
      <c r="D2913">
        <v>42.8639895339426</v>
      </c>
      <c r="E2913">
        <v>8</v>
      </c>
      <c r="F2913">
        <v>3739</v>
      </c>
      <c r="G2913">
        <v>3</v>
      </c>
      <c r="H2913">
        <v>3</v>
      </c>
      <c r="I2913">
        <v>1985</v>
      </c>
      <c r="J2913">
        <v>1</v>
      </c>
      <c r="K2913">
        <v>0</v>
      </c>
      <c r="L2913">
        <v>1</v>
      </c>
      <c r="M2913">
        <v>2</v>
      </c>
      <c r="N2913" t="s">
        <v>26</v>
      </c>
      <c r="O2913" t="s">
        <v>27</v>
      </c>
      <c r="P2913">
        <v>11.2399417823663</v>
      </c>
      <c r="Q2913">
        <v>1.0166672116762301</v>
      </c>
      <c r="R2913">
        <v>3.59070653656546</v>
      </c>
      <c r="S2913">
        <v>40</v>
      </c>
      <c r="T2913">
        <v>20</v>
      </c>
      <c r="U2913">
        <v>566.50359425133399</v>
      </c>
      <c r="V2913">
        <v>5.3490238031559203E-4</v>
      </c>
      <c r="W2913">
        <v>2527194.7866021502</v>
      </c>
      <c r="X2913" t="s">
        <v>31</v>
      </c>
      <c r="Y2913">
        <f>1-687-472-5619</f>
        <v>-6777</v>
      </c>
    </row>
    <row r="2914" spans="1:25" x14ac:dyDescent="0.35">
      <c r="A2914">
        <v>36.057433673186097</v>
      </c>
      <c r="B2914">
        <v>-123.005711851318</v>
      </c>
      <c r="C2914" t="s">
        <v>25</v>
      </c>
      <c r="D2914">
        <v>44.836314176642098</v>
      </c>
      <c r="E2914">
        <v>6</v>
      </c>
      <c r="F2914">
        <v>4296</v>
      </c>
      <c r="G2914">
        <v>3</v>
      </c>
      <c r="H2914">
        <v>1</v>
      </c>
      <c r="I2914">
        <v>1978</v>
      </c>
      <c r="J2914">
        <v>0</v>
      </c>
      <c r="K2914">
        <v>0</v>
      </c>
      <c r="L2914">
        <v>0</v>
      </c>
      <c r="M2914">
        <v>7</v>
      </c>
      <c r="N2914" t="s">
        <v>26</v>
      </c>
      <c r="O2914" t="s">
        <v>32</v>
      </c>
      <c r="P2914">
        <v>13.849968412108</v>
      </c>
      <c r="Q2914">
        <v>1.53124735078189</v>
      </c>
      <c r="R2914">
        <v>9.1669854270851001</v>
      </c>
      <c r="S2914">
        <v>33</v>
      </c>
      <c r="T2914">
        <v>48</v>
      </c>
      <c r="U2914">
        <v>917.33126595856299</v>
      </c>
      <c r="V2914">
        <v>1.62942271880819E-3</v>
      </c>
      <c r="W2914">
        <v>4119132.5277229301</v>
      </c>
      <c r="X2914" t="s">
        <v>43</v>
      </c>
      <c r="Y2914">
        <f>1-924-822-4002</f>
        <v>-5747</v>
      </c>
    </row>
    <row r="2915" spans="1:25" x14ac:dyDescent="0.35">
      <c r="A2915">
        <v>39.051426667246702</v>
      </c>
      <c r="B2915">
        <v>-119.385689362063</v>
      </c>
      <c r="C2915" t="s">
        <v>29</v>
      </c>
      <c r="D2915">
        <v>41.479873380337303</v>
      </c>
      <c r="E2915">
        <v>0</v>
      </c>
      <c r="F2915">
        <v>2968</v>
      </c>
      <c r="G2915">
        <v>5</v>
      </c>
      <c r="H2915">
        <v>3</v>
      </c>
      <c r="I2915">
        <v>2004</v>
      </c>
      <c r="J2915">
        <v>1</v>
      </c>
      <c r="K2915">
        <v>1</v>
      </c>
      <c r="L2915">
        <v>0</v>
      </c>
      <c r="M2915">
        <v>9</v>
      </c>
      <c r="N2915" t="s">
        <v>37</v>
      </c>
      <c r="O2915" t="s">
        <v>30</v>
      </c>
      <c r="P2915">
        <v>13.0393086834457</v>
      </c>
      <c r="Q2915">
        <v>2.2043900993779801</v>
      </c>
      <c r="R2915">
        <v>4.6860404849682302</v>
      </c>
      <c r="S2915">
        <v>37</v>
      </c>
      <c r="T2915">
        <v>34</v>
      </c>
      <c r="U2915">
        <v>732.60499206895702</v>
      </c>
      <c r="V2915">
        <v>3.0323450134770798E-3</v>
      </c>
      <c r="W2915">
        <v>2728921.8137947898</v>
      </c>
      <c r="X2915" t="s">
        <v>43</v>
      </c>
      <c r="Y2915">
        <f>1-679-858-9064</f>
        <v>-10600</v>
      </c>
    </row>
    <row r="2916" spans="1:25" x14ac:dyDescent="0.35">
      <c r="A2916">
        <v>33.944123856649703</v>
      </c>
      <c r="B2916">
        <v>-123.139137198917</v>
      </c>
      <c r="C2916" t="s">
        <v>25</v>
      </c>
      <c r="D2916">
        <v>26.3792925894973</v>
      </c>
      <c r="E2916">
        <v>4</v>
      </c>
      <c r="F2916">
        <v>2570</v>
      </c>
      <c r="G2916">
        <v>2</v>
      </c>
      <c r="H2916">
        <v>3</v>
      </c>
      <c r="I2916">
        <v>1970</v>
      </c>
      <c r="J2916">
        <v>0</v>
      </c>
      <c r="K2916">
        <v>0</v>
      </c>
      <c r="L2916">
        <v>0</v>
      </c>
      <c r="M2916">
        <v>7</v>
      </c>
      <c r="N2916" t="s">
        <v>37</v>
      </c>
      <c r="O2916" t="s">
        <v>30</v>
      </c>
      <c r="P2916">
        <v>7.5044782052881196</v>
      </c>
      <c r="Q2916">
        <v>1.2338112635455101</v>
      </c>
      <c r="R2916">
        <v>9.3199985319918799</v>
      </c>
      <c r="S2916">
        <v>21</v>
      </c>
      <c r="T2916">
        <v>57</v>
      </c>
      <c r="U2916">
        <v>562.57576508661202</v>
      </c>
      <c r="V2916">
        <v>2.7237354085603098E-3</v>
      </c>
      <c r="W2916">
        <v>1552386.1399036499</v>
      </c>
      <c r="X2916" t="s">
        <v>44</v>
      </c>
      <c r="Y2916">
        <f>1-545-151-2659</f>
        <v>-3354</v>
      </c>
    </row>
    <row r="2917" spans="1:25" x14ac:dyDescent="0.35">
      <c r="A2917">
        <v>39.238030546974997</v>
      </c>
      <c r="B2917">
        <v>-115.30463201638899</v>
      </c>
      <c r="C2917" t="s">
        <v>29</v>
      </c>
      <c r="D2917">
        <v>49.105081294419499</v>
      </c>
      <c r="E2917">
        <v>1</v>
      </c>
      <c r="F2917">
        <v>868</v>
      </c>
      <c r="G2917">
        <v>5</v>
      </c>
      <c r="H2917">
        <v>3</v>
      </c>
      <c r="I2917">
        <v>2020</v>
      </c>
      <c r="J2917">
        <v>1</v>
      </c>
      <c r="K2917">
        <v>0</v>
      </c>
      <c r="L2917">
        <v>1</v>
      </c>
      <c r="M2917">
        <v>14</v>
      </c>
      <c r="N2917" t="s">
        <v>41</v>
      </c>
      <c r="O2917" t="s">
        <v>32</v>
      </c>
      <c r="P2917">
        <v>14.2292614966694</v>
      </c>
      <c r="Q2917">
        <v>0.56232328885372396</v>
      </c>
      <c r="R2917">
        <v>8.2164801339310003</v>
      </c>
      <c r="S2917">
        <v>197</v>
      </c>
      <c r="T2917">
        <v>52</v>
      </c>
      <c r="U2917">
        <v>484.55112969211001</v>
      </c>
      <c r="V2917">
        <v>1.6129032258064498E-2</v>
      </c>
      <c r="W2917">
        <v>920463.09012656705</v>
      </c>
      <c r="X2917" t="s">
        <v>44</v>
      </c>
      <c r="Y2917">
        <f>1-985-755-3804</f>
        <v>-5543</v>
      </c>
    </row>
    <row r="2918" spans="1:25" x14ac:dyDescent="0.35">
      <c r="A2918">
        <v>39.922268827001297</v>
      </c>
      <c r="B2918">
        <v>-114.871064730703</v>
      </c>
      <c r="C2918" t="s">
        <v>29</v>
      </c>
      <c r="D2918">
        <v>10.8611138674621</v>
      </c>
      <c r="E2918">
        <v>7</v>
      </c>
      <c r="F2918">
        <v>4206</v>
      </c>
      <c r="G2918">
        <v>4</v>
      </c>
      <c r="H2918">
        <v>2</v>
      </c>
      <c r="I2918">
        <v>2013</v>
      </c>
      <c r="J2918">
        <v>0</v>
      </c>
      <c r="K2918">
        <v>1</v>
      </c>
      <c r="L2918">
        <v>0</v>
      </c>
      <c r="M2918">
        <v>7</v>
      </c>
      <c r="N2918" t="s">
        <v>41</v>
      </c>
      <c r="O2918" t="s">
        <v>30</v>
      </c>
      <c r="P2918">
        <v>4.6645900801742401</v>
      </c>
      <c r="Q2918">
        <v>1.9008854617116</v>
      </c>
      <c r="R2918">
        <v>5.6032286996781604</v>
      </c>
      <c r="S2918">
        <v>87</v>
      </c>
      <c r="T2918">
        <v>48</v>
      </c>
      <c r="U2918">
        <v>451.45623186525597</v>
      </c>
      <c r="V2918">
        <v>1.6642891107941E-3</v>
      </c>
      <c r="W2918">
        <v>2241619.5168973701</v>
      </c>
      <c r="X2918" t="s">
        <v>33</v>
      </c>
      <c r="Y2918">
        <f>1-427-622-9282</f>
        <v>-10330</v>
      </c>
    </row>
    <row r="2919" spans="1:25" x14ac:dyDescent="0.35">
      <c r="A2919">
        <v>32.772967443263802</v>
      </c>
      <c r="B2919">
        <v>-121.499997745272</v>
      </c>
      <c r="C2919" t="s">
        <v>29</v>
      </c>
      <c r="D2919">
        <v>29.712615481385601</v>
      </c>
      <c r="E2919">
        <v>7</v>
      </c>
      <c r="F2919">
        <v>4471</v>
      </c>
      <c r="G2919">
        <v>4</v>
      </c>
      <c r="H2919">
        <v>1</v>
      </c>
      <c r="I2919">
        <v>1960</v>
      </c>
      <c r="J2919">
        <v>0</v>
      </c>
      <c r="K2919">
        <v>1</v>
      </c>
      <c r="L2919">
        <v>0</v>
      </c>
      <c r="M2919">
        <v>6</v>
      </c>
      <c r="N2919" t="s">
        <v>37</v>
      </c>
      <c r="O2919" t="s">
        <v>27</v>
      </c>
      <c r="P2919">
        <v>10.7949174017256</v>
      </c>
      <c r="Q2919">
        <v>1.0288686182615701</v>
      </c>
      <c r="R2919">
        <v>1.10342718391977</v>
      </c>
      <c r="S2919">
        <v>187</v>
      </c>
      <c r="T2919">
        <v>73</v>
      </c>
      <c r="U2919">
        <v>930.65660555669899</v>
      </c>
      <c r="V2919">
        <v>1.34198165958398E-3</v>
      </c>
      <c r="W2919">
        <v>4447471.36878167</v>
      </c>
      <c r="X2919" t="s">
        <v>31</v>
      </c>
      <c r="Y2919">
        <f>1-215-401-8163</f>
        <v>-8778</v>
      </c>
    </row>
    <row r="2920" spans="1:25" x14ac:dyDescent="0.35">
      <c r="A2920">
        <v>38.746867411323699</v>
      </c>
      <c r="B2920">
        <v>-118.19174958524999</v>
      </c>
      <c r="C2920" t="s">
        <v>29</v>
      </c>
      <c r="D2920">
        <v>26.673278205342001</v>
      </c>
      <c r="E2920">
        <v>9</v>
      </c>
      <c r="F2920">
        <v>1026</v>
      </c>
      <c r="G2920">
        <v>2</v>
      </c>
      <c r="H2920">
        <v>2</v>
      </c>
      <c r="I2920">
        <v>2011</v>
      </c>
      <c r="J2920">
        <v>0</v>
      </c>
      <c r="K2920">
        <v>0</v>
      </c>
      <c r="L2920">
        <v>0</v>
      </c>
      <c r="M2920">
        <v>8</v>
      </c>
      <c r="N2920" t="s">
        <v>41</v>
      </c>
      <c r="O2920" t="s">
        <v>32</v>
      </c>
      <c r="P2920">
        <v>4.36420648125371</v>
      </c>
      <c r="Q2920">
        <v>2.0870464773000399</v>
      </c>
      <c r="R2920">
        <v>3.8528433226400298</v>
      </c>
      <c r="S2920">
        <v>55</v>
      </c>
      <c r="T2920">
        <v>33</v>
      </c>
      <c r="U2920">
        <v>688.837632386265</v>
      </c>
      <c r="V2920">
        <v>7.7972709551656898E-3</v>
      </c>
      <c r="W2920">
        <v>902965.200187715</v>
      </c>
      <c r="X2920" t="s">
        <v>28</v>
      </c>
      <c r="Y2920">
        <f>1-645-852-3446</f>
        <v>-4942</v>
      </c>
    </row>
    <row r="2921" spans="1:25" x14ac:dyDescent="0.35">
      <c r="A2921">
        <v>41.288214476149697</v>
      </c>
      <c r="B2921">
        <v>-114.736973068174</v>
      </c>
      <c r="C2921" t="s">
        <v>34</v>
      </c>
      <c r="D2921">
        <v>9.8359600445242403</v>
      </c>
      <c r="E2921">
        <v>4</v>
      </c>
      <c r="F2921">
        <v>1331</v>
      </c>
      <c r="G2921">
        <v>4</v>
      </c>
      <c r="H2921">
        <v>3</v>
      </c>
      <c r="I2921">
        <v>1965</v>
      </c>
      <c r="J2921">
        <v>0</v>
      </c>
      <c r="K2921">
        <v>0</v>
      </c>
      <c r="L2921">
        <v>0</v>
      </c>
      <c r="M2921">
        <v>5</v>
      </c>
      <c r="N2921" t="s">
        <v>41</v>
      </c>
      <c r="O2921" t="s">
        <v>30</v>
      </c>
      <c r="P2921">
        <v>4.8556160639712704</v>
      </c>
      <c r="Q2921">
        <v>2.1353046867345502</v>
      </c>
      <c r="R2921">
        <v>8.0221928391720905</v>
      </c>
      <c r="S2921">
        <v>81</v>
      </c>
      <c r="T2921">
        <v>71</v>
      </c>
      <c r="U2921">
        <v>844.11034670517199</v>
      </c>
      <c r="V2921">
        <v>3.7565740045078801E-3</v>
      </c>
      <c r="W2921">
        <v>1398258.5087280001</v>
      </c>
      <c r="X2921" t="s">
        <v>39</v>
      </c>
      <c r="Y2921">
        <f>1-792-377-7043</f>
        <v>-8211</v>
      </c>
    </row>
    <row r="2922" spans="1:25" x14ac:dyDescent="0.35">
      <c r="A2922">
        <v>37.309392734748698</v>
      </c>
      <c r="B2922">
        <v>-123.257071004366</v>
      </c>
      <c r="C2922" t="s">
        <v>25</v>
      </c>
      <c r="D2922">
        <v>24.586222037129101</v>
      </c>
      <c r="E2922">
        <v>7</v>
      </c>
      <c r="F2922">
        <v>1438</v>
      </c>
      <c r="G2922">
        <v>3</v>
      </c>
      <c r="H2922">
        <v>3</v>
      </c>
      <c r="I2922">
        <v>1999</v>
      </c>
      <c r="J2922">
        <v>0</v>
      </c>
      <c r="K2922">
        <v>0</v>
      </c>
      <c r="L2922">
        <v>1</v>
      </c>
      <c r="M2922">
        <v>11</v>
      </c>
      <c r="N2922" t="s">
        <v>41</v>
      </c>
      <c r="O2922" t="s">
        <v>32</v>
      </c>
      <c r="P2922">
        <v>10.5391349315219</v>
      </c>
      <c r="Q2922">
        <v>1.0735258799966301</v>
      </c>
      <c r="R2922">
        <v>3.2334377591990102</v>
      </c>
      <c r="S2922">
        <v>140</v>
      </c>
      <c r="T2922">
        <v>27</v>
      </c>
      <c r="U2922">
        <v>903.80586482572505</v>
      </c>
      <c r="V2922">
        <v>7.64951321279554E-3</v>
      </c>
      <c r="W2922">
        <v>1533902.63757533</v>
      </c>
      <c r="X2922" t="s">
        <v>42</v>
      </c>
      <c r="Y2922">
        <f>1-375-845-5047</f>
        <v>-6266</v>
      </c>
    </row>
    <row r="2923" spans="1:25" x14ac:dyDescent="0.35">
      <c r="A2923">
        <v>35.751166040815399</v>
      </c>
      <c r="B2923">
        <v>-118.193379147039</v>
      </c>
      <c r="C2923" t="s">
        <v>34</v>
      </c>
      <c r="D2923">
        <v>3.5692746585845598</v>
      </c>
      <c r="E2923">
        <v>4</v>
      </c>
      <c r="F2923">
        <v>4127</v>
      </c>
      <c r="G2923">
        <v>1</v>
      </c>
      <c r="H2923">
        <v>1</v>
      </c>
      <c r="I2923">
        <v>1983</v>
      </c>
      <c r="J2923">
        <v>0</v>
      </c>
      <c r="K2923">
        <v>0</v>
      </c>
      <c r="L2923">
        <v>0</v>
      </c>
      <c r="M2923">
        <v>6</v>
      </c>
      <c r="N2923" t="s">
        <v>26</v>
      </c>
      <c r="O2923" t="s">
        <v>27</v>
      </c>
      <c r="P2923">
        <v>8.8256765855122694</v>
      </c>
      <c r="Q2923">
        <v>0.81209539487317595</v>
      </c>
      <c r="R2923">
        <v>7.9558558638071801</v>
      </c>
      <c r="S2923">
        <v>180</v>
      </c>
      <c r="T2923">
        <v>55</v>
      </c>
      <c r="U2923">
        <v>937.45997662792399</v>
      </c>
      <c r="V2923">
        <v>1.4538405621516801E-3</v>
      </c>
      <c r="W2923">
        <v>3949684.0928163701</v>
      </c>
      <c r="X2923" t="s">
        <v>39</v>
      </c>
      <c r="Y2923">
        <f>1-654-205-6594</f>
        <v>-7452</v>
      </c>
    </row>
    <row r="2924" spans="1:25" x14ac:dyDescent="0.35">
      <c r="A2924">
        <v>35.0731477703156</v>
      </c>
      <c r="B2924">
        <v>-122.359426297018</v>
      </c>
      <c r="C2924" t="s">
        <v>29</v>
      </c>
      <c r="D2924">
        <v>42.370042991569903</v>
      </c>
      <c r="E2924">
        <v>1</v>
      </c>
      <c r="F2924">
        <v>1748</v>
      </c>
      <c r="G2924">
        <v>4</v>
      </c>
      <c r="H2924">
        <v>1</v>
      </c>
      <c r="I2924">
        <v>1982</v>
      </c>
      <c r="J2924">
        <v>0</v>
      </c>
      <c r="K2924">
        <v>0</v>
      </c>
      <c r="L2924">
        <v>0</v>
      </c>
      <c r="M2924">
        <v>7</v>
      </c>
      <c r="N2924" t="s">
        <v>26</v>
      </c>
      <c r="O2924" t="s">
        <v>30</v>
      </c>
      <c r="P2924">
        <v>10.8180900062431</v>
      </c>
      <c r="Q2924">
        <v>0.51730300697544296</v>
      </c>
      <c r="R2924">
        <v>8.5347495115394008</v>
      </c>
      <c r="S2924">
        <v>29</v>
      </c>
      <c r="T2924">
        <v>20</v>
      </c>
      <c r="U2924">
        <v>638.65031168740995</v>
      </c>
      <c r="V2924">
        <v>4.0045766590389E-3</v>
      </c>
      <c r="W2924">
        <v>1372036.0846229601</v>
      </c>
      <c r="X2924" t="s">
        <v>36</v>
      </c>
      <c r="Y2924">
        <f>1-818-266-4471</f>
        <v>-5554</v>
      </c>
    </row>
    <row r="2925" spans="1:25" x14ac:dyDescent="0.35">
      <c r="A2925">
        <v>33.6817383120977</v>
      </c>
      <c r="B2925">
        <v>-123.807024314581</v>
      </c>
      <c r="C2925" t="s">
        <v>25</v>
      </c>
      <c r="D2925">
        <v>25.9138493097946</v>
      </c>
      <c r="E2925">
        <v>4</v>
      </c>
      <c r="F2925">
        <v>2187</v>
      </c>
      <c r="G2925">
        <v>4</v>
      </c>
      <c r="H2925">
        <v>1</v>
      </c>
      <c r="I2925">
        <v>2019</v>
      </c>
      <c r="J2925">
        <v>1</v>
      </c>
      <c r="K2925">
        <v>1</v>
      </c>
      <c r="L2925">
        <v>1</v>
      </c>
      <c r="M2925">
        <v>5</v>
      </c>
      <c r="N2925" t="s">
        <v>26</v>
      </c>
      <c r="O2925" t="s">
        <v>27</v>
      </c>
      <c r="P2925">
        <v>8.7667983521557193</v>
      </c>
      <c r="Q2925">
        <v>2.3191503841514298</v>
      </c>
      <c r="R2925">
        <v>8.3939729283181794</v>
      </c>
      <c r="S2925">
        <v>100</v>
      </c>
      <c r="T2925">
        <v>54</v>
      </c>
      <c r="U2925">
        <v>656.86797527452404</v>
      </c>
      <c r="V2925">
        <v>2.2862368541380798E-3</v>
      </c>
      <c r="W2925">
        <v>1812154.0777850901</v>
      </c>
      <c r="X2925" t="s">
        <v>39</v>
      </c>
      <c r="Y2925">
        <f>1-214-230-1122</f>
        <v>-1565</v>
      </c>
    </row>
    <row r="2926" spans="1:25" x14ac:dyDescent="0.35">
      <c r="A2926">
        <v>34.527081128876603</v>
      </c>
      <c r="B2926">
        <v>-122.167126284986</v>
      </c>
      <c r="C2926" t="s">
        <v>34</v>
      </c>
      <c r="D2926">
        <v>29.641123120252999</v>
      </c>
      <c r="E2926">
        <v>5</v>
      </c>
      <c r="F2926">
        <v>2011</v>
      </c>
      <c r="G2926">
        <v>4</v>
      </c>
      <c r="H2926">
        <v>2</v>
      </c>
      <c r="I2926">
        <v>1976</v>
      </c>
      <c r="J2926">
        <v>0</v>
      </c>
      <c r="K2926">
        <v>0</v>
      </c>
      <c r="L2926">
        <v>1</v>
      </c>
      <c r="M2926">
        <v>6</v>
      </c>
      <c r="N2926" t="s">
        <v>41</v>
      </c>
      <c r="O2926" t="s">
        <v>27</v>
      </c>
      <c r="P2926">
        <v>5.8309439957034401</v>
      </c>
      <c r="Q2926">
        <v>1.06014092283255</v>
      </c>
      <c r="R2926">
        <v>5.2686095010307099</v>
      </c>
      <c r="S2926">
        <v>44</v>
      </c>
      <c r="T2926">
        <v>22</v>
      </c>
      <c r="U2926">
        <v>791.14927442631404</v>
      </c>
      <c r="V2926">
        <v>2.9835902536051698E-3</v>
      </c>
      <c r="W2926">
        <v>1878841.9205197301</v>
      </c>
      <c r="X2926" t="s">
        <v>43</v>
      </c>
      <c r="Y2926">
        <f>1-470-479-5972</f>
        <v>-6920</v>
      </c>
    </row>
    <row r="2927" spans="1:25" x14ac:dyDescent="0.35">
      <c r="A2927">
        <v>38.2550089421457</v>
      </c>
      <c r="B2927">
        <v>-119.035276937552</v>
      </c>
      <c r="C2927" t="s">
        <v>29</v>
      </c>
      <c r="D2927">
        <v>33.115047757946698</v>
      </c>
      <c r="E2927">
        <v>6</v>
      </c>
      <c r="F2927">
        <v>1104</v>
      </c>
      <c r="G2927">
        <v>1</v>
      </c>
      <c r="H2927">
        <v>1</v>
      </c>
      <c r="I2927">
        <v>1999</v>
      </c>
      <c r="J2927">
        <v>0</v>
      </c>
      <c r="K2927">
        <v>0</v>
      </c>
      <c r="L2927">
        <v>1</v>
      </c>
      <c r="M2927">
        <v>6</v>
      </c>
      <c r="N2927" t="s">
        <v>26</v>
      </c>
      <c r="O2927" t="s">
        <v>27</v>
      </c>
      <c r="P2927">
        <v>10.4960720428857</v>
      </c>
      <c r="Q2927">
        <v>0.70442066578870699</v>
      </c>
      <c r="R2927">
        <v>8.3277321822393109</v>
      </c>
      <c r="S2927">
        <v>198</v>
      </c>
      <c r="T2927">
        <v>23</v>
      </c>
      <c r="U2927">
        <v>493.491596214845</v>
      </c>
      <c r="V2927">
        <v>5.4347826086956503E-3</v>
      </c>
      <c r="W2927">
        <v>661198.20325616398</v>
      </c>
      <c r="X2927" t="s">
        <v>43</v>
      </c>
      <c r="Y2927">
        <f>1-278-914-9116</f>
        <v>-10307</v>
      </c>
    </row>
    <row r="2928" spans="1:25" x14ac:dyDescent="0.35">
      <c r="A2928">
        <v>34.849295302217897</v>
      </c>
      <c r="B2928">
        <v>-120.168518107167</v>
      </c>
      <c r="C2928" t="s">
        <v>25</v>
      </c>
      <c r="D2928">
        <v>38.817271393617901</v>
      </c>
      <c r="E2928">
        <v>2</v>
      </c>
      <c r="F2928">
        <v>722</v>
      </c>
      <c r="G2928">
        <v>5</v>
      </c>
      <c r="H2928">
        <v>3</v>
      </c>
      <c r="I2928">
        <v>1961</v>
      </c>
      <c r="J2928">
        <v>1</v>
      </c>
      <c r="K2928">
        <v>0</v>
      </c>
      <c r="L2928">
        <v>0</v>
      </c>
      <c r="M2928">
        <v>7</v>
      </c>
      <c r="N2928" t="s">
        <v>37</v>
      </c>
      <c r="O2928" t="s">
        <v>30</v>
      </c>
      <c r="P2928">
        <v>13.030685979319699</v>
      </c>
      <c r="Q2928">
        <v>2.4836861226293201</v>
      </c>
      <c r="R2928">
        <v>8.3509727882589395</v>
      </c>
      <c r="S2928">
        <v>105</v>
      </c>
      <c r="T2928">
        <v>75</v>
      </c>
      <c r="U2928">
        <v>717.90965665100805</v>
      </c>
      <c r="V2928">
        <v>9.6952908587257594E-3</v>
      </c>
      <c r="W2928">
        <v>829742.98860241403</v>
      </c>
      <c r="X2928" t="s">
        <v>28</v>
      </c>
      <c r="Y2928">
        <f>1-634-883-5935</f>
        <v>-7451</v>
      </c>
    </row>
    <row r="2929" spans="1:25" x14ac:dyDescent="0.35">
      <c r="A2929">
        <v>36.594199351660798</v>
      </c>
      <c r="B2929">
        <v>-121.505221328749</v>
      </c>
      <c r="C2929" t="s">
        <v>29</v>
      </c>
      <c r="D2929">
        <v>16.254618935411099</v>
      </c>
      <c r="E2929">
        <v>5</v>
      </c>
      <c r="F2929">
        <v>4205</v>
      </c>
      <c r="G2929">
        <v>1</v>
      </c>
      <c r="H2929">
        <v>3</v>
      </c>
      <c r="I2929">
        <v>2020</v>
      </c>
      <c r="J2929">
        <v>1</v>
      </c>
      <c r="K2929">
        <v>1</v>
      </c>
      <c r="L2929">
        <v>1</v>
      </c>
      <c r="M2929">
        <v>14</v>
      </c>
      <c r="N2929" t="s">
        <v>37</v>
      </c>
      <c r="O2929" t="s">
        <v>32</v>
      </c>
      <c r="P2929">
        <v>12.507590921017201</v>
      </c>
      <c r="Q2929">
        <v>1.0691180705475201</v>
      </c>
      <c r="R2929">
        <v>4.0107950139487398</v>
      </c>
      <c r="S2929">
        <v>74</v>
      </c>
      <c r="T2929">
        <v>45</v>
      </c>
      <c r="U2929">
        <v>208.76509807836501</v>
      </c>
      <c r="V2929">
        <v>3.3293697978596902E-3</v>
      </c>
      <c r="W2929">
        <v>1206376.98831964</v>
      </c>
      <c r="X2929" t="s">
        <v>42</v>
      </c>
      <c r="Y2929">
        <f>1-660-261-9918</f>
        <v>-10838</v>
      </c>
    </row>
    <row r="2930" spans="1:25" x14ac:dyDescent="0.35">
      <c r="A2930">
        <v>39.772464219024499</v>
      </c>
      <c r="B2930">
        <v>-122.563322905905</v>
      </c>
      <c r="C2930" t="s">
        <v>34</v>
      </c>
      <c r="D2930">
        <v>37.847981902451401</v>
      </c>
      <c r="E2930">
        <v>3</v>
      </c>
      <c r="F2930">
        <v>1829</v>
      </c>
      <c r="G2930">
        <v>5</v>
      </c>
      <c r="H2930">
        <v>1</v>
      </c>
      <c r="I2930">
        <v>1969</v>
      </c>
      <c r="J2930">
        <v>0</v>
      </c>
      <c r="K2930">
        <v>1</v>
      </c>
      <c r="L2930">
        <v>0</v>
      </c>
      <c r="M2930">
        <v>11</v>
      </c>
      <c r="N2930" t="s">
        <v>41</v>
      </c>
      <c r="O2930" t="s">
        <v>32</v>
      </c>
      <c r="P2930">
        <v>7.6327492698651902</v>
      </c>
      <c r="Q2930">
        <v>0.52754093133616597</v>
      </c>
      <c r="R2930">
        <v>5.97145082457667</v>
      </c>
      <c r="S2930">
        <v>143</v>
      </c>
      <c r="T2930">
        <v>70</v>
      </c>
      <c r="U2930">
        <v>505.36565232045598</v>
      </c>
      <c r="V2930">
        <v>6.0142154182613403E-3</v>
      </c>
      <c r="W2930">
        <v>1206953.79431671</v>
      </c>
      <c r="X2930" t="s">
        <v>28</v>
      </c>
      <c r="Y2930">
        <f>1-308-609-5784</f>
        <v>-6700</v>
      </c>
    </row>
    <row r="2931" spans="1:25" x14ac:dyDescent="0.35">
      <c r="A2931">
        <v>40.505195714801403</v>
      </c>
      <c r="B2931">
        <v>-117.612097768689</v>
      </c>
      <c r="C2931" t="s">
        <v>29</v>
      </c>
      <c r="D2931">
        <v>35.874650605552702</v>
      </c>
      <c r="E2931">
        <v>7</v>
      </c>
      <c r="F2931">
        <v>1093</v>
      </c>
      <c r="G2931">
        <v>3</v>
      </c>
      <c r="H2931">
        <v>2</v>
      </c>
      <c r="I2931">
        <v>2006</v>
      </c>
      <c r="J2931">
        <v>0</v>
      </c>
      <c r="K2931">
        <v>1</v>
      </c>
      <c r="L2931">
        <v>0</v>
      </c>
      <c r="M2931">
        <v>10</v>
      </c>
      <c r="N2931" t="s">
        <v>26</v>
      </c>
      <c r="O2931" t="s">
        <v>30</v>
      </c>
      <c r="P2931">
        <v>3.3155571442463798</v>
      </c>
      <c r="Q2931">
        <v>1.5071294896529599</v>
      </c>
      <c r="R2931">
        <v>1.5736979447477499</v>
      </c>
      <c r="S2931">
        <v>39</v>
      </c>
      <c r="T2931">
        <v>67</v>
      </c>
      <c r="U2931">
        <v>914.60675464223505</v>
      </c>
      <c r="V2931">
        <v>9.1491308325708995E-3</v>
      </c>
      <c r="W2931">
        <v>1272630.55087661</v>
      </c>
      <c r="X2931" t="s">
        <v>36</v>
      </c>
      <c r="Y2931">
        <f>1-857-634-8500</f>
        <v>-9990</v>
      </c>
    </row>
    <row r="2932" spans="1:25" x14ac:dyDescent="0.35">
      <c r="A2932">
        <v>37.291328942944901</v>
      </c>
      <c r="B2932">
        <v>-119.78898931006501</v>
      </c>
      <c r="C2932" t="s">
        <v>25</v>
      </c>
      <c r="D2932">
        <v>24.617046301098998</v>
      </c>
      <c r="E2932">
        <v>5</v>
      </c>
      <c r="F2932">
        <v>2933</v>
      </c>
      <c r="G2932">
        <v>3</v>
      </c>
      <c r="H2932">
        <v>2</v>
      </c>
      <c r="I2932">
        <v>1979</v>
      </c>
      <c r="J2932">
        <v>1</v>
      </c>
      <c r="K2932">
        <v>0</v>
      </c>
      <c r="L2932">
        <v>0</v>
      </c>
      <c r="M2932">
        <v>7</v>
      </c>
      <c r="N2932" t="s">
        <v>26</v>
      </c>
      <c r="O2932" t="s">
        <v>32</v>
      </c>
      <c r="P2932">
        <v>3.62286345560074</v>
      </c>
      <c r="Q2932">
        <v>1.28655769178654</v>
      </c>
      <c r="R2932">
        <v>0.55261211685595302</v>
      </c>
      <c r="S2932">
        <v>146</v>
      </c>
      <c r="T2932">
        <v>78</v>
      </c>
      <c r="U2932">
        <v>439.847444764915</v>
      </c>
      <c r="V2932">
        <v>2.38663484486873E-3</v>
      </c>
      <c r="W2932">
        <v>1487311.79834993</v>
      </c>
      <c r="X2932" t="s">
        <v>39</v>
      </c>
      <c r="Y2932">
        <f>1-622-680-9994</f>
        <v>-11295</v>
      </c>
    </row>
    <row r="2933" spans="1:25" x14ac:dyDescent="0.35">
      <c r="A2933">
        <v>34.550601436615601</v>
      </c>
      <c r="B2933">
        <v>-115.68264892622</v>
      </c>
      <c r="C2933" t="s">
        <v>25</v>
      </c>
      <c r="D2933">
        <v>25.344102632436101</v>
      </c>
      <c r="E2933">
        <v>3</v>
      </c>
      <c r="F2933">
        <v>4092</v>
      </c>
      <c r="G2933">
        <v>3</v>
      </c>
      <c r="H2933">
        <v>1</v>
      </c>
      <c r="I2933">
        <v>1984</v>
      </c>
      <c r="J2933">
        <v>0</v>
      </c>
      <c r="K2933">
        <v>0</v>
      </c>
      <c r="L2933">
        <v>0</v>
      </c>
      <c r="M2933">
        <v>4</v>
      </c>
      <c r="N2933" t="s">
        <v>26</v>
      </c>
      <c r="O2933" t="s">
        <v>27</v>
      </c>
      <c r="P2933">
        <v>12.4196762579008</v>
      </c>
      <c r="Q2933">
        <v>1.77051179320727</v>
      </c>
      <c r="R2933">
        <v>8.7016142598155799</v>
      </c>
      <c r="S2933">
        <v>52</v>
      </c>
      <c r="T2933">
        <v>39</v>
      </c>
      <c r="U2933">
        <v>938.85926145854899</v>
      </c>
      <c r="V2933">
        <v>9.7751710654936396E-4</v>
      </c>
      <c r="W2933">
        <v>4007299.15640416</v>
      </c>
      <c r="X2933" t="s">
        <v>42</v>
      </c>
      <c r="Y2933">
        <f>1-885-219-7110</f>
        <v>-8213</v>
      </c>
    </row>
    <row r="2934" spans="1:25" x14ac:dyDescent="0.35">
      <c r="A2934">
        <v>41.531950788563897</v>
      </c>
      <c r="B2934">
        <v>-124.34719749192099</v>
      </c>
      <c r="C2934" t="s">
        <v>25</v>
      </c>
      <c r="D2934">
        <v>21.570190493590601</v>
      </c>
      <c r="E2934">
        <v>8</v>
      </c>
      <c r="F2934">
        <v>922</v>
      </c>
      <c r="G2934">
        <v>1</v>
      </c>
      <c r="H2934">
        <v>3</v>
      </c>
      <c r="I2934">
        <v>1952</v>
      </c>
      <c r="J2934">
        <v>0</v>
      </c>
      <c r="K2934">
        <v>1</v>
      </c>
      <c r="L2934">
        <v>1</v>
      </c>
      <c r="M2934">
        <v>3</v>
      </c>
      <c r="N2934" t="s">
        <v>41</v>
      </c>
      <c r="O2934" t="s">
        <v>27</v>
      </c>
      <c r="P2934">
        <v>4.1347176561442804</v>
      </c>
      <c r="Q2934">
        <v>1.92974613595147</v>
      </c>
      <c r="R2934">
        <v>1.0247520572657201</v>
      </c>
      <c r="S2934">
        <v>17</v>
      </c>
      <c r="T2934">
        <v>53</v>
      </c>
      <c r="U2934">
        <v>236.67508691343201</v>
      </c>
      <c r="V2934">
        <v>3.2537960954446801E-3</v>
      </c>
      <c r="W2934">
        <v>439508.168197889</v>
      </c>
      <c r="X2934" t="s">
        <v>42</v>
      </c>
      <c r="Y2934">
        <f>1-799-397-1296</f>
        <v>-2491</v>
      </c>
    </row>
    <row r="2935" spans="1:25" x14ac:dyDescent="0.35">
      <c r="A2935">
        <v>37.834808317909498</v>
      </c>
      <c r="B2935">
        <v>-121.84901178233299</v>
      </c>
      <c r="C2935" t="s">
        <v>25</v>
      </c>
      <c r="D2935">
        <v>26.955904856488701</v>
      </c>
      <c r="E2935">
        <v>4</v>
      </c>
      <c r="F2935">
        <v>764</v>
      </c>
      <c r="G2935">
        <v>4</v>
      </c>
      <c r="H2935">
        <v>3</v>
      </c>
      <c r="I2935">
        <v>1979</v>
      </c>
      <c r="J2935">
        <v>1</v>
      </c>
      <c r="K2935">
        <v>0</v>
      </c>
      <c r="L2935">
        <v>0</v>
      </c>
      <c r="M2935">
        <v>2</v>
      </c>
      <c r="N2935" t="s">
        <v>26</v>
      </c>
      <c r="O2935" t="s">
        <v>30</v>
      </c>
      <c r="P2935">
        <v>14.6544730443317</v>
      </c>
      <c r="Q2935">
        <v>1.55349307162079</v>
      </c>
      <c r="R2935">
        <v>7.0143451525326004</v>
      </c>
      <c r="S2935">
        <v>131</v>
      </c>
      <c r="T2935">
        <v>71</v>
      </c>
      <c r="U2935">
        <v>458.74903150602302</v>
      </c>
      <c r="V2935">
        <v>2.6178010471204099E-3</v>
      </c>
      <c r="W2935">
        <v>758157.83141388698</v>
      </c>
      <c r="X2935" t="s">
        <v>31</v>
      </c>
      <c r="Y2935">
        <f>1-481-400-3404</f>
        <v>-4284</v>
      </c>
    </row>
    <row r="2936" spans="1:25" x14ac:dyDescent="0.35">
      <c r="A2936">
        <v>33.534405471139301</v>
      </c>
      <c r="B2936">
        <v>-122.997349967647</v>
      </c>
      <c r="C2936" t="s">
        <v>29</v>
      </c>
      <c r="D2936">
        <v>26.468752798807799</v>
      </c>
      <c r="E2936">
        <v>8</v>
      </c>
      <c r="F2936">
        <v>3601</v>
      </c>
      <c r="G2936">
        <v>1</v>
      </c>
      <c r="H2936">
        <v>2</v>
      </c>
      <c r="I2936">
        <v>2000</v>
      </c>
      <c r="J2936">
        <v>1</v>
      </c>
      <c r="K2936">
        <v>0</v>
      </c>
      <c r="L2936">
        <v>0</v>
      </c>
      <c r="M2936">
        <v>13</v>
      </c>
      <c r="N2936" t="s">
        <v>41</v>
      </c>
      <c r="O2936" t="s">
        <v>32</v>
      </c>
      <c r="P2936">
        <v>13.0497773244402</v>
      </c>
      <c r="Q2936">
        <v>1.73512689545349</v>
      </c>
      <c r="R2936">
        <v>3.6077707265896199</v>
      </c>
      <c r="S2936">
        <v>59</v>
      </c>
      <c r="T2936">
        <v>70</v>
      </c>
      <c r="U2936">
        <v>462.88926684406198</v>
      </c>
      <c r="V2936">
        <v>3.6101083032490898E-3</v>
      </c>
      <c r="W2936">
        <v>1886080.2890019701</v>
      </c>
      <c r="X2936" t="s">
        <v>43</v>
      </c>
      <c r="Y2936">
        <f>1-724-425-7183</f>
        <v>-8331</v>
      </c>
    </row>
    <row r="2937" spans="1:25" x14ac:dyDescent="0.35">
      <c r="A2937">
        <v>38.258755638790397</v>
      </c>
      <c r="B2937">
        <v>-123.414317688106</v>
      </c>
      <c r="C2937" t="s">
        <v>34</v>
      </c>
      <c r="D2937">
        <v>19.097262568895001</v>
      </c>
      <c r="E2937">
        <v>0</v>
      </c>
      <c r="F2937">
        <v>3377</v>
      </c>
      <c r="G2937">
        <v>5</v>
      </c>
      <c r="H2937">
        <v>2</v>
      </c>
      <c r="I2937">
        <v>2006</v>
      </c>
      <c r="J2937">
        <v>0</v>
      </c>
      <c r="K2937">
        <v>0</v>
      </c>
      <c r="L2937">
        <v>0</v>
      </c>
      <c r="M2937">
        <v>13</v>
      </c>
      <c r="N2937" t="s">
        <v>41</v>
      </c>
      <c r="O2937" t="s">
        <v>32</v>
      </c>
      <c r="P2937">
        <v>2.7613256235578998</v>
      </c>
      <c r="Q2937">
        <v>1.8272839549472899</v>
      </c>
      <c r="R2937">
        <v>6.0015176981001304</v>
      </c>
      <c r="S2937">
        <v>97</v>
      </c>
      <c r="T2937">
        <v>25</v>
      </c>
      <c r="U2937">
        <v>835.511319554637</v>
      </c>
      <c r="V2937">
        <v>3.8495706248149199E-3</v>
      </c>
      <c r="W2937">
        <v>3047772.9881556602</v>
      </c>
      <c r="X2937" t="s">
        <v>31</v>
      </c>
      <c r="Y2937">
        <f>1-352-595-6864</f>
        <v>-7810</v>
      </c>
    </row>
    <row r="2938" spans="1:25" x14ac:dyDescent="0.35">
      <c r="A2938">
        <v>41.575264032584101</v>
      </c>
      <c r="B2938">
        <v>-116.36002079342801</v>
      </c>
      <c r="C2938" t="s">
        <v>25</v>
      </c>
      <c r="D2938">
        <v>36.851749175799497</v>
      </c>
      <c r="E2938">
        <v>2</v>
      </c>
      <c r="F2938">
        <v>2463</v>
      </c>
      <c r="G2938">
        <v>4</v>
      </c>
      <c r="H2938">
        <v>2</v>
      </c>
      <c r="I2938">
        <v>1956</v>
      </c>
      <c r="J2938">
        <v>0</v>
      </c>
      <c r="K2938">
        <v>0</v>
      </c>
      <c r="L2938">
        <v>0</v>
      </c>
      <c r="M2938">
        <v>3</v>
      </c>
      <c r="N2938" t="s">
        <v>26</v>
      </c>
      <c r="O2938" t="s">
        <v>27</v>
      </c>
      <c r="P2938">
        <v>9.9545875185418797</v>
      </c>
      <c r="Q2938">
        <v>1.6258380202465501</v>
      </c>
      <c r="R2938">
        <v>6.0893932375603903</v>
      </c>
      <c r="S2938">
        <v>44</v>
      </c>
      <c r="T2938">
        <v>47</v>
      </c>
      <c r="U2938">
        <v>460.86143171470098</v>
      </c>
      <c r="V2938">
        <v>1.2180267965895199E-3</v>
      </c>
      <c r="W2938">
        <v>1321164.98374548</v>
      </c>
      <c r="X2938" t="s">
        <v>44</v>
      </c>
      <c r="Y2938">
        <f>1-622-161-2333</f>
        <v>-3115</v>
      </c>
    </row>
    <row r="2939" spans="1:25" x14ac:dyDescent="0.35">
      <c r="A2939">
        <v>39.028761502642602</v>
      </c>
      <c r="B2939">
        <v>-121.03960288955101</v>
      </c>
      <c r="C2939" t="s">
        <v>25</v>
      </c>
      <c r="D2939">
        <v>48.754398336125398</v>
      </c>
      <c r="E2939">
        <v>9</v>
      </c>
      <c r="F2939">
        <v>3513</v>
      </c>
      <c r="G2939">
        <v>2</v>
      </c>
      <c r="H2939">
        <v>3</v>
      </c>
      <c r="I2939">
        <v>1967</v>
      </c>
      <c r="J2939">
        <v>0</v>
      </c>
      <c r="K2939">
        <v>1</v>
      </c>
      <c r="L2939">
        <v>1</v>
      </c>
      <c r="M2939">
        <v>13</v>
      </c>
      <c r="N2939" t="s">
        <v>26</v>
      </c>
      <c r="O2939" t="s">
        <v>30</v>
      </c>
      <c r="P2939">
        <v>4.7400383648369599</v>
      </c>
      <c r="Q2939">
        <v>1.1751633085276001</v>
      </c>
      <c r="R2939">
        <v>8.9093714646713504</v>
      </c>
      <c r="S2939">
        <v>1</v>
      </c>
      <c r="T2939">
        <v>78</v>
      </c>
      <c r="U2939">
        <v>254.79833765539399</v>
      </c>
      <c r="V2939">
        <v>3.7005408482778199E-3</v>
      </c>
      <c r="W2939">
        <v>1130412.43709229</v>
      </c>
      <c r="X2939" t="s">
        <v>36</v>
      </c>
      <c r="Y2939">
        <f>1-687-336-1558</f>
        <v>-2580</v>
      </c>
    </row>
    <row r="2940" spans="1:25" x14ac:dyDescent="0.35">
      <c r="A2940">
        <v>36.759668305100597</v>
      </c>
      <c r="B2940">
        <v>-122.512917950176</v>
      </c>
      <c r="C2940" t="s">
        <v>34</v>
      </c>
      <c r="D2940">
        <v>23.970866116189601</v>
      </c>
      <c r="E2940">
        <v>5</v>
      </c>
      <c r="F2940">
        <v>3565</v>
      </c>
      <c r="G2940">
        <v>4</v>
      </c>
      <c r="H2940">
        <v>2</v>
      </c>
      <c r="I2940">
        <v>2003</v>
      </c>
      <c r="J2940">
        <v>1</v>
      </c>
      <c r="K2940">
        <v>1</v>
      </c>
      <c r="L2940">
        <v>1</v>
      </c>
      <c r="M2940">
        <v>4</v>
      </c>
      <c r="N2940" t="s">
        <v>26</v>
      </c>
      <c r="O2940" t="s">
        <v>30</v>
      </c>
      <c r="P2940">
        <v>8.8392816788908295</v>
      </c>
      <c r="Q2940">
        <v>0.55496609679692899</v>
      </c>
      <c r="R2940">
        <v>8.1227066150993306</v>
      </c>
      <c r="S2940">
        <v>13</v>
      </c>
      <c r="T2940">
        <v>37</v>
      </c>
      <c r="U2940">
        <v>532.88764170561296</v>
      </c>
      <c r="V2940">
        <v>1.1220196353436099E-3</v>
      </c>
      <c r="W2940">
        <v>2458614.91927642</v>
      </c>
      <c r="X2940" t="s">
        <v>43</v>
      </c>
      <c r="Y2940">
        <f>1-595-563-9039</f>
        <v>-10196</v>
      </c>
    </row>
    <row r="2941" spans="1:25" x14ac:dyDescent="0.35">
      <c r="A2941">
        <v>33.005457790776802</v>
      </c>
      <c r="B2941">
        <v>-122.868737830711</v>
      </c>
      <c r="C2941" t="s">
        <v>29</v>
      </c>
      <c r="D2941">
        <v>24.837631335823399</v>
      </c>
      <c r="E2941">
        <v>1</v>
      </c>
      <c r="F2941">
        <v>4626</v>
      </c>
      <c r="G2941">
        <v>4</v>
      </c>
      <c r="H2941">
        <v>1</v>
      </c>
      <c r="I2941">
        <v>2007</v>
      </c>
      <c r="J2941">
        <v>0</v>
      </c>
      <c r="K2941">
        <v>1</v>
      </c>
      <c r="L2941">
        <v>0</v>
      </c>
      <c r="M2941">
        <v>6</v>
      </c>
      <c r="N2941" t="s">
        <v>37</v>
      </c>
      <c r="O2941" t="s">
        <v>27</v>
      </c>
      <c r="P2941">
        <v>13.520721158592799</v>
      </c>
      <c r="Q2941">
        <v>1.0544736162883399</v>
      </c>
      <c r="R2941">
        <v>8.8904469503320502</v>
      </c>
      <c r="S2941">
        <v>125</v>
      </c>
      <c r="T2941">
        <v>74</v>
      </c>
      <c r="U2941">
        <v>702.13380495095805</v>
      </c>
      <c r="V2941">
        <v>1.2970168612191899E-3</v>
      </c>
      <c r="W2941">
        <v>3627384.6829514001</v>
      </c>
      <c r="X2941" t="s">
        <v>40</v>
      </c>
      <c r="Y2941">
        <f>1-465-709-1939</f>
        <v>-3112</v>
      </c>
    </row>
    <row r="2942" spans="1:25" x14ac:dyDescent="0.35">
      <c r="A2942">
        <v>33.8026285035615</v>
      </c>
      <c r="B2942">
        <v>-119.251562467433</v>
      </c>
      <c r="C2942" t="s">
        <v>34</v>
      </c>
      <c r="D2942">
        <v>25.071253047061699</v>
      </c>
      <c r="E2942">
        <v>1</v>
      </c>
      <c r="F2942">
        <v>3001</v>
      </c>
      <c r="G2942">
        <v>2</v>
      </c>
      <c r="H2942">
        <v>3</v>
      </c>
      <c r="I2942">
        <v>1985</v>
      </c>
      <c r="J2942">
        <v>1</v>
      </c>
      <c r="K2942">
        <v>0</v>
      </c>
      <c r="L2942">
        <v>1</v>
      </c>
      <c r="M2942">
        <v>10</v>
      </c>
      <c r="N2942" t="s">
        <v>35</v>
      </c>
      <c r="O2942" t="s">
        <v>32</v>
      </c>
      <c r="P2942">
        <v>10.6670066202079</v>
      </c>
      <c r="Q2942">
        <v>1.2977280213022999</v>
      </c>
      <c r="R2942">
        <v>3.3979974281731398E-2</v>
      </c>
      <c r="S2942">
        <v>149</v>
      </c>
      <c r="T2942">
        <v>29</v>
      </c>
      <c r="U2942">
        <v>947.77117057565795</v>
      </c>
      <c r="V2942">
        <v>3.3322225924691702E-3</v>
      </c>
      <c r="W2942">
        <v>3152781.1459793798</v>
      </c>
      <c r="X2942" t="s">
        <v>38</v>
      </c>
      <c r="Y2942">
        <f>1-970-206-4919</f>
        <v>-6094</v>
      </c>
    </row>
    <row r="2943" spans="1:25" x14ac:dyDescent="0.35">
      <c r="A2943">
        <v>38.535234643848398</v>
      </c>
      <c r="B2943">
        <v>-119.90277393010901</v>
      </c>
      <c r="C2943" t="s">
        <v>29</v>
      </c>
      <c r="D2943">
        <v>7.2851832511473997</v>
      </c>
      <c r="E2943">
        <v>1</v>
      </c>
      <c r="F2943">
        <v>2056</v>
      </c>
      <c r="G2943">
        <v>4</v>
      </c>
      <c r="H2943">
        <v>3</v>
      </c>
      <c r="I2943">
        <v>1963</v>
      </c>
      <c r="J2943">
        <v>1</v>
      </c>
      <c r="K2943">
        <v>1</v>
      </c>
      <c r="L2943">
        <v>1</v>
      </c>
      <c r="M2943">
        <v>10</v>
      </c>
      <c r="N2943" t="s">
        <v>41</v>
      </c>
      <c r="O2943" t="s">
        <v>27</v>
      </c>
      <c r="P2943">
        <v>2.1863577640971901</v>
      </c>
      <c r="Q2943">
        <v>1.2678262338891799</v>
      </c>
      <c r="R2943">
        <v>4.7913267012307497</v>
      </c>
      <c r="S2943">
        <v>3</v>
      </c>
      <c r="T2943">
        <v>69</v>
      </c>
      <c r="U2943">
        <v>681.72582867001802</v>
      </c>
      <c r="V2943">
        <v>4.8638132295719802E-3</v>
      </c>
      <c r="W2943">
        <v>1842176.3506414001</v>
      </c>
      <c r="X2943" t="s">
        <v>39</v>
      </c>
      <c r="Y2943">
        <f>1-491-154-6482</f>
        <v>-7126</v>
      </c>
    </row>
    <row r="2944" spans="1:25" x14ac:dyDescent="0.35">
      <c r="A2944">
        <v>39.385544813425398</v>
      </c>
      <c r="B2944">
        <v>-115.591379530529</v>
      </c>
      <c r="C2944" t="s">
        <v>25</v>
      </c>
      <c r="D2944">
        <v>31.660603364694801</v>
      </c>
      <c r="E2944">
        <v>4</v>
      </c>
      <c r="F2944">
        <v>3703</v>
      </c>
      <c r="G2944">
        <v>4</v>
      </c>
      <c r="H2944">
        <v>1</v>
      </c>
      <c r="I2944">
        <v>1989</v>
      </c>
      <c r="J2944">
        <v>1</v>
      </c>
      <c r="K2944">
        <v>0</v>
      </c>
      <c r="L2944">
        <v>1</v>
      </c>
      <c r="M2944">
        <v>3</v>
      </c>
      <c r="N2944" t="s">
        <v>41</v>
      </c>
      <c r="O2944" t="s">
        <v>27</v>
      </c>
      <c r="P2944">
        <v>5.2136484485011598</v>
      </c>
      <c r="Q2944">
        <v>0.69792463217756395</v>
      </c>
      <c r="R2944">
        <v>8.0793595259289006</v>
      </c>
      <c r="S2944">
        <v>77</v>
      </c>
      <c r="T2944">
        <v>34</v>
      </c>
      <c r="U2944">
        <v>927.11084731419101</v>
      </c>
      <c r="V2944">
        <v>8.1015392924655598E-4</v>
      </c>
      <c r="W2944">
        <v>3709944.64484498</v>
      </c>
      <c r="X2944" t="s">
        <v>28</v>
      </c>
      <c r="Y2944">
        <f>1-933-296-9242</f>
        <v>-10470</v>
      </c>
    </row>
    <row r="2945" spans="1:25" x14ac:dyDescent="0.35">
      <c r="A2945">
        <v>40.981877943186198</v>
      </c>
      <c r="B2945">
        <v>-123.71149784541301</v>
      </c>
      <c r="C2945" t="s">
        <v>25</v>
      </c>
      <c r="D2945">
        <v>1.7699325070094101</v>
      </c>
      <c r="E2945">
        <v>7</v>
      </c>
      <c r="F2945">
        <v>2303</v>
      </c>
      <c r="G2945">
        <v>1</v>
      </c>
      <c r="H2945">
        <v>3</v>
      </c>
      <c r="I2945">
        <v>1995</v>
      </c>
      <c r="J2945">
        <v>1</v>
      </c>
      <c r="K2945">
        <v>0</v>
      </c>
      <c r="L2945">
        <v>1</v>
      </c>
      <c r="M2945">
        <v>13</v>
      </c>
      <c r="N2945" t="s">
        <v>35</v>
      </c>
      <c r="O2945" t="s">
        <v>27</v>
      </c>
      <c r="P2945">
        <v>2.3224505770188602</v>
      </c>
      <c r="Q2945">
        <v>1.97369068381183</v>
      </c>
      <c r="R2945">
        <v>9.9421369549754299</v>
      </c>
      <c r="S2945">
        <v>54</v>
      </c>
      <c r="T2945">
        <v>40</v>
      </c>
      <c r="U2945">
        <v>898.54494812682299</v>
      </c>
      <c r="V2945">
        <v>5.6448111159357302E-3</v>
      </c>
      <c r="W2945">
        <v>2194577.94266365</v>
      </c>
      <c r="X2945" t="s">
        <v>44</v>
      </c>
      <c r="Y2945">
        <f>1-923-740-4348</f>
        <v>-6010</v>
      </c>
    </row>
    <row r="2946" spans="1:25" x14ac:dyDescent="0.35">
      <c r="A2946">
        <v>36.2753553727891</v>
      </c>
      <c r="B2946">
        <v>-119.145865939188</v>
      </c>
      <c r="C2946" t="s">
        <v>25</v>
      </c>
      <c r="D2946">
        <v>48.736417917440797</v>
      </c>
      <c r="E2946">
        <v>4</v>
      </c>
      <c r="F2946">
        <v>1505</v>
      </c>
      <c r="G2946">
        <v>3</v>
      </c>
      <c r="H2946">
        <v>2</v>
      </c>
      <c r="I2946">
        <v>1965</v>
      </c>
      <c r="J2946">
        <v>0</v>
      </c>
      <c r="K2946">
        <v>0</v>
      </c>
      <c r="L2946">
        <v>1</v>
      </c>
      <c r="M2946">
        <v>14</v>
      </c>
      <c r="N2946" t="s">
        <v>41</v>
      </c>
      <c r="O2946" t="s">
        <v>32</v>
      </c>
      <c r="P2946">
        <v>2.4663134249466201</v>
      </c>
      <c r="Q2946">
        <v>0.98057948309053899</v>
      </c>
      <c r="R2946">
        <v>1.0453234665012801</v>
      </c>
      <c r="S2946">
        <v>141</v>
      </c>
      <c r="T2946">
        <v>30</v>
      </c>
      <c r="U2946">
        <v>403.40047093608598</v>
      </c>
      <c r="V2946">
        <v>9.30232558139534E-3</v>
      </c>
      <c r="W2946">
        <v>744252.51136555895</v>
      </c>
      <c r="X2946" t="s">
        <v>44</v>
      </c>
      <c r="Y2946">
        <f>1-439-290-5018</f>
        <v>-5746</v>
      </c>
    </row>
    <row r="2947" spans="1:25" x14ac:dyDescent="0.35">
      <c r="A2947">
        <v>37.0880172275684</v>
      </c>
      <c r="B2947">
        <v>-121.515679763611</v>
      </c>
      <c r="C2947" t="s">
        <v>25</v>
      </c>
      <c r="D2947">
        <v>17.886918047950999</v>
      </c>
      <c r="E2947">
        <v>3</v>
      </c>
      <c r="F2947">
        <v>1493</v>
      </c>
      <c r="G2947">
        <v>5</v>
      </c>
      <c r="H2947">
        <v>3</v>
      </c>
      <c r="I2947">
        <v>2005</v>
      </c>
      <c r="J2947">
        <v>1</v>
      </c>
      <c r="K2947">
        <v>0</v>
      </c>
      <c r="L2947">
        <v>0</v>
      </c>
      <c r="M2947">
        <v>3</v>
      </c>
      <c r="N2947" t="s">
        <v>37</v>
      </c>
      <c r="O2947" t="s">
        <v>27</v>
      </c>
      <c r="P2947">
        <v>12.9880125637844</v>
      </c>
      <c r="Q2947">
        <v>1.6151963921124</v>
      </c>
      <c r="R2947">
        <v>1.44551296312514</v>
      </c>
      <c r="S2947">
        <v>164</v>
      </c>
      <c r="T2947">
        <v>36</v>
      </c>
      <c r="U2947">
        <v>597.78119689021605</v>
      </c>
      <c r="V2947">
        <v>2.0093770931011298E-3</v>
      </c>
      <c r="W2947">
        <v>1323767.5747632801</v>
      </c>
      <c r="X2947" t="s">
        <v>42</v>
      </c>
      <c r="Y2947">
        <f>1-743-248-1308</f>
        <v>-2298</v>
      </c>
    </row>
    <row r="2948" spans="1:25" x14ac:dyDescent="0.35">
      <c r="A2948">
        <v>41.1306489883547</v>
      </c>
      <c r="B2948">
        <v>-114.21616804357799</v>
      </c>
      <c r="C2948" t="s">
        <v>29</v>
      </c>
      <c r="D2948">
        <v>49.995521569685202</v>
      </c>
      <c r="E2948">
        <v>6</v>
      </c>
      <c r="F2948">
        <v>3415</v>
      </c>
      <c r="G2948">
        <v>1</v>
      </c>
      <c r="H2948">
        <v>3</v>
      </c>
      <c r="I2948">
        <v>2017</v>
      </c>
      <c r="J2948">
        <v>1</v>
      </c>
      <c r="K2948">
        <v>0</v>
      </c>
      <c r="L2948">
        <v>1</v>
      </c>
      <c r="M2948">
        <v>12</v>
      </c>
      <c r="N2948" t="s">
        <v>35</v>
      </c>
      <c r="O2948" t="s">
        <v>32</v>
      </c>
      <c r="P2948">
        <v>12.7631456970516</v>
      </c>
      <c r="Q2948">
        <v>1.6602221492489599</v>
      </c>
      <c r="R2948">
        <v>0.21422326402098099</v>
      </c>
      <c r="S2948">
        <v>13</v>
      </c>
      <c r="T2948">
        <v>38</v>
      </c>
      <c r="U2948">
        <v>730.98692478608098</v>
      </c>
      <c r="V2948">
        <v>3.5139092240117102E-3</v>
      </c>
      <c r="W2948">
        <v>2819397.0727864499</v>
      </c>
      <c r="X2948" t="s">
        <v>28</v>
      </c>
      <c r="Y2948">
        <f>1-977-772-1736</f>
        <v>-3484</v>
      </c>
    </row>
    <row r="2949" spans="1:25" x14ac:dyDescent="0.35">
      <c r="A2949">
        <v>35.626427049024301</v>
      </c>
      <c r="B2949">
        <v>-116.42405840483001</v>
      </c>
      <c r="C2949" t="s">
        <v>29</v>
      </c>
      <c r="D2949">
        <v>11.028173487315501</v>
      </c>
      <c r="E2949">
        <v>1</v>
      </c>
      <c r="F2949">
        <v>2639</v>
      </c>
      <c r="G2949">
        <v>5</v>
      </c>
      <c r="H2949">
        <v>2</v>
      </c>
      <c r="I2949">
        <v>2005</v>
      </c>
      <c r="J2949">
        <v>1</v>
      </c>
      <c r="K2949">
        <v>0</v>
      </c>
      <c r="L2949">
        <v>0</v>
      </c>
      <c r="M2949">
        <v>12</v>
      </c>
      <c r="N2949" t="s">
        <v>26</v>
      </c>
      <c r="O2949" t="s">
        <v>32</v>
      </c>
      <c r="P2949">
        <v>2.0808112846334499</v>
      </c>
      <c r="Q2949">
        <v>0.64880395509308697</v>
      </c>
      <c r="R2949">
        <v>6.1155249249400301</v>
      </c>
      <c r="S2949">
        <v>2</v>
      </c>
      <c r="T2949">
        <v>44</v>
      </c>
      <c r="U2949">
        <v>315.53229622904399</v>
      </c>
      <c r="V2949">
        <v>4.5471769609700596E-3</v>
      </c>
      <c r="W2949">
        <v>1203075.29535967</v>
      </c>
      <c r="X2949" t="s">
        <v>43</v>
      </c>
      <c r="Y2949">
        <f>1-489-246-4313</f>
        <v>-5047</v>
      </c>
    </row>
    <row r="2950" spans="1:25" x14ac:dyDescent="0.35">
      <c r="A2950">
        <v>38.637039210305197</v>
      </c>
      <c r="B2950">
        <v>-119.813256870057</v>
      </c>
      <c r="C2950" t="s">
        <v>29</v>
      </c>
      <c r="D2950">
        <v>11.4269587275619</v>
      </c>
      <c r="E2950">
        <v>4</v>
      </c>
      <c r="F2950">
        <v>4876</v>
      </c>
      <c r="G2950">
        <v>4</v>
      </c>
      <c r="H2950">
        <v>3</v>
      </c>
      <c r="I2950">
        <v>1950</v>
      </c>
      <c r="J2950">
        <v>0</v>
      </c>
      <c r="K2950">
        <v>0</v>
      </c>
      <c r="L2950">
        <v>0</v>
      </c>
      <c r="M2950">
        <v>4</v>
      </c>
      <c r="N2950" t="s">
        <v>26</v>
      </c>
      <c r="O2950" t="s">
        <v>30</v>
      </c>
      <c r="P2950">
        <v>11.9017204703365</v>
      </c>
      <c r="Q2950">
        <v>1.9531864276251001</v>
      </c>
      <c r="R2950">
        <v>8.0346842958645599</v>
      </c>
      <c r="S2950">
        <v>14</v>
      </c>
      <c r="T2950">
        <v>68</v>
      </c>
      <c r="U2950">
        <v>382.23667983784901</v>
      </c>
      <c r="V2950">
        <v>8.2034454470877698E-4</v>
      </c>
      <c r="W2950">
        <v>2083360.4098525599</v>
      </c>
      <c r="X2950" t="s">
        <v>33</v>
      </c>
      <c r="Y2950">
        <f>1-872-110-2481</f>
        <v>-3462</v>
      </c>
    </row>
    <row r="2951" spans="1:25" x14ac:dyDescent="0.35">
      <c r="A2951">
        <v>41.523417507889803</v>
      </c>
      <c r="B2951">
        <v>-114.19936708127599</v>
      </c>
      <c r="C2951" t="s">
        <v>29</v>
      </c>
      <c r="D2951">
        <v>12.3958575133003</v>
      </c>
      <c r="E2951">
        <v>8</v>
      </c>
      <c r="F2951">
        <v>3402</v>
      </c>
      <c r="G2951">
        <v>2</v>
      </c>
      <c r="H2951">
        <v>3</v>
      </c>
      <c r="I2951">
        <v>1974</v>
      </c>
      <c r="J2951">
        <v>1</v>
      </c>
      <c r="K2951">
        <v>0</v>
      </c>
      <c r="L2951">
        <v>1</v>
      </c>
      <c r="M2951">
        <v>4</v>
      </c>
      <c r="N2951" t="s">
        <v>26</v>
      </c>
      <c r="O2951" t="s">
        <v>30</v>
      </c>
      <c r="P2951">
        <v>13.4170167487274</v>
      </c>
      <c r="Q2951">
        <v>2.1572164258372402</v>
      </c>
      <c r="R2951">
        <v>8.4904027804230093</v>
      </c>
      <c r="S2951">
        <v>108</v>
      </c>
      <c r="T2951">
        <v>70</v>
      </c>
      <c r="U2951">
        <v>225.13941358897301</v>
      </c>
      <c r="V2951">
        <v>1.17577895355673E-3</v>
      </c>
      <c r="W2951">
        <v>1082576.8683456101</v>
      </c>
      <c r="X2951" t="s">
        <v>42</v>
      </c>
      <c r="Y2951">
        <f>1-601-761-2801</f>
        <v>-4162</v>
      </c>
    </row>
    <row r="2952" spans="1:25" x14ac:dyDescent="0.35">
      <c r="A2952">
        <v>34.2308136459935</v>
      </c>
      <c r="B2952">
        <v>-118.36288275104</v>
      </c>
      <c r="C2952" t="s">
        <v>29</v>
      </c>
      <c r="D2952">
        <v>47.579453236474599</v>
      </c>
      <c r="E2952">
        <v>7</v>
      </c>
      <c r="F2952">
        <v>2533</v>
      </c>
      <c r="G2952">
        <v>3</v>
      </c>
      <c r="H2952">
        <v>2</v>
      </c>
      <c r="I2952">
        <v>1957</v>
      </c>
      <c r="J2952">
        <v>0</v>
      </c>
      <c r="K2952">
        <v>0</v>
      </c>
      <c r="L2952">
        <v>0</v>
      </c>
      <c r="M2952">
        <v>4</v>
      </c>
      <c r="N2952" t="s">
        <v>37</v>
      </c>
      <c r="O2952" t="s">
        <v>27</v>
      </c>
      <c r="P2952">
        <v>11.812061683677999</v>
      </c>
      <c r="Q2952">
        <v>0.596918612235393</v>
      </c>
      <c r="R2952">
        <v>8.5588387266344608</v>
      </c>
      <c r="S2952">
        <v>62</v>
      </c>
      <c r="T2952">
        <v>76</v>
      </c>
      <c r="U2952">
        <v>703.536121499508</v>
      </c>
      <c r="V2952">
        <v>1.5791551519936801E-3</v>
      </c>
      <c r="W2952">
        <v>2034446.9357940799</v>
      </c>
      <c r="X2952" t="s">
        <v>33</v>
      </c>
      <c r="Y2952">
        <f>1-720-670-9938</f>
        <v>-11327</v>
      </c>
    </row>
    <row r="2953" spans="1:25" x14ac:dyDescent="0.35">
      <c r="A2953">
        <v>35.240358909011597</v>
      </c>
      <c r="B2953">
        <v>-116.15002999095699</v>
      </c>
      <c r="C2953" t="s">
        <v>25</v>
      </c>
      <c r="D2953">
        <v>45.563804210717699</v>
      </c>
      <c r="E2953">
        <v>9</v>
      </c>
      <c r="F2953">
        <v>3707</v>
      </c>
      <c r="G2953">
        <v>1</v>
      </c>
      <c r="H2953">
        <v>2</v>
      </c>
      <c r="I2953">
        <v>1996</v>
      </c>
      <c r="J2953">
        <v>0</v>
      </c>
      <c r="K2953">
        <v>1</v>
      </c>
      <c r="L2953">
        <v>1</v>
      </c>
      <c r="M2953">
        <v>13</v>
      </c>
      <c r="N2953" t="s">
        <v>37</v>
      </c>
      <c r="O2953" t="s">
        <v>30</v>
      </c>
      <c r="P2953">
        <v>2.4968110639988401</v>
      </c>
      <c r="Q2953">
        <v>2.4106722776243501</v>
      </c>
      <c r="R2953">
        <v>3.3482794525899902</v>
      </c>
      <c r="S2953">
        <v>35</v>
      </c>
      <c r="T2953">
        <v>27</v>
      </c>
      <c r="U2953">
        <v>469.92646877158302</v>
      </c>
      <c r="V2953">
        <v>3.5068788777987501E-3</v>
      </c>
      <c r="W2953">
        <v>1972787.5577733601</v>
      </c>
      <c r="X2953" t="s">
        <v>36</v>
      </c>
      <c r="Y2953">
        <f>1-609-344-7990</f>
        <v>-8942</v>
      </c>
    </row>
    <row r="2954" spans="1:25" x14ac:dyDescent="0.35">
      <c r="A2954">
        <v>39.837647098265499</v>
      </c>
      <c r="B2954">
        <v>-122.112605528046</v>
      </c>
      <c r="C2954" t="s">
        <v>34</v>
      </c>
      <c r="D2954">
        <v>6.2536490046762196</v>
      </c>
      <c r="E2954">
        <v>8</v>
      </c>
      <c r="F2954">
        <v>3118</v>
      </c>
      <c r="G2954">
        <v>2</v>
      </c>
      <c r="H2954">
        <v>1</v>
      </c>
      <c r="I2954">
        <v>1965</v>
      </c>
      <c r="J2954">
        <v>0</v>
      </c>
      <c r="K2954">
        <v>1</v>
      </c>
      <c r="L2954">
        <v>0</v>
      </c>
      <c r="M2954">
        <v>8</v>
      </c>
      <c r="N2954" t="s">
        <v>37</v>
      </c>
      <c r="O2954" t="s">
        <v>30</v>
      </c>
      <c r="P2954">
        <v>12.9335841288583</v>
      </c>
      <c r="Q2954">
        <v>0.76523640825093497</v>
      </c>
      <c r="R2954">
        <v>6.6498671635194997</v>
      </c>
      <c r="S2954">
        <v>171</v>
      </c>
      <c r="T2954">
        <v>25</v>
      </c>
      <c r="U2954">
        <v>371.36584892284901</v>
      </c>
      <c r="V2954">
        <v>2.56574727389352E-3</v>
      </c>
      <c r="W2954">
        <v>1344105.5477064899</v>
      </c>
      <c r="X2954" t="s">
        <v>40</v>
      </c>
      <c r="Y2954">
        <f>1-267-206-6114</f>
        <v>-6586</v>
      </c>
    </row>
    <row r="2955" spans="1:25" x14ac:dyDescent="0.35">
      <c r="A2955">
        <v>41.5978067996612</v>
      </c>
      <c r="B2955">
        <v>-116.285421849578</v>
      </c>
      <c r="C2955" t="s">
        <v>34</v>
      </c>
      <c r="D2955">
        <v>46.787602599752297</v>
      </c>
      <c r="E2955">
        <v>9</v>
      </c>
      <c r="F2955">
        <v>1090</v>
      </c>
      <c r="G2955">
        <v>3</v>
      </c>
      <c r="H2955">
        <v>2</v>
      </c>
      <c r="I2955">
        <v>1951</v>
      </c>
      <c r="J2955">
        <v>1</v>
      </c>
      <c r="K2955">
        <v>1</v>
      </c>
      <c r="L2955">
        <v>1</v>
      </c>
      <c r="M2955">
        <v>5</v>
      </c>
      <c r="N2955" t="s">
        <v>41</v>
      </c>
      <c r="O2955" t="s">
        <v>30</v>
      </c>
      <c r="P2955">
        <v>4.3390070848617999</v>
      </c>
      <c r="Q2955">
        <v>0.84946962928921399</v>
      </c>
      <c r="R2955">
        <v>1.4405388471802001</v>
      </c>
      <c r="S2955">
        <v>130</v>
      </c>
      <c r="T2955">
        <v>58</v>
      </c>
      <c r="U2955">
        <v>378.656859230181</v>
      </c>
      <c r="V2955">
        <v>4.5871559633027499E-3</v>
      </c>
      <c r="W2955">
        <v>717378.15208168095</v>
      </c>
      <c r="X2955" t="s">
        <v>42</v>
      </c>
      <c r="Y2955">
        <f>1-879-499-3118</f>
        <v>-4495</v>
      </c>
    </row>
    <row r="2956" spans="1:25" x14ac:dyDescent="0.35">
      <c r="A2956">
        <v>33.658168767745899</v>
      </c>
      <c r="B2956">
        <v>-122.922581326052</v>
      </c>
      <c r="C2956" t="s">
        <v>25</v>
      </c>
      <c r="D2956">
        <v>48.367283476186302</v>
      </c>
      <c r="E2956">
        <v>0</v>
      </c>
      <c r="F2956">
        <v>4506</v>
      </c>
      <c r="G2956">
        <v>5</v>
      </c>
      <c r="H2956">
        <v>2</v>
      </c>
      <c r="I2956">
        <v>1972</v>
      </c>
      <c r="J2956">
        <v>0</v>
      </c>
      <c r="K2956">
        <v>1</v>
      </c>
      <c r="L2956">
        <v>0</v>
      </c>
      <c r="M2956">
        <v>6</v>
      </c>
      <c r="N2956" t="s">
        <v>37</v>
      </c>
      <c r="O2956" t="s">
        <v>30</v>
      </c>
      <c r="P2956">
        <v>6.35070566950181</v>
      </c>
      <c r="Q2956">
        <v>1.1616200636171301</v>
      </c>
      <c r="R2956">
        <v>5.9807138735256102E-2</v>
      </c>
      <c r="S2956">
        <v>173</v>
      </c>
      <c r="T2956">
        <v>63</v>
      </c>
      <c r="U2956">
        <v>943.81657678659201</v>
      </c>
      <c r="V2956">
        <v>1.3315579227696399E-3</v>
      </c>
      <c r="W2956">
        <v>4603389.0476383204</v>
      </c>
      <c r="X2956" t="s">
        <v>33</v>
      </c>
      <c r="Y2956">
        <f>1-575-951-9342</f>
        <v>-10867</v>
      </c>
    </row>
    <row r="2957" spans="1:25" x14ac:dyDescent="0.35">
      <c r="A2957">
        <v>33.082530036973601</v>
      </c>
      <c r="B2957">
        <v>-122.87916684360199</v>
      </c>
      <c r="C2957" t="s">
        <v>34</v>
      </c>
      <c r="D2957">
        <v>40.378077976590802</v>
      </c>
      <c r="E2957">
        <v>1</v>
      </c>
      <c r="F2957">
        <v>1461</v>
      </c>
      <c r="G2957">
        <v>4</v>
      </c>
      <c r="H2957">
        <v>1</v>
      </c>
      <c r="I2957">
        <v>1979</v>
      </c>
      <c r="J2957">
        <v>0</v>
      </c>
      <c r="K2957">
        <v>0</v>
      </c>
      <c r="L2957">
        <v>0</v>
      </c>
      <c r="M2957">
        <v>13</v>
      </c>
      <c r="N2957" t="s">
        <v>41</v>
      </c>
      <c r="O2957" t="s">
        <v>27</v>
      </c>
      <c r="P2957">
        <v>11.5783996596178</v>
      </c>
      <c r="Q2957">
        <v>1.3692804039787101</v>
      </c>
      <c r="R2957">
        <v>5.0586548993454601</v>
      </c>
      <c r="S2957">
        <v>115</v>
      </c>
      <c r="T2957">
        <v>72</v>
      </c>
      <c r="U2957">
        <v>260.26003742509698</v>
      </c>
      <c r="V2957">
        <v>8.8980150581793298E-3</v>
      </c>
      <c r="W2957">
        <v>683671.71759336302</v>
      </c>
      <c r="X2957" t="s">
        <v>28</v>
      </c>
      <c r="Y2957">
        <f>1-567-173-3256</f>
        <v>-3995</v>
      </c>
    </row>
    <row r="2958" spans="1:25" x14ac:dyDescent="0.35">
      <c r="A2958">
        <v>36.851662881864399</v>
      </c>
      <c r="B2958">
        <v>-117.850381342264</v>
      </c>
      <c r="C2958" t="s">
        <v>25</v>
      </c>
      <c r="D2958">
        <v>19.522656702131101</v>
      </c>
      <c r="E2958">
        <v>3</v>
      </c>
      <c r="F2958">
        <v>4282</v>
      </c>
      <c r="G2958">
        <v>2</v>
      </c>
      <c r="H2958">
        <v>2</v>
      </c>
      <c r="I2958">
        <v>1982</v>
      </c>
      <c r="J2958">
        <v>0</v>
      </c>
      <c r="K2958">
        <v>0</v>
      </c>
      <c r="L2958">
        <v>0</v>
      </c>
      <c r="M2958">
        <v>4</v>
      </c>
      <c r="N2958" t="s">
        <v>37</v>
      </c>
      <c r="O2958" t="s">
        <v>32</v>
      </c>
      <c r="P2958">
        <v>2.7385683302633699</v>
      </c>
      <c r="Q2958">
        <v>0.81391641765878397</v>
      </c>
      <c r="R2958">
        <v>9.2757836495734605</v>
      </c>
      <c r="S2958">
        <v>90</v>
      </c>
      <c r="T2958">
        <v>23</v>
      </c>
      <c r="U2958">
        <v>535.80041552162299</v>
      </c>
      <c r="V2958">
        <v>9.34142923867351E-4</v>
      </c>
      <c r="W2958">
        <v>2329769.9089580602</v>
      </c>
      <c r="X2958" t="s">
        <v>33</v>
      </c>
      <c r="Y2958">
        <f>1-757-533-9857</f>
        <v>-11146</v>
      </c>
    </row>
    <row r="2959" spans="1:25" x14ac:dyDescent="0.35">
      <c r="A2959">
        <v>38.071595961915797</v>
      </c>
      <c r="B2959">
        <v>-116.37980486502801</v>
      </c>
      <c r="C2959" t="s">
        <v>25</v>
      </c>
      <c r="D2959">
        <v>49.334890702577397</v>
      </c>
      <c r="E2959">
        <v>0</v>
      </c>
      <c r="F2959">
        <v>2406</v>
      </c>
      <c r="G2959">
        <v>5</v>
      </c>
      <c r="H2959">
        <v>2</v>
      </c>
      <c r="I2959">
        <v>1970</v>
      </c>
      <c r="J2959">
        <v>1</v>
      </c>
      <c r="K2959">
        <v>0</v>
      </c>
      <c r="L2959">
        <v>1</v>
      </c>
      <c r="M2959">
        <v>14</v>
      </c>
      <c r="N2959" t="s">
        <v>37</v>
      </c>
      <c r="O2959" t="s">
        <v>30</v>
      </c>
      <c r="P2959">
        <v>3.25505231949202</v>
      </c>
      <c r="Q2959">
        <v>1.6200657218146199</v>
      </c>
      <c r="R2959">
        <v>3.1719376378352999</v>
      </c>
      <c r="S2959">
        <v>158</v>
      </c>
      <c r="T2959">
        <v>31</v>
      </c>
      <c r="U2959">
        <v>574.91094343918803</v>
      </c>
      <c r="V2959">
        <v>5.8187863674147898E-3</v>
      </c>
      <c r="W2959">
        <v>1736917.9431748299</v>
      </c>
      <c r="X2959" t="s">
        <v>40</v>
      </c>
      <c r="Y2959">
        <f>1-639-909-4633</f>
        <v>-6180</v>
      </c>
    </row>
    <row r="2960" spans="1:25" x14ac:dyDescent="0.35">
      <c r="A2960">
        <v>34.746011737262997</v>
      </c>
      <c r="B2960">
        <v>-121.980738766908</v>
      </c>
      <c r="C2960" t="s">
        <v>25</v>
      </c>
      <c r="D2960">
        <v>8.33660786530697</v>
      </c>
      <c r="E2960">
        <v>4</v>
      </c>
      <c r="F2960">
        <v>2955</v>
      </c>
      <c r="G2960">
        <v>3</v>
      </c>
      <c r="H2960">
        <v>1</v>
      </c>
      <c r="I2960">
        <v>2002</v>
      </c>
      <c r="J2960">
        <v>1</v>
      </c>
      <c r="K2960">
        <v>1</v>
      </c>
      <c r="L2960">
        <v>1</v>
      </c>
      <c r="M2960">
        <v>3</v>
      </c>
      <c r="N2960" t="s">
        <v>41</v>
      </c>
      <c r="O2960" t="s">
        <v>30</v>
      </c>
      <c r="P2960">
        <v>12.939907898497401</v>
      </c>
      <c r="Q2960">
        <v>1.7976354537997099</v>
      </c>
      <c r="R2960">
        <v>4.8238439736449203</v>
      </c>
      <c r="S2960">
        <v>47</v>
      </c>
      <c r="T2960">
        <v>50</v>
      </c>
      <c r="U2960">
        <v>701.16215994787694</v>
      </c>
      <c r="V2960">
        <v>1.01522842639593E-3</v>
      </c>
      <c r="W2960">
        <v>2521142.5572367599</v>
      </c>
      <c r="X2960" t="s">
        <v>39</v>
      </c>
      <c r="Y2960">
        <f>1-988-656-2751</f>
        <v>-4394</v>
      </c>
    </row>
    <row r="2961" spans="1:25" x14ac:dyDescent="0.35">
      <c r="A2961">
        <v>36.358914985400901</v>
      </c>
      <c r="B2961">
        <v>-122.316569327069</v>
      </c>
      <c r="C2961" t="s">
        <v>25</v>
      </c>
      <c r="D2961">
        <v>34.363434248935903</v>
      </c>
      <c r="E2961">
        <v>2</v>
      </c>
      <c r="F2961">
        <v>1318</v>
      </c>
      <c r="G2961">
        <v>4</v>
      </c>
      <c r="H2961">
        <v>3</v>
      </c>
      <c r="I2961">
        <v>2003</v>
      </c>
      <c r="J2961">
        <v>0</v>
      </c>
      <c r="K2961">
        <v>0</v>
      </c>
      <c r="L2961">
        <v>1</v>
      </c>
      <c r="M2961">
        <v>11</v>
      </c>
      <c r="N2961" t="s">
        <v>41</v>
      </c>
      <c r="O2961" t="s">
        <v>27</v>
      </c>
      <c r="P2961">
        <v>5.4529719625142299</v>
      </c>
      <c r="Q2961">
        <v>0.60986088076770595</v>
      </c>
      <c r="R2961">
        <v>1.0422840050529001</v>
      </c>
      <c r="S2961">
        <v>8</v>
      </c>
      <c r="T2961">
        <v>29</v>
      </c>
      <c r="U2961">
        <v>886.51807408433797</v>
      </c>
      <c r="V2961">
        <v>8.3459787556904395E-3</v>
      </c>
      <c r="W2961">
        <v>1543928.7845266799</v>
      </c>
      <c r="X2961" t="s">
        <v>36</v>
      </c>
      <c r="Y2961">
        <f>1-945-760-1621</f>
        <v>-3325</v>
      </c>
    </row>
    <row r="2962" spans="1:25" x14ac:dyDescent="0.35">
      <c r="A2962">
        <v>39.0557738490444</v>
      </c>
      <c r="B2962">
        <v>-119.58957547486099</v>
      </c>
      <c r="C2962" t="s">
        <v>29</v>
      </c>
      <c r="D2962">
        <v>28.505023466126701</v>
      </c>
      <c r="E2962">
        <v>8</v>
      </c>
      <c r="F2962">
        <v>2295</v>
      </c>
      <c r="G2962">
        <v>2</v>
      </c>
      <c r="H2962">
        <v>1</v>
      </c>
      <c r="I2962">
        <v>1973</v>
      </c>
      <c r="J2962">
        <v>0</v>
      </c>
      <c r="K2962">
        <v>1</v>
      </c>
      <c r="L2962">
        <v>0</v>
      </c>
      <c r="M2962">
        <v>9</v>
      </c>
      <c r="N2962" t="s">
        <v>37</v>
      </c>
      <c r="O2962" t="s">
        <v>27</v>
      </c>
      <c r="P2962">
        <v>2.0183454214727199</v>
      </c>
      <c r="Q2962">
        <v>0.84120753188170605</v>
      </c>
      <c r="R2962">
        <v>2.6193201193924498</v>
      </c>
      <c r="S2962">
        <v>20</v>
      </c>
      <c r="T2962">
        <v>53</v>
      </c>
      <c r="U2962">
        <v>389.033046817318</v>
      </c>
      <c r="V2962">
        <v>3.9215686274509803E-3</v>
      </c>
      <c r="W2962">
        <v>1027072.46198654</v>
      </c>
      <c r="X2962" t="s">
        <v>42</v>
      </c>
      <c r="Y2962">
        <f>1-888-435-5477</f>
        <v>-6799</v>
      </c>
    </row>
    <row r="2963" spans="1:25" x14ac:dyDescent="0.35">
      <c r="A2963">
        <v>37.8082587224972</v>
      </c>
      <c r="B2963">
        <v>-120.646877043104</v>
      </c>
      <c r="C2963" t="s">
        <v>34</v>
      </c>
      <c r="D2963">
        <v>47.074963090674999</v>
      </c>
      <c r="E2963">
        <v>9</v>
      </c>
      <c r="F2963">
        <v>2866</v>
      </c>
      <c r="G2963">
        <v>3</v>
      </c>
      <c r="H2963">
        <v>1</v>
      </c>
      <c r="I2963">
        <v>1998</v>
      </c>
      <c r="J2963">
        <v>1</v>
      </c>
      <c r="K2963">
        <v>1</v>
      </c>
      <c r="L2963">
        <v>1</v>
      </c>
      <c r="M2963">
        <v>14</v>
      </c>
      <c r="N2963" t="s">
        <v>41</v>
      </c>
      <c r="O2963" t="s">
        <v>30</v>
      </c>
      <c r="P2963">
        <v>11.3390841632246</v>
      </c>
      <c r="Q2963">
        <v>1.9663197235501799</v>
      </c>
      <c r="R2963">
        <v>8.8981293755792894</v>
      </c>
      <c r="S2963">
        <v>89</v>
      </c>
      <c r="T2963">
        <v>56</v>
      </c>
      <c r="U2963">
        <v>249.01079068560099</v>
      </c>
      <c r="V2963">
        <v>4.8848569434752197E-3</v>
      </c>
      <c r="W2963">
        <v>1049886.20745883</v>
      </c>
      <c r="X2963" t="s">
        <v>39</v>
      </c>
      <c r="Y2963">
        <f>1-426-992-9689</f>
        <v>-11106</v>
      </c>
    </row>
    <row r="2964" spans="1:25" x14ac:dyDescent="0.35">
      <c r="A2964">
        <v>33.754083209861101</v>
      </c>
      <c r="B2964">
        <v>-117.145176188891</v>
      </c>
      <c r="C2964" t="s">
        <v>25</v>
      </c>
      <c r="D2964">
        <v>35.3730094534071</v>
      </c>
      <c r="E2964">
        <v>9</v>
      </c>
      <c r="F2964">
        <v>3629</v>
      </c>
      <c r="G2964">
        <v>1</v>
      </c>
      <c r="H2964">
        <v>2</v>
      </c>
      <c r="I2964">
        <v>1968</v>
      </c>
      <c r="J2964">
        <v>0</v>
      </c>
      <c r="K2964">
        <v>1</v>
      </c>
      <c r="L2964">
        <v>1</v>
      </c>
      <c r="M2964">
        <v>13</v>
      </c>
      <c r="N2964" t="s">
        <v>35</v>
      </c>
      <c r="O2964" t="s">
        <v>27</v>
      </c>
      <c r="P2964">
        <v>14.1030476045957</v>
      </c>
      <c r="Q2964">
        <v>2.4827283919724299</v>
      </c>
      <c r="R2964">
        <v>8.3606245079654293</v>
      </c>
      <c r="S2964">
        <v>86</v>
      </c>
      <c r="T2964">
        <v>73</v>
      </c>
      <c r="U2964">
        <v>423.81993263310699</v>
      </c>
      <c r="V2964">
        <v>3.5822540644805702E-3</v>
      </c>
      <c r="W2964">
        <v>1816201.84096937</v>
      </c>
      <c r="X2964" t="s">
        <v>39</v>
      </c>
      <c r="Y2964">
        <f>1-245-154-5377</f>
        <v>-5775</v>
      </c>
    </row>
    <row r="2965" spans="1:25" x14ac:dyDescent="0.35">
      <c r="A2965">
        <v>41.588337494441298</v>
      </c>
      <c r="B2965">
        <v>-124.24030789363501</v>
      </c>
      <c r="C2965" t="s">
        <v>34</v>
      </c>
      <c r="D2965">
        <v>46.122876403418601</v>
      </c>
      <c r="E2965">
        <v>5</v>
      </c>
      <c r="F2965">
        <v>4092</v>
      </c>
      <c r="G2965">
        <v>2</v>
      </c>
      <c r="H2965">
        <v>3</v>
      </c>
      <c r="I2965">
        <v>1988</v>
      </c>
      <c r="J2965">
        <v>1</v>
      </c>
      <c r="K2965">
        <v>0</v>
      </c>
      <c r="L2965">
        <v>0</v>
      </c>
      <c r="M2965">
        <v>3</v>
      </c>
      <c r="N2965" t="s">
        <v>37</v>
      </c>
      <c r="O2965" t="s">
        <v>32</v>
      </c>
      <c r="P2965">
        <v>5.7014124519751901</v>
      </c>
      <c r="Q2965">
        <v>1.8381749452724101</v>
      </c>
      <c r="R2965">
        <v>1.2588885123462501</v>
      </c>
      <c r="S2965">
        <v>38</v>
      </c>
      <c r="T2965">
        <v>73</v>
      </c>
      <c r="U2965">
        <v>261.20263158393499</v>
      </c>
      <c r="V2965">
        <v>7.3313782991202303E-4</v>
      </c>
      <c r="W2965">
        <v>1344862.3315262201</v>
      </c>
      <c r="X2965" t="s">
        <v>42</v>
      </c>
      <c r="Y2965">
        <f>1-392-247-8292</f>
        <v>-8930</v>
      </c>
    </row>
    <row r="2966" spans="1:25" x14ac:dyDescent="0.35">
      <c r="A2966">
        <v>32.531127114073897</v>
      </c>
      <c r="B2966">
        <v>-118.47001036144</v>
      </c>
      <c r="C2966" t="s">
        <v>29</v>
      </c>
      <c r="D2966">
        <v>27.920112029479199</v>
      </c>
      <c r="E2966">
        <v>5</v>
      </c>
      <c r="F2966">
        <v>3412</v>
      </c>
      <c r="G2966">
        <v>2</v>
      </c>
      <c r="H2966">
        <v>1</v>
      </c>
      <c r="I2966">
        <v>1966</v>
      </c>
      <c r="J2966">
        <v>0</v>
      </c>
      <c r="K2966">
        <v>0</v>
      </c>
      <c r="L2966">
        <v>0</v>
      </c>
      <c r="M2966">
        <v>5</v>
      </c>
      <c r="N2966" t="s">
        <v>37</v>
      </c>
      <c r="O2966" t="s">
        <v>27</v>
      </c>
      <c r="P2966">
        <v>10.909864973170899</v>
      </c>
      <c r="Q2966">
        <v>1.85440662934898</v>
      </c>
      <c r="R2966">
        <v>9.9147743294064199</v>
      </c>
      <c r="S2966">
        <v>97</v>
      </c>
      <c r="T2966">
        <v>44</v>
      </c>
      <c r="U2966">
        <v>219.08568874597901</v>
      </c>
      <c r="V2966">
        <v>1.4654161781945999E-3</v>
      </c>
      <c r="W2966">
        <v>756395.986503919</v>
      </c>
      <c r="X2966" t="s">
        <v>44</v>
      </c>
      <c r="Y2966">
        <f>1-903-502-3771</f>
        <v>-5175</v>
      </c>
    </row>
    <row r="2967" spans="1:25" x14ac:dyDescent="0.35">
      <c r="A2967">
        <v>34.052648969919801</v>
      </c>
      <c r="B2967">
        <v>-120.548323170693</v>
      </c>
      <c r="C2967" t="s">
        <v>34</v>
      </c>
      <c r="D2967">
        <v>44.422085071570002</v>
      </c>
      <c r="E2967">
        <v>0</v>
      </c>
      <c r="F2967">
        <v>4665</v>
      </c>
      <c r="G2967">
        <v>5</v>
      </c>
      <c r="H2967">
        <v>1</v>
      </c>
      <c r="I2967">
        <v>1961</v>
      </c>
      <c r="J2967">
        <v>0</v>
      </c>
      <c r="K2967">
        <v>0</v>
      </c>
      <c r="L2967">
        <v>1</v>
      </c>
      <c r="M2967">
        <v>9</v>
      </c>
      <c r="N2967" t="s">
        <v>41</v>
      </c>
      <c r="O2967" t="s">
        <v>32</v>
      </c>
      <c r="P2967">
        <v>13.8450122319949</v>
      </c>
      <c r="Q2967">
        <v>2.3538952437361802</v>
      </c>
      <c r="R2967">
        <v>1.2550983684180199</v>
      </c>
      <c r="S2967">
        <v>115</v>
      </c>
      <c r="T2967">
        <v>41</v>
      </c>
      <c r="U2967">
        <v>464.415646134317</v>
      </c>
      <c r="V2967">
        <v>1.9292604501607699E-3</v>
      </c>
      <c r="W2967">
        <v>2491386.0792823802</v>
      </c>
      <c r="X2967" t="s">
        <v>38</v>
      </c>
      <c r="Y2967">
        <f>1-669-136-4102</f>
        <v>-4906</v>
      </c>
    </row>
    <row r="2968" spans="1:25" x14ac:dyDescent="0.35">
      <c r="A2968">
        <v>37.374048071192199</v>
      </c>
      <c r="B2968">
        <v>-121.57449376775099</v>
      </c>
      <c r="C2968" t="s">
        <v>34</v>
      </c>
      <c r="D2968">
        <v>3.98280761819899</v>
      </c>
      <c r="E2968">
        <v>6</v>
      </c>
      <c r="F2968">
        <v>3970</v>
      </c>
      <c r="G2968">
        <v>3</v>
      </c>
      <c r="H2968">
        <v>1</v>
      </c>
      <c r="I2968">
        <v>1987</v>
      </c>
      <c r="J2968">
        <v>0</v>
      </c>
      <c r="K2968">
        <v>0</v>
      </c>
      <c r="L2968">
        <v>1</v>
      </c>
      <c r="M2968">
        <v>4</v>
      </c>
      <c r="N2968" t="s">
        <v>26</v>
      </c>
      <c r="O2968" t="s">
        <v>27</v>
      </c>
      <c r="P2968">
        <v>10.6304345832219</v>
      </c>
      <c r="Q2968">
        <v>0.77474639956600799</v>
      </c>
      <c r="R2968">
        <v>7.0575384279603002</v>
      </c>
      <c r="S2968">
        <v>89</v>
      </c>
      <c r="T2968">
        <v>74</v>
      </c>
      <c r="U2968">
        <v>822.72151075645797</v>
      </c>
      <c r="V2968">
        <v>1.0075566750629701E-3</v>
      </c>
      <c r="W2968">
        <v>3515954.9190201499</v>
      </c>
      <c r="X2968" t="s">
        <v>28</v>
      </c>
      <c r="Y2968">
        <f>1-269-194-6641</f>
        <v>-7103</v>
      </c>
    </row>
    <row r="2969" spans="1:25" x14ac:dyDescent="0.35">
      <c r="A2969">
        <v>36.015390181491</v>
      </c>
      <c r="B2969">
        <v>-123.50126264998499</v>
      </c>
      <c r="C2969" t="s">
        <v>34</v>
      </c>
      <c r="D2969">
        <v>23.087931741954201</v>
      </c>
      <c r="E2969">
        <v>5</v>
      </c>
      <c r="F2969">
        <v>4047</v>
      </c>
      <c r="G2969">
        <v>1</v>
      </c>
      <c r="H2969">
        <v>3</v>
      </c>
      <c r="I2969">
        <v>1972</v>
      </c>
      <c r="J2969">
        <v>0</v>
      </c>
      <c r="K2969">
        <v>1</v>
      </c>
      <c r="L2969">
        <v>0</v>
      </c>
      <c r="M2969">
        <v>8</v>
      </c>
      <c r="N2969" t="s">
        <v>41</v>
      </c>
      <c r="O2969" t="s">
        <v>32</v>
      </c>
      <c r="P2969">
        <v>5.49071515961435</v>
      </c>
      <c r="Q2969">
        <v>0.92141499655717896</v>
      </c>
      <c r="R2969">
        <v>4.8091511513230698E-2</v>
      </c>
      <c r="S2969">
        <v>151</v>
      </c>
      <c r="T2969">
        <v>29</v>
      </c>
      <c r="U2969">
        <v>931.556786241498</v>
      </c>
      <c r="V2969">
        <v>1.9767729182110201E-3</v>
      </c>
      <c r="W2969">
        <v>3992753.99429115</v>
      </c>
      <c r="X2969" t="s">
        <v>40</v>
      </c>
      <c r="Y2969">
        <f>1-378-371-1360</f>
        <v>-2108</v>
      </c>
    </row>
    <row r="2970" spans="1:25" x14ac:dyDescent="0.35">
      <c r="A2970">
        <v>38.393502981759397</v>
      </c>
      <c r="B2970">
        <v>-118.15970938036401</v>
      </c>
      <c r="C2970" t="s">
        <v>29</v>
      </c>
      <c r="D2970">
        <v>32.1268849797234</v>
      </c>
      <c r="E2970">
        <v>3</v>
      </c>
      <c r="F2970">
        <v>4307</v>
      </c>
      <c r="G2970">
        <v>2</v>
      </c>
      <c r="H2970">
        <v>2</v>
      </c>
      <c r="I2970">
        <v>1970</v>
      </c>
      <c r="J2970">
        <v>1</v>
      </c>
      <c r="K2970">
        <v>1</v>
      </c>
      <c r="L2970">
        <v>0</v>
      </c>
      <c r="M2970">
        <v>8</v>
      </c>
      <c r="N2970" t="s">
        <v>26</v>
      </c>
      <c r="O2970" t="s">
        <v>30</v>
      </c>
      <c r="P2970">
        <v>6.2401069477534898</v>
      </c>
      <c r="Q2970">
        <v>1.0429021086436301</v>
      </c>
      <c r="R2970">
        <v>7.50059675166335</v>
      </c>
      <c r="S2970">
        <v>166</v>
      </c>
      <c r="T2970">
        <v>40</v>
      </c>
      <c r="U2970">
        <v>501.32573210720898</v>
      </c>
      <c r="V2970">
        <v>1.85744137450661E-3</v>
      </c>
      <c r="W2970">
        <v>2391571.1607430601</v>
      </c>
      <c r="X2970" t="s">
        <v>28</v>
      </c>
      <c r="Y2970">
        <f>1-970-238-1498</f>
        <v>-2705</v>
      </c>
    </row>
    <row r="2971" spans="1:25" x14ac:dyDescent="0.35">
      <c r="A2971">
        <v>38.789110510454499</v>
      </c>
      <c r="B2971">
        <v>-116.298900711911</v>
      </c>
      <c r="C2971" t="s">
        <v>25</v>
      </c>
      <c r="D2971">
        <v>21.971265411803</v>
      </c>
      <c r="E2971">
        <v>4</v>
      </c>
      <c r="F2971">
        <v>1140</v>
      </c>
      <c r="G2971">
        <v>3</v>
      </c>
      <c r="H2971">
        <v>3</v>
      </c>
      <c r="I2971">
        <v>1964</v>
      </c>
      <c r="J2971">
        <v>0</v>
      </c>
      <c r="K2971">
        <v>0</v>
      </c>
      <c r="L2971">
        <v>1</v>
      </c>
      <c r="M2971">
        <v>4</v>
      </c>
      <c r="N2971" t="s">
        <v>41</v>
      </c>
      <c r="O2971" t="s">
        <v>30</v>
      </c>
      <c r="P2971">
        <v>8.6578786852440999</v>
      </c>
      <c r="Q2971">
        <v>1.9215953919222299</v>
      </c>
      <c r="R2971">
        <v>7.94278387454548</v>
      </c>
      <c r="S2971">
        <v>38</v>
      </c>
      <c r="T2971">
        <v>36</v>
      </c>
      <c r="U2971">
        <v>684.652291279167</v>
      </c>
      <c r="V2971">
        <v>3.5087719298245602E-3</v>
      </c>
      <c r="W2971">
        <v>1056074.21935541</v>
      </c>
      <c r="X2971" t="s">
        <v>39</v>
      </c>
      <c r="Y2971">
        <f>1-322-110-3639</f>
        <v>-4070</v>
      </c>
    </row>
    <row r="2972" spans="1:25" x14ac:dyDescent="0.35">
      <c r="A2972">
        <v>39.948785926955303</v>
      </c>
      <c r="B2972">
        <v>-114.97837324584501</v>
      </c>
      <c r="C2972" t="s">
        <v>34</v>
      </c>
      <c r="D2972">
        <v>4.3479872137404403</v>
      </c>
      <c r="E2972">
        <v>1</v>
      </c>
      <c r="F2972">
        <v>1311</v>
      </c>
      <c r="G2972">
        <v>2</v>
      </c>
      <c r="H2972">
        <v>1</v>
      </c>
      <c r="I2972">
        <v>1964</v>
      </c>
      <c r="J2972">
        <v>0</v>
      </c>
      <c r="K2972">
        <v>0</v>
      </c>
      <c r="L2972">
        <v>0</v>
      </c>
      <c r="M2972">
        <v>14</v>
      </c>
      <c r="N2972" t="s">
        <v>37</v>
      </c>
      <c r="O2972" t="s">
        <v>30</v>
      </c>
      <c r="P2972">
        <v>6.0761250164373797</v>
      </c>
      <c r="Q2972">
        <v>1.26891727068333</v>
      </c>
      <c r="R2972">
        <v>7.4713381623532102</v>
      </c>
      <c r="S2972">
        <v>114</v>
      </c>
      <c r="T2972">
        <v>70</v>
      </c>
      <c r="U2972">
        <v>222.80301712096801</v>
      </c>
      <c r="V2972">
        <v>1.0678871090770399E-2</v>
      </c>
      <c r="W2972">
        <v>353778.41538929101</v>
      </c>
      <c r="X2972" t="s">
        <v>33</v>
      </c>
      <c r="Y2972">
        <f>1-856-581-4345</f>
        <v>-5781</v>
      </c>
    </row>
    <row r="2973" spans="1:25" x14ac:dyDescent="0.35">
      <c r="A2973">
        <v>40.772139283476797</v>
      </c>
      <c r="B2973">
        <v>-121.163355358495</v>
      </c>
      <c r="C2973" t="s">
        <v>34</v>
      </c>
      <c r="D2973">
        <v>45.133796045207902</v>
      </c>
      <c r="E2973">
        <v>1</v>
      </c>
      <c r="F2973">
        <v>4101</v>
      </c>
      <c r="G2973">
        <v>1</v>
      </c>
      <c r="H2973">
        <v>2</v>
      </c>
      <c r="I2973">
        <v>1994</v>
      </c>
      <c r="J2973">
        <v>1</v>
      </c>
      <c r="K2973">
        <v>1</v>
      </c>
      <c r="L2973">
        <v>1</v>
      </c>
      <c r="M2973">
        <v>5</v>
      </c>
      <c r="N2973" t="s">
        <v>37</v>
      </c>
      <c r="O2973" t="s">
        <v>32</v>
      </c>
      <c r="P2973">
        <v>10.6421580530325</v>
      </c>
      <c r="Q2973">
        <v>0.62558441287354805</v>
      </c>
      <c r="R2973">
        <v>8.9773874172781003</v>
      </c>
      <c r="S2973">
        <v>39</v>
      </c>
      <c r="T2973">
        <v>62</v>
      </c>
      <c r="U2973">
        <v>445.71111931095402</v>
      </c>
      <c r="V2973">
        <v>1.21921482565228E-3</v>
      </c>
      <c r="W2973">
        <v>2147023.9549256102</v>
      </c>
      <c r="X2973" t="s">
        <v>31</v>
      </c>
      <c r="Y2973">
        <f>1-238-917-3154</f>
        <v>-4308</v>
      </c>
    </row>
    <row r="2974" spans="1:25" x14ac:dyDescent="0.35">
      <c r="A2974">
        <v>35.4903343361783</v>
      </c>
      <c r="B2974">
        <v>-124.284122325882</v>
      </c>
      <c r="C2974" t="s">
        <v>34</v>
      </c>
      <c r="D2974">
        <v>24.721695145690099</v>
      </c>
      <c r="E2974">
        <v>3</v>
      </c>
      <c r="F2974">
        <v>1707</v>
      </c>
      <c r="G2974">
        <v>2</v>
      </c>
      <c r="H2974">
        <v>2</v>
      </c>
      <c r="I2974">
        <v>1971</v>
      </c>
      <c r="J2974">
        <v>1</v>
      </c>
      <c r="K2974">
        <v>1</v>
      </c>
      <c r="L2974">
        <v>1</v>
      </c>
      <c r="M2974">
        <v>3</v>
      </c>
      <c r="N2974" t="s">
        <v>37</v>
      </c>
      <c r="O2974" t="s">
        <v>27</v>
      </c>
      <c r="P2974">
        <v>11.5205644709854</v>
      </c>
      <c r="Q2974">
        <v>1.83873677711234</v>
      </c>
      <c r="R2974">
        <v>2.0544762433775099</v>
      </c>
      <c r="S2974">
        <v>127</v>
      </c>
      <c r="T2974">
        <v>63</v>
      </c>
      <c r="U2974">
        <v>280.14152199398598</v>
      </c>
      <c r="V2974">
        <v>1.7574692442882201E-3</v>
      </c>
      <c r="W2974">
        <v>912755.87526288105</v>
      </c>
      <c r="X2974" t="s">
        <v>39</v>
      </c>
      <c r="Y2974">
        <f>1-807-970-9670</f>
        <v>-11446</v>
      </c>
    </row>
    <row r="2975" spans="1:25" x14ac:dyDescent="0.35">
      <c r="A2975">
        <v>41.626848598821603</v>
      </c>
      <c r="B2975">
        <v>-121.419144754722</v>
      </c>
      <c r="C2975" t="s">
        <v>29</v>
      </c>
      <c r="D2975">
        <v>33.6988491211401</v>
      </c>
      <c r="E2975">
        <v>3</v>
      </c>
      <c r="F2975">
        <v>3980</v>
      </c>
      <c r="G2975">
        <v>3</v>
      </c>
      <c r="H2975">
        <v>3</v>
      </c>
      <c r="I2975">
        <v>1986</v>
      </c>
      <c r="J2975">
        <v>0</v>
      </c>
      <c r="K2975">
        <v>0</v>
      </c>
      <c r="L2975">
        <v>0</v>
      </c>
      <c r="M2975">
        <v>9</v>
      </c>
      <c r="N2975" t="s">
        <v>35</v>
      </c>
      <c r="O2975" t="s">
        <v>27</v>
      </c>
      <c r="P2975">
        <v>7.6889921391770004</v>
      </c>
      <c r="Q2975">
        <v>1.1491363347938801</v>
      </c>
      <c r="R2975">
        <v>1.2675704971205299</v>
      </c>
      <c r="S2975">
        <v>156</v>
      </c>
      <c r="T2975">
        <v>75</v>
      </c>
      <c r="U2975">
        <v>588.81991127321101</v>
      </c>
      <c r="V2975">
        <v>2.26130653266331E-3</v>
      </c>
      <c r="W2975">
        <v>2514415.1783485101</v>
      </c>
      <c r="X2975" t="s">
        <v>40</v>
      </c>
      <c r="Y2975">
        <f>1-449-625-1469</f>
        <v>-2542</v>
      </c>
    </row>
    <row r="2976" spans="1:25" x14ac:dyDescent="0.35">
      <c r="A2976">
        <v>40.295995627691397</v>
      </c>
      <c r="B2976">
        <v>-123.059022748435</v>
      </c>
      <c r="C2976" t="s">
        <v>25</v>
      </c>
      <c r="D2976">
        <v>16.823438343028599</v>
      </c>
      <c r="E2976">
        <v>7</v>
      </c>
      <c r="F2976">
        <v>2318</v>
      </c>
      <c r="G2976">
        <v>5</v>
      </c>
      <c r="H2976">
        <v>1</v>
      </c>
      <c r="I2976">
        <v>1982</v>
      </c>
      <c r="J2976">
        <v>1</v>
      </c>
      <c r="K2976">
        <v>0</v>
      </c>
      <c r="L2976">
        <v>0</v>
      </c>
      <c r="M2976">
        <v>11</v>
      </c>
      <c r="N2976" t="s">
        <v>26</v>
      </c>
      <c r="O2976" t="s">
        <v>27</v>
      </c>
      <c r="P2976">
        <v>6.2315797532699699</v>
      </c>
      <c r="Q2976">
        <v>2.3076812588829498</v>
      </c>
      <c r="R2976">
        <v>9.2850180616398497</v>
      </c>
      <c r="S2976">
        <v>157</v>
      </c>
      <c r="T2976">
        <v>27</v>
      </c>
      <c r="U2976">
        <v>898.06437483437901</v>
      </c>
      <c r="V2976">
        <v>4.7454702329594398E-3</v>
      </c>
      <c r="W2976">
        <v>2340581.2287200601</v>
      </c>
      <c r="X2976" t="s">
        <v>31</v>
      </c>
      <c r="Y2976">
        <f>1-458-603-2312</f>
        <v>-3372</v>
      </c>
    </row>
    <row r="2977" spans="1:25" x14ac:dyDescent="0.35">
      <c r="A2977">
        <v>41.448683382663397</v>
      </c>
      <c r="B2977">
        <v>-114.955238434332</v>
      </c>
      <c r="C2977" t="s">
        <v>29</v>
      </c>
      <c r="D2977">
        <v>10.3078279265583</v>
      </c>
      <c r="E2977">
        <v>6</v>
      </c>
      <c r="F2977">
        <v>3414</v>
      </c>
      <c r="G2977">
        <v>2</v>
      </c>
      <c r="H2977">
        <v>2</v>
      </c>
      <c r="I2977">
        <v>1974</v>
      </c>
      <c r="J2977">
        <v>1</v>
      </c>
      <c r="K2977">
        <v>0</v>
      </c>
      <c r="L2977">
        <v>1</v>
      </c>
      <c r="M2977">
        <v>13</v>
      </c>
      <c r="N2977" t="s">
        <v>35</v>
      </c>
      <c r="O2977" t="s">
        <v>27</v>
      </c>
      <c r="P2977">
        <v>7.4743821722543098</v>
      </c>
      <c r="Q2977">
        <v>1.61986106131945</v>
      </c>
      <c r="R2977">
        <v>9.9606527747003906</v>
      </c>
      <c r="S2977">
        <v>150</v>
      </c>
      <c r="T2977">
        <v>50</v>
      </c>
      <c r="U2977">
        <v>855.15859989427395</v>
      </c>
      <c r="V2977">
        <v>3.80785002929115E-3</v>
      </c>
      <c r="W2977">
        <v>3084794.3195720902</v>
      </c>
      <c r="X2977" t="s">
        <v>28</v>
      </c>
      <c r="Y2977">
        <f>1-553-502-8486</f>
        <v>-9540</v>
      </c>
    </row>
    <row r="2978" spans="1:25" x14ac:dyDescent="0.35">
      <c r="A2978">
        <v>41.923644337764998</v>
      </c>
      <c r="B2978">
        <v>-120.235546728035</v>
      </c>
      <c r="C2978" t="s">
        <v>25</v>
      </c>
      <c r="D2978">
        <v>22.399632614359501</v>
      </c>
      <c r="E2978">
        <v>2</v>
      </c>
      <c r="F2978">
        <v>3287</v>
      </c>
      <c r="G2978">
        <v>4</v>
      </c>
      <c r="H2978">
        <v>1</v>
      </c>
      <c r="I2978">
        <v>1970</v>
      </c>
      <c r="J2978">
        <v>0</v>
      </c>
      <c r="K2978">
        <v>1</v>
      </c>
      <c r="L2978">
        <v>0</v>
      </c>
      <c r="M2978">
        <v>8</v>
      </c>
      <c r="N2978" t="s">
        <v>35</v>
      </c>
      <c r="O2978" t="s">
        <v>30</v>
      </c>
      <c r="P2978">
        <v>8.6143177816565508</v>
      </c>
      <c r="Q2978">
        <v>2.3902705602210199</v>
      </c>
      <c r="R2978">
        <v>7.2275985520179002</v>
      </c>
      <c r="S2978">
        <v>2</v>
      </c>
      <c r="T2978">
        <v>63</v>
      </c>
      <c r="U2978">
        <v>286.84019835241099</v>
      </c>
      <c r="V2978">
        <v>2.4338302403407301E-3</v>
      </c>
      <c r="W2978">
        <v>1216244.4108189701</v>
      </c>
      <c r="X2978" t="s">
        <v>28</v>
      </c>
      <c r="Y2978">
        <f>1-636-380-4478</f>
        <v>-5493</v>
      </c>
    </row>
    <row r="2979" spans="1:25" x14ac:dyDescent="0.35">
      <c r="A2979">
        <v>40.899445260706798</v>
      </c>
      <c r="B2979">
        <v>-114.975896402229</v>
      </c>
      <c r="C2979" t="s">
        <v>29</v>
      </c>
      <c r="D2979">
        <v>3.31446178773689</v>
      </c>
      <c r="E2979">
        <v>2</v>
      </c>
      <c r="F2979">
        <v>2506</v>
      </c>
      <c r="G2979">
        <v>4</v>
      </c>
      <c r="H2979">
        <v>2</v>
      </c>
      <c r="I2979">
        <v>1966</v>
      </c>
      <c r="J2979">
        <v>0</v>
      </c>
      <c r="K2979">
        <v>1</v>
      </c>
      <c r="L2979">
        <v>1</v>
      </c>
      <c r="M2979">
        <v>5</v>
      </c>
      <c r="N2979" t="s">
        <v>35</v>
      </c>
      <c r="O2979" t="s">
        <v>27</v>
      </c>
      <c r="P2979">
        <v>11.689476528618</v>
      </c>
      <c r="Q2979">
        <v>1.02838459474848</v>
      </c>
      <c r="R2979">
        <v>2.16372160585157</v>
      </c>
      <c r="S2979">
        <v>180</v>
      </c>
      <c r="T2979">
        <v>44</v>
      </c>
      <c r="U2979">
        <v>711.21937993583504</v>
      </c>
      <c r="V2979">
        <v>1.9952114924181902E-3</v>
      </c>
      <c r="W2979">
        <v>2138944.53152599</v>
      </c>
      <c r="X2979" t="s">
        <v>42</v>
      </c>
      <c r="Y2979">
        <f>1-700-735-8526</f>
        <v>-9960</v>
      </c>
    </row>
    <row r="2980" spans="1:25" x14ac:dyDescent="0.35">
      <c r="A2980">
        <v>33.308295650218497</v>
      </c>
      <c r="B2980">
        <v>-118.43882592113501</v>
      </c>
      <c r="C2980" t="s">
        <v>25</v>
      </c>
      <c r="D2980">
        <v>4.6512448370674999</v>
      </c>
      <c r="E2980">
        <v>6</v>
      </c>
      <c r="F2980">
        <v>4924</v>
      </c>
      <c r="G2980">
        <v>5</v>
      </c>
      <c r="H2980">
        <v>1</v>
      </c>
      <c r="I2980">
        <v>1970</v>
      </c>
      <c r="J2980">
        <v>0</v>
      </c>
      <c r="K2980">
        <v>0</v>
      </c>
      <c r="L2980">
        <v>0</v>
      </c>
      <c r="M2980">
        <v>12</v>
      </c>
      <c r="N2980" t="s">
        <v>26</v>
      </c>
      <c r="O2980" t="s">
        <v>30</v>
      </c>
      <c r="P2980">
        <v>5.6640395051119903</v>
      </c>
      <c r="Q2980">
        <v>0.82897158884327704</v>
      </c>
      <c r="R2980">
        <v>3.61338949550897</v>
      </c>
      <c r="S2980">
        <v>22</v>
      </c>
      <c r="T2980">
        <v>24</v>
      </c>
      <c r="U2980">
        <v>422.04444248292202</v>
      </c>
      <c r="V2980">
        <v>2.4370430544272902E-3</v>
      </c>
      <c r="W2980">
        <v>2267164.0200597998</v>
      </c>
      <c r="X2980" t="s">
        <v>31</v>
      </c>
      <c r="Y2980">
        <f>1-280-314-9337</f>
        <v>-9930</v>
      </c>
    </row>
    <row r="2981" spans="1:25" x14ac:dyDescent="0.35">
      <c r="A2981">
        <v>41.476010750085401</v>
      </c>
      <c r="B2981">
        <v>-119.818240930895</v>
      </c>
      <c r="C2981" t="s">
        <v>29</v>
      </c>
      <c r="D2981">
        <v>46.921478997218202</v>
      </c>
      <c r="E2981">
        <v>1</v>
      </c>
      <c r="F2981">
        <v>4285</v>
      </c>
      <c r="G2981">
        <v>5</v>
      </c>
      <c r="H2981">
        <v>2</v>
      </c>
      <c r="I2981">
        <v>2011</v>
      </c>
      <c r="J2981">
        <v>0</v>
      </c>
      <c r="K2981">
        <v>0</v>
      </c>
      <c r="L2981">
        <v>1</v>
      </c>
      <c r="M2981">
        <v>13</v>
      </c>
      <c r="N2981" t="s">
        <v>41</v>
      </c>
      <c r="O2981" t="s">
        <v>32</v>
      </c>
      <c r="P2981">
        <v>13.7267262436023</v>
      </c>
      <c r="Q2981">
        <v>1.77573458995547</v>
      </c>
      <c r="R2981">
        <v>3.65515911796891</v>
      </c>
      <c r="S2981">
        <v>53</v>
      </c>
      <c r="T2981">
        <v>52</v>
      </c>
      <c r="U2981">
        <v>222.393151206488</v>
      </c>
      <c r="V2981">
        <v>3.0338389731621898E-3</v>
      </c>
      <c r="W2981">
        <v>1421286.60426084</v>
      </c>
      <c r="X2981" t="s">
        <v>43</v>
      </c>
      <c r="Y2981">
        <f>1-696-813-3190</f>
        <v>-4698</v>
      </c>
    </row>
    <row r="2982" spans="1:25" x14ac:dyDescent="0.35">
      <c r="A2982">
        <v>38.348514658077498</v>
      </c>
      <c r="B2982">
        <v>-121.13171757699</v>
      </c>
      <c r="C2982" t="s">
        <v>25</v>
      </c>
      <c r="D2982">
        <v>15.646990242896001</v>
      </c>
      <c r="E2982">
        <v>3</v>
      </c>
      <c r="F2982">
        <v>1944</v>
      </c>
      <c r="G2982">
        <v>2</v>
      </c>
      <c r="H2982">
        <v>3</v>
      </c>
      <c r="I2982">
        <v>2014</v>
      </c>
      <c r="J2982">
        <v>1</v>
      </c>
      <c r="K2982">
        <v>1</v>
      </c>
      <c r="L2982">
        <v>1</v>
      </c>
      <c r="M2982">
        <v>8</v>
      </c>
      <c r="N2982" t="s">
        <v>35</v>
      </c>
      <c r="O2982" t="s">
        <v>27</v>
      </c>
      <c r="P2982">
        <v>5.5731210916070397</v>
      </c>
      <c r="Q2982">
        <v>0.60605102209094697</v>
      </c>
      <c r="R2982">
        <v>6.5717722184229199</v>
      </c>
      <c r="S2982">
        <v>133</v>
      </c>
      <c r="T2982">
        <v>53</v>
      </c>
      <c r="U2982">
        <v>702.80148657028803</v>
      </c>
      <c r="V2982">
        <v>4.11522633744856E-3</v>
      </c>
      <c r="W2982">
        <v>1670298.83268295</v>
      </c>
      <c r="X2982" t="s">
        <v>43</v>
      </c>
      <c r="Y2982">
        <f>1-596-357-9314</f>
        <v>-10266</v>
      </c>
    </row>
    <row r="2983" spans="1:25" x14ac:dyDescent="0.35">
      <c r="A2983">
        <v>37.163822442609501</v>
      </c>
      <c r="B2983">
        <v>-117.193207315227</v>
      </c>
      <c r="C2983" t="s">
        <v>29</v>
      </c>
      <c r="D2983">
        <v>4.9530631625657904</v>
      </c>
      <c r="E2983">
        <v>4</v>
      </c>
      <c r="F2983">
        <v>4672</v>
      </c>
      <c r="G2983">
        <v>4</v>
      </c>
      <c r="H2983">
        <v>3</v>
      </c>
      <c r="I2983">
        <v>1988</v>
      </c>
      <c r="J2983">
        <v>1</v>
      </c>
      <c r="K2983">
        <v>0</v>
      </c>
      <c r="L2983">
        <v>0</v>
      </c>
      <c r="M2983">
        <v>6</v>
      </c>
      <c r="N2983" t="s">
        <v>41</v>
      </c>
      <c r="O2983" t="s">
        <v>30</v>
      </c>
      <c r="P2983">
        <v>10.564396826492599</v>
      </c>
      <c r="Q2983">
        <v>2.2078872903212101</v>
      </c>
      <c r="R2983">
        <v>5.9802658627858696</v>
      </c>
      <c r="S2983">
        <v>62</v>
      </c>
      <c r="T2983">
        <v>74</v>
      </c>
      <c r="U2983">
        <v>412.71833362925202</v>
      </c>
      <c r="V2983">
        <v>1.28424657534246E-3</v>
      </c>
      <c r="W2983">
        <v>2228155.57712255</v>
      </c>
      <c r="X2983" t="s">
        <v>42</v>
      </c>
      <c r="Y2983">
        <f>1-560-698-7480</f>
        <v>-8737</v>
      </c>
    </row>
    <row r="2984" spans="1:25" x14ac:dyDescent="0.35">
      <c r="A2984">
        <v>39.147854029361802</v>
      </c>
      <c r="B2984">
        <v>-122.06896504319801</v>
      </c>
      <c r="C2984" t="s">
        <v>34</v>
      </c>
      <c r="D2984">
        <v>43.718975543352798</v>
      </c>
      <c r="E2984">
        <v>4</v>
      </c>
      <c r="F2984">
        <v>4251</v>
      </c>
      <c r="G2984">
        <v>3</v>
      </c>
      <c r="H2984">
        <v>1</v>
      </c>
      <c r="I2984">
        <v>1968</v>
      </c>
      <c r="J2984">
        <v>1</v>
      </c>
      <c r="K2984">
        <v>1</v>
      </c>
      <c r="L2984">
        <v>0</v>
      </c>
      <c r="M2984">
        <v>8</v>
      </c>
      <c r="N2984" t="s">
        <v>37</v>
      </c>
      <c r="O2984" t="s">
        <v>32</v>
      </c>
      <c r="P2984">
        <v>9.2077265262476509</v>
      </c>
      <c r="Q2984">
        <v>2.2171187857685801</v>
      </c>
      <c r="R2984">
        <v>9.2118103796372193</v>
      </c>
      <c r="S2984">
        <v>102</v>
      </c>
      <c r="T2984">
        <v>21</v>
      </c>
      <c r="U2984">
        <v>551.46705820326895</v>
      </c>
      <c r="V2984">
        <v>1.8819101387908699E-3</v>
      </c>
      <c r="W2984">
        <v>2638258.6933733099</v>
      </c>
      <c r="X2984" t="s">
        <v>40</v>
      </c>
      <c r="Y2984">
        <f>1-603-770-3165</f>
        <v>-4537</v>
      </c>
    </row>
    <row r="2985" spans="1:25" x14ac:dyDescent="0.35">
      <c r="A2985">
        <v>37.430303577231697</v>
      </c>
      <c r="B2985">
        <v>-122.509835237459</v>
      </c>
      <c r="C2985" t="s">
        <v>34</v>
      </c>
      <c r="D2985">
        <v>14.1445640031396</v>
      </c>
      <c r="E2985">
        <v>2</v>
      </c>
      <c r="F2985">
        <v>4895</v>
      </c>
      <c r="G2985">
        <v>1</v>
      </c>
      <c r="H2985">
        <v>3</v>
      </c>
      <c r="I2985">
        <v>1955</v>
      </c>
      <c r="J2985">
        <v>0</v>
      </c>
      <c r="K2985">
        <v>0</v>
      </c>
      <c r="L2985">
        <v>0</v>
      </c>
      <c r="M2985">
        <v>14</v>
      </c>
      <c r="N2985" t="s">
        <v>26</v>
      </c>
      <c r="O2985" t="s">
        <v>27</v>
      </c>
      <c r="P2985">
        <v>14.3333038107271</v>
      </c>
      <c r="Q2985">
        <v>2.0323772146915098</v>
      </c>
      <c r="R2985">
        <v>1.03233400825296</v>
      </c>
      <c r="S2985">
        <v>39</v>
      </c>
      <c r="T2985">
        <v>29</v>
      </c>
      <c r="U2985">
        <v>969.12494130496998</v>
      </c>
      <c r="V2985">
        <v>2.8600612870275698E-3</v>
      </c>
      <c r="W2985">
        <v>4829676.0982058998</v>
      </c>
      <c r="X2985" t="s">
        <v>36</v>
      </c>
      <c r="Y2985">
        <f>1-937-896-1912</f>
        <v>-3744</v>
      </c>
    </row>
    <row r="2986" spans="1:25" x14ac:dyDescent="0.35">
      <c r="A2986">
        <v>33.033746108727399</v>
      </c>
      <c r="B2986">
        <v>-122.906006384752</v>
      </c>
      <c r="C2986" t="s">
        <v>34</v>
      </c>
      <c r="D2986">
        <v>1.19570228256878</v>
      </c>
      <c r="E2986">
        <v>8</v>
      </c>
      <c r="F2986">
        <v>1717</v>
      </c>
      <c r="G2986">
        <v>3</v>
      </c>
      <c r="H2986">
        <v>2</v>
      </c>
      <c r="I2986">
        <v>1956</v>
      </c>
      <c r="J2986">
        <v>0</v>
      </c>
      <c r="K2986">
        <v>1</v>
      </c>
      <c r="L2986">
        <v>1</v>
      </c>
      <c r="M2986">
        <v>2</v>
      </c>
      <c r="N2986" t="s">
        <v>35</v>
      </c>
      <c r="O2986" t="s">
        <v>30</v>
      </c>
      <c r="P2986">
        <v>14.787143796976901</v>
      </c>
      <c r="Q2986">
        <v>0.74912477132593103</v>
      </c>
      <c r="R2986">
        <v>4.2133117156859097</v>
      </c>
      <c r="S2986">
        <v>53</v>
      </c>
      <c r="T2986">
        <v>63</v>
      </c>
      <c r="U2986">
        <v>871.90060818445897</v>
      </c>
      <c r="V2986">
        <v>1.1648223645893999E-3</v>
      </c>
      <c r="W2986">
        <v>1833694.0827736901</v>
      </c>
      <c r="X2986" t="s">
        <v>38</v>
      </c>
      <c r="Y2986">
        <f>1-515-207-5557</f>
        <v>-6278</v>
      </c>
    </row>
    <row r="2987" spans="1:25" x14ac:dyDescent="0.35">
      <c r="A2987">
        <v>41.254429125193099</v>
      </c>
      <c r="B2987">
        <v>-122.30268175021</v>
      </c>
      <c r="C2987" t="s">
        <v>25</v>
      </c>
      <c r="D2987">
        <v>4.9465032038788097</v>
      </c>
      <c r="E2987">
        <v>6</v>
      </c>
      <c r="F2987">
        <v>4916</v>
      </c>
      <c r="G2987">
        <v>2</v>
      </c>
      <c r="H2987">
        <v>1</v>
      </c>
      <c r="I2987">
        <v>1971</v>
      </c>
      <c r="J2987">
        <v>1</v>
      </c>
      <c r="K2987">
        <v>0</v>
      </c>
      <c r="L2987">
        <v>1</v>
      </c>
      <c r="M2987">
        <v>8</v>
      </c>
      <c r="N2987" t="s">
        <v>35</v>
      </c>
      <c r="O2987" t="s">
        <v>32</v>
      </c>
      <c r="P2987">
        <v>10.864251189663101</v>
      </c>
      <c r="Q2987">
        <v>2.0099549019891101</v>
      </c>
      <c r="R2987">
        <v>6.8478875426231696</v>
      </c>
      <c r="S2987">
        <v>36</v>
      </c>
      <c r="T2987">
        <v>58</v>
      </c>
      <c r="U2987">
        <v>480.43636535082902</v>
      </c>
      <c r="V2987">
        <v>1.6273393002441E-3</v>
      </c>
      <c r="W2987">
        <v>2538493.3933831998</v>
      </c>
      <c r="X2987" t="s">
        <v>42</v>
      </c>
      <c r="Y2987">
        <f>1-638-718-8686</f>
        <v>-10041</v>
      </c>
    </row>
    <row r="2988" spans="1:25" x14ac:dyDescent="0.35">
      <c r="A2988">
        <v>40.081766182687502</v>
      </c>
      <c r="B2988">
        <v>-124.41028414102399</v>
      </c>
      <c r="C2988" t="s">
        <v>25</v>
      </c>
      <c r="D2988">
        <v>29.293906903814701</v>
      </c>
      <c r="E2988">
        <v>9</v>
      </c>
      <c r="F2988">
        <v>4359</v>
      </c>
      <c r="G2988">
        <v>3</v>
      </c>
      <c r="H2988">
        <v>1</v>
      </c>
      <c r="I2988">
        <v>1972</v>
      </c>
      <c r="J2988">
        <v>0</v>
      </c>
      <c r="K2988">
        <v>1</v>
      </c>
      <c r="L2988">
        <v>0</v>
      </c>
      <c r="M2988">
        <v>13</v>
      </c>
      <c r="N2988" t="s">
        <v>26</v>
      </c>
      <c r="O2988" t="s">
        <v>27</v>
      </c>
      <c r="P2988">
        <v>13.620329189292899</v>
      </c>
      <c r="Q2988">
        <v>1.04432780529116</v>
      </c>
      <c r="R2988">
        <v>6.4526409794133599</v>
      </c>
      <c r="S2988">
        <v>42</v>
      </c>
      <c r="T2988">
        <v>53</v>
      </c>
      <c r="U2988">
        <v>732.54926811302903</v>
      </c>
      <c r="V2988">
        <v>2.9823353980270701E-3</v>
      </c>
      <c r="W2988">
        <v>3452373.0549289701</v>
      </c>
      <c r="X2988" t="s">
        <v>28</v>
      </c>
      <c r="Y2988">
        <f>1-230-445-8506</f>
        <v>-9180</v>
      </c>
    </row>
    <row r="2989" spans="1:25" x14ac:dyDescent="0.35">
      <c r="A2989">
        <v>40.505673447041097</v>
      </c>
      <c r="B2989">
        <v>-119.55372619820901</v>
      </c>
      <c r="C2989" t="s">
        <v>34</v>
      </c>
      <c r="D2989">
        <v>1.5741125052674201</v>
      </c>
      <c r="E2989">
        <v>3</v>
      </c>
      <c r="F2989">
        <v>560</v>
      </c>
      <c r="G2989">
        <v>4</v>
      </c>
      <c r="H2989">
        <v>3</v>
      </c>
      <c r="I2989">
        <v>1992</v>
      </c>
      <c r="J2989">
        <v>0</v>
      </c>
      <c r="K2989">
        <v>0</v>
      </c>
      <c r="L2989">
        <v>0</v>
      </c>
      <c r="M2989">
        <v>9</v>
      </c>
      <c r="N2989" t="s">
        <v>41</v>
      </c>
      <c r="O2989" t="s">
        <v>30</v>
      </c>
      <c r="P2989">
        <v>9.7891183358674301</v>
      </c>
      <c r="Q2989">
        <v>1.1744382399200699</v>
      </c>
      <c r="R2989">
        <v>4.0844811481502701</v>
      </c>
      <c r="S2989">
        <v>30</v>
      </c>
      <c r="T2989">
        <v>42</v>
      </c>
      <c r="U2989">
        <v>774.40094696265601</v>
      </c>
      <c r="V2989">
        <v>1.60714285714285E-2</v>
      </c>
      <c r="W2989">
        <v>775524.02444938896</v>
      </c>
      <c r="X2989" t="s">
        <v>40</v>
      </c>
      <c r="Y2989">
        <f>1-344-112-9755</f>
        <v>-10210</v>
      </c>
    </row>
    <row r="2990" spans="1:25" x14ac:dyDescent="0.35">
      <c r="A2990">
        <v>41.108143449392898</v>
      </c>
      <c r="B2990">
        <v>-123.67422702035201</v>
      </c>
      <c r="C2990" t="s">
        <v>34</v>
      </c>
      <c r="D2990">
        <v>46.908434033459997</v>
      </c>
      <c r="E2990">
        <v>1</v>
      </c>
      <c r="F2990">
        <v>586</v>
      </c>
      <c r="G2990">
        <v>4</v>
      </c>
      <c r="H2990">
        <v>1</v>
      </c>
      <c r="I2990">
        <v>1990</v>
      </c>
      <c r="J2990">
        <v>0</v>
      </c>
      <c r="K2990">
        <v>0</v>
      </c>
      <c r="L2990">
        <v>1</v>
      </c>
      <c r="M2990">
        <v>12</v>
      </c>
      <c r="N2990" t="s">
        <v>37</v>
      </c>
      <c r="O2990" t="s">
        <v>32</v>
      </c>
      <c r="P2990">
        <v>3.19032103313649</v>
      </c>
      <c r="Q2990">
        <v>2.38740697797662</v>
      </c>
      <c r="R2990">
        <v>3.5419102282224699</v>
      </c>
      <c r="S2990">
        <v>137</v>
      </c>
      <c r="T2990">
        <v>26</v>
      </c>
      <c r="U2990">
        <v>534.81548530715804</v>
      </c>
      <c r="V2990">
        <v>2.0477815699658699E-2</v>
      </c>
      <c r="W2990">
        <v>351962.44385192898</v>
      </c>
      <c r="X2990" t="s">
        <v>39</v>
      </c>
      <c r="Y2990">
        <f>1-333-664-8827</f>
        <v>-9823</v>
      </c>
    </row>
    <row r="2991" spans="1:25" x14ac:dyDescent="0.35">
      <c r="A2991">
        <v>39.089756099050298</v>
      </c>
      <c r="B2991">
        <v>-116.059778915794</v>
      </c>
      <c r="C2991" t="s">
        <v>34</v>
      </c>
      <c r="D2991">
        <v>17.8695675441293</v>
      </c>
      <c r="E2991">
        <v>7</v>
      </c>
      <c r="F2991">
        <v>3268</v>
      </c>
      <c r="G2991">
        <v>5</v>
      </c>
      <c r="H2991">
        <v>1</v>
      </c>
      <c r="I2991">
        <v>1996</v>
      </c>
      <c r="J2991">
        <v>0</v>
      </c>
      <c r="K2991">
        <v>0</v>
      </c>
      <c r="L2991">
        <v>0</v>
      </c>
      <c r="M2991">
        <v>9</v>
      </c>
      <c r="N2991" t="s">
        <v>26</v>
      </c>
      <c r="O2991" t="s">
        <v>27</v>
      </c>
      <c r="P2991">
        <v>3.4256946663051702</v>
      </c>
      <c r="Q2991">
        <v>2.3264211533246799</v>
      </c>
      <c r="R2991">
        <v>2.40854871609785</v>
      </c>
      <c r="S2991">
        <v>82</v>
      </c>
      <c r="T2991">
        <v>23</v>
      </c>
      <c r="U2991">
        <v>410.61535031269699</v>
      </c>
      <c r="V2991">
        <v>2.75397796817625E-3</v>
      </c>
      <c r="W2991">
        <v>1527470.7653601901</v>
      </c>
      <c r="X2991" t="s">
        <v>28</v>
      </c>
      <c r="Y2991">
        <f>1-376-170-2486</f>
        <v>-3031</v>
      </c>
    </row>
    <row r="2992" spans="1:25" x14ac:dyDescent="0.35">
      <c r="A2992">
        <v>39.415964416810702</v>
      </c>
      <c r="B2992">
        <v>-120.011026684958</v>
      </c>
      <c r="C2992" t="s">
        <v>34</v>
      </c>
      <c r="D2992">
        <v>37.908074880105403</v>
      </c>
      <c r="E2992">
        <v>2</v>
      </c>
      <c r="F2992">
        <v>4138</v>
      </c>
      <c r="G2992">
        <v>3</v>
      </c>
      <c r="H2992">
        <v>3</v>
      </c>
      <c r="I2992">
        <v>2011</v>
      </c>
      <c r="J2992">
        <v>0</v>
      </c>
      <c r="K2992">
        <v>1</v>
      </c>
      <c r="L2992">
        <v>0</v>
      </c>
      <c r="M2992">
        <v>6</v>
      </c>
      <c r="N2992" t="s">
        <v>35</v>
      </c>
      <c r="O2992" t="s">
        <v>32</v>
      </c>
      <c r="P2992">
        <v>12.993572210602199</v>
      </c>
      <c r="Q2992">
        <v>2.02901784490391</v>
      </c>
      <c r="R2992">
        <v>0.87904694160787</v>
      </c>
      <c r="S2992">
        <v>94</v>
      </c>
      <c r="T2992">
        <v>62</v>
      </c>
      <c r="U2992">
        <v>568.71133369366805</v>
      </c>
      <c r="V2992">
        <v>1.4499758337361E-3</v>
      </c>
      <c r="W2992">
        <v>2771354.41793577</v>
      </c>
      <c r="X2992" t="s">
        <v>36</v>
      </c>
      <c r="Y2992">
        <f>1-268-426-7270</f>
        <v>-7963</v>
      </c>
    </row>
    <row r="2993" spans="1:25" x14ac:dyDescent="0.35">
      <c r="A2993">
        <v>35.161616606252501</v>
      </c>
      <c r="B2993">
        <v>-121.945859689306</v>
      </c>
      <c r="C2993" t="s">
        <v>34</v>
      </c>
      <c r="D2993">
        <v>26.619525472827501</v>
      </c>
      <c r="E2993">
        <v>3</v>
      </c>
      <c r="F2993">
        <v>3090</v>
      </c>
      <c r="G2993">
        <v>5</v>
      </c>
      <c r="H2993">
        <v>1</v>
      </c>
      <c r="I2993">
        <v>1994</v>
      </c>
      <c r="J2993">
        <v>0</v>
      </c>
      <c r="K2993">
        <v>0</v>
      </c>
      <c r="L2993">
        <v>1</v>
      </c>
      <c r="M2993">
        <v>11</v>
      </c>
      <c r="N2993" t="s">
        <v>35</v>
      </c>
      <c r="O2993" t="s">
        <v>32</v>
      </c>
      <c r="P2993">
        <v>12.154836930922899</v>
      </c>
      <c r="Q2993">
        <v>2.3334058645295599</v>
      </c>
      <c r="R2993">
        <v>8.0743533462054593</v>
      </c>
      <c r="S2993">
        <v>102</v>
      </c>
      <c r="T2993">
        <v>43</v>
      </c>
      <c r="U2993">
        <v>452.07188579481601</v>
      </c>
      <c r="V2993">
        <v>3.5598705501618099E-3</v>
      </c>
      <c r="W2993">
        <v>1707119.7817028</v>
      </c>
      <c r="X2993" t="s">
        <v>38</v>
      </c>
      <c r="Y2993">
        <f>1-247-950-3094</f>
        <v>-4290</v>
      </c>
    </row>
    <row r="2994" spans="1:25" x14ac:dyDescent="0.35">
      <c r="A2994">
        <v>33.713593646239502</v>
      </c>
      <c r="B2994">
        <v>-114.632061106272</v>
      </c>
      <c r="C2994" t="s">
        <v>34</v>
      </c>
      <c r="D2994">
        <v>24.6251835351806</v>
      </c>
      <c r="E2994">
        <v>3</v>
      </c>
      <c r="F2994">
        <v>1934</v>
      </c>
      <c r="G2994">
        <v>5</v>
      </c>
      <c r="H2994">
        <v>3</v>
      </c>
      <c r="I2994">
        <v>1954</v>
      </c>
      <c r="J2994">
        <v>1</v>
      </c>
      <c r="K2994">
        <v>1</v>
      </c>
      <c r="L2994">
        <v>0</v>
      </c>
      <c r="M2994">
        <v>8</v>
      </c>
      <c r="N2994" t="s">
        <v>41</v>
      </c>
      <c r="O2994" t="s">
        <v>27</v>
      </c>
      <c r="P2994">
        <v>4.47136756852177</v>
      </c>
      <c r="Q2994">
        <v>1.44158883951678</v>
      </c>
      <c r="R2994">
        <v>6.4814850443133301</v>
      </c>
      <c r="S2994">
        <v>147</v>
      </c>
      <c r="T2994">
        <v>59</v>
      </c>
      <c r="U2994">
        <v>336.786457989295</v>
      </c>
      <c r="V2994">
        <v>4.1365046535677304E-3</v>
      </c>
      <c r="W2994">
        <v>1058849.32018612</v>
      </c>
      <c r="X2994" t="s">
        <v>42</v>
      </c>
      <c r="Y2994">
        <f>1-430-840-3788</f>
        <v>-5057</v>
      </c>
    </row>
    <row r="2995" spans="1:25" x14ac:dyDescent="0.35">
      <c r="A2995">
        <v>34.254289437584603</v>
      </c>
      <c r="B2995">
        <v>-122.274612479974</v>
      </c>
      <c r="C2995" t="s">
        <v>25</v>
      </c>
      <c r="D2995">
        <v>40.965079514348098</v>
      </c>
      <c r="E2995">
        <v>9</v>
      </c>
      <c r="F2995">
        <v>4075</v>
      </c>
      <c r="G2995">
        <v>1</v>
      </c>
      <c r="H2995">
        <v>3</v>
      </c>
      <c r="I2995">
        <v>1967</v>
      </c>
      <c r="J2995">
        <v>0</v>
      </c>
      <c r="K2995">
        <v>0</v>
      </c>
      <c r="L2995">
        <v>0</v>
      </c>
      <c r="M2995">
        <v>3</v>
      </c>
      <c r="N2995" t="s">
        <v>35</v>
      </c>
      <c r="O2995" t="s">
        <v>27</v>
      </c>
      <c r="P2995">
        <v>13.520712279107499</v>
      </c>
      <c r="Q2995">
        <v>1.89073187080623</v>
      </c>
      <c r="R2995">
        <v>3.3667097411892701</v>
      </c>
      <c r="S2995">
        <v>55</v>
      </c>
      <c r="T2995">
        <v>63</v>
      </c>
      <c r="U2995">
        <v>268.99707708866902</v>
      </c>
      <c r="V2995">
        <v>7.3619631901840495E-4</v>
      </c>
      <c r="W2995">
        <v>1259691.98166732</v>
      </c>
      <c r="X2995" t="s">
        <v>28</v>
      </c>
      <c r="Y2995">
        <f>1-665-344-4767</f>
        <v>-5775</v>
      </c>
    </row>
    <row r="2996" spans="1:25" x14ac:dyDescent="0.35">
      <c r="A2996">
        <v>41.233549528730599</v>
      </c>
      <c r="B2996">
        <v>-122.056833693066</v>
      </c>
      <c r="C2996" t="s">
        <v>25</v>
      </c>
      <c r="D2996">
        <v>15.058508596320801</v>
      </c>
      <c r="E2996">
        <v>0</v>
      </c>
      <c r="F2996">
        <v>4921</v>
      </c>
      <c r="G2996">
        <v>1</v>
      </c>
      <c r="H2996">
        <v>3</v>
      </c>
      <c r="I2996">
        <v>1979</v>
      </c>
      <c r="J2996">
        <v>1</v>
      </c>
      <c r="K2996">
        <v>0</v>
      </c>
      <c r="L2996">
        <v>0</v>
      </c>
      <c r="M2996">
        <v>8</v>
      </c>
      <c r="N2996" t="s">
        <v>37</v>
      </c>
      <c r="O2996" t="s">
        <v>27</v>
      </c>
      <c r="P2996">
        <v>9.4717562781005995</v>
      </c>
      <c r="Q2996">
        <v>0.65709163500760903</v>
      </c>
      <c r="R2996">
        <v>4.8744062700169302</v>
      </c>
      <c r="S2996">
        <v>177</v>
      </c>
      <c r="T2996">
        <v>41</v>
      </c>
      <c r="U2996">
        <v>574.47829995570203</v>
      </c>
      <c r="V2996">
        <v>1.6256858362121501E-3</v>
      </c>
      <c r="W2996">
        <v>3037601.2293296801</v>
      </c>
      <c r="X2996" t="s">
        <v>40</v>
      </c>
      <c r="Y2996">
        <f>1-482-191-4005</f>
        <v>-4677</v>
      </c>
    </row>
    <row r="2997" spans="1:25" x14ac:dyDescent="0.35">
      <c r="A2997">
        <v>35.265313242563302</v>
      </c>
      <c r="B2997">
        <v>-120.242663628176</v>
      </c>
      <c r="C2997" t="s">
        <v>34</v>
      </c>
      <c r="D2997">
        <v>39.252036713434798</v>
      </c>
      <c r="E2997">
        <v>5</v>
      </c>
      <c r="F2997">
        <v>3637</v>
      </c>
      <c r="G2997">
        <v>4</v>
      </c>
      <c r="H2997">
        <v>3</v>
      </c>
      <c r="I2997">
        <v>1962</v>
      </c>
      <c r="J2997">
        <v>1</v>
      </c>
      <c r="K2997">
        <v>1</v>
      </c>
      <c r="L2997">
        <v>0</v>
      </c>
      <c r="M2997">
        <v>10</v>
      </c>
      <c r="N2997" t="s">
        <v>26</v>
      </c>
      <c r="O2997" t="s">
        <v>30</v>
      </c>
      <c r="P2997">
        <v>5.1203915426237403</v>
      </c>
      <c r="Q2997">
        <v>1.7676347255409699</v>
      </c>
      <c r="R2997">
        <v>0.63400363621818601</v>
      </c>
      <c r="S2997">
        <v>13</v>
      </c>
      <c r="T2997">
        <v>25</v>
      </c>
      <c r="U2997">
        <v>419.39343921524897</v>
      </c>
      <c r="V2997">
        <v>2.74951883420401E-3</v>
      </c>
      <c r="W2997">
        <v>1862738.13198588</v>
      </c>
      <c r="X2997" t="s">
        <v>28</v>
      </c>
      <c r="Y2997">
        <f>1-548-158-2251</f>
        <v>-2956</v>
      </c>
    </row>
    <row r="2998" spans="1:25" x14ac:dyDescent="0.35">
      <c r="A2998">
        <v>35.451061555935503</v>
      </c>
      <c r="B2998">
        <v>-117.124985214239</v>
      </c>
      <c r="C2998" t="s">
        <v>29</v>
      </c>
      <c r="D2998">
        <v>25.0089571669313</v>
      </c>
      <c r="E2998">
        <v>7</v>
      </c>
      <c r="F2998">
        <v>1849</v>
      </c>
      <c r="G2998">
        <v>2</v>
      </c>
      <c r="H2998">
        <v>3</v>
      </c>
      <c r="I2998">
        <v>1984</v>
      </c>
      <c r="J2998">
        <v>0</v>
      </c>
      <c r="K2998">
        <v>0</v>
      </c>
      <c r="L2998">
        <v>0</v>
      </c>
      <c r="M2998">
        <v>3</v>
      </c>
      <c r="N2998" t="s">
        <v>26</v>
      </c>
      <c r="O2998" t="s">
        <v>27</v>
      </c>
      <c r="P2998">
        <v>2.8633413218421402</v>
      </c>
      <c r="Q2998">
        <v>1.3256046594998201</v>
      </c>
      <c r="R2998">
        <v>1.5292041179520901</v>
      </c>
      <c r="S2998">
        <v>100</v>
      </c>
      <c r="T2998">
        <v>33</v>
      </c>
      <c r="U2998">
        <v>215.50767312626101</v>
      </c>
      <c r="V2998">
        <v>1.6224986479177899E-3</v>
      </c>
      <c r="W2998">
        <v>565521.05664646998</v>
      </c>
      <c r="X2998" t="s">
        <v>36</v>
      </c>
      <c r="Y2998">
        <f>1-993-330-7677</f>
        <v>-8999</v>
      </c>
    </row>
    <row r="2999" spans="1:25" x14ac:dyDescent="0.35">
      <c r="A2999">
        <v>38.6843780089145</v>
      </c>
      <c r="B2999">
        <v>-117.600711252604</v>
      </c>
      <c r="C2999" t="s">
        <v>34</v>
      </c>
      <c r="D2999">
        <v>49.387608359650002</v>
      </c>
      <c r="E2999">
        <v>2</v>
      </c>
      <c r="F2999">
        <v>4974</v>
      </c>
      <c r="G2999">
        <v>2</v>
      </c>
      <c r="H2999">
        <v>1</v>
      </c>
      <c r="I2999">
        <v>1960</v>
      </c>
      <c r="J2999">
        <v>0</v>
      </c>
      <c r="K2999">
        <v>1</v>
      </c>
      <c r="L2999">
        <v>0</v>
      </c>
      <c r="M2999">
        <v>8</v>
      </c>
      <c r="N2999" t="s">
        <v>41</v>
      </c>
      <c r="O2999" t="s">
        <v>32</v>
      </c>
      <c r="P2999">
        <v>13.482395606308399</v>
      </c>
      <c r="Q2999">
        <v>1.8563778601565</v>
      </c>
      <c r="R2999">
        <v>7.1463299849034101</v>
      </c>
      <c r="S2999">
        <v>94</v>
      </c>
      <c r="T2999">
        <v>61</v>
      </c>
      <c r="U2999">
        <v>582.69261005518501</v>
      </c>
      <c r="V2999">
        <v>1.6083634901487699E-3</v>
      </c>
      <c r="W2999">
        <v>3034776.7503476199</v>
      </c>
      <c r="X2999" t="s">
        <v>44</v>
      </c>
      <c r="Y2999">
        <f>1-218-492-4054</f>
        <v>-4763</v>
      </c>
    </row>
    <row r="3000" spans="1:25" x14ac:dyDescent="0.35">
      <c r="A3000">
        <v>33.168125159076602</v>
      </c>
      <c r="B3000">
        <v>-114.498572592738</v>
      </c>
      <c r="C3000" t="s">
        <v>25</v>
      </c>
      <c r="D3000">
        <v>14.238759178011</v>
      </c>
      <c r="E3000">
        <v>5</v>
      </c>
      <c r="F3000">
        <v>4971</v>
      </c>
      <c r="G3000">
        <v>1</v>
      </c>
      <c r="H3000">
        <v>1</v>
      </c>
      <c r="I3000">
        <v>1969</v>
      </c>
      <c r="J3000">
        <v>1</v>
      </c>
      <c r="K3000">
        <v>1</v>
      </c>
      <c r="L3000">
        <v>1</v>
      </c>
      <c r="M3000">
        <v>3</v>
      </c>
      <c r="N3000" t="s">
        <v>35</v>
      </c>
      <c r="O3000" t="s">
        <v>32</v>
      </c>
      <c r="P3000">
        <v>6.3566047723172199</v>
      </c>
      <c r="Q3000">
        <v>2.1545050861640598</v>
      </c>
      <c r="R3000">
        <v>0.42170398395791198</v>
      </c>
      <c r="S3000">
        <v>181</v>
      </c>
      <c r="T3000">
        <v>61</v>
      </c>
      <c r="U3000">
        <v>938.02025775077902</v>
      </c>
      <c r="V3000">
        <v>6.0350030175015002E-4</v>
      </c>
      <c r="W3000">
        <v>4856042.0932154302</v>
      </c>
      <c r="X3000" t="s">
        <v>39</v>
      </c>
      <c r="Y3000">
        <f>1-987-623-6551</f>
        <v>-8160</v>
      </c>
    </row>
    <row r="3001" spans="1:25" x14ac:dyDescent="0.35">
      <c r="A3001">
        <v>35.701270813655697</v>
      </c>
      <c r="B3001">
        <v>-115.31271507154</v>
      </c>
      <c r="C3001" t="s">
        <v>29</v>
      </c>
      <c r="D3001">
        <v>22.963312169065599</v>
      </c>
      <c r="E3001">
        <v>2</v>
      </c>
      <c r="F3001">
        <v>717</v>
      </c>
      <c r="G3001">
        <v>4</v>
      </c>
      <c r="H3001">
        <v>2</v>
      </c>
      <c r="I3001">
        <v>2014</v>
      </c>
      <c r="J3001">
        <v>1</v>
      </c>
      <c r="K3001">
        <v>0</v>
      </c>
      <c r="L3001">
        <v>0</v>
      </c>
      <c r="M3001">
        <v>5</v>
      </c>
      <c r="N3001" t="s">
        <v>37</v>
      </c>
      <c r="O3001" t="s">
        <v>30</v>
      </c>
      <c r="P3001">
        <v>11.7256092069813</v>
      </c>
      <c r="Q3001">
        <v>1.94552569559025</v>
      </c>
      <c r="R3001">
        <v>4.0701637140625104</v>
      </c>
      <c r="S3001">
        <v>8</v>
      </c>
      <c r="T3001">
        <v>64</v>
      </c>
      <c r="U3001">
        <v>216.57257331202101</v>
      </c>
      <c r="V3001">
        <v>6.9735006973500697E-3</v>
      </c>
      <c r="W3001">
        <v>534023.94370921003</v>
      </c>
      <c r="X3001" t="s">
        <v>33</v>
      </c>
      <c r="Y3001">
        <f>1-492-168-7914</f>
        <v>-8573</v>
      </c>
    </row>
    <row r="3002" spans="1:25" x14ac:dyDescent="0.35">
      <c r="A3002">
        <v>33.908596364256802</v>
      </c>
      <c r="B3002">
        <v>-119.531172686999</v>
      </c>
      <c r="C3002" t="s">
        <v>29</v>
      </c>
      <c r="D3002">
        <v>10.5847182804161</v>
      </c>
      <c r="E3002">
        <v>4</v>
      </c>
      <c r="F3002">
        <v>1858</v>
      </c>
      <c r="G3002">
        <v>3</v>
      </c>
      <c r="H3002">
        <v>1</v>
      </c>
      <c r="I3002">
        <v>2000</v>
      </c>
      <c r="J3002">
        <v>0</v>
      </c>
      <c r="K3002">
        <v>0</v>
      </c>
      <c r="L3002">
        <v>1</v>
      </c>
      <c r="M3002">
        <v>2</v>
      </c>
      <c r="N3002" t="s">
        <v>37</v>
      </c>
      <c r="O3002" t="s">
        <v>27</v>
      </c>
      <c r="P3002">
        <v>6.4660042969912999</v>
      </c>
      <c r="Q3002">
        <v>1.88618965556165</v>
      </c>
      <c r="R3002">
        <v>8.2407573359468795</v>
      </c>
      <c r="S3002">
        <v>54</v>
      </c>
      <c r="T3002">
        <v>66</v>
      </c>
      <c r="U3002">
        <v>481.18833862733698</v>
      </c>
      <c r="V3002">
        <v>1.07642626480086E-3</v>
      </c>
      <c r="W3002">
        <v>1123079.37438959</v>
      </c>
      <c r="X3002" t="s">
        <v>36</v>
      </c>
      <c r="Y3002">
        <f>1-699-713-7327</f>
        <v>-8738</v>
      </c>
    </row>
    <row r="3003" spans="1:25" x14ac:dyDescent="0.35">
      <c r="A3003">
        <v>41.991668750547397</v>
      </c>
      <c r="B3003">
        <v>-115.847832935596</v>
      </c>
      <c r="C3003" t="s">
        <v>29</v>
      </c>
      <c r="D3003">
        <v>47.448168336241601</v>
      </c>
      <c r="E3003">
        <v>4</v>
      </c>
      <c r="F3003">
        <v>2777</v>
      </c>
      <c r="G3003">
        <v>3</v>
      </c>
      <c r="H3003">
        <v>2</v>
      </c>
      <c r="I3003">
        <v>1975</v>
      </c>
      <c r="J3003">
        <v>1</v>
      </c>
      <c r="K3003">
        <v>1</v>
      </c>
      <c r="L3003">
        <v>1</v>
      </c>
      <c r="M3003">
        <v>11</v>
      </c>
      <c r="N3003" t="s">
        <v>26</v>
      </c>
      <c r="O3003" t="s">
        <v>30</v>
      </c>
      <c r="P3003">
        <v>11.401499785114</v>
      </c>
      <c r="Q3003">
        <v>1.16156131677006</v>
      </c>
      <c r="R3003">
        <v>7.4108437012362298</v>
      </c>
      <c r="S3003">
        <v>2</v>
      </c>
      <c r="T3003">
        <v>71</v>
      </c>
      <c r="U3003">
        <v>776.03199664982799</v>
      </c>
      <c r="V3003">
        <v>3.9611091105509503E-3</v>
      </c>
      <c r="W3003">
        <v>2563369.5243092999</v>
      </c>
      <c r="X3003" t="s">
        <v>31</v>
      </c>
      <c r="Y3003">
        <f>1-803-446-7822</f>
        <v>-9070</v>
      </c>
    </row>
    <row r="3004" spans="1:25" x14ac:dyDescent="0.35">
      <c r="A3004">
        <v>34.357665384048197</v>
      </c>
      <c r="B3004">
        <v>-119.480419695084</v>
      </c>
      <c r="C3004" t="s">
        <v>25</v>
      </c>
      <c r="D3004">
        <v>23.924425718661901</v>
      </c>
      <c r="E3004">
        <v>2</v>
      </c>
      <c r="F3004">
        <v>1741</v>
      </c>
      <c r="G3004">
        <v>3</v>
      </c>
      <c r="H3004">
        <v>1</v>
      </c>
      <c r="I3004">
        <v>1978</v>
      </c>
      <c r="J3004">
        <v>1</v>
      </c>
      <c r="K3004">
        <v>0</v>
      </c>
      <c r="L3004">
        <v>0</v>
      </c>
      <c r="M3004">
        <v>8</v>
      </c>
      <c r="N3004" t="s">
        <v>35</v>
      </c>
      <c r="O3004" t="s">
        <v>32</v>
      </c>
      <c r="P3004">
        <v>9.4603559776581303</v>
      </c>
      <c r="Q3004">
        <v>2.3123547061404901</v>
      </c>
      <c r="R3004">
        <v>2.6100562700687902</v>
      </c>
      <c r="S3004">
        <v>111</v>
      </c>
      <c r="T3004">
        <v>33</v>
      </c>
      <c r="U3004">
        <v>830.18503973780798</v>
      </c>
      <c r="V3004">
        <v>4.5950603101665701E-3</v>
      </c>
      <c r="W3004">
        <v>1688793.56984139</v>
      </c>
      <c r="X3004" t="s">
        <v>44</v>
      </c>
      <c r="Y3004">
        <f>1-941-739-4233</f>
        <v>-5912</v>
      </c>
    </row>
    <row r="3005" spans="1:25" x14ac:dyDescent="0.35">
      <c r="A3005">
        <v>35.769629709176002</v>
      </c>
      <c r="B3005">
        <v>-121.553015750575</v>
      </c>
      <c r="C3005" t="s">
        <v>25</v>
      </c>
      <c r="D3005">
        <v>45.369455299729402</v>
      </c>
      <c r="E3005">
        <v>4</v>
      </c>
      <c r="F3005">
        <v>1875</v>
      </c>
      <c r="G3005">
        <v>4</v>
      </c>
      <c r="H3005">
        <v>1</v>
      </c>
      <c r="I3005">
        <v>2006</v>
      </c>
      <c r="J3005">
        <v>1</v>
      </c>
      <c r="K3005">
        <v>1</v>
      </c>
      <c r="L3005">
        <v>1</v>
      </c>
      <c r="M3005">
        <v>9</v>
      </c>
      <c r="N3005" t="s">
        <v>37</v>
      </c>
      <c r="O3005" t="s">
        <v>27</v>
      </c>
      <c r="P3005">
        <v>3.13419758494459</v>
      </c>
      <c r="Q3005">
        <v>2.3860903187851599</v>
      </c>
      <c r="R3005">
        <v>0.84880808452727097</v>
      </c>
      <c r="S3005">
        <v>46</v>
      </c>
      <c r="T3005">
        <v>26</v>
      </c>
      <c r="U3005">
        <v>935.29378398556696</v>
      </c>
      <c r="V3005">
        <v>4.7999999999999996E-3</v>
      </c>
      <c r="W3005">
        <v>2096255.3198984901</v>
      </c>
      <c r="X3005" t="s">
        <v>43</v>
      </c>
      <c r="Y3005">
        <f>1-979-749-4600</f>
        <v>-6327</v>
      </c>
    </row>
    <row r="3006" spans="1:25" x14ac:dyDescent="0.35">
      <c r="A3006">
        <v>40.129861966207201</v>
      </c>
      <c r="B3006">
        <v>-119.155123304013</v>
      </c>
      <c r="C3006" t="s">
        <v>25</v>
      </c>
      <c r="D3006">
        <v>9.7851512571194696</v>
      </c>
      <c r="E3006">
        <v>5</v>
      </c>
      <c r="F3006">
        <v>4392</v>
      </c>
      <c r="G3006">
        <v>3</v>
      </c>
      <c r="H3006">
        <v>2</v>
      </c>
      <c r="I3006">
        <v>1996</v>
      </c>
      <c r="J3006">
        <v>0</v>
      </c>
      <c r="K3006">
        <v>1</v>
      </c>
      <c r="L3006">
        <v>1</v>
      </c>
      <c r="M3006">
        <v>12</v>
      </c>
      <c r="N3006" t="s">
        <v>41</v>
      </c>
      <c r="O3006" t="s">
        <v>27</v>
      </c>
      <c r="P3006">
        <v>13.0141431216374</v>
      </c>
      <c r="Q3006">
        <v>0.64960283467720603</v>
      </c>
      <c r="R3006">
        <v>4.5322796402860002</v>
      </c>
      <c r="S3006">
        <v>154</v>
      </c>
      <c r="T3006">
        <v>40</v>
      </c>
      <c r="U3006">
        <v>998.15523789226904</v>
      </c>
      <c r="V3006">
        <v>2.7322404371584699E-3</v>
      </c>
      <c r="W3006">
        <v>4786289.7806687001</v>
      </c>
      <c r="X3006" t="s">
        <v>44</v>
      </c>
      <c r="Y3006">
        <f>1-753-912-3699</f>
        <v>-5363</v>
      </c>
    </row>
    <row r="3007" spans="1:25" x14ac:dyDescent="0.35">
      <c r="A3007">
        <v>35.499708171914598</v>
      </c>
      <c r="B3007">
        <v>-118.83568210671</v>
      </c>
      <c r="C3007" t="s">
        <v>34</v>
      </c>
      <c r="D3007">
        <v>41.671241062291202</v>
      </c>
      <c r="E3007">
        <v>0</v>
      </c>
      <c r="F3007">
        <v>4877</v>
      </c>
      <c r="G3007">
        <v>4</v>
      </c>
      <c r="H3007">
        <v>1</v>
      </c>
      <c r="I3007">
        <v>1979</v>
      </c>
      <c r="J3007">
        <v>1</v>
      </c>
      <c r="K3007">
        <v>1</v>
      </c>
      <c r="L3007">
        <v>0</v>
      </c>
      <c r="M3007">
        <v>13</v>
      </c>
      <c r="N3007" t="s">
        <v>26</v>
      </c>
      <c r="O3007" t="s">
        <v>32</v>
      </c>
      <c r="P3007">
        <v>3.9665971989540498</v>
      </c>
      <c r="Q3007">
        <v>0.523013155633553</v>
      </c>
      <c r="R3007">
        <v>2.11594216686948</v>
      </c>
      <c r="S3007">
        <v>50</v>
      </c>
      <c r="T3007">
        <v>28</v>
      </c>
      <c r="U3007">
        <v>707.70827150433001</v>
      </c>
      <c r="V3007">
        <v>2.6655730982161098E-3</v>
      </c>
      <c r="W3007">
        <v>3765386.8656659201</v>
      </c>
      <c r="X3007" t="s">
        <v>28</v>
      </c>
      <c r="Y3007">
        <f>1-740-122-1016</f>
        <v>-1877</v>
      </c>
    </row>
    <row r="3008" spans="1:25" x14ac:dyDescent="0.35">
      <c r="A3008">
        <v>34.478454895520599</v>
      </c>
      <c r="B3008">
        <v>-122.355409341599</v>
      </c>
      <c r="C3008" t="s">
        <v>34</v>
      </c>
      <c r="D3008">
        <v>23.921642571023799</v>
      </c>
      <c r="E3008">
        <v>5</v>
      </c>
      <c r="F3008">
        <v>4396</v>
      </c>
      <c r="G3008">
        <v>1</v>
      </c>
      <c r="H3008">
        <v>1</v>
      </c>
      <c r="I3008">
        <v>2002</v>
      </c>
      <c r="J3008">
        <v>0</v>
      </c>
      <c r="K3008">
        <v>0</v>
      </c>
      <c r="L3008">
        <v>1</v>
      </c>
      <c r="M3008">
        <v>8</v>
      </c>
      <c r="N3008" t="s">
        <v>37</v>
      </c>
      <c r="O3008" t="s">
        <v>27</v>
      </c>
      <c r="P3008">
        <v>14.793889037583</v>
      </c>
      <c r="Q3008">
        <v>1.3362023598775601</v>
      </c>
      <c r="R3008">
        <v>6.4596595750626804</v>
      </c>
      <c r="S3008">
        <v>195</v>
      </c>
      <c r="T3008">
        <v>61</v>
      </c>
      <c r="U3008">
        <v>561.49713881799096</v>
      </c>
      <c r="V3008">
        <v>1.8198362147406699E-3</v>
      </c>
      <c r="W3008">
        <v>2601667.9040922001</v>
      </c>
      <c r="X3008" t="s">
        <v>43</v>
      </c>
      <c r="Y3008">
        <f>1-386-190-3663</f>
        <v>-4238</v>
      </c>
    </row>
    <row r="3009" spans="1:25" x14ac:dyDescent="0.35">
      <c r="A3009">
        <v>37.388251714583603</v>
      </c>
      <c r="B3009">
        <v>-115.57334931186701</v>
      </c>
      <c r="C3009" t="s">
        <v>25</v>
      </c>
      <c r="D3009">
        <v>44.185999425664598</v>
      </c>
      <c r="E3009">
        <v>5</v>
      </c>
      <c r="F3009">
        <v>1707</v>
      </c>
      <c r="G3009">
        <v>1</v>
      </c>
      <c r="H3009">
        <v>3</v>
      </c>
      <c r="I3009">
        <v>2011</v>
      </c>
      <c r="J3009">
        <v>0</v>
      </c>
      <c r="K3009">
        <v>1</v>
      </c>
      <c r="L3009">
        <v>1</v>
      </c>
      <c r="M3009">
        <v>14</v>
      </c>
      <c r="N3009" t="s">
        <v>26</v>
      </c>
      <c r="O3009" t="s">
        <v>32</v>
      </c>
      <c r="P3009">
        <v>11.9405346404703</v>
      </c>
      <c r="Q3009">
        <v>0.70448957819957003</v>
      </c>
      <c r="R3009">
        <v>8.3338679277612897</v>
      </c>
      <c r="S3009">
        <v>129</v>
      </c>
      <c r="T3009">
        <v>57</v>
      </c>
      <c r="U3009">
        <v>352.89499717332001</v>
      </c>
      <c r="V3009">
        <v>8.2015231400117093E-3</v>
      </c>
      <c r="W3009">
        <v>952060.45487913897</v>
      </c>
      <c r="X3009" t="s">
        <v>44</v>
      </c>
      <c r="Y3009">
        <f>1-399-540-6806</f>
        <v>-7744</v>
      </c>
    </row>
    <row r="3010" spans="1:25" x14ac:dyDescent="0.35">
      <c r="A3010">
        <v>40.672100424898701</v>
      </c>
      <c r="B3010">
        <v>-114.159224474403</v>
      </c>
      <c r="C3010" t="s">
        <v>25</v>
      </c>
      <c r="D3010">
        <v>6.1004143977574596</v>
      </c>
      <c r="E3010">
        <v>5</v>
      </c>
      <c r="F3010">
        <v>2151</v>
      </c>
      <c r="G3010">
        <v>1</v>
      </c>
      <c r="H3010">
        <v>1</v>
      </c>
      <c r="I3010">
        <v>2007</v>
      </c>
      <c r="J3010">
        <v>1</v>
      </c>
      <c r="K3010">
        <v>0</v>
      </c>
      <c r="L3010">
        <v>1</v>
      </c>
      <c r="M3010">
        <v>13</v>
      </c>
      <c r="N3010" t="s">
        <v>37</v>
      </c>
      <c r="O3010" t="s">
        <v>30</v>
      </c>
      <c r="P3010">
        <v>13.848000599101701</v>
      </c>
      <c r="Q3010">
        <v>1.1820054978529999</v>
      </c>
      <c r="R3010">
        <v>1.7979906923064599</v>
      </c>
      <c r="S3010">
        <v>177</v>
      </c>
      <c r="T3010">
        <v>29</v>
      </c>
      <c r="U3010">
        <v>905.62580326828697</v>
      </c>
      <c r="V3010">
        <v>6.04370060437006E-3</v>
      </c>
      <c r="W3010">
        <v>2207938.4240473998</v>
      </c>
      <c r="X3010" t="s">
        <v>36</v>
      </c>
      <c r="Y3010">
        <f>1-556-921-4177</f>
        <v>-5653</v>
      </c>
    </row>
    <row r="3011" spans="1:25" x14ac:dyDescent="0.35">
      <c r="A3011">
        <v>39.328615978556499</v>
      </c>
      <c r="B3011">
        <v>-120.425249192094</v>
      </c>
      <c r="C3011" t="s">
        <v>34</v>
      </c>
      <c r="D3011">
        <v>27.0827292651432</v>
      </c>
      <c r="E3011">
        <v>4</v>
      </c>
      <c r="F3011">
        <v>3491</v>
      </c>
      <c r="G3011">
        <v>3</v>
      </c>
      <c r="H3011">
        <v>1</v>
      </c>
      <c r="I3011">
        <v>2015</v>
      </c>
      <c r="J3011">
        <v>1</v>
      </c>
      <c r="K3011">
        <v>0</v>
      </c>
      <c r="L3011">
        <v>0</v>
      </c>
      <c r="M3011">
        <v>6</v>
      </c>
      <c r="N3011" t="s">
        <v>37</v>
      </c>
      <c r="O3011" t="s">
        <v>27</v>
      </c>
      <c r="P3011">
        <v>13.327739629970701</v>
      </c>
      <c r="Q3011">
        <v>0.66972566395045596</v>
      </c>
      <c r="R3011">
        <v>9.4607349722863692</v>
      </c>
      <c r="S3011">
        <v>60</v>
      </c>
      <c r="T3011">
        <v>77</v>
      </c>
      <c r="U3011">
        <v>402.23486022889898</v>
      </c>
      <c r="V3011">
        <v>1.71870524205098E-3</v>
      </c>
      <c r="W3011">
        <v>1776837.02471833</v>
      </c>
      <c r="X3011" t="s">
        <v>43</v>
      </c>
      <c r="Y3011">
        <f>1-609-587-4261</f>
        <v>-5456</v>
      </c>
    </row>
    <row r="3012" spans="1:25" x14ac:dyDescent="0.35">
      <c r="A3012">
        <v>39.862719916888402</v>
      </c>
      <c r="B3012">
        <v>-124.042955385233</v>
      </c>
      <c r="C3012" t="s">
        <v>25</v>
      </c>
      <c r="D3012">
        <v>20.9484639654018</v>
      </c>
      <c r="E3012">
        <v>3</v>
      </c>
      <c r="F3012">
        <v>3048</v>
      </c>
      <c r="G3012">
        <v>4</v>
      </c>
      <c r="H3012">
        <v>3</v>
      </c>
      <c r="I3012">
        <v>1968</v>
      </c>
      <c r="J3012">
        <v>1</v>
      </c>
      <c r="K3012">
        <v>0</v>
      </c>
      <c r="L3012">
        <v>1</v>
      </c>
      <c r="M3012">
        <v>8</v>
      </c>
      <c r="N3012" t="s">
        <v>37</v>
      </c>
      <c r="O3012" t="s">
        <v>32</v>
      </c>
      <c r="P3012">
        <v>8.5767025399019801</v>
      </c>
      <c r="Q3012">
        <v>0.70462788366725204</v>
      </c>
      <c r="R3012">
        <v>1.3500381586976</v>
      </c>
      <c r="S3012">
        <v>68</v>
      </c>
      <c r="T3012">
        <v>51</v>
      </c>
      <c r="U3012">
        <v>205.66639413106401</v>
      </c>
      <c r="V3012">
        <v>2.62467191601049E-3</v>
      </c>
      <c r="W3012">
        <v>1104534.583503</v>
      </c>
      <c r="X3012" t="s">
        <v>42</v>
      </c>
      <c r="Y3012">
        <f>1-614-344-2321</f>
        <v>-3278</v>
      </c>
    </row>
    <row r="3013" spans="1:25" x14ac:dyDescent="0.35">
      <c r="A3013">
        <v>34.874356179233502</v>
      </c>
      <c r="B3013">
        <v>-119.578294643088</v>
      </c>
      <c r="C3013" t="s">
        <v>34</v>
      </c>
      <c r="D3013">
        <v>23.557422195473201</v>
      </c>
      <c r="E3013">
        <v>9</v>
      </c>
      <c r="F3013">
        <v>2997</v>
      </c>
      <c r="G3013">
        <v>1</v>
      </c>
      <c r="H3013">
        <v>3</v>
      </c>
      <c r="I3013">
        <v>1977</v>
      </c>
      <c r="J3013">
        <v>0</v>
      </c>
      <c r="K3013">
        <v>0</v>
      </c>
      <c r="L3013">
        <v>1</v>
      </c>
      <c r="M3013">
        <v>6</v>
      </c>
      <c r="N3013" t="s">
        <v>26</v>
      </c>
      <c r="O3013" t="s">
        <v>30</v>
      </c>
      <c r="P3013">
        <v>7.5501830497655398</v>
      </c>
      <c r="Q3013">
        <v>1.05352033527584</v>
      </c>
      <c r="R3013">
        <v>6.9630646965036904</v>
      </c>
      <c r="S3013">
        <v>2</v>
      </c>
      <c r="T3013">
        <v>68</v>
      </c>
      <c r="U3013">
        <v>230.50213598901399</v>
      </c>
      <c r="V3013">
        <v>2.0020020020019998E-3</v>
      </c>
      <c r="W3013">
        <v>734488.65671174205</v>
      </c>
      <c r="X3013" t="s">
        <v>40</v>
      </c>
      <c r="Y3013">
        <f>1-479-681-7696</f>
        <v>-8855</v>
      </c>
    </row>
    <row r="3014" spans="1:25" x14ac:dyDescent="0.35">
      <c r="A3014">
        <v>39.719738423767403</v>
      </c>
      <c r="B3014">
        <v>-122.166747847076</v>
      </c>
      <c r="C3014" t="s">
        <v>25</v>
      </c>
      <c r="D3014">
        <v>2.1769417831813298</v>
      </c>
      <c r="E3014">
        <v>8</v>
      </c>
      <c r="F3014">
        <v>3503</v>
      </c>
      <c r="G3014">
        <v>2</v>
      </c>
      <c r="H3014">
        <v>2</v>
      </c>
      <c r="I3014">
        <v>1977</v>
      </c>
      <c r="J3014">
        <v>1</v>
      </c>
      <c r="K3014">
        <v>0</v>
      </c>
      <c r="L3014">
        <v>0</v>
      </c>
      <c r="M3014">
        <v>10</v>
      </c>
      <c r="N3014" t="s">
        <v>37</v>
      </c>
      <c r="O3014" t="s">
        <v>30</v>
      </c>
      <c r="P3014">
        <v>5.6656153532165803</v>
      </c>
      <c r="Q3014">
        <v>2.0819098928120101</v>
      </c>
      <c r="R3014">
        <v>8.0527298386569992</v>
      </c>
      <c r="S3014">
        <v>190</v>
      </c>
      <c r="T3014">
        <v>57</v>
      </c>
      <c r="U3014">
        <v>705.70553563114902</v>
      </c>
      <c r="V3014">
        <v>2.85469597487867E-3</v>
      </c>
      <c r="W3014">
        <v>2571191.8893314302</v>
      </c>
      <c r="X3014" t="s">
        <v>40</v>
      </c>
      <c r="Y3014">
        <f>1-424-548-9269</f>
        <v>-10240</v>
      </c>
    </row>
    <row r="3015" spans="1:25" x14ac:dyDescent="0.35">
      <c r="A3015">
        <v>35.060024918143498</v>
      </c>
      <c r="B3015">
        <v>-115.351754174162</v>
      </c>
      <c r="C3015" t="s">
        <v>25</v>
      </c>
      <c r="D3015">
        <v>35.029100640240699</v>
      </c>
      <c r="E3015">
        <v>7</v>
      </c>
      <c r="F3015">
        <v>2485</v>
      </c>
      <c r="G3015">
        <v>5</v>
      </c>
      <c r="H3015">
        <v>3</v>
      </c>
      <c r="I3015">
        <v>2018</v>
      </c>
      <c r="J3015">
        <v>1</v>
      </c>
      <c r="K3015">
        <v>0</v>
      </c>
      <c r="L3015">
        <v>0</v>
      </c>
      <c r="M3015">
        <v>11</v>
      </c>
      <c r="N3015" t="s">
        <v>35</v>
      </c>
      <c r="O3015" t="s">
        <v>32</v>
      </c>
      <c r="P3015">
        <v>12.5031269694</v>
      </c>
      <c r="Q3015">
        <v>2.2162419462415301</v>
      </c>
      <c r="R3015">
        <v>5.1851241962221302</v>
      </c>
      <c r="S3015">
        <v>67</v>
      </c>
      <c r="T3015">
        <v>21</v>
      </c>
      <c r="U3015">
        <v>782.26461046479096</v>
      </c>
      <c r="V3015">
        <v>4.4265593561368197E-3</v>
      </c>
      <c r="W3015">
        <v>2457558.2726982799</v>
      </c>
      <c r="X3015" t="s">
        <v>40</v>
      </c>
      <c r="Y3015">
        <f>1-865-315-5792</f>
        <v>-6971</v>
      </c>
    </row>
    <row r="3016" spans="1:25" x14ac:dyDescent="0.35">
      <c r="A3016">
        <v>35.240907148868502</v>
      </c>
      <c r="B3016">
        <v>-123.27129332933001</v>
      </c>
      <c r="C3016" t="s">
        <v>29</v>
      </c>
      <c r="D3016">
        <v>34.338649701507897</v>
      </c>
      <c r="E3016">
        <v>8</v>
      </c>
      <c r="F3016">
        <v>3033</v>
      </c>
      <c r="G3016">
        <v>3</v>
      </c>
      <c r="H3016">
        <v>2</v>
      </c>
      <c r="I3016">
        <v>1984</v>
      </c>
      <c r="J3016">
        <v>1</v>
      </c>
      <c r="K3016">
        <v>0</v>
      </c>
      <c r="L3016">
        <v>1</v>
      </c>
      <c r="M3016">
        <v>2</v>
      </c>
      <c r="N3016" t="s">
        <v>37</v>
      </c>
      <c r="O3016" t="s">
        <v>30</v>
      </c>
      <c r="P3016">
        <v>11.464381512525501</v>
      </c>
      <c r="Q3016">
        <v>1.52577173328122</v>
      </c>
      <c r="R3016">
        <v>4.7288384132601804</v>
      </c>
      <c r="S3016">
        <v>74</v>
      </c>
      <c r="T3016">
        <v>44</v>
      </c>
      <c r="U3016">
        <v>822.57520430110696</v>
      </c>
      <c r="V3016">
        <v>6.5941312232113399E-4</v>
      </c>
      <c r="W3016">
        <v>2782934.65402513</v>
      </c>
      <c r="X3016" t="s">
        <v>33</v>
      </c>
      <c r="Y3016">
        <f>1-713-418-1597</f>
        <v>-2727</v>
      </c>
    </row>
    <row r="3017" spans="1:25" x14ac:dyDescent="0.35">
      <c r="A3017">
        <v>38.4164845234464</v>
      </c>
      <c r="B3017">
        <v>-115.392675686136</v>
      </c>
      <c r="C3017" t="s">
        <v>29</v>
      </c>
      <c r="D3017">
        <v>43.469737899407001</v>
      </c>
      <c r="E3017">
        <v>9</v>
      </c>
      <c r="F3017">
        <v>572</v>
      </c>
      <c r="G3017">
        <v>5</v>
      </c>
      <c r="H3017">
        <v>3</v>
      </c>
      <c r="I3017">
        <v>1955</v>
      </c>
      <c r="J3017">
        <v>0</v>
      </c>
      <c r="K3017">
        <v>0</v>
      </c>
      <c r="L3017">
        <v>1</v>
      </c>
      <c r="M3017">
        <v>14</v>
      </c>
      <c r="N3017" t="s">
        <v>35</v>
      </c>
      <c r="O3017" t="s">
        <v>32</v>
      </c>
      <c r="P3017">
        <v>12.0768699690046</v>
      </c>
      <c r="Q3017">
        <v>2.0881357533657101</v>
      </c>
      <c r="R3017">
        <v>6.5256508465938197</v>
      </c>
      <c r="S3017">
        <v>150</v>
      </c>
      <c r="T3017">
        <v>70</v>
      </c>
      <c r="U3017">
        <v>640.19005138105001</v>
      </c>
      <c r="V3017">
        <v>2.44755244755244E-2</v>
      </c>
      <c r="W3017">
        <v>797587.72609865502</v>
      </c>
      <c r="X3017" t="s">
        <v>38</v>
      </c>
      <c r="Y3017">
        <f>1-939-523-3240</f>
        <v>-4701</v>
      </c>
    </row>
    <row r="3018" spans="1:25" x14ac:dyDescent="0.35">
      <c r="A3018">
        <v>37.8271004047837</v>
      </c>
      <c r="B3018">
        <v>-122.241952134935</v>
      </c>
      <c r="C3018" t="s">
        <v>25</v>
      </c>
      <c r="D3018">
        <v>41.072136100357703</v>
      </c>
      <c r="E3018">
        <v>3</v>
      </c>
      <c r="F3018">
        <v>2406</v>
      </c>
      <c r="G3018">
        <v>4</v>
      </c>
      <c r="H3018">
        <v>2</v>
      </c>
      <c r="I3018">
        <v>1970</v>
      </c>
      <c r="J3018">
        <v>1</v>
      </c>
      <c r="K3018">
        <v>1</v>
      </c>
      <c r="L3018">
        <v>0</v>
      </c>
      <c r="M3018">
        <v>3</v>
      </c>
      <c r="N3018" t="s">
        <v>26</v>
      </c>
      <c r="O3018" t="s">
        <v>32</v>
      </c>
      <c r="P3018">
        <v>7.5974326657431002</v>
      </c>
      <c r="Q3018">
        <v>1.4406899989950099</v>
      </c>
      <c r="R3018">
        <v>4.16503938873187</v>
      </c>
      <c r="S3018">
        <v>28</v>
      </c>
      <c r="T3018">
        <v>59</v>
      </c>
      <c r="U3018">
        <v>827.73829678846903</v>
      </c>
      <c r="V3018">
        <v>1.24688279301745E-3</v>
      </c>
      <c r="W3018">
        <v>2400522.7768462398</v>
      </c>
      <c r="X3018" t="s">
        <v>28</v>
      </c>
      <c r="Y3018">
        <f>1-831-636-9691</f>
        <v>-11157</v>
      </c>
    </row>
    <row r="3019" spans="1:25" x14ac:dyDescent="0.35">
      <c r="A3019">
        <v>34.374128600240702</v>
      </c>
      <c r="B3019">
        <v>-116.98590049383699</v>
      </c>
      <c r="C3019" t="s">
        <v>29</v>
      </c>
      <c r="D3019">
        <v>32.106925533487697</v>
      </c>
      <c r="E3019">
        <v>8</v>
      </c>
      <c r="F3019">
        <v>2687</v>
      </c>
      <c r="G3019">
        <v>4</v>
      </c>
      <c r="H3019">
        <v>1</v>
      </c>
      <c r="I3019">
        <v>1955</v>
      </c>
      <c r="J3019">
        <v>0</v>
      </c>
      <c r="K3019">
        <v>1</v>
      </c>
      <c r="L3019">
        <v>0</v>
      </c>
      <c r="M3019">
        <v>13</v>
      </c>
      <c r="N3019" t="s">
        <v>26</v>
      </c>
      <c r="O3019" t="s">
        <v>32</v>
      </c>
      <c r="P3019">
        <v>8.2275091683617596</v>
      </c>
      <c r="Q3019">
        <v>1.2740121110682101</v>
      </c>
      <c r="R3019">
        <v>2.8696923940661301</v>
      </c>
      <c r="S3019">
        <v>198</v>
      </c>
      <c r="T3019">
        <v>33</v>
      </c>
      <c r="U3019">
        <v>450.15867251749302</v>
      </c>
      <c r="V3019">
        <v>4.8381094157052404E-3</v>
      </c>
      <c r="W3019">
        <v>1493428.2611483801</v>
      </c>
      <c r="X3019" t="s">
        <v>38</v>
      </c>
      <c r="Y3019">
        <f>1-212-366-7039</f>
        <v>-7616</v>
      </c>
    </row>
    <row r="3020" spans="1:25" x14ac:dyDescent="0.35">
      <c r="A3020">
        <v>38.013099904199599</v>
      </c>
      <c r="B3020">
        <v>-114.66662365054199</v>
      </c>
      <c r="C3020" t="s">
        <v>29</v>
      </c>
      <c r="D3020">
        <v>30.6682901623888</v>
      </c>
      <c r="E3020">
        <v>6</v>
      </c>
      <c r="F3020">
        <v>2955</v>
      </c>
      <c r="G3020">
        <v>4</v>
      </c>
      <c r="H3020">
        <v>2</v>
      </c>
      <c r="I3020">
        <v>1956</v>
      </c>
      <c r="J3020">
        <v>1</v>
      </c>
      <c r="K3020">
        <v>1</v>
      </c>
      <c r="L3020">
        <v>1</v>
      </c>
      <c r="M3020">
        <v>5</v>
      </c>
      <c r="N3020" t="s">
        <v>37</v>
      </c>
      <c r="O3020" t="s">
        <v>32</v>
      </c>
      <c r="P3020">
        <v>2.2300023799545099</v>
      </c>
      <c r="Q3020">
        <v>0.54428211343745003</v>
      </c>
      <c r="R3020">
        <v>4.5266520997082598</v>
      </c>
      <c r="S3020">
        <v>199</v>
      </c>
      <c r="T3020">
        <v>64</v>
      </c>
      <c r="U3020">
        <v>883.09408204932299</v>
      </c>
      <c r="V3020">
        <v>1.6920473773265601E-3</v>
      </c>
      <c r="W3020">
        <v>2896431.7392708398</v>
      </c>
      <c r="X3020" t="s">
        <v>42</v>
      </c>
      <c r="Y3020">
        <f>1-261-162-2079</f>
        <v>-2501</v>
      </c>
    </row>
    <row r="3021" spans="1:25" x14ac:dyDescent="0.35">
      <c r="A3021">
        <v>35.476201574377498</v>
      </c>
      <c r="B3021">
        <v>-117.80015357244</v>
      </c>
      <c r="C3021" t="s">
        <v>29</v>
      </c>
      <c r="D3021">
        <v>32.788259351537697</v>
      </c>
      <c r="E3021">
        <v>3</v>
      </c>
      <c r="F3021">
        <v>4906</v>
      </c>
      <c r="G3021">
        <v>1</v>
      </c>
      <c r="H3021">
        <v>3</v>
      </c>
      <c r="I3021">
        <v>1968</v>
      </c>
      <c r="J3021">
        <v>1</v>
      </c>
      <c r="K3021">
        <v>1</v>
      </c>
      <c r="L3021">
        <v>1</v>
      </c>
      <c r="M3021">
        <v>13</v>
      </c>
      <c r="N3021" t="s">
        <v>26</v>
      </c>
      <c r="O3021" t="s">
        <v>27</v>
      </c>
      <c r="P3021">
        <v>12.766101520927601</v>
      </c>
      <c r="Q3021">
        <v>1.77094647760625</v>
      </c>
      <c r="R3021">
        <v>5.3775278858291999</v>
      </c>
      <c r="S3021">
        <v>113</v>
      </c>
      <c r="T3021">
        <v>53</v>
      </c>
      <c r="U3021">
        <v>544.14704240719402</v>
      </c>
      <c r="V3021">
        <v>2.6498165511618398E-3</v>
      </c>
      <c r="W3021">
        <v>2967923.9165627202</v>
      </c>
      <c r="X3021" t="s">
        <v>28</v>
      </c>
      <c r="Y3021">
        <f>1-262-123-4041</f>
        <v>-4425</v>
      </c>
    </row>
    <row r="3022" spans="1:25" x14ac:dyDescent="0.35">
      <c r="A3022">
        <v>37.480818237125298</v>
      </c>
      <c r="B3022">
        <v>-117.408995565607</v>
      </c>
      <c r="C3022" t="s">
        <v>25</v>
      </c>
      <c r="D3022">
        <v>7.3598118815760198</v>
      </c>
      <c r="E3022">
        <v>7</v>
      </c>
      <c r="F3022">
        <v>4697</v>
      </c>
      <c r="G3022">
        <v>4</v>
      </c>
      <c r="H3022">
        <v>3</v>
      </c>
      <c r="I3022">
        <v>1997</v>
      </c>
      <c r="J3022">
        <v>1</v>
      </c>
      <c r="K3022">
        <v>1</v>
      </c>
      <c r="L3022">
        <v>1</v>
      </c>
      <c r="M3022">
        <v>5</v>
      </c>
      <c r="N3022" t="s">
        <v>37</v>
      </c>
      <c r="O3022" t="s">
        <v>32</v>
      </c>
      <c r="P3022">
        <v>9.7596327597914705</v>
      </c>
      <c r="Q3022">
        <v>1.9519505073058401</v>
      </c>
      <c r="R3022">
        <v>7.7662299110670503</v>
      </c>
      <c r="S3022">
        <v>141</v>
      </c>
      <c r="T3022">
        <v>24</v>
      </c>
      <c r="U3022">
        <v>809.37219542512798</v>
      </c>
      <c r="V3022">
        <v>1.0645092612305701E-3</v>
      </c>
      <c r="W3022">
        <v>4286113.5376359299</v>
      </c>
      <c r="X3022" t="s">
        <v>42</v>
      </c>
      <c r="Y3022">
        <f>1-714-319-5526</f>
        <v>-6558</v>
      </c>
    </row>
    <row r="3023" spans="1:25" x14ac:dyDescent="0.35">
      <c r="A3023">
        <v>41.806559138628799</v>
      </c>
      <c r="B3023">
        <v>-118.701556759958</v>
      </c>
      <c r="C3023" t="s">
        <v>25</v>
      </c>
      <c r="D3023">
        <v>24.323961892824101</v>
      </c>
      <c r="E3023">
        <v>3</v>
      </c>
      <c r="F3023">
        <v>3442</v>
      </c>
      <c r="G3023">
        <v>5</v>
      </c>
      <c r="H3023">
        <v>1</v>
      </c>
      <c r="I3023">
        <v>2022</v>
      </c>
      <c r="J3023">
        <v>1</v>
      </c>
      <c r="K3023">
        <v>0</v>
      </c>
      <c r="L3023">
        <v>0</v>
      </c>
      <c r="M3023">
        <v>5</v>
      </c>
      <c r="N3023" t="s">
        <v>26</v>
      </c>
      <c r="O3023" t="s">
        <v>30</v>
      </c>
      <c r="P3023">
        <v>10.6195252552317</v>
      </c>
      <c r="Q3023">
        <v>1.7189183329692199</v>
      </c>
      <c r="R3023">
        <v>0.54135916745250701</v>
      </c>
      <c r="S3023">
        <v>143</v>
      </c>
      <c r="T3023">
        <v>53</v>
      </c>
      <c r="U3023">
        <v>322.38583132011098</v>
      </c>
      <c r="V3023">
        <v>1.45264381173736E-3</v>
      </c>
      <c r="W3023">
        <v>1484107.39761328</v>
      </c>
      <c r="X3023" t="s">
        <v>38</v>
      </c>
      <c r="Y3023">
        <f>1-649-993-6622</f>
        <v>-8263</v>
      </c>
    </row>
    <row r="3024" spans="1:25" x14ac:dyDescent="0.35">
      <c r="A3024">
        <v>33.871603165642803</v>
      </c>
      <c r="B3024">
        <v>-115.56248909004999</v>
      </c>
      <c r="C3024" t="s">
        <v>34</v>
      </c>
      <c r="D3024">
        <v>40.131266038097998</v>
      </c>
      <c r="E3024">
        <v>2</v>
      </c>
      <c r="F3024">
        <v>4464</v>
      </c>
      <c r="G3024">
        <v>1</v>
      </c>
      <c r="H3024">
        <v>1</v>
      </c>
      <c r="I3024">
        <v>1964</v>
      </c>
      <c r="J3024">
        <v>1</v>
      </c>
      <c r="K3024">
        <v>1</v>
      </c>
      <c r="L3024">
        <v>1</v>
      </c>
      <c r="M3024">
        <v>8</v>
      </c>
      <c r="N3024" t="s">
        <v>41</v>
      </c>
      <c r="O3024" t="s">
        <v>30</v>
      </c>
      <c r="P3024">
        <v>9.7856777899083198</v>
      </c>
      <c r="Q3024">
        <v>1.9136943169607801</v>
      </c>
      <c r="R3024">
        <v>0.82684347723951102</v>
      </c>
      <c r="S3024">
        <v>159</v>
      </c>
      <c r="T3024">
        <v>76</v>
      </c>
      <c r="U3024">
        <v>363.55120023493299</v>
      </c>
      <c r="V3024">
        <v>1.7921146953405001E-3</v>
      </c>
      <c r="W3024">
        <v>1811854.7936565599</v>
      </c>
      <c r="X3024" t="s">
        <v>28</v>
      </c>
      <c r="Y3024">
        <f>1-736-669-4312</f>
        <v>-5716</v>
      </c>
    </row>
    <row r="3025" spans="1:25" x14ac:dyDescent="0.35">
      <c r="A3025">
        <v>37.3707253748209</v>
      </c>
      <c r="B3025">
        <v>-120.292832840659</v>
      </c>
      <c r="C3025" t="s">
        <v>34</v>
      </c>
      <c r="D3025">
        <v>11.447920280910701</v>
      </c>
      <c r="E3025">
        <v>3</v>
      </c>
      <c r="F3025">
        <v>2253</v>
      </c>
      <c r="G3025">
        <v>4</v>
      </c>
      <c r="H3025">
        <v>1</v>
      </c>
      <c r="I3025">
        <v>1961</v>
      </c>
      <c r="J3025">
        <v>0</v>
      </c>
      <c r="K3025">
        <v>0</v>
      </c>
      <c r="L3025">
        <v>0</v>
      </c>
      <c r="M3025">
        <v>10</v>
      </c>
      <c r="N3025" t="s">
        <v>37</v>
      </c>
      <c r="O3025" t="s">
        <v>27</v>
      </c>
      <c r="P3025">
        <v>2.56766889509798</v>
      </c>
      <c r="Q3025">
        <v>1.81083023553731</v>
      </c>
      <c r="R3025">
        <v>4.4868792158370496</v>
      </c>
      <c r="S3025">
        <v>131</v>
      </c>
      <c r="T3025">
        <v>78</v>
      </c>
      <c r="U3025">
        <v>881.67525231432398</v>
      </c>
      <c r="V3025">
        <v>4.4385264092321299E-3</v>
      </c>
      <c r="W3025">
        <v>2105373.76666841</v>
      </c>
      <c r="X3025" t="s">
        <v>38</v>
      </c>
      <c r="Y3025">
        <f>1-367-184-6451</f>
        <v>-7001</v>
      </c>
    </row>
    <row r="3026" spans="1:25" x14ac:dyDescent="0.35">
      <c r="A3026">
        <v>40.793049561461302</v>
      </c>
      <c r="B3026">
        <v>-122.320045226248</v>
      </c>
      <c r="C3026" t="s">
        <v>34</v>
      </c>
      <c r="D3026">
        <v>5.5756846703093004</v>
      </c>
      <c r="E3026">
        <v>0</v>
      </c>
      <c r="F3026">
        <v>3790</v>
      </c>
      <c r="G3026">
        <v>5</v>
      </c>
      <c r="H3026">
        <v>2</v>
      </c>
      <c r="I3026">
        <v>1963</v>
      </c>
      <c r="J3026">
        <v>0</v>
      </c>
      <c r="K3026">
        <v>1</v>
      </c>
      <c r="L3026">
        <v>0</v>
      </c>
      <c r="M3026">
        <v>2</v>
      </c>
      <c r="N3026" t="s">
        <v>26</v>
      </c>
      <c r="O3026" t="s">
        <v>27</v>
      </c>
      <c r="P3026">
        <v>14.9842586936653</v>
      </c>
      <c r="Q3026">
        <v>1.09438678483855</v>
      </c>
      <c r="R3026">
        <v>7.5068184717733804</v>
      </c>
      <c r="S3026">
        <v>72</v>
      </c>
      <c r="T3026">
        <v>62</v>
      </c>
      <c r="U3026">
        <v>416.54325293197098</v>
      </c>
      <c r="V3026">
        <v>5.2770448548812598E-4</v>
      </c>
      <c r="W3026">
        <v>2016837.7351092501</v>
      </c>
      <c r="X3026" t="s">
        <v>36</v>
      </c>
      <c r="Y3026">
        <f>1-317-970-6564</f>
        <v>-7850</v>
      </c>
    </row>
    <row r="3027" spans="1:25" x14ac:dyDescent="0.35">
      <c r="A3027">
        <v>41.298426752339402</v>
      </c>
      <c r="B3027">
        <v>-122.183132843308</v>
      </c>
      <c r="C3027" t="s">
        <v>25</v>
      </c>
      <c r="D3027">
        <v>22.401970185204501</v>
      </c>
      <c r="E3027">
        <v>8</v>
      </c>
      <c r="F3027">
        <v>2130</v>
      </c>
      <c r="G3027">
        <v>2</v>
      </c>
      <c r="H3027">
        <v>2</v>
      </c>
      <c r="I3027">
        <v>1954</v>
      </c>
      <c r="J3027">
        <v>1</v>
      </c>
      <c r="K3027">
        <v>0</v>
      </c>
      <c r="L3027">
        <v>1</v>
      </c>
      <c r="M3027">
        <v>7</v>
      </c>
      <c r="N3027" t="s">
        <v>37</v>
      </c>
      <c r="O3027" t="s">
        <v>30</v>
      </c>
      <c r="P3027">
        <v>9.7513352229219699</v>
      </c>
      <c r="Q3027">
        <v>1.45557261730369</v>
      </c>
      <c r="R3027">
        <v>1.1031737022121699</v>
      </c>
      <c r="S3027">
        <v>176</v>
      </c>
      <c r="T3027">
        <v>68</v>
      </c>
      <c r="U3027">
        <v>547.16052137819497</v>
      </c>
      <c r="V3027">
        <v>3.2863849765258201E-3</v>
      </c>
      <c r="W3027">
        <v>1430366.0282614201</v>
      </c>
      <c r="X3027" t="s">
        <v>33</v>
      </c>
      <c r="Y3027">
        <f>1-638-147-9197</f>
        <v>-9981</v>
      </c>
    </row>
    <row r="3028" spans="1:25" x14ac:dyDescent="0.35">
      <c r="A3028">
        <v>32.863856648350698</v>
      </c>
      <c r="B3028">
        <v>-115.092200181574</v>
      </c>
      <c r="C3028" t="s">
        <v>34</v>
      </c>
      <c r="D3028">
        <v>17.955260949652999</v>
      </c>
      <c r="E3028">
        <v>2</v>
      </c>
      <c r="F3028">
        <v>861</v>
      </c>
      <c r="G3028">
        <v>1</v>
      </c>
      <c r="H3028">
        <v>1</v>
      </c>
      <c r="I3028">
        <v>2017</v>
      </c>
      <c r="J3028">
        <v>0</v>
      </c>
      <c r="K3028">
        <v>0</v>
      </c>
      <c r="L3028">
        <v>1</v>
      </c>
      <c r="M3028">
        <v>9</v>
      </c>
      <c r="N3028" t="s">
        <v>35</v>
      </c>
      <c r="O3028" t="s">
        <v>30</v>
      </c>
      <c r="P3028">
        <v>12.4713481071432</v>
      </c>
      <c r="Q3028">
        <v>0.60186747164244203</v>
      </c>
      <c r="R3028">
        <v>2.0776307701274401</v>
      </c>
      <c r="S3028">
        <v>36</v>
      </c>
      <c r="T3028">
        <v>28</v>
      </c>
      <c r="U3028">
        <v>744.368558113993</v>
      </c>
      <c r="V3028">
        <v>1.0452961672473801E-2</v>
      </c>
      <c r="W3028">
        <v>898441.01832555304</v>
      </c>
      <c r="X3028" t="s">
        <v>43</v>
      </c>
      <c r="Y3028">
        <f>1-305-669-6170</f>
        <v>-7143</v>
      </c>
    </row>
    <row r="3029" spans="1:25" x14ac:dyDescent="0.35">
      <c r="A3029">
        <v>39.288492386049299</v>
      </c>
      <c r="B3029">
        <v>-114.573390602503</v>
      </c>
      <c r="C3029" t="s">
        <v>34</v>
      </c>
      <c r="D3029">
        <v>42.255583697106402</v>
      </c>
      <c r="E3029">
        <v>6</v>
      </c>
      <c r="F3029">
        <v>1640</v>
      </c>
      <c r="G3029">
        <v>5</v>
      </c>
      <c r="H3029">
        <v>3</v>
      </c>
      <c r="I3029">
        <v>1971</v>
      </c>
      <c r="J3029">
        <v>1</v>
      </c>
      <c r="K3029">
        <v>0</v>
      </c>
      <c r="L3029">
        <v>1</v>
      </c>
      <c r="M3029">
        <v>11</v>
      </c>
      <c r="N3029" t="s">
        <v>26</v>
      </c>
      <c r="O3029" t="s">
        <v>30</v>
      </c>
      <c r="P3029">
        <v>3.9108374711015599</v>
      </c>
      <c r="Q3029">
        <v>0.786722848580928</v>
      </c>
      <c r="R3029">
        <v>6.9518575273954601</v>
      </c>
      <c r="S3029">
        <v>128</v>
      </c>
      <c r="T3029">
        <v>69</v>
      </c>
      <c r="U3029">
        <v>693.96480394558296</v>
      </c>
      <c r="V3029">
        <v>6.7073170731707299E-3</v>
      </c>
      <c r="W3029">
        <v>1497327.39155077</v>
      </c>
      <c r="X3029" t="s">
        <v>36</v>
      </c>
      <c r="Y3029">
        <f>1-665-142-1987</f>
        <v>-2793</v>
      </c>
    </row>
    <row r="3030" spans="1:25" x14ac:dyDescent="0.35">
      <c r="A3030">
        <v>36.773217493282303</v>
      </c>
      <c r="B3030">
        <v>-118.262980946005</v>
      </c>
      <c r="C3030" t="s">
        <v>29</v>
      </c>
      <c r="D3030">
        <v>12.834871490061399</v>
      </c>
      <c r="E3030">
        <v>0</v>
      </c>
      <c r="F3030">
        <v>1092</v>
      </c>
      <c r="G3030">
        <v>2</v>
      </c>
      <c r="H3030">
        <v>1</v>
      </c>
      <c r="I3030">
        <v>1969</v>
      </c>
      <c r="J3030">
        <v>1</v>
      </c>
      <c r="K3030">
        <v>0</v>
      </c>
      <c r="L3030">
        <v>1</v>
      </c>
      <c r="M3030">
        <v>14</v>
      </c>
      <c r="N3030" t="s">
        <v>37</v>
      </c>
      <c r="O3030" t="s">
        <v>32</v>
      </c>
      <c r="P3030">
        <v>4.76525813113191</v>
      </c>
      <c r="Q3030">
        <v>1.96147523535138</v>
      </c>
      <c r="R3030">
        <v>5.8667032745633696</v>
      </c>
      <c r="S3030">
        <v>90</v>
      </c>
      <c r="T3030">
        <v>20</v>
      </c>
      <c r="U3030">
        <v>756.44744848508503</v>
      </c>
      <c r="V3030">
        <v>1.2820512820512799E-2</v>
      </c>
      <c r="W3030">
        <v>974129.21940923599</v>
      </c>
      <c r="X3030" t="s">
        <v>31</v>
      </c>
      <c r="Y3030">
        <f>1-202-488-6329</f>
        <v>-7018</v>
      </c>
    </row>
    <row r="3031" spans="1:25" x14ac:dyDescent="0.35">
      <c r="A3031">
        <v>39.351697719930101</v>
      </c>
      <c r="B3031">
        <v>-117.18055994487899</v>
      </c>
      <c r="C3031" t="s">
        <v>25</v>
      </c>
      <c r="D3031">
        <v>47.098790399912403</v>
      </c>
      <c r="E3031">
        <v>9</v>
      </c>
      <c r="F3031">
        <v>1525</v>
      </c>
      <c r="G3031">
        <v>3</v>
      </c>
      <c r="H3031">
        <v>2</v>
      </c>
      <c r="I3031">
        <v>2022</v>
      </c>
      <c r="J3031">
        <v>1</v>
      </c>
      <c r="K3031">
        <v>1</v>
      </c>
      <c r="L3031">
        <v>0</v>
      </c>
      <c r="M3031">
        <v>2</v>
      </c>
      <c r="N3031" t="s">
        <v>37</v>
      </c>
      <c r="O3031" t="s">
        <v>27</v>
      </c>
      <c r="P3031">
        <v>9.0897131283613497</v>
      </c>
      <c r="Q3031">
        <v>1.4903848880311501</v>
      </c>
      <c r="R3031">
        <v>5.5443987015368696</v>
      </c>
      <c r="S3031">
        <v>47</v>
      </c>
      <c r="T3031">
        <v>55</v>
      </c>
      <c r="U3031">
        <v>386.52219092513701</v>
      </c>
      <c r="V3031">
        <v>1.3114754098360599E-3</v>
      </c>
      <c r="W3031">
        <v>1036287.84929936</v>
      </c>
      <c r="X3031" t="s">
        <v>38</v>
      </c>
      <c r="Y3031">
        <f>1-988-341-7460</f>
        <v>-8788</v>
      </c>
    </row>
    <row r="3032" spans="1:25" x14ac:dyDescent="0.35">
      <c r="A3032">
        <v>38.674388795682098</v>
      </c>
      <c r="B3032">
        <v>-123.449550238583</v>
      </c>
      <c r="C3032" t="s">
        <v>29</v>
      </c>
      <c r="D3032">
        <v>15.5374385829664</v>
      </c>
      <c r="E3032">
        <v>4</v>
      </c>
      <c r="F3032">
        <v>1158</v>
      </c>
      <c r="G3032">
        <v>5</v>
      </c>
      <c r="H3032">
        <v>3</v>
      </c>
      <c r="I3032">
        <v>2015</v>
      </c>
      <c r="J3032">
        <v>0</v>
      </c>
      <c r="K3032">
        <v>0</v>
      </c>
      <c r="L3032">
        <v>0</v>
      </c>
      <c r="M3032">
        <v>10</v>
      </c>
      <c r="N3032" t="s">
        <v>37</v>
      </c>
      <c r="O3032" t="s">
        <v>27</v>
      </c>
      <c r="P3032">
        <v>12.204757628202801</v>
      </c>
      <c r="Q3032">
        <v>2.1825232368657801</v>
      </c>
      <c r="R3032">
        <v>9.0446014523139606</v>
      </c>
      <c r="S3032">
        <v>2</v>
      </c>
      <c r="T3032">
        <v>58</v>
      </c>
      <c r="U3032">
        <v>674.57141022036603</v>
      </c>
      <c r="V3032">
        <v>8.6355785837651106E-3</v>
      </c>
      <c r="W3032">
        <v>1207864.3590768501</v>
      </c>
      <c r="X3032" t="s">
        <v>43</v>
      </c>
      <c r="Y3032">
        <f>1-625-205-2166</f>
        <v>-2995</v>
      </c>
    </row>
    <row r="3033" spans="1:25" x14ac:dyDescent="0.35">
      <c r="A3033">
        <v>38.397075130854397</v>
      </c>
      <c r="B3033">
        <v>-116.402830573104</v>
      </c>
      <c r="C3033" t="s">
        <v>34</v>
      </c>
      <c r="D3033">
        <v>48.948750795814597</v>
      </c>
      <c r="E3033">
        <v>8</v>
      </c>
      <c r="F3033">
        <v>4096</v>
      </c>
      <c r="G3033">
        <v>3</v>
      </c>
      <c r="H3033">
        <v>2</v>
      </c>
      <c r="I3033">
        <v>1975</v>
      </c>
      <c r="J3033">
        <v>0</v>
      </c>
      <c r="K3033">
        <v>0</v>
      </c>
      <c r="L3033">
        <v>1</v>
      </c>
      <c r="M3033">
        <v>3</v>
      </c>
      <c r="N3033" t="s">
        <v>26</v>
      </c>
      <c r="O3033" t="s">
        <v>32</v>
      </c>
      <c r="P3033">
        <v>3.7716953150455099</v>
      </c>
      <c r="Q3033">
        <v>0.67277503388049797</v>
      </c>
      <c r="R3033">
        <v>4.4827490966104904</v>
      </c>
      <c r="S3033">
        <v>81</v>
      </c>
      <c r="T3033">
        <v>55</v>
      </c>
      <c r="U3033">
        <v>617.11148786255296</v>
      </c>
      <c r="V3033">
        <v>7.32421875E-4</v>
      </c>
      <c r="W3033">
        <v>2665277.9495974202</v>
      </c>
      <c r="X3033" t="s">
        <v>36</v>
      </c>
      <c r="Y3033">
        <f>1-804-212-8306</f>
        <v>-9321</v>
      </c>
    </row>
    <row r="3034" spans="1:25" x14ac:dyDescent="0.35">
      <c r="A3034">
        <v>39.172593562981</v>
      </c>
      <c r="B3034">
        <v>-122.945728401011</v>
      </c>
      <c r="C3034" t="s">
        <v>29</v>
      </c>
      <c r="D3034">
        <v>10.7161772423296</v>
      </c>
      <c r="E3034">
        <v>3</v>
      </c>
      <c r="F3034">
        <v>501</v>
      </c>
      <c r="G3034">
        <v>4</v>
      </c>
      <c r="H3034">
        <v>3</v>
      </c>
      <c r="I3034">
        <v>1977</v>
      </c>
      <c r="J3034">
        <v>1</v>
      </c>
      <c r="K3034">
        <v>0</v>
      </c>
      <c r="L3034">
        <v>1</v>
      </c>
      <c r="M3034">
        <v>5</v>
      </c>
      <c r="N3034" t="s">
        <v>35</v>
      </c>
      <c r="O3034" t="s">
        <v>27</v>
      </c>
      <c r="P3034">
        <v>12.1675072566354</v>
      </c>
      <c r="Q3034">
        <v>2.2867078933139902</v>
      </c>
      <c r="R3034">
        <v>0.26892655989055297</v>
      </c>
      <c r="S3034">
        <v>110</v>
      </c>
      <c r="T3034">
        <v>79</v>
      </c>
      <c r="U3034">
        <v>824.35059241165095</v>
      </c>
      <c r="V3034">
        <v>9.9800399201596807E-3</v>
      </c>
      <c r="W3034">
        <v>752304.13267928106</v>
      </c>
      <c r="X3034" t="s">
        <v>28</v>
      </c>
      <c r="Y3034">
        <f>1-427-731-4215</f>
        <v>-5372</v>
      </c>
    </row>
    <row r="3035" spans="1:25" x14ac:dyDescent="0.35">
      <c r="A3035">
        <v>41.257760752894697</v>
      </c>
      <c r="B3035">
        <v>-114.93371619749</v>
      </c>
      <c r="C3035" t="s">
        <v>34</v>
      </c>
      <c r="D3035">
        <v>47.650356065871101</v>
      </c>
      <c r="E3035">
        <v>1</v>
      </c>
      <c r="F3035">
        <v>2279</v>
      </c>
      <c r="G3035">
        <v>2</v>
      </c>
      <c r="H3035">
        <v>2</v>
      </c>
      <c r="I3035">
        <v>2020</v>
      </c>
      <c r="J3035">
        <v>1</v>
      </c>
      <c r="K3035">
        <v>1</v>
      </c>
      <c r="L3035">
        <v>0</v>
      </c>
      <c r="M3035">
        <v>13</v>
      </c>
      <c r="N3035" t="s">
        <v>35</v>
      </c>
      <c r="O3035" t="s">
        <v>32</v>
      </c>
      <c r="P3035">
        <v>8.4606773760443499</v>
      </c>
      <c r="Q3035">
        <v>1.47828367343667</v>
      </c>
      <c r="R3035">
        <v>3.1179113939300098</v>
      </c>
      <c r="S3035">
        <v>192</v>
      </c>
      <c r="T3035">
        <v>37</v>
      </c>
      <c r="U3035">
        <v>204.419426451877</v>
      </c>
      <c r="V3035">
        <v>5.7042562527424298E-3</v>
      </c>
      <c r="W3035">
        <v>739497.87765873806</v>
      </c>
      <c r="X3035" t="s">
        <v>42</v>
      </c>
      <c r="Y3035">
        <f>1-813-311-8915</f>
        <v>-10038</v>
      </c>
    </row>
    <row r="3036" spans="1:25" x14ac:dyDescent="0.35">
      <c r="A3036">
        <v>40.410723195081601</v>
      </c>
      <c r="B3036">
        <v>-118.46041482707</v>
      </c>
      <c r="C3036" t="s">
        <v>34</v>
      </c>
      <c r="D3036">
        <v>36.911876963887302</v>
      </c>
      <c r="E3036">
        <v>3</v>
      </c>
      <c r="F3036">
        <v>3828</v>
      </c>
      <c r="G3036">
        <v>3</v>
      </c>
      <c r="H3036">
        <v>1</v>
      </c>
      <c r="I3036">
        <v>1960</v>
      </c>
      <c r="J3036">
        <v>0</v>
      </c>
      <c r="K3036">
        <v>1</v>
      </c>
      <c r="L3036">
        <v>0</v>
      </c>
      <c r="M3036">
        <v>2</v>
      </c>
      <c r="N3036" t="s">
        <v>35</v>
      </c>
      <c r="O3036" t="s">
        <v>32</v>
      </c>
      <c r="P3036">
        <v>13.741219931789001</v>
      </c>
      <c r="Q3036">
        <v>1.3487595742932099</v>
      </c>
      <c r="R3036">
        <v>5.6777897663698296</v>
      </c>
      <c r="S3036">
        <v>16</v>
      </c>
      <c r="T3036">
        <v>30</v>
      </c>
      <c r="U3036">
        <v>423.70717918563099</v>
      </c>
      <c r="V3036">
        <v>5.2246603970741896E-4</v>
      </c>
      <c r="W3036">
        <v>1928001.3424829801</v>
      </c>
      <c r="X3036" t="s">
        <v>36</v>
      </c>
      <c r="Y3036">
        <f>1-494-757-4263</f>
        <v>-5513</v>
      </c>
    </row>
    <row r="3037" spans="1:25" x14ac:dyDescent="0.35">
      <c r="A3037">
        <v>40.362189899972499</v>
      </c>
      <c r="B3037">
        <v>-118.785125215327</v>
      </c>
      <c r="C3037" t="s">
        <v>25</v>
      </c>
      <c r="D3037">
        <v>42.3136775061189</v>
      </c>
      <c r="E3037">
        <v>2</v>
      </c>
      <c r="F3037">
        <v>3210</v>
      </c>
      <c r="G3037">
        <v>3</v>
      </c>
      <c r="H3037">
        <v>2</v>
      </c>
      <c r="I3037">
        <v>1988</v>
      </c>
      <c r="J3037">
        <v>1</v>
      </c>
      <c r="K3037">
        <v>0</v>
      </c>
      <c r="L3037">
        <v>1</v>
      </c>
      <c r="M3037">
        <v>13</v>
      </c>
      <c r="N3037" t="s">
        <v>37</v>
      </c>
      <c r="O3037" t="s">
        <v>27</v>
      </c>
      <c r="P3037">
        <v>2.6383063120623702</v>
      </c>
      <c r="Q3037">
        <v>1.46154526729587</v>
      </c>
      <c r="R3037">
        <v>9.29571798218333</v>
      </c>
      <c r="S3037">
        <v>149</v>
      </c>
      <c r="T3037">
        <v>35</v>
      </c>
      <c r="U3037">
        <v>201.40330558406399</v>
      </c>
      <c r="V3037">
        <v>4.0498442367601197E-3</v>
      </c>
      <c r="W3037">
        <v>844448.21148208203</v>
      </c>
      <c r="X3037" t="s">
        <v>40</v>
      </c>
      <c r="Y3037">
        <f>1-859-758-6110</f>
        <v>-7726</v>
      </c>
    </row>
    <row r="3038" spans="1:25" x14ac:dyDescent="0.35">
      <c r="A3038">
        <v>35.6517203465772</v>
      </c>
      <c r="B3038">
        <v>-122.78073926717001</v>
      </c>
      <c r="C3038" t="s">
        <v>34</v>
      </c>
      <c r="D3038">
        <v>18.5827823807393</v>
      </c>
      <c r="E3038">
        <v>7</v>
      </c>
      <c r="F3038">
        <v>3668</v>
      </c>
      <c r="G3038">
        <v>2</v>
      </c>
      <c r="H3038">
        <v>3</v>
      </c>
      <c r="I3038">
        <v>2022</v>
      </c>
      <c r="J3038">
        <v>1</v>
      </c>
      <c r="K3038">
        <v>1</v>
      </c>
      <c r="L3038">
        <v>1</v>
      </c>
      <c r="M3038">
        <v>11</v>
      </c>
      <c r="N3038" t="s">
        <v>41</v>
      </c>
      <c r="O3038" t="s">
        <v>32</v>
      </c>
      <c r="P3038">
        <v>12.1874356052222</v>
      </c>
      <c r="Q3038">
        <v>1.6417502371616799</v>
      </c>
      <c r="R3038">
        <v>6.1186888263540604</v>
      </c>
      <c r="S3038">
        <v>173</v>
      </c>
      <c r="T3038">
        <v>71</v>
      </c>
      <c r="U3038">
        <v>505.08441663438202</v>
      </c>
      <c r="V3038">
        <v>2.9989094874591001E-3</v>
      </c>
      <c r="W3038">
        <v>2260326.5067218798</v>
      </c>
      <c r="X3038" t="s">
        <v>44</v>
      </c>
      <c r="Y3038">
        <f>1-937-335-4569</f>
        <v>-5840</v>
      </c>
    </row>
    <row r="3039" spans="1:25" x14ac:dyDescent="0.35">
      <c r="A3039">
        <v>39.594532818397496</v>
      </c>
      <c r="B3039">
        <v>-119.27468538303199</v>
      </c>
      <c r="C3039" t="s">
        <v>34</v>
      </c>
      <c r="D3039">
        <v>46.120441648020297</v>
      </c>
      <c r="E3039">
        <v>0</v>
      </c>
      <c r="F3039">
        <v>1670</v>
      </c>
      <c r="G3039">
        <v>2</v>
      </c>
      <c r="H3039">
        <v>3</v>
      </c>
      <c r="I3039">
        <v>2008</v>
      </c>
      <c r="J3039">
        <v>1</v>
      </c>
      <c r="K3039">
        <v>1</v>
      </c>
      <c r="L3039">
        <v>0</v>
      </c>
      <c r="M3039">
        <v>12</v>
      </c>
      <c r="N3039" t="s">
        <v>35</v>
      </c>
      <c r="O3039" t="s">
        <v>27</v>
      </c>
      <c r="P3039">
        <v>5.161073992865</v>
      </c>
      <c r="Q3039">
        <v>2.2935585716932199</v>
      </c>
      <c r="R3039">
        <v>6.5539066475850101</v>
      </c>
      <c r="S3039">
        <v>192</v>
      </c>
      <c r="T3039">
        <v>31</v>
      </c>
      <c r="U3039">
        <v>405.77216410825503</v>
      </c>
      <c r="V3039">
        <v>7.18562874251497E-3</v>
      </c>
      <c r="W3039">
        <v>895235.75646870595</v>
      </c>
      <c r="X3039" t="s">
        <v>44</v>
      </c>
      <c r="Y3039">
        <f>1-823-551-8337</f>
        <v>-9710</v>
      </c>
    </row>
    <row r="3040" spans="1:25" x14ac:dyDescent="0.35">
      <c r="A3040">
        <v>36.773233947890098</v>
      </c>
      <c r="B3040">
        <v>-119.961496857387</v>
      </c>
      <c r="C3040" t="s">
        <v>34</v>
      </c>
      <c r="D3040">
        <v>6.0469272670086998</v>
      </c>
      <c r="E3040">
        <v>1</v>
      </c>
      <c r="F3040">
        <v>4728</v>
      </c>
      <c r="G3040">
        <v>1</v>
      </c>
      <c r="H3040">
        <v>2</v>
      </c>
      <c r="I3040">
        <v>1954</v>
      </c>
      <c r="J3040">
        <v>1</v>
      </c>
      <c r="K3040">
        <v>0</v>
      </c>
      <c r="L3040">
        <v>1</v>
      </c>
      <c r="M3040">
        <v>11</v>
      </c>
      <c r="N3040" t="s">
        <v>26</v>
      </c>
      <c r="O3040" t="s">
        <v>30</v>
      </c>
      <c r="P3040">
        <v>9.0942158838737903</v>
      </c>
      <c r="Q3040">
        <v>1.44871632801665</v>
      </c>
      <c r="R3040">
        <v>1.82794909852945</v>
      </c>
      <c r="S3040">
        <v>182</v>
      </c>
      <c r="T3040">
        <v>31</v>
      </c>
      <c r="U3040">
        <v>654.01178311941806</v>
      </c>
      <c r="V3040">
        <v>2.32656514382402E-3</v>
      </c>
      <c r="W3040">
        <v>3231973.6652930002</v>
      </c>
      <c r="X3040" t="s">
        <v>33</v>
      </c>
      <c r="Y3040">
        <f>1-370-565-7859</f>
        <v>-8793</v>
      </c>
    </row>
    <row r="3041" spans="1:25" x14ac:dyDescent="0.35">
      <c r="A3041">
        <v>36.232402654312402</v>
      </c>
      <c r="B3041">
        <v>-114.534033851034</v>
      </c>
      <c r="C3041" t="s">
        <v>34</v>
      </c>
      <c r="D3041">
        <v>34.9574932494927</v>
      </c>
      <c r="E3041">
        <v>9</v>
      </c>
      <c r="F3041">
        <v>2166</v>
      </c>
      <c r="G3041">
        <v>5</v>
      </c>
      <c r="H3041">
        <v>2</v>
      </c>
      <c r="I3041">
        <v>2004</v>
      </c>
      <c r="J3041">
        <v>1</v>
      </c>
      <c r="K3041">
        <v>1</v>
      </c>
      <c r="L3041">
        <v>0</v>
      </c>
      <c r="M3041">
        <v>10</v>
      </c>
      <c r="N3041" t="s">
        <v>26</v>
      </c>
      <c r="O3041" t="s">
        <v>30</v>
      </c>
      <c r="P3041">
        <v>10.9556432290704</v>
      </c>
      <c r="Q3041">
        <v>2.1669487276254702</v>
      </c>
      <c r="R3041">
        <v>7.8483506401897598</v>
      </c>
      <c r="S3041">
        <v>117</v>
      </c>
      <c r="T3041">
        <v>71</v>
      </c>
      <c r="U3041">
        <v>479.16108571124602</v>
      </c>
      <c r="V3041">
        <v>4.6168051708217897E-3</v>
      </c>
      <c r="W3041">
        <v>1526586.1909032599</v>
      </c>
      <c r="X3041" t="s">
        <v>28</v>
      </c>
      <c r="Y3041">
        <f>1-571-681-2040</f>
        <v>-3291</v>
      </c>
    </row>
    <row r="3042" spans="1:25" x14ac:dyDescent="0.35">
      <c r="A3042">
        <v>34.309694305260997</v>
      </c>
      <c r="B3042">
        <v>-118.50191136418999</v>
      </c>
      <c r="C3042" t="s">
        <v>29</v>
      </c>
      <c r="D3042">
        <v>23.276113972176798</v>
      </c>
      <c r="E3042">
        <v>1</v>
      </c>
      <c r="F3042">
        <v>3781</v>
      </c>
      <c r="G3042">
        <v>4</v>
      </c>
      <c r="H3042">
        <v>3</v>
      </c>
      <c r="I3042">
        <v>1956</v>
      </c>
      <c r="J3042">
        <v>0</v>
      </c>
      <c r="K3042">
        <v>1</v>
      </c>
      <c r="L3042">
        <v>1</v>
      </c>
      <c r="M3042">
        <v>7</v>
      </c>
      <c r="N3042" t="s">
        <v>26</v>
      </c>
      <c r="O3042" t="s">
        <v>32</v>
      </c>
      <c r="P3042">
        <v>8.2446377736040901</v>
      </c>
      <c r="Q3042">
        <v>1.75417547911043</v>
      </c>
      <c r="R3042">
        <v>7.0925398447630403</v>
      </c>
      <c r="S3042">
        <v>128</v>
      </c>
      <c r="T3042">
        <v>25</v>
      </c>
      <c r="U3042">
        <v>214.89628444385801</v>
      </c>
      <c r="V3042">
        <v>1.8513620735255199E-3</v>
      </c>
      <c r="W3042">
        <v>1206324.7702232399</v>
      </c>
      <c r="X3042" t="s">
        <v>28</v>
      </c>
      <c r="Y3042">
        <f>1-636-530-5694</f>
        <v>-6859</v>
      </c>
    </row>
    <row r="3043" spans="1:25" x14ac:dyDescent="0.35">
      <c r="A3043">
        <v>35.497366750734301</v>
      </c>
      <c r="B3043">
        <v>-117.662851500141</v>
      </c>
      <c r="C3043" t="s">
        <v>25</v>
      </c>
      <c r="D3043">
        <v>6.5575477965473201</v>
      </c>
      <c r="E3043">
        <v>5</v>
      </c>
      <c r="F3043">
        <v>2089</v>
      </c>
      <c r="G3043">
        <v>4</v>
      </c>
      <c r="H3043">
        <v>3</v>
      </c>
      <c r="I3043">
        <v>1981</v>
      </c>
      <c r="J3043">
        <v>0</v>
      </c>
      <c r="K3043">
        <v>0</v>
      </c>
      <c r="L3043">
        <v>0</v>
      </c>
      <c r="M3043">
        <v>10</v>
      </c>
      <c r="N3043" t="s">
        <v>26</v>
      </c>
      <c r="O3043" t="s">
        <v>30</v>
      </c>
      <c r="P3043">
        <v>11.208117898102101</v>
      </c>
      <c r="Q3043">
        <v>1.2045607354936301</v>
      </c>
      <c r="R3043">
        <v>0.25383577155910703</v>
      </c>
      <c r="S3043">
        <v>12</v>
      </c>
      <c r="T3043">
        <v>61</v>
      </c>
      <c r="U3043">
        <v>376.33013548903301</v>
      </c>
      <c r="V3043">
        <v>4.7869794159885104E-3</v>
      </c>
      <c r="W3043">
        <v>1071857.31262814</v>
      </c>
      <c r="X3043" t="s">
        <v>44</v>
      </c>
      <c r="Y3043">
        <f>1-439-660-4757</f>
        <v>-5855</v>
      </c>
    </row>
    <row r="3044" spans="1:25" x14ac:dyDescent="0.35">
      <c r="A3044">
        <v>37.582019516023699</v>
      </c>
      <c r="B3044">
        <v>-116.114095412957</v>
      </c>
      <c r="C3044" t="s">
        <v>25</v>
      </c>
      <c r="D3044">
        <v>14.038833767912299</v>
      </c>
      <c r="E3044">
        <v>9</v>
      </c>
      <c r="F3044">
        <v>1866</v>
      </c>
      <c r="G3044">
        <v>4</v>
      </c>
      <c r="H3044">
        <v>1</v>
      </c>
      <c r="I3044">
        <v>1961</v>
      </c>
      <c r="J3044">
        <v>0</v>
      </c>
      <c r="K3044">
        <v>1</v>
      </c>
      <c r="L3044">
        <v>1</v>
      </c>
      <c r="M3044">
        <v>3</v>
      </c>
      <c r="N3044" t="s">
        <v>26</v>
      </c>
      <c r="O3044" t="s">
        <v>27</v>
      </c>
      <c r="P3044">
        <v>11.006357622768</v>
      </c>
      <c r="Q3044">
        <v>0.592572652811867</v>
      </c>
      <c r="R3044">
        <v>3.8357065291527301</v>
      </c>
      <c r="S3044">
        <v>111</v>
      </c>
      <c r="T3044">
        <v>23</v>
      </c>
      <c r="U3044">
        <v>285.01440851195599</v>
      </c>
      <c r="V3044">
        <v>1.60771704180064E-3</v>
      </c>
      <c r="W3044">
        <v>938564.43313237501</v>
      </c>
      <c r="X3044" t="s">
        <v>31</v>
      </c>
      <c r="Y3044">
        <f>1-799-298-2232</f>
        <v>-3328</v>
      </c>
    </row>
    <row r="3045" spans="1:25" x14ac:dyDescent="0.35">
      <c r="A3045">
        <v>36.044982327072098</v>
      </c>
      <c r="B3045">
        <v>-118.47936154074</v>
      </c>
      <c r="C3045" t="s">
        <v>34</v>
      </c>
      <c r="D3045">
        <v>33.769442104106801</v>
      </c>
      <c r="E3045">
        <v>0</v>
      </c>
      <c r="F3045">
        <v>4009</v>
      </c>
      <c r="G3045">
        <v>1</v>
      </c>
      <c r="H3045">
        <v>3</v>
      </c>
      <c r="I3045">
        <v>1970</v>
      </c>
      <c r="J3045">
        <v>1</v>
      </c>
      <c r="K3045">
        <v>1</v>
      </c>
      <c r="L3045">
        <v>0</v>
      </c>
      <c r="M3045">
        <v>7</v>
      </c>
      <c r="N3045" t="s">
        <v>37</v>
      </c>
      <c r="O3045" t="s">
        <v>32</v>
      </c>
      <c r="P3045">
        <v>11.154594793664099</v>
      </c>
      <c r="Q3045">
        <v>2.2264265350454999</v>
      </c>
      <c r="R3045">
        <v>3.1908578329333799</v>
      </c>
      <c r="S3045">
        <v>42</v>
      </c>
      <c r="T3045">
        <v>35</v>
      </c>
      <c r="U3045">
        <v>442.787655205129</v>
      </c>
      <c r="V3045">
        <v>1.74607133948615E-3</v>
      </c>
      <c r="W3045">
        <v>2027733.14217045</v>
      </c>
      <c r="X3045" t="s">
        <v>36</v>
      </c>
      <c r="Y3045">
        <f>1-261-799-2935</f>
        <v>-3994</v>
      </c>
    </row>
    <row r="3046" spans="1:25" x14ac:dyDescent="0.35">
      <c r="A3046">
        <v>38.580418602608503</v>
      </c>
      <c r="B3046">
        <v>-114.02421999876</v>
      </c>
      <c r="C3046" t="s">
        <v>34</v>
      </c>
      <c r="D3046">
        <v>7.60622892239852</v>
      </c>
      <c r="E3046">
        <v>8</v>
      </c>
      <c r="F3046">
        <v>4690</v>
      </c>
      <c r="G3046">
        <v>1</v>
      </c>
      <c r="H3046">
        <v>1</v>
      </c>
      <c r="I3046">
        <v>2020</v>
      </c>
      <c r="J3046">
        <v>1</v>
      </c>
      <c r="K3046">
        <v>1</v>
      </c>
      <c r="L3046">
        <v>1</v>
      </c>
      <c r="M3046">
        <v>11</v>
      </c>
      <c r="N3046" t="s">
        <v>35</v>
      </c>
      <c r="O3046" t="s">
        <v>32</v>
      </c>
      <c r="P3046">
        <v>6.4685323452509103</v>
      </c>
      <c r="Q3046">
        <v>0.98335014961284095</v>
      </c>
      <c r="R3046">
        <v>4.4083993639993597</v>
      </c>
      <c r="S3046">
        <v>32</v>
      </c>
      <c r="T3046">
        <v>36</v>
      </c>
      <c r="U3046">
        <v>379.18034021445999</v>
      </c>
      <c r="V3046">
        <v>2.3454157782515899E-3</v>
      </c>
      <c r="W3046">
        <v>2101760.8035146701</v>
      </c>
      <c r="X3046" t="s">
        <v>36</v>
      </c>
      <c r="Y3046">
        <f>1-729-170-8778</f>
        <v>-9676</v>
      </c>
    </row>
    <row r="3047" spans="1:25" x14ac:dyDescent="0.35">
      <c r="A3047">
        <v>40.246542577962401</v>
      </c>
      <c r="B3047">
        <v>-120.03258319451</v>
      </c>
      <c r="C3047" t="s">
        <v>29</v>
      </c>
      <c r="D3047">
        <v>40.195775713684498</v>
      </c>
      <c r="E3047">
        <v>9</v>
      </c>
      <c r="F3047">
        <v>3305</v>
      </c>
      <c r="G3047">
        <v>5</v>
      </c>
      <c r="H3047">
        <v>3</v>
      </c>
      <c r="I3047">
        <v>1996</v>
      </c>
      <c r="J3047">
        <v>1</v>
      </c>
      <c r="K3047">
        <v>1</v>
      </c>
      <c r="L3047">
        <v>0</v>
      </c>
      <c r="M3047">
        <v>11</v>
      </c>
      <c r="N3047" t="s">
        <v>35</v>
      </c>
      <c r="O3047" t="s">
        <v>30</v>
      </c>
      <c r="P3047">
        <v>4.1661674648285798</v>
      </c>
      <c r="Q3047">
        <v>2.3488115113442198</v>
      </c>
      <c r="R3047">
        <v>2.0879730777807</v>
      </c>
      <c r="S3047">
        <v>45</v>
      </c>
      <c r="T3047">
        <v>73</v>
      </c>
      <c r="U3047">
        <v>932.93463733811097</v>
      </c>
      <c r="V3047">
        <v>3.3282904689863799E-3</v>
      </c>
      <c r="W3047">
        <v>3522079.9398159399</v>
      </c>
      <c r="X3047" t="s">
        <v>42</v>
      </c>
      <c r="Y3047">
        <f>1-742-320-5436</f>
        <v>-6497</v>
      </c>
    </row>
    <row r="3048" spans="1:25" x14ac:dyDescent="0.35">
      <c r="A3048">
        <v>32.543284191733598</v>
      </c>
      <c r="B3048">
        <v>-119.780557177766</v>
      </c>
      <c r="C3048" t="s">
        <v>34</v>
      </c>
      <c r="D3048">
        <v>36.613547982498403</v>
      </c>
      <c r="E3048">
        <v>6</v>
      </c>
      <c r="F3048">
        <v>876</v>
      </c>
      <c r="G3048">
        <v>4</v>
      </c>
      <c r="H3048">
        <v>1</v>
      </c>
      <c r="I3048">
        <v>2022</v>
      </c>
      <c r="J3048">
        <v>1</v>
      </c>
      <c r="K3048">
        <v>1</v>
      </c>
      <c r="L3048">
        <v>0</v>
      </c>
      <c r="M3048">
        <v>10</v>
      </c>
      <c r="N3048" t="s">
        <v>37</v>
      </c>
      <c r="O3048" t="s">
        <v>32</v>
      </c>
      <c r="P3048">
        <v>7.6119142609261301</v>
      </c>
      <c r="Q3048">
        <v>1.58497478185749</v>
      </c>
      <c r="R3048">
        <v>7.8737754438202199</v>
      </c>
      <c r="S3048">
        <v>95</v>
      </c>
      <c r="T3048">
        <v>48</v>
      </c>
      <c r="U3048">
        <v>382.09016839554198</v>
      </c>
      <c r="V3048">
        <v>1.14155251141552E-2</v>
      </c>
      <c r="W3048">
        <v>769665.50200900296</v>
      </c>
      <c r="X3048" t="s">
        <v>44</v>
      </c>
      <c r="Y3048">
        <f>1-589-928-7037</f>
        <v>-8553</v>
      </c>
    </row>
    <row r="3049" spans="1:25" x14ac:dyDescent="0.35">
      <c r="A3049">
        <v>33.416503704781</v>
      </c>
      <c r="B3049">
        <v>-116.432658728587</v>
      </c>
      <c r="C3049" t="s">
        <v>34</v>
      </c>
      <c r="D3049">
        <v>31.6041714345108</v>
      </c>
      <c r="E3049">
        <v>6</v>
      </c>
      <c r="F3049">
        <v>4878</v>
      </c>
      <c r="G3049">
        <v>3</v>
      </c>
      <c r="H3049">
        <v>2</v>
      </c>
      <c r="I3049">
        <v>1972</v>
      </c>
      <c r="J3049">
        <v>1</v>
      </c>
      <c r="K3049">
        <v>0</v>
      </c>
      <c r="L3049">
        <v>1</v>
      </c>
      <c r="M3049">
        <v>7</v>
      </c>
      <c r="N3049" t="s">
        <v>26</v>
      </c>
      <c r="O3049" t="s">
        <v>30</v>
      </c>
      <c r="P3049">
        <v>4.6613050883723703</v>
      </c>
      <c r="Q3049">
        <v>1.78173324243065</v>
      </c>
      <c r="R3049">
        <v>3.31271102840922</v>
      </c>
      <c r="S3049">
        <v>39</v>
      </c>
      <c r="T3049">
        <v>75</v>
      </c>
      <c r="U3049">
        <v>929.06316681873295</v>
      </c>
      <c r="V3049">
        <v>1.4350143501435E-3</v>
      </c>
      <c r="W3049">
        <v>4682158.7544096503</v>
      </c>
      <c r="X3049" t="s">
        <v>28</v>
      </c>
      <c r="Y3049">
        <f>1-530-966-6775</f>
        <v>-8270</v>
      </c>
    </row>
    <row r="3050" spans="1:25" x14ac:dyDescent="0.35">
      <c r="A3050">
        <v>32.8439850605236</v>
      </c>
      <c r="B3050">
        <v>-116.299486543173</v>
      </c>
      <c r="C3050" t="s">
        <v>34</v>
      </c>
      <c r="D3050">
        <v>25.170150167737699</v>
      </c>
      <c r="E3050">
        <v>7</v>
      </c>
      <c r="F3050">
        <v>2152</v>
      </c>
      <c r="G3050">
        <v>1</v>
      </c>
      <c r="H3050">
        <v>2</v>
      </c>
      <c r="I3050">
        <v>1955</v>
      </c>
      <c r="J3050">
        <v>1</v>
      </c>
      <c r="K3050">
        <v>0</v>
      </c>
      <c r="L3050">
        <v>0</v>
      </c>
      <c r="M3050">
        <v>3</v>
      </c>
      <c r="N3050" t="s">
        <v>26</v>
      </c>
      <c r="O3050" t="s">
        <v>27</v>
      </c>
      <c r="P3050">
        <v>6.5131878027125198</v>
      </c>
      <c r="Q3050">
        <v>1.0334710484749601</v>
      </c>
      <c r="R3050">
        <v>0.78721664588362905</v>
      </c>
      <c r="S3050">
        <v>22</v>
      </c>
      <c r="T3050">
        <v>39</v>
      </c>
      <c r="U3050">
        <v>666.28918590752096</v>
      </c>
      <c r="V3050">
        <v>1.3940520446096599E-3</v>
      </c>
      <c r="W3050">
        <v>1465546.51713191</v>
      </c>
      <c r="X3050" t="s">
        <v>33</v>
      </c>
      <c r="Y3050">
        <f>1-808-436-3997</f>
        <v>-5240</v>
      </c>
    </row>
    <row r="3051" spans="1:25" x14ac:dyDescent="0.35">
      <c r="A3051">
        <v>37.556977108286397</v>
      </c>
      <c r="B3051">
        <v>-115.679432914209</v>
      </c>
      <c r="C3051" t="s">
        <v>34</v>
      </c>
      <c r="D3051">
        <v>41.319796408193298</v>
      </c>
      <c r="E3051">
        <v>7</v>
      </c>
      <c r="F3051">
        <v>2876</v>
      </c>
      <c r="G3051">
        <v>1</v>
      </c>
      <c r="H3051">
        <v>1</v>
      </c>
      <c r="I3051">
        <v>1991</v>
      </c>
      <c r="J3051">
        <v>1</v>
      </c>
      <c r="K3051">
        <v>1</v>
      </c>
      <c r="L3051">
        <v>1</v>
      </c>
      <c r="M3051">
        <v>6</v>
      </c>
      <c r="N3051" t="s">
        <v>41</v>
      </c>
      <c r="O3051" t="s">
        <v>30</v>
      </c>
      <c r="P3051">
        <v>7.83260095190749</v>
      </c>
      <c r="Q3051">
        <v>0.93968003201649497</v>
      </c>
      <c r="R3051">
        <v>4.0952145696876503</v>
      </c>
      <c r="S3051">
        <v>10</v>
      </c>
      <c r="T3051">
        <v>42</v>
      </c>
      <c r="U3051">
        <v>355.38104947356197</v>
      </c>
      <c r="V3051">
        <v>2.0862308762169602E-3</v>
      </c>
      <c r="W3051">
        <v>1157566.01228666</v>
      </c>
      <c r="X3051" t="s">
        <v>31</v>
      </c>
      <c r="Y3051">
        <f>1-322-175-5666</f>
        <v>-6162</v>
      </c>
    </row>
    <row r="3052" spans="1:25" x14ac:dyDescent="0.35">
      <c r="A3052">
        <v>40.076686479168799</v>
      </c>
      <c r="B3052">
        <v>-118.63695096748199</v>
      </c>
      <c r="C3052" t="s">
        <v>25</v>
      </c>
      <c r="D3052">
        <v>34.369328053597798</v>
      </c>
      <c r="E3052">
        <v>6</v>
      </c>
      <c r="F3052">
        <v>1273</v>
      </c>
      <c r="G3052">
        <v>5</v>
      </c>
      <c r="H3052">
        <v>3</v>
      </c>
      <c r="I3052">
        <v>2012</v>
      </c>
      <c r="J3052">
        <v>0</v>
      </c>
      <c r="K3052">
        <v>1</v>
      </c>
      <c r="L3052">
        <v>1</v>
      </c>
      <c r="M3052">
        <v>6</v>
      </c>
      <c r="N3052" t="s">
        <v>26</v>
      </c>
      <c r="O3052" t="s">
        <v>32</v>
      </c>
      <c r="P3052">
        <v>11.371791209944901</v>
      </c>
      <c r="Q3052">
        <v>1.3491672283518501</v>
      </c>
      <c r="R3052">
        <v>2.5268325654044399</v>
      </c>
      <c r="S3052">
        <v>38</v>
      </c>
      <c r="T3052">
        <v>33</v>
      </c>
      <c r="U3052">
        <v>861.61559679282095</v>
      </c>
      <c r="V3052">
        <v>4.7132757266300004E-3</v>
      </c>
      <c r="W3052">
        <v>1635929.50945216</v>
      </c>
      <c r="X3052" t="s">
        <v>31</v>
      </c>
      <c r="Y3052">
        <f>1-409-848-9659</f>
        <v>-10915</v>
      </c>
    </row>
    <row r="3053" spans="1:25" x14ac:dyDescent="0.35">
      <c r="A3053">
        <v>41.200319371679498</v>
      </c>
      <c r="B3053">
        <v>-120.818980859023</v>
      </c>
      <c r="C3053" t="s">
        <v>34</v>
      </c>
      <c r="D3053">
        <v>21.241720132718001</v>
      </c>
      <c r="E3053">
        <v>4</v>
      </c>
      <c r="F3053">
        <v>2300</v>
      </c>
      <c r="G3053">
        <v>4</v>
      </c>
      <c r="H3053">
        <v>1</v>
      </c>
      <c r="I3053">
        <v>2016</v>
      </c>
      <c r="J3053">
        <v>0</v>
      </c>
      <c r="K3053">
        <v>0</v>
      </c>
      <c r="L3053">
        <v>1</v>
      </c>
      <c r="M3053">
        <v>12</v>
      </c>
      <c r="N3053" t="s">
        <v>35</v>
      </c>
      <c r="O3053" t="s">
        <v>27</v>
      </c>
      <c r="P3053">
        <v>2.95201460520751</v>
      </c>
      <c r="Q3053">
        <v>1.2747803102097099</v>
      </c>
      <c r="R3053">
        <v>8.5403358889008096</v>
      </c>
      <c r="S3053">
        <v>150</v>
      </c>
      <c r="T3053">
        <v>76</v>
      </c>
      <c r="U3053">
        <v>342.84874407505902</v>
      </c>
      <c r="V3053">
        <v>5.2173913043478204E-3</v>
      </c>
      <c r="W3053">
        <v>1015756.2786659</v>
      </c>
      <c r="X3053" t="s">
        <v>42</v>
      </c>
      <c r="Y3053">
        <f>1-483-108-4013</f>
        <v>-4603</v>
      </c>
    </row>
    <row r="3054" spans="1:25" x14ac:dyDescent="0.35">
      <c r="A3054">
        <v>37.717993284735201</v>
      </c>
      <c r="B3054">
        <v>-123.838527975736</v>
      </c>
      <c r="C3054" t="s">
        <v>25</v>
      </c>
      <c r="D3054">
        <v>35.576661624096701</v>
      </c>
      <c r="E3054">
        <v>3</v>
      </c>
      <c r="F3054">
        <v>984</v>
      </c>
      <c r="G3054">
        <v>5</v>
      </c>
      <c r="H3054">
        <v>2</v>
      </c>
      <c r="I3054">
        <v>2009</v>
      </c>
      <c r="J3054">
        <v>1</v>
      </c>
      <c r="K3054">
        <v>1</v>
      </c>
      <c r="L3054">
        <v>0</v>
      </c>
      <c r="M3054">
        <v>13</v>
      </c>
      <c r="N3054" t="s">
        <v>26</v>
      </c>
      <c r="O3054" t="s">
        <v>32</v>
      </c>
      <c r="P3054">
        <v>8.6099108190308495</v>
      </c>
      <c r="Q3054">
        <v>0.98115584888282004</v>
      </c>
      <c r="R3054">
        <v>9.2375261733984608</v>
      </c>
      <c r="S3054">
        <v>96</v>
      </c>
      <c r="T3054">
        <v>25</v>
      </c>
      <c r="U3054">
        <v>378.699377781046</v>
      </c>
      <c r="V3054">
        <v>1.3211382113821101E-2</v>
      </c>
      <c r="W3054">
        <v>807097.30187934299</v>
      </c>
      <c r="X3054" t="s">
        <v>40</v>
      </c>
      <c r="Y3054">
        <f>1-504-731-8958</f>
        <v>-10192</v>
      </c>
    </row>
    <row r="3055" spans="1:25" x14ac:dyDescent="0.35">
      <c r="A3055">
        <v>38.678208884092101</v>
      </c>
      <c r="B3055">
        <v>-116.55764656977</v>
      </c>
      <c r="C3055" t="s">
        <v>25</v>
      </c>
      <c r="D3055">
        <v>35.7241398722988</v>
      </c>
      <c r="E3055">
        <v>7</v>
      </c>
      <c r="F3055">
        <v>1306</v>
      </c>
      <c r="G3055">
        <v>2</v>
      </c>
      <c r="H3055">
        <v>2</v>
      </c>
      <c r="I3055">
        <v>2004</v>
      </c>
      <c r="J3055">
        <v>0</v>
      </c>
      <c r="K3055">
        <v>1</v>
      </c>
      <c r="L3055">
        <v>0</v>
      </c>
      <c r="M3055">
        <v>10</v>
      </c>
      <c r="N3055" t="s">
        <v>26</v>
      </c>
      <c r="O3055" t="s">
        <v>27</v>
      </c>
      <c r="P3055">
        <v>9.8202144579065198</v>
      </c>
      <c r="Q3055">
        <v>2.3763785434892801</v>
      </c>
      <c r="R3055">
        <v>1.25643357452742</v>
      </c>
      <c r="S3055">
        <v>93</v>
      </c>
      <c r="T3055">
        <v>61</v>
      </c>
      <c r="U3055">
        <v>514.61508398531805</v>
      </c>
      <c r="V3055">
        <v>7.6569678407350603E-3</v>
      </c>
      <c r="W3055">
        <v>935104.17414604395</v>
      </c>
      <c r="X3055" t="s">
        <v>28</v>
      </c>
      <c r="Y3055">
        <f>1-416-368-8275</f>
        <v>-9058</v>
      </c>
    </row>
    <row r="3056" spans="1:25" x14ac:dyDescent="0.35">
      <c r="A3056">
        <v>36.381203841529398</v>
      </c>
      <c r="B3056">
        <v>-117.27242140527601</v>
      </c>
      <c r="C3056" t="s">
        <v>25</v>
      </c>
      <c r="D3056">
        <v>46.966759024592299</v>
      </c>
      <c r="E3056">
        <v>9</v>
      </c>
      <c r="F3056">
        <v>3843</v>
      </c>
      <c r="G3056">
        <v>3</v>
      </c>
      <c r="H3056">
        <v>3</v>
      </c>
      <c r="I3056">
        <v>2015</v>
      </c>
      <c r="J3056">
        <v>0</v>
      </c>
      <c r="K3056">
        <v>1</v>
      </c>
      <c r="L3056">
        <v>1</v>
      </c>
      <c r="M3056">
        <v>4</v>
      </c>
      <c r="N3056" t="s">
        <v>35</v>
      </c>
      <c r="O3056" t="s">
        <v>32</v>
      </c>
      <c r="P3056">
        <v>8.8400671873373007</v>
      </c>
      <c r="Q3056">
        <v>1.29659790258343</v>
      </c>
      <c r="R3056">
        <v>2.8340945368909001</v>
      </c>
      <c r="S3056">
        <v>107</v>
      </c>
      <c r="T3056">
        <v>64</v>
      </c>
      <c r="U3056">
        <v>543.57940996391801</v>
      </c>
      <c r="V3056">
        <v>1.0408534998698901E-3</v>
      </c>
      <c r="W3056">
        <v>2533077.2335733101</v>
      </c>
      <c r="X3056" t="s">
        <v>43</v>
      </c>
      <c r="Y3056">
        <f>1-667-392-4904</f>
        <v>-5962</v>
      </c>
    </row>
    <row r="3057" spans="1:25" x14ac:dyDescent="0.35">
      <c r="A3057">
        <v>41.0808268234141</v>
      </c>
      <c r="B3057">
        <v>-119.61266173278101</v>
      </c>
      <c r="C3057" t="s">
        <v>34</v>
      </c>
      <c r="D3057">
        <v>37.982668409900398</v>
      </c>
      <c r="E3057">
        <v>5</v>
      </c>
      <c r="F3057">
        <v>1069</v>
      </c>
      <c r="G3057">
        <v>3</v>
      </c>
      <c r="H3057">
        <v>3</v>
      </c>
      <c r="I3057">
        <v>1962</v>
      </c>
      <c r="J3057">
        <v>1</v>
      </c>
      <c r="K3057">
        <v>1</v>
      </c>
      <c r="L3057">
        <v>1</v>
      </c>
      <c r="M3057">
        <v>13</v>
      </c>
      <c r="N3057" t="s">
        <v>35</v>
      </c>
      <c r="O3057" t="s">
        <v>27</v>
      </c>
      <c r="P3057">
        <v>14.6222397008182</v>
      </c>
      <c r="Q3057">
        <v>0.52051077212814401</v>
      </c>
      <c r="R3057">
        <v>0.67464682999236003</v>
      </c>
      <c r="S3057">
        <v>148</v>
      </c>
      <c r="T3057">
        <v>46</v>
      </c>
      <c r="U3057">
        <v>606.87518849184505</v>
      </c>
      <c r="V3057">
        <v>1.21608980355472E-2</v>
      </c>
      <c r="W3057">
        <v>1172222.69988337</v>
      </c>
      <c r="X3057" t="s">
        <v>38</v>
      </c>
      <c r="Y3057">
        <f>1-610-876-3335</f>
        <v>-4820</v>
      </c>
    </row>
    <row r="3058" spans="1:25" x14ac:dyDescent="0.35">
      <c r="A3058">
        <v>36.425901367239</v>
      </c>
      <c r="B3058">
        <v>-116.03163204460699</v>
      </c>
      <c r="C3058" t="s">
        <v>29</v>
      </c>
      <c r="D3058">
        <v>19.383733916239599</v>
      </c>
      <c r="E3058">
        <v>4</v>
      </c>
      <c r="F3058">
        <v>1570</v>
      </c>
      <c r="G3058">
        <v>2</v>
      </c>
      <c r="H3058">
        <v>3</v>
      </c>
      <c r="I3058">
        <v>2021</v>
      </c>
      <c r="J3058">
        <v>1</v>
      </c>
      <c r="K3058">
        <v>1</v>
      </c>
      <c r="L3058">
        <v>1</v>
      </c>
      <c r="M3058">
        <v>3</v>
      </c>
      <c r="N3058" t="s">
        <v>26</v>
      </c>
      <c r="O3058" t="s">
        <v>27</v>
      </c>
      <c r="P3058">
        <v>2.6059789122136099</v>
      </c>
      <c r="Q3058">
        <v>1.5418267832800601</v>
      </c>
      <c r="R3058">
        <v>2.5912403189564199</v>
      </c>
      <c r="S3058">
        <v>65</v>
      </c>
      <c r="T3058">
        <v>76</v>
      </c>
      <c r="U3058">
        <v>345.36176805131902</v>
      </c>
      <c r="V3058">
        <v>1.9108280254777001E-3</v>
      </c>
      <c r="W3058">
        <v>875736.14472959097</v>
      </c>
      <c r="X3058" t="s">
        <v>28</v>
      </c>
      <c r="Y3058">
        <f>1-699-601-9861</f>
        <v>-11160</v>
      </c>
    </row>
    <row r="3059" spans="1:25" x14ac:dyDescent="0.35">
      <c r="A3059">
        <v>40.688035368060198</v>
      </c>
      <c r="B3059">
        <v>-114.72109500821399</v>
      </c>
      <c r="C3059" t="s">
        <v>29</v>
      </c>
      <c r="D3059">
        <v>49.442094403404198</v>
      </c>
      <c r="E3059">
        <v>6</v>
      </c>
      <c r="F3059">
        <v>1672</v>
      </c>
      <c r="G3059">
        <v>2</v>
      </c>
      <c r="H3059">
        <v>2</v>
      </c>
      <c r="I3059">
        <v>1975</v>
      </c>
      <c r="J3059">
        <v>0</v>
      </c>
      <c r="K3059">
        <v>0</v>
      </c>
      <c r="L3059">
        <v>1</v>
      </c>
      <c r="M3059">
        <v>2</v>
      </c>
      <c r="N3059" t="s">
        <v>41</v>
      </c>
      <c r="O3059" t="s">
        <v>30</v>
      </c>
      <c r="P3059">
        <v>14.0121963345916</v>
      </c>
      <c r="Q3059">
        <v>2.4279954903129601</v>
      </c>
      <c r="R3059">
        <v>8.0309137688192092</v>
      </c>
      <c r="S3059">
        <v>12</v>
      </c>
      <c r="T3059">
        <v>27</v>
      </c>
      <c r="U3059">
        <v>905.01481629950604</v>
      </c>
      <c r="V3059">
        <v>1.1961722488038199E-3</v>
      </c>
      <c r="W3059">
        <v>1864439.4889264801</v>
      </c>
      <c r="X3059" t="s">
        <v>38</v>
      </c>
      <c r="Y3059">
        <f>1-670-929-3537</f>
        <v>-5135</v>
      </c>
    </row>
    <row r="3060" spans="1:25" x14ac:dyDescent="0.35">
      <c r="A3060">
        <v>40.970463784849898</v>
      </c>
      <c r="B3060">
        <v>-123.712526189785</v>
      </c>
      <c r="C3060" t="s">
        <v>29</v>
      </c>
      <c r="D3060">
        <v>26.7417991768231</v>
      </c>
      <c r="E3060">
        <v>3</v>
      </c>
      <c r="F3060">
        <v>3007</v>
      </c>
      <c r="G3060">
        <v>3</v>
      </c>
      <c r="H3060">
        <v>3</v>
      </c>
      <c r="I3060">
        <v>2016</v>
      </c>
      <c r="J3060">
        <v>1</v>
      </c>
      <c r="K3060">
        <v>0</v>
      </c>
      <c r="L3060">
        <v>1</v>
      </c>
      <c r="M3060">
        <v>8</v>
      </c>
      <c r="N3060" t="s">
        <v>35</v>
      </c>
      <c r="O3060" t="s">
        <v>27</v>
      </c>
      <c r="P3060">
        <v>3.9007883262320502</v>
      </c>
      <c r="Q3060">
        <v>1.0876927084658301</v>
      </c>
      <c r="R3060">
        <v>3.24102783337224</v>
      </c>
      <c r="S3060">
        <v>99</v>
      </c>
      <c r="T3060">
        <v>62</v>
      </c>
      <c r="U3060">
        <v>284.19962710916002</v>
      </c>
      <c r="V3060">
        <v>2.66045892916528E-3</v>
      </c>
      <c r="W3060">
        <v>1257118.0823776999</v>
      </c>
      <c r="X3060" t="s">
        <v>39</v>
      </c>
      <c r="Y3060">
        <f>1-792-187-7837</f>
        <v>-8815</v>
      </c>
    </row>
    <row r="3061" spans="1:25" x14ac:dyDescent="0.35">
      <c r="A3061">
        <v>37.927226762476302</v>
      </c>
      <c r="B3061">
        <v>-114.725189145347</v>
      </c>
      <c r="C3061" t="s">
        <v>25</v>
      </c>
      <c r="D3061">
        <v>16.804227410350599</v>
      </c>
      <c r="E3061">
        <v>3</v>
      </c>
      <c r="F3061">
        <v>4105</v>
      </c>
      <c r="G3061">
        <v>4</v>
      </c>
      <c r="H3061">
        <v>3</v>
      </c>
      <c r="I3061">
        <v>2017</v>
      </c>
      <c r="J3061">
        <v>1</v>
      </c>
      <c r="K3061">
        <v>1</v>
      </c>
      <c r="L3061">
        <v>1</v>
      </c>
      <c r="M3061">
        <v>4</v>
      </c>
      <c r="N3061" t="s">
        <v>41</v>
      </c>
      <c r="O3061" t="s">
        <v>27</v>
      </c>
      <c r="P3061">
        <v>2.06723683425508</v>
      </c>
      <c r="Q3061">
        <v>1.4469095137434</v>
      </c>
      <c r="R3061">
        <v>2.8616850591118999</v>
      </c>
      <c r="S3061">
        <v>65</v>
      </c>
      <c r="T3061">
        <v>23</v>
      </c>
      <c r="U3061">
        <v>905.06422700530095</v>
      </c>
      <c r="V3061">
        <v>9.7442143727162001E-4</v>
      </c>
      <c r="W3061">
        <v>4169052.9591265498</v>
      </c>
      <c r="X3061" t="s">
        <v>33</v>
      </c>
      <c r="Y3061">
        <f>1-478-653-9140</f>
        <v>-10270</v>
      </c>
    </row>
    <row r="3062" spans="1:25" x14ac:dyDescent="0.35">
      <c r="A3062">
        <v>34.0058150653689</v>
      </c>
      <c r="B3062">
        <v>-116.557311424532</v>
      </c>
      <c r="C3062" t="s">
        <v>34</v>
      </c>
      <c r="D3062">
        <v>42.929005082676198</v>
      </c>
      <c r="E3062">
        <v>0</v>
      </c>
      <c r="F3062">
        <v>1253</v>
      </c>
      <c r="G3062">
        <v>3</v>
      </c>
      <c r="H3062">
        <v>3</v>
      </c>
      <c r="I3062">
        <v>1956</v>
      </c>
      <c r="J3062">
        <v>1</v>
      </c>
      <c r="K3062">
        <v>0</v>
      </c>
      <c r="L3062">
        <v>0</v>
      </c>
      <c r="M3062">
        <v>11</v>
      </c>
      <c r="N3062" t="s">
        <v>37</v>
      </c>
      <c r="O3062" t="s">
        <v>30</v>
      </c>
      <c r="P3062">
        <v>10.6523849278674</v>
      </c>
      <c r="Q3062">
        <v>1.4735289163016001</v>
      </c>
      <c r="R3062">
        <v>2.6823923447846401</v>
      </c>
      <c r="S3062">
        <v>19</v>
      </c>
      <c r="T3062">
        <v>73</v>
      </c>
      <c r="U3062">
        <v>549.20747673798701</v>
      </c>
      <c r="V3062">
        <v>8.7789305666400603E-3</v>
      </c>
      <c r="W3062">
        <v>929600.86901944596</v>
      </c>
      <c r="X3062" t="s">
        <v>40</v>
      </c>
      <c r="Y3062">
        <f>1-806-290-1432</f>
        <v>-2527</v>
      </c>
    </row>
    <row r="3063" spans="1:25" x14ac:dyDescent="0.35">
      <c r="A3063">
        <v>33.675408027304798</v>
      </c>
      <c r="B3063">
        <v>-118.598236783942</v>
      </c>
      <c r="C3063" t="s">
        <v>29</v>
      </c>
      <c r="D3063">
        <v>10.918679471459701</v>
      </c>
      <c r="E3063">
        <v>3</v>
      </c>
      <c r="F3063">
        <v>1555</v>
      </c>
      <c r="G3063">
        <v>1</v>
      </c>
      <c r="H3063">
        <v>3</v>
      </c>
      <c r="I3063">
        <v>2022</v>
      </c>
      <c r="J3063">
        <v>0</v>
      </c>
      <c r="K3063">
        <v>0</v>
      </c>
      <c r="L3063">
        <v>1</v>
      </c>
      <c r="M3063">
        <v>2</v>
      </c>
      <c r="N3063" t="s">
        <v>26</v>
      </c>
      <c r="O3063" t="s">
        <v>32</v>
      </c>
      <c r="P3063">
        <v>13.437367663561901</v>
      </c>
      <c r="Q3063">
        <v>2.3689320942156402</v>
      </c>
      <c r="R3063">
        <v>4.3350188585570404</v>
      </c>
      <c r="S3063">
        <v>41</v>
      </c>
      <c r="T3063">
        <v>47</v>
      </c>
      <c r="U3063">
        <v>879.31739037521299</v>
      </c>
      <c r="V3063">
        <v>1.2861736334405099E-3</v>
      </c>
      <c r="W3063">
        <v>1696310.1244500501</v>
      </c>
      <c r="X3063" t="s">
        <v>38</v>
      </c>
      <c r="Y3063">
        <f>1-778-466-8828</f>
        <v>-10071</v>
      </c>
    </row>
    <row r="3064" spans="1:25" x14ac:dyDescent="0.35">
      <c r="A3064">
        <v>39.083152965805901</v>
      </c>
      <c r="B3064">
        <v>-121.730135292157</v>
      </c>
      <c r="C3064" t="s">
        <v>34</v>
      </c>
      <c r="D3064">
        <v>39.380986709055897</v>
      </c>
      <c r="E3064">
        <v>0</v>
      </c>
      <c r="F3064">
        <v>3458</v>
      </c>
      <c r="G3064">
        <v>1</v>
      </c>
      <c r="H3064">
        <v>1</v>
      </c>
      <c r="I3064">
        <v>1963</v>
      </c>
      <c r="J3064">
        <v>1</v>
      </c>
      <c r="K3064">
        <v>1</v>
      </c>
      <c r="L3064">
        <v>1</v>
      </c>
      <c r="M3064">
        <v>4</v>
      </c>
      <c r="N3064" t="s">
        <v>26</v>
      </c>
      <c r="O3064" t="s">
        <v>32</v>
      </c>
      <c r="P3064">
        <v>10.4136401596413</v>
      </c>
      <c r="Q3064">
        <v>0.913081542346873</v>
      </c>
      <c r="R3064">
        <v>4.00354477117987</v>
      </c>
      <c r="S3064">
        <v>100</v>
      </c>
      <c r="T3064">
        <v>54</v>
      </c>
      <c r="U3064">
        <v>888.60939734596002</v>
      </c>
      <c r="V3064">
        <v>1.15673799884326E-3</v>
      </c>
      <c r="W3064">
        <v>3258931.75723451</v>
      </c>
      <c r="X3064" t="s">
        <v>31</v>
      </c>
      <c r="Y3064">
        <f>1-274-549-7017</f>
        <v>-7839</v>
      </c>
    </row>
    <row r="3065" spans="1:25" x14ac:dyDescent="0.35">
      <c r="A3065">
        <v>34.142271935215803</v>
      </c>
      <c r="B3065">
        <v>-122.685349975694</v>
      </c>
      <c r="C3065" t="s">
        <v>29</v>
      </c>
      <c r="D3065">
        <v>19.356161571393599</v>
      </c>
      <c r="E3065">
        <v>5</v>
      </c>
      <c r="F3065">
        <v>2061</v>
      </c>
      <c r="G3065">
        <v>1</v>
      </c>
      <c r="H3065">
        <v>3</v>
      </c>
      <c r="I3065">
        <v>1964</v>
      </c>
      <c r="J3065">
        <v>0</v>
      </c>
      <c r="K3065">
        <v>1</v>
      </c>
      <c r="L3065">
        <v>0</v>
      </c>
      <c r="M3065">
        <v>12</v>
      </c>
      <c r="N3065" t="s">
        <v>26</v>
      </c>
      <c r="O3065" t="s">
        <v>32</v>
      </c>
      <c r="P3065">
        <v>9.4651259647325396</v>
      </c>
      <c r="Q3065">
        <v>0.72384809707420295</v>
      </c>
      <c r="R3065">
        <v>6.5262772271982197</v>
      </c>
      <c r="S3065">
        <v>154</v>
      </c>
      <c r="T3065">
        <v>46</v>
      </c>
      <c r="U3065">
        <v>344.893586239652</v>
      </c>
      <c r="V3065">
        <v>5.8224163027656402E-3</v>
      </c>
      <c r="W3065">
        <v>854398.52959792397</v>
      </c>
      <c r="X3065" t="s">
        <v>43</v>
      </c>
      <c r="Y3065">
        <f>1-286-488-9598</f>
        <v>-10371</v>
      </c>
    </row>
    <row r="3066" spans="1:25" x14ac:dyDescent="0.35">
      <c r="A3066">
        <v>33.659043391286701</v>
      </c>
      <c r="B3066">
        <v>-117.60165473269301</v>
      </c>
      <c r="C3066" t="s">
        <v>29</v>
      </c>
      <c r="D3066">
        <v>15.0292580206947</v>
      </c>
      <c r="E3066">
        <v>1</v>
      </c>
      <c r="F3066">
        <v>3783</v>
      </c>
      <c r="G3066">
        <v>2</v>
      </c>
      <c r="H3066">
        <v>3</v>
      </c>
      <c r="I3066">
        <v>1978</v>
      </c>
      <c r="J3066">
        <v>0</v>
      </c>
      <c r="K3066">
        <v>0</v>
      </c>
      <c r="L3066">
        <v>0</v>
      </c>
      <c r="M3066">
        <v>8</v>
      </c>
      <c r="N3066" t="s">
        <v>35</v>
      </c>
      <c r="O3066" t="s">
        <v>32</v>
      </c>
      <c r="P3066">
        <v>9.5336092603297509</v>
      </c>
      <c r="Q3066">
        <v>1.7438811857458301</v>
      </c>
      <c r="R3066">
        <v>6.7094378599448996</v>
      </c>
      <c r="S3066">
        <v>36</v>
      </c>
      <c r="T3066">
        <v>46</v>
      </c>
      <c r="U3066">
        <v>521.809270654805</v>
      </c>
      <c r="V3066">
        <v>2.1147237642083002E-3</v>
      </c>
      <c r="W3066">
        <v>2122620.11765324</v>
      </c>
      <c r="X3066" t="s">
        <v>33</v>
      </c>
      <c r="Y3066">
        <f>1-473-850-8383</f>
        <v>-9705</v>
      </c>
    </row>
    <row r="3067" spans="1:25" x14ac:dyDescent="0.35">
      <c r="A3067">
        <v>40.356351663140501</v>
      </c>
      <c r="B3067">
        <v>-114.74879593957699</v>
      </c>
      <c r="C3067" t="s">
        <v>34</v>
      </c>
      <c r="D3067">
        <v>11.0434058310405</v>
      </c>
      <c r="E3067">
        <v>5</v>
      </c>
      <c r="F3067">
        <v>4031</v>
      </c>
      <c r="G3067">
        <v>2</v>
      </c>
      <c r="H3067">
        <v>3</v>
      </c>
      <c r="I3067">
        <v>1992</v>
      </c>
      <c r="J3067">
        <v>1</v>
      </c>
      <c r="K3067">
        <v>1</v>
      </c>
      <c r="L3067">
        <v>0</v>
      </c>
      <c r="M3067">
        <v>4</v>
      </c>
      <c r="N3067" t="s">
        <v>26</v>
      </c>
      <c r="O3067" t="s">
        <v>30</v>
      </c>
      <c r="P3067">
        <v>11.958552306974401</v>
      </c>
      <c r="Q3067">
        <v>2.45523200150497</v>
      </c>
      <c r="R3067">
        <v>3.8141210731918198</v>
      </c>
      <c r="S3067">
        <v>190</v>
      </c>
      <c r="T3067">
        <v>28</v>
      </c>
      <c r="U3067">
        <v>460.11325368325402</v>
      </c>
      <c r="V3067">
        <v>9.9230960059538509E-4</v>
      </c>
      <c r="W3067">
        <v>2134877.6143590901</v>
      </c>
      <c r="X3067" t="s">
        <v>39</v>
      </c>
      <c r="Y3067">
        <f>1-501-558-7186</f>
        <v>-8244</v>
      </c>
    </row>
    <row r="3068" spans="1:25" x14ac:dyDescent="0.35">
      <c r="A3068">
        <v>40.489028266867201</v>
      </c>
      <c r="B3068">
        <v>-114.722871517486</v>
      </c>
      <c r="C3068" t="s">
        <v>34</v>
      </c>
      <c r="D3068">
        <v>2.46106720352787</v>
      </c>
      <c r="E3068">
        <v>6</v>
      </c>
      <c r="F3068">
        <v>1589</v>
      </c>
      <c r="G3068">
        <v>4</v>
      </c>
      <c r="H3068">
        <v>3</v>
      </c>
      <c r="I3068">
        <v>1984</v>
      </c>
      <c r="J3068">
        <v>0</v>
      </c>
      <c r="K3068">
        <v>1</v>
      </c>
      <c r="L3068">
        <v>1</v>
      </c>
      <c r="M3068">
        <v>5</v>
      </c>
      <c r="N3068" t="s">
        <v>35</v>
      </c>
      <c r="O3068" t="s">
        <v>30</v>
      </c>
      <c r="P3068">
        <v>8.6844821975471493</v>
      </c>
      <c r="Q3068">
        <v>2.06218435289157</v>
      </c>
      <c r="R3068">
        <v>3.4963532875646401</v>
      </c>
      <c r="S3068">
        <v>174</v>
      </c>
      <c r="T3068">
        <v>58</v>
      </c>
      <c r="U3068">
        <v>996.52734453224798</v>
      </c>
      <c r="V3068">
        <v>3.1466331025802301E-3</v>
      </c>
      <c r="W3068">
        <v>2025312.0164930399</v>
      </c>
      <c r="X3068" t="s">
        <v>31</v>
      </c>
      <c r="Y3068">
        <f>1-252-615-1419</f>
        <v>-2285</v>
      </c>
    </row>
    <row r="3069" spans="1:25" x14ac:dyDescent="0.35">
      <c r="A3069">
        <v>34.2722617882525</v>
      </c>
      <c r="B3069">
        <v>-116.614868434611</v>
      </c>
      <c r="C3069" t="s">
        <v>34</v>
      </c>
      <c r="D3069">
        <v>25.865661985777599</v>
      </c>
      <c r="E3069">
        <v>9</v>
      </c>
      <c r="F3069">
        <v>3982</v>
      </c>
      <c r="G3069">
        <v>1</v>
      </c>
      <c r="H3069">
        <v>2</v>
      </c>
      <c r="I3069">
        <v>1989</v>
      </c>
      <c r="J3069">
        <v>0</v>
      </c>
      <c r="K3069">
        <v>1</v>
      </c>
      <c r="L3069">
        <v>0</v>
      </c>
      <c r="M3069">
        <v>12</v>
      </c>
      <c r="N3069" t="s">
        <v>35</v>
      </c>
      <c r="O3069" t="s">
        <v>32</v>
      </c>
      <c r="P3069">
        <v>13.7566930559138</v>
      </c>
      <c r="Q3069">
        <v>1.8966239265931599</v>
      </c>
      <c r="R3069">
        <v>5.5735474324311998</v>
      </c>
      <c r="S3069">
        <v>62</v>
      </c>
      <c r="T3069">
        <v>52</v>
      </c>
      <c r="U3069">
        <v>218.62469179255601</v>
      </c>
      <c r="V3069">
        <v>3.0135610246107402E-3</v>
      </c>
      <c r="W3069">
        <v>1134445.0096575201</v>
      </c>
      <c r="X3069" t="s">
        <v>31</v>
      </c>
      <c r="Y3069">
        <f>1-985-104-3959</f>
        <v>-5047</v>
      </c>
    </row>
    <row r="3070" spans="1:25" x14ac:dyDescent="0.35">
      <c r="A3070">
        <v>39.3742972769735</v>
      </c>
      <c r="B3070">
        <v>-121.438445634565</v>
      </c>
      <c r="C3070" t="s">
        <v>29</v>
      </c>
      <c r="D3070">
        <v>30.022371808873501</v>
      </c>
      <c r="E3070">
        <v>8</v>
      </c>
      <c r="F3070">
        <v>1150</v>
      </c>
      <c r="G3070">
        <v>4</v>
      </c>
      <c r="H3070">
        <v>2</v>
      </c>
      <c r="I3070">
        <v>1999</v>
      </c>
      <c r="J3070">
        <v>1</v>
      </c>
      <c r="K3070">
        <v>0</v>
      </c>
      <c r="L3070">
        <v>0</v>
      </c>
      <c r="M3070">
        <v>8</v>
      </c>
      <c r="N3070" t="s">
        <v>35</v>
      </c>
      <c r="O3070" t="s">
        <v>30</v>
      </c>
      <c r="P3070">
        <v>14.5629460066612</v>
      </c>
      <c r="Q3070">
        <v>1.88638059782817</v>
      </c>
      <c r="R3070">
        <v>6.4101453895088403</v>
      </c>
      <c r="S3070">
        <v>70</v>
      </c>
      <c r="T3070">
        <v>41</v>
      </c>
      <c r="U3070">
        <v>379.71888602647999</v>
      </c>
      <c r="V3070">
        <v>6.9565217391304298E-3</v>
      </c>
      <c r="W3070">
        <v>829921.27326136304</v>
      </c>
      <c r="X3070" t="s">
        <v>42</v>
      </c>
      <c r="Y3070">
        <f>1-404-914-5371</f>
        <v>-6688</v>
      </c>
    </row>
    <row r="3071" spans="1:25" x14ac:dyDescent="0.35">
      <c r="A3071">
        <v>39.939019735224299</v>
      </c>
      <c r="B3071">
        <v>-119.991569274559</v>
      </c>
      <c r="C3071" t="s">
        <v>29</v>
      </c>
      <c r="D3071">
        <v>2.4522656492799899</v>
      </c>
      <c r="E3071">
        <v>4</v>
      </c>
      <c r="F3071">
        <v>2056</v>
      </c>
      <c r="G3071">
        <v>5</v>
      </c>
      <c r="H3071">
        <v>2</v>
      </c>
      <c r="I3071">
        <v>1963</v>
      </c>
      <c r="J3071">
        <v>0</v>
      </c>
      <c r="K3071">
        <v>0</v>
      </c>
      <c r="L3071">
        <v>0</v>
      </c>
      <c r="M3071">
        <v>2</v>
      </c>
      <c r="N3071" t="s">
        <v>41</v>
      </c>
      <c r="O3071" t="s">
        <v>32</v>
      </c>
      <c r="P3071">
        <v>3.04576478246483</v>
      </c>
      <c r="Q3071">
        <v>2.1160111217226398</v>
      </c>
      <c r="R3071">
        <v>1.1750742175023501</v>
      </c>
      <c r="S3071">
        <v>153</v>
      </c>
      <c r="T3071">
        <v>68</v>
      </c>
      <c r="U3071">
        <v>471.25627118648998</v>
      </c>
      <c r="V3071">
        <v>9.7276264591439603E-4</v>
      </c>
      <c r="W3071">
        <v>1205017.21375802</v>
      </c>
      <c r="X3071" t="s">
        <v>44</v>
      </c>
      <c r="Y3071">
        <f>1-677-868-7585</f>
        <v>-9129</v>
      </c>
    </row>
    <row r="3072" spans="1:25" x14ac:dyDescent="0.35">
      <c r="A3072">
        <v>37.883425358924299</v>
      </c>
      <c r="B3072">
        <v>-123.917184838563</v>
      </c>
      <c r="C3072" t="s">
        <v>29</v>
      </c>
      <c r="D3072">
        <v>16.318465044564899</v>
      </c>
      <c r="E3072">
        <v>6</v>
      </c>
      <c r="F3072">
        <v>3095</v>
      </c>
      <c r="G3072">
        <v>1</v>
      </c>
      <c r="H3072">
        <v>3</v>
      </c>
      <c r="I3072">
        <v>2022</v>
      </c>
      <c r="J3072">
        <v>1</v>
      </c>
      <c r="K3072">
        <v>1</v>
      </c>
      <c r="L3072">
        <v>0</v>
      </c>
      <c r="M3072">
        <v>12</v>
      </c>
      <c r="N3072" t="s">
        <v>26</v>
      </c>
      <c r="O3072" t="s">
        <v>32</v>
      </c>
      <c r="P3072">
        <v>5.3592970279548204</v>
      </c>
      <c r="Q3072">
        <v>2.29235548072606</v>
      </c>
      <c r="R3072">
        <v>4.0489373081781297</v>
      </c>
      <c r="S3072">
        <v>60</v>
      </c>
      <c r="T3072">
        <v>77</v>
      </c>
      <c r="U3072">
        <v>704.28155669188095</v>
      </c>
      <c r="V3072">
        <v>3.8772213247172801E-3</v>
      </c>
      <c r="W3072">
        <v>2448395.1317506698</v>
      </c>
      <c r="X3072" t="s">
        <v>28</v>
      </c>
      <c r="Y3072">
        <f>1-540-755-2668</f>
        <v>-3962</v>
      </c>
    </row>
    <row r="3073" spans="1:25" x14ac:dyDescent="0.35">
      <c r="A3073">
        <v>41.9389214977612</v>
      </c>
      <c r="B3073">
        <v>-119.199039279632</v>
      </c>
      <c r="C3073" t="s">
        <v>25</v>
      </c>
      <c r="D3073">
        <v>31.663781087526001</v>
      </c>
      <c r="E3073">
        <v>2</v>
      </c>
      <c r="F3073">
        <v>867</v>
      </c>
      <c r="G3073">
        <v>1</v>
      </c>
      <c r="H3073">
        <v>2</v>
      </c>
      <c r="I3073">
        <v>1985</v>
      </c>
      <c r="J3073">
        <v>0</v>
      </c>
      <c r="K3073">
        <v>1</v>
      </c>
      <c r="L3073">
        <v>1</v>
      </c>
      <c r="M3073">
        <v>5</v>
      </c>
      <c r="N3073" t="s">
        <v>37</v>
      </c>
      <c r="O3073" t="s">
        <v>32</v>
      </c>
      <c r="P3073">
        <v>3.65991168151545</v>
      </c>
      <c r="Q3073">
        <v>1.6510321956199201</v>
      </c>
      <c r="R3073">
        <v>8.6826187782460096</v>
      </c>
      <c r="S3073">
        <v>197</v>
      </c>
      <c r="T3073">
        <v>25</v>
      </c>
      <c r="U3073">
        <v>961.57513486265805</v>
      </c>
      <c r="V3073">
        <v>5.7670126874279099E-3</v>
      </c>
      <c r="W3073">
        <v>1005425.0225817499</v>
      </c>
      <c r="X3073" t="s">
        <v>42</v>
      </c>
      <c r="Y3073">
        <f>1-483-749-2849</f>
        <v>-4080</v>
      </c>
    </row>
    <row r="3074" spans="1:25" x14ac:dyDescent="0.35">
      <c r="A3074">
        <v>33.988932388210998</v>
      </c>
      <c r="B3074">
        <v>-115.9065250531</v>
      </c>
      <c r="C3074" t="s">
        <v>29</v>
      </c>
      <c r="D3074">
        <v>48.602107442364698</v>
      </c>
      <c r="E3074">
        <v>6</v>
      </c>
      <c r="F3074">
        <v>2044</v>
      </c>
      <c r="G3074">
        <v>4</v>
      </c>
      <c r="H3074">
        <v>3</v>
      </c>
      <c r="I3074">
        <v>1952</v>
      </c>
      <c r="J3074">
        <v>1</v>
      </c>
      <c r="K3074">
        <v>0</v>
      </c>
      <c r="L3074">
        <v>1</v>
      </c>
      <c r="M3074">
        <v>5</v>
      </c>
      <c r="N3074" t="s">
        <v>35</v>
      </c>
      <c r="O3074" t="s">
        <v>32</v>
      </c>
      <c r="P3074">
        <v>7.6193500205491302</v>
      </c>
      <c r="Q3074">
        <v>0.65996876208830202</v>
      </c>
      <c r="R3074">
        <v>3.4772658737407198</v>
      </c>
      <c r="S3074">
        <v>81</v>
      </c>
      <c r="T3074">
        <v>63</v>
      </c>
      <c r="U3074">
        <v>312.21357380800202</v>
      </c>
      <c r="V3074">
        <v>2.4461839530332602E-3</v>
      </c>
      <c r="W3074">
        <v>930725.77998937201</v>
      </c>
      <c r="X3074" t="s">
        <v>42</v>
      </c>
      <c r="Y3074">
        <f>1-219-417-2975</f>
        <v>-3610</v>
      </c>
    </row>
    <row r="3075" spans="1:25" x14ac:dyDescent="0.35">
      <c r="A3075">
        <v>41.737355210333902</v>
      </c>
      <c r="B3075">
        <v>-118.58075338433601</v>
      </c>
      <c r="C3075" t="s">
        <v>34</v>
      </c>
      <c r="D3075">
        <v>9.3177590238108206</v>
      </c>
      <c r="E3075">
        <v>5</v>
      </c>
      <c r="F3075">
        <v>4499</v>
      </c>
      <c r="G3075">
        <v>4</v>
      </c>
      <c r="H3075">
        <v>3</v>
      </c>
      <c r="I3075">
        <v>2015</v>
      </c>
      <c r="J3075">
        <v>0</v>
      </c>
      <c r="K3075">
        <v>0</v>
      </c>
      <c r="L3075">
        <v>1</v>
      </c>
      <c r="M3075">
        <v>3</v>
      </c>
      <c r="N3075" t="s">
        <v>26</v>
      </c>
      <c r="O3075" t="s">
        <v>30</v>
      </c>
      <c r="P3075">
        <v>8.2188709431035001</v>
      </c>
      <c r="Q3075">
        <v>1.03205575879846</v>
      </c>
      <c r="R3075">
        <v>4.3554204068589604</v>
      </c>
      <c r="S3075">
        <v>132</v>
      </c>
      <c r="T3075">
        <v>39</v>
      </c>
      <c r="U3075">
        <v>714.04774591212504</v>
      </c>
      <c r="V3075">
        <v>6.6681484774394303E-4</v>
      </c>
      <c r="W3075">
        <v>3528474.7197641302</v>
      </c>
      <c r="X3075" t="s">
        <v>36</v>
      </c>
      <c r="Y3075">
        <f>1-308-191-5990</f>
        <v>-6488</v>
      </c>
    </row>
    <row r="3076" spans="1:25" x14ac:dyDescent="0.35">
      <c r="A3076">
        <v>33.040723070414799</v>
      </c>
      <c r="B3076">
        <v>-116.458166337568</v>
      </c>
      <c r="C3076" t="s">
        <v>34</v>
      </c>
      <c r="D3076">
        <v>39.559164749691199</v>
      </c>
      <c r="E3076">
        <v>3</v>
      </c>
      <c r="F3076">
        <v>2199</v>
      </c>
      <c r="G3076">
        <v>1</v>
      </c>
      <c r="H3076">
        <v>3</v>
      </c>
      <c r="I3076">
        <v>1969</v>
      </c>
      <c r="J3076">
        <v>1</v>
      </c>
      <c r="K3076">
        <v>1</v>
      </c>
      <c r="L3076">
        <v>0</v>
      </c>
      <c r="M3076">
        <v>10</v>
      </c>
      <c r="N3076" t="s">
        <v>37</v>
      </c>
      <c r="O3076" t="s">
        <v>32</v>
      </c>
      <c r="P3076">
        <v>5.1286429156264797</v>
      </c>
      <c r="Q3076">
        <v>0.52598775562741495</v>
      </c>
      <c r="R3076">
        <v>7.1269249571552802</v>
      </c>
      <c r="S3076">
        <v>183</v>
      </c>
      <c r="T3076">
        <v>63</v>
      </c>
      <c r="U3076">
        <v>945.95375637803704</v>
      </c>
      <c r="V3076">
        <v>4.5475216007276002E-3</v>
      </c>
      <c r="W3076">
        <v>2337902.7495757798</v>
      </c>
      <c r="X3076" t="s">
        <v>33</v>
      </c>
      <c r="Y3076">
        <f>1-769-901-3025</f>
        <v>-4694</v>
      </c>
    </row>
    <row r="3077" spans="1:25" x14ac:dyDescent="0.35">
      <c r="A3077">
        <v>41.5997813751788</v>
      </c>
      <c r="B3077">
        <v>-115.05849268574001</v>
      </c>
      <c r="C3077" t="s">
        <v>25</v>
      </c>
      <c r="D3077">
        <v>20.849980005108399</v>
      </c>
      <c r="E3077">
        <v>1</v>
      </c>
      <c r="F3077">
        <v>4326</v>
      </c>
      <c r="G3077">
        <v>2</v>
      </c>
      <c r="H3077">
        <v>1</v>
      </c>
      <c r="I3077">
        <v>1974</v>
      </c>
      <c r="J3077">
        <v>0</v>
      </c>
      <c r="K3077">
        <v>1</v>
      </c>
      <c r="L3077">
        <v>1</v>
      </c>
      <c r="M3077">
        <v>2</v>
      </c>
      <c r="N3077" t="s">
        <v>41</v>
      </c>
      <c r="O3077" t="s">
        <v>30</v>
      </c>
      <c r="P3077">
        <v>7.0201721129708803</v>
      </c>
      <c r="Q3077">
        <v>2.1150162360054598</v>
      </c>
      <c r="R3077">
        <v>2.4033934373161698</v>
      </c>
      <c r="S3077">
        <v>0</v>
      </c>
      <c r="T3077">
        <v>35</v>
      </c>
      <c r="U3077">
        <v>999.521766140164</v>
      </c>
      <c r="V3077">
        <v>4.6232085067036499E-4</v>
      </c>
      <c r="W3077">
        <v>4546942.4488356104</v>
      </c>
      <c r="X3077" t="s">
        <v>31</v>
      </c>
      <c r="Y3077">
        <f>1-249-779-2617</f>
        <v>-3644</v>
      </c>
    </row>
    <row r="3078" spans="1:25" x14ac:dyDescent="0.35">
      <c r="A3078">
        <v>33.572148140316102</v>
      </c>
      <c r="B3078">
        <v>-115.146524656906</v>
      </c>
      <c r="C3078" t="s">
        <v>34</v>
      </c>
      <c r="D3078">
        <v>4.0274108705318703</v>
      </c>
      <c r="E3078">
        <v>4</v>
      </c>
      <c r="F3078">
        <v>1594</v>
      </c>
      <c r="G3078">
        <v>3</v>
      </c>
      <c r="H3078">
        <v>3</v>
      </c>
      <c r="I3078">
        <v>2022</v>
      </c>
      <c r="J3078">
        <v>0</v>
      </c>
      <c r="K3078">
        <v>1</v>
      </c>
      <c r="L3078">
        <v>0</v>
      </c>
      <c r="M3078">
        <v>4</v>
      </c>
      <c r="N3078" t="s">
        <v>35</v>
      </c>
      <c r="O3078" t="s">
        <v>30</v>
      </c>
      <c r="P3078">
        <v>10.504924705269</v>
      </c>
      <c r="Q3078">
        <v>1.10580837033764</v>
      </c>
      <c r="R3078">
        <v>7.2882065453908602</v>
      </c>
      <c r="S3078">
        <v>92</v>
      </c>
      <c r="T3078">
        <v>77</v>
      </c>
      <c r="U3078">
        <v>515.27360220641799</v>
      </c>
      <c r="V3078">
        <v>2.50941028858218E-3</v>
      </c>
      <c r="W3078">
        <v>1159013.23100743</v>
      </c>
      <c r="X3078" t="s">
        <v>31</v>
      </c>
      <c r="Y3078">
        <f>1-943-322-9574</f>
        <v>-10838</v>
      </c>
    </row>
    <row r="3079" spans="1:25" x14ac:dyDescent="0.35">
      <c r="A3079">
        <v>34.199774434120201</v>
      </c>
      <c r="B3079">
        <v>-115.01872914120101</v>
      </c>
      <c r="C3079" t="s">
        <v>34</v>
      </c>
      <c r="D3079">
        <v>29.817587399973299</v>
      </c>
      <c r="E3079">
        <v>4</v>
      </c>
      <c r="F3079">
        <v>4243</v>
      </c>
      <c r="G3079">
        <v>4</v>
      </c>
      <c r="H3079">
        <v>3</v>
      </c>
      <c r="I3079">
        <v>1974</v>
      </c>
      <c r="J3079">
        <v>1</v>
      </c>
      <c r="K3079">
        <v>0</v>
      </c>
      <c r="L3079">
        <v>0</v>
      </c>
      <c r="M3079">
        <v>12</v>
      </c>
      <c r="N3079" t="s">
        <v>41</v>
      </c>
      <c r="O3079" t="s">
        <v>32</v>
      </c>
      <c r="P3079">
        <v>11.437985556728</v>
      </c>
      <c r="Q3079">
        <v>0.98760303402802696</v>
      </c>
      <c r="R3079">
        <v>2.60661951610293</v>
      </c>
      <c r="S3079">
        <v>122</v>
      </c>
      <c r="T3079">
        <v>75</v>
      </c>
      <c r="U3079">
        <v>358.68986129412201</v>
      </c>
      <c r="V3079">
        <v>2.8281876031110002E-3</v>
      </c>
      <c r="W3079">
        <v>1856694.9008788699</v>
      </c>
      <c r="X3079" t="s">
        <v>42</v>
      </c>
      <c r="Y3079">
        <f>1-983-858-6837</f>
        <v>-8677</v>
      </c>
    </row>
    <row r="3080" spans="1:25" x14ac:dyDescent="0.35">
      <c r="A3080">
        <v>40.02969651307</v>
      </c>
      <c r="B3080">
        <v>-120.495788789252</v>
      </c>
      <c r="C3080" t="s">
        <v>25</v>
      </c>
      <c r="D3080">
        <v>17.681344212399701</v>
      </c>
      <c r="E3080">
        <v>3</v>
      </c>
      <c r="F3080">
        <v>3469</v>
      </c>
      <c r="G3080">
        <v>4</v>
      </c>
      <c r="H3080">
        <v>2</v>
      </c>
      <c r="I3080">
        <v>1982</v>
      </c>
      <c r="J3080">
        <v>0</v>
      </c>
      <c r="K3080">
        <v>0</v>
      </c>
      <c r="L3080">
        <v>1</v>
      </c>
      <c r="M3080">
        <v>10</v>
      </c>
      <c r="N3080" t="s">
        <v>37</v>
      </c>
      <c r="O3080" t="s">
        <v>30</v>
      </c>
      <c r="P3080">
        <v>7.9228303222233301</v>
      </c>
      <c r="Q3080">
        <v>0.70353099128549101</v>
      </c>
      <c r="R3080">
        <v>5.2844463745597103</v>
      </c>
      <c r="S3080">
        <v>12</v>
      </c>
      <c r="T3080">
        <v>77</v>
      </c>
      <c r="U3080">
        <v>700.59532046224501</v>
      </c>
      <c r="V3080">
        <v>2.8826751225136901E-3</v>
      </c>
      <c r="W3080">
        <v>2639169.1713172402</v>
      </c>
      <c r="X3080" t="s">
        <v>28</v>
      </c>
      <c r="Y3080">
        <f>1-699-831-9378</f>
        <v>-10907</v>
      </c>
    </row>
    <row r="3081" spans="1:25" x14ac:dyDescent="0.35">
      <c r="A3081">
        <v>39.556990271844398</v>
      </c>
      <c r="B3081">
        <v>-118.424672646316</v>
      </c>
      <c r="C3081" t="s">
        <v>29</v>
      </c>
      <c r="D3081">
        <v>2.5915552834956102</v>
      </c>
      <c r="E3081">
        <v>8</v>
      </c>
      <c r="F3081">
        <v>3035</v>
      </c>
      <c r="G3081">
        <v>3</v>
      </c>
      <c r="H3081">
        <v>2</v>
      </c>
      <c r="I3081">
        <v>2002</v>
      </c>
      <c r="J3081">
        <v>1</v>
      </c>
      <c r="K3081">
        <v>1</v>
      </c>
      <c r="L3081">
        <v>1</v>
      </c>
      <c r="M3081">
        <v>14</v>
      </c>
      <c r="N3081" t="s">
        <v>37</v>
      </c>
      <c r="O3081" t="s">
        <v>30</v>
      </c>
      <c r="P3081">
        <v>13.980191792806799</v>
      </c>
      <c r="Q3081">
        <v>1.4864426361383101</v>
      </c>
      <c r="R3081">
        <v>0.96966501481545397</v>
      </c>
      <c r="S3081">
        <v>22</v>
      </c>
      <c r="T3081">
        <v>56</v>
      </c>
      <c r="U3081">
        <v>843.436741182388</v>
      </c>
      <c r="V3081">
        <v>4.6128500823723198E-3</v>
      </c>
      <c r="W3081">
        <v>3025726.0702288798</v>
      </c>
      <c r="X3081" t="s">
        <v>36</v>
      </c>
      <c r="Y3081">
        <f>1-514-944-9808</f>
        <v>-11265</v>
      </c>
    </row>
    <row r="3082" spans="1:25" x14ac:dyDescent="0.35">
      <c r="A3082">
        <v>38.9897204413803</v>
      </c>
      <c r="B3082">
        <v>-122.756447658298</v>
      </c>
      <c r="C3082" t="s">
        <v>29</v>
      </c>
      <c r="D3082">
        <v>5.7753702293866498</v>
      </c>
      <c r="E3082">
        <v>2</v>
      </c>
      <c r="F3082">
        <v>4456</v>
      </c>
      <c r="G3082">
        <v>3</v>
      </c>
      <c r="H3082">
        <v>2</v>
      </c>
      <c r="I3082">
        <v>2006</v>
      </c>
      <c r="J3082">
        <v>1</v>
      </c>
      <c r="K3082">
        <v>0</v>
      </c>
      <c r="L3082">
        <v>0</v>
      </c>
      <c r="M3082">
        <v>12</v>
      </c>
      <c r="N3082" t="s">
        <v>26</v>
      </c>
      <c r="O3082" t="s">
        <v>30</v>
      </c>
      <c r="P3082">
        <v>9.2944618275550805</v>
      </c>
      <c r="Q3082">
        <v>0.94864935014458995</v>
      </c>
      <c r="R3082">
        <v>9.8636876666906499</v>
      </c>
      <c r="S3082">
        <v>146</v>
      </c>
      <c r="T3082">
        <v>64</v>
      </c>
      <c r="U3082">
        <v>581.23746193876696</v>
      </c>
      <c r="V3082">
        <v>2.6929982046678602E-3</v>
      </c>
      <c r="W3082">
        <v>2850218.9906454198</v>
      </c>
      <c r="X3082" t="s">
        <v>40</v>
      </c>
      <c r="Y3082">
        <f>1-333-849-9005</f>
        <v>-10186</v>
      </c>
    </row>
    <row r="3083" spans="1:25" x14ac:dyDescent="0.35">
      <c r="A3083">
        <v>40.073057331597902</v>
      </c>
      <c r="B3083">
        <v>-120.169420096252</v>
      </c>
      <c r="C3083" t="s">
        <v>29</v>
      </c>
      <c r="D3083">
        <v>35.499393546128204</v>
      </c>
      <c r="E3083">
        <v>3</v>
      </c>
      <c r="F3083">
        <v>2978</v>
      </c>
      <c r="G3083">
        <v>1</v>
      </c>
      <c r="H3083">
        <v>2</v>
      </c>
      <c r="I3083">
        <v>1987</v>
      </c>
      <c r="J3083">
        <v>1</v>
      </c>
      <c r="K3083">
        <v>1</v>
      </c>
      <c r="L3083">
        <v>1</v>
      </c>
      <c r="M3083">
        <v>5</v>
      </c>
      <c r="N3083" t="s">
        <v>37</v>
      </c>
      <c r="O3083" t="s">
        <v>30</v>
      </c>
      <c r="P3083">
        <v>3.67507405854567</v>
      </c>
      <c r="Q3083">
        <v>0.90654142547368699</v>
      </c>
      <c r="R3083">
        <v>4.62392094862318</v>
      </c>
      <c r="S3083">
        <v>142</v>
      </c>
      <c r="T3083">
        <v>56</v>
      </c>
      <c r="U3083">
        <v>495.40403832644103</v>
      </c>
      <c r="V3083">
        <v>1.67897918065815E-3</v>
      </c>
      <c r="W3083">
        <v>1716542.6214107401</v>
      </c>
      <c r="X3083" t="s">
        <v>28</v>
      </c>
      <c r="Y3083">
        <f>1-223-128-9576</f>
        <v>-9926</v>
      </c>
    </row>
    <row r="3084" spans="1:25" x14ac:dyDescent="0.35">
      <c r="A3084">
        <v>39.306862919404097</v>
      </c>
      <c r="B3084">
        <v>-123.502071693096</v>
      </c>
      <c r="C3084" t="s">
        <v>25</v>
      </c>
      <c r="D3084">
        <v>37.477019678216202</v>
      </c>
      <c r="E3084">
        <v>0</v>
      </c>
      <c r="F3084">
        <v>2951</v>
      </c>
      <c r="G3084">
        <v>2</v>
      </c>
      <c r="H3084">
        <v>3</v>
      </c>
      <c r="I3084">
        <v>2010</v>
      </c>
      <c r="J3084">
        <v>1</v>
      </c>
      <c r="K3084">
        <v>0</v>
      </c>
      <c r="L3084">
        <v>0</v>
      </c>
      <c r="M3084">
        <v>3</v>
      </c>
      <c r="N3084" t="s">
        <v>41</v>
      </c>
      <c r="O3084" t="s">
        <v>27</v>
      </c>
      <c r="P3084">
        <v>5.0436548505690597</v>
      </c>
      <c r="Q3084">
        <v>1.9206683813868</v>
      </c>
      <c r="R3084">
        <v>8.5316845579926301</v>
      </c>
      <c r="S3084">
        <v>116</v>
      </c>
      <c r="T3084">
        <v>47</v>
      </c>
      <c r="U3084">
        <v>749.62127487648797</v>
      </c>
      <c r="V3084">
        <v>1.01660454083361E-3</v>
      </c>
      <c r="W3084">
        <v>2432373.4487459799</v>
      </c>
      <c r="X3084" t="s">
        <v>38</v>
      </c>
      <c r="Y3084">
        <f>1-748-891-9065</f>
        <v>-10703</v>
      </c>
    </row>
    <row r="3085" spans="1:25" x14ac:dyDescent="0.35">
      <c r="A3085">
        <v>39.0268691869856</v>
      </c>
      <c r="B3085">
        <v>-119.041215017261</v>
      </c>
      <c r="C3085" t="s">
        <v>34</v>
      </c>
      <c r="D3085">
        <v>40.561560369151699</v>
      </c>
      <c r="E3085">
        <v>7</v>
      </c>
      <c r="F3085">
        <v>777</v>
      </c>
      <c r="G3085">
        <v>5</v>
      </c>
      <c r="H3085">
        <v>2</v>
      </c>
      <c r="I3085">
        <v>1969</v>
      </c>
      <c r="J3085">
        <v>0</v>
      </c>
      <c r="K3085">
        <v>0</v>
      </c>
      <c r="L3085">
        <v>0</v>
      </c>
      <c r="M3085">
        <v>8</v>
      </c>
      <c r="N3085" t="s">
        <v>35</v>
      </c>
      <c r="O3085" t="s">
        <v>30</v>
      </c>
      <c r="P3085">
        <v>4.0629990059441097</v>
      </c>
      <c r="Q3085">
        <v>2.4137356518583601</v>
      </c>
      <c r="R3085">
        <v>2.8429031848932098</v>
      </c>
      <c r="S3085">
        <v>169</v>
      </c>
      <c r="T3085">
        <v>78</v>
      </c>
      <c r="U3085">
        <v>293.65408011061299</v>
      </c>
      <c r="V3085">
        <v>1.02960102960102E-2</v>
      </c>
      <c r="W3085">
        <v>448014.28814470698</v>
      </c>
      <c r="X3085" t="s">
        <v>44</v>
      </c>
      <c r="Y3085">
        <f>1-330-597-7825</f>
        <v>-8751</v>
      </c>
    </row>
    <row r="3086" spans="1:25" x14ac:dyDescent="0.35">
      <c r="A3086">
        <v>39.9511196910398</v>
      </c>
      <c r="B3086">
        <v>-114.379341603368</v>
      </c>
      <c r="C3086" t="s">
        <v>29</v>
      </c>
      <c r="D3086">
        <v>31.7268291391124</v>
      </c>
      <c r="E3086">
        <v>8</v>
      </c>
      <c r="F3086">
        <v>4134</v>
      </c>
      <c r="G3086">
        <v>3</v>
      </c>
      <c r="H3086">
        <v>1</v>
      </c>
      <c r="I3086">
        <v>1954</v>
      </c>
      <c r="J3086">
        <v>0</v>
      </c>
      <c r="K3086">
        <v>0</v>
      </c>
      <c r="L3086">
        <v>0</v>
      </c>
      <c r="M3086">
        <v>11</v>
      </c>
      <c r="N3086" t="s">
        <v>26</v>
      </c>
      <c r="O3086" t="s">
        <v>27</v>
      </c>
      <c r="P3086">
        <v>12.086748873412001</v>
      </c>
      <c r="Q3086">
        <v>2.0313299169746499</v>
      </c>
      <c r="R3086">
        <v>5.0319922363777696</v>
      </c>
      <c r="S3086">
        <v>29</v>
      </c>
      <c r="T3086">
        <v>61</v>
      </c>
      <c r="U3086">
        <v>776.49640561872798</v>
      </c>
      <c r="V3086">
        <v>2.6608611514271799E-3</v>
      </c>
      <c r="W3086">
        <v>3488990.32758749</v>
      </c>
      <c r="X3086" t="s">
        <v>31</v>
      </c>
      <c r="Y3086">
        <f>1-599-950-8656</f>
        <v>-10204</v>
      </c>
    </row>
    <row r="3087" spans="1:25" x14ac:dyDescent="0.35">
      <c r="A3087">
        <v>38.012575661465902</v>
      </c>
      <c r="B3087">
        <v>-124.02157024366301</v>
      </c>
      <c r="C3087" t="s">
        <v>29</v>
      </c>
      <c r="D3087">
        <v>45.843967357201301</v>
      </c>
      <c r="E3087">
        <v>5</v>
      </c>
      <c r="F3087">
        <v>4961</v>
      </c>
      <c r="G3087">
        <v>1</v>
      </c>
      <c r="H3087">
        <v>1</v>
      </c>
      <c r="I3087">
        <v>1999</v>
      </c>
      <c r="J3087">
        <v>1</v>
      </c>
      <c r="K3087">
        <v>1</v>
      </c>
      <c r="L3087">
        <v>0</v>
      </c>
      <c r="M3087">
        <v>11</v>
      </c>
      <c r="N3087" t="s">
        <v>35</v>
      </c>
      <c r="O3087" t="s">
        <v>32</v>
      </c>
      <c r="P3087">
        <v>14.599976184330901</v>
      </c>
      <c r="Q3087">
        <v>1.99963480565246</v>
      </c>
      <c r="R3087">
        <v>1.60574537247273</v>
      </c>
      <c r="S3087">
        <v>199</v>
      </c>
      <c r="T3087">
        <v>64</v>
      </c>
      <c r="U3087">
        <v>985.42056812024396</v>
      </c>
      <c r="V3087">
        <v>2.2172949002217199E-3</v>
      </c>
      <c r="W3087">
        <v>5194345.4977365304</v>
      </c>
      <c r="X3087" t="s">
        <v>42</v>
      </c>
      <c r="Y3087">
        <f>1-671-911-1044</f>
        <v>-2625</v>
      </c>
    </row>
    <row r="3088" spans="1:25" x14ac:dyDescent="0.35">
      <c r="A3088">
        <v>33.068743508069304</v>
      </c>
      <c r="B3088">
        <v>-114.945446733219</v>
      </c>
      <c r="C3088" t="s">
        <v>34</v>
      </c>
      <c r="D3088">
        <v>22.432247967597601</v>
      </c>
      <c r="E3088">
        <v>8</v>
      </c>
      <c r="F3088">
        <v>4321</v>
      </c>
      <c r="G3088">
        <v>5</v>
      </c>
      <c r="H3088">
        <v>2</v>
      </c>
      <c r="I3088">
        <v>1957</v>
      </c>
      <c r="J3088">
        <v>1</v>
      </c>
      <c r="K3088">
        <v>0</v>
      </c>
      <c r="L3088">
        <v>0</v>
      </c>
      <c r="M3088">
        <v>13</v>
      </c>
      <c r="N3088" t="s">
        <v>41</v>
      </c>
      <c r="O3088" t="s">
        <v>27</v>
      </c>
      <c r="P3088">
        <v>14.851820581122301</v>
      </c>
      <c r="Q3088">
        <v>1.5004374465447099</v>
      </c>
      <c r="R3088">
        <v>3.8466125248646801</v>
      </c>
      <c r="S3088">
        <v>91</v>
      </c>
      <c r="T3088">
        <v>29</v>
      </c>
      <c r="U3088">
        <v>957.18035428189</v>
      </c>
      <c r="V3088">
        <v>3.0085628326776202E-3</v>
      </c>
      <c r="W3088">
        <v>4517940.6905671796</v>
      </c>
      <c r="X3088" t="s">
        <v>44</v>
      </c>
      <c r="Y3088">
        <f>1-637-804-7697</f>
        <v>-9137</v>
      </c>
    </row>
    <row r="3089" spans="1:25" x14ac:dyDescent="0.35">
      <c r="A3089">
        <v>35.850290366479697</v>
      </c>
      <c r="B3089">
        <v>-120.619601277196</v>
      </c>
      <c r="C3089" t="s">
        <v>29</v>
      </c>
      <c r="D3089">
        <v>14.5092988492641</v>
      </c>
      <c r="E3089">
        <v>6</v>
      </c>
      <c r="F3089">
        <v>676</v>
      </c>
      <c r="G3089">
        <v>1</v>
      </c>
      <c r="H3089">
        <v>1</v>
      </c>
      <c r="I3089">
        <v>1964</v>
      </c>
      <c r="J3089">
        <v>0</v>
      </c>
      <c r="K3089">
        <v>0</v>
      </c>
      <c r="L3089">
        <v>0</v>
      </c>
      <c r="M3089">
        <v>3</v>
      </c>
      <c r="N3089" t="s">
        <v>37</v>
      </c>
      <c r="O3089" t="s">
        <v>32</v>
      </c>
      <c r="P3089">
        <v>13.282951930884099</v>
      </c>
      <c r="Q3089">
        <v>0.721824098175599</v>
      </c>
      <c r="R3089">
        <v>7.4038483887191404</v>
      </c>
      <c r="S3089">
        <v>152</v>
      </c>
      <c r="T3089">
        <v>31</v>
      </c>
      <c r="U3089">
        <v>245.24887792622999</v>
      </c>
      <c r="V3089">
        <v>4.4378698224852003E-3</v>
      </c>
      <c r="W3089">
        <v>214804.314233646</v>
      </c>
      <c r="X3089" t="s">
        <v>38</v>
      </c>
      <c r="Y3089">
        <f>1-465-301-3229</f>
        <v>-3994</v>
      </c>
    </row>
    <row r="3090" spans="1:25" x14ac:dyDescent="0.35">
      <c r="A3090">
        <v>35.935750119925601</v>
      </c>
      <c r="B3090">
        <v>-117.27257435977801</v>
      </c>
      <c r="C3090" t="s">
        <v>29</v>
      </c>
      <c r="D3090">
        <v>17.149100879071199</v>
      </c>
      <c r="E3090">
        <v>9</v>
      </c>
      <c r="F3090">
        <v>1000</v>
      </c>
      <c r="G3090">
        <v>1</v>
      </c>
      <c r="H3090">
        <v>2</v>
      </c>
      <c r="I3090">
        <v>1961</v>
      </c>
      <c r="J3090">
        <v>0</v>
      </c>
      <c r="K3090">
        <v>1</v>
      </c>
      <c r="L3090">
        <v>0</v>
      </c>
      <c r="M3090">
        <v>10</v>
      </c>
      <c r="N3090" t="s">
        <v>37</v>
      </c>
      <c r="O3090" t="s">
        <v>30</v>
      </c>
      <c r="P3090">
        <v>5.6652036420985104</v>
      </c>
      <c r="Q3090">
        <v>1.99074405450162</v>
      </c>
      <c r="R3090">
        <v>6.3860119450902202</v>
      </c>
      <c r="S3090">
        <v>154</v>
      </c>
      <c r="T3090">
        <v>35</v>
      </c>
      <c r="U3090">
        <v>744.605418917115</v>
      </c>
      <c r="V3090">
        <v>0.01</v>
      </c>
      <c r="W3090">
        <v>873519.26609177096</v>
      </c>
      <c r="X3090" t="s">
        <v>40</v>
      </c>
      <c r="Y3090">
        <f>1-940-790-1148</f>
        <v>-2877</v>
      </c>
    </row>
    <row r="3091" spans="1:25" x14ac:dyDescent="0.35">
      <c r="A3091">
        <v>38.7362453393336</v>
      </c>
      <c r="B3091">
        <v>-117.039123977625</v>
      </c>
      <c r="C3091" t="s">
        <v>29</v>
      </c>
      <c r="D3091">
        <v>41.188577925025399</v>
      </c>
      <c r="E3091">
        <v>2</v>
      </c>
      <c r="F3091">
        <v>3289</v>
      </c>
      <c r="G3091">
        <v>4</v>
      </c>
      <c r="H3091">
        <v>1</v>
      </c>
      <c r="I3091">
        <v>1956</v>
      </c>
      <c r="J3091">
        <v>1</v>
      </c>
      <c r="K3091">
        <v>1</v>
      </c>
      <c r="L3091">
        <v>0</v>
      </c>
      <c r="M3091">
        <v>4</v>
      </c>
      <c r="N3091" t="s">
        <v>35</v>
      </c>
      <c r="O3091" t="s">
        <v>27</v>
      </c>
      <c r="P3091">
        <v>13.304903273056301</v>
      </c>
      <c r="Q3091">
        <v>0.72099677685124697</v>
      </c>
      <c r="R3091">
        <v>1.69643660490519</v>
      </c>
      <c r="S3091">
        <v>134</v>
      </c>
      <c r="T3091">
        <v>25</v>
      </c>
      <c r="U3091">
        <v>624.33104228380796</v>
      </c>
      <c r="V3091">
        <v>1.2161751292185999E-3</v>
      </c>
      <c r="W3091">
        <v>2428481.97641327</v>
      </c>
      <c r="X3091" t="s">
        <v>40</v>
      </c>
      <c r="Y3091">
        <f>1-430-513-6187</f>
        <v>-7129</v>
      </c>
    </row>
    <row r="3092" spans="1:25" x14ac:dyDescent="0.35">
      <c r="A3092">
        <v>34.107790157592497</v>
      </c>
      <c r="B3092">
        <v>-117.355149910834</v>
      </c>
      <c r="C3092" t="s">
        <v>25</v>
      </c>
      <c r="D3092">
        <v>17.922450858159898</v>
      </c>
      <c r="E3092">
        <v>2</v>
      </c>
      <c r="F3092">
        <v>2442</v>
      </c>
      <c r="G3092">
        <v>4</v>
      </c>
      <c r="H3092">
        <v>2</v>
      </c>
      <c r="I3092">
        <v>1951</v>
      </c>
      <c r="J3092">
        <v>1</v>
      </c>
      <c r="K3092">
        <v>1</v>
      </c>
      <c r="L3092">
        <v>0</v>
      </c>
      <c r="M3092">
        <v>4</v>
      </c>
      <c r="N3092" t="s">
        <v>37</v>
      </c>
      <c r="O3092" t="s">
        <v>32</v>
      </c>
      <c r="P3092">
        <v>3.89614924825048</v>
      </c>
      <c r="Q3092">
        <v>2.1284966708166602</v>
      </c>
      <c r="R3092">
        <v>8.2183194070327499</v>
      </c>
      <c r="S3092">
        <v>170</v>
      </c>
      <c r="T3092">
        <v>30</v>
      </c>
      <c r="U3092">
        <v>335.09019653416198</v>
      </c>
      <c r="V3092">
        <v>1.6380016380016301E-3</v>
      </c>
      <c r="W3092">
        <v>1000461.70555868</v>
      </c>
      <c r="X3092" t="s">
        <v>33</v>
      </c>
      <c r="Y3092">
        <f>1-570-688-8233</f>
        <v>-9490</v>
      </c>
    </row>
    <row r="3093" spans="1:25" x14ac:dyDescent="0.35">
      <c r="A3093">
        <v>40.372935790888697</v>
      </c>
      <c r="B3093">
        <v>-115.580512570067</v>
      </c>
      <c r="C3093" t="s">
        <v>34</v>
      </c>
      <c r="D3093">
        <v>30.349186238637198</v>
      </c>
      <c r="E3093">
        <v>8</v>
      </c>
      <c r="F3093">
        <v>3355</v>
      </c>
      <c r="G3093">
        <v>1</v>
      </c>
      <c r="H3093">
        <v>2</v>
      </c>
      <c r="I3093">
        <v>1987</v>
      </c>
      <c r="J3093">
        <v>0</v>
      </c>
      <c r="K3093">
        <v>0</v>
      </c>
      <c r="L3093">
        <v>0</v>
      </c>
      <c r="M3093">
        <v>2</v>
      </c>
      <c r="N3093" t="s">
        <v>37</v>
      </c>
      <c r="O3093" t="s">
        <v>27</v>
      </c>
      <c r="P3093">
        <v>10.4585970599323</v>
      </c>
      <c r="Q3093">
        <v>2.0830322474882199</v>
      </c>
      <c r="R3093">
        <v>1.3118914008715801</v>
      </c>
      <c r="S3093">
        <v>180</v>
      </c>
      <c r="T3093">
        <v>53</v>
      </c>
      <c r="U3093">
        <v>431.58501664713401</v>
      </c>
      <c r="V3093">
        <v>5.9612518628911996E-4</v>
      </c>
      <c r="W3093">
        <v>1548908.7360055901</v>
      </c>
      <c r="X3093" t="s">
        <v>42</v>
      </c>
      <c r="Y3093">
        <f>1-559-525-6824</f>
        <v>-7907</v>
      </c>
    </row>
    <row r="3094" spans="1:25" x14ac:dyDescent="0.35">
      <c r="A3094">
        <v>36.641011225919499</v>
      </c>
      <c r="B3094">
        <v>-120.397501713382</v>
      </c>
      <c r="C3094" t="s">
        <v>25</v>
      </c>
      <c r="D3094">
        <v>20.138996105351801</v>
      </c>
      <c r="E3094">
        <v>7</v>
      </c>
      <c r="F3094">
        <v>2362</v>
      </c>
      <c r="G3094">
        <v>1</v>
      </c>
      <c r="H3094">
        <v>1</v>
      </c>
      <c r="I3094">
        <v>1997</v>
      </c>
      <c r="J3094">
        <v>1</v>
      </c>
      <c r="K3094">
        <v>1</v>
      </c>
      <c r="L3094">
        <v>0</v>
      </c>
      <c r="M3094">
        <v>14</v>
      </c>
      <c r="N3094" t="s">
        <v>41</v>
      </c>
      <c r="O3094" t="s">
        <v>30</v>
      </c>
      <c r="P3094">
        <v>5.10662605492361</v>
      </c>
      <c r="Q3094">
        <v>0.74011476588579905</v>
      </c>
      <c r="R3094">
        <v>5.8941135857800901</v>
      </c>
      <c r="S3094">
        <v>37</v>
      </c>
      <c r="T3094">
        <v>45</v>
      </c>
      <c r="U3094">
        <v>576.64026056487796</v>
      </c>
      <c r="V3094">
        <v>5.9271803556308197E-3</v>
      </c>
      <c r="W3094">
        <v>1548890.35433436</v>
      </c>
      <c r="X3094" t="s">
        <v>28</v>
      </c>
      <c r="Y3094">
        <f>1-832-938-9182</f>
        <v>-10951</v>
      </c>
    </row>
    <row r="3095" spans="1:25" x14ac:dyDescent="0.35">
      <c r="A3095">
        <v>41.520800626441499</v>
      </c>
      <c r="B3095">
        <v>-124.046444347274</v>
      </c>
      <c r="C3095" t="s">
        <v>29</v>
      </c>
      <c r="D3095">
        <v>1.75907011377162</v>
      </c>
      <c r="E3095">
        <v>2</v>
      </c>
      <c r="F3095">
        <v>1453</v>
      </c>
      <c r="G3095">
        <v>4</v>
      </c>
      <c r="H3095">
        <v>2</v>
      </c>
      <c r="I3095">
        <v>2021</v>
      </c>
      <c r="J3095">
        <v>0</v>
      </c>
      <c r="K3095">
        <v>0</v>
      </c>
      <c r="L3095">
        <v>1</v>
      </c>
      <c r="M3095">
        <v>9</v>
      </c>
      <c r="N3095" t="s">
        <v>37</v>
      </c>
      <c r="O3095" t="s">
        <v>32</v>
      </c>
      <c r="P3095">
        <v>7.5251661215045997</v>
      </c>
      <c r="Q3095">
        <v>0.66178485015189203</v>
      </c>
      <c r="R3095">
        <v>8.0056601780371892</v>
      </c>
      <c r="S3095">
        <v>10</v>
      </c>
      <c r="T3095">
        <v>54</v>
      </c>
      <c r="U3095">
        <v>307.06447539974403</v>
      </c>
      <c r="V3095">
        <v>6.1940812112869902E-3</v>
      </c>
      <c r="W3095">
        <v>755890.99917711294</v>
      </c>
      <c r="X3095" t="s">
        <v>43</v>
      </c>
      <c r="Y3095">
        <f>1-797-174-8147</f>
        <v>-9117</v>
      </c>
    </row>
    <row r="3096" spans="1:25" x14ac:dyDescent="0.35">
      <c r="A3096">
        <v>32.9777013371802</v>
      </c>
      <c r="B3096">
        <v>-115.905551585949</v>
      </c>
      <c r="C3096" t="s">
        <v>25</v>
      </c>
      <c r="D3096">
        <v>18.040534566049601</v>
      </c>
      <c r="E3096">
        <v>5</v>
      </c>
      <c r="F3096">
        <v>3458</v>
      </c>
      <c r="G3096">
        <v>4</v>
      </c>
      <c r="H3096">
        <v>1</v>
      </c>
      <c r="I3096">
        <v>2013</v>
      </c>
      <c r="J3096">
        <v>1</v>
      </c>
      <c r="K3096">
        <v>0</v>
      </c>
      <c r="L3096">
        <v>1</v>
      </c>
      <c r="M3096">
        <v>12</v>
      </c>
      <c r="N3096" t="s">
        <v>35</v>
      </c>
      <c r="O3096" t="s">
        <v>30</v>
      </c>
      <c r="P3096">
        <v>9.5920756470750703</v>
      </c>
      <c r="Q3096">
        <v>1.5929202337928099</v>
      </c>
      <c r="R3096">
        <v>4.2506345869747602</v>
      </c>
      <c r="S3096">
        <v>141</v>
      </c>
      <c r="T3096">
        <v>34</v>
      </c>
      <c r="U3096">
        <v>449.49847707552698</v>
      </c>
      <c r="V3096">
        <v>3.4702139965297799E-3</v>
      </c>
      <c r="W3096">
        <v>1858798.4590310201</v>
      </c>
      <c r="X3096" t="s">
        <v>43</v>
      </c>
      <c r="Y3096">
        <f>1-965-833-5103</f>
        <v>-6900</v>
      </c>
    </row>
    <row r="3097" spans="1:25" x14ac:dyDescent="0.35">
      <c r="A3097">
        <v>35.703290313889298</v>
      </c>
      <c r="B3097">
        <v>-115.624949475199</v>
      </c>
      <c r="C3097" t="s">
        <v>25</v>
      </c>
      <c r="D3097">
        <v>35.703670979465997</v>
      </c>
      <c r="E3097">
        <v>0</v>
      </c>
      <c r="F3097">
        <v>2075</v>
      </c>
      <c r="G3097">
        <v>4</v>
      </c>
      <c r="H3097">
        <v>2</v>
      </c>
      <c r="I3097">
        <v>1956</v>
      </c>
      <c r="J3097">
        <v>0</v>
      </c>
      <c r="K3097">
        <v>1</v>
      </c>
      <c r="L3097">
        <v>1</v>
      </c>
      <c r="M3097">
        <v>14</v>
      </c>
      <c r="N3097" t="s">
        <v>41</v>
      </c>
      <c r="O3097" t="s">
        <v>27</v>
      </c>
      <c r="P3097">
        <v>3.05423123916687</v>
      </c>
      <c r="Q3097">
        <v>1.02854382637302</v>
      </c>
      <c r="R3097">
        <v>3.4473925469464901</v>
      </c>
      <c r="S3097">
        <v>25</v>
      </c>
      <c r="T3097">
        <v>58</v>
      </c>
      <c r="U3097">
        <v>666.35534543409904</v>
      </c>
      <c r="V3097">
        <v>6.7469879518072201E-3</v>
      </c>
      <c r="W3097">
        <v>1708706.6696925401</v>
      </c>
      <c r="X3097" t="s">
        <v>28</v>
      </c>
      <c r="Y3097">
        <f>1-703-170-7437</f>
        <v>-8309</v>
      </c>
    </row>
    <row r="3098" spans="1:25" x14ac:dyDescent="0.35">
      <c r="A3098">
        <v>39.576624336911102</v>
      </c>
      <c r="B3098">
        <v>-121.743360207141</v>
      </c>
      <c r="C3098" t="s">
        <v>25</v>
      </c>
      <c r="D3098">
        <v>11.7204081840067</v>
      </c>
      <c r="E3098">
        <v>9</v>
      </c>
      <c r="F3098">
        <v>1378</v>
      </c>
      <c r="G3098">
        <v>5</v>
      </c>
      <c r="H3098">
        <v>3</v>
      </c>
      <c r="I3098">
        <v>1992</v>
      </c>
      <c r="J3098">
        <v>1</v>
      </c>
      <c r="K3098">
        <v>1</v>
      </c>
      <c r="L3098">
        <v>1</v>
      </c>
      <c r="M3098">
        <v>11</v>
      </c>
      <c r="N3098" t="s">
        <v>35</v>
      </c>
      <c r="O3098" t="s">
        <v>27</v>
      </c>
      <c r="P3098">
        <v>11.3028494176852</v>
      </c>
      <c r="Q3098">
        <v>1.2570752996701799</v>
      </c>
      <c r="R3098">
        <v>5.4693861100678598</v>
      </c>
      <c r="S3098">
        <v>140</v>
      </c>
      <c r="T3098">
        <v>67</v>
      </c>
      <c r="U3098">
        <v>493.13840967401302</v>
      </c>
      <c r="V3098">
        <v>7.98258345428156E-3</v>
      </c>
      <c r="W3098">
        <v>1170760.2676691399</v>
      </c>
      <c r="X3098" t="s">
        <v>40</v>
      </c>
      <c r="Y3098">
        <f>1-585-684-4654</f>
        <v>-5922</v>
      </c>
    </row>
    <row r="3099" spans="1:25" x14ac:dyDescent="0.35">
      <c r="A3099">
        <v>34.778556413423502</v>
      </c>
      <c r="B3099">
        <v>-119.62119688620901</v>
      </c>
      <c r="C3099" t="s">
        <v>34</v>
      </c>
      <c r="D3099">
        <v>27.9704450006003</v>
      </c>
      <c r="E3099">
        <v>3</v>
      </c>
      <c r="F3099">
        <v>1395</v>
      </c>
      <c r="G3099">
        <v>4</v>
      </c>
      <c r="H3099">
        <v>2</v>
      </c>
      <c r="I3099">
        <v>1955</v>
      </c>
      <c r="J3099">
        <v>1</v>
      </c>
      <c r="K3099">
        <v>0</v>
      </c>
      <c r="L3099">
        <v>1</v>
      </c>
      <c r="M3099">
        <v>10</v>
      </c>
      <c r="N3099" t="s">
        <v>37</v>
      </c>
      <c r="O3099" t="s">
        <v>30</v>
      </c>
      <c r="P3099">
        <v>4.1152792964067801</v>
      </c>
      <c r="Q3099">
        <v>1.2263241248727801</v>
      </c>
      <c r="R3099">
        <v>5.8868042264919804</v>
      </c>
      <c r="S3099">
        <v>77</v>
      </c>
      <c r="T3099">
        <v>54</v>
      </c>
      <c r="U3099">
        <v>304.43770868307701</v>
      </c>
      <c r="V3099">
        <v>7.1684587813620002E-3</v>
      </c>
      <c r="W3099">
        <v>619811.54163448501</v>
      </c>
      <c r="X3099" t="s">
        <v>33</v>
      </c>
      <c r="Y3099">
        <f>1-645-625-4261</f>
        <v>-5530</v>
      </c>
    </row>
    <row r="3100" spans="1:25" x14ac:dyDescent="0.35">
      <c r="A3100">
        <v>38.257928091502301</v>
      </c>
      <c r="B3100">
        <v>-123.577380331307</v>
      </c>
      <c r="C3100" t="s">
        <v>34</v>
      </c>
      <c r="D3100">
        <v>22.884656123611901</v>
      </c>
      <c r="E3100">
        <v>8</v>
      </c>
      <c r="F3100">
        <v>4181</v>
      </c>
      <c r="G3100">
        <v>1</v>
      </c>
      <c r="H3100">
        <v>2</v>
      </c>
      <c r="I3100">
        <v>1958</v>
      </c>
      <c r="J3100">
        <v>1</v>
      </c>
      <c r="K3100">
        <v>0</v>
      </c>
      <c r="L3100">
        <v>1</v>
      </c>
      <c r="M3100">
        <v>14</v>
      </c>
      <c r="N3100" t="s">
        <v>41</v>
      </c>
      <c r="O3100" t="s">
        <v>30</v>
      </c>
      <c r="P3100">
        <v>2.4845425404156098</v>
      </c>
      <c r="Q3100">
        <v>0.63201183609902101</v>
      </c>
      <c r="R3100">
        <v>1.7282100544068599</v>
      </c>
      <c r="S3100">
        <v>37</v>
      </c>
      <c r="T3100">
        <v>33</v>
      </c>
      <c r="U3100">
        <v>373.19489432934398</v>
      </c>
      <c r="V3100">
        <v>3.3484812245874098E-3</v>
      </c>
      <c r="W3100">
        <v>1688940.85007739</v>
      </c>
      <c r="X3100" t="s">
        <v>38</v>
      </c>
      <c r="Y3100">
        <f>1-877-910-9298</f>
        <v>-11084</v>
      </c>
    </row>
    <row r="3101" spans="1:25" x14ac:dyDescent="0.35">
      <c r="A3101">
        <v>38.405055663577798</v>
      </c>
      <c r="B3101">
        <v>-117.703666705882</v>
      </c>
      <c r="C3101" t="s">
        <v>29</v>
      </c>
      <c r="D3101">
        <v>17.436038091942699</v>
      </c>
      <c r="E3101">
        <v>8</v>
      </c>
      <c r="F3101">
        <v>3837</v>
      </c>
      <c r="G3101">
        <v>4</v>
      </c>
      <c r="H3101">
        <v>2</v>
      </c>
      <c r="I3101">
        <v>1963</v>
      </c>
      <c r="J3101">
        <v>1</v>
      </c>
      <c r="K3101">
        <v>0</v>
      </c>
      <c r="L3101">
        <v>0</v>
      </c>
      <c r="M3101">
        <v>12</v>
      </c>
      <c r="N3101" t="s">
        <v>37</v>
      </c>
      <c r="O3101" t="s">
        <v>27</v>
      </c>
      <c r="P3101">
        <v>11.499474576225699</v>
      </c>
      <c r="Q3101">
        <v>0.62810429971286597</v>
      </c>
      <c r="R3101">
        <v>3.51807273592962</v>
      </c>
      <c r="S3101">
        <v>73</v>
      </c>
      <c r="T3101">
        <v>66</v>
      </c>
      <c r="U3101">
        <v>654.14185409151798</v>
      </c>
      <c r="V3101">
        <v>3.12744331508991E-3</v>
      </c>
      <c r="W3101">
        <v>2743574.72526721</v>
      </c>
      <c r="X3101" t="s">
        <v>44</v>
      </c>
      <c r="Y3101">
        <f>1-500-127-7780</f>
        <v>-8406</v>
      </c>
    </row>
    <row r="3102" spans="1:25" x14ac:dyDescent="0.35">
      <c r="A3102">
        <v>33.424855884323797</v>
      </c>
      <c r="B3102">
        <v>-122.267828281109</v>
      </c>
      <c r="C3102" t="s">
        <v>34</v>
      </c>
      <c r="D3102">
        <v>10.8430748825841</v>
      </c>
      <c r="E3102">
        <v>4</v>
      </c>
      <c r="F3102">
        <v>4407</v>
      </c>
      <c r="G3102">
        <v>1</v>
      </c>
      <c r="H3102">
        <v>2</v>
      </c>
      <c r="I3102">
        <v>1971</v>
      </c>
      <c r="J3102">
        <v>1</v>
      </c>
      <c r="K3102">
        <v>0</v>
      </c>
      <c r="L3102">
        <v>1</v>
      </c>
      <c r="M3102">
        <v>8</v>
      </c>
      <c r="N3102" t="s">
        <v>26</v>
      </c>
      <c r="O3102" t="s">
        <v>32</v>
      </c>
      <c r="P3102">
        <v>9.5246707137657207</v>
      </c>
      <c r="Q3102">
        <v>1.7926421996200299</v>
      </c>
      <c r="R3102">
        <v>4.1364784621140602</v>
      </c>
      <c r="S3102">
        <v>162</v>
      </c>
      <c r="T3102">
        <v>50</v>
      </c>
      <c r="U3102">
        <v>503.78596058803299</v>
      </c>
      <c r="V3102">
        <v>1.8152938506920801E-3</v>
      </c>
      <c r="W3102">
        <v>2377193.2130425801</v>
      </c>
      <c r="X3102" t="s">
        <v>33</v>
      </c>
      <c r="Y3102">
        <f>1-329-610-7532</f>
        <v>-8470</v>
      </c>
    </row>
    <row r="3103" spans="1:25" x14ac:dyDescent="0.35">
      <c r="A3103">
        <v>36.393123175639303</v>
      </c>
      <c r="B3103">
        <v>-114.310340882714</v>
      </c>
      <c r="C3103" t="s">
        <v>34</v>
      </c>
      <c r="D3103">
        <v>41.809936985073598</v>
      </c>
      <c r="E3103">
        <v>4</v>
      </c>
      <c r="F3103">
        <v>3069</v>
      </c>
      <c r="G3103">
        <v>4</v>
      </c>
      <c r="H3103">
        <v>3</v>
      </c>
      <c r="I3103">
        <v>1989</v>
      </c>
      <c r="J3103">
        <v>1</v>
      </c>
      <c r="K3103">
        <v>1</v>
      </c>
      <c r="L3103">
        <v>0</v>
      </c>
      <c r="M3103">
        <v>5</v>
      </c>
      <c r="N3103" t="s">
        <v>26</v>
      </c>
      <c r="O3103" t="s">
        <v>32</v>
      </c>
      <c r="P3103">
        <v>4.5559894866733597</v>
      </c>
      <c r="Q3103">
        <v>0.54521928801719</v>
      </c>
      <c r="R3103">
        <v>2.96676199751486</v>
      </c>
      <c r="S3103">
        <v>120</v>
      </c>
      <c r="T3103">
        <v>30</v>
      </c>
      <c r="U3103">
        <v>259.86985881978899</v>
      </c>
      <c r="V3103">
        <v>1.62919517758227E-3</v>
      </c>
      <c r="W3103">
        <v>1276349.5970155799</v>
      </c>
      <c r="X3103" t="s">
        <v>28</v>
      </c>
      <c r="Y3103">
        <f>1-738-522-2534</f>
        <v>-3793</v>
      </c>
    </row>
    <row r="3104" spans="1:25" x14ac:dyDescent="0.35">
      <c r="A3104">
        <v>35.598029219461701</v>
      </c>
      <c r="B3104">
        <v>-116.834228661544</v>
      </c>
      <c r="C3104" t="s">
        <v>29</v>
      </c>
      <c r="D3104">
        <v>24.095838045227602</v>
      </c>
      <c r="E3104">
        <v>0</v>
      </c>
      <c r="F3104">
        <v>740</v>
      </c>
      <c r="G3104">
        <v>2</v>
      </c>
      <c r="H3104">
        <v>1</v>
      </c>
      <c r="I3104">
        <v>1987</v>
      </c>
      <c r="J3104">
        <v>0</v>
      </c>
      <c r="K3104">
        <v>0</v>
      </c>
      <c r="L3104">
        <v>1</v>
      </c>
      <c r="M3104">
        <v>11</v>
      </c>
      <c r="N3104" t="s">
        <v>37</v>
      </c>
      <c r="O3104" t="s">
        <v>30</v>
      </c>
      <c r="P3104">
        <v>6.9945277474739997</v>
      </c>
      <c r="Q3104">
        <v>1.7927534900316899</v>
      </c>
      <c r="R3104">
        <v>2.40968439450128</v>
      </c>
      <c r="S3104">
        <v>18</v>
      </c>
      <c r="T3104">
        <v>24</v>
      </c>
      <c r="U3104">
        <v>400.76536344860801</v>
      </c>
      <c r="V3104">
        <v>1.48648648648648E-2</v>
      </c>
      <c r="W3104">
        <v>444957.09480276098</v>
      </c>
      <c r="X3104" t="s">
        <v>44</v>
      </c>
      <c r="Y3104">
        <f>1-835-400-7607</f>
        <v>-8841</v>
      </c>
    </row>
    <row r="3105" spans="1:25" x14ac:dyDescent="0.35">
      <c r="A3105">
        <v>41.829314366321803</v>
      </c>
      <c r="B3105">
        <v>-122.431146594834</v>
      </c>
      <c r="C3105" t="s">
        <v>25</v>
      </c>
      <c r="D3105">
        <v>29.3113742980095</v>
      </c>
      <c r="E3105">
        <v>5</v>
      </c>
      <c r="F3105">
        <v>803</v>
      </c>
      <c r="G3105">
        <v>4</v>
      </c>
      <c r="H3105">
        <v>2</v>
      </c>
      <c r="I3105">
        <v>1984</v>
      </c>
      <c r="J3105">
        <v>0</v>
      </c>
      <c r="K3105">
        <v>1</v>
      </c>
      <c r="L3105">
        <v>0</v>
      </c>
      <c r="M3105">
        <v>6</v>
      </c>
      <c r="N3105" t="s">
        <v>35</v>
      </c>
      <c r="O3105" t="s">
        <v>27</v>
      </c>
      <c r="P3105">
        <v>12.9109245120613</v>
      </c>
      <c r="Q3105">
        <v>1.82644734293594</v>
      </c>
      <c r="R3105">
        <v>1.4958556087791399</v>
      </c>
      <c r="S3105">
        <v>26</v>
      </c>
      <c r="T3105">
        <v>61</v>
      </c>
      <c r="U3105">
        <v>444.72225317753401</v>
      </c>
      <c r="V3105">
        <v>7.4719800747198003E-3</v>
      </c>
      <c r="W3105">
        <v>719093.008647435</v>
      </c>
      <c r="X3105" t="s">
        <v>40</v>
      </c>
      <c r="Y3105">
        <f>1-581-318-7209</f>
        <v>-8107</v>
      </c>
    </row>
    <row r="3106" spans="1:25" x14ac:dyDescent="0.35">
      <c r="A3106">
        <v>39.929150392456897</v>
      </c>
      <c r="B3106">
        <v>-119.035791607451</v>
      </c>
      <c r="C3106" t="s">
        <v>34</v>
      </c>
      <c r="D3106">
        <v>43.511251192340197</v>
      </c>
      <c r="E3106">
        <v>3</v>
      </c>
      <c r="F3106">
        <v>2440</v>
      </c>
      <c r="G3106">
        <v>1</v>
      </c>
      <c r="H3106">
        <v>1</v>
      </c>
      <c r="I3106">
        <v>1988</v>
      </c>
      <c r="J3106">
        <v>1</v>
      </c>
      <c r="K3106">
        <v>0</v>
      </c>
      <c r="L3106">
        <v>1</v>
      </c>
      <c r="M3106">
        <v>9</v>
      </c>
      <c r="N3106" t="s">
        <v>37</v>
      </c>
      <c r="O3106" t="s">
        <v>32</v>
      </c>
      <c r="P3106">
        <v>6.8186099064707602</v>
      </c>
      <c r="Q3106">
        <v>1.03092871449986</v>
      </c>
      <c r="R3106">
        <v>9.8115160183773895</v>
      </c>
      <c r="S3106">
        <v>87</v>
      </c>
      <c r="T3106">
        <v>73</v>
      </c>
      <c r="U3106">
        <v>713.17072815376605</v>
      </c>
      <c r="V3106">
        <v>3.6885245901639302E-3</v>
      </c>
      <c r="W3106">
        <v>1768425.7734918799</v>
      </c>
      <c r="X3106" t="s">
        <v>31</v>
      </c>
      <c r="Y3106">
        <f>1-810-116-8094</f>
        <v>-9019</v>
      </c>
    </row>
    <row r="3107" spans="1:25" x14ac:dyDescent="0.35">
      <c r="A3107">
        <v>38.905851027390099</v>
      </c>
      <c r="B3107">
        <v>-114.000766931442</v>
      </c>
      <c r="C3107" t="s">
        <v>25</v>
      </c>
      <c r="D3107">
        <v>14.806789879277</v>
      </c>
      <c r="E3107">
        <v>3</v>
      </c>
      <c r="F3107">
        <v>1424</v>
      </c>
      <c r="G3107">
        <v>1</v>
      </c>
      <c r="H3107">
        <v>1</v>
      </c>
      <c r="I3107">
        <v>1994</v>
      </c>
      <c r="J3107">
        <v>1</v>
      </c>
      <c r="K3107">
        <v>0</v>
      </c>
      <c r="L3107">
        <v>1</v>
      </c>
      <c r="M3107">
        <v>3</v>
      </c>
      <c r="N3107" t="s">
        <v>37</v>
      </c>
      <c r="O3107" t="s">
        <v>27</v>
      </c>
      <c r="P3107">
        <v>8.4096632763509795</v>
      </c>
      <c r="Q3107">
        <v>1.2857018438427801</v>
      </c>
      <c r="R3107">
        <v>6.56645213525234</v>
      </c>
      <c r="S3107">
        <v>65</v>
      </c>
      <c r="T3107">
        <v>65</v>
      </c>
      <c r="U3107">
        <v>471.48899881748503</v>
      </c>
      <c r="V3107">
        <v>2.1067415730337E-3</v>
      </c>
      <c r="W3107">
        <v>947062.40217594604</v>
      </c>
      <c r="X3107" t="s">
        <v>28</v>
      </c>
      <c r="Y3107">
        <f>1-405-110-1991</f>
        <v>-2505</v>
      </c>
    </row>
    <row r="3108" spans="1:25" x14ac:dyDescent="0.35">
      <c r="A3108">
        <v>37.696252715585302</v>
      </c>
      <c r="B3108">
        <v>-118.882962704939</v>
      </c>
      <c r="C3108" t="s">
        <v>25</v>
      </c>
      <c r="D3108">
        <v>36.698152866207202</v>
      </c>
      <c r="E3108">
        <v>9</v>
      </c>
      <c r="F3108">
        <v>4427</v>
      </c>
      <c r="G3108">
        <v>3</v>
      </c>
      <c r="H3108">
        <v>3</v>
      </c>
      <c r="I3108">
        <v>1984</v>
      </c>
      <c r="J3108">
        <v>1</v>
      </c>
      <c r="K3108">
        <v>0</v>
      </c>
      <c r="L3108">
        <v>1</v>
      </c>
      <c r="M3108">
        <v>13</v>
      </c>
      <c r="N3108" t="s">
        <v>41</v>
      </c>
      <c r="O3108" t="s">
        <v>30</v>
      </c>
      <c r="P3108">
        <v>2.8615534157617502</v>
      </c>
      <c r="Q3108">
        <v>0.80551026252526003</v>
      </c>
      <c r="R3108">
        <v>3.4409301156723799</v>
      </c>
      <c r="S3108">
        <v>91</v>
      </c>
      <c r="T3108">
        <v>64</v>
      </c>
      <c r="U3108">
        <v>944.52570945164905</v>
      </c>
      <c r="V3108">
        <v>2.9365258640162602E-3</v>
      </c>
      <c r="W3108">
        <v>4392407.0532975905</v>
      </c>
      <c r="X3108" t="s">
        <v>39</v>
      </c>
      <c r="Y3108">
        <f>1-691-450-8739</f>
        <v>-9879</v>
      </c>
    </row>
    <row r="3109" spans="1:25" x14ac:dyDescent="0.35">
      <c r="A3109">
        <v>34.827246980169498</v>
      </c>
      <c r="B3109">
        <v>-123.323680286255</v>
      </c>
      <c r="C3109" t="s">
        <v>34</v>
      </c>
      <c r="D3109">
        <v>1.67516390359769</v>
      </c>
      <c r="E3109">
        <v>4</v>
      </c>
      <c r="F3109">
        <v>713</v>
      </c>
      <c r="G3109">
        <v>4</v>
      </c>
      <c r="H3109">
        <v>3</v>
      </c>
      <c r="I3109">
        <v>1961</v>
      </c>
      <c r="J3109">
        <v>0</v>
      </c>
      <c r="K3109">
        <v>1</v>
      </c>
      <c r="L3109">
        <v>0</v>
      </c>
      <c r="M3109">
        <v>2</v>
      </c>
      <c r="N3109" t="s">
        <v>26</v>
      </c>
      <c r="O3109" t="s">
        <v>30</v>
      </c>
      <c r="P3109">
        <v>9.4038515186746796</v>
      </c>
      <c r="Q3109">
        <v>0.79308171529234905</v>
      </c>
      <c r="R3109">
        <v>9.1203948411904996</v>
      </c>
      <c r="S3109">
        <v>12</v>
      </c>
      <c r="T3109">
        <v>29</v>
      </c>
      <c r="U3109">
        <v>527.83466045114699</v>
      </c>
      <c r="V3109">
        <v>2.8050490883590401E-3</v>
      </c>
      <c r="W3109">
        <v>733681.11405062105</v>
      </c>
      <c r="X3109" t="s">
        <v>33</v>
      </c>
      <c r="Y3109">
        <f>1-674-714-8762</f>
        <v>-10149</v>
      </c>
    </row>
    <row r="3110" spans="1:25" x14ac:dyDescent="0.35">
      <c r="A3110">
        <v>37.798018755222301</v>
      </c>
      <c r="B3110">
        <v>-114.230999283781</v>
      </c>
      <c r="C3110" t="s">
        <v>25</v>
      </c>
      <c r="D3110">
        <v>13.4404467491433</v>
      </c>
      <c r="E3110">
        <v>4</v>
      </c>
      <c r="F3110">
        <v>3699</v>
      </c>
      <c r="G3110">
        <v>4</v>
      </c>
      <c r="H3110">
        <v>1</v>
      </c>
      <c r="I3110">
        <v>2005</v>
      </c>
      <c r="J3110">
        <v>0</v>
      </c>
      <c r="K3110">
        <v>1</v>
      </c>
      <c r="L3110">
        <v>0</v>
      </c>
      <c r="M3110">
        <v>9</v>
      </c>
      <c r="N3110" t="s">
        <v>26</v>
      </c>
      <c r="O3110" t="s">
        <v>27</v>
      </c>
      <c r="P3110">
        <v>7.7944038646680802</v>
      </c>
      <c r="Q3110">
        <v>0.73056564901823795</v>
      </c>
      <c r="R3110">
        <v>8.0723102374010605</v>
      </c>
      <c r="S3110">
        <v>83</v>
      </c>
      <c r="T3110">
        <v>46</v>
      </c>
      <c r="U3110">
        <v>560.44528647355503</v>
      </c>
      <c r="V3110">
        <v>2.4330900243308999E-3</v>
      </c>
      <c r="W3110">
        <v>2410481.7162677101</v>
      </c>
      <c r="X3110" t="s">
        <v>43</v>
      </c>
      <c r="Y3110">
        <f>1-350-102-5334</f>
        <v>-5785</v>
      </c>
    </row>
    <row r="3111" spans="1:25" x14ac:dyDescent="0.35">
      <c r="A3111">
        <v>38.399530541023303</v>
      </c>
      <c r="B3111">
        <v>-117.165063009051</v>
      </c>
      <c r="C3111" t="s">
        <v>25</v>
      </c>
      <c r="D3111">
        <v>38.153366463033201</v>
      </c>
      <c r="E3111">
        <v>5</v>
      </c>
      <c r="F3111">
        <v>3744</v>
      </c>
      <c r="G3111">
        <v>1</v>
      </c>
      <c r="H3111">
        <v>3</v>
      </c>
      <c r="I3111">
        <v>1965</v>
      </c>
      <c r="J3111">
        <v>0</v>
      </c>
      <c r="K3111">
        <v>1</v>
      </c>
      <c r="L3111">
        <v>0</v>
      </c>
      <c r="M3111">
        <v>14</v>
      </c>
      <c r="N3111" t="s">
        <v>37</v>
      </c>
      <c r="O3111" t="s">
        <v>30</v>
      </c>
      <c r="P3111">
        <v>6.0491643617481401</v>
      </c>
      <c r="Q3111">
        <v>1.8394924192347699</v>
      </c>
      <c r="R3111">
        <v>8.6218062889300402</v>
      </c>
      <c r="S3111">
        <v>98</v>
      </c>
      <c r="T3111">
        <v>60</v>
      </c>
      <c r="U3111">
        <v>657.33101300144403</v>
      </c>
      <c r="V3111">
        <v>3.7393162393162299E-3</v>
      </c>
      <c r="W3111">
        <v>2633972.3301146599</v>
      </c>
      <c r="X3111" t="s">
        <v>43</v>
      </c>
      <c r="Y3111">
        <f>1-438-200-6221</f>
        <v>-6858</v>
      </c>
    </row>
    <row r="3112" spans="1:25" x14ac:dyDescent="0.35">
      <c r="A3112">
        <v>35.156223338071698</v>
      </c>
      <c r="B3112">
        <v>-117.628809168103</v>
      </c>
      <c r="C3112" t="s">
        <v>34</v>
      </c>
      <c r="D3112">
        <v>18.9391379426987</v>
      </c>
      <c r="E3112">
        <v>5</v>
      </c>
      <c r="F3112">
        <v>684</v>
      </c>
      <c r="G3112">
        <v>3</v>
      </c>
      <c r="H3112">
        <v>2</v>
      </c>
      <c r="I3112">
        <v>1982</v>
      </c>
      <c r="J3112">
        <v>0</v>
      </c>
      <c r="K3112">
        <v>1</v>
      </c>
      <c r="L3112">
        <v>0</v>
      </c>
      <c r="M3112">
        <v>8</v>
      </c>
      <c r="N3112" t="s">
        <v>26</v>
      </c>
      <c r="O3112" t="s">
        <v>32</v>
      </c>
      <c r="P3112">
        <v>7.7817324841843503</v>
      </c>
      <c r="Q3112">
        <v>1.84914404459062</v>
      </c>
      <c r="R3112">
        <v>7.7122999244522399</v>
      </c>
      <c r="S3112">
        <v>129</v>
      </c>
      <c r="T3112">
        <v>22</v>
      </c>
      <c r="U3112">
        <v>474.69777969580701</v>
      </c>
      <c r="V3112">
        <v>1.1695906432748499E-2</v>
      </c>
      <c r="W3112">
        <v>537698.31002845301</v>
      </c>
      <c r="X3112" t="s">
        <v>33</v>
      </c>
      <c r="Y3112">
        <f>1-581-592-9203</f>
        <v>-10375</v>
      </c>
    </row>
    <row r="3113" spans="1:25" x14ac:dyDescent="0.35">
      <c r="A3113">
        <v>34.278910853365403</v>
      </c>
      <c r="B3113">
        <v>-120.651604810701</v>
      </c>
      <c r="C3113" t="s">
        <v>29</v>
      </c>
      <c r="D3113">
        <v>43.516420979452</v>
      </c>
      <c r="E3113">
        <v>8</v>
      </c>
      <c r="F3113">
        <v>2401</v>
      </c>
      <c r="G3113">
        <v>1</v>
      </c>
      <c r="H3113">
        <v>1</v>
      </c>
      <c r="I3113">
        <v>1966</v>
      </c>
      <c r="J3113">
        <v>1</v>
      </c>
      <c r="K3113">
        <v>0</v>
      </c>
      <c r="L3113">
        <v>0</v>
      </c>
      <c r="M3113">
        <v>14</v>
      </c>
      <c r="N3113" t="s">
        <v>26</v>
      </c>
      <c r="O3113" t="s">
        <v>32</v>
      </c>
      <c r="P3113">
        <v>4.9508391359687796</v>
      </c>
      <c r="Q3113">
        <v>2.2003662316394101</v>
      </c>
      <c r="R3113">
        <v>3.3850087653187702</v>
      </c>
      <c r="S3113">
        <v>156</v>
      </c>
      <c r="T3113">
        <v>71</v>
      </c>
      <c r="U3113">
        <v>634.92735282639899</v>
      </c>
      <c r="V3113">
        <v>5.83090379008746E-3</v>
      </c>
      <c r="W3113">
        <v>1556171.16264434</v>
      </c>
      <c r="X3113" t="s">
        <v>40</v>
      </c>
      <c r="Y3113">
        <f>1-875-130-7799</f>
        <v>-8803</v>
      </c>
    </row>
    <row r="3114" spans="1:25" x14ac:dyDescent="0.35">
      <c r="A3114">
        <v>40.453146915432697</v>
      </c>
      <c r="B3114">
        <v>-119.268649842508</v>
      </c>
      <c r="C3114" t="s">
        <v>29</v>
      </c>
      <c r="D3114">
        <v>40.001573160201097</v>
      </c>
      <c r="E3114">
        <v>7</v>
      </c>
      <c r="F3114">
        <v>1216</v>
      </c>
      <c r="G3114">
        <v>5</v>
      </c>
      <c r="H3114">
        <v>2</v>
      </c>
      <c r="I3114">
        <v>1958</v>
      </c>
      <c r="J3114">
        <v>0</v>
      </c>
      <c r="K3114">
        <v>1</v>
      </c>
      <c r="L3114">
        <v>1</v>
      </c>
      <c r="M3114">
        <v>13</v>
      </c>
      <c r="N3114" t="s">
        <v>35</v>
      </c>
      <c r="O3114" t="s">
        <v>30</v>
      </c>
      <c r="P3114">
        <v>4.5714913322669499</v>
      </c>
      <c r="Q3114">
        <v>0.91670293993362095</v>
      </c>
      <c r="R3114">
        <v>2.3953388626378702</v>
      </c>
      <c r="S3114">
        <v>64</v>
      </c>
      <c r="T3114">
        <v>20</v>
      </c>
      <c r="U3114">
        <v>646.855331931102</v>
      </c>
      <c r="V3114">
        <v>1.06907894736842E-2</v>
      </c>
      <c r="W3114">
        <v>1125262.3710773401</v>
      </c>
      <c r="X3114" t="s">
        <v>39</v>
      </c>
      <c r="Y3114">
        <f>1-550-742-9547</f>
        <v>-10838</v>
      </c>
    </row>
    <row r="3115" spans="1:25" x14ac:dyDescent="0.35">
      <c r="A3115">
        <v>34.132122423162997</v>
      </c>
      <c r="B3115">
        <v>-116.937186439594</v>
      </c>
      <c r="C3115" t="s">
        <v>25</v>
      </c>
      <c r="D3115">
        <v>48.7682719594209</v>
      </c>
      <c r="E3115">
        <v>3</v>
      </c>
      <c r="F3115">
        <v>3270</v>
      </c>
      <c r="G3115">
        <v>3</v>
      </c>
      <c r="H3115">
        <v>3</v>
      </c>
      <c r="I3115">
        <v>2003</v>
      </c>
      <c r="J3115">
        <v>0</v>
      </c>
      <c r="K3115">
        <v>1</v>
      </c>
      <c r="L3115">
        <v>0</v>
      </c>
      <c r="M3115">
        <v>2</v>
      </c>
      <c r="N3115" t="s">
        <v>41</v>
      </c>
      <c r="O3115" t="s">
        <v>32</v>
      </c>
      <c r="P3115">
        <v>8.2306223083948495</v>
      </c>
      <c r="Q3115">
        <v>2.2125990684626302</v>
      </c>
      <c r="R3115">
        <v>8.1093650390343406</v>
      </c>
      <c r="S3115">
        <v>15</v>
      </c>
      <c r="T3115">
        <v>36</v>
      </c>
      <c r="U3115">
        <v>639.60529047202999</v>
      </c>
      <c r="V3115">
        <v>6.1162079510703295E-4</v>
      </c>
      <c r="W3115">
        <v>2445884.3353031701</v>
      </c>
      <c r="X3115" t="s">
        <v>44</v>
      </c>
      <c r="Y3115">
        <f>1-678-820-5710</f>
        <v>-7207</v>
      </c>
    </row>
    <row r="3116" spans="1:25" x14ac:dyDescent="0.35">
      <c r="A3116">
        <v>34.8152449048562</v>
      </c>
      <c r="B3116">
        <v>-121.625570663497</v>
      </c>
      <c r="C3116" t="s">
        <v>34</v>
      </c>
      <c r="D3116">
        <v>44.467654444864102</v>
      </c>
      <c r="E3116">
        <v>0</v>
      </c>
      <c r="F3116">
        <v>3931</v>
      </c>
      <c r="G3116">
        <v>3</v>
      </c>
      <c r="H3116">
        <v>3</v>
      </c>
      <c r="I3116">
        <v>2002</v>
      </c>
      <c r="J3116">
        <v>0</v>
      </c>
      <c r="K3116">
        <v>0</v>
      </c>
      <c r="L3116">
        <v>1</v>
      </c>
      <c r="M3116">
        <v>11</v>
      </c>
      <c r="N3116" t="s">
        <v>35</v>
      </c>
      <c r="O3116" t="s">
        <v>27</v>
      </c>
      <c r="P3116">
        <v>7.67875949535029</v>
      </c>
      <c r="Q3116">
        <v>0.61189887746923199</v>
      </c>
      <c r="R3116">
        <v>5.1614987189866897</v>
      </c>
      <c r="S3116">
        <v>13</v>
      </c>
      <c r="T3116">
        <v>55</v>
      </c>
      <c r="U3116">
        <v>512.80283460696603</v>
      </c>
      <c r="V3116">
        <v>2.7982701602645601E-3</v>
      </c>
      <c r="W3116">
        <v>2218626.7612616601</v>
      </c>
      <c r="X3116" t="s">
        <v>38</v>
      </c>
      <c r="Y3116">
        <f>1-409-667-5333</f>
        <v>-6408</v>
      </c>
    </row>
    <row r="3117" spans="1:25" x14ac:dyDescent="0.35">
      <c r="A3117">
        <v>33.1180977913437</v>
      </c>
      <c r="B3117">
        <v>-119.20941636710501</v>
      </c>
      <c r="C3117" t="s">
        <v>29</v>
      </c>
      <c r="D3117">
        <v>30.742429475160701</v>
      </c>
      <c r="E3117">
        <v>0</v>
      </c>
      <c r="F3117">
        <v>4302</v>
      </c>
      <c r="G3117">
        <v>2</v>
      </c>
      <c r="H3117">
        <v>3</v>
      </c>
      <c r="I3117">
        <v>1972</v>
      </c>
      <c r="J3117">
        <v>0</v>
      </c>
      <c r="K3117">
        <v>0</v>
      </c>
      <c r="L3117">
        <v>0</v>
      </c>
      <c r="M3117">
        <v>6</v>
      </c>
      <c r="N3117" t="s">
        <v>37</v>
      </c>
      <c r="O3117" t="s">
        <v>30</v>
      </c>
      <c r="P3117">
        <v>3.92274188355035</v>
      </c>
      <c r="Q3117">
        <v>2.0809874089614899</v>
      </c>
      <c r="R3117">
        <v>8.87196747273296</v>
      </c>
      <c r="S3117">
        <v>89</v>
      </c>
      <c r="T3117">
        <v>26</v>
      </c>
      <c r="U3117">
        <v>679.47868881048998</v>
      </c>
      <c r="V3117">
        <v>1.39470013947001E-3</v>
      </c>
      <c r="W3117">
        <v>3014040.7307984699</v>
      </c>
      <c r="X3117" t="s">
        <v>39</v>
      </c>
      <c r="Y3117">
        <f>1-476-990-1529</f>
        <v>-2994</v>
      </c>
    </row>
    <row r="3118" spans="1:25" x14ac:dyDescent="0.35">
      <c r="A3118">
        <v>38.6981677356981</v>
      </c>
      <c r="B3118">
        <v>-117.530391711253</v>
      </c>
      <c r="C3118" t="s">
        <v>34</v>
      </c>
      <c r="D3118">
        <v>14.230674032485799</v>
      </c>
      <c r="E3118">
        <v>1</v>
      </c>
      <c r="F3118">
        <v>1516</v>
      </c>
      <c r="G3118">
        <v>2</v>
      </c>
      <c r="H3118">
        <v>1</v>
      </c>
      <c r="I3118">
        <v>1987</v>
      </c>
      <c r="J3118">
        <v>1</v>
      </c>
      <c r="K3118">
        <v>0</v>
      </c>
      <c r="L3118">
        <v>1</v>
      </c>
      <c r="M3118">
        <v>12</v>
      </c>
      <c r="N3118" t="s">
        <v>26</v>
      </c>
      <c r="O3118" t="s">
        <v>30</v>
      </c>
      <c r="P3118">
        <v>13.893288732156901</v>
      </c>
      <c r="Q3118">
        <v>1.9364590798030701</v>
      </c>
      <c r="R3118">
        <v>4.1072432869054003</v>
      </c>
      <c r="S3118">
        <v>70</v>
      </c>
      <c r="T3118">
        <v>45</v>
      </c>
      <c r="U3118">
        <v>589.64676635757303</v>
      </c>
      <c r="V3118">
        <v>7.9155672823219003E-3</v>
      </c>
      <c r="W3118">
        <v>1171698.91517997</v>
      </c>
      <c r="X3118" t="s">
        <v>33</v>
      </c>
      <c r="Y3118">
        <f>1-722-870-6597</f>
        <v>-8188</v>
      </c>
    </row>
    <row r="3119" spans="1:25" x14ac:dyDescent="0.35">
      <c r="A3119">
        <v>37.733475693350996</v>
      </c>
      <c r="B3119">
        <v>-120.554708163657</v>
      </c>
      <c r="C3119" t="s">
        <v>29</v>
      </c>
      <c r="D3119">
        <v>32.347621827853203</v>
      </c>
      <c r="E3119">
        <v>9</v>
      </c>
      <c r="F3119">
        <v>821</v>
      </c>
      <c r="G3119">
        <v>5</v>
      </c>
      <c r="H3119">
        <v>1</v>
      </c>
      <c r="I3119">
        <v>1975</v>
      </c>
      <c r="J3119">
        <v>1</v>
      </c>
      <c r="K3119">
        <v>1</v>
      </c>
      <c r="L3119">
        <v>1</v>
      </c>
      <c r="M3119">
        <v>7</v>
      </c>
      <c r="N3119" t="s">
        <v>26</v>
      </c>
      <c r="O3119" t="s">
        <v>30</v>
      </c>
      <c r="P3119">
        <v>2.6666273369081401</v>
      </c>
      <c r="Q3119">
        <v>0.54011058474080598</v>
      </c>
      <c r="R3119">
        <v>1.55946739878951</v>
      </c>
      <c r="S3119">
        <v>199</v>
      </c>
      <c r="T3119">
        <v>26</v>
      </c>
      <c r="U3119">
        <v>812.21687734831505</v>
      </c>
      <c r="V3119">
        <v>8.52618757612667E-3</v>
      </c>
      <c r="W3119">
        <v>980055.04964782298</v>
      </c>
      <c r="X3119" t="s">
        <v>44</v>
      </c>
      <c r="Y3119">
        <f>1-295-822-7342</f>
        <v>-8458</v>
      </c>
    </row>
    <row r="3120" spans="1:25" x14ac:dyDescent="0.35">
      <c r="A3120">
        <v>40.202423605954998</v>
      </c>
      <c r="B3120">
        <v>-116.53528573139801</v>
      </c>
      <c r="C3120" t="s">
        <v>29</v>
      </c>
      <c r="D3120">
        <v>36.928688530485999</v>
      </c>
      <c r="E3120">
        <v>9</v>
      </c>
      <c r="F3120">
        <v>3482</v>
      </c>
      <c r="G3120">
        <v>2</v>
      </c>
      <c r="H3120">
        <v>3</v>
      </c>
      <c r="I3120">
        <v>2022</v>
      </c>
      <c r="J3120">
        <v>1</v>
      </c>
      <c r="K3120">
        <v>0</v>
      </c>
      <c r="L3120">
        <v>1</v>
      </c>
      <c r="M3120">
        <v>7</v>
      </c>
      <c r="N3120" t="s">
        <v>26</v>
      </c>
      <c r="O3120" t="s">
        <v>32</v>
      </c>
      <c r="P3120">
        <v>11.2669187030461</v>
      </c>
      <c r="Q3120">
        <v>1.05048395345211</v>
      </c>
      <c r="R3120">
        <v>4.1461040302376402</v>
      </c>
      <c r="S3120">
        <v>106</v>
      </c>
      <c r="T3120">
        <v>76</v>
      </c>
      <c r="U3120">
        <v>482.27707473420998</v>
      </c>
      <c r="V3120">
        <v>2.01033888569787E-3</v>
      </c>
      <c r="W3120">
        <v>1986304.0342518999</v>
      </c>
      <c r="X3120" t="s">
        <v>40</v>
      </c>
      <c r="Y3120">
        <f>1-357-954-4042</f>
        <v>-5352</v>
      </c>
    </row>
    <row r="3121" spans="1:25" x14ac:dyDescent="0.35">
      <c r="A3121">
        <v>35.6916083234428</v>
      </c>
      <c r="B3121">
        <v>-115.422852279824</v>
      </c>
      <c r="C3121" t="s">
        <v>34</v>
      </c>
      <c r="D3121">
        <v>23.177814256422199</v>
      </c>
      <c r="E3121">
        <v>9</v>
      </c>
      <c r="F3121">
        <v>1587</v>
      </c>
      <c r="G3121">
        <v>5</v>
      </c>
      <c r="H3121">
        <v>1</v>
      </c>
      <c r="I3121">
        <v>1964</v>
      </c>
      <c r="J3121">
        <v>0</v>
      </c>
      <c r="K3121">
        <v>1</v>
      </c>
      <c r="L3121">
        <v>0</v>
      </c>
      <c r="M3121">
        <v>13</v>
      </c>
      <c r="N3121" t="s">
        <v>35</v>
      </c>
      <c r="O3121" t="s">
        <v>32</v>
      </c>
      <c r="P3121">
        <v>6.8247214383759296</v>
      </c>
      <c r="Q3121">
        <v>1.9176035492363299</v>
      </c>
      <c r="R3121">
        <v>8.1621029360746906</v>
      </c>
      <c r="S3121">
        <v>111</v>
      </c>
      <c r="T3121">
        <v>70</v>
      </c>
      <c r="U3121">
        <v>312.86713612903799</v>
      </c>
      <c r="V3121">
        <v>8.1915563957151803E-3</v>
      </c>
      <c r="W3121">
        <v>807400.37494143704</v>
      </c>
      <c r="X3121" t="s">
        <v>28</v>
      </c>
      <c r="Y3121">
        <f>1-259-346-3688</f>
        <v>-4292</v>
      </c>
    </row>
    <row r="3122" spans="1:25" x14ac:dyDescent="0.35">
      <c r="A3122">
        <v>35.869189924947001</v>
      </c>
      <c r="B3122">
        <v>-118.40444235339299</v>
      </c>
      <c r="C3122" t="s">
        <v>25</v>
      </c>
      <c r="D3122">
        <v>9.6993172534819205</v>
      </c>
      <c r="E3122">
        <v>3</v>
      </c>
      <c r="F3122">
        <v>2569</v>
      </c>
      <c r="G3122">
        <v>5</v>
      </c>
      <c r="H3122">
        <v>1</v>
      </c>
      <c r="I3122">
        <v>1959</v>
      </c>
      <c r="J3122">
        <v>0</v>
      </c>
      <c r="K3122">
        <v>0</v>
      </c>
      <c r="L3122">
        <v>0</v>
      </c>
      <c r="M3122">
        <v>5</v>
      </c>
      <c r="N3122" t="s">
        <v>41</v>
      </c>
      <c r="O3122" t="s">
        <v>30</v>
      </c>
      <c r="P3122">
        <v>14.664516362679899</v>
      </c>
      <c r="Q3122">
        <v>1.2610341134851599</v>
      </c>
      <c r="R3122">
        <v>9.1060237002545197</v>
      </c>
      <c r="S3122">
        <v>42</v>
      </c>
      <c r="T3122">
        <v>73</v>
      </c>
      <c r="U3122">
        <v>594.17437225639401</v>
      </c>
      <c r="V3122">
        <v>1.9462826002335501E-3</v>
      </c>
      <c r="W3122">
        <v>1813060.8608448701</v>
      </c>
      <c r="X3122" t="s">
        <v>42</v>
      </c>
      <c r="Y3122">
        <f>1-440-754-5076</f>
        <v>-6269</v>
      </c>
    </row>
    <row r="3123" spans="1:25" x14ac:dyDescent="0.35">
      <c r="A3123">
        <v>35.263717599294502</v>
      </c>
      <c r="B3123">
        <v>-115.303553056059</v>
      </c>
      <c r="C3123" t="s">
        <v>34</v>
      </c>
      <c r="D3123">
        <v>1.17141225767873</v>
      </c>
      <c r="E3123">
        <v>7</v>
      </c>
      <c r="F3123">
        <v>3727</v>
      </c>
      <c r="G3123">
        <v>4</v>
      </c>
      <c r="H3123">
        <v>2</v>
      </c>
      <c r="I3123">
        <v>1954</v>
      </c>
      <c r="J3123">
        <v>1</v>
      </c>
      <c r="K3123">
        <v>0</v>
      </c>
      <c r="L3123">
        <v>1</v>
      </c>
      <c r="M3123">
        <v>12</v>
      </c>
      <c r="N3123" t="s">
        <v>41</v>
      </c>
      <c r="O3123" t="s">
        <v>27</v>
      </c>
      <c r="P3123">
        <v>14.6257766729625</v>
      </c>
      <c r="Q3123">
        <v>1.0260011152089099</v>
      </c>
      <c r="R3123">
        <v>4.4793433676099497</v>
      </c>
      <c r="S3123">
        <v>99</v>
      </c>
      <c r="T3123">
        <v>72</v>
      </c>
      <c r="U3123">
        <v>502.032313591795</v>
      </c>
      <c r="V3123">
        <v>3.2197477864233902E-3</v>
      </c>
      <c r="W3123">
        <v>2124180.1762139299</v>
      </c>
      <c r="X3123" t="s">
        <v>33</v>
      </c>
      <c r="Y3123">
        <f>1-367-944-6262</f>
        <v>-7572</v>
      </c>
    </row>
    <row r="3124" spans="1:25" x14ac:dyDescent="0.35">
      <c r="A3124">
        <v>34.601312742558299</v>
      </c>
      <c r="B3124">
        <v>-123.46561603483801</v>
      </c>
      <c r="C3124" t="s">
        <v>25</v>
      </c>
      <c r="D3124">
        <v>31.4208232086308</v>
      </c>
      <c r="E3124">
        <v>1</v>
      </c>
      <c r="F3124">
        <v>1947</v>
      </c>
      <c r="G3124">
        <v>2</v>
      </c>
      <c r="H3124">
        <v>1</v>
      </c>
      <c r="I3124">
        <v>1996</v>
      </c>
      <c r="J3124">
        <v>0</v>
      </c>
      <c r="K3124">
        <v>0</v>
      </c>
      <c r="L3124">
        <v>0</v>
      </c>
      <c r="M3124">
        <v>8</v>
      </c>
      <c r="N3124" t="s">
        <v>35</v>
      </c>
      <c r="O3124" t="s">
        <v>27</v>
      </c>
      <c r="P3124">
        <v>2.99920216356217</v>
      </c>
      <c r="Q3124">
        <v>1.4191281156917901</v>
      </c>
      <c r="R3124">
        <v>6.4272647531981697</v>
      </c>
      <c r="S3124">
        <v>24</v>
      </c>
      <c r="T3124">
        <v>27</v>
      </c>
      <c r="U3124">
        <v>245.99835607164101</v>
      </c>
      <c r="V3124">
        <v>4.1088854648176597E-3</v>
      </c>
      <c r="W3124">
        <v>548328.48448089301</v>
      </c>
      <c r="X3124" t="s">
        <v>42</v>
      </c>
      <c r="Y3124">
        <f>1-655-830-9833</f>
        <v>-11317</v>
      </c>
    </row>
    <row r="3125" spans="1:25" x14ac:dyDescent="0.35">
      <c r="A3125">
        <v>41.546581019172201</v>
      </c>
      <c r="B3125">
        <v>-118.60493918241001</v>
      </c>
      <c r="C3125" t="s">
        <v>34</v>
      </c>
      <c r="D3125">
        <v>30.557178766540801</v>
      </c>
      <c r="E3125">
        <v>4</v>
      </c>
      <c r="F3125">
        <v>1949</v>
      </c>
      <c r="G3125">
        <v>5</v>
      </c>
      <c r="H3125">
        <v>3</v>
      </c>
      <c r="I3125">
        <v>1997</v>
      </c>
      <c r="J3125">
        <v>0</v>
      </c>
      <c r="K3125">
        <v>0</v>
      </c>
      <c r="L3125">
        <v>0</v>
      </c>
      <c r="M3125">
        <v>13</v>
      </c>
      <c r="N3125" t="s">
        <v>41</v>
      </c>
      <c r="O3125" t="s">
        <v>27</v>
      </c>
      <c r="P3125">
        <v>10.200443219586001</v>
      </c>
      <c r="Q3125">
        <v>1.0019845718151701</v>
      </c>
      <c r="R3125">
        <v>0.67316864749382099</v>
      </c>
      <c r="S3125">
        <v>155</v>
      </c>
      <c r="T3125">
        <v>58</v>
      </c>
      <c r="U3125">
        <v>383.96860499943199</v>
      </c>
      <c r="V3125">
        <v>6.6700872242175403E-3</v>
      </c>
      <c r="W3125">
        <v>1134641.80323661</v>
      </c>
      <c r="X3125" t="s">
        <v>28</v>
      </c>
      <c r="Y3125">
        <f>1-535-180-3585</f>
        <v>-4299</v>
      </c>
    </row>
    <row r="3126" spans="1:25" x14ac:dyDescent="0.35">
      <c r="A3126">
        <v>41.316067891565901</v>
      </c>
      <c r="B3126">
        <v>-119.06540715514799</v>
      </c>
      <c r="C3126" t="s">
        <v>25</v>
      </c>
      <c r="D3126">
        <v>14.670330032577899</v>
      </c>
      <c r="E3126">
        <v>4</v>
      </c>
      <c r="F3126">
        <v>576</v>
      </c>
      <c r="G3126">
        <v>3</v>
      </c>
      <c r="H3126">
        <v>3</v>
      </c>
      <c r="I3126">
        <v>1982</v>
      </c>
      <c r="J3126">
        <v>0</v>
      </c>
      <c r="K3126">
        <v>0</v>
      </c>
      <c r="L3126">
        <v>1</v>
      </c>
      <c r="M3126">
        <v>13</v>
      </c>
      <c r="N3126" t="s">
        <v>26</v>
      </c>
      <c r="O3126" t="s">
        <v>32</v>
      </c>
      <c r="P3126">
        <v>13.5120937033718</v>
      </c>
      <c r="Q3126">
        <v>2.2715147009798802</v>
      </c>
      <c r="R3126">
        <v>4.6689043538867797E-2</v>
      </c>
      <c r="S3126">
        <v>68</v>
      </c>
      <c r="T3126">
        <v>67</v>
      </c>
      <c r="U3126">
        <v>750.61294609473498</v>
      </c>
      <c r="V3126">
        <v>2.2569444444444399E-2</v>
      </c>
      <c r="W3126">
        <v>702155.98446312</v>
      </c>
      <c r="X3126" t="s">
        <v>33</v>
      </c>
      <c r="Y3126">
        <f>1-564-826-9509</f>
        <v>-10898</v>
      </c>
    </row>
    <row r="3127" spans="1:25" x14ac:dyDescent="0.35">
      <c r="A3127">
        <v>40.484756466298698</v>
      </c>
      <c r="B3127">
        <v>-118.12850360680601</v>
      </c>
      <c r="C3127" t="s">
        <v>29</v>
      </c>
      <c r="D3127">
        <v>24.3063971141015</v>
      </c>
      <c r="E3127">
        <v>2</v>
      </c>
      <c r="F3127">
        <v>1634</v>
      </c>
      <c r="G3127">
        <v>2</v>
      </c>
      <c r="H3127">
        <v>2</v>
      </c>
      <c r="I3127">
        <v>1959</v>
      </c>
      <c r="J3127">
        <v>1</v>
      </c>
      <c r="K3127">
        <v>0</v>
      </c>
      <c r="L3127">
        <v>1</v>
      </c>
      <c r="M3127">
        <v>6</v>
      </c>
      <c r="N3127" t="s">
        <v>41</v>
      </c>
      <c r="O3127" t="s">
        <v>30</v>
      </c>
      <c r="P3127">
        <v>3.10404946577966</v>
      </c>
      <c r="Q3127">
        <v>0.88853803854024704</v>
      </c>
      <c r="R3127">
        <v>3.0775656086580998</v>
      </c>
      <c r="S3127">
        <v>74</v>
      </c>
      <c r="T3127">
        <v>42</v>
      </c>
      <c r="U3127">
        <v>322.72053571189502</v>
      </c>
      <c r="V3127">
        <v>3.6719706242350002E-3</v>
      </c>
      <c r="W3127">
        <v>690012.521842113</v>
      </c>
      <c r="X3127" t="s">
        <v>31</v>
      </c>
      <c r="Y3127">
        <f>1-254-379-9929</f>
        <v>-10561</v>
      </c>
    </row>
    <row r="3128" spans="1:25" x14ac:dyDescent="0.35">
      <c r="A3128">
        <v>32.531092608684098</v>
      </c>
      <c r="B3128">
        <v>-115.74028285942801</v>
      </c>
      <c r="C3128" t="s">
        <v>34</v>
      </c>
      <c r="D3128">
        <v>34.285250875055397</v>
      </c>
      <c r="E3128">
        <v>1</v>
      </c>
      <c r="F3128">
        <v>1261</v>
      </c>
      <c r="G3128">
        <v>5</v>
      </c>
      <c r="H3128">
        <v>1</v>
      </c>
      <c r="I3128">
        <v>2018</v>
      </c>
      <c r="J3128">
        <v>0</v>
      </c>
      <c r="K3128">
        <v>1</v>
      </c>
      <c r="L3128">
        <v>0</v>
      </c>
      <c r="M3128">
        <v>9</v>
      </c>
      <c r="N3128" t="s">
        <v>37</v>
      </c>
      <c r="O3128" t="s">
        <v>27</v>
      </c>
      <c r="P3128">
        <v>6.2959192499453502</v>
      </c>
      <c r="Q3128">
        <v>1.3976144783954501</v>
      </c>
      <c r="R3128">
        <v>4.7634812226323602</v>
      </c>
      <c r="S3128">
        <v>59</v>
      </c>
      <c r="T3128">
        <v>25</v>
      </c>
      <c r="U3128">
        <v>710.22925797995902</v>
      </c>
      <c r="V3128">
        <v>7.1371927042030098E-3</v>
      </c>
      <c r="W3128">
        <v>1365491.35241767</v>
      </c>
      <c r="X3128" t="s">
        <v>31</v>
      </c>
      <c r="Y3128">
        <f>1-943-513-4854</f>
        <v>-6309</v>
      </c>
    </row>
    <row r="3129" spans="1:25" x14ac:dyDescent="0.35">
      <c r="A3129">
        <v>36.790736849976703</v>
      </c>
      <c r="B3129">
        <v>-116.030680770885</v>
      </c>
      <c r="C3129" t="s">
        <v>29</v>
      </c>
      <c r="D3129">
        <v>30.167819671699799</v>
      </c>
      <c r="E3129">
        <v>8</v>
      </c>
      <c r="F3129">
        <v>3821</v>
      </c>
      <c r="G3129">
        <v>1</v>
      </c>
      <c r="H3129">
        <v>3</v>
      </c>
      <c r="I3129">
        <v>1971</v>
      </c>
      <c r="J3129">
        <v>0</v>
      </c>
      <c r="K3129">
        <v>0</v>
      </c>
      <c r="L3129">
        <v>1</v>
      </c>
      <c r="M3129">
        <v>2</v>
      </c>
      <c r="N3129" t="s">
        <v>37</v>
      </c>
      <c r="O3129" t="s">
        <v>32</v>
      </c>
      <c r="P3129">
        <v>3.1410784157883098</v>
      </c>
      <c r="Q3129">
        <v>1.2050430732767701</v>
      </c>
      <c r="R3129">
        <v>3.0610181045406102</v>
      </c>
      <c r="S3129">
        <v>37</v>
      </c>
      <c r="T3129">
        <v>24</v>
      </c>
      <c r="U3129">
        <v>217.39854734751199</v>
      </c>
      <c r="V3129">
        <v>5.2342318764721197E-4</v>
      </c>
      <c r="W3129">
        <v>933687.49689340603</v>
      </c>
      <c r="X3129" t="s">
        <v>38</v>
      </c>
      <c r="Y3129">
        <f>1-884-820-5005</f>
        <v>-6708</v>
      </c>
    </row>
    <row r="3130" spans="1:25" x14ac:dyDescent="0.35">
      <c r="A3130">
        <v>35.150034802912501</v>
      </c>
      <c r="B3130">
        <v>-120.510456888901</v>
      </c>
      <c r="C3130" t="s">
        <v>29</v>
      </c>
      <c r="D3130">
        <v>38.563631539176498</v>
      </c>
      <c r="E3130">
        <v>0</v>
      </c>
      <c r="F3130">
        <v>1162</v>
      </c>
      <c r="G3130">
        <v>3</v>
      </c>
      <c r="H3130">
        <v>3</v>
      </c>
      <c r="I3130">
        <v>1966</v>
      </c>
      <c r="J3130">
        <v>0</v>
      </c>
      <c r="K3130">
        <v>1</v>
      </c>
      <c r="L3130">
        <v>0</v>
      </c>
      <c r="M3130">
        <v>3</v>
      </c>
      <c r="N3130" t="s">
        <v>35</v>
      </c>
      <c r="O3130" t="s">
        <v>27</v>
      </c>
      <c r="P3130">
        <v>2.0098699711661099</v>
      </c>
      <c r="Q3130">
        <v>1.08408941289145</v>
      </c>
      <c r="R3130">
        <v>7.60727077454814</v>
      </c>
      <c r="S3130">
        <v>50</v>
      </c>
      <c r="T3130">
        <v>23</v>
      </c>
      <c r="U3130">
        <v>910.91515663631401</v>
      </c>
      <c r="V3130">
        <v>2.5817555938037798E-3</v>
      </c>
      <c r="W3130">
        <v>1297089.6221583399</v>
      </c>
      <c r="X3130" t="s">
        <v>44</v>
      </c>
      <c r="Y3130">
        <f>1-744-403-4537</f>
        <v>-5683</v>
      </c>
    </row>
    <row r="3131" spans="1:25" x14ac:dyDescent="0.35">
      <c r="A3131">
        <v>34.5811324822226</v>
      </c>
      <c r="B3131">
        <v>-122.27805976817299</v>
      </c>
      <c r="C3131" t="s">
        <v>34</v>
      </c>
      <c r="D3131">
        <v>49.754528567891398</v>
      </c>
      <c r="E3131">
        <v>1</v>
      </c>
      <c r="F3131">
        <v>808</v>
      </c>
      <c r="G3131">
        <v>3</v>
      </c>
      <c r="H3131">
        <v>3</v>
      </c>
      <c r="I3131">
        <v>1973</v>
      </c>
      <c r="J3131">
        <v>1</v>
      </c>
      <c r="K3131">
        <v>1</v>
      </c>
      <c r="L3131">
        <v>1</v>
      </c>
      <c r="M3131">
        <v>11</v>
      </c>
      <c r="N3131" t="s">
        <v>41</v>
      </c>
      <c r="O3131" t="s">
        <v>27</v>
      </c>
      <c r="P3131">
        <v>12.6384523892419</v>
      </c>
      <c r="Q3131">
        <v>1.18260354768623</v>
      </c>
      <c r="R3131">
        <v>5.1615119108763503</v>
      </c>
      <c r="S3131">
        <v>192</v>
      </c>
      <c r="T3131">
        <v>52</v>
      </c>
      <c r="U3131">
        <v>577.00897842333904</v>
      </c>
      <c r="V3131">
        <v>1.36138613861386E-2</v>
      </c>
      <c r="W3131">
        <v>861162.48698763701</v>
      </c>
      <c r="X3131" t="s">
        <v>33</v>
      </c>
      <c r="Y3131">
        <f>1-968-280-4702</f>
        <v>-5949</v>
      </c>
    </row>
    <row r="3132" spans="1:25" x14ac:dyDescent="0.35">
      <c r="A3132">
        <v>37.347652629681598</v>
      </c>
      <c r="B3132">
        <v>-121.113318061862</v>
      </c>
      <c r="C3132" t="s">
        <v>29</v>
      </c>
      <c r="D3132">
        <v>17.163923062202301</v>
      </c>
      <c r="E3132">
        <v>1</v>
      </c>
      <c r="F3132">
        <v>629</v>
      </c>
      <c r="G3132">
        <v>3</v>
      </c>
      <c r="H3132">
        <v>3</v>
      </c>
      <c r="I3132">
        <v>1997</v>
      </c>
      <c r="J3132">
        <v>1</v>
      </c>
      <c r="K3132">
        <v>1</v>
      </c>
      <c r="L3132">
        <v>0</v>
      </c>
      <c r="M3132">
        <v>7</v>
      </c>
      <c r="N3132" t="s">
        <v>26</v>
      </c>
      <c r="O3132" t="s">
        <v>30</v>
      </c>
      <c r="P3132">
        <v>13.4181822629235</v>
      </c>
      <c r="Q3132">
        <v>2.3185497943666502</v>
      </c>
      <c r="R3132">
        <v>7.3500682501719199</v>
      </c>
      <c r="S3132">
        <v>4</v>
      </c>
      <c r="T3132">
        <v>68</v>
      </c>
      <c r="U3132">
        <v>637.86855198888702</v>
      </c>
      <c r="V3132">
        <v>1.11287758346581E-2</v>
      </c>
      <c r="W3132">
        <v>832736.53520827298</v>
      </c>
      <c r="X3132" t="s">
        <v>36</v>
      </c>
      <c r="Y3132">
        <f>1-427-854-3084</f>
        <v>-4364</v>
      </c>
    </row>
    <row r="3133" spans="1:25" x14ac:dyDescent="0.35">
      <c r="A3133">
        <v>41.304180105490701</v>
      </c>
      <c r="B3133">
        <v>-121.957226061458</v>
      </c>
      <c r="C3133" t="s">
        <v>25</v>
      </c>
      <c r="D3133">
        <v>16.1150776807136</v>
      </c>
      <c r="E3133">
        <v>6</v>
      </c>
      <c r="F3133">
        <v>2712</v>
      </c>
      <c r="G3133">
        <v>3</v>
      </c>
      <c r="H3133">
        <v>1</v>
      </c>
      <c r="I3133">
        <v>1963</v>
      </c>
      <c r="J3133">
        <v>0</v>
      </c>
      <c r="K3133">
        <v>0</v>
      </c>
      <c r="L3133">
        <v>1</v>
      </c>
      <c r="M3133">
        <v>8</v>
      </c>
      <c r="N3133" t="s">
        <v>26</v>
      </c>
      <c r="O3133" t="s">
        <v>32</v>
      </c>
      <c r="P3133">
        <v>9.5223351839047901</v>
      </c>
      <c r="Q3133">
        <v>2.4164931023165299</v>
      </c>
      <c r="R3133">
        <v>9.7200691333529008</v>
      </c>
      <c r="S3133">
        <v>158</v>
      </c>
      <c r="T3133">
        <v>31</v>
      </c>
      <c r="U3133">
        <v>542.58985274847305</v>
      </c>
      <c r="V3133">
        <v>2.9498525073746299E-3</v>
      </c>
      <c r="W3133">
        <v>1664378.86657629</v>
      </c>
      <c r="X3133" t="s">
        <v>40</v>
      </c>
      <c r="Y3133">
        <f>1-531-851-9951</f>
        <v>-11332</v>
      </c>
    </row>
    <row r="3134" spans="1:25" x14ac:dyDescent="0.35">
      <c r="A3134">
        <v>40.405143115982199</v>
      </c>
      <c r="B3134">
        <v>-123.973304222631</v>
      </c>
      <c r="C3134" t="s">
        <v>34</v>
      </c>
      <c r="D3134">
        <v>49.632560349569601</v>
      </c>
      <c r="E3134">
        <v>8</v>
      </c>
      <c r="F3134">
        <v>862</v>
      </c>
      <c r="G3134">
        <v>4</v>
      </c>
      <c r="H3134">
        <v>2</v>
      </c>
      <c r="I3134">
        <v>1999</v>
      </c>
      <c r="J3134">
        <v>0</v>
      </c>
      <c r="K3134">
        <v>1</v>
      </c>
      <c r="L3134">
        <v>1</v>
      </c>
      <c r="M3134">
        <v>10</v>
      </c>
      <c r="N3134" t="s">
        <v>26</v>
      </c>
      <c r="O3134" t="s">
        <v>32</v>
      </c>
      <c r="P3134">
        <v>10.4163182931901</v>
      </c>
      <c r="Q3134">
        <v>2.3512485409391499</v>
      </c>
      <c r="R3134">
        <v>2.1743632723295798</v>
      </c>
      <c r="S3134">
        <v>91</v>
      </c>
      <c r="T3134">
        <v>61</v>
      </c>
      <c r="U3134">
        <v>549.01680401724798</v>
      </c>
      <c r="V3134">
        <v>1.1600928074245899E-2</v>
      </c>
      <c r="W3134">
        <v>850365.61647148</v>
      </c>
      <c r="X3134" t="s">
        <v>31</v>
      </c>
      <c r="Y3134">
        <f>1-550-161-1048</f>
        <v>-1758</v>
      </c>
    </row>
    <row r="3135" spans="1:25" x14ac:dyDescent="0.35">
      <c r="A3135">
        <v>36.071758443418197</v>
      </c>
      <c r="B3135">
        <v>-116.554094376968</v>
      </c>
      <c r="C3135" t="s">
        <v>25</v>
      </c>
      <c r="D3135">
        <v>2.6236589486758399</v>
      </c>
      <c r="E3135">
        <v>4</v>
      </c>
      <c r="F3135">
        <v>3712</v>
      </c>
      <c r="G3135">
        <v>5</v>
      </c>
      <c r="H3135">
        <v>1</v>
      </c>
      <c r="I3135">
        <v>1966</v>
      </c>
      <c r="J3135">
        <v>1</v>
      </c>
      <c r="K3135">
        <v>1</v>
      </c>
      <c r="L3135">
        <v>0</v>
      </c>
      <c r="M3135">
        <v>7</v>
      </c>
      <c r="N3135" t="s">
        <v>35</v>
      </c>
      <c r="O3135" t="s">
        <v>30</v>
      </c>
      <c r="P3135">
        <v>10.5926601758744</v>
      </c>
      <c r="Q3135">
        <v>1.95376807667865</v>
      </c>
      <c r="R3135">
        <v>3.7765400870382302</v>
      </c>
      <c r="S3135">
        <v>82</v>
      </c>
      <c r="T3135">
        <v>76</v>
      </c>
      <c r="U3135">
        <v>520.652222355449</v>
      </c>
      <c r="V3135">
        <v>1.88577586206896E-3</v>
      </c>
      <c r="W3135">
        <v>2358777.58633016</v>
      </c>
      <c r="X3135" t="s">
        <v>33</v>
      </c>
      <c r="Y3135">
        <f>1-980-139-7613</f>
        <v>-8731</v>
      </c>
    </row>
    <row r="3136" spans="1:25" x14ac:dyDescent="0.35">
      <c r="A3136">
        <v>40.135379417458601</v>
      </c>
      <c r="B3136">
        <v>-120.30554864878999</v>
      </c>
      <c r="C3136" t="s">
        <v>29</v>
      </c>
      <c r="D3136">
        <v>49.651178539702897</v>
      </c>
      <c r="E3136">
        <v>7</v>
      </c>
      <c r="F3136">
        <v>3083</v>
      </c>
      <c r="G3136">
        <v>4</v>
      </c>
      <c r="H3136">
        <v>3</v>
      </c>
      <c r="I3136">
        <v>1984</v>
      </c>
      <c r="J3136">
        <v>1</v>
      </c>
      <c r="K3136">
        <v>0</v>
      </c>
      <c r="L3136">
        <v>1</v>
      </c>
      <c r="M3136">
        <v>11</v>
      </c>
      <c r="N3136" t="s">
        <v>37</v>
      </c>
      <c r="O3136" t="s">
        <v>27</v>
      </c>
      <c r="P3136">
        <v>12.9280945629668</v>
      </c>
      <c r="Q3136">
        <v>2.10273783580055</v>
      </c>
      <c r="R3136">
        <v>3.8443696948976398</v>
      </c>
      <c r="S3136">
        <v>162</v>
      </c>
      <c r="T3136">
        <v>22</v>
      </c>
      <c r="U3136">
        <v>501.76730205536501</v>
      </c>
      <c r="V3136">
        <v>3.5679532922478102E-3</v>
      </c>
      <c r="W3136">
        <v>1899118.0309554001</v>
      </c>
      <c r="X3136" t="s">
        <v>43</v>
      </c>
      <c r="Y3136">
        <f>1-803-275-9271</f>
        <v>-10348</v>
      </c>
    </row>
    <row r="3137" spans="1:25" x14ac:dyDescent="0.35">
      <c r="A3137">
        <v>35.930495225593397</v>
      </c>
      <c r="B3137">
        <v>-120.93758916351401</v>
      </c>
      <c r="C3137" t="s">
        <v>29</v>
      </c>
      <c r="D3137">
        <v>19.614902582049002</v>
      </c>
      <c r="E3137">
        <v>5</v>
      </c>
      <c r="F3137">
        <v>3921</v>
      </c>
      <c r="G3137">
        <v>1</v>
      </c>
      <c r="H3137">
        <v>3</v>
      </c>
      <c r="I3137">
        <v>2008</v>
      </c>
      <c r="J3137">
        <v>0</v>
      </c>
      <c r="K3137">
        <v>0</v>
      </c>
      <c r="L3137">
        <v>0</v>
      </c>
      <c r="M3137">
        <v>14</v>
      </c>
      <c r="N3137" t="s">
        <v>41</v>
      </c>
      <c r="O3137" t="s">
        <v>27</v>
      </c>
      <c r="P3137">
        <v>12.814805305</v>
      </c>
      <c r="Q3137">
        <v>0.52875156973745197</v>
      </c>
      <c r="R3137">
        <v>1.5010565983098501</v>
      </c>
      <c r="S3137">
        <v>26</v>
      </c>
      <c r="T3137">
        <v>55</v>
      </c>
      <c r="U3137">
        <v>220.183094211997</v>
      </c>
      <c r="V3137">
        <v>3.5705177250701299E-3</v>
      </c>
      <c r="W3137">
        <v>1070639.32326383</v>
      </c>
      <c r="X3137" t="s">
        <v>28</v>
      </c>
      <c r="Y3137">
        <f>1-267-482-9654</f>
        <v>-10402</v>
      </c>
    </row>
    <row r="3138" spans="1:25" x14ac:dyDescent="0.35">
      <c r="A3138">
        <v>39.766855209577301</v>
      </c>
      <c r="B3138">
        <v>-122.968340817575</v>
      </c>
      <c r="C3138" t="s">
        <v>34</v>
      </c>
      <c r="D3138">
        <v>30.674288049046002</v>
      </c>
      <c r="E3138">
        <v>8</v>
      </c>
      <c r="F3138">
        <v>3212</v>
      </c>
      <c r="G3138">
        <v>1</v>
      </c>
      <c r="H3138">
        <v>2</v>
      </c>
      <c r="I3138">
        <v>2008</v>
      </c>
      <c r="J3138">
        <v>1</v>
      </c>
      <c r="K3138">
        <v>1</v>
      </c>
      <c r="L3138">
        <v>0</v>
      </c>
      <c r="M3138">
        <v>4</v>
      </c>
      <c r="N3138" t="s">
        <v>26</v>
      </c>
      <c r="O3138" t="s">
        <v>32</v>
      </c>
      <c r="P3138">
        <v>5.4193994358980602</v>
      </c>
      <c r="Q3138">
        <v>0.65150165889789502</v>
      </c>
      <c r="R3138">
        <v>1.11936301242092</v>
      </c>
      <c r="S3138">
        <v>69</v>
      </c>
      <c r="T3138">
        <v>69</v>
      </c>
      <c r="U3138">
        <v>872.855098145027</v>
      </c>
      <c r="V3138">
        <v>1.2453300124532999E-3</v>
      </c>
      <c r="W3138">
        <v>3046325.4570955499</v>
      </c>
      <c r="X3138" t="s">
        <v>44</v>
      </c>
      <c r="Y3138">
        <f>1-352-386-7102</f>
        <v>-7839</v>
      </c>
    </row>
    <row r="3139" spans="1:25" x14ac:dyDescent="0.35">
      <c r="A3139">
        <v>33.328202085657303</v>
      </c>
      <c r="B3139">
        <v>-115.527620298862</v>
      </c>
      <c r="C3139" t="s">
        <v>34</v>
      </c>
      <c r="D3139">
        <v>25.5488339671872</v>
      </c>
      <c r="E3139">
        <v>8</v>
      </c>
      <c r="F3139">
        <v>3850</v>
      </c>
      <c r="G3139">
        <v>1</v>
      </c>
      <c r="H3139">
        <v>2</v>
      </c>
      <c r="I3139">
        <v>1991</v>
      </c>
      <c r="J3139">
        <v>1</v>
      </c>
      <c r="K3139">
        <v>0</v>
      </c>
      <c r="L3139">
        <v>1</v>
      </c>
      <c r="M3139">
        <v>13</v>
      </c>
      <c r="N3139" t="s">
        <v>37</v>
      </c>
      <c r="O3139" t="s">
        <v>32</v>
      </c>
      <c r="P3139">
        <v>6.7834751240819502</v>
      </c>
      <c r="Q3139">
        <v>0.919195587619548</v>
      </c>
      <c r="R3139">
        <v>4.5479277801919703E-2</v>
      </c>
      <c r="S3139">
        <v>20</v>
      </c>
      <c r="T3139">
        <v>68</v>
      </c>
      <c r="U3139">
        <v>897.57940700557003</v>
      </c>
      <c r="V3139">
        <v>3.3766233766233701E-3</v>
      </c>
      <c r="W3139">
        <v>3613630.9005630398</v>
      </c>
      <c r="X3139" t="s">
        <v>31</v>
      </c>
      <c r="Y3139">
        <f>1-906-414-1382</f>
        <v>-2701</v>
      </c>
    </row>
    <row r="3140" spans="1:25" x14ac:dyDescent="0.35">
      <c r="A3140">
        <v>41.494550178118999</v>
      </c>
      <c r="B3140">
        <v>-118.97733046666799</v>
      </c>
      <c r="C3140" t="s">
        <v>29</v>
      </c>
      <c r="D3140">
        <v>41.788587081009602</v>
      </c>
      <c r="E3140">
        <v>1</v>
      </c>
      <c r="F3140">
        <v>3087</v>
      </c>
      <c r="G3140">
        <v>4</v>
      </c>
      <c r="H3140">
        <v>2</v>
      </c>
      <c r="I3140">
        <v>1960</v>
      </c>
      <c r="J3140">
        <v>0</v>
      </c>
      <c r="K3140">
        <v>0</v>
      </c>
      <c r="L3140">
        <v>1</v>
      </c>
      <c r="M3140">
        <v>6</v>
      </c>
      <c r="N3140" t="s">
        <v>35</v>
      </c>
      <c r="O3140" t="s">
        <v>27</v>
      </c>
      <c r="P3140">
        <v>4.0211018837813102</v>
      </c>
      <c r="Q3140">
        <v>2.49544389517858</v>
      </c>
      <c r="R3140">
        <v>1.17592435642043</v>
      </c>
      <c r="S3140">
        <v>94</v>
      </c>
      <c r="T3140">
        <v>67</v>
      </c>
      <c r="U3140">
        <v>792.42581888726602</v>
      </c>
      <c r="V3140">
        <v>1.94363459669582E-3</v>
      </c>
      <c r="W3140">
        <v>2517935.2328834799</v>
      </c>
      <c r="X3140" t="s">
        <v>28</v>
      </c>
      <c r="Y3140">
        <f>1-764-455-1749</f>
        <v>-2967</v>
      </c>
    </row>
    <row r="3141" spans="1:25" x14ac:dyDescent="0.35">
      <c r="A3141">
        <v>35.083880941315499</v>
      </c>
      <c r="B3141">
        <v>-123.051575739206</v>
      </c>
      <c r="C3141" t="s">
        <v>29</v>
      </c>
      <c r="D3141">
        <v>35.356556099820303</v>
      </c>
      <c r="E3141">
        <v>0</v>
      </c>
      <c r="F3141">
        <v>3630</v>
      </c>
      <c r="G3141">
        <v>2</v>
      </c>
      <c r="H3141">
        <v>1</v>
      </c>
      <c r="I3141">
        <v>2016</v>
      </c>
      <c r="J3141">
        <v>1</v>
      </c>
      <c r="K3141">
        <v>0</v>
      </c>
      <c r="L3141">
        <v>1</v>
      </c>
      <c r="M3141">
        <v>8</v>
      </c>
      <c r="N3141" t="s">
        <v>35</v>
      </c>
      <c r="O3141" t="s">
        <v>30</v>
      </c>
      <c r="P3141">
        <v>2.7282566744027599</v>
      </c>
      <c r="Q3141">
        <v>1.0045686256278401</v>
      </c>
      <c r="R3141">
        <v>8.9330277963308102</v>
      </c>
      <c r="S3141">
        <v>179</v>
      </c>
      <c r="T3141">
        <v>73</v>
      </c>
      <c r="U3141">
        <v>837.84667298570798</v>
      </c>
      <c r="V3141">
        <v>2.2038567493112898E-3</v>
      </c>
      <c r="W3141">
        <v>3225097.2436293499</v>
      </c>
      <c r="X3141" t="s">
        <v>43</v>
      </c>
      <c r="Y3141">
        <f>1-374-474-5924</f>
        <v>-6771</v>
      </c>
    </row>
    <row r="3142" spans="1:25" x14ac:dyDescent="0.35">
      <c r="A3142">
        <v>34.259443399444002</v>
      </c>
      <c r="B3142">
        <v>-119.00088303886599</v>
      </c>
      <c r="C3142" t="s">
        <v>34</v>
      </c>
      <c r="D3142">
        <v>37.937886775924099</v>
      </c>
      <c r="E3142">
        <v>7</v>
      </c>
      <c r="F3142">
        <v>1960</v>
      </c>
      <c r="G3142">
        <v>2</v>
      </c>
      <c r="H3142">
        <v>2</v>
      </c>
      <c r="I3142">
        <v>1989</v>
      </c>
      <c r="J3142">
        <v>1</v>
      </c>
      <c r="K3142">
        <v>0</v>
      </c>
      <c r="L3142">
        <v>1</v>
      </c>
      <c r="M3142">
        <v>10</v>
      </c>
      <c r="N3142" t="s">
        <v>37</v>
      </c>
      <c r="O3142" t="s">
        <v>30</v>
      </c>
      <c r="P3142">
        <v>11.6076878055206</v>
      </c>
      <c r="Q3142">
        <v>2.2746548944779499</v>
      </c>
      <c r="R3142">
        <v>2.23732986440826</v>
      </c>
      <c r="S3142">
        <v>11</v>
      </c>
      <c r="T3142">
        <v>20</v>
      </c>
      <c r="U3142">
        <v>878.30803035114604</v>
      </c>
      <c r="V3142">
        <v>5.1020408163265302E-3</v>
      </c>
      <c r="W3142">
        <v>2005709.5708119799</v>
      </c>
      <c r="X3142" t="s">
        <v>40</v>
      </c>
      <c r="Y3142">
        <f>1-680-249-8257</f>
        <v>-9185</v>
      </c>
    </row>
    <row r="3143" spans="1:25" x14ac:dyDescent="0.35">
      <c r="A3143">
        <v>32.952217876759001</v>
      </c>
      <c r="B3143">
        <v>-119.376853555634</v>
      </c>
      <c r="C3143" t="s">
        <v>29</v>
      </c>
      <c r="D3143">
        <v>16.9745791295205</v>
      </c>
      <c r="E3143">
        <v>3</v>
      </c>
      <c r="F3143">
        <v>1910</v>
      </c>
      <c r="G3143">
        <v>3</v>
      </c>
      <c r="H3143">
        <v>2</v>
      </c>
      <c r="I3143">
        <v>1970</v>
      </c>
      <c r="J3143">
        <v>0</v>
      </c>
      <c r="K3143">
        <v>1</v>
      </c>
      <c r="L3143">
        <v>0</v>
      </c>
      <c r="M3143">
        <v>8</v>
      </c>
      <c r="N3143" t="s">
        <v>35</v>
      </c>
      <c r="O3143" t="s">
        <v>30</v>
      </c>
      <c r="P3143">
        <v>13.3834554844377</v>
      </c>
      <c r="Q3143">
        <v>0.52298092513432104</v>
      </c>
      <c r="R3143">
        <v>7.1525541597697</v>
      </c>
      <c r="S3143">
        <v>151</v>
      </c>
      <c r="T3143">
        <v>50</v>
      </c>
      <c r="U3143">
        <v>514.37598427996397</v>
      </c>
      <c r="V3143">
        <v>4.1884816753926697E-3</v>
      </c>
      <c r="W3143">
        <v>1281852.6711315</v>
      </c>
      <c r="X3143" t="s">
        <v>39</v>
      </c>
      <c r="Y3143">
        <f>1-509-202-1386</f>
        <v>-2096</v>
      </c>
    </row>
    <row r="3144" spans="1:25" x14ac:dyDescent="0.35">
      <c r="A3144">
        <v>38.408028586102297</v>
      </c>
      <c r="B3144">
        <v>-114.49390106465199</v>
      </c>
      <c r="C3144" t="s">
        <v>29</v>
      </c>
      <c r="D3144">
        <v>34.521308408800301</v>
      </c>
      <c r="E3144">
        <v>1</v>
      </c>
      <c r="F3144">
        <v>644</v>
      </c>
      <c r="G3144">
        <v>3</v>
      </c>
      <c r="H3144">
        <v>2</v>
      </c>
      <c r="I3144">
        <v>2007</v>
      </c>
      <c r="J3144">
        <v>0</v>
      </c>
      <c r="K3144">
        <v>1</v>
      </c>
      <c r="L3144">
        <v>1</v>
      </c>
      <c r="M3144">
        <v>2</v>
      </c>
      <c r="N3144" t="s">
        <v>35</v>
      </c>
      <c r="O3144" t="s">
        <v>32</v>
      </c>
      <c r="P3144">
        <v>5.0833820499204396</v>
      </c>
      <c r="Q3144">
        <v>0.77874138938798199</v>
      </c>
      <c r="R3144">
        <v>8.9664048121602402</v>
      </c>
      <c r="S3144">
        <v>19</v>
      </c>
      <c r="T3144">
        <v>45</v>
      </c>
      <c r="U3144">
        <v>493.46045409037703</v>
      </c>
      <c r="V3144">
        <v>3.1055900621118002E-3</v>
      </c>
      <c r="W3144">
        <v>577264.71596966102</v>
      </c>
      <c r="X3144" t="s">
        <v>31</v>
      </c>
      <c r="Y3144">
        <f>1-689-651-7881</f>
        <v>-9220</v>
      </c>
    </row>
    <row r="3145" spans="1:25" x14ac:dyDescent="0.35">
      <c r="A3145">
        <v>36.348883055045199</v>
      </c>
      <c r="B3145">
        <v>-115.361807898466</v>
      </c>
      <c r="C3145" t="s">
        <v>34</v>
      </c>
      <c r="D3145">
        <v>32.021188439202199</v>
      </c>
      <c r="E3145">
        <v>9</v>
      </c>
      <c r="F3145">
        <v>2988</v>
      </c>
      <c r="G3145">
        <v>4</v>
      </c>
      <c r="H3145">
        <v>3</v>
      </c>
      <c r="I3145">
        <v>2003</v>
      </c>
      <c r="J3145">
        <v>0</v>
      </c>
      <c r="K3145">
        <v>0</v>
      </c>
      <c r="L3145">
        <v>0</v>
      </c>
      <c r="M3145">
        <v>11</v>
      </c>
      <c r="N3145" t="s">
        <v>41</v>
      </c>
      <c r="O3145" t="s">
        <v>27</v>
      </c>
      <c r="P3145">
        <v>13.0943929155072</v>
      </c>
      <c r="Q3145">
        <v>2.0796039356824401</v>
      </c>
      <c r="R3145">
        <v>9.9446926177715795</v>
      </c>
      <c r="S3145">
        <v>68</v>
      </c>
      <c r="T3145">
        <v>54</v>
      </c>
      <c r="U3145">
        <v>282.291911414683</v>
      </c>
      <c r="V3145">
        <v>3.6813922356090998E-3</v>
      </c>
      <c r="W3145">
        <v>1180348.95704773</v>
      </c>
      <c r="X3145" t="s">
        <v>42</v>
      </c>
      <c r="Y3145">
        <f>1-374-787-6741</f>
        <v>-7901</v>
      </c>
    </row>
    <row r="3146" spans="1:25" x14ac:dyDescent="0.35">
      <c r="A3146">
        <v>35.803414366296103</v>
      </c>
      <c r="B3146">
        <v>-116.484289043991</v>
      </c>
      <c r="C3146" t="s">
        <v>34</v>
      </c>
      <c r="D3146">
        <v>13.996105666452401</v>
      </c>
      <c r="E3146">
        <v>8</v>
      </c>
      <c r="F3146">
        <v>3080</v>
      </c>
      <c r="G3146">
        <v>1</v>
      </c>
      <c r="H3146">
        <v>1</v>
      </c>
      <c r="I3146">
        <v>1978</v>
      </c>
      <c r="J3146">
        <v>0</v>
      </c>
      <c r="K3146">
        <v>0</v>
      </c>
      <c r="L3146">
        <v>1</v>
      </c>
      <c r="M3146">
        <v>11</v>
      </c>
      <c r="N3146" t="s">
        <v>41</v>
      </c>
      <c r="O3146" t="s">
        <v>32</v>
      </c>
      <c r="P3146">
        <v>12.1726756277275</v>
      </c>
      <c r="Q3146">
        <v>0.85232178748176202</v>
      </c>
      <c r="R3146">
        <v>8.3785052671484603</v>
      </c>
      <c r="S3146">
        <v>164</v>
      </c>
      <c r="T3146">
        <v>45</v>
      </c>
      <c r="U3146">
        <v>681.00547214367396</v>
      </c>
      <c r="V3146">
        <v>3.57142857142857E-3</v>
      </c>
      <c r="W3146">
        <v>2200214.1562795602</v>
      </c>
      <c r="X3146" t="s">
        <v>42</v>
      </c>
      <c r="Y3146">
        <f>1-990-295-9784</f>
        <v>-11068</v>
      </c>
    </row>
    <row r="3147" spans="1:25" x14ac:dyDescent="0.35">
      <c r="A3147">
        <v>38.6905778586788</v>
      </c>
      <c r="B3147">
        <v>-117.32429992849001</v>
      </c>
      <c r="C3147" t="s">
        <v>34</v>
      </c>
      <c r="D3147">
        <v>46.320098488601303</v>
      </c>
      <c r="E3147">
        <v>2</v>
      </c>
      <c r="F3147">
        <v>3986</v>
      </c>
      <c r="G3147">
        <v>5</v>
      </c>
      <c r="H3147">
        <v>2</v>
      </c>
      <c r="I3147">
        <v>1977</v>
      </c>
      <c r="J3147">
        <v>1</v>
      </c>
      <c r="K3147">
        <v>0</v>
      </c>
      <c r="L3147">
        <v>1</v>
      </c>
      <c r="M3147">
        <v>14</v>
      </c>
      <c r="N3147" t="s">
        <v>41</v>
      </c>
      <c r="O3147" t="s">
        <v>27</v>
      </c>
      <c r="P3147">
        <v>7.5077831070257401</v>
      </c>
      <c r="Q3147">
        <v>1.69821373495441</v>
      </c>
      <c r="R3147">
        <v>0.94093271592966399</v>
      </c>
      <c r="S3147">
        <v>65</v>
      </c>
      <c r="T3147">
        <v>52</v>
      </c>
      <c r="U3147">
        <v>632.90135585731798</v>
      </c>
      <c r="V3147">
        <v>3.5122930255895601E-3</v>
      </c>
      <c r="W3147">
        <v>2808904.1253505801</v>
      </c>
      <c r="X3147" t="s">
        <v>38</v>
      </c>
      <c r="Y3147">
        <f>1-781-898-7867</f>
        <v>-9545</v>
      </c>
    </row>
    <row r="3148" spans="1:25" x14ac:dyDescent="0.35">
      <c r="A3148">
        <v>33.977367210746898</v>
      </c>
      <c r="B3148">
        <v>-119.66712183760499</v>
      </c>
      <c r="C3148" t="s">
        <v>34</v>
      </c>
      <c r="D3148">
        <v>9.9836797016176693</v>
      </c>
      <c r="E3148">
        <v>6</v>
      </c>
      <c r="F3148">
        <v>1876</v>
      </c>
      <c r="G3148">
        <v>5</v>
      </c>
      <c r="H3148">
        <v>3</v>
      </c>
      <c r="I3148">
        <v>1953</v>
      </c>
      <c r="J3148">
        <v>0</v>
      </c>
      <c r="K3148">
        <v>0</v>
      </c>
      <c r="L3148">
        <v>1</v>
      </c>
      <c r="M3148">
        <v>11</v>
      </c>
      <c r="N3148" t="s">
        <v>37</v>
      </c>
      <c r="O3148" t="s">
        <v>27</v>
      </c>
      <c r="P3148">
        <v>14.7056200227064</v>
      </c>
      <c r="Q3148">
        <v>1.92471775251237</v>
      </c>
      <c r="R3148">
        <v>1.0202646491732099</v>
      </c>
      <c r="S3148">
        <v>88</v>
      </c>
      <c r="T3148">
        <v>44</v>
      </c>
      <c r="U3148">
        <v>434.87458538474198</v>
      </c>
      <c r="V3148">
        <v>5.8635394456289904E-3</v>
      </c>
      <c r="W3148">
        <v>1178118.5873219401</v>
      </c>
      <c r="X3148" t="s">
        <v>38</v>
      </c>
      <c r="Y3148">
        <f>1-984-153-7782</f>
        <v>-8918</v>
      </c>
    </row>
    <row r="3149" spans="1:25" x14ac:dyDescent="0.35">
      <c r="A3149">
        <v>33.547918396172598</v>
      </c>
      <c r="B3149">
        <v>-119.191242791213</v>
      </c>
      <c r="C3149" t="s">
        <v>34</v>
      </c>
      <c r="D3149">
        <v>42.534788581058599</v>
      </c>
      <c r="E3149">
        <v>5</v>
      </c>
      <c r="F3149">
        <v>766</v>
      </c>
      <c r="G3149">
        <v>3</v>
      </c>
      <c r="H3149">
        <v>2</v>
      </c>
      <c r="I3149">
        <v>2019</v>
      </c>
      <c r="J3149">
        <v>1</v>
      </c>
      <c r="K3149">
        <v>0</v>
      </c>
      <c r="L3149">
        <v>1</v>
      </c>
      <c r="M3149">
        <v>8</v>
      </c>
      <c r="N3149" t="s">
        <v>41</v>
      </c>
      <c r="O3149" t="s">
        <v>27</v>
      </c>
      <c r="P3149">
        <v>10.996235001730801</v>
      </c>
      <c r="Q3149">
        <v>2.4530244652062998</v>
      </c>
      <c r="R3149">
        <v>6.3866878556632498</v>
      </c>
      <c r="S3149">
        <v>82</v>
      </c>
      <c r="T3149">
        <v>78</v>
      </c>
      <c r="U3149">
        <v>559.14223621234396</v>
      </c>
      <c r="V3149">
        <v>1.0443864229764999E-2</v>
      </c>
      <c r="W3149">
        <v>741444.01600827195</v>
      </c>
      <c r="X3149" t="s">
        <v>31</v>
      </c>
      <c r="Y3149">
        <f>1-425-213-8577</f>
        <v>-9214</v>
      </c>
    </row>
    <row r="3150" spans="1:25" x14ac:dyDescent="0.35">
      <c r="A3150">
        <v>34.8755153352867</v>
      </c>
      <c r="B3150">
        <v>-123.056038315764</v>
      </c>
      <c r="C3150" t="s">
        <v>29</v>
      </c>
      <c r="D3150">
        <v>9.1149482616992401</v>
      </c>
      <c r="E3150">
        <v>2</v>
      </c>
      <c r="F3150">
        <v>2354</v>
      </c>
      <c r="G3150">
        <v>3</v>
      </c>
      <c r="H3150">
        <v>1</v>
      </c>
      <c r="I3150">
        <v>1996</v>
      </c>
      <c r="J3150">
        <v>1</v>
      </c>
      <c r="K3150">
        <v>1</v>
      </c>
      <c r="L3150">
        <v>0</v>
      </c>
      <c r="M3150">
        <v>12</v>
      </c>
      <c r="N3150" t="s">
        <v>35</v>
      </c>
      <c r="O3150" t="s">
        <v>32</v>
      </c>
      <c r="P3150">
        <v>9.4584897767289107</v>
      </c>
      <c r="Q3150">
        <v>1.5461366329491399</v>
      </c>
      <c r="R3150">
        <v>8.2053991259140506</v>
      </c>
      <c r="S3150">
        <v>153</v>
      </c>
      <c r="T3150">
        <v>48</v>
      </c>
      <c r="U3150">
        <v>361.17578344472997</v>
      </c>
      <c r="V3150">
        <v>5.0977060322854699E-3</v>
      </c>
      <c r="W3150">
        <v>1160902.9297970999</v>
      </c>
      <c r="X3150" t="s">
        <v>40</v>
      </c>
      <c r="Y3150">
        <f>1-715-185-2406</f>
        <v>-3305</v>
      </c>
    </row>
    <row r="3151" spans="1:25" x14ac:dyDescent="0.35">
      <c r="A3151">
        <v>37.561479838474199</v>
      </c>
      <c r="B3151">
        <v>-116.664169889327</v>
      </c>
      <c r="C3151" t="s">
        <v>29</v>
      </c>
      <c r="D3151">
        <v>3.17500811810564</v>
      </c>
      <c r="E3151">
        <v>1</v>
      </c>
      <c r="F3151">
        <v>3801</v>
      </c>
      <c r="G3151">
        <v>4</v>
      </c>
      <c r="H3151">
        <v>3</v>
      </c>
      <c r="I3151">
        <v>2009</v>
      </c>
      <c r="J3151">
        <v>1</v>
      </c>
      <c r="K3151">
        <v>0</v>
      </c>
      <c r="L3151">
        <v>1</v>
      </c>
      <c r="M3151">
        <v>12</v>
      </c>
      <c r="N3151" t="s">
        <v>26</v>
      </c>
      <c r="O3151" t="s">
        <v>32</v>
      </c>
      <c r="P3151">
        <v>10.729033325468</v>
      </c>
      <c r="Q3151">
        <v>2.3703755277540202</v>
      </c>
      <c r="R3151">
        <v>8.8113348010114905</v>
      </c>
      <c r="S3151">
        <v>69</v>
      </c>
      <c r="T3151">
        <v>46</v>
      </c>
      <c r="U3151">
        <v>666.74455292779101</v>
      </c>
      <c r="V3151">
        <v>3.1570639305445901E-3</v>
      </c>
      <c r="W3151">
        <v>2991260.9165179199</v>
      </c>
      <c r="X3151" t="s">
        <v>44</v>
      </c>
      <c r="Y3151">
        <f>1-467-205-2761</f>
        <v>-3432</v>
      </c>
    </row>
    <row r="3152" spans="1:25" x14ac:dyDescent="0.35">
      <c r="A3152">
        <v>37.475743027109097</v>
      </c>
      <c r="B3152">
        <v>-114.695994166752</v>
      </c>
      <c r="C3152" t="s">
        <v>25</v>
      </c>
      <c r="D3152">
        <v>2.44699197809858</v>
      </c>
      <c r="E3152">
        <v>1</v>
      </c>
      <c r="F3152">
        <v>1450</v>
      </c>
      <c r="G3152">
        <v>4</v>
      </c>
      <c r="H3152">
        <v>3</v>
      </c>
      <c r="I3152">
        <v>2006</v>
      </c>
      <c r="J3152">
        <v>1</v>
      </c>
      <c r="K3152">
        <v>0</v>
      </c>
      <c r="L3152">
        <v>0</v>
      </c>
      <c r="M3152">
        <v>7</v>
      </c>
      <c r="N3152" t="s">
        <v>35</v>
      </c>
      <c r="O3152" t="s">
        <v>27</v>
      </c>
      <c r="P3152">
        <v>14.527939609173201</v>
      </c>
      <c r="Q3152">
        <v>1.1333708542896801</v>
      </c>
      <c r="R3152">
        <v>5.8043976778055697</v>
      </c>
      <c r="S3152">
        <v>119</v>
      </c>
      <c r="T3152">
        <v>27</v>
      </c>
      <c r="U3152">
        <v>293.816009168172</v>
      </c>
      <c r="V3152">
        <v>4.8275862068965503E-3</v>
      </c>
      <c r="W3152">
        <v>818762.27257144998</v>
      </c>
      <c r="X3152" t="s">
        <v>31</v>
      </c>
      <c r="Y3152">
        <f>1-233-119-5779</f>
        <v>-6130</v>
      </c>
    </row>
    <row r="3153" spans="1:25" x14ac:dyDescent="0.35">
      <c r="A3153">
        <v>39.705989168412003</v>
      </c>
      <c r="B3153">
        <v>-124.29213087134301</v>
      </c>
      <c r="C3153" t="s">
        <v>29</v>
      </c>
      <c r="D3153">
        <v>37.265871030010501</v>
      </c>
      <c r="E3153">
        <v>9</v>
      </c>
      <c r="F3153">
        <v>2991</v>
      </c>
      <c r="G3153">
        <v>1</v>
      </c>
      <c r="H3153">
        <v>2</v>
      </c>
      <c r="I3153">
        <v>1978</v>
      </c>
      <c r="J3153">
        <v>0</v>
      </c>
      <c r="K3153">
        <v>1</v>
      </c>
      <c r="L3153">
        <v>0</v>
      </c>
      <c r="M3153">
        <v>13</v>
      </c>
      <c r="N3153" t="s">
        <v>26</v>
      </c>
      <c r="O3153" t="s">
        <v>27</v>
      </c>
      <c r="P3153">
        <v>12.7607915783409</v>
      </c>
      <c r="Q3153">
        <v>0.95386483837699199</v>
      </c>
      <c r="R3153">
        <v>7.30209016085879</v>
      </c>
      <c r="S3153">
        <v>38</v>
      </c>
      <c r="T3153">
        <v>67</v>
      </c>
      <c r="U3153">
        <v>676.14602210396095</v>
      </c>
      <c r="V3153">
        <v>4.3463724506853799E-3</v>
      </c>
      <c r="W3153">
        <v>2282460.46772786</v>
      </c>
      <c r="X3153" t="s">
        <v>42</v>
      </c>
      <c r="Y3153">
        <f>1-810-405-2713</f>
        <v>-3927</v>
      </c>
    </row>
    <row r="3154" spans="1:25" x14ac:dyDescent="0.35">
      <c r="A3154">
        <v>40.178080376624401</v>
      </c>
      <c r="B3154">
        <v>-115.520463824467</v>
      </c>
      <c r="C3154" t="s">
        <v>34</v>
      </c>
      <c r="D3154">
        <v>22.8876634950281</v>
      </c>
      <c r="E3154">
        <v>9</v>
      </c>
      <c r="F3154">
        <v>1444</v>
      </c>
      <c r="G3154">
        <v>2</v>
      </c>
      <c r="H3154">
        <v>1</v>
      </c>
      <c r="I3154">
        <v>2022</v>
      </c>
      <c r="J3154">
        <v>1</v>
      </c>
      <c r="K3154">
        <v>1</v>
      </c>
      <c r="L3154">
        <v>1</v>
      </c>
      <c r="M3154">
        <v>7</v>
      </c>
      <c r="N3154" t="s">
        <v>26</v>
      </c>
      <c r="O3154" t="s">
        <v>27</v>
      </c>
      <c r="P3154">
        <v>9.1479989095469492</v>
      </c>
      <c r="Q3154">
        <v>0.75200254651821896</v>
      </c>
      <c r="R3154">
        <v>0.11826944696981299</v>
      </c>
      <c r="S3154">
        <v>138</v>
      </c>
      <c r="T3154">
        <v>47</v>
      </c>
      <c r="U3154">
        <v>927.75130522917198</v>
      </c>
      <c r="V3154">
        <v>4.8476454293628797E-3</v>
      </c>
      <c r="W3154">
        <v>1663733.7776768201</v>
      </c>
      <c r="X3154" t="s">
        <v>40</v>
      </c>
      <c r="Y3154">
        <f>1-617-901-3789</f>
        <v>-5306</v>
      </c>
    </row>
    <row r="3155" spans="1:25" x14ac:dyDescent="0.35">
      <c r="A3155">
        <v>33.027185143126097</v>
      </c>
      <c r="B3155">
        <v>-117.49456001092101</v>
      </c>
      <c r="C3155" t="s">
        <v>25</v>
      </c>
      <c r="D3155">
        <v>8.6335830653026093</v>
      </c>
      <c r="E3155">
        <v>0</v>
      </c>
      <c r="F3155">
        <v>2895</v>
      </c>
      <c r="G3155">
        <v>1</v>
      </c>
      <c r="H3155">
        <v>1</v>
      </c>
      <c r="I3155">
        <v>1967</v>
      </c>
      <c r="J3155">
        <v>0</v>
      </c>
      <c r="K3155">
        <v>0</v>
      </c>
      <c r="L3155">
        <v>1</v>
      </c>
      <c r="M3155">
        <v>4</v>
      </c>
      <c r="N3155" t="s">
        <v>41</v>
      </c>
      <c r="O3155" t="s">
        <v>27</v>
      </c>
      <c r="P3155">
        <v>14.02184753958</v>
      </c>
      <c r="Q3155">
        <v>0.52837982999830602</v>
      </c>
      <c r="R3155">
        <v>6.8974262915548898</v>
      </c>
      <c r="S3155">
        <v>151</v>
      </c>
      <c r="T3155">
        <v>69</v>
      </c>
      <c r="U3155">
        <v>279.31650679068701</v>
      </c>
      <c r="V3155">
        <v>1.3816925734024101E-3</v>
      </c>
      <c r="W3155">
        <v>862440.55662046606</v>
      </c>
      <c r="X3155" t="s">
        <v>31</v>
      </c>
      <c r="Y3155">
        <f>1-894-875-1947</f>
        <v>-3715</v>
      </c>
    </row>
    <row r="3156" spans="1:25" x14ac:dyDescent="0.35">
      <c r="A3156">
        <v>34.233140829463103</v>
      </c>
      <c r="B3156">
        <v>-120.786728287803</v>
      </c>
      <c r="C3156" t="s">
        <v>25</v>
      </c>
      <c r="D3156">
        <v>39.666045998019598</v>
      </c>
      <c r="E3156">
        <v>7</v>
      </c>
      <c r="F3156">
        <v>3169</v>
      </c>
      <c r="G3156">
        <v>4</v>
      </c>
      <c r="H3156">
        <v>1</v>
      </c>
      <c r="I3156">
        <v>1969</v>
      </c>
      <c r="J3156">
        <v>1</v>
      </c>
      <c r="K3156">
        <v>0</v>
      </c>
      <c r="L3156">
        <v>0</v>
      </c>
      <c r="M3156">
        <v>12</v>
      </c>
      <c r="N3156" t="s">
        <v>35</v>
      </c>
      <c r="O3156" t="s">
        <v>32</v>
      </c>
      <c r="P3156">
        <v>8.6870279682208391</v>
      </c>
      <c r="Q3156">
        <v>1.293217430965</v>
      </c>
      <c r="R3156">
        <v>7.7893507059191602</v>
      </c>
      <c r="S3156">
        <v>130</v>
      </c>
      <c r="T3156">
        <v>68</v>
      </c>
      <c r="U3156">
        <v>604.28554247714806</v>
      </c>
      <c r="V3156">
        <v>3.78668349637109E-3</v>
      </c>
      <c r="W3156">
        <v>2086353.1746533599</v>
      </c>
      <c r="X3156" t="s">
        <v>36</v>
      </c>
      <c r="Y3156">
        <f>1-978-708-6278</f>
        <v>-7963</v>
      </c>
    </row>
    <row r="3157" spans="1:25" x14ac:dyDescent="0.35">
      <c r="A3157">
        <v>37.7529527742795</v>
      </c>
      <c r="B3157">
        <v>-121.584920712409</v>
      </c>
      <c r="C3157" t="s">
        <v>25</v>
      </c>
      <c r="D3157">
        <v>9.7595705999365592</v>
      </c>
      <c r="E3157">
        <v>3</v>
      </c>
      <c r="F3157">
        <v>1355</v>
      </c>
      <c r="G3157">
        <v>1</v>
      </c>
      <c r="H3157">
        <v>1</v>
      </c>
      <c r="I3157">
        <v>1954</v>
      </c>
      <c r="J3157">
        <v>1</v>
      </c>
      <c r="K3157">
        <v>1</v>
      </c>
      <c r="L3157">
        <v>1</v>
      </c>
      <c r="M3157">
        <v>9</v>
      </c>
      <c r="N3157" t="s">
        <v>26</v>
      </c>
      <c r="O3157" t="s">
        <v>30</v>
      </c>
      <c r="P3157">
        <v>2.6184680958009801</v>
      </c>
      <c r="Q3157">
        <v>2.2120896872251401</v>
      </c>
      <c r="R3157">
        <v>4.5987788403200698</v>
      </c>
      <c r="S3157">
        <v>104</v>
      </c>
      <c r="T3157">
        <v>59</v>
      </c>
      <c r="U3157">
        <v>915.71114153659005</v>
      </c>
      <c r="V3157">
        <v>6.6420664206641999E-3</v>
      </c>
      <c r="W3157">
        <v>1344519.5936366201</v>
      </c>
      <c r="X3157" t="s">
        <v>42</v>
      </c>
      <c r="Y3157">
        <f>1-786-774-5113</f>
        <v>-6672</v>
      </c>
    </row>
    <row r="3158" spans="1:25" x14ac:dyDescent="0.35">
      <c r="A3158">
        <v>39.3669858062541</v>
      </c>
      <c r="B3158">
        <v>-116.085911337045</v>
      </c>
      <c r="C3158" t="s">
        <v>34</v>
      </c>
      <c r="D3158">
        <v>7.5486607637521601</v>
      </c>
      <c r="E3158">
        <v>2</v>
      </c>
      <c r="F3158">
        <v>3965</v>
      </c>
      <c r="G3158">
        <v>4</v>
      </c>
      <c r="H3158">
        <v>2</v>
      </c>
      <c r="I3158">
        <v>1969</v>
      </c>
      <c r="J3158">
        <v>1</v>
      </c>
      <c r="K3158">
        <v>0</v>
      </c>
      <c r="L3158">
        <v>1</v>
      </c>
      <c r="M3158">
        <v>2</v>
      </c>
      <c r="N3158" t="s">
        <v>37</v>
      </c>
      <c r="O3158" t="s">
        <v>30</v>
      </c>
      <c r="P3158">
        <v>4.7747464453494004</v>
      </c>
      <c r="Q3158">
        <v>1.5834370965489299</v>
      </c>
      <c r="R3158">
        <v>6.6910472060807802</v>
      </c>
      <c r="S3158">
        <v>76</v>
      </c>
      <c r="T3158">
        <v>75</v>
      </c>
      <c r="U3158">
        <v>863.46157665963005</v>
      </c>
      <c r="V3158">
        <v>5.0441361916771699E-4</v>
      </c>
      <c r="W3158">
        <v>3672826.9732972998</v>
      </c>
      <c r="X3158" t="s">
        <v>44</v>
      </c>
      <c r="Y3158">
        <f>1-417-615-3090</f>
        <v>-4121</v>
      </c>
    </row>
    <row r="3159" spans="1:25" x14ac:dyDescent="0.35">
      <c r="A3159">
        <v>40.853779628291797</v>
      </c>
      <c r="B3159">
        <v>-118.718176967785</v>
      </c>
      <c r="C3159" t="s">
        <v>29</v>
      </c>
      <c r="D3159">
        <v>46.262924504051398</v>
      </c>
      <c r="E3159">
        <v>7</v>
      </c>
      <c r="F3159">
        <v>4193</v>
      </c>
      <c r="G3159">
        <v>4</v>
      </c>
      <c r="H3159">
        <v>3</v>
      </c>
      <c r="I3159">
        <v>2003</v>
      </c>
      <c r="J3159">
        <v>1</v>
      </c>
      <c r="K3159">
        <v>1</v>
      </c>
      <c r="L3159">
        <v>0</v>
      </c>
      <c r="M3159">
        <v>10</v>
      </c>
      <c r="N3159" t="s">
        <v>35</v>
      </c>
      <c r="O3159" t="s">
        <v>32</v>
      </c>
      <c r="P3159">
        <v>6.4256538860249099</v>
      </c>
      <c r="Q3159">
        <v>1.6125002246490401</v>
      </c>
      <c r="R3159">
        <v>8.5104941510198504</v>
      </c>
      <c r="S3159">
        <v>56</v>
      </c>
      <c r="T3159">
        <v>55</v>
      </c>
      <c r="U3159">
        <v>844.69127449367295</v>
      </c>
      <c r="V3159">
        <v>2.3849272597185698E-3</v>
      </c>
      <c r="W3159">
        <v>4053793.8884625798</v>
      </c>
      <c r="X3159" t="s">
        <v>31</v>
      </c>
      <c r="Y3159">
        <f>1-751-788-9108</f>
        <v>-10646</v>
      </c>
    </row>
    <row r="3160" spans="1:25" x14ac:dyDescent="0.35">
      <c r="A3160">
        <v>37.606844674080001</v>
      </c>
      <c r="B3160">
        <v>-120.898800300088</v>
      </c>
      <c r="C3160" t="s">
        <v>29</v>
      </c>
      <c r="D3160">
        <v>25.6456823758129</v>
      </c>
      <c r="E3160">
        <v>5</v>
      </c>
      <c r="F3160">
        <v>3700</v>
      </c>
      <c r="G3160">
        <v>3</v>
      </c>
      <c r="H3160">
        <v>3</v>
      </c>
      <c r="I3160">
        <v>1986</v>
      </c>
      <c r="J3160">
        <v>0</v>
      </c>
      <c r="K3160">
        <v>1</v>
      </c>
      <c r="L3160">
        <v>1</v>
      </c>
      <c r="M3160">
        <v>14</v>
      </c>
      <c r="N3160" t="s">
        <v>26</v>
      </c>
      <c r="O3160" t="s">
        <v>27</v>
      </c>
      <c r="P3160">
        <v>8.0582317662817502</v>
      </c>
      <c r="Q3160">
        <v>1.0349399956352201</v>
      </c>
      <c r="R3160">
        <v>5.9732213284614097</v>
      </c>
      <c r="S3160">
        <v>150</v>
      </c>
      <c r="T3160">
        <v>28</v>
      </c>
      <c r="U3160">
        <v>635.97482721561801</v>
      </c>
      <c r="V3160">
        <v>3.7837837837837798E-3</v>
      </c>
      <c r="W3160">
        <v>2746894.29567625</v>
      </c>
      <c r="X3160" t="s">
        <v>28</v>
      </c>
      <c r="Y3160">
        <f>1-465-545-4329</f>
        <v>-5338</v>
      </c>
    </row>
    <row r="3161" spans="1:25" x14ac:dyDescent="0.35">
      <c r="A3161">
        <v>34.707205904515298</v>
      </c>
      <c r="B3161">
        <v>-119.036678468175</v>
      </c>
      <c r="C3161" t="s">
        <v>25</v>
      </c>
      <c r="D3161">
        <v>11.288416558545499</v>
      </c>
      <c r="E3161">
        <v>5</v>
      </c>
      <c r="F3161">
        <v>3001</v>
      </c>
      <c r="G3161">
        <v>2</v>
      </c>
      <c r="H3161">
        <v>3</v>
      </c>
      <c r="I3161">
        <v>2018</v>
      </c>
      <c r="J3161">
        <v>1</v>
      </c>
      <c r="K3161">
        <v>0</v>
      </c>
      <c r="L3161">
        <v>1</v>
      </c>
      <c r="M3161">
        <v>14</v>
      </c>
      <c r="N3161" t="s">
        <v>37</v>
      </c>
      <c r="O3161" t="s">
        <v>30</v>
      </c>
      <c r="P3161">
        <v>3.5851851304993199</v>
      </c>
      <c r="Q3161">
        <v>1.1236257507332399</v>
      </c>
      <c r="R3161">
        <v>5.8728473159641599</v>
      </c>
      <c r="S3161">
        <v>142</v>
      </c>
      <c r="T3161">
        <v>51</v>
      </c>
      <c r="U3161">
        <v>464.95444614009301</v>
      </c>
      <c r="V3161">
        <v>4.6651116294568404E-3</v>
      </c>
      <c r="W3161">
        <v>1687112.7179516</v>
      </c>
      <c r="X3161" t="s">
        <v>40</v>
      </c>
      <c r="Y3161">
        <f>1-543-998-3514</f>
        <v>-5054</v>
      </c>
    </row>
    <row r="3162" spans="1:25" x14ac:dyDescent="0.35">
      <c r="A3162">
        <v>41.628193481132399</v>
      </c>
      <c r="B3162">
        <v>-119.53041275259901</v>
      </c>
      <c r="C3162" t="s">
        <v>34</v>
      </c>
      <c r="D3162">
        <v>36.864113094652602</v>
      </c>
      <c r="E3162">
        <v>0</v>
      </c>
      <c r="F3162">
        <v>4714</v>
      </c>
      <c r="G3162">
        <v>5</v>
      </c>
      <c r="H3162">
        <v>3</v>
      </c>
      <c r="I3162">
        <v>2010</v>
      </c>
      <c r="J3162">
        <v>0</v>
      </c>
      <c r="K3162">
        <v>0</v>
      </c>
      <c r="L3162">
        <v>0</v>
      </c>
      <c r="M3162">
        <v>6</v>
      </c>
      <c r="N3162" t="s">
        <v>35</v>
      </c>
      <c r="O3162" t="s">
        <v>27</v>
      </c>
      <c r="P3162">
        <v>14.961359438623299</v>
      </c>
      <c r="Q3162">
        <v>2.32875645047563</v>
      </c>
      <c r="R3162">
        <v>3.9705193237718301</v>
      </c>
      <c r="S3162">
        <v>12</v>
      </c>
      <c r="T3162">
        <v>27</v>
      </c>
      <c r="U3162">
        <v>977.48121587634103</v>
      </c>
      <c r="V3162">
        <v>1.27280441238862E-3</v>
      </c>
      <c r="W3162">
        <v>5124912.1556676496</v>
      </c>
      <c r="X3162" t="s">
        <v>42</v>
      </c>
      <c r="Y3162">
        <f>1-729-755-4367</f>
        <v>-5850</v>
      </c>
    </row>
    <row r="3163" spans="1:25" x14ac:dyDescent="0.35">
      <c r="A3163">
        <v>34.769501253729103</v>
      </c>
      <c r="B3163">
        <v>-119.853991918017</v>
      </c>
      <c r="C3163" t="s">
        <v>34</v>
      </c>
      <c r="D3163">
        <v>20.939581803495098</v>
      </c>
      <c r="E3163">
        <v>2</v>
      </c>
      <c r="F3163">
        <v>2568</v>
      </c>
      <c r="G3163">
        <v>4</v>
      </c>
      <c r="H3163">
        <v>1</v>
      </c>
      <c r="I3163">
        <v>2008</v>
      </c>
      <c r="J3163">
        <v>1</v>
      </c>
      <c r="K3163">
        <v>0</v>
      </c>
      <c r="L3163">
        <v>0</v>
      </c>
      <c r="M3163">
        <v>6</v>
      </c>
      <c r="N3163" t="s">
        <v>26</v>
      </c>
      <c r="O3163" t="s">
        <v>32</v>
      </c>
      <c r="P3163">
        <v>11.157249450250101</v>
      </c>
      <c r="Q3163">
        <v>1.92877034401852</v>
      </c>
      <c r="R3163">
        <v>5.2451327509780903</v>
      </c>
      <c r="S3163">
        <v>100</v>
      </c>
      <c r="T3163">
        <v>31</v>
      </c>
      <c r="U3163">
        <v>339.91247501423101</v>
      </c>
      <c r="V3163">
        <v>2.3364485981308401E-3</v>
      </c>
      <c r="W3163">
        <v>1203158.8770934199</v>
      </c>
      <c r="X3163" t="s">
        <v>44</v>
      </c>
      <c r="Y3163">
        <f>1-835-341-7445</f>
        <v>-8620</v>
      </c>
    </row>
    <row r="3164" spans="1:25" x14ac:dyDescent="0.35">
      <c r="A3164">
        <v>38.236117345037002</v>
      </c>
      <c r="B3164">
        <v>-117.318510435847</v>
      </c>
      <c r="C3164" t="s">
        <v>25</v>
      </c>
      <c r="D3164">
        <v>16.9255695465183</v>
      </c>
      <c r="E3164">
        <v>2</v>
      </c>
      <c r="F3164">
        <v>4773</v>
      </c>
      <c r="G3164">
        <v>2</v>
      </c>
      <c r="H3164">
        <v>2</v>
      </c>
      <c r="I3164">
        <v>2004</v>
      </c>
      <c r="J3164">
        <v>0</v>
      </c>
      <c r="K3164">
        <v>0</v>
      </c>
      <c r="L3164">
        <v>1</v>
      </c>
      <c r="M3164">
        <v>9</v>
      </c>
      <c r="N3164" t="s">
        <v>35</v>
      </c>
      <c r="O3164" t="s">
        <v>30</v>
      </c>
      <c r="P3164">
        <v>7.6022869248223897</v>
      </c>
      <c r="Q3164">
        <v>1.9611345739161099</v>
      </c>
      <c r="R3164">
        <v>7.4265185436705599</v>
      </c>
      <c r="S3164">
        <v>187</v>
      </c>
      <c r="T3164">
        <v>67</v>
      </c>
      <c r="U3164">
        <v>627.22755375980501</v>
      </c>
      <c r="V3164">
        <v>1.8856065367693199E-3</v>
      </c>
      <c r="W3164">
        <v>3153615.1428211401</v>
      </c>
      <c r="X3164" t="s">
        <v>44</v>
      </c>
      <c r="Y3164">
        <f>1-641-441-2307</f>
        <v>-3388</v>
      </c>
    </row>
    <row r="3165" spans="1:25" x14ac:dyDescent="0.35">
      <c r="A3165">
        <v>41.723900871602098</v>
      </c>
      <c r="B3165">
        <v>-115.16749304258801</v>
      </c>
      <c r="C3165" t="s">
        <v>25</v>
      </c>
      <c r="D3165">
        <v>24.4044720471373</v>
      </c>
      <c r="E3165">
        <v>9</v>
      </c>
      <c r="F3165">
        <v>2634</v>
      </c>
      <c r="G3165">
        <v>4</v>
      </c>
      <c r="H3165">
        <v>3</v>
      </c>
      <c r="I3165">
        <v>1993</v>
      </c>
      <c r="J3165">
        <v>1</v>
      </c>
      <c r="K3165">
        <v>1</v>
      </c>
      <c r="L3165">
        <v>1</v>
      </c>
      <c r="M3165">
        <v>11</v>
      </c>
      <c r="N3165" t="s">
        <v>41</v>
      </c>
      <c r="O3165" t="s">
        <v>32</v>
      </c>
      <c r="P3165">
        <v>5.4237031623793701</v>
      </c>
      <c r="Q3165">
        <v>0.55960045488797605</v>
      </c>
      <c r="R3165">
        <v>2.4150149642599699</v>
      </c>
      <c r="S3165">
        <v>174</v>
      </c>
      <c r="T3165">
        <v>39</v>
      </c>
      <c r="U3165">
        <v>395.887083166715</v>
      </c>
      <c r="V3165">
        <v>4.1761579347000697E-3</v>
      </c>
      <c r="W3165">
        <v>1576118.44398203</v>
      </c>
      <c r="X3165" t="s">
        <v>39</v>
      </c>
      <c r="Y3165">
        <f>1-412-895-4355</f>
        <v>-5661</v>
      </c>
    </row>
    <row r="3166" spans="1:25" x14ac:dyDescent="0.35">
      <c r="A3166">
        <v>38.2734164926338</v>
      </c>
      <c r="B3166">
        <v>-121.052706996152</v>
      </c>
      <c r="C3166" t="s">
        <v>25</v>
      </c>
      <c r="D3166">
        <v>26.330894188884901</v>
      </c>
      <c r="E3166">
        <v>8</v>
      </c>
      <c r="F3166">
        <v>1282</v>
      </c>
      <c r="G3166">
        <v>3</v>
      </c>
      <c r="H3166">
        <v>2</v>
      </c>
      <c r="I3166">
        <v>1951</v>
      </c>
      <c r="J3166">
        <v>1</v>
      </c>
      <c r="K3166">
        <v>1</v>
      </c>
      <c r="L3166">
        <v>1</v>
      </c>
      <c r="M3166">
        <v>2</v>
      </c>
      <c r="N3166" t="s">
        <v>41</v>
      </c>
      <c r="O3166" t="s">
        <v>30</v>
      </c>
      <c r="P3166">
        <v>14.101203277681099</v>
      </c>
      <c r="Q3166">
        <v>0.74385468230652396</v>
      </c>
      <c r="R3166">
        <v>5.1748604232995801</v>
      </c>
      <c r="S3166">
        <v>101</v>
      </c>
      <c r="T3166">
        <v>53</v>
      </c>
      <c r="U3166">
        <v>562.77784471044095</v>
      </c>
      <c r="V3166">
        <v>1.5600624024960999E-3</v>
      </c>
      <c r="W3166">
        <v>1084730.2467008401</v>
      </c>
      <c r="X3166" t="s">
        <v>42</v>
      </c>
      <c r="Y3166">
        <f>1-316-706-6487</f>
        <v>-7508</v>
      </c>
    </row>
    <row r="3167" spans="1:25" x14ac:dyDescent="0.35">
      <c r="A3167">
        <v>41.421183589003398</v>
      </c>
      <c r="B3167">
        <v>-123.738678646035</v>
      </c>
      <c r="C3167" t="s">
        <v>34</v>
      </c>
      <c r="D3167">
        <v>12.386502173860601</v>
      </c>
      <c r="E3167">
        <v>5</v>
      </c>
      <c r="F3167">
        <v>958</v>
      </c>
      <c r="G3167">
        <v>4</v>
      </c>
      <c r="H3167">
        <v>2</v>
      </c>
      <c r="I3167">
        <v>2003</v>
      </c>
      <c r="J3167">
        <v>1</v>
      </c>
      <c r="K3167">
        <v>1</v>
      </c>
      <c r="L3167">
        <v>0</v>
      </c>
      <c r="M3167">
        <v>12</v>
      </c>
      <c r="N3167" t="s">
        <v>26</v>
      </c>
      <c r="O3167" t="s">
        <v>30</v>
      </c>
      <c r="P3167">
        <v>2.3608285894463199</v>
      </c>
      <c r="Q3167">
        <v>0.88314732596436196</v>
      </c>
      <c r="R3167">
        <v>1.4910864317435499</v>
      </c>
      <c r="S3167">
        <v>111</v>
      </c>
      <c r="T3167">
        <v>57</v>
      </c>
      <c r="U3167">
        <v>969.74544040529997</v>
      </c>
      <c r="V3167">
        <v>1.2526096033402901E-2</v>
      </c>
      <c r="W3167">
        <v>1276454.9227716899</v>
      </c>
      <c r="X3167" t="s">
        <v>42</v>
      </c>
      <c r="Y3167">
        <f>1-323-224-6202</f>
        <v>-6748</v>
      </c>
    </row>
    <row r="3168" spans="1:25" x14ac:dyDescent="0.35">
      <c r="A3168">
        <v>36.126934222787</v>
      </c>
      <c r="B3168">
        <v>-122.10555426996901</v>
      </c>
      <c r="C3168" t="s">
        <v>25</v>
      </c>
      <c r="D3168">
        <v>2.6481264328527101</v>
      </c>
      <c r="E3168">
        <v>7</v>
      </c>
      <c r="F3168">
        <v>3726</v>
      </c>
      <c r="G3168">
        <v>5</v>
      </c>
      <c r="H3168">
        <v>3</v>
      </c>
      <c r="I3168">
        <v>1988</v>
      </c>
      <c r="J3168">
        <v>1</v>
      </c>
      <c r="K3168">
        <v>1</v>
      </c>
      <c r="L3168">
        <v>0</v>
      </c>
      <c r="M3168">
        <v>11</v>
      </c>
      <c r="N3168" t="s">
        <v>26</v>
      </c>
      <c r="O3168" t="s">
        <v>27</v>
      </c>
      <c r="P3168">
        <v>12.6080448851333</v>
      </c>
      <c r="Q3168">
        <v>1.40235865516584</v>
      </c>
      <c r="R3168">
        <v>5.5064712526107398</v>
      </c>
      <c r="S3168">
        <v>6</v>
      </c>
      <c r="T3168">
        <v>44</v>
      </c>
      <c r="U3168">
        <v>666.27599120166099</v>
      </c>
      <c r="V3168">
        <v>2.9522275899087399E-3</v>
      </c>
      <c r="W3168">
        <v>2961971.9936475698</v>
      </c>
      <c r="X3168" t="s">
        <v>28</v>
      </c>
      <c r="Y3168">
        <f>1-238-371-1113</f>
        <v>-1721</v>
      </c>
    </row>
    <row r="3169" spans="1:25" x14ac:dyDescent="0.35">
      <c r="A3169">
        <v>34.816362450957399</v>
      </c>
      <c r="B3169">
        <v>-118.579566335948</v>
      </c>
      <c r="C3169" t="s">
        <v>25</v>
      </c>
      <c r="D3169">
        <v>5.7004257832723599</v>
      </c>
      <c r="E3169">
        <v>2</v>
      </c>
      <c r="F3169">
        <v>3642</v>
      </c>
      <c r="G3169">
        <v>1</v>
      </c>
      <c r="H3169">
        <v>3</v>
      </c>
      <c r="I3169">
        <v>1999</v>
      </c>
      <c r="J3169">
        <v>0</v>
      </c>
      <c r="K3169">
        <v>1</v>
      </c>
      <c r="L3169">
        <v>1</v>
      </c>
      <c r="M3169">
        <v>2</v>
      </c>
      <c r="N3169" t="s">
        <v>37</v>
      </c>
      <c r="O3169" t="s">
        <v>30</v>
      </c>
      <c r="P3169">
        <v>4.0459900951749201</v>
      </c>
      <c r="Q3169">
        <v>0.89542560302754404</v>
      </c>
      <c r="R3169">
        <v>3.1859430479226498</v>
      </c>
      <c r="S3169">
        <v>40</v>
      </c>
      <c r="T3169">
        <v>42</v>
      </c>
      <c r="U3169">
        <v>484.741070431563</v>
      </c>
      <c r="V3169">
        <v>5.4914881933003801E-4</v>
      </c>
      <c r="W3169">
        <v>2054450.8276472201</v>
      </c>
      <c r="X3169" t="s">
        <v>33</v>
      </c>
      <c r="Y3169">
        <f>1-341-858-3404</f>
        <v>-4602</v>
      </c>
    </row>
    <row r="3170" spans="1:25" x14ac:dyDescent="0.35">
      <c r="A3170">
        <v>40.9992330166044</v>
      </c>
      <c r="B3170">
        <v>-117.372927611232</v>
      </c>
      <c r="C3170" t="s">
        <v>25</v>
      </c>
      <c r="D3170">
        <v>36.171867564848</v>
      </c>
      <c r="E3170">
        <v>2</v>
      </c>
      <c r="F3170">
        <v>2707</v>
      </c>
      <c r="G3170">
        <v>1</v>
      </c>
      <c r="H3170">
        <v>1</v>
      </c>
      <c r="I3170">
        <v>1985</v>
      </c>
      <c r="J3170">
        <v>1</v>
      </c>
      <c r="K3170">
        <v>1</v>
      </c>
      <c r="L3170">
        <v>0</v>
      </c>
      <c r="M3170">
        <v>2</v>
      </c>
      <c r="N3170" t="s">
        <v>41</v>
      </c>
      <c r="O3170" t="s">
        <v>32</v>
      </c>
      <c r="P3170">
        <v>8.8366715200498902</v>
      </c>
      <c r="Q3170">
        <v>0.99902278090931196</v>
      </c>
      <c r="R3170">
        <v>8.83147871132857</v>
      </c>
      <c r="S3170">
        <v>185</v>
      </c>
      <c r="T3170">
        <v>53</v>
      </c>
      <c r="U3170">
        <v>644.40633996751603</v>
      </c>
      <c r="V3170">
        <v>7.3882526782415904E-4</v>
      </c>
      <c r="W3170">
        <v>1862987.7109600899</v>
      </c>
      <c r="X3170" t="s">
        <v>36</v>
      </c>
      <c r="Y3170">
        <f>1-980-322-5242</f>
        <v>-6543</v>
      </c>
    </row>
    <row r="3171" spans="1:25" x14ac:dyDescent="0.35">
      <c r="A3171">
        <v>39.379255324974203</v>
      </c>
      <c r="B3171">
        <v>-116.141493900816</v>
      </c>
      <c r="C3171" t="s">
        <v>34</v>
      </c>
      <c r="D3171">
        <v>44.064924317782904</v>
      </c>
      <c r="E3171">
        <v>8</v>
      </c>
      <c r="F3171">
        <v>4524</v>
      </c>
      <c r="G3171">
        <v>3</v>
      </c>
      <c r="H3171">
        <v>3</v>
      </c>
      <c r="I3171">
        <v>2000</v>
      </c>
      <c r="J3171">
        <v>0</v>
      </c>
      <c r="K3171">
        <v>0</v>
      </c>
      <c r="L3171">
        <v>1</v>
      </c>
      <c r="M3171">
        <v>10</v>
      </c>
      <c r="N3171" t="s">
        <v>35</v>
      </c>
      <c r="O3171" t="s">
        <v>27</v>
      </c>
      <c r="P3171">
        <v>12.923817964402801</v>
      </c>
      <c r="Q3171">
        <v>1.5372113257990201</v>
      </c>
      <c r="R3171">
        <v>5.7633853700605702</v>
      </c>
      <c r="S3171">
        <v>33</v>
      </c>
      <c r="T3171">
        <v>36</v>
      </c>
      <c r="U3171">
        <v>730.27239726264895</v>
      </c>
      <c r="V3171">
        <v>2.2104332449160002E-3</v>
      </c>
      <c r="W3171">
        <v>3594919.3923555599</v>
      </c>
      <c r="X3171" t="s">
        <v>44</v>
      </c>
      <c r="Y3171">
        <f>1-858-531-7181</f>
        <v>-8569</v>
      </c>
    </row>
    <row r="3172" spans="1:25" x14ac:dyDescent="0.35">
      <c r="A3172">
        <v>40.561733033679197</v>
      </c>
      <c r="B3172">
        <v>-122.27881893590801</v>
      </c>
      <c r="C3172" t="s">
        <v>29</v>
      </c>
      <c r="D3172">
        <v>35.5339012779705</v>
      </c>
      <c r="E3172">
        <v>2</v>
      </c>
      <c r="F3172">
        <v>2375</v>
      </c>
      <c r="G3172">
        <v>5</v>
      </c>
      <c r="H3172">
        <v>3</v>
      </c>
      <c r="I3172">
        <v>2013</v>
      </c>
      <c r="J3172">
        <v>0</v>
      </c>
      <c r="K3172">
        <v>0</v>
      </c>
      <c r="L3172">
        <v>0</v>
      </c>
      <c r="M3172">
        <v>8</v>
      </c>
      <c r="N3172" t="s">
        <v>35</v>
      </c>
      <c r="O3172" t="s">
        <v>32</v>
      </c>
      <c r="P3172">
        <v>7.8668959917919699</v>
      </c>
      <c r="Q3172">
        <v>1.5906981607258699</v>
      </c>
      <c r="R3172">
        <v>4.44995013228717</v>
      </c>
      <c r="S3172">
        <v>29</v>
      </c>
      <c r="T3172">
        <v>40</v>
      </c>
      <c r="U3172">
        <v>750.344225504674</v>
      </c>
      <c r="V3172">
        <v>3.36842105263157E-3</v>
      </c>
      <c r="W3172">
        <v>2203283.7867007498</v>
      </c>
      <c r="X3172" t="s">
        <v>28</v>
      </c>
      <c r="Y3172">
        <f>1-325-645-3476</f>
        <v>-4445</v>
      </c>
    </row>
    <row r="3173" spans="1:25" x14ac:dyDescent="0.35">
      <c r="A3173">
        <v>34.297441920448101</v>
      </c>
      <c r="B3173">
        <v>-117.352381929139</v>
      </c>
      <c r="C3173" t="s">
        <v>25</v>
      </c>
      <c r="D3173">
        <v>32.688690048769701</v>
      </c>
      <c r="E3173">
        <v>7</v>
      </c>
      <c r="F3173">
        <v>1534</v>
      </c>
      <c r="G3173">
        <v>5</v>
      </c>
      <c r="H3173">
        <v>2</v>
      </c>
      <c r="I3173">
        <v>1973</v>
      </c>
      <c r="J3173">
        <v>0</v>
      </c>
      <c r="K3173">
        <v>1</v>
      </c>
      <c r="L3173">
        <v>1</v>
      </c>
      <c r="M3173">
        <v>2</v>
      </c>
      <c r="N3173" t="s">
        <v>37</v>
      </c>
      <c r="O3173" t="s">
        <v>27</v>
      </c>
      <c r="P3173">
        <v>14.8190077440032</v>
      </c>
      <c r="Q3173">
        <v>1.9628990947695399</v>
      </c>
      <c r="R3173">
        <v>4.88255610704016</v>
      </c>
      <c r="S3173">
        <v>115</v>
      </c>
      <c r="T3173">
        <v>54</v>
      </c>
      <c r="U3173">
        <v>323.57320691676603</v>
      </c>
      <c r="V3173">
        <v>1.30378096479791E-3</v>
      </c>
      <c r="W3173">
        <v>903295.03610733605</v>
      </c>
      <c r="X3173" t="s">
        <v>33</v>
      </c>
      <c r="Y3173">
        <f>1-612-257-5167</f>
        <v>-6035</v>
      </c>
    </row>
    <row r="3174" spans="1:25" x14ac:dyDescent="0.35">
      <c r="A3174">
        <v>36.830431179136298</v>
      </c>
      <c r="B3174">
        <v>-119.801372822791</v>
      </c>
      <c r="C3174" t="s">
        <v>29</v>
      </c>
      <c r="D3174">
        <v>10.9464899591472</v>
      </c>
      <c r="E3174">
        <v>4</v>
      </c>
      <c r="F3174">
        <v>4452</v>
      </c>
      <c r="G3174">
        <v>4</v>
      </c>
      <c r="H3174">
        <v>3</v>
      </c>
      <c r="I3174">
        <v>1980</v>
      </c>
      <c r="J3174">
        <v>1</v>
      </c>
      <c r="K3174">
        <v>1</v>
      </c>
      <c r="L3174">
        <v>0</v>
      </c>
      <c r="M3174">
        <v>14</v>
      </c>
      <c r="N3174" t="s">
        <v>26</v>
      </c>
      <c r="O3174" t="s">
        <v>30</v>
      </c>
      <c r="P3174">
        <v>14.6744671162266</v>
      </c>
      <c r="Q3174">
        <v>1.8166782602073901</v>
      </c>
      <c r="R3174">
        <v>9.8487682610807203E-2</v>
      </c>
      <c r="S3174">
        <v>171</v>
      </c>
      <c r="T3174">
        <v>61</v>
      </c>
      <c r="U3174">
        <v>539.02483383664799</v>
      </c>
      <c r="V3174">
        <v>3.1446540880503099E-3</v>
      </c>
      <c r="W3174">
        <v>2896021.46344015</v>
      </c>
      <c r="X3174" t="s">
        <v>44</v>
      </c>
      <c r="Y3174">
        <f>1-951-246-1862</f>
        <v>-3058</v>
      </c>
    </row>
    <row r="3175" spans="1:25" x14ac:dyDescent="0.35">
      <c r="A3175">
        <v>35.398297382273697</v>
      </c>
      <c r="B3175">
        <v>-123.991721697511</v>
      </c>
      <c r="C3175" t="s">
        <v>34</v>
      </c>
      <c r="D3175">
        <v>40.221107301442999</v>
      </c>
      <c r="E3175">
        <v>9</v>
      </c>
      <c r="F3175">
        <v>1498</v>
      </c>
      <c r="G3175">
        <v>1</v>
      </c>
      <c r="H3175">
        <v>3</v>
      </c>
      <c r="I3175">
        <v>1984</v>
      </c>
      <c r="J3175">
        <v>1</v>
      </c>
      <c r="K3175">
        <v>1</v>
      </c>
      <c r="L3175">
        <v>1</v>
      </c>
      <c r="M3175">
        <v>10</v>
      </c>
      <c r="N3175" t="s">
        <v>35</v>
      </c>
      <c r="O3175" t="s">
        <v>32</v>
      </c>
      <c r="P3175">
        <v>2.6361243662695899</v>
      </c>
      <c r="Q3175">
        <v>1.5519234570559099</v>
      </c>
      <c r="R3175">
        <v>6.3268400280412598</v>
      </c>
      <c r="S3175">
        <v>196</v>
      </c>
      <c r="T3175">
        <v>23</v>
      </c>
      <c r="U3175">
        <v>906.25072119548997</v>
      </c>
      <c r="V3175">
        <v>6.6755674232309697E-3</v>
      </c>
      <c r="W3175">
        <v>1513901.9934153201</v>
      </c>
      <c r="X3175" t="s">
        <v>28</v>
      </c>
      <c r="Y3175">
        <f>1-527-920-3916</f>
        <v>-5362</v>
      </c>
    </row>
    <row r="3176" spans="1:25" x14ac:dyDescent="0.35">
      <c r="A3176">
        <v>33.416890023267598</v>
      </c>
      <c r="B3176">
        <v>-123.055191935327</v>
      </c>
      <c r="C3176" t="s">
        <v>34</v>
      </c>
      <c r="D3176">
        <v>27.003526113563201</v>
      </c>
      <c r="E3176">
        <v>6</v>
      </c>
      <c r="F3176">
        <v>4412</v>
      </c>
      <c r="G3176">
        <v>1</v>
      </c>
      <c r="H3176">
        <v>3</v>
      </c>
      <c r="I3176">
        <v>1963</v>
      </c>
      <c r="J3176">
        <v>0</v>
      </c>
      <c r="K3176">
        <v>0</v>
      </c>
      <c r="L3176">
        <v>1</v>
      </c>
      <c r="M3176">
        <v>7</v>
      </c>
      <c r="N3176" t="s">
        <v>37</v>
      </c>
      <c r="O3176" t="s">
        <v>32</v>
      </c>
      <c r="P3176">
        <v>5.2345086918712296</v>
      </c>
      <c r="Q3176">
        <v>0.76664455129362297</v>
      </c>
      <c r="R3176">
        <v>7.9609275223962701</v>
      </c>
      <c r="S3176">
        <v>100</v>
      </c>
      <c r="T3176">
        <v>37</v>
      </c>
      <c r="U3176">
        <v>646.75989509541898</v>
      </c>
      <c r="V3176">
        <v>1.58658204895738E-3</v>
      </c>
      <c r="W3176">
        <v>2980024.9861901398</v>
      </c>
      <c r="X3176" t="s">
        <v>31</v>
      </c>
      <c r="Y3176">
        <f>1-630-176-3458</f>
        <v>-4263</v>
      </c>
    </row>
    <row r="3177" spans="1:25" x14ac:dyDescent="0.35">
      <c r="A3177">
        <v>39.226722985979897</v>
      </c>
      <c r="B3177">
        <v>-116.213059647352</v>
      </c>
      <c r="C3177" t="s">
        <v>25</v>
      </c>
      <c r="D3177">
        <v>38.435802768678101</v>
      </c>
      <c r="E3177">
        <v>3</v>
      </c>
      <c r="F3177">
        <v>2209</v>
      </c>
      <c r="G3177">
        <v>1</v>
      </c>
      <c r="H3177">
        <v>1</v>
      </c>
      <c r="I3177">
        <v>1972</v>
      </c>
      <c r="J3177">
        <v>0</v>
      </c>
      <c r="K3177">
        <v>0</v>
      </c>
      <c r="L3177">
        <v>0</v>
      </c>
      <c r="M3177">
        <v>9</v>
      </c>
      <c r="N3177" t="s">
        <v>35</v>
      </c>
      <c r="O3177" t="s">
        <v>27</v>
      </c>
      <c r="P3177">
        <v>8.5942866733869501</v>
      </c>
      <c r="Q3177">
        <v>2.2346053693247598</v>
      </c>
      <c r="R3177">
        <v>2.0101116751280501</v>
      </c>
      <c r="S3177">
        <v>159</v>
      </c>
      <c r="T3177">
        <v>73</v>
      </c>
      <c r="U3177">
        <v>716.54054399295103</v>
      </c>
      <c r="V3177">
        <v>4.0742417383431402E-3</v>
      </c>
      <c r="W3177">
        <v>1573207.3022513301</v>
      </c>
      <c r="X3177" t="s">
        <v>28</v>
      </c>
      <c r="Y3177">
        <f>1-592-572-1746</f>
        <v>-2909</v>
      </c>
    </row>
    <row r="3178" spans="1:25" x14ac:dyDescent="0.35">
      <c r="A3178">
        <v>33.9010919946558</v>
      </c>
      <c r="B3178">
        <v>-114.65589866047701</v>
      </c>
      <c r="C3178" t="s">
        <v>29</v>
      </c>
      <c r="D3178">
        <v>27.465206763941499</v>
      </c>
      <c r="E3178">
        <v>5</v>
      </c>
      <c r="F3178">
        <v>1786</v>
      </c>
      <c r="G3178">
        <v>5</v>
      </c>
      <c r="H3178">
        <v>1</v>
      </c>
      <c r="I3178">
        <v>2002</v>
      </c>
      <c r="J3178">
        <v>1</v>
      </c>
      <c r="K3178">
        <v>1</v>
      </c>
      <c r="L3178">
        <v>0</v>
      </c>
      <c r="M3178">
        <v>5</v>
      </c>
      <c r="N3178" t="s">
        <v>35</v>
      </c>
      <c r="O3178" t="s">
        <v>27</v>
      </c>
      <c r="P3178">
        <v>4.7844414019553003</v>
      </c>
      <c r="Q3178">
        <v>2.3987068901067299</v>
      </c>
      <c r="R3178">
        <v>9.3473803617478897</v>
      </c>
      <c r="S3178">
        <v>157</v>
      </c>
      <c r="T3178">
        <v>29</v>
      </c>
      <c r="U3178">
        <v>593.70954102421797</v>
      </c>
      <c r="V3178">
        <v>2.7995520716685299E-3</v>
      </c>
      <c r="W3178">
        <v>1480443.0830536899</v>
      </c>
      <c r="X3178" t="s">
        <v>31</v>
      </c>
      <c r="Y3178">
        <f>1-930-330-6925</f>
        <v>-8184</v>
      </c>
    </row>
    <row r="3179" spans="1:25" x14ac:dyDescent="0.35">
      <c r="A3179">
        <v>40.5055121234873</v>
      </c>
      <c r="B3179">
        <v>-117.481320263768</v>
      </c>
      <c r="C3179" t="s">
        <v>34</v>
      </c>
      <c r="D3179">
        <v>11.3368327226346</v>
      </c>
      <c r="E3179">
        <v>6</v>
      </c>
      <c r="F3179">
        <v>1484</v>
      </c>
      <c r="G3179">
        <v>1</v>
      </c>
      <c r="H3179">
        <v>1</v>
      </c>
      <c r="I3179">
        <v>2009</v>
      </c>
      <c r="J3179">
        <v>0</v>
      </c>
      <c r="K3179">
        <v>0</v>
      </c>
      <c r="L3179">
        <v>1</v>
      </c>
      <c r="M3179">
        <v>5</v>
      </c>
      <c r="N3179" t="s">
        <v>41</v>
      </c>
      <c r="O3179" t="s">
        <v>32</v>
      </c>
      <c r="P3179">
        <v>7.0845570841201502</v>
      </c>
      <c r="Q3179">
        <v>1.59701506906553</v>
      </c>
      <c r="R3179">
        <v>3.7704220910247601</v>
      </c>
      <c r="S3179">
        <v>50</v>
      </c>
      <c r="T3179">
        <v>67</v>
      </c>
      <c r="U3179">
        <v>713.51863580084205</v>
      </c>
      <c r="V3179">
        <v>3.36927223719676E-3</v>
      </c>
      <c r="W3179">
        <v>1169592.7044160001</v>
      </c>
      <c r="X3179" t="s">
        <v>28</v>
      </c>
      <c r="Y3179">
        <f>1-549-799-6849</f>
        <v>-8196</v>
      </c>
    </row>
    <row r="3180" spans="1:25" x14ac:dyDescent="0.35">
      <c r="A3180">
        <v>38.6488858163586</v>
      </c>
      <c r="B3180">
        <v>-120.398606091289</v>
      </c>
      <c r="C3180" t="s">
        <v>25</v>
      </c>
      <c r="D3180">
        <v>12.113004648368101</v>
      </c>
      <c r="E3180">
        <v>5</v>
      </c>
      <c r="F3180">
        <v>1617</v>
      </c>
      <c r="G3180">
        <v>2</v>
      </c>
      <c r="H3180">
        <v>2</v>
      </c>
      <c r="I3180">
        <v>1962</v>
      </c>
      <c r="J3180">
        <v>0</v>
      </c>
      <c r="K3180">
        <v>1</v>
      </c>
      <c r="L3180">
        <v>0</v>
      </c>
      <c r="M3180">
        <v>11</v>
      </c>
      <c r="N3180" t="s">
        <v>37</v>
      </c>
      <c r="O3180" t="s">
        <v>30</v>
      </c>
      <c r="P3180">
        <v>8.6837556497220802</v>
      </c>
      <c r="Q3180">
        <v>1.02657371899387</v>
      </c>
      <c r="R3180">
        <v>7.9683495804756204</v>
      </c>
      <c r="S3180">
        <v>171</v>
      </c>
      <c r="T3180">
        <v>48</v>
      </c>
      <c r="U3180">
        <v>809.67829789060795</v>
      </c>
      <c r="V3180">
        <v>6.8027210884353704E-3</v>
      </c>
      <c r="W3180">
        <v>1451941.0303035199</v>
      </c>
      <c r="X3180" t="s">
        <v>39</v>
      </c>
      <c r="Y3180">
        <f>1-969-963-3393</f>
        <v>-5324</v>
      </c>
    </row>
    <row r="3181" spans="1:25" x14ac:dyDescent="0.35">
      <c r="A3181">
        <v>37.593654747620903</v>
      </c>
      <c r="B3181">
        <v>-119.309040615982</v>
      </c>
      <c r="C3181" t="s">
        <v>34</v>
      </c>
      <c r="D3181">
        <v>39.731846217119603</v>
      </c>
      <c r="E3181">
        <v>4</v>
      </c>
      <c r="F3181">
        <v>1620</v>
      </c>
      <c r="G3181">
        <v>2</v>
      </c>
      <c r="H3181">
        <v>1</v>
      </c>
      <c r="I3181">
        <v>1979</v>
      </c>
      <c r="J3181">
        <v>1</v>
      </c>
      <c r="K3181">
        <v>0</v>
      </c>
      <c r="L3181">
        <v>1</v>
      </c>
      <c r="M3181">
        <v>4</v>
      </c>
      <c r="N3181" t="s">
        <v>35</v>
      </c>
      <c r="O3181" t="s">
        <v>30</v>
      </c>
      <c r="P3181">
        <v>13.937020973464699</v>
      </c>
      <c r="Q3181">
        <v>0.899204979862683</v>
      </c>
      <c r="R3181">
        <v>0.30069151689571899</v>
      </c>
      <c r="S3181">
        <v>90</v>
      </c>
      <c r="T3181">
        <v>71</v>
      </c>
      <c r="U3181">
        <v>398.01820604482202</v>
      </c>
      <c r="V3181">
        <v>2.4691358024691301E-3</v>
      </c>
      <c r="W3181">
        <v>857236.92149979202</v>
      </c>
      <c r="X3181" t="s">
        <v>33</v>
      </c>
      <c r="Y3181">
        <f>1-915-293-6364</f>
        <v>-7571</v>
      </c>
    </row>
    <row r="3182" spans="1:25" x14ac:dyDescent="0.35">
      <c r="A3182">
        <v>36.765556388620801</v>
      </c>
      <c r="B3182">
        <v>-115.588671885105</v>
      </c>
      <c r="C3182" t="s">
        <v>34</v>
      </c>
      <c r="D3182">
        <v>31.7876705654399</v>
      </c>
      <c r="E3182">
        <v>7</v>
      </c>
      <c r="F3182">
        <v>1617</v>
      </c>
      <c r="G3182">
        <v>1</v>
      </c>
      <c r="H3182">
        <v>1</v>
      </c>
      <c r="I3182">
        <v>1968</v>
      </c>
      <c r="J3182">
        <v>1</v>
      </c>
      <c r="K3182">
        <v>1</v>
      </c>
      <c r="L3182">
        <v>0</v>
      </c>
      <c r="M3182">
        <v>12</v>
      </c>
      <c r="N3182" t="s">
        <v>41</v>
      </c>
      <c r="O3182" t="s">
        <v>32</v>
      </c>
      <c r="P3182">
        <v>5.3313392902837702</v>
      </c>
      <c r="Q3182">
        <v>2.4957026988551401</v>
      </c>
      <c r="R3182">
        <v>1.54156128372763</v>
      </c>
      <c r="S3182">
        <v>96</v>
      </c>
      <c r="T3182">
        <v>33</v>
      </c>
      <c r="U3182">
        <v>250.79223760400001</v>
      </c>
      <c r="V3182">
        <v>7.4211502782931303E-3</v>
      </c>
      <c r="W3182">
        <v>528280.20751559502</v>
      </c>
      <c r="X3182" t="s">
        <v>28</v>
      </c>
      <c r="Y3182">
        <f>1-787-512-4747</f>
        <v>-6045</v>
      </c>
    </row>
    <row r="3183" spans="1:25" x14ac:dyDescent="0.35">
      <c r="A3183">
        <v>37.466547869514301</v>
      </c>
      <c r="B3183">
        <v>-116.387013273881</v>
      </c>
      <c r="C3183" t="s">
        <v>29</v>
      </c>
      <c r="D3183">
        <v>39.639030235441602</v>
      </c>
      <c r="E3183">
        <v>5</v>
      </c>
      <c r="F3183">
        <v>4867</v>
      </c>
      <c r="G3183">
        <v>5</v>
      </c>
      <c r="H3183">
        <v>3</v>
      </c>
      <c r="I3183">
        <v>2014</v>
      </c>
      <c r="J3183">
        <v>0</v>
      </c>
      <c r="K3183">
        <v>0</v>
      </c>
      <c r="L3183">
        <v>0</v>
      </c>
      <c r="M3183">
        <v>12</v>
      </c>
      <c r="N3183" t="s">
        <v>37</v>
      </c>
      <c r="O3183" t="s">
        <v>32</v>
      </c>
      <c r="P3183">
        <v>8.6417754173102193</v>
      </c>
      <c r="Q3183">
        <v>1.5629031751165701</v>
      </c>
      <c r="R3183">
        <v>2.4310352520346301</v>
      </c>
      <c r="S3183">
        <v>123</v>
      </c>
      <c r="T3183">
        <v>79</v>
      </c>
      <c r="U3183">
        <v>367.601877636918</v>
      </c>
      <c r="V3183">
        <v>2.4655845490034901E-3</v>
      </c>
      <c r="W3183">
        <v>2202600.2072177101</v>
      </c>
      <c r="X3183" t="s">
        <v>38</v>
      </c>
      <c r="Y3183">
        <f>1-940-990-7154</f>
        <v>-9083</v>
      </c>
    </row>
    <row r="3184" spans="1:25" x14ac:dyDescent="0.35">
      <c r="A3184">
        <v>33.264063850819099</v>
      </c>
      <c r="B3184">
        <v>-114.879432460123</v>
      </c>
      <c r="C3184" t="s">
        <v>29</v>
      </c>
      <c r="D3184">
        <v>4.4659431050274296</v>
      </c>
      <c r="E3184">
        <v>9</v>
      </c>
      <c r="F3184">
        <v>2844</v>
      </c>
      <c r="G3184">
        <v>4</v>
      </c>
      <c r="H3184">
        <v>1</v>
      </c>
      <c r="I3184">
        <v>1965</v>
      </c>
      <c r="J3184">
        <v>0</v>
      </c>
      <c r="K3184">
        <v>0</v>
      </c>
      <c r="L3184">
        <v>1</v>
      </c>
      <c r="M3184">
        <v>10</v>
      </c>
      <c r="N3184" t="s">
        <v>37</v>
      </c>
      <c r="O3184" t="s">
        <v>27</v>
      </c>
      <c r="P3184">
        <v>12.4788135521879</v>
      </c>
      <c r="Q3184">
        <v>0.51147008518055703</v>
      </c>
      <c r="R3184">
        <v>8.2370495843978695</v>
      </c>
      <c r="S3184">
        <v>22</v>
      </c>
      <c r="T3184">
        <v>37</v>
      </c>
      <c r="U3184">
        <v>277.02892325520298</v>
      </c>
      <c r="V3184">
        <v>3.5161744022503502E-3</v>
      </c>
      <c r="W3184">
        <v>988113.52916899405</v>
      </c>
      <c r="X3184" t="s">
        <v>33</v>
      </c>
      <c r="Y3184">
        <f>1-864-630-8576</f>
        <v>-10069</v>
      </c>
    </row>
    <row r="3185" spans="1:25" x14ac:dyDescent="0.35">
      <c r="A3185">
        <v>36.000581715567201</v>
      </c>
      <c r="B3185">
        <v>-114.275402677119</v>
      </c>
      <c r="C3185" t="s">
        <v>25</v>
      </c>
      <c r="D3185">
        <v>27.220266421287999</v>
      </c>
      <c r="E3185">
        <v>1</v>
      </c>
      <c r="F3185">
        <v>4805</v>
      </c>
      <c r="G3185">
        <v>5</v>
      </c>
      <c r="H3185">
        <v>3</v>
      </c>
      <c r="I3185">
        <v>2003</v>
      </c>
      <c r="J3185">
        <v>1</v>
      </c>
      <c r="K3185">
        <v>1</v>
      </c>
      <c r="L3185">
        <v>1</v>
      </c>
      <c r="M3185">
        <v>14</v>
      </c>
      <c r="N3185" t="s">
        <v>41</v>
      </c>
      <c r="O3185" t="s">
        <v>32</v>
      </c>
      <c r="P3185">
        <v>10.1651898993436</v>
      </c>
      <c r="Q3185">
        <v>0.54275572192513599</v>
      </c>
      <c r="R3185">
        <v>1.4674888882846999</v>
      </c>
      <c r="S3185">
        <v>83</v>
      </c>
      <c r="T3185">
        <v>65</v>
      </c>
      <c r="U3185">
        <v>712.00751373275102</v>
      </c>
      <c r="V3185">
        <v>2.9136316337148799E-3</v>
      </c>
      <c r="W3185">
        <v>4047722.5854263999</v>
      </c>
      <c r="X3185" t="s">
        <v>40</v>
      </c>
      <c r="Y3185">
        <f>1-677-677-3933</f>
        <v>-5286</v>
      </c>
    </row>
    <row r="3186" spans="1:25" x14ac:dyDescent="0.35">
      <c r="A3186">
        <v>34.606757136629703</v>
      </c>
      <c r="B3186">
        <v>-120.34410374626199</v>
      </c>
      <c r="C3186" t="s">
        <v>25</v>
      </c>
      <c r="D3186">
        <v>5.9898361438297396</v>
      </c>
      <c r="E3186">
        <v>2</v>
      </c>
      <c r="F3186">
        <v>1189</v>
      </c>
      <c r="G3186">
        <v>4</v>
      </c>
      <c r="H3186">
        <v>1</v>
      </c>
      <c r="I3186">
        <v>1951</v>
      </c>
      <c r="J3186">
        <v>1</v>
      </c>
      <c r="K3186">
        <v>1</v>
      </c>
      <c r="L3186">
        <v>0</v>
      </c>
      <c r="M3186">
        <v>3</v>
      </c>
      <c r="N3186" t="s">
        <v>35</v>
      </c>
      <c r="O3186" t="s">
        <v>30</v>
      </c>
      <c r="P3186">
        <v>8.3935705539763905</v>
      </c>
      <c r="Q3186">
        <v>1.7144110060156399</v>
      </c>
      <c r="R3186">
        <v>1.26003554078073</v>
      </c>
      <c r="S3186">
        <v>4</v>
      </c>
      <c r="T3186">
        <v>67</v>
      </c>
      <c r="U3186">
        <v>437.703457642008</v>
      </c>
      <c r="V3186">
        <v>2.52312867956265E-3</v>
      </c>
      <c r="W3186">
        <v>965247.45245781005</v>
      </c>
      <c r="X3186" t="s">
        <v>44</v>
      </c>
      <c r="Y3186">
        <f>1-354-175-4217</f>
        <v>-4745</v>
      </c>
    </row>
    <row r="3187" spans="1:25" x14ac:dyDescent="0.35">
      <c r="A3187">
        <v>39.241975343550799</v>
      </c>
      <c r="B3187">
        <v>-115.93635590894</v>
      </c>
      <c r="C3187" t="s">
        <v>29</v>
      </c>
      <c r="D3187">
        <v>26.067513978911599</v>
      </c>
      <c r="E3187">
        <v>4</v>
      </c>
      <c r="F3187">
        <v>4436</v>
      </c>
      <c r="G3187">
        <v>5</v>
      </c>
      <c r="H3187">
        <v>3</v>
      </c>
      <c r="I3187">
        <v>1996</v>
      </c>
      <c r="J3187">
        <v>0</v>
      </c>
      <c r="K3187">
        <v>0</v>
      </c>
      <c r="L3187">
        <v>1</v>
      </c>
      <c r="M3187">
        <v>12</v>
      </c>
      <c r="N3187" t="s">
        <v>26</v>
      </c>
      <c r="O3187" t="s">
        <v>27</v>
      </c>
      <c r="P3187">
        <v>12.276061484812599</v>
      </c>
      <c r="Q3187">
        <v>0.731308950813222</v>
      </c>
      <c r="R3187">
        <v>2.5839793714205999</v>
      </c>
      <c r="S3187">
        <v>150</v>
      </c>
      <c r="T3187">
        <v>50</v>
      </c>
      <c r="U3187">
        <v>538.97227557404506</v>
      </c>
      <c r="V3187">
        <v>2.7051397655545499E-3</v>
      </c>
      <c r="W3187">
        <v>2777739.1298212502</v>
      </c>
      <c r="X3187" t="s">
        <v>44</v>
      </c>
      <c r="Y3187">
        <f>1-687-165-7879</f>
        <v>-8730</v>
      </c>
    </row>
    <row r="3188" spans="1:25" x14ac:dyDescent="0.35">
      <c r="A3188">
        <v>40.058939241822003</v>
      </c>
      <c r="B3188">
        <v>-115.871811758085</v>
      </c>
      <c r="C3188" t="s">
        <v>25</v>
      </c>
      <c r="D3188">
        <v>22.995036907128799</v>
      </c>
      <c r="E3188">
        <v>9</v>
      </c>
      <c r="F3188">
        <v>2586</v>
      </c>
      <c r="G3188">
        <v>1</v>
      </c>
      <c r="H3188">
        <v>3</v>
      </c>
      <c r="I3188">
        <v>2010</v>
      </c>
      <c r="J3188">
        <v>1</v>
      </c>
      <c r="K3188">
        <v>1</v>
      </c>
      <c r="L3188">
        <v>1</v>
      </c>
      <c r="M3188">
        <v>8</v>
      </c>
      <c r="N3188" t="s">
        <v>37</v>
      </c>
      <c r="O3188" t="s">
        <v>27</v>
      </c>
      <c r="P3188">
        <v>11.5538245624656</v>
      </c>
      <c r="Q3188">
        <v>2.23124991921242</v>
      </c>
      <c r="R3188">
        <v>5.34634245974219</v>
      </c>
      <c r="S3188">
        <v>97</v>
      </c>
      <c r="T3188">
        <v>24</v>
      </c>
      <c r="U3188">
        <v>841.65224082908298</v>
      </c>
      <c r="V3188">
        <v>3.09358081979891E-3</v>
      </c>
      <c r="W3188">
        <v>2513012.3892018199</v>
      </c>
      <c r="X3188" t="s">
        <v>38</v>
      </c>
      <c r="Y3188">
        <f>1-586-882-2391</f>
        <v>-3858</v>
      </c>
    </row>
    <row r="3189" spans="1:25" x14ac:dyDescent="0.35">
      <c r="A3189">
        <v>40.981920297056398</v>
      </c>
      <c r="B3189">
        <v>-120.718911048214</v>
      </c>
      <c r="C3189" t="s">
        <v>25</v>
      </c>
      <c r="D3189">
        <v>36.743997081180197</v>
      </c>
      <c r="E3189">
        <v>1</v>
      </c>
      <c r="F3189">
        <v>1362</v>
      </c>
      <c r="G3189">
        <v>4</v>
      </c>
      <c r="H3189">
        <v>1</v>
      </c>
      <c r="I3189">
        <v>2010</v>
      </c>
      <c r="J3189">
        <v>0</v>
      </c>
      <c r="K3189">
        <v>0</v>
      </c>
      <c r="L3189">
        <v>0</v>
      </c>
      <c r="M3189">
        <v>4</v>
      </c>
      <c r="N3189" t="s">
        <v>26</v>
      </c>
      <c r="O3189" t="s">
        <v>32</v>
      </c>
      <c r="P3189">
        <v>13.72423968463</v>
      </c>
      <c r="Q3189">
        <v>1.62644230449226</v>
      </c>
      <c r="R3189">
        <v>1.7939155928452</v>
      </c>
      <c r="S3189">
        <v>118</v>
      </c>
      <c r="T3189">
        <v>66</v>
      </c>
      <c r="U3189">
        <v>450.56093991901997</v>
      </c>
      <c r="V3189">
        <v>2.93685756240822E-3</v>
      </c>
      <c r="W3189">
        <v>887835.69222342595</v>
      </c>
      <c r="X3189" t="s">
        <v>43</v>
      </c>
      <c r="Y3189">
        <f>1-276-197-3157</f>
        <v>-3629</v>
      </c>
    </row>
    <row r="3190" spans="1:25" x14ac:dyDescent="0.35">
      <c r="A3190">
        <v>33.358130627746696</v>
      </c>
      <c r="B3190">
        <v>-120.38674299429201</v>
      </c>
      <c r="C3190" t="s">
        <v>29</v>
      </c>
      <c r="D3190">
        <v>43.995924977451303</v>
      </c>
      <c r="E3190">
        <v>7</v>
      </c>
      <c r="F3190">
        <v>1947</v>
      </c>
      <c r="G3190">
        <v>5</v>
      </c>
      <c r="H3190">
        <v>1</v>
      </c>
      <c r="I3190">
        <v>2005</v>
      </c>
      <c r="J3190">
        <v>0</v>
      </c>
      <c r="K3190">
        <v>1</v>
      </c>
      <c r="L3190">
        <v>0</v>
      </c>
      <c r="M3190">
        <v>13</v>
      </c>
      <c r="N3190" t="s">
        <v>26</v>
      </c>
      <c r="O3190" t="s">
        <v>30</v>
      </c>
      <c r="P3190">
        <v>3.4497176438809101</v>
      </c>
      <c r="Q3190">
        <v>1.14140005057768</v>
      </c>
      <c r="R3190">
        <v>9.6557166954230595</v>
      </c>
      <c r="S3190">
        <v>44</v>
      </c>
      <c r="T3190">
        <v>28</v>
      </c>
      <c r="U3190">
        <v>941.67066935255798</v>
      </c>
      <c r="V3190">
        <v>6.6769388803287104E-3</v>
      </c>
      <c r="W3190">
        <v>2075011.1208438501</v>
      </c>
      <c r="X3190" t="s">
        <v>43</v>
      </c>
      <c r="Y3190">
        <f>1-863-876-5264</f>
        <v>-7002</v>
      </c>
    </row>
    <row r="3191" spans="1:25" x14ac:dyDescent="0.35">
      <c r="A3191">
        <v>33.949808315506402</v>
      </c>
      <c r="B3191">
        <v>-122.60070547279101</v>
      </c>
      <c r="C3191" t="s">
        <v>25</v>
      </c>
      <c r="D3191">
        <v>48.269243742386998</v>
      </c>
      <c r="E3191">
        <v>3</v>
      </c>
      <c r="F3191">
        <v>4637</v>
      </c>
      <c r="G3191">
        <v>4</v>
      </c>
      <c r="H3191">
        <v>1</v>
      </c>
      <c r="I3191">
        <v>1995</v>
      </c>
      <c r="J3191">
        <v>1</v>
      </c>
      <c r="K3191">
        <v>1</v>
      </c>
      <c r="L3191">
        <v>0</v>
      </c>
      <c r="M3191">
        <v>8</v>
      </c>
      <c r="N3191" t="s">
        <v>37</v>
      </c>
      <c r="O3191" t="s">
        <v>30</v>
      </c>
      <c r="P3191">
        <v>2.0770952149300399</v>
      </c>
      <c r="Q3191">
        <v>2.2217350670328302</v>
      </c>
      <c r="R3191">
        <v>7.1893484002497701</v>
      </c>
      <c r="S3191">
        <v>169</v>
      </c>
      <c r="T3191">
        <v>77</v>
      </c>
      <c r="U3191">
        <v>918.41687075695597</v>
      </c>
      <c r="V3191">
        <v>1.72525339659262E-3</v>
      </c>
      <c r="W3191">
        <v>4562443.3497755202</v>
      </c>
      <c r="X3191" t="s">
        <v>33</v>
      </c>
      <c r="Y3191">
        <f>1-844-455-9181</f>
        <v>-10479</v>
      </c>
    </row>
    <row r="3192" spans="1:25" x14ac:dyDescent="0.35">
      <c r="A3192">
        <v>36.498570158341899</v>
      </c>
      <c r="B3192">
        <v>-118.916976978215</v>
      </c>
      <c r="C3192" t="s">
        <v>25</v>
      </c>
      <c r="D3192">
        <v>19.9787816317683</v>
      </c>
      <c r="E3192">
        <v>7</v>
      </c>
      <c r="F3192">
        <v>2109</v>
      </c>
      <c r="G3192">
        <v>4</v>
      </c>
      <c r="H3192">
        <v>1</v>
      </c>
      <c r="I3192">
        <v>1991</v>
      </c>
      <c r="J3192">
        <v>1</v>
      </c>
      <c r="K3192">
        <v>1</v>
      </c>
      <c r="L3192">
        <v>0</v>
      </c>
      <c r="M3192">
        <v>14</v>
      </c>
      <c r="N3192" t="s">
        <v>37</v>
      </c>
      <c r="O3192" t="s">
        <v>27</v>
      </c>
      <c r="P3192">
        <v>11.7152263530115</v>
      </c>
      <c r="Q3192">
        <v>2.0341241593852399</v>
      </c>
      <c r="R3192">
        <v>9.6796858946492197</v>
      </c>
      <c r="S3192">
        <v>67</v>
      </c>
      <c r="T3192">
        <v>62</v>
      </c>
      <c r="U3192">
        <v>651.34663788268097</v>
      </c>
      <c r="V3192">
        <v>6.6382171645329498E-3</v>
      </c>
      <c r="W3192">
        <v>1767739.96876467</v>
      </c>
      <c r="X3192" t="s">
        <v>28</v>
      </c>
      <c r="Y3192">
        <f>1-432-443-9672</f>
        <v>-10546</v>
      </c>
    </row>
    <row r="3193" spans="1:25" x14ac:dyDescent="0.35">
      <c r="A3193">
        <v>39.351949356596997</v>
      </c>
      <c r="B3193">
        <v>-114.94044962199099</v>
      </c>
      <c r="C3193" t="s">
        <v>34</v>
      </c>
      <c r="D3193">
        <v>39.629406991992603</v>
      </c>
      <c r="E3193">
        <v>9</v>
      </c>
      <c r="F3193">
        <v>1769</v>
      </c>
      <c r="G3193">
        <v>5</v>
      </c>
      <c r="H3193">
        <v>3</v>
      </c>
      <c r="I3193">
        <v>2010</v>
      </c>
      <c r="J3193">
        <v>0</v>
      </c>
      <c r="K3193">
        <v>1</v>
      </c>
      <c r="L3193">
        <v>1</v>
      </c>
      <c r="M3193">
        <v>2</v>
      </c>
      <c r="N3193" t="s">
        <v>37</v>
      </c>
      <c r="O3193" t="s">
        <v>27</v>
      </c>
      <c r="P3193">
        <v>13.6874618755949</v>
      </c>
      <c r="Q3193">
        <v>0.89989907733121899</v>
      </c>
      <c r="R3193">
        <v>9.5636653001363392</v>
      </c>
      <c r="S3193">
        <v>25</v>
      </c>
      <c r="T3193">
        <v>56</v>
      </c>
      <c r="U3193">
        <v>446.86201954532498</v>
      </c>
      <c r="V3193">
        <v>1.13058224985867E-3</v>
      </c>
      <c r="W3193">
        <v>1343711.5794672701</v>
      </c>
      <c r="X3193" t="s">
        <v>42</v>
      </c>
      <c r="Y3193">
        <f>1-503-934-5366</f>
        <v>-6802</v>
      </c>
    </row>
    <row r="3194" spans="1:25" x14ac:dyDescent="0.35">
      <c r="A3194">
        <v>38.233686320970598</v>
      </c>
      <c r="B3194">
        <v>-120.496163716968</v>
      </c>
      <c r="C3194" t="s">
        <v>25</v>
      </c>
      <c r="D3194">
        <v>3.7394364096975399</v>
      </c>
      <c r="E3194">
        <v>4</v>
      </c>
      <c r="F3194">
        <v>3965</v>
      </c>
      <c r="G3194">
        <v>4</v>
      </c>
      <c r="H3194">
        <v>2</v>
      </c>
      <c r="I3194">
        <v>1991</v>
      </c>
      <c r="J3194">
        <v>0</v>
      </c>
      <c r="K3194">
        <v>0</v>
      </c>
      <c r="L3194">
        <v>1</v>
      </c>
      <c r="M3194">
        <v>11</v>
      </c>
      <c r="N3194" t="s">
        <v>37</v>
      </c>
      <c r="O3194" t="s">
        <v>30</v>
      </c>
      <c r="P3194">
        <v>8.9855629745666796</v>
      </c>
      <c r="Q3194">
        <v>0.86121554618846696</v>
      </c>
      <c r="R3194">
        <v>6.2959453425775003</v>
      </c>
      <c r="S3194">
        <v>51</v>
      </c>
      <c r="T3194">
        <v>30</v>
      </c>
      <c r="U3194">
        <v>666.85629182155901</v>
      </c>
      <c r="V3194">
        <v>2.7742749054224399E-3</v>
      </c>
      <c r="W3194">
        <v>2951132.5021220902</v>
      </c>
      <c r="X3194" t="s">
        <v>36</v>
      </c>
      <c r="Y3194">
        <f>1-921-291-4124</f>
        <v>-5335</v>
      </c>
    </row>
    <row r="3195" spans="1:25" x14ac:dyDescent="0.35">
      <c r="A3195">
        <v>39.273848293574197</v>
      </c>
      <c r="B3195">
        <v>-114.61390519007099</v>
      </c>
      <c r="C3195" t="s">
        <v>25</v>
      </c>
      <c r="D3195">
        <v>19.143589307310101</v>
      </c>
      <c r="E3195">
        <v>4</v>
      </c>
      <c r="F3195">
        <v>929</v>
      </c>
      <c r="G3195">
        <v>3</v>
      </c>
      <c r="H3195">
        <v>1</v>
      </c>
      <c r="I3195">
        <v>2011</v>
      </c>
      <c r="J3195">
        <v>0</v>
      </c>
      <c r="K3195">
        <v>0</v>
      </c>
      <c r="L3195">
        <v>0</v>
      </c>
      <c r="M3195">
        <v>12</v>
      </c>
      <c r="N3195" t="s">
        <v>26</v>
      </c>
      <c r="O3195" t="s">
        <v>32</v>
      </c>
      <c r="P3195">
        <v>12.484958761873701</v>
      </c>
      <c r="Q3195">
        <v>0.50524042986272599</v>
      </c>
      <c r="R3195">
        <v>3.7404068683513398</v>
      </c>
      <c r="S3195">
        <v>75</v>
      </c>
      <c r="T3195">
        <v>35</v>
      </c>
      <c r="U3195">
        <v>622.53224099607905</v>
      </c>
      <c r="V3195">
        <v>1.29171151776103E-2</v>
      </c>
      <c r="W3195">
        <v>828236.79885153298</v>
      </c>
      <c r="X3195" t="s">
        <v>33</v>
      </c>
      <c r="Y3195">
        <f>1-786-462-7960</f>
        <v>-9207</v>
      </c>
    </row>
    <row r="3196" spans="1:25" x14ac:dyDescent="0.35">
      <c r="A3196">
        <v>36.176980733288097</v>
      </c>
      <c r="B3196">
        <v>-115.516769045226</v>
      </c>
      <c r="C3196" t="s">
        <v>25</v>
      </c>
      <c r="D3196">
        <v>1.1027157368612099</v>
      </c>
      <c r="E3196">
        <v>4</v>
      </c>
      <c r="F3196">
        <v>4394</v>
      </c>
      <c r="G3196">
        <v>2</v>
      </c>
      <c r="H3196">
        <v>1</v>
      </c>
      <c r="I3196">
        <v>2001</v>
      </c>
      <c r="J3196">
        <v>0</v>
      </c>
      <c r="K3196">
        <v>1</v>
      </c>
      <c r="L3196">
        <v>0</v>
      </c>
      <c r="M3196">
        <v>4</v>
      </c>
      <c r="N3196" t="s">
        <v>35</v>
      </c>
      <c r="O3196" t="s">
        <v>32</v>
      </c>
      <c r="P3196">
        <v>8.5783121013363495</v>
      </c>
      <c r="Q3196">
        <v>2.18332079651119</v>
      </c>
      <c r="R3196">
        <v>2.7065092503764698</v>
      </c>
      <c r="S3196">
        <v>137</v>
      </c>
      <c r="T3196">
        <v>57</v>
      </c>
      <c r="U3196">
        <v>914.39296397340695</v>
      </c>
      <c r="V3196">
        <v>9.1033227127901599E-4</v>
      </c>
      <c r="W3196">
        <v>4263233.1943400903</v>
      </c>
      <c r="X3196" t="s">
        <v>33</v>
      </c>
      <c r="Y3196">
        <f>1-835-372-6187</f>
        <v>-7393</v>
      </c>
    </row>
    <row r="3197" spans="1:25" x14ac:dyDescent="0.35">
      <c r="A3197">
        <v>38.080037342113798</v>
      </c>
      <c r="B3197">
        <v>-114.97427288765699</v>
      </c>
      <c r="C3197" t="s">
        <v>34</v>
      </c>
      <c r="D3197">
        <v>6.8624363003771904</v>
      </c>
      <c r="E3197">
        <v>0</v>
      </c>
      <c r="F3197">
        <v>4375</v>
      </c>
      <c r="G3197">
        <v>4</v>
      </c>
      <c r="H3197">
        <v>2</v>
      </c>
      <c r="I3197">
        <v>1998</v>
      </c>
      <c r="J3197">
        <v>0</v>
      </c>
      <c r="K3197">
        <v>1</v>
      </c>
      <c r="L3197">
        <v>1</v>
      </c>
      <c r="M3197">
        <v>3</v>
      </c>
      <c r="N3197" t="s">
        <v>41</v>
      </c>
      <c r="O3197" t="s">
        <v>30</v>
      </c>
      <c r="P3197">
        <v>11.023326154568201</v>
      </c>
      <c r="Q3197">
        <v>1.64009233153273</v>
      </c>
      <c r="R3197">
        <v>6.42098384347912</v>
      </c>
      <c r="S3197">
        <v>29</v>
      </c>
      <c r="T3197">
        <v>69</v>
      </c>
      <c r="U3197">
        <v>261.42089688733699</v>
      </c>
      <c r="V3197">
        <v>6.8571428571428505E-4</v>
      </c>
      <c r="W3197">
        <v>1682628.5128079299</v>
      </c>
      <c r="X3197" t="s">
        <v>33</v>
      </c>
      <c r="Y3197">
        <f>1-749-934-1759</f>
        <v>-3441</v>
      </c>
    </row>
    <row r="3198" spans="1:25" x14ac:dyDescent="0.35">
      <c r="A3198">
        <v>35.543100846086702</v>
      </c>
      <c r="B3198">
        <v>-118.125974814854</v>
      </c>
      <c r="C3198" t="s">
        <v>25</v>
      </c>
      <c r="D3198">
        <v>45.983425785658604</v>
      </c>
      <c r="E3198">
        <v>5</v>
      </c>
      <c r="F3198">
        <v>1822</v>
      </c>
      <c r="G3198">
        <v>4</v>
      </c>
      <c r="H3198">
        <v>3</v>
      </c>
      <c r="I3198">
        <v>2019</v>
      </c>
      <c r="J3198">
        <v>0</v>
      </c>
      <c r="K3198">
        <v>1</v>
      </c>
      <c r="L3198">
        <v>0</v>
      </c>
      <c r="M3198">
        <v>10</v>
      </c>
      <c r="N3198" t="s">
        <v>37</v>
      </c>
      <c r="O3198" t="s">
        <v>32</v>
      </c>
      <c r="P3198">
        <v>8.8494992033260296</v>
      </c>
      <c r="Q3198">
        <v>0.66653173145095901</v>
      </c>
      <c r="R3198">
        <v>4.07954782029584</v>
      </c>
      <c r="S3198">
        <v>54</v>
      </c>
      <c r="T3198">
        <v>25</v>
      </c>
      <c r="U3198">
        <v>820.49854693059797</v>
      </c>
      <c r="V3198">
        <v>5.4884742041712399E-3</v>
      </c>
      <c r="W3198">
        <v>1950193.1878277799</v>
      </c>
      <c r="X3198" t="s">
        <v>31</v>
      </c>
      <c r="Y3198">
        <f>1-713-150-8178</f>
        <v>-9040</v>
      </c>
    </row>
    <row r="3199" spans="1:25" x14ac:dyDescent="0.35">
      <c r="A3199">
        <v>38.553515491677402</v>
      </c>
      <c r="B3199">
        <v>-121.57879870338</v>
      </c>
      <c r="C3199" t="s">
        <v>25</v>
      </c>
      <c r="D3199">
        <v>4.5082987082132897</v>
      </c>
      <c r="E3199">
        <v>0</v>
      </c>
      <c r="F3199">
        <v>1160</v>
      </c>
      <c r="G3199">
        <v>5</v>
      </c>
      <c r="H3199">
        <v>3</v>
      </c>
      <c r="I3199">
        <v>1950</v>
      </c>
      <c r="J3199">
        <v>0</v>
      </c>
      <c r="K3199">
        <v>0</v>
      </c>
      <c r="L3199">
        <v>1</v>
      </c>
      <c r="M3199">
        <v>4</v>
      </c>
      <c r="N3199" t="s">
        <v>26</v>
      </c>
      <c r="O3199" t="s">
        <v>27</v>
      </c>
      <c r="P3199">
        <v>9.7922651003681001</v>
      </c>
      <c r="Q3199">
        <v>1.0822518211288901</v>
      </c>
      <c r="R3199">
        <v>2.5865195348351002</v>
      </c>
      <c r="S3199">
        <v>108</v>
      </c>
      <c r="T3199">
        <v>70</v>
      </c>
      <c r="U3199">
        <v>921.047542758958</v>
      </c>
      <c r="V3199">
        <v>3.4482758620689598E-3</v>
      </c>
      <c r="W3199">
        <v>1315665.35390755</v>
      </c>
      <c r="X3199" t="s">
        <v>31</v>
      </c>
      <c r="Y3199">
        <f>1-845-973-5916</f>
        <v>-7733</v>
      </c>
    </row>
    <row r="3200" spans="1:25" x14ac:dyDescent="0.35">
      <c r="A3200">
        <v>35.030164909068098</v>
      </c>
      <c r="B3200">
        <v>-115.24052398090301</v>
      </c>
      <c r="C3200" t="s">
        <v>34</v>
      </c>
      <c r="D3200">
        <v>43.090440055404201</v>
      </c>
      <c r="E3200">
        <v>7</v>
      </c>
      <c r="F3200">
        <v>2452</v>
      </c>
      <c r="G3200">
        <v>1</v>
      </c>
      <c r="H3200">
        <v>1</v>
      </c>
      <c r="I3200">
        <v>1975</v>
      </c>
      <c r="J3200">
        <v>1</v>
      </c>
      <c r="K3200">
        <v>0</v>
      </c>
      <c r="L3200">
        <v>0</v>
      </c>
      <c r="M3200">
        <v>13</v>
      </c>
      <c r="N3200" t="s">
        <v>37</v>
      </c>
      <c r="O3200" t="s">
        <v>32</v>
      </c>
      <c r="P3200">
        <v>10.700139808950301</v>
      </c>
      <c r="Q3200">
        <v>2.1690498396799001</v>
      </c>
      <c r="R3200">
        <v>0.79618623124963195</v>
      </c>
      <c r="S3200">
        <v>75</v>
      </c>
      <c r="T3200">
        <v>51</v>
      </c>
      <c r="U3200">
        <v>649.36128725246101</v>
      </c>
      <c r="V3200">
        <v>5.3017944535073396E-3</v>
      </c>
      <c r="W3200">
        <v>1681015.67179628</v>
      </c>
      <c r="X3200" t="s">
        <v>38</v>
      </c>
      <c r="Y3200">
        <f>1-544-729-3233</f>
        <v>-4505</v>
      </c>
    </row>
    <row r="3201" spans="1:25" x14ac:dyDescent="0.35">
      <c r="A3201">
        <v>35.0235702190041</v>
      </c>
      <c r="B3201">
        <v>-117.486296005193</v>
      </c>
      <c r="C3201" t="s">
        <v>25</v>
      </c>
      <c r="D3201">
        <v>45.269951601160798</v>
      </c>
      <c r="E3201">
        <v>1</v>
      </c>
      <c r="F3201">
        <v>1551</v>
      </c>
      <c r="G3201">
        <v>1</v>
      </c>
      <c r="H3201">
        <v>2</v>
      </c>
      <c r="I3201">
        <v>1970</v>
      </c>
      <c r="J3201">
        <v>1</v>
      </c>
      <c r="K3201">
        <v>0</v>
      </c>
      <c r="L3201">
        <v>0</v>
      </c>
      <c r="M3201">
        <v>10</v>
      </c>
      <c r="N3201" t="s">
        <v>41</v>
      </c>
      <c r="O3201" t="s">
        <v>27</v>
      </c>
      <c r="P3201">
        <v>8.2131394259751893</v>
      </c>
      <c r="Q3201">
        <v>0.75475782673519798</v>
      </c>
      <c r="R3201">
        <v>6.6105020231793103</v>
      </c>
      <c r="S3201">
        <v>147</v>
      </c>
      <c r="T3201">
        <v>22</v>
      </c>
      <c r="U3201">
        <v>283.11474958566401</v>
      </c>
      <c r="V3201">
        <v>6.4474532559638904E-3</v>
      </c>
      <c r="W3201">
        <v>590083.42262355995</v>
      </c>
      <c r="X3201" t="s">
        <v>43</v>
      </c>
      <c r="Y3201">
        <f>1-836-434-7198</f>
        <v>-8467</v>
      </c>
    </row>
    <row r="3202" spans="1:25" x14ac:dyDescent="0.35">
      <c r="A3202">
        <v>37.851238597985997</v>
      </c>
      <c r="B3202">
        <v>-120.490253943037</v>
      </c>
      <c r="C3202" t="s">
        <v>34</v>
      </c>
      <c r="D3202">
        <v>18.8887740213816</v>
      </c>
      <c r="E3202">
        <v>6</v>
      </c>
      <c r="F3202">
        <v>4684</v>
      </c>
      <c r="G3202">
        <v>1</v>
      </c>
      <c r="H3202">
        <v>1</v>
      </c>
      <c r="I3202">
        <v>2000</v>
      </c>
      <c r="J3202">
        <v>1</v>
      </c>
      <c r="K3202">
        <v>0</v>
      </c>
      <c r="L3202">
        <v>0</v>
      </c>
      <c r="M3202">
        <v>10</v>
      </c>
      <c r="N3202" t="s">
        <v>35</v>
      </c>
      <c r="O3202" t="s">
        <v>32</v>
      </c>
      <c r="P3202">
        <v>6.1603269094566704</v>
      </c>
      <c r="Q3202">
        <v>1.3866223341784401</v>
      </c>
      <c r="R3202">
        <v>4.3187041043399299</v>
      </c>
      <c r="S3202">
        <v>79</v>
      </c>
      <c r="T3202">
        <v>39</v>
      </c>
      <c r="U3202">
        <v>861.79333856961102</v>
      </c>
      <c r="V3202">
        <v>2.1349274124679699E-3</v>
      </c>
      <c r="W3202">
        <v>4192974.2153342199</v>
      </c>
      <c r="X3202" t="s">
        <v>33</v>
      </c>
      <c r="Y3202">
        <f>1-279-703-8448</f>
        <v>-9429</v>
      </c>
    </row>
    <row r="3203" spans="1:25" x14ac:dyDescent="0.35">
      <c r="A3203">
        <v>40.955392013947503</v>
      </c>
      <c r="B3203">
        <v>-123.69777567037499</v>
      </c>
      <c r="C3203" t="s">
        <v>25</v>
      </c>
      <c r="D3203">
        <v>12.5791912268619</v>
      </c>
      <c r="E3203">
        <v>7</v>
      </c>
      <c r="F3203">
        <v>2273</v>
      </c>
      <c r="G3203">
        <v>5</v>
      </c>
      <c r="H3203">
        <v>3</v>
      </c>
      <c r="I3203">
        <v>2005</v>
      </c>
      <c r="J3203">
        <v>0</v>
      </c>
      <c r="K3203">
        <v>0</v>
      </c>
      <c r="L3203">
        <v>1</v>
      </c>
      <c r="M3203">
        <v>10</v>
      </c>
      <c r="N3203" t="s">
        <v>41</v>
      </c>
      <c r="O3203" t="s">
        <v>32</v>
      </c>
      <c r="P3203">
        <v>14.0037599418034</v>
      </c>
      <c r="Q3203">
        <v>1.44184959599721</v>
      </c>
      <c r="R3203">
        <v>5.8785632361588701E-2</v>
      </c>
      <c r="S3203">
        <v>192</v>
      </c>
      <c r="T3203">
        <v>35</v>
      </c>
      <c r="U3203">
        <v>324.11448061181102</v>
      </c>
      <c r="V3203">
        <v>4.3994720633523899E-3</v>
      </c>
      <c r="W3203">
        <v>1143182.4616024201</v>
      </c>
      <c r="X3203" t="s">
        <v>43</v>
      </c>
      <c r="Y3203">
        <f>1-934-461-2508</f>
        <v>-3902</v>
      </c>
    </row>
    <row r="3204" spans="1:25" x14ac:dyDescent="0.35">
      <c r="A3204">
        <v>40.185657897187497</v>
      </c>
      <c r="B3204">
        <v>-119.653547996961</v>
      </c>
      <c r="C3204" t="s">
        <v>25</v>
      </c>
      <c r="D3204">
        <v>20.585883434666599</v>
      </c>
      <c r="E3204">
        <v>6</v>
      </c>
      <c r="F3204">
        <v>2358</v>
      </c>
      <c r="G3204">
        <v>5</v>
      </c>
      <c r="H3204">
        <v>3</v>
      </c>
      <c r="I3204">
        <v>1960</v>
      </c>
      <c r="J3204">
        <v>1</v>
      </c>
      <c r="K3204">
        <v>0</v>
      </c>
      <c r="L3204">
        <v>1</v>
      </c>
      <c r="M3204">
        <v>14</v>
      </c>
      <c r="N3204" t="s">
        <v>37</v>
      </c>
      <c r="O3204" t="s">
        <v>27</v>
      </c>
      <c r="P3204">
        <v>7.0320291933986203</v>
      </c>
      <c r="Q3204">
        <v>1.3016938540192899</v>
      </c>
      <c r="R3204">
        <v>0.22569353910374401</v>
      </c>
      <c r="S3204">
        <v>61</v>
      </c>
      <c r="T3204">
        <v>77</v>
      </c>
      <c r="U3204">
        <v>280.80545541091698</v>
      </c>
      <c r="V3204">
        <v>5.9372349448685302E-3</v>
      </c>
      <c r="W3204">
        <v>868969.44867427705</v>
      </c>
      <c r="X3204" t="s">
        <v>42</v>
      </c>
      <c r="Y3204">
        <f>1-650-846-6203</f>
        <v>-7698</v>
      </c>
    </row>
    <row r="3205" spans="1:25" x14ac:dyDescent="0.35">
      <c r="A3205">
        <v>40.856139756267098</v>
      </c>
      <c r="B3205">
        <v>-119.87997053744201</v>
      </c>
      <c r="C3205" t="s">
        <v>34</v>
      </c>
      <c r="D3205">
        <v>26.853937964229601</v>
      </c>
      <c r="E3205">
        <v>6</v>
      </c>
      <c r="F3205">
        <v>2444</v>
      </c>
      <c r="G3205">
        <v>2</v>
      </c>
      <c r="H3205">
        <v>3</v>
      </c>
      <c r="I3205">
        <v>1988</v>
      </c>
      <c r="J3205">
        <v>1</v>
      </c>
      <c r="K3205">
        <v>1</v>
      </c>
      <c r="L3205">
        <v>1</v>
      </c>
      <c r="M3205">
        <v>14</v>
      </c>
      <c r="N3205" t="s">
        <v>26</v>
      </c>
      <c r="O3205" t="s">
        <v>30</v>
      </c>
      <c r="P3205">
        <v>2.4595865919276498</v>
      </c>
      <c r="Q3205">
        <v>1.4268095547122299</v>
      </c>
      <c r="R3205">
        <v>6.9909697566269804</v>
      </c>
      <c r="S3205">
        <v>129</v>
      </c>
      <c r="T3205">
        <v>67</v>
      </c>
      <c r="U3205">
        <v>797.64464749904096</v>
      </c>
      <c r="V3205">
        <v>5.7283142389525296E-3</v>
      </c>
      <c r="W3205">
        <v>2172613.2037004698</v>
      </c>
      <c r="X3205" t="s">
        <v>31</v>
      </c>
      <c r="Y3205">
        <f>1-791-892-6965</f>
        <v>-8647</v>
      </c>
    </row>
    <row r="3206" spans="1:25" x14ac:dyDescent="0.35">
      <c r="A3206">
        <v>36.269121146401702</v>
      </c>
      <c r="B3206">
        <v>-118.633299474645</v>
      </c>
      <c r="C3206" t="s">
        <v>25</v>
      </c>
      <c r="D3206">
        <v>43.354282723195098</v>
      </c>
      <c r="E3206">
        <v>1</v>
      </c>
      <c r="F3206">
        <v>1017</v>
      </c>
      <c r="G3206">
        <v>1</v>
      </c>
      <c r="H3206">
        <v>2</v>
      </c>
      <c r="I3206">
        <v>1975</v>
      </c>
      <c r="J3206">
        <v>0</v>
      </c>
      <c r="K3206">
        <v>1</v>
      </c>
      <c r="L3206">
        <v>1</v>
      </c>
      <c r="M3206">
        <v>13</v>
      </c>
      <c r="N3206" t="s">
        <v>26</v>
      </c>
      <c r="O3206" t="s">
        <v>30</v>
      </c>
      <c r="P3206">
        <v>5.8740105205039601</v>
      </c>
      <c r="Q3206">
        <v>0.57354090949557102</v>
      </c>
      <c r="R3206">
        <v>4.2121169151412001</v>
      </c>
      <c r="S3206">
        <v>118</v>
      </c>
      <c r="T3206">
        <v>56</v>
      </c>
      <c r="U3206">
        <v>344.48685317045999</v>
      </c>
      <c r="V3206">
        <v>1.27826941986234E-2</v>
      </c>
      <c r="W3206">
        <v>517738.98229106498</v>
      </c>
      <c r="X3206" t="s">
        <v>36</v>
      </c>
      <c r="Y3206">
        <f>1-722-338-7207</f>
        <v>-8266</v>
      </c>
    </row>
    <row r="3207" spans="1:25" x14ac:dyDescent="0.35">
      <c r="A3207">
        <v>33.704028698495698</v>
      </c>
      <c r="B3207">
        <v>-117.93015055339301</v>
      </c>
      <c r="C3207" t="s">
        <v>25</v>
      </c>
      <c r="D3207">
        <v>20.6085304429795</v>
      </c>
      <c r="E3207">
        <v>0</v>
      </c>
      <c r="F3207">
        <v>4381</v>
      </c>
      <c r="G3207">
        <v>5</v>
      </c>
      <c r="H3207">
        <v>3</v>
      </c>
      <c r="I3207">
        <v>1979</v>
      </c>
      <c r="J3207">
        <v>0</v>
      </c>
      <c r="K3207">
        <v>0</v>
      </c>
      <c r="L3207">
        <v>0</v>
      </c>
      <c r="M3207">
        <v>12</v>
      </c>
      <c r="N3207" t="s">
        <v>35</v>
      </c>
      <c r="O3207" t="s">
        <v>27</v>
      </c>
      <c r="P3207">
        <v>13.5827812292177</v>
      </c>
      <c r="Q3207">
        <v>1.51075970325249</v>
      </c>
      <c r="R3207">
        <v>4.43372900450996</v>
      </c>
      <c r="S3207">
        <v>132</v>
      </c>
      <c r="T3207">
        <v>56</v>
      </c>
      <c r="U3207">
        <v>630.79804654719305</v>
      </c>
      <c r="V3207">
        <v>2.73910066194932E-3</v>
      </c>
      <c r="W3207">
        <v>3102093.2895099702</v>
      </c>
      <c r="X3207" t="s">
        <v>36</v>
      </c>
      <c r="Y3207">
        <f>1-422-847-9545</f>
        <v>-10813</v>
      </c>
    </row>
    <row r="3208" spans="1:25" x14ac:dyDescent="0.35">
      <c r="A3208">
        <v>40.574652565889402</v>
      </c>
      <c r="B3208">
        <v>-122.067590311435</v>
      </c>
      <c r="C3208" t="s">
        <v>25</v>
      </c>
      <c r="D3208">
        <v>39.004878987680897</v>
      </c>
      <c r="E3208">
        <v>4</v>
      </c>
      <c r="F3208">
        <v>1084</v>
      </c>
      <c r="G3208">
        <v>1</v>
      </c>
      <c r="H3208">
        <v>2</v>
      </c>
      <c r="I3208">
        <v>1999</v>
      </c>
      <c r="J3208">
        <v>0</v>
      </c>
      <c r="K3208">
        <v>0</v>
      </c>
      <c r="L3208">
        <v>0</v>
      </c>
      <c r="M3208">
        <v>5</v>
      </c>
      <c r="N3208" t="s">
        <v>41</v>
      </c>
      <c r="O3208" t="s">
        <v>30</v>
      </c>
      <c r="P3208">
        <v>14.898017506592501</v>
      </c>
      <c r="Q3208">
        <v>2.3379389071830601</v>
      </c>
      <c r="R3208">
        <v>0.89519523111393595</v>
      </c>
      <c r="S3208">
        <v>46</v>
      </c>
      <c r="T3208">
        <v>26</v>
      </c>
      <c r="U3208">
        <v>321.869136181258</v>
      </c>
      <c r="V3208">
        <v>4.6125461254612503E-3</v>
      </c>
      <c r="W3208">
        <v>601600.48339670803</v>
      </c>
      <c r="X3208" t="s">
        <v>42</v>
      </c>
      <c r="Y3208">
        <f>1-644-669-8629</f>
        <v>-9941</v>
      </c>
    </row>
    <row r="3209" spans="1:25" x14ac:dyDescent="0.35">
      <c r="A3209">
        <v>33.718713012993099</v>
      </c>
      <c r="B3209">
        <v>-122.32945909139001</v>
      </c>
      <c r="C3209" t="s">
        <v>29</v>
      </c>
      <c r="D3209">
        <v>48.038227036445498</v>
      </c>
      <c r="E3209">
        <v>9</v>
      </c>
      <c r="F3209">
        <v>2788</v>
      </c>
      <c r="G3209">
        <v>4</v>
      </c>
      <c r="H3209">
        <v>1</v>
      </c>
      <c r="I3209">
        <v>1986</v>
      </c>
      <c r="J3209">
        <v>1</v>
      </c>
      <c r="K3209">
        <v>1</v>
      </c>
      <c r="L3209">
        <v>1</v>
      </c>
      <c r="M3209">
        <v>7</v>
      </c>
      <c r="N3209" t="s">
        <v>41</v>
      </c>
      <c r="O3209" t="s">
        <v>30</v>
      </c>
      <c r="P3209">
        <v>6.9621962434169902</v>
      </c>
      <c r="Q3209">
        <v>0.604399153816642</v>
      </c>
      <c r="R3209">
        <v>0.44886667664298302</v>
      </c>
      <c r="S3209">
        <v>121</v>
      </c>
      <c r="T3209">
        <v>72</v>
      </c>
      <c r="U3209">
        <v>968.42535413195401</v>
      </c>
      <c r="V3209">
        <v>2.5107604017216602E-3</v>
      </c>
      <c r="W3209">
        <v>3106914.0561320502</v>
      </c>
      <c r="X3209" t="s">
        <v>39</v>
      </c>
      <c r="Y3209">
        <f>1-239-550-1977</f>
        <v>-2765</v>
      </c>
    </row>
    <row r="3210" spans="1:25" x14ac:dyDescent="0.35">
      <c r="A3210">
        <v>38.309552221103999</v>
      </c>
      <c r="B3210">
        <v>-118.02039825513199</v>
      </c>
      <c r="C3210" t="s">
        <v>29</v>
      </c>
      <c r="D3210">
        <v>9.5003828786410995</v>
      </c>
      <c r="E3210">
        <v>0</v>
      </c>
      <c r="F3210">
        <v>2326</v>
      </c>
      <c r="G3210">
        <v>5</v>
      </c>
      <c r="H3210">
        <v>3</v>
      </c>
      <c r="I3210">
        <v>2021</v>
      </c>
      <c r="J3210">
        <v>1</v>
      </c>
      <c r="K3210">
        <v>0</v>
      </c>
      <c r="L3210">
        <v>0</v>
      </c>
      <c r="M3210">
        <v>4</v>
      </c>
      <c r="N3210" t="s">
        <v>26</v>
      </c>
      <c r="O3210" t="s">
        <v>32</v>
      </c>
      <c r="P3210">
        <v>13.368379080118601</v>
      </c>
      <c r="Q3210">
        <v>1.8761157224648199</v>
      </c>
      <c r="R3210">
        <v>9.5960886284632902</v>
      </c>
      <c r="S3210">
        <v>147</v>
      </c>
      <c r="T3210">
        <v>38</v>
      </c>
      <c r="U3210">
        <v>705.21574238699202</v>
      </c>
      <c r="V3210">
        <v>1.7196904557179699E-3</v>
      </c>
      <c r="W3210">
        <v>2083541.67024568</v>
      </c>
      <c r="X3210" t="s">
        <v>44</v>
      </c>
      <c r="Y3210">
        <f>1-828-869-4835</f>
        <v>-6531</v>
      </c>
    </row>
    <row r="3211" spans="1:25" x14ac:dyDescent="0.35">
      <c r="A3211">
        <v>39.492740600090599</v>
      </c>
      <c r="B3211">
        <v>-120.92346763352801</v>
      </c>
      <c r="C3211" t="s">
        <v>34</v>
      </c>
      <c r="D3211">
        <v>20.050986427660899</v>
      </c>
      <c r="E3211">
        <v>6</v>
      </c>
      <c r="F3211">
        <v>811</v>
      </c>
      <c r="G3211">
        <v>1</v>
      </c>
      <c r="H3211">
        <v>1</v>
      </c>
      <c r="I3211">
        <v>1981</v>
      </c>
      <c r="J3211">
        <v>0</v>
      </c>
      <c r="K3211">
        <v>1</v>
      </c>
      <c r="L3211">
        <v>0</v>
      </c>
      <c r="M3211">
        <v>9</v>
      </c>
      <c r="N3211" t="s">
        <v>37</v>
      </c>
      <c r="O3211" t="s">
        <v>30</v>
      </c>
      <c r="P3211">
        <v>9.2109698740260697</v>
      </c>
      <c r="Q3211">
        <v>0.66610140964785802</v>
      </c>
      <c r="R3211">
        <v>9.6027989314279996</v>
      </c>
      <c r="S3211">
        <v>139</v>
      </c>
      <c r="T3211">
        <v>29</v>
      </c>
      <c r="U3211">
        <v>512.50117004826905</v>
      </c>
      <c r="V3211">
        <v>1.1097410604192301E-2</v>
      </c>
      <c r="W3211">
        <v>561656.41617541399</v>
      </c>
      <c r="X3211" t="s">
        <v>31</v>
      </c>
      <c r="Y3211">
        <f>1-881-814-1513</f>
        <v>-3207</v>
      </c>
    </row>
    <row r="3212" spans="1:25" x14ac:dyDescent="0.35">
      <c r="A3212">
        <v>35.056244868442299</v>
      </c>
      <c r="B3212">
        <v>-118.965386232273</v>
      </c>
      <c r="C3212" t="s">
        <v>29</v>
      </c>
      <c r="D3212">
        <v>18.5283476256139</v>
      </c>
      <c r="E3212">
        <v>7</v>
      </c>
      <c r="F3212">
        <v>2122</v>
      </c>
      <c r="G3212">
        <v>4</v>
      </c>
      <c r="H3212">
        <v>1</v>
      </c>
      <c r="I3212">
        <v>1959</v>
      </c>
      <c r="J3212">
        <v>1</v>
      </c>
      <c r="K3212">
        <v>1</v>
      </c>
      <c r="L3212">
        <v>1</v>
      </c>
      <c r="M3212">
        <v>5</v>
      </c>
      <c r="N3212" t="s">
        <v>35</v>
      </c>
      <c r="O3212" t="s">
        <v>32</v>
      </c>
      <c r="P3212">
        <v>4.5711477511504599</v>
      </c>
      <c r="Q3212">
        <v>1.7633202756791599</v>
      </c>
      <c r="R3212">
        <v>1.7391523003878999</v>
      </c>
      <c r="S3212">
        <v>150</v>
      </c>
      <c r="T3212">
        <v>60</v>
      </c>
      <c r="U3212">
        <v>767.91712257191398</v>
      </c>
      <c r="V3212">
        <v>2.3562676720075399E-3</v>
      </c>
      <c r="W3212">
        <v>1896162.2576488501</v>
      </c>
      <c r="X3212" t="s">
        <v>31</v>
      </c>
      <c r="Y3212">
        <f>1-952-189-6595</f>
        <v>-7735</v>
      </c>
    </row>
    <row r="3213" spans="1:25" x14ac:dyDescent="0.35">
      <c r="A3213">
        <v>40.644804149075597</v>
      </c>
      <c r="B3213">
        <v>-115.727273048765</v>
      </c>
      <c r="C3213" t="s">
        <v>29</v>
      </c>
      <c r="D3213">
        <v>22.464471720664399</v>
      </c>
      <c r="E3213">
        <v>5</v>
      </c>
      <c r="F3213">
        <v>590</v>
      </c>
      <c r="G3213">
        <v>1</v>
      </c>
      <c r="H3213">
        <v>3</v>
      </c>
      <c r="I3213">
        <v>1979</v>
      </c>
      <c r="J3213">
        <v>0</v>
      </c>
      <c r="K3213">
        <v>1</v>
      </c>
      <c r="L3213">
        <v>1</v>
      </c>
      <c r="M3213">
        <v>7</v>
      </c>
      <c r="N3213" t="s">
        <v>35</v>
      </c>
      <c r="O3213" t="s">
        <v>30</v>
      </c>
      <c r="P3213">
        <v>5.5033699482144502</v>
      </c>
      <c r="Q3213">
        <v>0.98554112280339201</v>
      </c>
      <c r="R3213">
        <v>2.83045797625855</v>
      </c>
      <c r="S3213">
        <v>32</v>
      </c>
      <c r="T3213">
        <v>51</v>
      </c>
      <c r="U3213">
        <v>390.236359352882</v>
      </c>
      <c r="V3213">
        <v>1.1864406779661E-2</v>
      </c>
      <c r="W3213">
        <v>448289.78523271199</v>
      </c>
      <c r="X3213" t="s">
        <v>44</v>
      </c>
      <c r="Y3213">
        <f>1-651-113-8004</f>
        <v>-8767</v>
      </c>
    </row>
    <row r="3214" spans="1:25" x14ac:dyDescent="0.35">
      <c r="A3214">
        <v>38.6310328694505</v>
      </c>
      <c r="B3214">
        <v>-121.984611062601</v>
      </c>
      <c r="C3214" t="s">
        <v>29</v>
      </c>
      <c r="D3214">
        <v>48.185115436331898</v>
      </c>
      <c r="E3214">
        <v>6</v>
      </c>
      <c r="F3214">
        <v>3704</v>
      </c>
      <c r="G3214">
        <v>5</v>
      </c>
      <c r="H3214">
        <v>3</v>
      </c>
      <c r="I3214">
        <v>1951</v>
      </c>
      <c r="J3214">
        <v>1</v>
      </c>
      <c r="K3214">
        <v>0</v>
      </c>
      <c r="L3214">
        <v>1</v>
      </c>
      <c r="M3214">
        <v>6</v>
      </c>
      <c r="N3214" t="s">
        <v>26</v>
      </c>
      <c r="O3214" t="s">
        <v>27</v>
      </c>
      <c r="P3214">
        <v>4.2635864654390101</v>
      </c>
      <c r="Q3214">
        <v>1.4383721065131001</v>
      </c>
      <c r="R3214">
        <v>4.7986624018532904</v>
      </c>
      <c r="S3214">
        <v>169</v>
      </c>
      <c r="T3214">
        <v>62</v>
      </c>
      <c r="U3214">
        <v>239.94724656269199</v>
      </c>
      <c r="V3214">
        <v>1.61987041036717E-3</v>
      </c>
      <c r="W3214">
        <v>1152760.77574994</v>
      </c>
      <c r="X3214" t="s">
        <v>43</v>
      </c>
      <c r="Y3214">
        <f>1-621-474-5396</f>
        <v>-6490</v>
      </c>
    </row>
    <row r="3215" spans="1:25" x14ac:dyDescent="0.35">
      <c r="A3215">
        <v>37.341222766775402</v>
      </c>
      <c r="B3215">
        <v>-114.050701826969</v>
      </c>
      <c r="C3215" t="s">
        <v>25</v>
      </c>
      <c r="D3215">
        <v>40.492712930170597</v>
      </c>
      <c r="E3215">
        <v>2</v>
      </c>
      <c r="F3215">
        <v>1277</v>
      </c>
      <c r="G3215">
        <v>5</v>
      </c>
      <c r="H3215">
        <v>2</v>
      </c>
      <c r="I3215">
        <v>1993</v>
      </c>
      <c r="J3215">
        <v>0</v>
      </c>
      <c r="K3215">
        <v>0</v>
      </c>
      <c r="L3215">
        <v>0</v>
      </c>
      <c r="M3215">
        <v>6</v>
      </c>
      <c r="N3215" t="s">
        <v>26</v>
      </c>
      <c r="O3215" t="s">
        <v>32</v>
      </c>
      <c r="P3215">
        <v>5.5434002504795901</v>
      </c>
      <c r="Q3215">
        <v>1.3009080843935299</v>
      </c>
      <c r="R3215">
        <v>7.5240866805370903</v>
      </c>
      <c r="S3215">
        <v>47</v>
      </c>
      <c r="T3215">
        <v>77</v>
      </c>
      <c r="U3215">
        <v>321.140622790066</v>
      </c>
      <c r="V3215">
        <v>4.6985121378230197E-3</v>
      </c>
      <c r="W3215">
        <v>705770.96307816997</v>
      </c>
      <c r="X3215" t="s">
        <v>28</v>
      </c>
      <c r="Y3215">
        <f>1-653-212-3743</f>
        <v>-4607</v>
      </c>
    </row>
    <row r="3216" spans="1:25" x14ac:dyDescent="0.35">
      <c r="A3216">
        <v>33.478267480859003</v>
      </c>
      <c r="B3216">
        <v>-121.555889765907</v>
      </c>
      <c r="C3216" t="s">
        <v>34</v>
      </c>
      <c r="D3216">
        <v>5.37881665186553</v>
      </c>
      <c r="E3216">
        <v>3</v>
      </c>
      <c r="F3216">
        <v>2064</v>
      </c>
      <c r="G3216">
        <v>2</v>
      </c>
      <c r="H3216">
        <v>2</v>
      </c>
      <c r="I3216">
        <v>1956</v>
      </c>
      <c r="J3216">
        <v>0</v>
      </c>
      <c r="K3216">
        <v>1</v>
      </c>
      <c r="L3216">
        <v>0</v>
      </c>
      <c r="M3216">
        <v>11</v>
      </c>
      <c r="N3216" t="s">
        <v>35</v>
      </c>
      <c r="O3216" t="s">
        <v>32</v>
      </c>
      <c r="P3216">
        <v>13.161443338065</v>
      </c>
      <c r="Q3216">
        <v>2.0320233479257199</v>
      </c>
      <c r="R3216">
        <v>7.0042038485607696</v>
      </c>
      <c r="S3216">
        <v>152</v>
      </c>
      <c r="T3216">
        <v>56</v>
      </c>
      <c r="U3216">
        <v>684.59043522610602</v>
      </c>
      <c r="V3216">
        <v>5.32945736434108E-3</v>
      </c>
      <c r="W3216">
        <v>1641699.7332939</v>
      </c>
      <c r="X3216" t="s">
        <v>36</v>
      </c>
      <c r="Y3216">
        <f>1-799-755-1187</f>
        <v>-2740</v>
      </c>
    </row>
    <row r="3217" spans="1:25" x14ac:dyDescent="0.35">
      <c r="A3217">
        <v>39.622821960650199</v>
      </c>
      <c r="B3217">
        <v>-120.164189271068</v>
      </c>
      <c r="C3217" t="s">
        <v>25</v>
      </c>
      <c r="D3217">
        <v>20.983025278872301</v>
      </c>
      <c r="E3217">
        <v>9</v>
      </c>
      <c r="F3217">
        <v>1469</v>
      </c>
      <c r="G3217">
        <v>3</v>
      </c>
      <c r="H3217">
        <v>1</v>
      </c>
      <c r="I3217">
        <v>1960</v>
      </c>
      <c r="J3217">
        <v>1</v>
      </c>
      <c r="K3217">
        <v>0</v>
      </c>
      <c r="L3217">
        <v>0</v>
      </c>
      <c r="M3217">
        <v>11</v>
      </c>
      <c r="N3217" t="s">
        <v>37</v>
      </c>
      <c r="O3217" t="s">
        <v>30</v>
      </c>
      <c r="P3217">
        <v>13.7866759691781</v>
      </c>
      <c r="Q3217">
        <v>1.3797215706025501</v>
      </c>
      <c r="R3217">
        <v>1.1094669382611799</v>
      </c>
      <c r="S3217">
        <v>14</v>
      </c>
      <c r="T3217">
        <v>52</v>
      </c>
      <c r="U3217">
        <v>792.75933986561404</v>
      </c>
      <c r="V3217">
        <v>7.4880871341048297E-3</v>
      </c>
      <c r="W3217">
        <v>1398326.36763215</v>
      </c>
      <c r="X3217" t="s">
        <v>42</v>
      </c>
      <c r="Y3217">
        <f>1-230-680-3262</f>
        <v>-4171</v>
      </c>
    </row>
    <row r="3218" spans="1:25" x14ac:dyDescent="0.35">
      <c r="A3218">
        <v>35.239710449812797</v>
      </c>
      <c r="B3218">
        <v>-122.72708924604299</v>
      </c>
      <c r="C3218" t="s">
        <v>34</v>
      </c>
      <c r="D3218">
        <v>7.0615369978381501</v>
      </c>
      <c r="E3218">
        <v>6</v>
      </c>
      <c r="F3218">
        <v>2712</v>
      </c>
      <c r="G3218">
        <v>4</v>
      </c>
      <c r="H3218">
        <v>1</v>
      </c>
      <c r="I3218">
        <v>2009</v>
      </c>
      <c r="J3218">
        <v>0</v>
      </c>
      <c r="K3218">
        <v>0</v>
      </c>
      <c r="L3218">
        <v>0</v>
      </c>
      <c r="M3218">
        <v>3</v>
      </c>
      <c r="N3218" t="s">
        <v>35</v>
      </c>
      <c r="O3218" t="s">
        <v>27</v>
      </c>
      <c r="P3218">
        <v>5.7651306087613499</v>
      </c>
      <c r="Q3218">
        <v>2.0133691393872599</v>
      </c>
      <c r="R3218">
        <v>3.7011676451348001</v>
      </c>
      <c r="S3218">
        <v>78</v>
      </c>
      <c r="T3218">
        <v>75</v>
      </c>
      <c r="U3218">
        <v>344.16063871336303</v>
      </c>
      <c r="V3218">
        <v>1.10619469026548E-3</v>
      </c>
      <c r="W3218">
        <v>1149221.5114279799</v>
      </c>
      <c r="X3218" t="s">
        <v>44</v>
      </c>
      <c r="Y3218">
        <f>1-884-495-5012</f>
        <v>-6390</v>
      </c>
    </row>
    <row r="3219" spans="1:25" x14ac:dyDescent="0.35">
      <c r="A3219">
        <v>38.509649577062497</v>
      </c>
      <c r="B3219">
        <v>-122.41080347322701</v>
      </c>
      <c r="C3219" t="s">
        <v>34</v>
      </c>
      <c r="D3219">
        <v>1.8494891796374799</v>
      </c>
      <c r="E3219">
        <v>9</v>
      </c>
      <c r="F3219">
        <v>2838</v>
      </c>
      <c r="G3219">
        <v>1</v>
      </c>
      <c r="H3219">
        <v>2</v>
      </c>
      <c r="I3219">
        <v>1970</v>
      </c>
      <c r="J3219">
        <v>0</v>
      </c>
      <c r="K3219">
        <v>0</v>
      </c>
      <c r="L3219">
        <v>0</v>
      </c>
      <c r="M3219">
        <v>8</v>
      </c>
      <c r="N3219" t="s">
        <v>41</v>
      </c>
      <c r="O3219" t="s">
        <v>27</v>
      </c>
      <c r="P3219">
        <v>6.7056894795532296</v>
      </c>
      <c r="Q3219">
        <v>1.0181540322082401</v>
      </c>
      <c r="R3219">
        <v>1.3802184185795701</v>
      </c>
      <c r="S3219">
        <v>99</v>
      </c>
      <c r="T3219">
        <v>42</v>
      </c>
      <c r="U3219">
        <v>680.29879786140998</v>
      </c>
      <c r="V3219">
        <v>2.8188865398167699E-3</v>
      </c>
      <c r="W3219">
        <v>2002006.1845805901</v>
      </c>
      <c r="X3219" t="s">
        <v>36</v>
      </c>
      <c r="Y3219">
        <f>1-945-638-6868</f>
        <v>-8450</v>
      </c>
    </row>
    <row r="3220" spans="1:25" x14ac:dyDescent="0.35">
      <c r="A3220">
        <v>36.061007703878097</v>
      </c>
      <c r="B3220">
        <v>-122.45397607823</v>
      </c>
      <c r="C3220" t="s">
        <v>25</v>
      </c>
      <c r="D3220">
        <v>13.3605336412719</v>
      </c>
      <c r="E3220">
        <v>7</v>
      </c>
      <c r="F3220">
        <v>1673</v>
      </c>
      <c r="G3220">
        <v>5</v>
      </c>
      <c r="H3220">
        <v>2</v>
      </c>
      <c r="I3220">
        <v>1989</v>
      </c>
      <c r="J3220">
        <v>0</v>
      </c>
      <c r="K3220">
        <v>0</v>
      </c>
      <c r="L3220">
        <v>0</v>
      </c>
      <c r="M3220">
        <v>8</v>
      </c>
      <c r="N3220" t="s">
        <v>37</v>
      </c>
      <c r="O3220" t="s">
        <v>27</v>
      </c>
      <c r="P3220">
        <v>13.6701626058457</v>
      </c>
      <c r="Q3220">
        <v>2.0473775692034999</v>
      </c>
      <c r="R3220">
        <v>8.0780921817581994</v>
      </c>
      <c r="S3220">
        <v>38</v>
      </c>
      <c r="T3220">
        <v>30</v>
      </c>
      <c r="U3220">
        <v>409.33497703463502</v>
      </c>
      <c r="V3220">
        <v>4.7818290496114699E-3</v>
      </c>
      <c r="W3220">
        <v>1032770.0323805599</v>
      </c>
      <c r="X3220" t="s">
        <v>36</v>
      </c>
      <c r="Y3220">
        <f>1-707-569-7251</f>
        <v>-8526</v>
      </c>
    </row>
    <row r="3221" spans="1:25" x14ac:dyDescent="0.35">
      <c r="A3221">
        <v>37.935190067439102</v>
      </c>
      <c r="B3221">
        <v>-118.632118722016</v>
      </c>
      <c r="C3221" t="s">
        <v>25</v>
      </c>
      <c r="D3221">
        <v>45.908531939966402</v>
      </c>
      <c r="E3221">
        <v>2</v>
      </c>
      <c r="F3221">
        <v>533</v>
      </c>
      <c r="G3221">
        <v>3</v>
      </c>
      <c r="H3221">
        <v>3</v>
      </c>
      <c r="I3221">
        <v>1972</v>
      </c>
      <c r="J3221">
        <v>0</v>
      </c>
      <c r="K3221">
        <v>1</v>
      </c>
      <c r="L3221">
        <v>0</v>
      </c>
      <c r="M3221">
        <v>14</v>
      </c>
      <c r="N3221" t="s">
        <v>26</v>
      </c>
      <c r="O3221" t="s">
        <v>32</v>
      </c>
      <c r="P3221">
        <v>2.22593226672674</v>
      </c>
      <c r="Q3221">
        <v>1.0375437449439699</v>
      </c>
      <c r="R3221">
        <v>1.2975011031186501</v>
      </c>
      <c r="S3221">
        <v>108</v>
      </c>
      <c r="T3221">
        <v>77</v>
      </c>
      <c r="U3221">
        <v>564.017890109159</v>
      </c>
      <c r="V3221">
        <v>2.6266416510318899E-2</v>
      </c>
      <c r="W3221">
        <v>594251.05932968901</v>
      </c>
      <c r="X3221" t="s">
        <v>40</v>
      </c>
      <c r="Y3221">
        <f>1-737-409-5494</f>
        <v>-6639</v>
      </c>
    </row>
    <row r="3222" spans="1:25" x14ac:dyDescent="0.35">
      <c r="A3222">
        <v>32.8214166506176</v>
      </c>
      <c r="B3222">
        <v>-114.891057384921</v>
      </c>
      <c r="C3222" t="s">
        <v>25</v>
      </c>
      <c r="D3222">
        <v>4.2837622643317399</v>
      </c>
      <c r="E3222">
        <v>9</v>
      </c>
      <c r="F3222">
        <v>3961</v>
      </c>
      <c r="G3222">
        <v>5</v>
      </c>
      <c r="H3222">
        <v>1</v>
      </c>
      <c r="I3222">
        <v>1999</v>
      </c>
      <c r="J3222">
        <v>1</v>
      </c>
      <c r="K3222">
        <v>1</v>
      </c>
      <c r="L3222">
        <v>0</v>
      </c>
      <c r="M3222">
        <v>14</v>
      </c>
      <c r="N3222" t="s">
        <v>26</v>
      </c>
      <c r="O3222" t="s">
        <v>27</v>
      </c>
      <c r="P3222">
        <v>2.8775210822645398</v>
      </c>
      <c r="Q3222">
        <v>1.5908527063415101</v>
      </c>
      <c r="R3222">
        <v>3.8945908664172499</v>
      </c>
      <c r="S3222">
        <v>89</v>
      </c>
      <c r="T3222">
        <v>59</v>
      </c>
      <c r="U3222">
        <v>604.067899488546</v>
      </c>
      <c r="V3222">
        <v>3.5344609946983E-3</v>
      </c>
      <c r="W3222">
        <v>2815348.9656422702</v>
      </c>
      <c r="X3222" t="s">
        <v>40</v>
      </c>
      <c r="Y3222">
        <f>1-543-110-3330</f>
        <v>-3982</v>
      </c>
    </row>
    <row r="3223" spans="1:25" x14ac:dyDescent="0.35">
      <c r="A3223">
        <v>40.512045268055203</v>
      </c>
      <c r="B3223">
        <v>-119.276657317288</v>
      </c>
      <c r="C3223" t="s">
        <v>29</v>
      </c>
      <c r="D3223">
        <v>4.6777207816740196</v>
      </c>
      <c r="E3223">
        <v>3</v>
      </c>
      <c r="F3223">
        <v>2620</v>
      </c>
      <c r="G3223">
        <v>2</v>
      </c>
      <c r="H3223">
        <v>3</v>
      </c>
      <c r="I3223">
        <v>2000</v>
      </c>
      <c r="J3223">
        <v>1</v>
      </c>
      <c r="K3223">
        <v>1</v>
      </c>
      <c r="L3223">
        <v>1</v>
      </c>
      <c r="M3223">
        <v>10</v>
      </c>
      <c r="N3223" t="s">
        <v>37</v>
      </c>
      <c r="O3223" t="s">
        <v>30</v>
      </c>
      <c r="P3223">
        <v>3.0773986843413002</v>
      </c>
      <c r="Q3223">
        <v>2.0048392240087201</v>
      </c>
      <c r="R3223">
        <v>6.5711414461036703</v>
      </c>
      <c r="S3223">
        <v>46</v>
      </c>
      <c r="T3223">
        <v>71</v>
      </c>
      <c r="U3223">
        <v>775.54791841001702</v>
      </c>
      <c r="V3223">
        <v>3.81679389312977E-3</v>
      </c>
      <c r="W3223">
        <v>2375971.1132939602</v>
      </c>
      <c r="X3223" t="s">
        <v>44</v>
      </c>
      <c r="Y3223">
        <f>1-406-878-3912</f>
        <v>-5195</v>
      </c>
    </row>
    <row r="3224" spans="1:25" x14ac:dyDescent="0.35">
      <c r="A3224">
        <v>33.807835305243401</v>
      </c>
      <c r="B3224">
        <v>-121.276821629713</v>
      </c>
      <c r="C3224" t="s">
        <v>25</v>
      </c>
      <c r="D3224">
        <v>27.474394947609198</v>
      </c>
      <c r="E3224">
        <v>3</v>
      </c>
      <c r="F3224">
        <v>4813</v>
      </c>
      <c r="G3224">
        <v>1</v>
      </c>
      <c r="H3224">
        <v>1</v>
      </c>
      <c r="I3224">
        <v>1992</v>
      </c>
      <c r="J3224">
        <v>1</v>
      </c>
      <c r="K3224">
        <v>0</v>
      </c>
      <c r="L3224">
        <v>1</v>
      </c>
      <c r="M3224">
        <v>8</v>
      </c>
      <c r="N3224" t="s">
        <v>41</v>
      </c>
      <c r="O3224" t="s">
        <v>27</v>
      </c>
      <c r="P3224">
        <v>6.6634768997595097</v>
      </c>
      <c r="Q3224">
        <v>2.2691609782859001</v>
      </c>
      <c r="R3224">
        <v>1.0698347166209199</v>
      </c>
      <c r="S3224">
        <v>143</v>
      </c>
      <c r="T3224">
        <v>28</v>
      </c>
      <c r="U3224">
        <v>489.22754143864802</v>
      </c>
      <c r="V3224">
        <v>1.6621649698732499E-3</v>
      </c>
      <c r="W3224">
        <v>2420709.4093210702</v>
      </c>
      <c r="X3224" t="s">
        <v>33</v>
      </c>
      <c r="Y3224">
        <f>1-943-545-2643</f>
        <v>-4130</v>
      </c>
    </row>
    <row r="3225" spans="1:25" x14ac:dyDescent="0.35">
      <c r="A3225">
        <v>39.586026327727701</v>
      </c>
      <c r="B3225">
        <v>-119.14372728884101</v>
      </c>
      <c r="C3225" t="s">
        <v>29</v>
      </c>
      <c r="D3225">
        <v>24.134322002024</v>
      </c>
      <c r="E3225">
        <v>6</v>
      </c>
      <c r="F3225">
        <v>4224</v>
      </c>
      <c r="G3225">
        <v>3</v>
      </c>
      <c r="H3225">
        <v>2</v>
      </c>
      <c r="I3225">
        <v>1982</v>
      </c>
      <c r="J3225">
        <v>0</v>
      </c>
      <c r="K3225">
        <v>0</v>
      </c>
      <c r="L3225">
        <v>0</v>
      </c>
      <c r="M3225">
        <v>6</v>
      </c>
      <c r="N3225" t="s">
        <v>41</v>
      </c>
      <c r="O3225" t="s">
        <v>27</v>
      </c>
      <c r="P3225">
        <v>14.0599858601382</v>
      </c>
      <c r="Q3225">
        <v>1.4425929778661899</v>
      </c>
      <c r="R3225">
        <v>8.2836352971897291</v>
      </c>
      <c r="S3225">
        <v>71</v>
      </c>
      <c r="T3225">
        <v>59</v>
      </c>
      <c r="U3225">
        <v>787.05506352459395</v>
      </c>
      <c r="V3225">
        <v>1.4204545454545401E-3</v>
      </c>
      <c r="W3225">
        <v>3514508.4746358199</v>
      </c>
      <c r="X3225" t="s">
        <v>31</v>
      </c>
      <c r="Y3225">
        <f>1-675-564-4152</f>
        <v>-5390</v>
      </c>
    </row>
    <row r="3226" spans="1:25" x14ac:dyDescent="0.35">
      <c r="A3226">
        <v>37.189426142233202</v>
      </c>
      <c r="B3226">
        <v>-119.63500326382599</v>
      </c>
      <c r="C3226" t="s">
        <v>29</v>
      </c>
      <c r="D3226">
        <v>12.3799301257497</v>
      </c>
      <c r="E3226">
        <v>2</v>
      </c>
      <c r="F3226">
        <v>3431</v>
      </c>
      <c r="G3226">
        <v>3</v>
      </c>
      <c r="H3226">
        <v>3</v>
      </c>
      <c r="I3226">
        <v>1983</v>
      </c>
      <c r="J3226">
        <v>0</v>
      </c>
      <c r="K3226">
        <v>0</v>
      </c>
      <c r="L3226">
        <v>1</v>
      </c>
      <c r="M3226">
        <v>2</v>
      </c>
      <c r="N3226" t="s">
        <v>37</v>
      </c>
      <c r="O3226" t="s">
        <v>30</v>
      </c>
      <c r="P3226">
        <v>5.10412072210495</v>
      </c>
      <c r="Q3226">
        <v>2.2512789477778399</v>
      </c>
      <c r="R3226">
        <v>6.0982006933647401</v>
      </c>
      <c r="S3226">
        <v>194</v>
      </c>
      <c r="T3226">
        <v>58</v>
      </c>
      <c r="U3226">
        <v>361.99838475934502</v>
      </c>
      <c r="V3226">
        <v>5.8292043136111903E-4</v>
      </c>
      <c r="W3226">
        <v>1393592.8665094499</v>
      </c>
      <c r="X3226" t="s">
        <v>42</v>
      </c>
      <c r="Y3226">
        <f>1-799-750-4694</f>
        <v>-6242</v>
      </c>
    </row>
    <row r="3227" spans="1:25" x14ac:dyDescent="0.35">
      <c r="A3227">
        <v>37.293084224782703</v>
      </c>
      <c r="B3227">
        <v>-124.01826667823001</v>
      </c>
      <c r="C3227" t="s">
        <v>34</v>
      </c>
      <c r="D3227">
        <v>16.6579593218128</v>
      </c>
      <c r="E3227">
        <v>3</v>
      </c>
      <c r="F3227">
        <v>4174</v>
      </c>
      <c r="G3227">
        <v>1</v>
      </c>
      <c r="H3227">
        <v>3</v>
      </c>
      <c r="I3227">
        <v>1991</v>
      </c>
      <c r="J3227">
        <v>1</v>
      </c>
      <c r="K3227">
        <v>1</v>
      </c>
      <c r="L3227">
        <v>0</v>
      </c>
      <c r="M3227">
        <v>14</v>
      </c>
      <c r="N3227" t="s">
        <v>41</v>
      </c>
      <c r="O3227" t="s">
        <v>27</v>
      </c>
      <c r="P3227">
        <v>6.5184268386551603</v>
      </c>
      <c r="Q3227">
        <v>1.34769821877638</v>
      </c>
      <c r="R3227">
        <v>1.3524848536252501</v>
      </c>
      <c r="S3227">
        <v>199</v>
      </c>
      <c r="T3227">
        <v>23</v>
      </c>
      <c r="U3227">
        <v>412.52996625862897</v>
      </c>
      <c r="V3227">
        <v>3.3540967896502098E-3</v>
      </c>
      <c r="W3227">
        <v>1970368.62878324</v>
      </c>
      <c r="X3227" t="s">
        <v>39</v>
      </c>
      <c r="Y3227">
        <f>1-205-503-7224</f>
        <v>-7931</v>
      </c>
    </row>
    <row r="3228" spans="1:25" x14ac:dyDescent="0.35">
      <c r="A3228">
        <v>32.582490296512802</v>
      </c>
      <c r="B3228">
        <v>-121.601828782078</v>
      </c>
      <c r="C3228" t="s">
        <v>25</v>
      </c>
      <c r="D3228">
        <v>28.181907219682799</v>
      </c>
      <c r="E3228">
        <v>8</v>
      </c>
      <c r="F3228">
        <v>1874</v>
      </c>
      <c r="G3228">
        <v>1</v>
      </c>
      <c r="H3228">
        <v>2</v>
      </c>
      <c r="I3228">
        <v>1990</v>
      </c>
      <c r="J3228">
        <v>0</v>
      </c>
      <c r="K3228">
        <v>1</v>
      </c>
      <c r="L3228">
        <v>1</v>
      </c>
      <c r="M3228">
        <v>12</v>
      </c>
      <c r="N3228" t="s">
        <v>35</v>
      </c>
      <c r="O3228" t="s">
        <v>30</v>
      </c>
      <c r="P3228">
        <v>9.8453180114819805</v>
      </c>
      <c r="Q3228">
        <v>1.6695247809306</v>
      </c>
      <c r="R3228">
        <v>4.3727884191802904</v>
      </c>
      <c r="S3228">
        <v>176</v>
      </c>
      <c r="T3228">
        <v>58</v>
      </c>
      <c r="U3228">
        <v>643.19645418863695</v>
      </c>
      <c r="V3228">
        <v>6.40341515474919E-3</v>
      </c>
      <c r="W3228">
        <v>1430161.4967505799</v>
      </c>
      <c r="X3228" t="s">
        <v>38</v>
      </c>
      <c r="Y3228">
        <f>1-697-667-7922</f>
        <v>-9285</v>
      </c>
    </row>
    <row r="3229" spans="1:25" x14ac:dyDescent="0.35">
      <c r="A3229">
        <v>35.591701253910998</v>
      </c>
      <c r="B3229">
        <v>-115.17260159032701</v>
      </c>
      <c r="C3229" t="s">
        <v>25</v>
      </c>
      <c r="D3229">
        <v>30.416842696422101</v>
      </c>
      <c r="E3229">
        <v>9</v>
      </c>
      <c r="F3229">
        <v>3262</v>
      </c>
      <c r="G3229">
        <v>3</v>
      </c>
      <c r="H3229">
        <v>2</v>
      </c>
      <c r="I3229">
        <v>1979</v>
      </c>
      <c r="J3229">
        <v>0</v>
      </c>
      <c r="K3229">
        <v>1</v>
      </c>
      <c r="L3229">
        <v>0</v>
      </c>
      <c r="M3229">
        <v>2</v>
      </c>
      <c r="N3229" t="s">
        <v>26</v>
      </c>
      <c r="O3229" t="s">
        <v>30</v>
      </c>
      <c r="P3229">
        <v>7.55562620836481</v>
      </c>
      <c r="Q3229">
        <v>1.35644368822851</v>
      </c>
      <c r="R3229">
        <v>8.8440569089518704</v>
      </c>
      <c r="S3229">
        <v>63</v>
      </c>
      <c r="T3229">
        <v>61</v>
      </c>
      <c r="U3229">
        <v>803.15498479639803</v>
      </c>
      <c r="V3229">
        <v>6.1312078479460396E-4</v>
      </c>
      <c r="W3229">
        <v>2862257.9443121199</v>
      </c>
      <c r="X3229" t="s">
        <v>28</v>
      </c>
      <c r="Y3229">
        <f>1-854-645-8591</f>
        <v>-10089</v>
      </c>
    </row>
    <row r="3230" spans="1:25" x14ac:dyDescent="0.35">
      <c r="A3230">
        <v>33.273591959305797</v>
      </c>
      <c r="B3230">
        <v>-117.802442252337</v>
      </c>
      <c r="C3230" t="s">
        <v>29</v>
      </c>
      <c r="D3230">
        <v>42.250726290552102</v>
      </c>
      <c r="E3230">
        <v>6</v>
      </c>
      <c r="F3230">
        <v>2508</v>
      </c>
      <c r="G3230">
        <v>4</v>
      </c>
      <c r="H3230">
        <v>3</v>
      </c>
      <c r="I3230">
        <v>1967</v>
      </c>
      <c r="J3230">
        <v>1</v>
      </c>
      <c r="K3230">
        <v>1</v>
      </c>
      <c r="L3230">
        <v>0</v>
      </c>
      <c r="M3230">
        <v>13</v>
      </c>
      <c r="N3230" t="s">
        <v>26</v>
      </c>
      <c r="O3230" t="s">
        <v>27</v>
      </c>
      <c r="P3230">
        <v>5.8542607795446697</v>
      </c>
      <c r="Q3230">
        <v>1.4223842008204</v>
      </c>
      <c r="R3230">
        <v>2.4285405969293801</v>
      </c>
      <c r="S3230">
        <v>68</v>
      </c>
      <c r="T3230">
        <v>34</v>
      </c>
      <c r="U3230">
        <v>722.11189463806795</v>
      </c>
      <c r="V3230">
        <v>5.1834130781499201E-3</v>
      </c>
      <c r="W3230">
        <v>2234048.0587685602</v>
      </c>
      <c r="X3230" t="s">
        <v>42</v>
      </c>
      <c r="Y3230">
        <f>1-478-122-4357</f>
        <v>-4956</v>
      </c>
    </row>
    <row r="3231" spans="1:25" x14ac:dyDescent="0.35">
      <c r="A3231">
        <v>32.692264961904101</v>
      </c>
      <c r="B3231">
        <v>-119.62804207150501</v>
      </c>
      <c r="C3231" t="s">
        <v>25</v>
      </c>
      <c r="D3231">
        <v>49.387508213293401</v>
      </c>
      <c r="E3231">
        <v>8</v>
      </c>
      <c r="F3231">
        <v>3690</v>
      </c>
      <c r="G3231">
        <v>3</v>
      </c>
      <c r="H3231">
        <v>2</v>
      </c>
      <c r="I3231">
        <v>1962</v>
      </c>
      <c r="J3231">
        <v>1</v>
      </c>
      <c r="K3231">
        <v>1</v>
      </c>
      <c r="L3231">
        <v>0</v>
      </c>
      <c r="M3231">
        <v>12</v>
      </c>
      <c r="N3231" t="s">
        <v>37</v>
      </c>
      <c r="O3231" t="s">
        <v>27</v>
      </c>
      <c r="P3231">
        <v>6.9093732540451196</v>
      </c>
      <c r="Q3231">
        <v>2.0801265643570099</v>
      </c>
      <c r="R3231">
        <v>5.7395683689911401</v>
      </c>
      <c r="S3231">
        <v>26</v>
      </c>
      <c r="T3231">
        <v>74</v>
      </c>
      <c r="U3231">
        <v>255.54158951014099</v>
      </c>
      <c r="V3231">
        <v>3.2520325203252002E-3</v>
      </c>
      <c r="W3231">
        <v>1246333.1253450401</v>
      </c>
      <c r="X3231" t="s">
        <v>43</v>
      </c>
      <c r="Y3231">
        <f>1-202-892-7679</f>
        <v>-8772</v>
      </c>
    </row>
    <row r="3232" spans="1:25" x14ac:dyDescent="0.35">
      <c r="A3232">
        <v>33.251837140619003</v>
      </c>
      <c r="B3232">
        <v>-124.42383845411</v>
      </c>
      <c r="C3232" t="s">
        <v>29</v>
      </c>
      <c r="D3232">
        <v>42.619152310054801</v>
      </c>
      <c r="E3232">
        <v>9</v>
      </c>
      <c r="F3232">
        <v>3918</v>
      </c>
      <c r="G3232">
        <v>5</v>
      </c>
      <c r="H3232">
        <v>1</v>
      </c>
      <c r="I3232">
        <v>2018</v>
      </c>
      <c r="J3232">
        <v>1</v>
      </c>
      <c r="K3232">
        <v>1</v>
      </c>
      <c r="L3232">
        <v>0</v>
      </c>
      <c r="M3232">
        <v>13</v>
      </c>
      <c r="N3232" t="s">
        <v>35</v>
      </c>
      <c r="O3232" t="s">
        <v>30</v>
      </c>
      <c r="P3232">
        <v>5.9845488299872702</v>
      </c>
      <c r="Q3232">
        <v>1.57336527796342</v>
      </c>
      <c r="R3232">
        <v>1.0913387875957401</v>
      </c>
      <c r="S3232">
        <v>71</v>
      </c>
      <c r="T3232">
        <v>41</v>
      </c>
      <c r="U3232">
        <v>203.81982607425201</v>
      </c>
      <c r="V3232">
        <v>3.31801939765186E-3</v>
      </c>
      <c r="W3232">
        <v>1229046.9126760699</v>
      </c>
      <c r="X3232" t="s">
        <v>42</v>
      </c>
      <c r="Y3232">
        <f>1-458-985-4571</f>
        <v>-6013</v>
      </c>
    </row>
    <row r="3233" spans="1:25" x14ac:dyDescent="0.35">
      <c r="A3233">
        <v>36.4376470382878</v>
      </c>
      <c r="B3233">
        <v>-118.41917111602601</v>
      </c>
      <c r="C3233" t="s">
        <v>25</v>
      </c>
      <c r="D3233">
        <v>46.809007725681802</v>
      </c>
      <c r="E3233">
        <v>3</v>
      </c>
      <c r="F3233">
        <v>1845</v>
      </c>
      <c r="G3233">
        <v>2</v>
      </c>
      <c r="H3233">
        <v>1</v>
      </c>
      <c r="I3233">
        <v>1985</v>
      </c>
      <c r="J3233">
        <v>1</v>
      </c>
      <c r="K3233">
        <v>1</v>
      </c>
      <c r="L3233">
        <v>0</v>
      </c>
      <c r="M3233">
        <v>7</v>
      </c>
      <c r="N3233" t="s">
        <v>41</v>
      </c>
      <c r="O3233" t="s">
        <v>27</v>
      </c>
      <c r="P3233">
        <v>7.9905676394783596</v>
      </c>
      <c r="Q3233">
        <v>1.3671952685100801</v>
      </c>
      <c r="R3233">
        <v>0.16847718283017199</v>
      </c>
      <c r="S3233">
        <v>153</v>
      </c>
      <c r="T3233">
        <v>49</v>
      </c>
      <c r="U3233">
        <v>340.371530352984</v>
      </c>
      <c r="V3233">
        <v>3.7940379403793999E-3</v>
      </c>
      <c r="W3233">
        <v>906885.95497924997</v>
      </c>
      <c r="X3233" t="s">
        <v>43</v>
      </c>
      <c r="Y3233">
        <f>1-936-119-3413</f>
        <v>-4467</v>
      </c>
    </row>
    <row r="3234" spans="1:25" x14ac:dyDescent="0.35">
      <c r="A3234">
        <v>39.053514804442898</v>
      </c>
      <c r="B3234">
        <v>-121.326957867804</v>
      </c>
      <c r="C3234" t="s">
        <v>25</v>
      </c>
      <c r="D3234">
        <v>11.785884492128901</v>
      </c>
      <c r="E3234">
        <v>4</v>
      </c>
      <c r="F3234">
        <v>4796</v>
      </c>
      <c r="G3234">
        <v>1</v>
      </c>
      <c r="H3234">
        <v>3</v>
      </c>
      <c r="I3234">
        <v>1956</v>
      </c>
      <c r="J3234">
        <v>1</v>
      </c>
      <c r="K3234">
        <v>1</v>
      </c>
      <c r="L3234">
        <v>0</v>
      </c>
      <c r="M3234">
        <v>6</v>
      </c>
      <c r="N3234" t="s">
        <v>41</v>
      </c>
      <c r="O3234" t="s">
        <v>27</v>
      </c>
      <c r="P3234">
        <v>9.3090399899936198</v>
      </c>
      <c r="Q3234">
        <v>0.73672921545140502</v>
      </c>
      <c r="R3234">
        <v>5.0189715722879003</v>
      </c>
      <c r="S3234">
        <v>102</v>
      </c>
      <c r="T3234">
        <v>44</v>
      </c>
      <c r="U3234">
        <v>948.10671538255497</v>
      </c>
      <c r="V3234">
        <v>1.2510425354461999E-3</v>
      </c>
      <c r="W3234">
        <v>4856116.8844352597</v>
      </c>
      <c r="X3234" t="s">
        <v>40</v>
      </c>
      <c r="Y3234">
        <f>1-915-754-8605</f>
        <v>-10273</v>
      </c>
    </row>
    <row r="3235" spans="1:25" x14ac:dyDescent="0.35">
      <c r="A3235">
        <v>33.967846171918701</v>
      </c>
      <c r="B3235">
        <v>-117.035132982354</v>
      </c>
      <c r="C3235" t="s">
        <v>25</v>
      </c>
      <c r="D3235">
        <v>49.767597779102097</v>
      </c>
      <c r="E3235">
        <v>5</v>
      </c>
      <c r="F3235">
        <v>675</v>
      </c>
      <c r="G3235">
        <v>1</v>
      </c>
      <c r="H3235">
        <v>2</v>
      </c>
      <c r="I3235">
        <v>1954</v>
      </c>
      <c r="J3235">
        <v>1</v>
      </c>
      <c r="K3235">
        <v>0</v>
      </c>
      <c r="L3235">
        <v>0</v>
      </c>
      <c r="M3235">
        <v>8</v>
      </c>
      <c r="N3235" t="s">
        <v>37</v>
      </c>
      <c r="O3235" t="s">
        <v>27</v>
      </c>
      <c r="P3235">
        <v>4.0421258279556502</v>
      </c>
      <c r="Q3235">
        <v>1.18649066518922</v>
      </c>
      <c r="R3235">
        <v>8.72517496948279</v>
      </c>
      <c r="S3235">
        <v>92</v>
      </c>
      <c r="T3235">
        <v>75</v>
      </c>
      <c r="U3235">
        <v>526.98370386243698</v>
      </c>
      <c r="V3235">
        <v>1.1851851851851799E-2</v>
      </c>
      <c r="W3235">
        <v>459356.78906190599</v>
      </c>
      <c r="X3235" t="s">
        <v>31</v>
      </c>
      <c r="Y3235">
        <f>1-712-896-3072</f>
        <v>-4679</v>
      </c>
    </row>
    <row r="3236" spans="1:25" x14ac:dyDescent="0.35">
      <c r="A3236">
        <v>34.224510804232999</v>
      </c>
      <c r="B3236">
        <v>-118.05016141138</v>
      </c>
      <c r="C3236" t="s">
        <v>25</v>
      </c>
      <c r="D3236">
        <v>47.746837218667601</v>
      </c>
      <c r="E3236">
        <v>3</v>
      </c>
      <c r="F3236">
        <v>2755</v>
      </c>
      <c r="G3236">
        <v>2</v>
      </c>
      <c r="H3236">
        <v>3</v>
      </c>
      <c r="I3236">
        <v>2013</v>
      </c>
      <c r="J3236">
        <v>1</v>
      </c>
      <c r="K3236">
        <v>1</v>
      </c>
      <c r="L3236">
        <v>0</v>
      </c>
      <c r="M3236">
        <v>11</v>
      </c>
      <c r="N3236" t="s">
        <v>37</v>
      </c>
      <c r="O3236" t="s">
        <v>27</v>
      </c>
      <c r="P3236">
        <v>12.7188632108493</v>
      </c>
      <c r="Q3236">
        <v>1.49835329727359</v>
      </c>
      <c r="R3236">
        <v>0.826533457867071</v>
      </c>
      <c r="S3236">
        <v>86</v>
      </c>
      <c r="T3236">
        <v>54</v>
      </c>
      <c r="U3236">
        <v>975.93157771629797</v>
      </c>
      <c r="V3236">
        <v>3.9927404718693204E-3</v>
      </c>
      <c r="W3236">
        <v>3150458.1640889002</v>
      </c>
      <c r="X3236" t="s">
        <v>33</v>
      </c>
      <c r="Y3236">
        <f>1-286-234-3797</f>
        <v>-4316</v>
      </c>
    </row>
    <row r="3237" spans="1:25" x14ac:dyDescent="0.35">
      <c r="A3237">
        <v>40.895503235959502</v>
      </c>
      <c r="B3237">
        <v>-116.667927916431</v>
      </c>
      <c r="C3237" t="s">
        <v>29</v>
      </c>
      <c r="D3237">
        <v>2.4637545802563001</v>
      </c>
      <c r="E3237">
        <v>8</v>
      </c>
      <c r="F3237">
        <v>1867</v>
      </c>
      <c r="G3237">
        <v>5</v>
      </c>
      <c r="H3237">
        <v>1</v>
      </c>
      <c r="I3237">
        <v>1974</v>
      </c>
      <c r="J3237">
        <v>0</v>
      </c>
      <c r="K3237">
        <v>1</v>
      </c>
      <c r="L3237">
        <v>0</v>
      </c>
      <c r="M3237">
        <v>13</v>
      </c>
      <c r="N3237" t="s">
        <v>35</v>
      </c>
      <c r="O3237" t="s">
        <v>30</v>
      </c>
      <c r="P3237">
        <v>8.8481575743018297</v>
      </c>
      <c r="Q3237">
        <v>2.1917790503104899</v>
      </c>
      <c r="R3237">
        <v>3.5541568617583299</v>
      </c>
      <c r="S3237">
        <v>195</v>
      </c>
      <c r="T3237">
        <v>72</v>
      </c>
      <c r="U3237">
        <v>916.82213525947202</v>
      </c>
      <c r="V3237">
        <v>6.96304231387252E-3</v>
      </c>
      <c r="W3237">
        <v>2058037.20185351</v>
      </c>
      <c r="X3237" t="s">
        <v>31</v>
      </c>
      <c r="Y3237">
        <f>1-611-439-2111</f>
        <v>-3160</v>
      </c>
    </row>
    <row r="3238" spans="1:25" x14ac:dyDescent="0.35">
      <c r="A3238">
        <v>40.186921736646099</v>
      </c>
      <c r="B3238">
        <v>-123.064822534298</v>
      </c>
      <c r="C3238" t="s">
        <v>29</v>
      </c>
      <c r="D3238">
        <v>18.222313577602399</v>
      </c>
      <c r="E3238">
        <v>0</v>
      </c>
      <c r="F3238">
        <v>4117</v>
      </c>
      <c r="G3238">
        <v>2</v>
      </c>
      <c r="H3238">
        <v>2</v>
      </c>
      <c r="I3238">
        <v>1996</v>
      </c>
      <c r="J3238">
        <v>0</v>
      </c>
      <c r="K3238">
        <v>0</v>
      </c>
      <c r="L3238">
        <v>0</v>
      </c>
      <c r="M3238">
        <v>8</v>
      </c>
      <c r="N3238" t="s">
        <v>41</v>
      </c>
      <c r="O3238" t="s">
        <v>32</v>
      </c>
      <c r="P3238">
        <v>2.2404304346478101</v>
      </c>
      <c r="Q3238">
        <v>0.99976610187426596</v>
      </c>
      <c r="R3238">
        <v>4.6016719799257997</v>
      </c>
      <c r="S3238">
        <v>82</v>
      </c>
      <c r="T3238">
        <v>78</v>
      </c>
      <c r="U3238">
        <v>838.09027455022897</v>
      </c>
      <c r="V3238">
        <v>1.9431624969638E-3</v>
      </c>
      <c r="W3238">
        <v>3528399.73238126</v>
      </c>
      <c r="X3238" t="s">
        <v>36</v>
      </c>
      <c r="Y3238">
        <f>1-421-648-9276</f>
        <v>-10344</v>
      </c>
    </row>
    <row r="3239" spans="1:25" x14ac:dyDescent="0.35">
      <c r="A3239">
        <v>38.958532861827997</v>
      </c>
      <c r="B3239">
        <v>-119.432158662929</v>
      </c>
      <c r="C3239" t="s">
        <v>29</v>
      </c>
      <c r="D3239">
        <v>11.305334785054599</v>
      </c>
      <c r="E3239">
        <v>9</v>
      </c>
      <c r="F3239">
        <v>3577</v>
      </c>
      <c r="G3239">
        <v>2</v>
      </c>
      <c r="H3239">
        <v>1</v>
      </c>
      <c r="I3239">
        <v>2014</v>
      </c>
      <c r="J3239">
        <v>0</v>
      </c>
      <c r="K3239">
        <v>0</v>
      </c>
      <c r="L3239">
        <v>0</v>
      </c>
      <c r="M3239">
        <v>6</v>
      </c>
      <c r="N3239" t="s">
        <v>26</v>
      </c>
      <c r="O3239" t="s">
        <v>27</v>
      </c>
      <c r="P3239">
        <v>4.6402086838757501</v>
      </c>
      <c r="Q3239">
        <v>1.0364597641431099</v>
      </c>
      <c r="R3239">
        <v>4.9490705262492103</v>
      </c>
      <c r="S3239">
        <v>166</v>
      </c>
      <c r="T3239">
        <v>20</v>
      </c>
      <c r="U3239">
        <v>271.43058569127601</v>
      </c>
      <c r="V3239">
        <v>1.6773832820799501E-3</v>
      </c>
      <c r="W3239">
        <v>1156977.4351721799</v>
      </c>
      <c r="X3239" t="s">
        <v>43</v>
      </c>
      <c r="Y3239">
        <f>1-990-664-1169</f>
        <v>-2822</v>
      </c>
    </row>
    <row r="3240" spans="1:25" x14ac:dyDescent="0.35">
      <c r="A3240">
        <v>38.740716880528801</v>
      </c>
      <c r="B3240">
        <v>-117.025642253386</v>
      </c>
      <c r="C3240" t="s">
        <v>29</v>
      </c>
      <c r="D3240">
        <v>23.217948419302498</v>
      </c>
      <c r="E3240">
        <v>2</v>
      </c>
      <c r="F3240">
        <v>2415</v>
      </c>
      <c r="G3240">
        <v>5</v>
      </c>
      <c r="H3240">
        <v>1</v>
      </c>
      <c r="I3240">
        <v>1956</v>
      </c>
      <c r="J3240">
        <v>0</v>
      </c>
      <c r="K3240">
        <v>1</v>
      </c>
      <c r="L3240">
        <v>0</v>
      </c>
      <c r="M3240">
        <v>6</v>
      </c>
      <c r="N3240" t="s">
        <v>37</v>
      </c>
      <c r="O3240" t="s">
        <v>30</v>
      </c>
      <c r="P3240">
        <v>5.2338112332748699</v>
      </c>
      <c r="Q3240">
        <v>0.87184615637809704</v>
      </c>
      <c r="R3240">
        <v>6.8767429015660504</v>
      </c>
      <c r="S3240">
        <v>186</v>
      </c>
      <c r="T3240">
        <v>26</v>
      </c>
      <c r="U3240">
        <v>637.52629575390097</v>
      </c>
      <c r="V3240">
        <v>2.4844720496894398E-3</v>
      </c>
      <c r="W3240">
        <v>1798409.12241872</v>
      </c>
      <c r="X3240" t="s">
        <v>43</v>
      </c>
      <c r="Y3240">
        <f>1-236-612-9721</f>
        <v>-10568</v>
      </c>
    </row>
    <row r="3241" spans="1:25" x14ac:dyDescent="0.35">
      <c r="A3241">
        <v>40.092294286221403</v>
      </c>
      <c r="B3241">
        <v>-114.28899900490801</v>
      </c>
      <c r="C3241" t="s">
        <v>29</v>
      </c>
      <c r="D3241">
        <v>19.9385751526817</v>
      </c>
      <c r="E3241">
        <v>1</v>
      </c>
      <c r="F3241">
        <v>1061</v>
      </c>
      <c r="G3241">
        <v>1</v>
      </c>
      <c r="H3241">
        <v>1</v>
      </c>
      <c r="I3241">
        <v>1967</v>
      </c>
      <c r="J3241">
        <v>0</v>
      </c>
      <c r="K3241">
        <v>0</v>
      </c>
      <c r="L3241">
        <v>1</v>
      </c>
      <c r="M3241">
        <v>3</v>
      </c>
      <c r="N3241" t="s">
        <v>26</v>
      </c>
      <c r="O3241" t="s">
        <v>32</v>
      </c>
      <c r="P3241">
        <v>6.3708280373238697</v>
      </c>
      <c r="Q3241">
        <v>2.38396648631034</v>
      </c>
      <c r="R3241">
        <v>0.820221068758338</v>
      </c>
      <c r="S3241">
        <v>78</v>
      </c>
      <c r="T3241">
        <v>34</v>
      </c>
      <c r="U3241">
        <v>548.909468083153</v>
      </c>
      <c r="V3241">
        <v>2.82752120640904E-3</v>
      </c>
      <c r="W3241">
        <v>623637.39284047799</v>
      </c>
      <c r="X3241" t="s">
        <v>31</v>
      </c>
      <c r="Y3241">
        <f>1-230-480-2936</f>
        <v>-3645</v>
      </c>
    </row>
    <row r="3242" spans="1:25" x14ac:dyDescent="0.35">
      <c r="A3242">
        <v>37.714882913354799</v>
      </c>
      <c r="B3242">
        <v>-120.320076957278</v>
      </c>
      <c r="C3242" t="s">
        <v>29</v>
      </c>
      <c r="D3242">
        <v>41.396303042570402</v>
      </c>
      <c r="E3242">
        <v>5</v>
      </c>
      <c r="F3242">
        <v>3075</v>
      </c>
      <c r="G3242">
        <v>1</v>
      </c>
      <c r="H3242">
        <v>2</v>
      </c>
      <c r="I3242">
        <v>2007</v>
      </c>
      <c r="J3242">
        <v>1</v>
      </c>
      <c r="K3242">
        <v>1</v>
      </c>
      <c r="L3242">
        <v>0</v>
      </c>
      <c r="M3242">
        <v>11</v>
      </c>
      <c r="N3242" t="s">
        <v>35</v>
      </c>
      <c r="O3242" t="s">
        <v>30</v>
      </c>
      <c r="P3242">
        <v>13.5173081845345</v>
      </c>
      <c r="Q3242">
        <v>1.9587373332126501</v>
      </c>
      <c r="R3242">
        <v>0.92426508953468001</v>
      </c>
      <c r="S3242">
        <v>12</v>
      </c>
      <c r="T3242">
        <v>71</v>
      </c>
      <c r="U3242">
        <v>229.836695620895</v>
      </c>
      <c r="V3242">
        <v>3.5772357723577201E-3</v>
      </c>
      <c r="W3242">
        <v>1112506.75961887</v>
      </c>
      <c r="X3242" t="s">
        <v>40</v>
      </c>
      <c r="Y3242">
        <f>1-228-932-5174</f>
        <v>-6333</v>
      </c>
    </row>
    <row r="3243" spans="1:25" x14ac:dyDescent="0.35">
      <c r="A3243">
        <v>34.8654765520822</v>
      </c>
      <c r="B3243">
        <v>-117.24120546269</v>
      </c>
      <c r="C3243" t="s">
        <v>29</v>
      </c>
      <c r="D3243">
        <v>11.6516692988068</v>
      </c>
      <c r="E3243">
        <v>7</v>
      </c>
      <c r="F3243">
        <v>762</v>
      </c>
      <c r="G3243">
        <v>2</v>
      </c>
      <c r="H3243">
        <v>1</v>
      </c>
      <c r="I3243">
        <v>2011</v>
      </c>
      <c r="J3243">
        <v>0</v>
      </c>
      <c r="K3243">
        <v>0</v>
      </c>
      <c r="L3243">
        <v>0</v>
      </c>
      <c r="M3243">
        <v>7</v>
      </c>
      <c r="N3243" t="s">
        <v>26</v>
      </c>
      <c r="O3243" t="s">
        <v>27</v>
      </c>
      <c r="P3243">
        <v>3.7356970606244002</v>
      </c>
      <c r="Q3243">
        <v>1.5370153527839601</v>
      </c>
      <c r="R3243">
        <v>4.9822810938291999</v>
      </c>
      <c r="S3243">
        <v>32</v>
      </c>
      <c r="T3243">
        <v>34</v>
      </c>
      <c r="U3243">
        <v>424.772605492129</v>
      </c>
      <c r="V3243">
        <v>9.1863517060367401E-3</v>
      </c>
      <c r="W3243">
        <v>338365.92983406899</v>
      </c>
      <c r="X3243" t="s">
        <v>31</v>
      </c>
      <c r="Y3243">
        <f>1-569-492-1074</f>
        <v>-2134</v>
      </c>
    </row>
    <row r="3244" spans="1:25" x14ac:dyDescent="0.35">
      <c r="A3244">
        <v>41.4416851423465</v>
      </c>
      <c r="B3244">
        <v>-122.383332372697</v>
      </c>
      <c r="C3244" t="s">
        <v>29</v>
      </c>
      <c r="D3244">
        <v>18.942242904530101</v>
      </c>
      <c r="E3244">
        <v>4</v>
      </c>
      <c r="F3244">
        <v>1236</v>
      </c>
      <c r="G3244">
        <v>4</v>
      </c>
      <c r="H3244">
        <v>3</v>
      </c>
      <c r="I3244">
        <v>1956</v>
      </c>
      <c r="J3244">
        <v>1</v>
      </c>
      <c r="K3244">
        <v>0</v>
      </c>
      <c r="L3244">
        <v>1</v>
      </c>
      <c r="M3244">
        <v>6</v>
      </c>
      <c r="N3244" t="s">
        <v>41</v>
      </c>
      <c r="O3244" t="s">
        <v>32</v>
      </c>
      <c r="P3244">
        <v>7.7915589501541103</v>
      </c>
      <c r="Q3244">
        <v>1.7647672926079501</v>
      </c>
      <c r="R3244">
        <v>7.63312448565949</v>
      </c>
      <c r="S3244">
        <v>28</v>
      </c>
      <c r="T3244">
        <v>64</v>
      </c>
      <c r="U3244">
        <v>804.05876259884405</v>
      </c>
      <c r="V3244">
        <v>4.8543689320388302E-3</v>
      </c>
      <c r="W3244">
        <v>1233717.4429488501</v>
      </c>
      <c r="X3244" t="s">
        <v>36</v>
      </c>
      <c r="Y3244">
        <f>1-586-653-7451</f>
        <v>-8689</v>
      </c>
    </row>
    <row r="3245" spans="1:25" x14ac:dyDescent="0.35">
      <c r="A3245">
        <v>35.315166489695898</v>
      </c>
      <c r="B3245">
        <v>-115.55431640963</v>
      </c>
      <c r="C3245" t="s">
        <v>25</v>
      </c>
      <c r="D3245">
        <v>39.629548554411798</v>
      </c>
      <c r="E3245">
        <v>9</v>
      </c>
      <c r="F3245">
        <v>871</v>
      </c>
      <c r="G3245">
        <v>4</v>
      </c>
      <c r="H3245">
        <v>3</v>
      </c>
      <c r="I3245">
        <v>1955</v>
      </c>
      <c r="J3245">
        <v>1</v>
      </c>
      <c r="K3245">
        <v>0</v>
      </c>
      <c r="L3245">
        <v>1</v>
      </c>
      <c r="M3245">
        <v>4</v>
      </c>
      <c r="N3245" t="s">
        <v>37</v>
      </c>
      <c r="O3245" t="s">
        <v>30</v>
      </c>
      <c r="P3245">
        <v>3.1485868564346902</v>
      </c>
      <c r="Q3245">
        <v>1.69142364188153</v>
      </c>
      <c r="R3245">
        <v>7.2844206530060504E-2</v>
      </c>
      <c r="S3245">
        <v>21</v>
      </c>
      <c r="T3245">
        <v>49</v>
      </c>
      <c r="U3245">
        <v>971.82959916272398</v>
      </c>
      <c r="V3245">
        <v>4.5924225028702598E-3</v>
      </c>
      <c r="W3245">
        <v>1154424.4856275099</v>
      </c>
      <c r="X3245" t="s">
        <v>36</v>
      </c>
      <c r="Y3245">
        <f>1-883-580-5981</f>
        <v>-7443</v>
      </c>
    </row>
    <row r="3246" spans="1:25" x14ac:dyDescent="0.35">
      <c r="A3246">
        <v>41.188904801000497</v>
      </c>
      <c r="B3246">
        <v>-123.121145866163</v>
      </c>
      <c r="C3246" t="s">
        <v>34</v>
      </c>
      <c r="D3246">
        <v>18.242003951202399</v>
      </c>
      <c r="E3246">
        <v>1</v>
      </c>
      <c r="F3246">
        <v>2071</v>
      </c>
      <c r="G3246">
        <v>5</v>
      </c>
      <c r="H3246">
        <v>2</v>
      </c>
      <c r="I3246">
        <v>1965</v>
      </c>
      <c r="J3246">
        <v>1</v>
      </c>
      <c r="K3246">
        <v>0</v>
      </c>
      <c r="L3246">
        <v>0</v>
      </c>
      <c r="M3246">
        <v>6</v>
      </c>
      <c r="N3246" t="s">
        <v>41</v>
      </c>
      <c r="O3246" t="s">
        <v>30</v>
      </c>
      <c r="P3246">
        <v>12.856025648199999</v>
      </c>
      <c r="Q3246">
        <v>0.62964329142066899</v>
      </c>
      <c r="R3246">
        <v>7.5379685900181297</v>
      </c>
      <c r="S3246">
        <v>134</v>
      </c>
      <c r="T3246">
        <v>74</v>
      </c>
      <c r="U3246">
        <v>538.58503707494106</v>
      </c>
      <c r="V3246">
        <v>2.8971511347175198E-3</v>
      </c>
      <c r="W3246">
        <v>1402155.5768438401</v>
      </c>
      <c r="X3246" t="s">
        <v>31</v>
      </c>
      <c r="Y3246">
        <f>1-919-490-1472</f>
        <v>-2880</v>
      </c>
    </row>
    <row r="3247" spans="1:25" x14ac:dyDescent="0.35">
      <c r="A3247">
        <v>37.769597805755801</v>
      </c>
      <c r="B3247">
        <v>-116.359866131122</v>
      </c>
      <c r="C3247" t="s">
        <v>25</v>
      </c>
      <c r="D3247">
        <v>6.19782723308737</v>
      </c>
      <c r="E3247">
        <v>2</v>
      </c>
      <c r="F3247">
        <v>2296</v>
      </c>
      <c r="G3247">
        <v>5</v>
      </c>
      <c r="H3247">
        <v>3</v>
      </c>
      <c r="I3247">
        <v>1976</v>
      </c>
      <c r="J3247">
        <v>0</v>
      </c>
      <c r="K3247">
        <v>0</v>
      </c>
      <c r="L3247">
        <v>0</v>
      </c>
      <c r="M3247">
        <v>8</v>
      </c>
      <c r="N3247" t="s">
        <v>26</v>
      </c>
      <c r="O3247" t="s">
        <v>32</v>
      </c>
      <c r="P3247">
        <v>3.3562800492179901</v>
      </c>
      <c r="Q3247">
        <v>1.15646390221035</v>
      </c>
      <c r="R3247">
        <v>7.4684898045353796</v>
      </c>
      <c r="S3247">
        <v>91</v>
      </c>
      <c r="T3247">
        <v>56</v>
      </c>
      <c r="U3247">
        <v>850.849707714999</v>
      </c>
      <c r="V3247">
        <v>3.4843205574912801E-3</v>
      </c>
      <c r="W3247">
        <v>2225721.0947549799</v>
      </c>
      <c r="X3247" t="s">
        <v>43</v>
      </c>
      <c r="Y3247">
        <f>1-864-306-6218</f>
        <v>-7387</v>
      </c>
    </row>
    <row r="3248" spans="1:25" x14ac:dyDescent="0.35">
      <c r="A3248">
        <v>37.760782791707399</v>
      </c>
      <c r="B3248">
        <v>-116.276997605126</v>
      </c>
      <c r="C3248" t="s">
        <v>34</v>
      </c>
      <c r="D3248">
        <v>24.4670714207607</v>
      </c>
      <c r="E3248">
        <v>1</v>
      </c>
      <c r="F3248">
        <v>2246</v>
      </c>
      <c r="G3248">
        <v>5</v>
      </c>
      <c r="H3248">
        <v>1</v>
      </c>
      <c r="I3248">
        <v>2015</v>
      </c>
      <c r="J3248">
        <v>0</v>
      </c>
      <c r="K3248">
        <v>1</v>
      </c>
      <c r="L3248">
        <v>1</v>
      </c>
      <c r="M3248">
        <v>3</v>
      </c>
      <c r="N3248" t="s">
        <v>35</v>
      </c>
      <c r="O3248" t="s">
        <v>27</v>
      </c>
      <c r="P3248">
        <v>6.7853095120365001</v>
      </c>
      <c r="Q3248">
        <v>1.02148072080032</v>
      </c>
      <c r="R3248">
        <v>4.3795168144897501</v>
      </c>
      <c r="S3248">
        <v>31</v>
      </c>
      <c r="T3248">
        <v>55</v>
      </c>
      <c r="U3248">
        <v>469.93018268297402</v>
      </c>
      <c r="V3248">
        <v>1.3357079252003499E-3</v>
      </c>
      <c r="W3248">
        <v>1468409.07593774</v>
      </c>
      <c r="X3248" t="s">
        <v>36</v>
      </c>
      <c r="Y3248">
        <f>1-311-784-2669</f>
        <v>-3763</v>
      </c>
    </row>
    <row r="3249" spans="1:25" x14ac:dyDescent="0.35">
      <c r="A3249">
        <v>38.3063354165877</v>
      </c>
      <c r="B3249">
        <v>-117.292400923469</v>
      </c>
      <c r="C3249" t="s">
        <v>25</v>
      </c>
      <c r="D3249">
        <v>21.629626703539</v>
      </c>
      <c r="E3249">
        <v>3</v>
      </c>
      <c r="F3249">
        <v>1056</v>
      </c>
      <c r="G3249">
        <v>3</v>
      </c>
      <c r="H3249">
        <v>3</v>
      </c>
      <c r="I3249">
        <v>1992</v>
      </c>
      <c r="J3249">
        <v>1</v>
      </c>
      <c r="K3249">
        <v>1</v>
      </c>
      <c r="L3249">
        <v>1</v>
      </c>
      <c r="M3249">
        <v>14</v>
      </c>
      <c r="N3249" t="s">
        <v>41</v>
      </c>
      <c r="O3249" t="s">
        <v>30</v>
      </c>
      <c r="P3249">
        <v>3.8188705513294798</v>
      </c>
      <c r="Q3249">
        <v>2.35034781558043</v>
      </c>
      <c r="R3249">
        <v>8.4207467097700501</v>
      </c>
      <c r="S3249">
        <v>105</v>
      </c>
      <c r="T3249">
        <v>77</v>
      </c>
      <c r="U3249">
        <v>756.369501294354</v>
      </c>
      <c r="V3249">
        <v>1.3257575757575701E-2</v>
      </c>
      <c r="W3249">
        <v>1091146.5512786601</v>
      </c>
      <c r="X3249" t="s">
        <v>28</v>
      </c>
      <c r="Y3249">
        <f>1-350-149-6263</f>
        <v>-6761</v>
      </c>
    </row>
    <row r="3250" spans="1:25" x14ac:dyDescent="0.35">
      <c r="A3250">
        <v>34.738466001087801</v>
      </c>
      <c r="B3250">
        <v>-115.833672752884</v>
      </c>
      <c r="C3250" t="s">
        <v>25</v>
      </c>
      <c r="D3250">
        <v>30.5578876641401</v>
      </c>
      <c r="E3250">
        <v>1</v>
      </c>
      <c r="F3250">
        <v>2209</v>
      </c>
      <c r="G3250">
        <v>2</v>
      </c>
      <c r="H3250">
        <v>1</v>
      </c>
      <c r="I3250">
        <v>1978</v>
      </c>
      <c r="J3250">
        <v>1</v>
      </c>
      <c r="K3250">
        <v>1</v>
      </c>
      <c r="L3250">
        <v>1</v>
      </c>
      <c r="M3250">
        <v>10</v>
      </c>
      <c r="N3250" t="s">
        <v>41</v>
      </c>
      <c r="O3250" t="s">
        <v>30</v>
      </c>
      <c r="P3250">
        <v>5.9426350023255896</v>
      </c>
      <c r="Q3250">
        <v>0.83846479026115395</v>
      </c>
      <c r="R3250">
        <v>0.57805752332247995</v>
      </c>
      <c r="S3250">
        <v>142</v>
      </c>
      <c r="T3250">
        <v>58</v>
      </c>
      <c r="U3250">
        <v>890.14864745458601</v>
      </c>
      <c r="V3250">
        <v>4.5269352648257101E-3</v>
      </c>
      <c r="W3250">
        <v>2202754.1990398201</v>
      </c>
      <c r="X3250" t="s">
        <v>31</v>
      </c>
      <c r="Y3250">
        <f>1-465-173-9562</f>
        <v>-10199</v>
      </c>
    </row>
    <row r="3251" spans="1:25" x14ac:dyDescent="0.35">
      <c r="A3251">
        <v>34.586164107505503</v>
      </c>
      <c r="B3251">
        <v>-119.491464522961</v>
      </c>
      <c r="C3251" t="s">
        <v>29</v>
      </c>
      <c r="D3251">
        <v>1.7518351220844199</v>
      </c>
      <c r="E3251">
        <v>6</v>
      </c>
      <c r="F3251">
        <v>3193</v>
      </c>
      <c r="G3251">
        <v>3</v>
      </c>
      <c r="H3251">
        <v>2</v>
      </c>
      <c r="I3251">
        <v>2009</v>
      </c>
      <c r="J3251">
        <v>1</v>
      </c>
      <c r="K3251">
        <v>1</v>
      </c>
      <c r="L3251">
        <v>1</v>
      </c>
      <c r="M3251">
        <v>2</v>
      </c>
      <c r="N3251" t="s">
        <v>37</v>
      </c>
      <c r="O3251" t="s">
        <v>27</v>
      </c>
      <c r="P3251">
        <v>12.1424919739876</v>
      </c>
      <c r="Q3251">
        <v>0.78010567603773995</v>
      </c>
      <c r="R3251">
        <v>3.8269394290612402</v>
      </c>
      <c r="S3251">
        <v>30</v>
      </c>
      <c r="T3251">
        <v>74</v>
      </c>
      <c r="U3251">
        <v>989.93978791476695</v>
      </c>
      <c r="V3251">
        <v>6.2637018477920399E-4</v>
      </c>
      <c r="W3251">
        <v>3677513.9977592002</v>
      </c>
      <c r="X3251" t="s">
        <v>43</v>
      </c>
      <c r="Y3251">
        <f>1-833-189-7072</f>
        <v>-8093</v>
      </c>
    </row>
    <row r="3252" spans="1:25" x14ac:dyDescent="0.35">
      <c r="A3252">
        <v>34.0504754111642</v>
      </c>
      <c r="B3252">
        <v>-123.929075161342</v>
      </c>
      <c r="C3252" t="s">
        <v>25</v>
      </c>
      <c r="D3252">
        <v>37.273174832699702</v>
      </c>
      <c r="E3252">
        <v>2</v>
      </c>
      <c r="F3252">
        <v>2949</v>
      </c>
      <c r="G3252">
        <v>5</v>
      </c>
      <c r="H3252">
        <v>1</v>
      </c>
      <c r="I3252">
        <v>1978</v>
      </c>
      <c r="J3252">
        <v>1</v>
      </c>
      <c r="K3252">
        <v>1</v>
      </c>
      <c r="L3252">
        <v>1</v>
      </c>
      <c r="M3252">
        <v>3</v>
      </c>
      <c r="N3252" t="s">
        <v>41</v>
      </c>
      <c r="O3252" t="s">
        <v>32</v>
      </c>
      <c r="P3252">
        <v>7.6208703617854496</v>
      </c>
      <c r="Q3252">
        <v>1.3032966938707</v>
      </c>
      <c r="R3252">
        <v>7.3368668080237898</v>
      </c>
      <c r="S3252">
        <v>196</v>
      </c>
      <c r="T3252">
        <v>54</v>
      </c>
      <c r="U3252">
        <v>726.67844172251205</v>
      </c>
      <c r="V3252">
        <v>1.01729399796541E-3</v>
      </c>
      <c r="W3252">
        <v>2548562.8080670899</v>
      </c>
      <c r="X3252" t="s">
        <v>33</v>
      </c>
      <c r="Y3252">
        <f>1-449-555-8233</f>
        <v>-9236</v>
      </c>
    </row>
    <row r="3253" spans="1:25" x14ac:dyDescent="0.35">
      <c r="A3253">
        <v>38.1741443882025</v>
      </c>
      <c r="B3253">
        <v>-117.24092097490499</v>
      </c>
      <c r="C3253" t="s">
        <v>29</v>
      </c>
      <c r="D3253">
        <v>31.571023567081699</v>
      </c>
      <c r="E3253">
        <v>2</v>
      </c>
      <c r="F3253">
        <v>2731</v>
      </c>
      <c r="G3253">
        <v>4</v>
      </c>
      <c r="H3253">
        <v>2</v>
      </c>
      <c r="I3253">
        <v>1979</v>
      </c>
      <c r="J3253">
        <v>0</v>
      </c>
      <c r="K3253">
        <v>0</v>
      </c>
      <c r="L3253">
        <v>0</v>
      </c>
      <c r="M3253">
        <v>11</v>
      </c>
      <c r="N3253" t="s">
        <v>35</v>
      </c>
      <c r="O3253" t="s">
        <v>30</v>
      </c>
      <c r="P3253">
        <v>14.456555579277399</v>
      </c>
      <c r="Q3253">
        <v>2.0789199868603401</v>
      </c>
      <c r="R3253">
        <v>3.5942127263544399</v>
      </c>
      <c r="S3253">
        <v>17</v>
      </c>
      <c r="T3253">
        <v>71</v>
      </c>
      <c r="U3253">
        <v>467.79199718882398</v>
      </c>
      <c r="V3253">
        <v>4.0278286341999198E-3</v>
      </c>
      <c r="W3253">
        <v>1626052.4295854899</v>
      </c>
      <c r="X3253" t="s">
        <v>33</v>
      </c>
      <c r="Y3253">
        <f>1-681-923-1503</f>
        <v>-3106</v>
      </c>
    </row>
    <row r="3254" spans="1:25" x14ac:dyDescent="0.35">
      <c r="A3254">
        <v>40.808666247466299</v>
      </c>
      <c r="B3254">
        <v>-120.770961966399</v>
      </c>
      <c r="C3254" t="s">
        <v>29</v>
      </c>
      <c r="D3254">
        <v>1.94938826818814</v>
      </c>
      <c r="E3254">
        <v>6</v>
      </c>
      <c r="F3254">
        <v>3943</v>
      </c>
      <c r="G3254">
        <v>3</v>
      </c>
      <c r="H3254">
        <v>3</v>
      </c>
      <c r="I3254">
        <v>1972</v>
      </c>
      <c r="J3254">
        <v>0</v>
      </c>
      <c r="K3254">
        <v>0</v>
      </c>
      <c r="L3254">
        <v>1</v>
      </c>
      <c r="M3254">
        <v>14</v>
      </c>
      <c r="N3254" t="s">
        <v>35</v>
      </c>
      <c r="O3254" t="s">
        <v>27</v>
      </c>
      <c r="P3254">
        <v>2.66420666930181</v>
      </c>
      <c r="Q3254">
        <v>1.2483803193678999</v>
      </c>
      <c r="R3254">
        <v>2.0025469643071898</v>
      </c>
      <c r="S3254">
        <v>86</v>
      </c>
      <c r="T3254">
        <v>46</v>
      </c>
      <c r="U3254">
        <v>422.74747724694799</v>
      </c>
      <c r="V3254">
        <v>3.5505959928988002E-3</v>
      </c>
      <c r="W3254">
        <v>1777943.06983782</v>
      </c>
      <c r="X3254" t="s">
        <v>40</v>
      </c>
      <c r="Y3254">
        <f>1-879-434-7308</f>
        <v>-8620</v>
      </c>
    </row>
    <row r="3255" spans="1:25" x14ac:dyDescent="0.35">
      <c r="A3255">
        <v>32.718457718959101</v>
      </c>
      <c r="B3255">
        <v>-117.498332371614</v>
      </c>
      <c r="C3255" t="s">
        <v>25</v>
      </c>
      <c r="D3255">
        <v>24.106662920273301</v>
      </c>
      <c r="E3255">
        <v>0</v>
      </c>
      <c r="F3255">
        <v>3501</v>
      </c>
      <c r="G3255">
        <v>4</v>
      </c>
      <c r="H3255">
        <v>1</v>
      </c>
      <c r="I3255">
        <v>1983</v>
      </c>
      <c r="J3255">
        <v>1</v>
      </c>
      <c r="K3255">
        <v>0</v>
      </c>
      <c r="L3255">
        <v>0</v>
      </c>
      <c r="M3255">
        <v>12</v>
      </c>
      <c r="N3255" t="s">
        <v>35</v>
      </c>
      <c r="O3255" t="s">
        <v>30</v>
      </c>
      <c r="P3255">
        <v>7.9256768692376696</v>
      </c>
      <c r="Q3255">
        <v>0.51807929257501995</v>
      </c>
      <c r="R3255">
        <v>2.6823548106141999</v>
      </c>
      <c r="S3255">
        <v>4</v>
      </c>
      <c r="T3255">
        <v>76</v>
      </c>
      <c r="U3255">
        <v>222.434604377657</v>
      </c>
      <c r="V3255">
        <v>3.42759211653813E-3</v>
      </c>
      <c r="W3255">
        <v>1066512.06939452</v>
      </c>
      <c r="X3255" t="s">
        <v>42</v>
      </c>
      <c r="Y3255">
        <f>1-860-744-4542</f>
        <v>-6145</v>
      </c>
    </row>
    <row r="3256" spans="1:25" x14ac:dyDescent="0.35">
      <c r="A3256">
        <v>32.912093920519297</v>
      </c>
      <c r="B3256">
        <v>-123.75391780084399</v>
      </c>
      <c r="C3256" t="s">
        <v>34</v>
      </c>
      <c r="D3256">
        <v>19.817128444078399</v>
      </c>
      <c r="E3256">
        <v>7</v>
      </c>
      <c r="F3256">
        <v>818</v>
      </c>
      <c r="G3256">
        <v>5</v>
      </c>
      <c r="H3256">
        <v>1</v>
      </c>
      <c r="I3256">
        <v>2017</v>
      </c>
      <c r="J3256">
        <v>1</v>
      </c>
      <c r="K3256">
        <v>0</v>
      </c>
      <c r="L3256">
        <v>1</v>
      </c>
      <c r="M3256">
        <v>5</v>
      </c>
      <c r="N3256" t="s">
        <v>37</v>
      </c>
      <c r="O3256" t="s">
        <v>32</v>
      </c>
      <c r="P3256">
        <v>7.7788379513864498</v>
      </c>
      <c r="Q3256">
        <v>0.78892314466153501</v>
      </c>
      <c r="R3256">
        <v>1.97835681200374</v>
      </c>
      <c r="S3256">
        <v>69</v>
      </c>
      <c r="T3256">
        <v>77</v>
      </c>
      <c r="U3256">
        <v>606.16052292426502</v>
      </c>
      <c r="V3256">
        <v>6.1124694376528104E-3</v>
      </c>
      <c r="W3256">
        <v>917638.493690426</v>
      </c>
      <c r="X3256" t="s">
        <v>40</v>
      </c>
      <c r="Y3256">
        <f>1-717-330-2604</f>
        <v>-3650</v>
      </c>
    </row>
    <row r="3257" spans="1:25" x14ac:dyDescent="0.35">
      <c r="A3257">
        <v>40.823983285336297</v>
      </c>
      <c r="B3257">
        <v>-121.838652706033</v>
      </c>
      <c r="C3257" t="s">
        <v>25</v>
      </c>
      <c r="D3257">
        <v>14.2513409261191</v>
      </c>
      <c r="E3257">
        <v>9</v>
      </c>
      <c r="F3257">
        <v>3759</v>
      </c>
      <c r="G3257">
        <v>2</v>
      </c>
      <c r="H3257">
        <v>1</v>
      </c>
      <c r="I3257">
        <v>1969</v>
      </c>
      <c r="J3257">
        <v>1</v>
      </c>
      <c r="K3257">
        <v>1</v>
      </c>
      <c r="L3257">
        <v>1</v>
      </c>
      <c r="M3257">
        <v>2</v>
      </c>
      <c r="N3257" t="s">
        <v>26</v>
      </c>
      <c r="O3257" t="s">
        <v>32</v>
      </c>
      <c r="P3257">
        <v>3.75288203440169</v>
      </c>
      <c r="Q3257">
        <v>1.3547682316699201</v>
      </c>
      <c r="R3257">
        <v>5.1647509704698296</v>
      </c>
      <c r="S3257">
        <v>142</v>
      </c>
      <c r="T3257">
        <v>35</v>
      </c>
      <c r="U3257">
        <v>926.11836694481406</v>
      </c>
      <c r="V3257">
        <v>5.3205639797818496E-4</v>
      </c>
      <c r="W3257">
        <v>3644558.6636992702</v>
      </c>
      <c r="X3257" t="s">
        <v>38</v>
      </c>
      <c r="Y3257">
        <f>1-525-213-6991</f>
        <v>-7728</v>
      </c>
    </row>
    <row r="3258" spans="1:25" x14ac:dyDescent="0.35">
      <c r="A3258">
        <v>41.881945750665999</v>
      </c>
      <c r="B3258">
        <v>-116.06950419719701</v>
      </c>
      <c r="C3258" t="s">
        <v>25</v>
      </c>
      <c r="D3258">
        <v>42.431266526277497</v>
      </c>
      <c r="E3258">
        <v>8</v>
      </c>
      <c r="F3258">
        <v>2752</v>
      </c>
      <c r="G3258">
        <v>4</v>
      </c>
      <c r="H3258">
        <v>3</v>
      </c>
      <c r="I3258">
        <v>2002</v>
      </c>
      <c r="J3258">
        <v>1</v>
      </c>
      <c r="K3258">
        <v>1</v>
      </c>
      <c r="L3258">
        <v>0</v>
      </c>
      <c r="M3258">
        <v>12</v>
      </c>
      <c r="N3258" t="s">
        <v>35</v>
      </c>
      <c r="O3258" t="s">
        <v>30</v>
      </c>
      <c r="P3258">
        <v>12.0109479417732</v>
      </c>
      <c r="Q3258">
        <v>1.0478823774305699</v>
      </c>
      <c r="R3258">
        <v>4.5628039806824798</v>
      </c>
      <c r="S3258">
        <v>133</v>
      </c>
      <c r="T3258">
        <v>53</v>
      </c>
      <c r="U3258">
        <v>988.09748166833003</v>
      </c>
      <c r="V3258">
        <v>4.3604651162790697E-3</v>
      </c>
      <c r="W3258">
        <v>3256820.5980713102</v>
      </c>
      <c r="X3258" t="s">
        <v>28</v>
      </c>
      <c r="Y3258">
        <f>1-732-576-9382</f>
        <v>-10689</v>
      </c>
    </row>
    <row r="3259" spans="1:25" x14ac:dyDescent="0.35">
      <c r="A3259">
        <v>35.983868526088699</v>
      </c>
      <c r="B3259">
        <v>-116.59463064469</v>
      </c>
      <c r="C3259" t="s">
        <v>34</v>
      </c>
      <c r="D3259">
        <v>39.0573820917867</v>
      </c>
      <c r="E3259">
        <v>1</v>
      </c>
      <c r="F3259">
        <v>2331</v>
      </c>
      <c r="G3259">
        <v>4</v>
      </c>
      <c r="H3259">
        <v>3</v>
      </c>
      <c r="I3259">
        <v>1986</v>
      </c>
      <c r="J3259">
        <v>0</v>
      </c>
      <c r="K3259">
        <v>0</v>
      </c>
      <c r="L3259">
        <v>1</v>
      </c>
      <c r="M3259">
        <v>9</v>
      </c>
      <c r="N3259" t="s">
        <v>37</v>
      </c>
      <c r="O3259" t="s">
        <v>32</v>
      </c>
      <c r="P3259">
        <v>7.4631795253775497</v>
      </c>
      <c r="Q3259">
        <v>1.0220923103430799</v>
      </c>
      <c r="R3259">
        <v>3.5903609491912301</v>
      </c>
      <c r="S3259">
        <v>155</v>
      </c>
      <c r="T3259">
        <v>68</v>
      </c>
      <c r="U3259">
        <v>270.043470766729</v>
      </c>
      <c r="V3259">
        <v>3.8610038610038598E-3</v>
      </c>
      <c r="W3259">
        <v>883772.89344972395</v>
      </c>
      <c r="X3259" t="s">
        <v>38</v>
      </c>
      <c r="Y3259">
        <f>1-201-521-7405</f>
        <v>-8126</v>
      </c>
    </row>
    <row r="3260" spans="1:25" x14ac:dyDescent="0.35">
      <c r="A3260">
        <v>35.403789292636901</v>
      </c>
      <c r="B3260">
        <v>-116.744830593271</v>
      </c>
      <c r="C3260" t="s">
        <v>25</v>
      </c>
      <c r="D3260">
        <v>3.2082561690481199</v>
      </c>
      <c r="E3260">
        <v>1</v>
      </c>
      <c r="F3260">
        <v>3826</v>
      </c>
      <c r="G3260">
        <v>2</v>
      </c>
      <c r="H3260">
        <v>1</v>
      </c>
      <c r="I3260">
        <v>1977</v>
      </c>
      <c r="J3260">
        <v>1</v>
      </c>
      <c r="K3260">
        <v>1</v>
      </c>
      <c r="L3260">
        <v>1</v>
      </c>
      <c r="M3260">
        <v>5</v>
      </c>
      <c r="N3260" t="s">
        <v>26</v>
      </c>
      <c r="O3260" t="s">
        <v>27</v>
      </c>
      <c r="P3260">
        <v>6.6228228909146702</v>
      </c>
      <c r="Q3260">
        <v>0.737740193085346</v>
      </c>
      <c r="R3260">
        <v>9.0535307660926705</v>
      </c>
      <c r="S3260">
        <v>171</v>
      </c>
      <c r="T3260">
        <v>52</v>
      </c>
      <c r="U3260">
        <v>724.93533819218999</v>
      </c>
      <c r="V3260">
        <v>1.3068478829064199E-3</v>
      </c>
      <c r="W3260">
        <v>3004587.4415400499</v>
      </c>
      <c r="X3260" t="s">
        <v>36</v>
      </c>
      <c r="Y3260">
        <f>1-439-559-5582</f>
        <v>-6579</v>
      </c>
    </row>
    <row r="3261" spans="1:25" x14ac:dyDescent="0.35">
      <c r="A3261">
        <v>34.414726419930702</v>
      </c>
      <c r="B3261">
        <v>-117.09101796903801</v>
      </c>
      <c r="C3261" t="s">
        <v>25</v>
      </c>
      <c r="D3261">
        <v>48.319570172908001</v>
      </c>
      <c r="E3261">
        <v>6</v>
      </c>
      <c r="F3261">
        <v>2669</v>
      </c>
      <c r="G3261">
        <v>5</v>
      </c>
      <c r="H3261">
        <v>2</v>
      </c>
      <c r="I3261">
        <v>1955</v>
      </c>
      <c r="J3261">
        <v>1</v>
      </c>
      <c r="K3261">
        <v>1</v>
      </c>
      <c r="L3261">
        <v>1</v>
      </c>
      <c r="M3261">
        <v>14</v>
      </c>
      <c r="N3261" t="s">
        <v>26</v>
      </c>
      <c r="O3261" t="s">
        <v>27</v>
      </c>
      <c r="P3261">
        <v>6.6950201239563896</v>
      </c>
      <c r="Q3261">
        <v>1.7835924610348299</v>
      </c>
      <c r="R3261">
        <v>8.1042105677913501</v>
      </c>
      <c r="S3261">
        <v>16</v>
      </c>
      <c r="T3261">
        <v>77</v>
      </c>
      <c r="U3261">
        <v>530.01553263896005</v>
      </c>
      <c r="V3261">
        <v>5.2454102660172298E-3</v>
      </c>
      <c r="W3261">
        <v>1828771.4256108501</v>
      </c>
      <c r="X3261" t="s">
        <v>36</v>
      </c>
      <c r="Y3261">
        <f>1-377-533-8827</f>
        <v>-9736</v>
      </c>
    </row>
    <row r="3262" spans="1:25" x14ac:dyDescent="0.35">
      <c r="A3262">
        <v>40.154331985006799</v>
      </c>
      <c r="B3262">
        <v>-117.725513426573</v>
      </c>
      <c r="C3262" t="s">
        <v>34</v>
      </c>
      <c r="D3262">
        <v>41.912119151933197</v>
      </c>
      <c r="E3262">
        <v>4</v>
      </c>
      <c r="F3262">
        <v>3415</v>
      </c>
      <c r="G3262">
        <v>2</v>
      </c>
      <c r="H3262">
        <v>1</v>
      </c>
      <c r="I3262">
        <v>1954</v>
      </c>
      <c r="J3262">
        <v>0</v>
      </c>
      <c r="K3262">
        <v>1</v>
      </c>
      <c r="L3262">
        <v>1</v>
      </c>
      <c r="M3262">
        <v>5</v>
      </c>
      <c r="N3262" t="s">
        <v>41</v>
      </c>
      <c r="O3262" t="s">
        <v>30</v>
      </c>
      <c r="P3262">
        <v>8.4227064820885005</v>
      </c>
      <c r="Q3262">
        <v>1.04052032662339</v>
      </c>
      <c r="R3262">
        <v>4.2862646775543602</v>
      </c>
      <c r="S3262">
        <v>83</v>
      </c>
      <c r="T3262">
        <v>21</v>
      </c>
      <c r="U3262">
        <v>794.25036975427895</v>
      </c>
      <c r="V3262">
        <v>1.4641288433382099E-3</v>
      </c>
      <c r="W3262">
        <v>2838457.0473604202</v>
      </c>
      <c r="X3262" t="s">
        <v>39</v>
      </c>
      <c r="Y3262">
        <f>1-972-348-8525</f>
        <v>-9844</v>
      </c>
    </row>
    <row r="3263" spans="1:25" x14ac:dyDescent="0.35">
      <c r="A3263">
        <v>35.9456954206536</v>
      </c>
      <c r="B3263">
        <v>-117.984689721069</v>
      </c>
      <c r="C3263" t="s">
        <v>25</v>
      </c>
      <c r="D3263">
        <v>15.7228449415179</v>
      </c>
      <c r="E3263">
        <v>2</v>
      </c>
      <c r="F3263">
        <v>803</v>
      </c>
      <c r="G3263">
        <v>1</v>
      </c>
      <c r="H3263">
        <v>1</v>
      </c>
      <c r="I3263">
        <v>2011</v>
      </c>
      <c r="J3263">
        <v>0</v>
      </c>
      <c r="K3263">
        <v>1</v>
      </c>
      <c r="L3263">
        <v>1</v>
      </c>
      <c r="M3263">
        <v>2</v>
      </c>
      <c r="N3263" t="s">
        <v>37</v>
      </c>
      <c r="O3263" t="s">
        <v>30</v>
      </c>
      <c r="P3263">
        <v>13.9676139344202</v>
      </c>
      <c r="Q3263">
        <v>1.1087945382311399</v>
      </c>
      <c r="R3263">
        <v>1.5281570284541499</v>
      </c>
      <c r="S3263">
        <v>162</v>
      </c>
      <c r="T3263">
        <v>45</v>
      </c>
      <c r="U3263">
        <v>439.82103275537401</v>
      </c>
      <c r="V3263">
        <v>2.4906600249065998E-3</v>
      </c>
      <c r="W3263">
        <v>606540.62066839903</v>
      </c>
      <c r="X3263" t="s">
        <v>33</v>
      </c>
      <c r="Y3263">
        <f>1-518-375-2385</f>
        <v>-3277</v>
      </c>
    </row>
    <row r="3264" spans="1:25" x14ac:dyDescent="0.35">
      <c r="A3264">
        <v>39.759815766677697</v>
      </c>
      <c r="B3264">
        <v>-122.984861167681</v>
      </c>
      <c r="C3264" t="s">
        <v>34</v>
      </c>
      <c r="D3264">
        <v>45.753224297745803</v>
      </c>
      <c r="E3264">
        <v>0</v>
      </c>
      <c r="F3264">
        <v>4949</v>
      </c>
      <c r="G3264">
        <v>5</v>
      </c>
      <c r="H3264">
        <v>3</v>
      </c>
      <c r="I3264">
        <v>2009</v>
      </c>
      <c r="J3264">
        <v>1</v>
      </c>
      <c r="K3264">
        <v>0</v>
      </c>
      <c r="L3264">
        <v>1</v>
      </c>
      <c r="M3264">
        <v>11</v>
      </c>
      <c r="N3264" t="s">
        <v>41</v>
      </c>
      <c r="O3264" t="s">
        <v>30</v>
      </c>
      <c r="P3264">
        <v>4.8897570006918398</v>
      </c>
      <c r="Q3264">
        <v>1.8636893072240599</v>
      </c>
      <c r="R3264">
        <v>6.0912524859033903</v>
      </c>
      <c r="S3264">
        <v>181</v>
      </c>
      <c r="T3264">
        <v>51</v>
      </c>
      <c r="U3264">
        <v>887.22879027554802</v>
      </c>
      <c r="V3264">
        <v>2.2226712467164999E-3</v>
      </c>
      <c r="W3264">
        <v>4694456.7723026304</v>
      </c>
      <c r="X3264" t="s">
        <v>36</v>
      </c>
      <c r="Y3264">
        <f>1-980-908-4143</f>
        <v>-6030</v>
      </c>
    </row>
    <row r="3265" spans="1:25" x14ac:dyDescent="0.35">
      <c r="A3265">
        <v>39.721088095372203</v>
      </c>
      <c r="B3265">
        <v>-119.91930384266399</v>
      </c>
      <c r="C3265" t="s">
        <v>34</v>
      </c>
      <c r="D3265">
        <v>45.227728650149203</v>
      </c>
      <c r="E3265">
        <v>4</v>
      </c>
      <c r="F3265">
        <v>4300</v>
      </c>
      <c r="G3265">
        <v>5</v>
      </c>
      <c r="H3265">
        <v>3</v>
      </c>
      <c r="I3265">
        <v>2019</v>
      </c>
      <c r="J3265">
        <v>0</v>
      </c>
      <c r="K3265">
        <v>0</v>
      </c>
      <c r="L3265">
        <v>1</v>
      </c>
      <c r="M3265">
        <v>7</v>
      </c>
      <c r="N3265" t="s">
        <v>37</v>
      </c>
      <c r="O3265" t="s">
        <v>27</v>
      </c>
      <c r="P3265">
        <v>3.5272791756504498</v>
      </c>
      <c r="Q3265">
        <v>1.3939396848277601</v>
      </c>
      <c r="R3265">
        <v>6.5252265235772802</v>
      </c>
      <c r="S3265">
        <v>8</v>
      </c>
      <c r="T3265">
        <v>57</v>
      </c>
      <c r="U3265">
        <v>289.55035971137698</v>
      </c>
      <c r="V3265">
        <v>1.62790697674418E-3</v>
      </c>
      <c r="W3265">
        <v>1621084.2367936701</v>
      </c>
      <c r="X3265" t="s">
        <v>38</v>
      </c>
      <c r="Y3265">
        <f>1-873-432-1526</f>
        <v>-2830</v>
      </c>
    </row>
    <row r="3266" spans="1:25" x14ac:dyDescent="0.35">
      <c r="A3266">
        <v>36.9472295644577</v>
      </c>
      <c r="B3266">
        <v>-118.452022174631</v>
      </c>
      <c r="C3266" t="s">
        <v>29</v>
      </c>
      <c r="D3266">
        <v>34.331388412547803</v>
      </c>
      <c r="E3266">
        <v>2</v>
      </c>
      <c r="F3266">
        <v>1183</v>
      </c>
      <c r="G3266">
        <v>5</v>
      </c>
      <c r="H3266">
        <v>1</v>
      </c>
      <c r="I3266">
        <v>1987</v>
      </c>
      <c r="J3266">
        <v>0</v>
      </c>
      <c r="K3266">
        <v>0</v>
      </c>
      <c r="L3266">
        <v>1</v>
      </c>
      <c r="M3266">
        <v>13</v>
      </c>
      <c r="N3266" t="s">
        <v>37</v>
      </c>
      <c r="O3266" t="s">
        <v>27</v>
      </c>
      <c r="P3266">
        <v>11.835969814598799</v>
      </c>
      <c r="Q3266">
        <v>2.2063559913068498</v>
      </c>
      <c r="R3266">
        <v>1.36188847535053</v>
      </c>
      <c r="S3266">
        <v>98</v>
      </c>
      <c r="T3266">
        <v>36</v>
      </c>
      <c r="U3266">
        <v>890.96247283311595</v>
      </c>
      <c r="V3266">
        <v>1.09890109890109E-2</v>
      </c>
      <c r="W3266">
        <v>1358725.33115276</v>
      </c>
      <c r="X3266" t="s">
        <v>33</v>
      </c>
      <c r="Y3266">
        <f>1-630-538-4659</f>
        <v>-5826</v>
      </c>
    </row>
    <row r="3267" spans="1:25" x14ac:dyDescent="0.35">
      <c r="A3267">
        <v>41.405241004446701</v>
      </c>
      <c r="B3267">
        <v>-122.091987864003</v>
      </c>
      <c r="C3267" t="s">
        <v>25</v>
      </c>
      <c r="D3267">
        <v>4.60869410984085</v>
      </c>
      <c r="E3267">
        <v>0</v>
      </c>
      <c r="F3267">
        <v>2560</v>
      </c>
      <c r="G3267">
        <v>4</v>
      </c>
      <c r="H3267">
        <v>1</v>
      </c>
      <c r="I3267">
        <v>1997</v>
      </c>
      <c r="J3267">
        <v>0</v>
      </c>
      <c r="K3267">
        <v>0</v>
      </c>
      <c r="L3267">
        <v>1</v>
      </c>
      <c r="M3267">
        <v>5</v>
      </c>
      <c r="N3267" t="s">
        <v>35</v>
      </c>
      <c r="O3267" t="s">
        <v>30</v>
      </c>
      <c r="P3267">
        <v>14.858817218889801</v>
      </c>
      <c r="Q3267">
        <v>1.60208342052228</v>
      </c>
      <c r="R3267">
        <v>3.3642282239753598</v>
      </c>
      <c r="S3267">
        <v>45</v>
      </c>
      <c r="T3267">
        <v>30</v>
      </c>
      <c r="U3267">
        <v>705.79979573507899</v>
      </c>
      <c r="V3267">
        <v>1.953125E-3</v>
      </c>
      <c r="W3267">
        <v>2186455.1700382698</v>
      </c>
      <c r="X3267" t="s">
        <v>28</v>
      </c>
      <c r="Y3267">
        <f>1-985-898-4940</f>
        <v>-6822</v>
      </c>
    </row>
    <row r="3268" spans="1:25" x14ac:dyDescent="0.35">
      <c r="A3268">
        <v>32.822139228190501</v>
      </c>
      <c r="B3268">
        <v>-114.584628756692</v>
      </c>
      <c r="C3268" t="s">
        <v>29</v>
      </c>
      <c r="D3268">
        <v>32.810585568612296</v>
      </c>
      <c r="E3268">
        <v>2</v>
      </c>
      <c r="F3268">
        <v>1389</v>
      </c>
      <c r="G3268">
        <v>1</v>
      </c>
      <c r="H3268">
        <v>1</v>
      </c>
      <c r="I3268">
        <v>1980</v>
      </c>
      <c r="J3268">
        <v>1</v>
      </c>
      <c r="K3268">
        <v>0</v>
      </c>
      <c r="L3268">
        <v>1</v>
      </c>
      <c r="M3268">
        <v>14</v>
      </c>
      <c r="N3268" t="s">
        <v>41</v>
      </c>
      <c r="O3268" t="s">
        <v>32</v>
      </c>
      <c r="P3268">
        <v>11.916684967360901</v>
      </c>
      <c r="Q3268">
        <v>2.0258481161977699</v>
      </c>
      <c r="R3268">
        <v>5.0657426371341998</v>
      </c>
      <c r="S3268">
        <v>79</v>
      </c>
      <c r="T3268">
        <v>25</v>
      </c>
      <c r="U3268">
        <v>296.61097563202202</v>
      </c>
      <c r="V3268">
        <v>1.00791936645068E-2</v>
      </c>
      <c r="W3268">
        <v>549414.17237146397</v>
      </c>
      <c r="X3268" t="s">
        <v>39</v>
      </c>
      <c r="Y3268">
        <f>1-332-731-5569</f>
        <v>-6631</v>
      </c>
    </row>
    <row r="3269" spans="1:25" x14ac:dyDescent="0.35">
      <c r="A3269">
        <v>36.296397162396303</v>
      </c>
      <c r="B3269">
        <v>-115.95260600578401</v>
      </c>
      <c r="C3269" t="s">
        <v>34</v>
      </c>
      <c r="D3269">
        <v>26.472585956970899</v>
      </c>
      <c r="E3269">
        <v>9</v>
      </c>
      <c r="F3269">
        <v>3650</v>
      </c>
      <c r="G3269">
        <v>1</v>
      </c>
      <c r="H3269">
        <v>1</v>
      </c>
      <c r="I3269">
        <v>1970</v>
      </c>
      <c r="J3269">
        <v>0</v>
      </c>
      <c r="K3269">
        <v>0</v>
      </c>
      <c r="L3269">
        <v>1</v>
      </c>
      <c r="M3269">
        <v>9</v>
      </c>
      <c r="N3269" t="s">
        <v>26</v>
      </c>
      <c r="O3269" t="s">
        <v>27</v>
      </c>
      <c r="P3269">
        <v>9.8815862781218602</v>
      </c>
      <c r="Q3269">
        <v>0.52522683042606799</v>
      </c>
      <c r="R3269">
        <v>7.1205903391990502</v>
      </c>
      <c r="S3269">
        <v>189</v>
      </c>
      <c r="T3269">
        <v>57</v>
      </c>
      <c r="U3269">
        <v>491.60321384533898</v>
      </c>
      <c r="V3269">
        <v>2.4657534246575298E-3</v>
      </c>
      <c r="W3269">
        <v>1939620.77306633</v>
      </c>
      <c r="X3269" t="s">
        <v>40</v>
      </c>
      <c r="Y3269">
        <f>1-632-556-5137</f>
        <v>-6324</v>
      </c>
    </row>
    <row r="3270" spans="1:25" x14ac:dyDescent="0.35">
      <c r="A3270">
        <v>36.355338407741201</v>
      </c>
      <c r="B3270">
        <v>-120.600709255806</v>
      </c>
      <c r="C3270" t="s">
        <v>25</v>
      </c>
      <c r="D3270">
        <v>4.1218411733955902</v>
      </c>
      <c r="E3270">
        <v>8</v>
      </c>
      <c r="F3270">
        <v>1314</v>
      </c>
      <c r="G3270">
        <v>5</v>
      </c>
      <c r="H3270">
        <v>3</v>
      </c>
      <c r="I3270">
        <v>1988</v>
      </c>
      <c r="J3270">
        <v>0</v>
      </c>
      <c r="K3270">
        <v>1</v>
      </c>
      <c r="L3270">
        <v>0</v>
      </c>
      <c r="M3270">
        <v>14</v>
      </c>
      <c r="N3270" t="s">
        <v>41</v>
      </c>
      <c r="O3270" t="s">
        <v>30</v>
      </c>
      <c r="P3270">
        <v>14.265616655756199</v>
      </c>
      <c r="Q3270">
        <v>1.6049599888448201</v>
      </c>
      <c r="R3270">
        <v>2.2198029121049898</v>
      </c>
      <c r="S3270">
        <v>154</v>
      </c>
      <c r="T3270">
        <v>67</v>
      </c>
      <c r="U3270">
        <v>427.53794668741898</v>
      </c>
      <c r="V3270">
        <v>1.06544901065449E-2</v>
      </c>
      <c r="W3270">
        <v>1124895.0329710499</v>
      </c>
      <c r="X3270" t="s">
        <v>28</v>
      </c>
      <c r="Y3270">
        <f>1-374-130-8531</f>
        <v>-9034</v>
      </c>
    </row>
    <row r="3271" spans="1:25" x14ac:dyDescent="0.35">
      <c r="A3271">
        <v>37.897224959292998</v>
      </c>
      <c r="B3271">
        <v>-116.89380744422699</v>
      </c>
      <c r="C3271" t="s">
        <v>25</v>
      </c>
      <c r="D3271">
        <v>10.0511118611998</v>
      </c>
      <c r="E3271">
        <v>9</v>
      </c>
      <c r="F3271">
        <v>1235</v>
      </c>
      <c r="G3271">
        <v>3</v>
      </c>
      <c r="H3271">
        <v>1</v>
      </c>
      <c r="I3271">
        <v>2017</v>
      </c>
      <c r="J3271">
        <v>0</v>
      </c>
      <c r="K3271">
        <v>0</v>
      </c>
      <c r="L3271">
        <v>0</v>
      </c>
      <c r="M3271">
        <v>5</v>
      </c>
      <c r="N3271" t="s">
        <v>41</v>
      </c>
      <c r="O3271" t="s">
        <v>32</v>
      </c>
      <c r="P3271">
        <v>8.1377337448125893</v>
      </c>
      <c r="Q3271">
        <v>1.2795809896050401</v>
      </c>
      <c r="R3271">
        <v>6.0790055440646196</v>
      </c>
      <c r="S3271">
        <v>178</v>
      </c>
      <c r="T3271">
        <v>32</v>
      </c>
      <c r="U3271">
        <v>420.80478145857501</v>
      </c>
      <c r="V3271">
        <v>4.0485829959514101E-3</v>
      </c>
      <c r="W3271">
        <v>672317.53927645006</v>
      </c>
      <c r="X3271" t="s">
        <v>43</v>
      </c>
      <c r="Y3271">
        <f>1-541-294-3748</f>
        <v>-4582</v>
      </c>
    </row>
    <row r="3272" spans="1:25" x14ac:dyDescent="0.35">
      <c r="A3272">
        <v>41.632910702762203</v>
      </c>
      <c r="B3272">
        <v>-121.34569593006999</v>
      </c>
      <c r="C3272" t="s">
        <v>34</v>
      </c>
      <c r="D3272">
        <v>15.3388732493263</v>
      </c>
      <c r="E3272">
        <v>6</v>
      </c>
      <c r="F3272">
        <v>1589</v>
      </c>
      <c r="G3272">
        <v>1</v>
      </c>
      <c r="H3272">
        <v>1</v>
      </c>
      <c r="I3272">
        <v>2020</v>
      </c>
      <c r="J3272">
        <v>0</v>
      </c>
      <c r="K3272">
        <v>1</v>
      </c>
      <c r="L3272">
        <v>0</v>
      </c>
      <c r="M3272">
        <v>11</v>
      </c>
      <c r="N3272" t="s">
        <v>26</v>
      </c>
      <c r="O3272" t="s">
        <v>32</v>
      </c>
      <c r="P3272">
        <v>9.9999481154388494</v>
      </c>
      <c r="Q3272">
        <v>1.56854112589247</v>
      </c>
      <c r="R3272">
        <v>1.8526556333516999</v>
      </c>
      <c r="S3272">
        <v>120</v>
      </c>
      <c r="T3272">
        <v>67</v>
      </c>
      <c r="U3272">
        <v>387.99434470471101</v>
      </c>
      <c r="V3272">
        <v>6.9225928256765202E-3</v>
      </c>
      <c r="W3272">
        <v>909778.82122588903</v>
      </c>
      <c r="X3272" t="s">
        <v>36</v>
      </c>
      <c r="Y3272">
        <f>1-940-190-4863</f>
        <v>-5992</v>
      </c>
    </row>
    <row r="3273" spans="1:25" x14ac:dyDescent="0.35">
      <c r="A3273">
        <v>40.861798762065398</v>
      </c>
      <c r="B3273">
        <v>-121.17610972351299</v>
      </c>
      <c r="C3273" t="s">
        <v>25</v>
      </c>
      <c r="D3273">
        <v>17.695844327778801</v>
      </c>
      <c r="E3273">
        <v>8</v>
      </c>
      <c r="F3273">
        <v>3316</v>
      </c>
      <c r="G3273">
        <v>4</v>
      </c>
      <c r="H3273">
        <v>1</v>
      </c>
      <c r="I3273">
        <v>1999</v>
      </c>
      <c r="J3273">
        <v>1</v>
      </c>
      <c r="K3273">
        <v>1</v>
      </c>
      <c r="L3273">
        <v>0</v>
      </c>
      <c r="M3273">
        <v>14</v>
      </c>
      <c r="N3273" t="s">
        <v>37</v>
      </c>
      <c r="O3273" t="s">
        <v>32</v>
      </c>
      <c r="P3273">
        <v>13.8409767476286</v>
      </c>
      <c r="Q3273">
        <v>1.1437660010964299</v>
      </c>
      <c r="R3273">
        <v>2.99005018540851</v>
      </c>
      <c r="S3273">
        <v>15</v>
      </c>
      <c r="T3273">
        <v>66</v>
      </c>
      <c r="U3273">
        <v>855.68145615568403</v>
      </c>
      <c r="V3273">
        <v>4.2219541616405299E-3</v>
      </c>
      <c r="W3273">
        <v>3320738.9722784502</v>
      </c>
      <c r="X3273" t="s">
        <v>28</v>
      </c>
      <c r="Y3273">
        <f>1-596-818-7596</f>
        <v>-9009</v>
      </c>
    </row>
    <row r="3274" spans="1:25" x14ac:dyDescent="0.35">
      <c r="A3274">
        <v>41.2702642646315</v>
      </c>
      <c r="B3274">
        <v>-116.855946781898</v>
      </c>
      <c r="C3274" t="s">
        <v>34</v>
      </c>
      <c r="D3274">
        <v>42.0452931085429</v>
      </c>
      <c r="E3274">
        <v>6</v>
      </c>
      <c r="F3274">
        <v>3928</v>
      </c>
      <c r="G3274">
        <v>2</v>
      </c>
      <c r="H3274">
        <v>2</v>
      </c>
      <c r="I3274">
        <v>1963</v>
      </c>
      <c r="J3274">
        <v>0</v>
      </c>
      <c r="K3274">
        <v>1</v>
      </c>
      <c r="L3274">
        <v>1</v>
      </c>
      <c r="M3274">
        <v>8</v>
      </c>
      <c r="N3274" t="s">
        <v>41</v>
      </c>
      <c r="O3274" t="s">
        <v>32</v>
      </c>
      <c r="P3274">
        <v>11.482954931485599</v>
      </c>
      <c r="Q3274">
        <v>1.66806114821309</v>
      </c>
      <c r="R3274">
        <v>1.0848358790968999</v>
      </c>
      <c r="S3274">
        <v>29</v>
      </c>
      <c r="T3274">
        <v>50</v>
      </c>
      <c r="U3274">
        <v>918.79073733370205</v>
      </c>
      <c r="V3274">
        <v>2.0366598778004002E-3</v>
      </c>
      <c r="W3274">
        <v>3850020.9339177501</v>
      </c>
      <c r="X3274" t="s">
        <v>44</v>
      </c>
      <c r="Y3274">
        <f>1-872-887-4878</f>
        <v>-6636</v>
      </c>
    </row>
    <row r="3275" spans="1:25" x14ac:dyDescent="0.35">
      <c r="A3275">
        <v>33.163940791077898</v>
      </c>
      <c r="B3275">
        <v>-123.163109474278</v>
      </c>
      <c r="C3275" t="s">
        <v>34</v>
      </c>
      <c r="D3275">
        <v>41.762281419899502</v>
      </c>
      <c r="E3275">
        <v>0</v>
      </c>
      <c r="F3275">
        <v>1112</v>
      </c>
      <c r="G3275">
        <v>2</v>
      </c>
      <c r="H3275">
        <v>1</v>
      </c>
      <c r="I3275">
        <v>2005</v>
      </c>
      <c r="J3275">
        <v>1</v>
      </c>
      <c r="K3275">
        <v>1</v>
      </c>
      <c r="L3275">
        <v>1</v>
      </c>
      <c r="M3275">
        <v>12</v>
      </c>
      <c r="N3275" t="s">
        <v>26</v>
      </c>
      <c r="O3275" t="s">
        <v>27</v>
      </c>
      <c r="P3275">
        <v>5.8917889096731102</v>
      </c>
      <c r="Q3275">
        <v>0.77729760914589896</v>
      </c>
      <c r="R3275">
        <v>6.2744686725685099</v>
      </c>
      <c r="S3275">
        <v>12</v>
      </c>
      <c r="T3275">
        <v>45</v>
      </c>
      <c r="U3275">
        <v>399.19893921382197</v>
      </c>
      <c r="V3275">
        <v>1.07913669064748E-2</v>
      </c>
      <c r="W3275">
        <v>738209.256084266</v>
      </c>
      <c r="X3275" t="s">
        <v>43</v>
      </c>
      <c r="Y3275">
        <f>1-211-594-4121</f>
        <v>-4925</v>
      </c>
    </row>
    <row r="3276" spans="1:25" x14ac:dyDescent="0.35">
      <c r="A3276">
        <v>35.477424321469201</v>
      </c>
      <c r="B3276">
        <v>-115.572156834029</v>
      </c>
      <c r="C3276" t="s">
        <v>25</v>
      </c>
      <c r="D3276">
        <v>12.1672226888249</v>
      </c>
      <c r="E3276">
        <v>6</v>
      </c>
      <c r="F3276">
        <v>2842</v>
      </c>
      <c r="G3276">
        <v>5</v>
      </c>
      <c r="H3276">
        <v>3</v>
      </c>
      <c r="I3276">
        <v>2020</v>
      </c>
      <c r="J3276">
        <v>1</v>
      </c>
      <c r="K3276">
        <v>1</v>
      </c>
      <c r="L3276">
        <v>1</v>
      </c>
      <c r="M3276">
        <v>9</v>
      </c>
      <c r="N3276" t="s">
        <v>35</v>
      </c>
      <c r="O3276" t="s">
        <v>32</v>
      </c>
      <c r="P3276">
        <v>8.0876849398083994</v>
      </c>
      <c r="Q3276">
        <v>2.17378867152709</v>
      </c>
      <c r="R3276">
        <v>5.3359939014087097</v>
      </c>
      <c r="S3276">
        <v>169</v>
      </c>
      <c r="T3276">
        <v>25</v>
      </c>
      <c r="U3276">
        <v>357.05773065168597</v>
      </c>
      <c r="V3276">
        <v>3.16678395496129E-3</v>
      </c>
      <c r="W3276">
        <v>1496438.42606161</v>
      </c>
      <c r="X3276" t="s">
        <v>31</v>
      </c>
      <c r="Y3276">
        <f>1-584-888-4808</f>
        <v>-6279</v>
      </c>
    </row>
    <row r="3277" spans="1:25" x14ac:dyDescent="0.35">
      <c r="A3277">
        <v>38.129328758751001</v>
      </c>
      <c r="B3277">
        <v>-119.05788746654299</v>
      </c>
      <c r="C3277" t="s">
        <v>25</v>
      </c>
      <c r="D3277">
        <v>13.772384174278001</v>
      </c>
      <c r="E3277">
        <v>8</v>
      </c>
      <c r="F3277">
        <v>4403</v>
      </c>
      <c r="G3277">
        <v>3</v>
      </c>
      <c r="H3277">
        <v>1</v>
      </c>
      <c r="I3277">
        <v>1963</v>
      </c>
      <c r="J3277">
        <v>1</v>
      </c>
      <c r="K3277">
        <v>1</v>
      </c>
      <c r="L3277">
        <v>0</v>
      </c>
      <c r="M3277">
        <v>6</v>
      </c>
      <c r="N3277" t="s">
        <v>37</v>
      </c>
      <c r="O3277" t="s">
        <v>27</v>
      </c>
      <c r="P3277">
        <v>5.4768434037454101</v>
      </c>
      <c r="Q3277">
        <v>0.82989425007952</v>
      </c>
      <c r="R3277">
        <v>2.36362938212647</v>
      </c>
      <c r="S3277">
        <v>120</v>
      </c>
      <c r="T3277">
        <v>38</v>
      </c>
      <c r="U3277">
        <v>321.32827712829197</v>
      </c>
      <c r="V3277">
        <v>1.3627072450601799E-3</v>
      </c>
      <c r="W3277">
        <v>1624773.1585847901</v>
      </c>
      <c r="X3277" t="s">
        <v>39</v>
      </c>
      <c r="Y3277">
        <f>1-887-533-4216</f>
        <v>-5635</v>
      </c>
    </row>
    <row r="3278" spans="1:25" x14ac:dyDescent="0.35">
      <c r="A3278">
        <v>35.654582208408897</v>
      </c>
      <c r="B3278">
        <v>-121.15392631712299</v>
      </c>
      <c r="C3278" t="s">
        <v>29</v>
      </c>
      <c r="D3278">
        <v>41.725129687483701</v>
      </c>
      <c r="E3278">
        <v>1</v>
      </c>
      <c r="F3278">
        <v>2075</v>
      </c>
      <c r="G3278">
        <v>1</v>
      </c>
      <c r="H3278">
        <v>3</v>
      </c>
      <c r="I3278">
        <v>1995</v>
      </c>
      <c r="J3278">
        <v>0</v>
      </c>
      <c r="K3278">
        <v>0</v>
      </c>
      <c r="L3278">
        <v>1</v>
      </c>
      <c r="M3278">
        <v>6</v>
      </c>
      <c r="N3278" t="s">
        <v>41</v>
      </c>
      <c r="O3278" t="s">
        <v>32</v>
      </c>
      <c r="P3278">
        <v>2.4588512913718401</v>
      </c>
      <c r="Q3278">
        <v>0.51185825579717903</v>
      </c>
      <c r="R3278">
        <v>9.9422541470129602</v>
      </c>
      <c r="S3278">
        <v>165</v>
      </c>
      <c r="T3278">
        <v>76</v>
      </c>
      <c r="U3278">
        <v>694.978942513437</v>
      </c>
      <c r="V3278">
        <v>2.8915662650602402E-3</v>
      </c>
      <c r="W3278">
        <v>1463798.2097064899</v>
      </c>
      <c r="X3278" t="s">
        <v>36</v>
      </c>
      <c r="Y3278">
        <f>1-405-197-8779</f>
        <v>-9380</v>
      </c>
    </row>
    <row r="3279" spans="1:25" x14ac:dyDescent="0.35">
      <c r="A3279">
        <v>36.7094001782514</v>
      </c>
      <c r="B3279">
        <v>-117.919878789797</v>
      </c>
      <c r="C3279" t="s">
        <v>25</v>
      </c>
      <c r="D3279">
        <v>39.553257308641101</v>
      </c>
      <c r="E3279">
        <v>1</v>
      </c>
      <c r="F3279">
        <v>2794</v>
      </c>
      <c r="G3279">
        <v>2</v>
      </c>
      <c r="H3279">
        <v>2</v>
      </c>
      <c r="I3279">
        <v>1962</v>
      </c>
      <c r="J3279">
        <v>1</v>
      </c>
      <c r="K3279">
        <v>1</v>
      </c>
      <c r="L3279">
        <v>0</v>
      </c>
      <c r="M3279">
        <v>14</v>
      </c>
      <c r="N3279" t="s">
        <v>35</v>
      </c>
      <c r="O3279" t="s">
        <v>32</v>
      </c>
      <c r="P3279">
        <v>13.664883919510499</v>
      </c>
      <c r="Q3279">
        <v>1.0476843835073</v>
      </c>
      <c r="R3279">
        <v>8.2937103366116194</v>
      </c>
      <c r="S3279">
        <v>34</v>
      </c>
      <c r="T3279">
        <v>33</v>
      </c>
      <c r="U3279">
        <v>457.69905270190901</v>
      </c>
      <c r="V3279">
        <v>5.0107372942018603E-3</v>
      </c>
      <c r="W3279">
        <v>1595041.7362695399</v>
      </c>
      <c r="X3279" t="s">
        <v>43</v>
      </c>
      <c r="Y3279">
        <f>1-799-534-3821</f>
        <v>-5153</v>
      </c>
    </row>
    <row r="3280" spans="1:25" x14ac:dyDescent="0.35">
      <c r="A3280">
        <v>37.936983566491598</v>
      </c>
      <c r="B3280">
        <v>-117.710340333224</v>
      </c>
      <c r="C3280" t="s">
        <v>34</v>
      </c>
      <c r="D3280">
        <v>34.1541448468545</v>
      </c>
      <c r="E3280">
        <v>6</v>
      </c>
      <c r="F3280">
        <v>1866</v>
      </c>
      <c r="G3280">
        <v>3</v>
      </c>
      <c r="H3280">
        <v>3</v>
      </c>
      <c r="I3280">
        <v>1989</v>
      </c>
      <c r="J3280">
        <v>0</v>
      </c>
      <c r="K3280">
        <v>0</v>
      </c>
      <c r="L3280">
        <v>0</v>
      </c>
      <c r="M3280">
        <v>9</v>
      </c>
      <c r="N3280" t="s">
        <v>35</v>
      </c>
      <c r="O3280" t="s">
        <v>27</v>
      </c>
      <c r="P3280">
        <v>11.2979099874228</v>
      </c>
      <c r="Q3280">
        <v>1.14766712599163</v>
      </c>
      <c r="R3280">
        <v>1.69371287487621</v>
      </c>
      <c r="S3280">
        <v>144</v>
      </c>
      <c r="T3280">
        <v>23</v>
      </c>
      <c r="U3280">
        <v>635.44662246270605</v>
      </c>
      <c r="V3280">
        <v>4.8231511254019296E-3</v>
      </c>
      <c r="W3280">
        <v>1472239.8016417201</v>
      </c>
      <c r="X3280" t="s">
        <v>36</v>
      </c>
      <c r="Y3280">
        <f>1-876-160-8362</f>
        <v>-9397</v>
      </c>
    </row>
    <row r="3281" spans="1:25" x14ac:dyDescent="0.35">
      <c r="A3281">
        <v>39.009357916951998</v>
      </c>
      <c r="B3281">
        <v>-121.23681257787599</v>
      </c>
      <c r="C3281" t="s">
        <v>34</v>
      </c>
      <c r="D3281">
        <v>29.403689487841099</v>
      </c>
      <c r="E3281">
        <v>6</v>
      </c>
      <c r="F3281">
        <v>1914</v>
      </c>
      <c r="G3281">
        <v>1</v>
      </c>
      <c r="H3281">
        <v>1</v>
      </c>
      <c r="I3281">
        <v>2006</v>
      </c>
      <c r="J3281">
        <v>0</v>
      </c>
      <c r="K3281">
        <v>1</v>
      </c>
      <c r="L3281">
        <v>0</v>
      </c>
      <c r="M3281">
        <v>3</v>
      </c>
      <c r="N3281" t="s">
        <v>37</v>
      </c>
      <c r="O3281" t="s">
        <v>30</v>
      </c>
      <c r="P3281">
        <v>10.318951267327501</v>
      </c>
      <c r="Q3281">
        <v>1.5564230248555999</v>
      </c>
      <c r="R3281">
        <v>3.5115634186132301</v>
      </c>
      <c r="S3281">
        <v>52</v>
      </c>
      <c r="T3281">
        <v>79</v>
      </c>
      <c r="U3281">
        <v>423.30092565091297</v>
      </c>
      <c r="V3281">
        <v>1.5673981191222501E-3</v>
      </c>
      <c r="W3281">
        <v>1045008.11728469</v>
      </c>
      <c r="X3281" t="s">
        <v>44</v>
      </c>
      <c r="Y3281">
        <f>1-548-770-3335</f>
        <v>-4652</v>
      </c>
    </row>
    <row r="3282" spans="1:25" x14ac:dyDescent="0.35">
      <c r="A3282">
        <v>41.493969124649702</v>
      </c>
      <c r="B3282">
        <v>-121.964731589408</v>
      </c>
      <c r="C3282" t="s">
        <v>25</v>
      </c>
      <c r="D3282">
        <v>3.8289333073114298</v>
      </c>
      <c r="E3282">
        <v>3</v>
      </c>
      <c r="F3282">
        <v>3677</v>
      </c>
      <c r="G3282">
        <v>3</v>
      </c>
      <c r="H3282">
        <v>1</v>
      </c>
      <c r="I3282">
        <v>1972</v>
      </c>
      <c r="J3282">
        <v>1</v>
      </c>
      <c r="K3282">
        <v>1</v>
      </c>
      <c r="L3282">
        <v>1</v>
      </c>
      <c r="M3282">
        <v>8</v>
      </c>
      <c r="N3282" t="s">
        <v>37</v>
      </c>
      <c r="O3282" t="s">
        <v>27</v>
      </c>
      <c r="P3282">
        <v>14.1929725741622</v>
      </c>
      <c r="Q3282">
        <v>1.1043535913528799</v>
      </c>
      <c r="R3282">
        <v>8.1582950689863303</v>
      </c>
      <c r="S3282">
        <v>173</v>
      </c>
      <c r="T3282">
        <v>42</v>
      </c>
      <c r="U3282">
        <v>935.29125507521303</v>
      </c>
      <c r="V3282">
        <v>2.1756867011150302E-3</v>
      </c>
      <c r="W3282">
        <v>3741137.1135324598</v>
      </c>
      <c r="X3282" t="s">
        <v>38</v>
      </c>
      <c r="Y3282">
        <f>1-755-956-7938</f>
        <v>-9648</v>
      </c>
    </row>
    <row r="3283" spans="1:25" x14ac:dyDescent="0.35">
      <c r="A3283">
        <v>40.519729461453302</v>
      </c>
      <c r="B3283">
        <v>-120.730761549444</v>
      </c>
      <c r="C3283" t="s">
        <v>25</v>
      </c>
      <c r="D3283">
        <v>37.829809121656098</v>
      </c>
      <c r="E3283">
        <v>4</v>
      </c>
      <c r="F3283">
        <v>4446</v>
      </c>
      <c r="G3283">
        <v>1</v>
      </c>
      <c r="H3283">
        <v>1</v>
      </c>
      <c r="I3283">
        <v>1964</v>
      </c>
      <c r="J3283">
        <v>1</v>
      </c>
      <c r="K3283">
        <v>1</v>
      </c>
      <c r="L3283">
        <v>0</v>
      </c>
      <c r="M3283">
        <v>3</v>
      </c>
      <c r="N3283" t="s">
        <v>37</v>
      </c>
      <c r="O3283" t="s">
        <v>32</v>
      </c>
      <c r="P3283">
        <v>3.3505975018544301</v>
      </c>
      <c r="Q3283">
        <v>1.22103944948018</v>
      </c>
      <c r="R3283">
        <v>5.7959675251232001</v>
      </c>
      <c r="S3283">
        <v>150</v>
      </c>
      <c r="T3283">
        <v>44</v>
      </c>
      <c r="U3283">
        <v>932.36896767775102</v>
      </c>
      <c r="V3283">
        <v>6.7476383265856904E-4</v>
      </c>
      <c r="W3283">
        <v>4225463.06488543</v>
      </c>
      <c r="X3283" t="s">
        <v>31</v>
      </c>
      <c r="Y3283">
        <f>1-712-258-9492</f>
        <v>-10461</v>
      </c>
    </row>
    <row r="3284" spans="1:25" x14ac:dyDescent="0.35">
      <c r="A3284">
        <v>38.042190733104597</v>
      </c>
      <c r="B3284">
        <v>-119.194092388299</v>
      </c>
      <c r="C3284" t="s">
        <v>34</v>
      </c>
      <c r="D3284">
        <v>41.551711084431098</v>
      </c>
      <c r="E3284">
        <v>5</v>
      </c>
      <c r="F3284">
        <v>2724</v>
      </c>
      <c r="G3284">
        <v>2</v>
      </c>
      <c r="H3284">
        <v>2</v>
      </c>
      <c r="I3284">
        <v>2008</v>
      </c>
      <c r="J3284">
        <v>0</v>
      </c>
      <c r="K3284">
        <v>1</v>
      </c>
      <c r="L3284">
        <v>0</v>
      </c>
      <c r="M3284">
        <v>3</v>
      </c>
      <c r="N3284" t="s">
        <v>41</v>
      </c>
      <c r="O3284" t="s">
        <v>30</v>
      </c>
      <c r="P3284">
        <v>9.9548789443871595</v>
      </c>
      <c r="Q3284">
        <v>0.69603737011585098</v>
      </c>
      <c r="R3284">
        <v>4.0712331999390203</v>
      </c>
      <c r="S3284">
        <v>47</v>
      </c>
      <c r="T3284">
        <v>37</v>
      </c>
      <c r="U3284">
        <v>368.59538557169799</v>
      </c>
      <c r="V3284">
        <v>1.1013215859030799E-3</v>
      </c>
      <c r="W3284">
        <v>1216941.56209305</v>
      </c>
      <c r="X3284" t="s">
        <v>33</v>
      </c>
      <c r="Y3284">
        <f>1-348-593-3628</f>
        <v>-4568</v>
      </c>
    </row>
    <row r="3285" spans="1:25" x14ac:dyDescent="0.35">
      <c r="A3285">
        <v>39.206348601714602</v>
      </c>
      <c r="B3285">
        <v>-124.313668072453</v>
      </c>
      <c r="C3285" t="s">
        <v>29</v>
      </c>
      <c r="D3285">
        <v>25.471214626424299</v>
      </c>
      <c r="E3285">
        <v>1</v>
      </c>
      <c r="F3285">
        <v>4180</v>
      </c>
      <c r="G3285">
        <v>3</v>
      </c>
      <c r="H3285">
        <v>3</v>
      </c>
      <c r="I3285">
        <v>2011</v>
      </c>
      <c r="J3285">
        <v>0</v>
      </c>
      <c r="K3285">
        <v>1</v>
      </c>
      <c r="L3285">
        <v>0</v>
      </c>
      <c r="M3285">
        <v>4</v>
      </c>
      <c r="N3285" t="s">
        <v>35</v>
      </c>
      <c r="O3285" t="s">
        <v>32</v>
      </c>
      <c r="P3285">
        <v>11.5344801784856</v>
      </c>
      <c r="Q3285">
        <v>1.2980209304749</v>
      </c>
      <c r="R3285">
        <v>4.6892620137668297</v>
      </c>
      <c r="S3285">
        <v>40</v>
      </c>
      <c r="T3285">
        <v>71</v>
      </c>
      <c r="U3285">
        <v>849.04698998217998</v>
      </c>
      <c r="V3285">
        <v>9.5693779904306201E-4</v>
      </c>
      <c r="W3285">
        <v>3936427.26710395</v>
      </c>
      <c r="X3285" t="s">
        <v>44</v>
      </c>
      <c r="Y3285">
        <f>1-806-947-8507</f>
        <v>-10259</v>
      </c>
    </row>
    <row r="3286" spans="1:25" x14ac:dyDescent="0.35">
      <c r="A3286">
        <v>41.937227922474399</v>
      </c>
      <c r="B3286">
        <v>-122.016065470431</v>
      </c>
      <c r="C3286" t="s">
        <v>34</v>
      </c>
      <c r="D3286">
        <v>23.925895727970101</v>
      </c>
      <c r="E3286">
        <v>5</v>
      </c>
      <c r="F3286">
        <v>3388</v>
      </c>
      <c r="G3286">
        <v>3</v>
      </c>
      <c r="H3286">
        <v>1</v>
      </c>
      <c r="I3286">
        <v>2019</v>
      </c>
      <c r="J3286">
        <v>0</v>
      </c>
      <c r="K3286">
        <v>0</v>
      </c>
      <c r="L3286">
        <v>1</v>
      </c>
      <c r="M3286">
        <v>5</v>
      </c>
      <c r="N3286" t="s">
        <v>26</v>
      </c>
      <c r="O3286" t="s">
        <v>27</v>
      </c>
      <c r="P3286">
        <v>3.3800085963488602</v>
      </c>
      <c r="Q3286">
        <v>1.07864999207213</v>
      </c>
      <c r="R3286">
        <v>3.1183897519827202</v>
      </c>
      <c r="S3286">
        <v>31</v>
      </c>
      <c r="T3286">
        <v>65</v>
      </c>
      <c r="U3286">
        <v>675.19839372466402</v>
      </c>
      <c r="V3286">
        <v>1.4757969303423801E-3</v>
      </c>
      <c r="W3286">
        <v>2550152.9958790201</v>
      </c>
      <c r="X3286" t="s">
        <v>36</v>
      </c>
      <c r="Y3286">
        <f>1-703-891-7613</f>
        <v>-9206</v>
      </c>
    </row>
    <row r="3287" spans="1:25" x14ac:dyDescent="0.35">
      <c r="A3287">
        <v>39.733594143543698</v>
      </c>
      <c r="B3287">
        <v>-114.077155163604</v>
      </c>
      <c r="C3287" t="s">
        <v>29</v>
      </c>
      <c r="D3287">
        <v>26.859941148610002</v>
      </c>
      <c r="E3287">
        <v>9</v>
      </c>
      <c r="F3287">
        <v>738</v>
      </c>
      <c r="G3287">
        <v>3</v>
      </c>
      <c r="H3287">
        <v>2</v>
      </c>
      <c r="I3287">
        <v>1984</v>
      </c>
      <c r="J3287">
        <v>0</v>
      </c>
      <c r="K3287">
        <v>1</v>
      </c>
      <c r="L3287">
        <v>0</v>
      </c>
      <c r="M3287">
        <v>12</v>
      </c>
      <c r="N3287" t="s">
        <v>37</v>
      </c>
      <c r="O3287" t="s">
        <v>32</v>
      </c>
      <c r="P3287">
        <v>3.2897857952068499</v>
      </c>
      <c r="Q3287">
        <v>1.3847291852311701</v>
      </c>
      <c r="R3287">
        <v>1.68679430404662</v>
      </c>
      <c r="S3287">
        <v>29</v>
      </c>
      <c r="T3287">
        <v>65</v>
      </c>
      <c r="U3287">
        <v>400.65259566972998</v>
      </c>
      <c r="V3287">
        <v>1.6260162601626001E-2</v>
      </c>
      <c r="W3287">
        <v>666870.82959687698</v>
      </c>
      <c r="X3287" t="s">
        <v>42</v>
      </c>
      <c r="Y3287">
        <f>1-263-598-3925</f>
        <v>-4785</v>
      </c>
    </row>
    <row r="3288" spans="1:25" x14ac:dyDescent="0.35">
      <c r="A3288">
        <v>40.781200977053601</v>
      </c>
      <c r="B3288">
        <v>-121.820508164646</v>
      </c>
      <c r="C3288" t="s">
        <v>25</v>
      </c>
      <c r="D3288">
        <v>16.363061762698401</v>
      </c>
      <c r="E3288">
        <v>4</v>
      </c>
      <c r="F3288">
        <v>2093</v>
      </c>
      <c r="G3288">
        <v>2</v>
      </c>
      <c r="H3288">
        <v>2</v>
      </c>
      <c r="I3288">
        <v>2005</v>
      </c>
      <c r="J3288">
        <v>0</v>
      </c>
      <c r="K3288">
        <v>1</v>
      </c>
      <c r="L3288">
        <v>1</v>
      </c>
      <c r="M3288">
        <v>4</v>
      </c>
      <c r="N3288" t="s">
        <v>41</v>
      </c>
      <c r="O3288" t="s">
        <v>30</v>
      </c>
      <c r="P3288">
        <v>13.032110529936899</v>
      </c>
      <c r="Q3288">
        <v>1.52248581560178</v>
      </c>
      <c r="R3288">
        <v>0.32310700500280698</v>
      </c>
      <c r="S3288">
        <v>1</v>
      </c>
      <c r="T3288">
        <v>59</v>
      </c>
      <c r="U3288">
        <v>343.78887728898002</v>
      </c>
      <c r="V3288">
        <v>1.91113234591495E-3</v>
      </c>
      <c r="W3288">
        <v>1038772.15031205</v>
      </c>
      <c r="X3288" t="s">
        <v>39</v>
      </c>
      <c r="Y3288">
        <f>1-917-176-8178</f>
        <v>-9270</v>
      </c>
    </row>
    <row r="3289" spans="1:25" x14ac:dyDescent="0.35">
      <c r="A3289">
        <v>38.331717208663697</v>
      </c>
      <c r="B3289">
        <v>-116.046179517935</v>
      </c>
      <c r="C3289" t="s">
        <v>29</v>
      </c>
      <c r="D3289">
        <v>39.936751968931297</v>
      </c>
      <c r="E3289">
        <v>7</v>
      </c>
      <c r="F3289">
        <v>3661</v>
      </c>
      <c r="G3289">
        <v>4</v>
      </c>
      <c r="H3289">
        <v>1</v>
      </c>
      <c r="I3289">
        <v>1980</v>
      </c>
      <c r="J3289">
        <v>0</v>
      </c>
      <c r="K3289">
        <v>1</v>
      </c>
      <c r="L3289">
        <v>0</v>
      </c>
      <c r="M3289">
        <v>2</v>
      </c>
      <c r="N3289" t="s">
        <v>41</v>
      </c>
      <c r="O3289" t="s">
        <v>32</v>
      </c>
      <c r="P3289">
        <v>7.1689288352066702</v>
      </c>
      <c r="Q3289">
        <v>1.46932060655159</v>
      </c>
      <c r="R3289">
        <v>8.2735437730296209</v>
      </c>
      <c r="S3289">
        <v>194</v>
      </c>
      <c r="T3289">
        <v>55</v>
      </c>
      <c r="U3289">
        <v>717.19775329634899</v>
      </c>
      <c r="V3289">
        <v>5.46298825457525E-4</v>
      </c>
      <c r="W3289">
        <v>2960626.55530959</v>
      </c>
      <c r="X3289" t="s">
        <v>28</v>
      </c>
      <c r="Y3289">
        <f>1-692-923-3058</f>
        <v>-4672</v>
      </c>
    </row>
    <row r="3290" spans="1:25" x14ac:dyDescent="0.35">
      <c r="A3290">
        <v>33.431425948181698</v>
      </c>
      <c r="B3290">
        <v>-120.450737371949</v>
      </c>
      <c r="C3290" t="s">
        <v>34</v>
      </c>
      <c r="D3290">
        <v>48.269191216104701</v>
      </c>
      <c r="E3290">
        <v>7</v>
      </c>
      <c r="F3290">
        <v>835</v>
      </c>
      <c r="G3290">
        <v>3</v>
      </c>
      <c r="H3290">
        <v>3</v>
      </c>
      <c r="I3290">
        <v>1990</v>
      </c>
      <c r="J3290">
        <v>0</v>
      </c>
      <c r="K3290">
        <v>0</v>
      </c>
      <c r="L3290">
        <v>0</v>
      </c>
      <c r="M3290">
        <v>14</v>
      </c>
      <c r="N3290" t="s">
        <v>41</v>
      </c>
      <c r="O3290" t="s">
        <v>32</v>
      </c>
      <c r="P3290">
        <v>11.4833852125267</v>
      </c>
      <c r="Q3290">
        <v>1.1940077167026</v>
      </c>
      <c r="R3290">
        <v>4.5670553280761004</v>
      </c>
      <c r="S3290">
        <v>143</v>
      </c>
      <c r="T3290">
        <v>29</v>
      </c>
      <c r="U3290">
        <v>791.85600396560199</v>
      </c>
      <c r="V3290">
        <v>1.67664670658682E-2</v>
      </c>
      <c r="W3290">
        <v>946720.84425979096</v>
      </c>
      <c r="X3290" t="s">
        <v>33</v>
      </c>
      <c r="Y3290">
        <f>1-864-765-8189</f>
        <v>-9817</v>
      </c>
    </row>
    <row r="3291" spans="1:25" x14ac:dyDescent="0.35">
      <c r="A3291">
        <v>38.8693608485559</v>
      </c>
      <c r="B3291">
        <v>-114.753869650697</v>
      </c>
      <c r="C3291" t="s">
        <v>25</v>
      </c>
      <c r="D3291">
        <v>4.7451899654044603</v>
      </c>
      <c r="E3291">
        <v>3</v>
      </c>
      <c r="F3291">
        <v>3974</v>
      </c>
      <c r="G3291">
        <v>2</v>
      </c>
      <c r="H3291">
        <v>2</v>
      </c>
      <c r="I3291">
        <v>1978</v>
      </c>
      <c r="J3291">
        <v>0</v>
      </c>
      <c r="K3291">
        <v>1</v>
      </c>
      <c r="L3291">
        <v>1</v>
      </c>
      <c r="M3291">
        <v>2</v>
      </c>
      <c r="N3291" t="s">
        <v>41</v>
      </c>
      <c r="O3291" t="s">
        <v>30</v>
      </c>
      <c r="P3291">
        <v>9.5920977289033402</v>
      </c>
      <c r="Q3291">
        <v>0.79279981640172104</v>
      </c>
      <c r="R3291">
        <v>7.1240295357150396</v>
      </c>
      <c r="S3291">
        <v>105</v>
      </c>
      <c r="T3291">
        <v>32</v>
      </c>
      <c r="U3291">
        <v>646.57196062341097</v>
      </c>
      <c r="V3291">
        <v>5.0327126321087E-4</v>
      </c>
      <c r="W3291">
        <v>2829222.9242118201</v>
      </c>
      <c r="X3291" t="s">
        <v>44</v>
      </c>
      <c r="Y3291">
        <f>1-283-945-2165</f>
        <v>-3392</v>
      </c>
    </row>
    <row r="3292" spans="1:25" x14ac:dyDescent="0.35">
      <c r="A3292">
        <v>35.574733510410702</v>
      </c>
      <c r="B3292">
        <v>-118.64880361823499</v>
      </c>
      <c r="C3292" t="s">
        <v>29</v>
      </c>
      <c r="D3292">
        <v>20.5623699376447</v>
      </c>
      <c r="E3292">
        <v>7</v>
      </c>
      <c r="F3292">
        <v>821</v>
      </c>
      <c r="G3292">
        <v>4</v>
      </c>
      <c r="H3292">
        <v>2</v>
      </c>
      <c r="I3292">
        <v>2009</v>
      </c>
      <c r="J3292">
        <v>1</v>
      </c>
      <c r="K3292">
        <v>1</v>
      </c>
      <c r="L3292">
        <v>1</v>
      </c>
      <c r="M3292">
        <v>10</v>
      </c>
      <c r="N3292" t="s">
        <v>26</v>
      </c>
      <c r="O3292" t="s">
        <v>30</v>
      </c>
      <c r="P3292">
        <v>11.832415815434899</v>
      </c>
      <c r="Q3292">
        <v>2.4104871920565398</v>
      </c>
      <c r="R3292">
        <v>8.4909823041572601</v>
      </c>
      <c r="S3292">
        <v>188</v>
      </c>
      <c r="T3292">
        <v>60</v>
      </c>
      <c r="U3292">
        <v>287.82953490136498</v>
      </c>
      <c r="V3292">
        <v>1.21802679658952E-2</v>
      </c>
      <c r="W3292">
        <v>702284.92238712299</v>
      </c>
      <c r="X3292" t="s">
        <v>36</v>
      </c>
      <c r="Y3292">
        <f>1-979-821-3465</f>
        <v>-5264</v>
      </c>
    </row>
    <row r="3293" spans="1:25" x14ac:dyDescent="0.35">
      <c r="A3293">
        <v>39.90751439388</v>
      </c>
      <c r="B3293">
        <v>-118.351157407824</v>
      </c>
      <c r="C3293" t="s">
        <v>29</v>
      </c>
      <c r="D3293">
        <v>35.791432629972</v>
      </c>
      <c r="E3293">
        <v>1</v>
      </c>
      <c r="F3293">
        <v>786</v>
      </c>
      <c r="G3293">
        <v>3</v>
      </c>
      <c r="H3293">
        <v>2</v>
      </c>
      <c r="I3293">
        <v>1998</v>
      </c>
      <c r="J3293">
        <v>1</v>
      </c>
      <c r="K3293">
        <v>0</v>
      </c>
      <c r="L3293">
        <v>0</v>
      </c>
      <c r="M3293">
        <v>11</v>
      </c>
      <c r="N3293" t="s">
        <v>37</v>
      </c>
      <c r="O3293" t="s">
        <v>27</v>
      </c>
      <c r="P3293">
        <v>5.26592452507722</v>
      </c>
      <c r="Q3293">
        <v>1.28521642318425</v>
      </c>
      <c r="R3293">
        <v>3.0510775550815601</v>
      </c>
      <c r="S3293">
        <v>77</v>
      </c>
      <c r="T3293">
        <v>39</v>
      </c>
      <c r="U3293">
        <v>722.17353268444401</v>
      </c>
      <c r="V3293">
        <v>1.3994910941475799E-2</v>
      </c>
      <c r="W3293">
        <v>701665.78083345306</v>
      </c>
      <c r="X3293" t="s">
        <v>43</v>
      </c>
      <c r="Y3293">
        <f>1-450-598-2256</f>
        <v>-3303</v>
      </c>
    </row>
    <row r="3294" spans="1:25" x14ac:dyDescent="0.35">
      <c r="A3294">
        <v>41.343411725462303</v>
      </c>
      <c r="B3294">
        <v>-115.905987022628</v>
      </c>
      <c r="C3294" t="s">
        <v>25</v>
      </c>
      <c r="D3294">
        <v>49.810020422316398</v>
      </c>
      <c r="E3294">
        <v>5</v>
      </c>
      <c r="F3294">
        <v>3779</v>
      </c>
      <c r="G3294">
        <v>1</v>
      </c>
      <c r="H3294">
        <v>3</v>
      </c>
      <c r="I3294">
        <v>2018</v>
      </c>
      <c r="J3294">
        <v>0</v>
      </c>
      <c r="K3294">
        <v>0</v>
      </c>
      <c r="L3294">
        <v>1</v>
      </c>
      <c r="M3294">
        <v>3</v>
      </c>
      <c r="N3294" t="s">
        <v>35</v>
      </c>
      <c r="O3294" t="s">
        <v>32</v>
      </c>
      <c r="P3294">
        <v>3.0729112703977401</v>
      </c>
      <c r="Q3294">
        <v>1.08620357672134</v>
      </c>
      <c r="R3294">
        <v>3.72517801964023</v>
      </c>
      <c r="S3294">
        <v>41</v>
      </c>
      <c r="T3294">
        <v>65</v>
      </c>
      <c r="U3294">
        <v>247.63631235145601</v>
      </c>
      <c r="V3294">
        <v>7.9386080973802497E-4</v>
      </c>
      <c r="W3294">
        <v>1134903.56692881</v>
      </c>
      <c r="X3294" t="s">
        <v>38</v>
      </c>
      <c r="Y3294">
        <f>1-411-706-9838</f>
        <v>-10954</v>
      </c>
    </row>
    <row r="3295" spans="1:25" x14ac:dyDescent="0.35">
      <c r="A3295">
        <v>36.440416352129098</v>
      </c>
      <c r="B3295">
        <v>-118.977779820289</v>
      </c>
      <c r="C3295" t="s">
        <v>25</v>
      </c>
      <c r="D3295">
        <v>9.4859546125815406</v>
      </c>
      <c r="E3295">
        <v>1</v>
      </c>
      <c r="F3295">
        <v>4156</v>
      </c>
      <c r="G3295">
        <v>5</v>
      </c>
      <c r="H3295">
        <v>2</v>
      </c>
      <c r="I3295">
        <v>1973</v>
      </c>
      <c r="J3295">
        <v>0</v>
      </c>
      <c r="K3295">
        <v>0</v>
      </c>
      <c r="L3295">
        <v>0</v>
      </c>
      <c r="M3295">
        <v>12</v>
      </c>
      <c r="N3295" t="s">
        <v>26</v>
      </c>
      <c r="O3295" t="s">
        <v>27</v>
      </c>
      <c r="P3295">
        <v>8.8390586253720098</v>
      </c>
      <c r="Q3295">
        <v>0.98589253267584798</v>
      </c>
      <c r="R3295">
        <v>4.8630640328554904</v>
      </c>
      <c r="S3295">
        <v>17</v>
      </c>
      <c r="T3295">
        <v>33</v>
      </c>
      <c r="U3295">
        <v>912.68721954373098</v>
      </c>
      <c r="V3295">
        <v>2.8873917228103901E-3</v>
      </c>
      <c r="W3295">
        <v>4077908.2126191598</v>
      </c>
      <c r="X3295" t="s">
        <v>42</v>
      </c>
      <c r="Y3295">
        <f>1-599-716-1112</f>
        <v>-2426</v>
      </c>
    </row>
    <row r="3296" spans="1:25" x14ac:dyDescent="0.35">
      <c r="A3296">
        <v>34.168682590936598</v>
      </c>
      <c r="B3296">
        <v>-119.252044741924</v>
      </c>
      <c r="C3296" t="s">
        <v>29</v>
      </c>
      <c r="D3296">
        <v>6.1271550339244296</v>
      </c>
      <c r="E3296">
        <v>5</v>
      </c>
      <c r="F3296">
        <v>839</v>
      </c>
      <c r="G3296">
        <v>2</v>
      </c>
      <c r="H3296">
        <v>3</v>
      </c>
      <c r="I3296">
        <v>1984</v>
      </c>
      <c r="J3296">
        <v>0</v>
      </c>
      <c r="K3296">
        <v>1</v>
      </c>
      <c r="L3296">
        <v>1</v>
      </c>
      <c r="M3296">
        <v>7</v>
      </c>
      <c r="N3296" t="s">
        <v>41</v>
      </c>
      <c r="O3296" t="s">
        <v>30</v>
      </c>
      <c r="P3296">
        <v>9.4386167154822491</v>
      </c>
      <c r="Q3296">
        <v>1.84897511223054</v>
      </c>
      <c r="R3296">
        <v>5.5531318249603299</v>
      </c>
      <c r="S3296">
        <v>182</v>
      </c>
      <c r="T3296">
        <v>59</v>
      </c>
      <c r="U3296">
        <v>693.49230151206302</v>
      </c>
      <c r="V3296">
        <v>8.3432657926102508E-3</v>
      </c>
      <c r="W3296">
        <v>789923.42661251</v>
      </c>
      <c r="X3296" t="s">
        <v>33</v>
      </c>
      <c r="Y3296">
        <f>1-755-130-8352</f>
        <v>-9236</v>
      </c>
    </row>
    <row r="3297" spans="1:25" x14ac:dyDescent="0.35">
      <c r="A3297">
        <v>39.988468267380803</v>
      </c>
      <c r="B3297">
        <v>-121.252371897188</v>
      </c>
      <c r="C3297" t="s">
        <v>25</v>
      </c>
      <c r="D3297">
        <v>6.5687380728315699</v>
      </c>
      <c r="E3297">
        <v>6</v>
      </c>
      <c r="F3297">
        <v>1659</v>
      </c>
      <c r="G3297">
        <v>5</v>
      </c>
      <c r="H3297">
        <v>2</v>
      </c>
      <c r="I3297">
        <v>2009</v>
      </c>
      <c r="J3297">
        <v>1</v>
      </c>
      <c r="K3297">
        <v>1</v>
      </c>
      <c r="L3297">
        <v>1</v>
      </c>
      <c r="M3297">
        <v>7</v>
      </c>
      <c r="N3297" t="s">
        <v>26</v>
      </c>
      <c r="O3297" t="s">
        <v>30</v>
      </c>
      <c r="P3297">
        <v>6.3014186364712197</v>
      </c>
      <c r="Q3297">
        <v>2.2986050890699299</v>
      </c>
      <c r="R3297">
        <v>0.137140436512173</v>
      </c>
      <c r="S3297">
        <v>46</v>
      </c>
      <c r="T3297">
        <v>25</v>
      </c>
      <c r="U3297">
        <v>513.30185737633303</v>
      </c>
      <c r="V3297">
        <v>4.2194092827004199E-3</v>
      </c>
      <c r="W3297">
        <v>1343884.3922389699</v>
      </c>
      <c r="X3297" t="s">
        <v>40</v>
      </c>
      <c r="Y3297">
        <f>1-238-358-2056</f>
        <v>-2651</v>
      </c>
    </row>
    <row r="3298" spans="1:25" x14ac:dyDescent="0.35">
      <c r="A3298">
        <v>33.027390454509799</v>
      </c>
      <c r="B3298">
        <v>-121.52628049295301</v>
      </c>
      <c r="C3298" t="s">
        <v>25</v>
      </c>
      <c r="D3298">
        <v>43.610349874427001</v>
      </c>
      <c r="E3298">
        <v>4</v>
      </c>
      <c r="F3298">
        <v>2596</v>
      </c>
      <c r="G3298">
        <v>4</v>
      </c>
      <c r="H3298">
        <v>2</v>
      </c>
      <c r="I3298">
        <v>1974</v>
      </c>
      <c r="J3298">
        <v>0</v>
      </c>
      <c r="K3298">
        <v>1</v>
      </c>
      <c r="L3298">
        <v>0</v>
      </c>
      <c r="M3298">
        <v>2</v>
      </c>
      <c r="N3298" t="s">
        <v>41</v>
      </c>
      <c r="O3298" t="s">
        <v>30</v>
      </c>
      <c r="P3298">
        <v>13.4476096772558</v>
      </c>
      <c r="Q3298">
        <v>1.6443813669707801</v>
      </c>
      <c r="R3298">
        <v>2.0578982795801002</v>
      </c>
      <c r="S3298">
        <v>89</v>
      </c>
      <c r="T3298">
        <v>23</v>
      </c>
      <c r="U3298">
        <v>824.86605907087403</v>
      </c>
      <c r="V3298">
        <v>7.7041602465331195E-4</v>
      </c>
      <c r="W3298">
        <v>2473871.4830454001</v>
      </c>
      <c r="X3298" t="s">
        <v>43</v>
      </c>
      <c r="Y3298">
        <f>1-583-534-2771</f>
        <v>-3887</v>
      </c>
    </row>
    <row r="3299" spans="1:25" x14ac:dyDescent="0.35">
      <c r="A3299">
        <v>35.334700837936403</v>
      </c>
      <c r="B3299">
        <v>-121.90941894580099</v>
      </c>
      <c r="C3299" t="s">
        <v>29</v>
      </c>
      <c r="D3299">
        <v>47.909932674739302</v>
      </c>
      <c r="E3299">
        <v>0</v>
      </c>
      <c r="F3299">
        <v>2508</v>
      </c>
      <c r="G3299">
        <v>2</v>
      </c>
      <c r="H3299">
        <v>2</v>
      </c>
      <c r="I3299">
        <v>1985</v>
      </c>
      <c r="J3299">
        <v>1</v>
      </c>
      <c r="K3299">
        <v>0</v>
      </c>
      <c r="L3299">
        <v>0</v>
      </c>
      <c r="M3299">
        <v>12</v>
      </c>
      <c r="N3299" t="s">
        <v>35</v>
      </c>
      <c r="O3299" t="s">
        <v>32</v>
      </c>
      <c r="P3299">
        <v>5.8400120870645598</v>
      </c>
      <c r="Q3299">
        <v>1.1917033268532899</v>
      </c>
      <c r="R3299">
        <v>2.4473027293458101</v>
      </c>
      <c r="S3299">
        <v>91</v>
      </c>
      <c r="T3299">
        <v>38</v>
      </c>
      <c r="U3299">
        <v>781.47262495895802</v>
      </c>
      <c r="V3299">
        <v>4.78468899521531E-3</v>
      </c>
      <c r="W3299">
        <v>2083211.2230104301</v>
      </c>
      <c r="X3299" t="s">
        <v>28</v>
      </c>
      <c r="Y3299">
        <f>1-459-318-4188</f>
        <v>-4964</v>
      </c>
    </row>
    <row r="3300" spans="1:25" x14ac:dyDescent="0.35">
      <c r="A3300">
        <v>33.478361277562101</v>
      </c>
      <c r="B3300">
        <v>-117.14773556089</v>
      </c>
      <c r="C3300" t="s">
        <v>25</v>
      </c>
      <c r="D3300">
        <v>6.9611686332909297</v>
      </c>
      <c r="E3300">
        <v>9</v>
      </c>
      <c r="F3300">
        <v>3352</v>
      </c>
      <c r="G3300">
        <v>1</v>
      </c>
      <c r="H3300">
        <v>2</v>
      </c>
      <c r="I3300">
        <v>1950</v>
      </c>
      <c r="J3300">
        <v>0</v>
      </c>
      <c r="K3300">
        <v>0</v>
      </c>
      <c r="L3300">
        <v>1</v>
      </c>
      <c r="M3300">
        <v>4</v>
      </c>
      <c r="N3300" t="s">
        <v>37</v>
      </c>
      <c r="O3300" t="s">
        <v>32</v>
      </c>
      <c r="P3300">
        <v>3.3849266452401801</v>
      </c>
      <c r="Q3300">
        <v>0.82799977136442904</v>
      </c>
      <c r="R3300">
        <v>6.26901535606126</v>
      </c>
      <c r="S3300">
        <v>81</v>
      </c>
      <c r="T3300">
        <v>73</v>
      </c>
      <c r="U3300">
        <v>884.70135586589197</v>
      </c>
      <c r="V3300">
        <v>1.19331742243436E-3</v>
      </c>
      <c r="W3300">
        <v>3044628.3691698099</v>
      </c>
      <c r="X3300" t="s">
        <v>40</v>
      </c>
      <c r="Y3300">
        <f>1-572-189-4603</f>
        <v>-5363</v>
      </c>
    </row>
    <row r="3301" spans="1:25" x14ac:dyDescent="0.35">
      <c r="A3301">
        <v>37.371206696706402</v>
      </c>
      <c r="B3301">
        <v>-116.135714705925</v>
      </c>
      <c r="C3301" t="s">
        <v>29</v>
      </c>
      <c r="D3301">
        <v>40.626164903047602</v>
      </c>
      <c r="E3301">
        <v>9</v>
      </c>
      <c r="F3301">
        <v>4946</v>
      </c>
      <c r="G3301">
        <v>2</v>
      </c>
      <c r="H3301">
        <v>1</v>
      </c>
      <c r="I3301">
        <v>1989</v>
      </c>
      <c r="J3301">
        <v>0</v>
      </c>
      <c r="K3301">
        <v>1</v>
      </c>
      <c r="L3301">
        <v>0</v>
      </c>
      <c r="M3301">
        <v>2</v>
      </c>
      <c r="N3301" t="s">
        <v>37</v>
      </c>
      <c r="O3301" t="s">
        <v>27</v>
      </c>
      <c r="P3301">
        <v>6.0451101911265699</v>
      </c>
      <c r="Q3301">
        <v>1.13957906441381</v>
      </c>
      <c r="R3301">
        <v>7.8937301180717201</v>
      </c>
      <c r="S3301">
        <v>122</v>
      </c>
      <c r="T3301">
        <v>46</v>
      </c>
      <c r="U3301">
        <v>841.09940581451394</v>
      </c>
      <c r="V3301">
        <v>4.0436716538617002E-4</v>
      </c>
      <c r="W3301">
        <v>4228599.1404624097</v>
      </c>
      <c r="X3301" t="s">
        <v>33</v>
      </c>
      <c r="Y3301">
        <f>1-871-299-3633</f>
        <v>-4802</v>
      </c>
    </row>
    <row r="3302" spans="1:25" x14ac:dyDescent="0.35">
      <c r="A3302">
        <v>39.703998036281298</v>
      </c>
      <c r="B3302">
        <v>-119.251869191813</v>
      </c>
      <c r="C3302" t="s">
        <v>29</v>
      </c>
      <c r="D3302">
        <v>44.042361414863699</v>
      </c>
      <c r="E3302">
        <v>3</v>
      </c>
      <c r="F3302">
        <v>3430</v>
      </c>
      <c r="G3302">
        <v>2</v>
      </c>
      <c r="H3302">
        <v>3</v>
      </c>
      <c r="I3302">
        <v>1955</v>
      </c>
      <c r="J3302">
        <v>0</v>
      </c>
      <c r="K3302">
        <v>1</v>
      </c>
      <c r="L3302">
        <v>1</v>
      </c>
      <c r="M3302">
        <v>4</v>
      </c>
      <c r="N3302" t="s">
        <v>26</v>
      </c>
      <c r="O3302" t="s">
        <v>30</v>
      </c>
      <c r="P3302">
        <v>3.0579373844884401</v>
      </c>
      <c r="Q3302">
        <v>2.3734224159463602</v>
      </c>
      <c r="R3302">
        <v>0.101106141990274</v>
      </c>
      <c r="S3302">
        <v>112</v>
      </c>
      <c r="T3302">
        <v>51</v>
      </c>
      <c r="U3302">
        <v>749.52934682577302</v>
      </c>
      <c r="V3302">
        <v>1.1661807580174901E-3</v>
      </c>
      <c r="W3302">
        <v>2679589.8984459401</v>
      </c>
      <c r="X3302" t="s">
        <v>28</v>
      </c>
      <c r="Y3302">
        <f>1-776-123-5311</f>
        <v>-6209</v>
      </c>
    </row>
    <row r="3303" spans="1:25" x14ac:dyDescent="0.35">
      <c r="A3303">
        <v>33.689773864483698</v>
      </c>
      <c r="B3303">
        <v>-121.17301030964001</v>
      </c>
      <c r="C3303" t="s">
        <v>29</v>
      </c>
      <c r="D3303">
        <v>36.4485423475939</v>
      </c>
      <c r="E3303">
        <v>1</v>
      </c>
      <c r="F3303">
        <v>674</v>
      </c>
      <c r="G3303">
        <v>2</v>
      </c>
      <c r="H3303">
        <v>1</v>
      </c>
      <c r="I3303">
        <v>2002</v>
      </c>
      <c r="J3303">
        <v>1</v>
      </c>
      <c r="K3303">
        <v>0</v>
      </c>
      <c r="L3303">
        <v>0</v>
      </c>
      <c r="M3303">
        <v>6</v>
      </c>
      <c r="N3303" t="s">
        <v>35</v>
      </c>
      <c r="O3303" t="s">
        <v>27</v>
      </c>
      <c r="P3303">
        <v>14.647836086063601</v>
      </c>
      <c r="Q3303">
        <v>1.0923773668188399</v>
      </c>
      <c r="R3303">
        <v>6.6347578591020202</v>
      </c>
      <c r="S3303">
        <v>84</v>
      </c>
      <c r="T3303">
        <v>20</v>
      </c>
      <c r="U3303">
        <v>944.12611794695295</v>
      </c>
      <c r="V3303">
        <v>8.9020771513353102E-3</v>
      </c>
      <c r="W3303">
        <v>953459.146553381</v>
      </c>
      <c r="X3303" t="s">
        <v>42</v>
      </c>
      <c r="Y3303">
        <f>1-659-160-4534</f>
        <v>-5352</v>
      </c>
    </row>
    <row r="3304" spans="1:25" x14ac:dyDescent="0.35">
      <c r="A3304">
        <v>34.033928199293399</v>
      </c>
      <c r="B3304">
        <v>-122.300993828031</v>
      </c>
      <c r="C3304" t="s">
        <v>25</v>
      </c>
      <c r="D3304">
        <v>29.730377560550799</v>
      </c>
      <c r="E3304">
        <v>0</v>
      </c>
      <c r="F3304">
        <v>1267</v>
      </c>
      <c r="G3304">
        <v>4</v>
      </c>
      <c r="H3304">
        <v>3</v>
      </c>
      <c r="I3304">
        <v>2004</v>
      </c>
      <c r="J3304">
        <v>1</v>
      </c>
      <c r="K3304">
        <v>0</v>
      </c>
      <c r="L3304">
        <v>1</v>
      </c>
      <c r="M3304">
        <v>9</v>
      </c>
      <c r="N3304" t="s">
        <v>41</v>
      </c>
      <c r="O3304" t="s">
        <v>32</v>
      </c>
      <c r="P3304">
        <v>10.8992765320501</v>
      </c>
      <c r="Q3304">
        <v>0.73758447039857999</v>
      </c>
      <c r="R3304">
        <v>3.7542022002036202</v>
      </c>
      <c r="S3304">
        <v>188</v>
      </c>
      <c r="T3304">
        <v>68</v>
      </c>
      <c r="U3304">
        <v>357.12151133688002</v>
      </c>
      <c r="V3304">
        <v>7.1033938437253304E-3</v>
      </c>
      <c r="W3304">
        <v>822870.19813992304</v>
      </c>
      <c r="X3304" t="s">
        <v>42</v>
      </c>
      <c r="Y3304">
        <f>1-997-617-3587</f>
        <v>-5200</v>
      </c>
    </row>
    <row r="3305" spans="1:25" x14ac:dyDescent="0.35">
      <c r="A3305">
        <v>38.169326800453298</v>
      </c>
      <c r="B3305">
        <v>-120.980852488338</v>
      </c>
      <c r="C3305" t="s">
        <v>34</v>
      </c>
      <c r="D3305">
        <v>17.036220743555202</v>
      </c>
      <c r="E3305">
        <v>2</v>
      </c>
      <c r="F3305">
        <v>3048</v>
      </c>
      <c r="G3305">
        <v>4</v>
      </c>
      <c r="H3305">
        <v>2</v>
      </c>
      <c r="I3305">
        <v>2021</v>
      </c>
      <c r="J3305">
        <v>1</v>
      </c>
      <c r="K3305">
        <v>1</v>
      </c>
      <c r="L3305">
        <v>0</v>
      </c>
      <c r="M3305">
        <v>10</v>
      </c>
      <c r="N3305" t="s">
        <v>41</v>
      </c>
      <c r="O3305" t="s">
        <v>30</v>
      </c>
      <c r="P3305">
        <v>13.1893576967567</v>
      </c>
      <c r="Q3305">
        <v>0.60241191733854504</v>
      </c>
      <c r="R3305">
        <v>1.73946836916263</v>
      </c>
      <c r="S3305">
        <v>145</v>
      </c>
      <c r="T3305">
        <v>72</v>
      </c>
      <c r="U3305">
        <v>983.11670457934497</v>
      </c>
      <c r="V3305">
        <v>3.2808398950131198E-3</v>
      </c>
      <c r="W3305">
        <v>3478777.7190656001</v>
      </c>
      <c r="X3305" t="s">
        <v>28</v>
      </c>
      <c r="Y3305">
        <f>1-618-676-8356</f>
        <v>-9649</v>
      </c>
    </row>
    <row r="3306" spans="1:25" x14ac:dyDescent="0.35">
      <c r="A3306">
        <v>36.491998159635202</v>
      </c>
      <c r="B3306">
        <v>-116.394532043316</v>
      </c>
      <c r="C3306" t="s">
        <v>29</v>
      </c>
      <c r="D3306">
        <v>15.778890761470601</v>
      </c>
      <c r="E3306">
        <v>8</v>
      </c>
      <c r="F3306">
        <v>1275</v>
      </c>
      <c r="G3306">
        <v>5</v>
      </c>
      <c r="H3306">
        <v>3</v>
      </c>
      <c r="I3306">
        <v>1991</v>
      </c>
      <c r="J3306">
        <v>0</v>
      </c>
      <c r="K3306">
        <v>1</v>
      </c>
      <c r="L3306">
        <v>0</v>
      </c>
      <c r="M3306">
        <v>10</v>
      </c>
      <c r="N3306" t="s">
        <v>26</v>
      </c>
      <c r="O3306" t="s">
        <v>32</v>
      </c>
      <c r="P3306">
        <v>5.2101310764801996</v>
      </c>
      <c r="Q3306">
        <v>0.76601105542526005</v>
      </c>
      <c r="R3306">
        <v>3.5441408771299399</v>
      </c>
      <c r="S3306">
        <v>99</v>
      </c>
      <c r="T3306">
        <v>22</v>
      </c>
      <c r="U3306">
        <v>527.61072191361995</v>
      </c>
      <c r="V3306">
        <v>7.8431372549019607E-3</v>
      </c>
      <c r="W3306">
        <v>1012350.93887598</v>
      </c>
      <c r="X3306" t="s">
        <v>28</v>
      </c>
      <c r="Y3306">
        <f>1-874-891-8203</f>
        <v>-9967</v>
      </c>
    </row>
    <row r="3307" spans="1:25" x14ac:dyDescent="0.35">
      <c r="A3307">
        <v>34.531670452212602</v>
      </c>
      <c r="B3307">
        <v>-118.150388936146</v>
      </c>
      <c r="C3307" t="s">
        <v>34</v>
      </c>
      <c r="D3307">
        <v>20.6216363909055</v>
      </c>
      <c r="E3307">
        <v>4</v>
      </c>
      <c r="F3307">
        <v>2344</v>
      </c>
      <c r="G3307">
        <v>3</v>
      </c>
      <c r="H3307">
        <v>3</v>
      </c>
      <c r="I3307">
        <v>1988</v>
      </c>
      <c r="J3307">
        <v>1</v>
      </c>
      <c r="K3307">
        <v>0</v>
      </c>
      <c r="L3307">
        <v>0</v>
      </c>
      <c r="M3307">
        <v>4</v>
      </c>
      <c r="N3307" t="s">
        <v>41</v>
      </c>
      <c r="O3307" t="s">
        <v>32</v>
      </c>
      <c r="P3307">
        <v>13.3467971536317</v>
      </c>
      <c r="Q3307">
        <v>2.2806974684550001</v>
      </c>
      <c r="R3307">
        <v>5.53447681261762</v>
      </c>
      <c r="S3307">
        <v>36</v>
      </c>
      <c r="T3307">
        <v>76</v>
      </c>
      <c r="U3307">
        <v>937.75721516527199</v>
      </c>
      <c r="V3307">
        <v>1.7064846416382201E-3</v>
      </c>
      <c r="W3307">
        <v>2532768.62884806</v>
      </c>
      <c r="X3307" t="s">
        <v>31</v>
      </c>
      <c r="Y3307">
        <f>1-312-773-2076</f>
        <v>-3160</v>
      </c>
    </row>
    <row r="3308" spans="1:25" x14ac:dyDescent="0.35">
      <c r="A3308">
        <v>41.648555666159801</v>
      </c>
      <c r="B3308">
        <v>-120.06847919533</v>
      </c>
      <c r="C3308" t="s">
        <v>29</v>
      </c>
      <c r="D3308">
        <v>12.643227823720499</v>
      </c>
      <c r="E3308">
        <v>8</v>
      </c>
      <c r="F3308">
        <v>3946</v>
      </c>
      <c r="G3308">
        <v>3</v>
      </c>
      <c r="H3308">
        <v>3</v>
      </c>
      <c r="I3308">
        <v>1980</v>
      </c>
      <c r="J3308">
        <v>1</v>
      </c>
      <c r="K3308">
        <v>1</v>
      </c>
      <c r="L3308">
        <v>1</v>
      </c>
      <c r="M3308">
        <v>4</v>
      </c>
      <c r="N3308" t="s">
        <v>41</v>
      </c>
      <c r="O3308" t="s">
        <v>30</v>
      </c>
      <c r="P3308">
        <v>12.1872868577868</v>
      </c>
      <c r="Q3308">
        <v>1.1350002412617199</v>
      </c>
      <c r="R3308">
        <v>0.18742264408159501</v>
      </c>
      <c r="S3308">
        <v>65</v>
      </c>
      <c r="T3308">
        <v>24</v>
      </c>
      <c r="U3308">
        <v>891.49991780373</v>
      </c>
      <c r="V3308">
        <v>1.0136847440446E-3</v>
      </c>
      <c r="W3308">
        <v>4010993.8267436102</v>
      </c>
      <c r="X3308" t="s">
        <v>31</v>
      </c>
      <c r="Y3308">
        <f>1-275-741-4801</f>
        <v>-5816</v>
      </c>
    </row>
    <row r="3309" spans="1:25" x14ac:dyDescent="0.35">
      <c r="A3309">
        <v>33.311813294937402</v>
      </c>
      <c r="B3309">
        <v>-122.191757124275</v>
      </c>
      <c r="C3309" t="s">
        <v>29</v>
      </c>
      <c r="D3309">
        <v>49.123964172752501</v>
      </c>
      <c r="E3309">
        <v>7</v>
      </c>
      <c r="F3309">
        <v>3292</v>
      </c>
      <c r="G3309">
        <v>3</v>
      </c>
      <c r="H3309">
        <v>1</v>
      </c>
      <c r="I3309">
        <v>1990</v>
      </c>
      <c r="J3309">
        <v>1</v>
      </c>
      <c r="K3309">
        <v>0</v>
      </c>
      <c r="L3309">
        <v>0</v>
      </c>
      <c r="M3309">
        <v>5</v>
      </c>
      <c r="N3309" t="s">
        <v>26</v>
      </c>
      <c r="O3309" t="s">
        <v>32</v>
      </c>
      <c r="P3309">
        <v>6.4490746870625602</v>
      </c>
      <c r="Q3309">
        <v>0.948338734981511</v>
      </c>
      <c r="R3309">
        <v>1.35713397698046</v>
      </c>
      <c r="S3309">
        <v>7</v>
      </c>
      <c r="T3309">
        <v>34</v>
      </c>
      <c r="U3309">
        <v>331.73680067847903</v>
      </c>
      <c r="V3309">
        <v>1.51883353584447E-3</v>
      </c>
      <c r="W3309">
        <v>1284232.72454929</v>
      </c>
      <c r="X3309" t="s">
        <v>43</v>
      </c>
      <c r="Y3309">
        <f>1-680-797-4745</f>
        <v>-6221</v>
      </c>
    </row>
    <row r="3310" spans="1:25" x14ac:dyDescent="0.35">
      <c r="A3310">
        <v>38.628889187833202</v>
      </c>
      <c r="B3310">
        <v>-119.499844859498</v>
      </c>
      <c r="C3310" t="s">
        <v>29</v>
      </c>
      <c r="D3310">
        <v>23.181526403602302</v>
      </c>
      <c r="E3310">
        <v>1</v>
      </c>
      <c r="F3310">
        <v>3027</v>
      </c>
      <c r="G3310">
        <v>3</v>
      </c>
      <c r="H3310">
        <v>2</v>
      </c>
      <c r="I3310">
        <v>2020</v>
      </c>
      <c r="J3310">
        <v>0</v>
      </c>
      <c r="K3310">
        <v>1</v>
      </c>
      <c r="L3310">
        <v>1</v>
      </c>
      <c r="M3310">
        <v>13</v>
      </c>
      <c r="N3310" t="s">
        <v>26</v>
      </c>
      <c r="O3310" t="s">
        <v>27</v>
      </c>
      <c r="P3310">
        <v>12.0131933876246</v>
      </c>
      <c r="Q3310">
        <v>2.0672390600848698</v>
      </c>
      <c r="R3310">
        <v>2.6143983654752101</v>
      </c>
      <c r="S3310">
        <v>179</v>
      </c>
      <c r="T3310">
        <v>21</v>
      </c>
      <c r="U3310">
        <v>206.98732030631101</v>
      </c>
      <c r="V3310">
        <v>4.2946812025107303E-3</v>
      </c>
      <c r="W3310">
        <v>945127.93246103497</v>
      </c>
      <c r="X3310" t="s">
        <v>42</v>
      </c>
      <c r="Y3310">
        <f>1-695-350-6094</f>
        <v>-7138</v>
      </c>
    </row>
    <row r="3311" spans="1:25" x14ac:dyDescent="0.35">
      <c r="A3311">
        <v>35.830384708971103</v>
      </c>
      <c r="B3311">
        <v>-118.13467194592801</v>
      </c>
      <c r="C3311" t="s">
        <v>25</v>
      </c>
      <c r="D3311">
        <v>40.389067752024097</v>
      </c>
      <c r="E3311">
        <v>2</v>
      </c>
      <c r="F3311">
        <v>1343</v>
      </c>
      <c r="G3311">
        <v>3</v>
      </c>
      <c r="H3311">
        <v>1</v>
      </c>
      <c r="I3311">
        <v>1966</v>
      </c>
      <c r="J3311">
        <v>1</v>
      </c>
      <c r="K3311">
        <v>0</v>
      </c>
      <c r="L3311">
        <v>1</v>
      </c>
      <c r="M3311">
        <v>10</v>
      </c>
      <c r="N3311" t="s">
        <v>37</v>
      </c>
      <c r="O3311" t="s">
        <v>30</v>
      </c>
      <c r="P3311">
        <v>12.582622963218901</v>
      </c>
      <c r="Q3311">
        <v>0.93185618524610603</v>
      </c>
      <c r="R3311">
        <v>4.7548026688035003</v>
      </c>
      <c r="S3311">
        <v>36</v>
      </c>
      <c r="T3311">
        <v>77</v>
      </c>
      <c r="U3311">
        <v>386.45272435087702</v>
      </c>
      <c r="V3311">
        <v>7.4460163812360303E-3</v>
      </c>
      <c r="W3311">
        <v>825939.81362716702</v>
      </c>
      <c r="X3311" t="s">
        <v>38</v>
      </c>
      <c r="Y3311">
        <f>1-370-265-6835</f>
        <v>-7469</v>
      </c>
    </row>
    <row r="3312" spans="1:25" x14ac:dyDescent="0.35">
      <c r="A3312">
        <v>41.790656924905399</v>
      </c>
      <c r="B3312">
        <v>-119.479619803178</v>
      </c>
      <c r="C3312" t="s">
        <v>29</v>
      </c>
      <c r="D3312">
        <v>49.083102851855699</v>
      </c>
      <c r="E3312">
        <v>6</v>
      </c>
      <c r="F3312">
        <v>4856</v>
      </c>
      <c r="G3312">
        <v>1</v>
      </c>
      <c r="H3312">
        <v>2</v>
      </c>
      <c r="I3312">
        <v>2010</v>
      </c>
      <c r="J3312">
        <v>1</v>
      </c>
      <c r="K3312">
        <v>1</v>
      </c>
      <c r="L3312">
        <v>1</v>
      </c>
      <c r="M3312">
        <v>6</v>
      </c>
      <c r="N3312" t="s">
        <v>35</v>
      </c>
      <c r="O3312" t="s">
        <v>27</v>
      </c>
      <c r="P3312">
        <v>6.4461626721544096</v>
      </c>
      <c r="Q3312">
        <v>0.88220788907886205</v>
      </c>
      <c r="R3312">
        <v>7.6875937686424303</v>
      </c>
      <c r="S3312">
        <v>37</v>
      </c>
      <c r="T3312">
        <v>70</v>
      </c>
      <c r="U3312">
        <v>400.24061314555502</v>
      </c>
      <c r="V3312">
        <v>1.2355848434925799E-3</v>
      </c>
      <c r="W3312">
        <v>2289325.0927489498</v>
      </c>
      <c r="X3312" t="s">
        <v>36</v>
      </c>
      <c r="Y3312">
        <f>1-562-897-8162</f>
        <v>-9620</v>
      </c>
    </row>
    <row r="3313" spans="1:25" x14ac:dyDescent="0.35">
      <c r="A3313">
        <v>41.890031621934902</v>
      </c>
      <c r="B3313">
        <v>-117.206356679146</v>
      </c>
      <c r="C3313" t="s">
        <v>29</v>
      </c>
      <c r="D3313">
        <v>2.37910904423972</v>
      </c>
      <c r="E3313">
        <v>0</v>
      </c>
      <c r="F3313">
        <v>3791</v>
      </c>
      <c r="G3313">
        <v>2</v>
      </c>
      <c r="H3313">
        <v>3</v>
      </c>
      <c r="I3313">
        <v>1952</v>
      </c>
      <c r="J3313">
        <v>1</v>
      </c>
      <c r="K3313">
        <v>0</v>
      </c>
      <c r="L3313">
        <v>0</v>
      </c>
      <c r="M3313">
        <v>9</v>
      </c>
      <c r="N3313" t="s">
        <v>41</v>
      </c>
      <c r="O3313" t="s">
        <v>27</v>
      </c>
      <c r="P3313">
        <v>2.5947296846390402</v>
      </c>
      <c r="Q3313">
        <v>0.61292597491691403</v>
      </c>
      <c r="R3313">
        <v>1.59504886103559</v>
      </c>
      <c r="S3313">
        <v>67</v>
      </c>
      <c r="T3313">
        <v>75</v>
      </c>
      <c r="U3313">
        <v>326.75380845829301</v>
      </c>
      <c r="V3313">
        <v>2.3740437879187499E-3</v>
      </c>
      <c r="W3313">
        <v>1390699.2902683199</v>
      </c>
      <c r="X3313" t="s">
        <v>31</v>
      </c>
      <c r="Y3313">
        <f>1-259-336-6721</f>
        <v>-7315</v>
      </c>
    </row>
    <row r="3314" spans="1:25" x14ac:dyDescent="0.35">
      <c r="A3314">
        <v>33.045672973494</v>
      </c>
      <c r="B3314">
        <v>-114.480979418998</v>
      </c>
      <c r="C3314" t="s">
        <v>29</v>
      </c>
      <c r="D3314">
        <v>11.4353150098508</v>
      </c>
      <c r="E3314">
        <v>6</v>
      </c>
      <c r="F3314">
        <v>3781</v>
      </c>
      <c r="G3314">
        <v>2</v>
      </c>
      <c r="H3314">
        <v>3</v>
      </c>
      <c r="I3314">
        <v>1960</v>
      </c>
      <c r="J3314">
        <v>0</v>
      </c>
      <c r="K3314">
        <v>0</v>
      </c>
      <c r="L3314">
        <v>0</v>
      </c>
      <c r="M3314">
        <v>13</v>
      </c>
      <c r="N3314" t="s">
        <v>41</v>
      </c>
      <c r="O3314" t="s">
        <v>30</v>
      </c>
      <c r="P3314">
        <v>4.2668733494234301</v>
      </c>
      <c r="Q3314">
        <v>0.68478755236529898</v>
      </c>
      <c r="R3314">
        <v>0.54134247380353795</v>
      </c>
      <c r="S3314">
        <v>156</v>
      </c>
      <c r="T3314">
        <v>39</v>
      </c>
      <c r="U3314">
        <v>490.845349678655</v>
      </c>
      <c r="V3314">
        <v>3.4382438508331098E-3</v>
      </c>
      <c r="W3314">
        <v>2069857.62700748</v>
      </c>
      <c r="X3314" t="s">
        <v>28</v>
      </c>
      <c r="Y3314">
        <f>1-970-223-1756</f>
        <v>-2948</v>
      </c>
    </row>
    <row r="3315" spans="1:25" x14ac:dyDescent="0.35">
      <c r="A3315">
        <v>36.147282051235301</v>
      </c>
      <c r="B3315">
        <v>-116.28794732835399</v>
      </c>
      <c r="C3315" t="s">
        <v>34</v>
      </c>
      <c r="D3315">
        <v>40.249035809375698</v>
      </c>
      <c r="E3315">
        <v>3</v>
      </c>
      <c r="F3315">
        <v>2623</v>
      </c>
      <c r="G3315">
        <v>4</v>
      </c>
      <c r="H3315">
        <v>1</v>
      </c>
      <c r="I3315">
        <v>1999</v>
      </c>
      <c r="J3315">
        <v>1</v>
      </c>
      <c r="K3315">
        <v>0</v>
      </c>
      <c r="L3315">
        <v>0</v>
      </c>
      <c r="M3315">
        <v>14</v>
      </c>
      <c r="N3315" t="s">
        <v>37</v>
      </c>
      <c r="O3315" t="s">
        <v>30</v>
      </c>
      <c r="P3315">
        <v>6.0164603356683504</v>
      </c>
      <c r="Q3315">
        <v>1.8172104963151601</v>
      </c>
      <c r="R3315">
        <v>2.4394742859715999</v>
      </c>
      <c r="S3315">
        <v>196</v>
      </c>
      <c r="T3315">
        <v>32</v>
      </c>
      <c r="U3315">
        <v>558.39079082194996</v>
      </c>
      <c r="V3315">
        <v>5.33739992375143E-3</v>
      </c>
      <c r="W3315">
        <v>1638009.10712693</v>
      </c>
      <c r="X3315" t="s">
        <v>33</v>
      </c>
      <c r="Y3315">
        <f>1-809-779-7766</f>
        <v>-9353</v>
      </c>
    </row>
    <row r="3316" spans="1:25" x14ac:dyDescent="0.35">
      <c r="A3316">
        <v>35.3018847531985</v>
      </c>
      <c r="B3316">
        <v>-115.80157397505801</v>
      </c>
      <c r="C3316" t="s">
        <v>29</v>
      </c>
      <c r="D3316">
        <v>10.2326321772676</v>
      </c>
      <c r="E3316">
        <v>3</v>
      </c>
      <c r="F3316">
        <v>2675</v>
      </c>
      <c r="G3316">
        <v>3</v>
      </c>
      <c r="H3316">
        <v>3</v>
      </c>
      <c r="I3316">
        <v>1979</v>
      </c>
      <c r="J3316">
        <v>0</v>
      </c>
      <c r="K3316">
        <v>1</v>
      </c>
      <c r="L3316">
        <v>0</v>
      </c>
      <c r="M3316">
        <v>12</v>
      </c>
      <c r="N3316" t="s">
        <v>37</v>
      </c>
      <c r="O3316" t="s">
        <v>27</v>
      </c>
      <c r="P3316">
        <v>6.1465623600108001</v>
      </c>
      <c r="Q3316">
        <v>1.47305552294577</v>
      </c>
      <c r="R3316">
        <v>5.8239473330523799</v>
      </c>
      <c r="S3316">
        <v>164</v>
      </c>
      <c r="T3316">
        <v>26</v>
      </c>
      <c r="U3316">
        <v>977.44842347836402</v>
      </c>
      <c r="V3316">
        <v>4.4859813084112098E-3</v>
      </c>
      <c r="W3316">
        <v>2814360.7457169499</v>
      </c>
      <c r="X3316" t="s">
        <v>43</v>
      </c>
      <c r="Y3316">
        <f>1-251-930-2577</f>
        <v>-3757</v>
      </c>
    </row>
    <row r="3317" spans="1:25" x14ac:dyDescent="0.35">
      <c r="A3317">
        <v>35.330840911715697</v>
      </c>
      <c r="B3317">
        <v>-123.598645076995</v>
      </c>
      <c r="C3317" t="s">
        <v>34</v>
      </c>
      <c r="D3317">
        <v>7.1606075503270104</v>
      </c>
      <c r="E3317">
        <v>6</v>
      </c>
      <c r="F3317">
        <v>2947</v>
      </c>
      <c r="G3317">
        <v>4</v>
      </c>
      <c r="H3317">
        <v>1</v>
      </c>
      <c r="I3317">
        <v>1973</v>
      </c>
      <c r="J3317">
        <v>1</v>
      </c>
      <c r="K3317">
        <v>0</v>
      </c>
      <c r="L3317">
        <v>0</v>
      </c>
      <c r="M3317">
        <v>7</v>
      </c>
      <c r="N3317" t="s">
        <v>41</v>
      </c>
      <c r="O3317" t="s">
        <v>30</v>
      </c>
      <c r="P3317">
        <v>9.0894651760833796</v>
      </c>
      <c r="Q3317">
        <v>1.85905066419636</v>
      </c>
      <c r="R3317">
        <v>8.1363127919536105</v>
      </c>
      <c r="S3317">
        <v>148</v>
      </c>
      <c r="T3317">
        <v>27</v>
      </c>
      <c r="U3317">
        <v>230.871832611381</v>
      </c>
      <c r="V3317">
        <v>2.37529691211401E-3</v>
      </c>
      <c r="W3317">
        <v>867046.83846830297</v>
      </c>
      <c r="X3317" t="s">
        <v>28</v>
      </c>
      <c r="Y3317">
        <f>1-205-236-2206</f>
        <v>-2646</v>
      </c>
    </row>
    <row r="3318" spans="1:25" x14ac:dyDescent="0.35">
      <c r="A3318">
        <v>41.033281487068699</v>
      </c>
      <c r="B3318">
        <v>-117.274619014777</v>
      </c>
      <c r="C3318" t="s">
        <v>25</v>
      </c>
      <c r="D3318">
        <v>43.3319685628842</v>
      </c>
      <c r="E3318">
        <v>7</v>
      </c>
      <c r="F3318">
        <v>2220</v>
      </c>
      <c r="G3318">
        <v>4</v>
      </c>
      <c r="H3318">
        <v>3</v>
      </c>
      <c r="I3318">
        <v>1993</v>
      </c>
      <c r="J3318">
        <v>0</v>
      </c>
      <c r="K3318">
        <v>1</v>
      </c>
      <c r="L3318">
        <v>1</v>
      </c>
      <c r="M3318">
        <v>11</v>
      </c>
      <c r="N3318" t="s">
        <v>41</v>
      </c>
      <c r="O3318" t="s">
        <v>27</v>
      </c>
      <c r="P3318">
        <v>10.127193904351101</v>
      </c>
      <c r="Q3318">
        <v>1.3679241691698401</v>
      </c>
      <c r="R3318">
        <v>4.22723786072509</v>
      </c>
      <c r="S3318">
        <v>79</v>
      </c>
      <c r="T3318">
        <v>55</v>
      </c>
      <c r="U3318">
        <v>943.20903851073001</v>
      </c>
      <c r="V3318">
        <v>4.9549549549549503E-3</v>
      </c>
      <c r="W3318">
        <v>2567786.5705635999</v>
      </c>
      <c r="X3318" t="s">
        <v>38</v>
      </c>
      <c r="Y3318">
        <f>1-420-830-1791</f>
        <v>-3040</v>
      </c>
    </row>
    <row r="3319" spans="1:25" x14ac:dyDescent="0.35">
      <c r="A3319">
        <v>36.207279557337102</v>
      </c>
      <c r="B3319">
        <v>-122.744882132019</v>
      </c>
      <c r="C3319" t="s">
        <v>34</v>
      </c>
      <c r="D3319">
        <v>44.662308177074202</v>
      </c>
      <c r="E3319">
        <v>3</v>
      </c>
      <c r="F3319">
        <v>4206</v>
      </c>
      <c r="G3319">
        <v>2</v>
      </c>
      <c r="H3319">
        <v>2</v>
      </c>
      <c r="I3319">
        <v>1983</v>
      </c>
      <c r="J3319">
        <v>1</v>
      </c>
      <c r="K3319">
        <v>0</v>
      </c>
      <c r="L3319">
        <v>1</v>
      </c>
      <c r="M3319">
        <v>5</v>
      </c>
      <c r="N3319" t="s">
        <v>35</v>
      </c>
      <c r="O3319" t="s">
        <v>27</v>
      </c>
      <c r="P3319">
        <v>3.0391677664566701</v>
      </c>
      <c r="Q3319">
        <v>1.7048004554967799</v>
      </c>
      <c r="R3319">
        <v>0.90492198380368905</v>
      </c>
      <c r="S3319">
        <v>55</v>
      </c>
      <c r="T3319">
        <v>53</v>
      </c>
      <c r="U3319">
        <v>212.017865961627</v>
      </c>
      <c r="V3319">
        <v>1.1887779362815E-3</v>
      </c>
      <c r="W3319">
        <v>1023546.9540106599</v>
      </c>
      <c r="X3319" t="s">
        <v>42</v>
      </c>
      <c r="Y3319">
        <f>1-331-363-3679</f>
        <v>-4372</v>
      </c>
    </row>
    <row r="3320" spans="1:25" x14ac:dyDescent="0.35">
      <c r="A3320">
        <v>33.626931746641098</v>
      </c>
      <c r="B3320">
        <v>-119.64902709103301</v>
      </c>
      <c r="C3320" t="s">
        <v>29</v>
      </c>
      <c r="D3320">
        <v>28.839755471241901</v>
      </c>
      <c r="E3320">
        <v>0</v>
      </c>
      <c r="F3320">
        <v>1973</v>
      </c>
      <c r="G3320">
        <v>4</v>
      </c>
      <c r="H3320">
        <v>2</v>
      </c>
      <c r="I3320">
        <v>2017</v>
      </c>
      <c r="J3320">
        <v>0</v>
      </c>
      <c r="K3320">
        <v>1</v>
      </c>
      <c r="L3320">
        <v>0</v>
      </c>
      <c r="M3320">
        <v>10</v>
      </c>
      <c r="N3320" t="s">
        <v>35</v>
      </c>
      <c r="O3320" t="s">
        <v>32</v>
      </c>
      <c r="P3320">
        <v>6.7296970491897596</v>
      </c>
      <c r="Q3320">
        <v>0.87083680270548303</v>
      </c>
      <c r="R3320">
        <v>4.4682402913190398</v>
      </c>
      <c r="S3320">
        <v>145</v>
      </c>
      <c r="T3320">
        <v>71</v>
      </c>
      <c r="U3320">
        <v>276.614482863479</v>
      </c>
      <c r="V3320">
        <v>5.0684237202230104E-3</v>
      </c>
      <c r="W3320">
        <v>898563.55814249802</v>
      </c>
      <c r="X3320" t="s">
        <v>38</v>
      </c>
      <c r="Y3320">
        <f>1-648-796-8999</f>
        <v>-10442</v>
      </c>
    </row>
    <row r="3321" spans="1:25" x14ac:dyDescent="0.35">
      <c r="A3321">
        <v>38.937681297189201</v>
      </c>
      <c r="B3321">
        <v>-117.56832988750401</v>
      </c>
      <c r="C3321" t="s">
        <v>25</v>
      </c>
      <c r="D3321">
        <v>20.116463130277999</v>
      </c>
      <c r="E3321">
        <v>0</v>
      </c>
      <c r="F3321">
        <v>1531</v>
      </c>
      <c r="G3321">
        <v>2</v>
      </c>
      <c r="H3321">
        <v>3</v>
      </c>
      <c r="I3321">
        <v>1973</v>
      </c>
      <c r="J3321">
        <v>1</v>
      </c>
      <c r="K3321">
        <v>1</v>
      </c>
      <c r="L3321">
        <v>0</v>
      </c>
      <c r="M3321">
        <v>10</v>
      </c>
      <c r="N3321" t="s">
        <v>26</v>
      </c>
      <c r="O3321" t="s">
        <v>30</v>
      </c>
      <c r="P3321">
        <v>11.4369425117736</v>
      </c>
      <c r="Q3321">
        <v>0.967866627008101</v>
      </c>
      <c r="R3321">
        <v>2.8380508252898702</v>
      </c>
      <c r="S3321">
        <v>91</v>
      </c>
      <c r="T3321">
        <v>21</v>
      </c>
      <c r="U3321">
        <v>367.837903772456</v>
      </c>
      <c r="V3321">
        <v>6.5316786414108402E-3</v>
      </c>
      <c r="W3321">
        <v>883837.61052746302</v>
      </c>
      <c r="X3321" t="s">
        <v>31</v>
      </c>
      <c r="Y3321">
        <f>1-939-705-9076</f>
        <v>-10719</v>
      </c>
    </row>
    <row r="3322" spans="1:25" x14ac:dyDescent="0.35">
      <c r="A3322">
        <v>33.359693823855501</v>
      </c>
      <c r="B3322">
        <v>-121.913616602484</v>
      </c>
      <c r="C3322" t="s">
        <v>29</v>
      </c>
      <c r="D3322">
        <v>35.061371175241</v>
      </c>
      <c r="E3322">
        <v>8</v>
      </c>
      <c r="F3322">
        <v>4792</v>
      </c>
      <c r="G3322">
        <v>3</v>
      </c>
      <c r="H3322">
        <v>3</v>
      </c>
      <c r="I3322">
        <v>1960</v>
      </c>
      <c r="J3322">
        <v>1</v>
      </c>
      <c r="K3322">
        <v>0</v>
      </c>
      <c r="L3322">
        <v>1</v>
      </c>
      <c r="M3322">
        <v>11</v>
      </c>
      <c r="N3322" t="s">
        <v>35</v>
      </c>
      <c r="O3322" t="s">
        <v>27</v>
      </c>
      <c r="P3322">
        <v>6.4788193644872303</v>
      </c>
      <c r="Q3322">
        <v>1.8876880468382</v>
      </c>
      <c r="R3322">
        <v>1.79648132527619</v>
      </c>
      <c r="S3322">
        <v>151</v>
      </c>
      <c r="T3322">
        <v>58</v>
      </c>
      <c r="U3322">
        <v>754.55734351415799</v>
      </c>
      <c r="V3322">
        <v>2.2954924874791301E-3</v>
      </c>
      <c r="W3322">
        <v>3794578.7506546201</v>
      </c>
      <c r="X3322" t="s">
        <v>43</v>
      </c>
      <c r="Y3322">
        <f>1-481-181-3959</f>
        <v>-4620</v>
      </c>
    </row>
    <row r="3323" spans="1:25" x14ac:dyDescent="0.35">
      <c r="A3323">
        <v>38.865075321319303</v>
      </c>
      <c r="B3323">
        <v>-124.36887073588601</v>
      </c>
      <c r="C3323" t="s">
        <v>29</v>
      </c>
      <c r="D3323">
        <v>32.704516242470497</v>
      </c>
      <c r="E3323">
        <v>2</v>
      </c>
      <c r="F3323">
        <v>2691</v>
      </c>
      <c r="G3323">
        <v>3</v>
      </c>
      <c r="H3323">
        <v>3</v>
      </c>
      <c r="I3323">
        <v>1975</v>
      </c>
      <c r="J3323">
        <v>0</v>
      </c>
      <c r="K3323">
        <v>0</v>
      </c>
      <c r="L3323">
        <v>0</v>
      </c>
      <c r="M3323">
        <v>7</v>
      </c>
      <c r="N3323" t="s">
        <v>26</v>
      </c>
      <c r="O3323" t="s">
        <v>30</v>
      </c>
      <c r="P3323">
        <v>8.4564885925439892</v>
      </c>
      <c r="Q3323">
        <v>0.89866517824808101</v>
      </c>
      <c r="R3323">
        <v>5.3684279909576196</v>
      </c>
      <c r="S3323">
        <v>14</v>
      </c>
      <c r="T3323">
        <v>61</v>
      </c>
      <c r="U3323">
        <v>397.361965912632</v>
      </c>
      <c r="V3323">
        <v>2.6012634708286798E-3</v>
      </c>
      <c r="W3323">
        <v>1341150.83452789</v>
      </c>
      <c r="X3323" t="s">
        <v>44</v>
      </c>
      <c r="Y3323">
        <f>1-755-393-8844</f>
        <v>-9991</v>
      </c>
    </row>
    <row r="3324" spans="1:25" x14ac:dyDescent="0.35">
      <c r="A3324">
        <v>34.810344057491498</v>
      </c>
      <c r="B3324">
        <v>-121.730773696562</v>
      </c>
      <c r="C3324" t="s">
        <v>29</v>
      </c>
      <c r="D3324">
        <v>49.386375277121203</v>
      </c>
      <c r="E3324">
        <v>1</v>
      </c>
      <c r="F3324">
        <v>931</v>
      </c>
      <c r="G3324">
        <v>4</v>
      </c>
      <c r="H3324">
        <v>3</v>
      </c>
      <c r="I3324">
        <v>1959</v>
      </c>
      <c r="J3324">
        <v>1</v>
      </c>
      <c r="K3324">
        <v>0</v>
      </c>
      <c r="L3324">
        <v>1</v>
      </c>
      <c r="M3324">
        <v>6</v>
      </c>
      <c r="N3324" t="s">
        <v>35</v>
      </c>
      <c r="O3324" t="s">
        <v>32</v>
      </c>
      <c r="P3324">
        <v>14.1373139436031</v>
      </c>
      <c r="Q3324">
        <v>2.1654825860709699</v>
      </c>
      <c r="R3324">
        <v>1.38339842927765</v>
      </c>
      <c r="S3324">
        <v>97</v>
      </c>
      <c r="T3324">
        <v>24</v>
      </c>
      <c r="U3324">
        <v>542.38670149382597</v>
      </c>
      <c r="V3324">
        <v>6.44468313641246E-3</v>
      </c>
      <c r="W3324">
        <v>930325.55641642702</v>
      </c>
      <c r="X3324" t="s">
        <v>42</v>
      </c>
      <c r="Y3324">
        <f>1-901-599-5363</f>
        <v>-6862</v>
      </c>
    </row>
    <row r="3325" spans="1:25" x14ac:dyDescent="0.35">
      <c r="A3325">
        <v>40.9317160457623</v>
      </c>
      <c r="B3325">
        <v>-119.450796858899</v>
      </c>
      <c r="C3325" t="s">
        <v>29</v>
      </c>
      <c r="D3325">
        <v>5.00472865171953</v>
      </c>
      <c r="E3325">
        <v>6</v>
      </c>
      <c r="F3325">
        <v>2047</v>
      </c>
      <c r="G3325">
        <v>5</v>
      </c>
      <c r="H3325">
        <v>3</v>
      </c>
      <c r="I3325">
        <v>1991</v>
      </c>
      <c r="J3325">
        <v>0</v>
      </c>
      <c r="K3325">
        <v>1</v>
      </c>
      <c r="L3325">
        <v>1</v>
      </c>
      <c r="M3325">
        <v>9</v>
      </c>
      <c r="N3325" t="s">
        <v>41</v>
      </c>
      <c r="O3325" t="s">
        <v>30</v>
      </c>
      <c r="P3325">
        <v>13.130829971747</v>
      </c>
      <c r="Q3325">
        <v>0.97633149894612903</v>
      </c>
      <c r="R3325">
        <v>7.6050761350314096</v>
      </c>
      <c r="S3325">
        <v>50</v>
      </c>
      <c r="T3325">
        <v>39</v>
      </c>
      <c r="U3325">
        <v>233.73740207500401</v>
      </c>
      <c r="V3325">
        <v>4.3966780654616502E-3</v>
      </c>
      <c r="W3325">
        <v>1064965.4371718899</v>
      </c>
      <c r="X3325" t="s">
        <v>36</v>
      </c>
      <c r="Y3325">
        <f>1-649-396-3300</f>
        <v>-4344</v>
      </c>
    </row>
    <row r="3326" spans="1:25" x14ac:dyDescent="0.35">
      <c r="A3326">
        <v>40.858697739487702</v>
      </c>
      <c r="B3326">
        <v>-117.92120515857501</v>
      </c>
      <c r="C3326" t="s">
        <v>25</v>
      </c>
      <c r="D3326">
        <v>26.449080775073</v>
      </c>
      <c r="E3326">
        <v>1</v>
      </c>
      <c r="F3326">
        <v>2586</v>
      </c>
      <c r="G3326">
        <v>1</v>
      </c>
      <c r="H3326">
        <v>1</v>
      </c>
      <c r="I3326">
        <v>1968</v>
      </c>
      <c r="J3326">
        <v>1</v>
      </c>
      <c r="K3326">
        <v>0</v>
      </c>
      <c r="L3326">
        <v>1</v>
      </c>
      <c r="M3326">
        <v>8</v>
      </c>
      <c r="N3326" t="s">
        <v>35</v>
      </c>
      <c r="O3326" t="s">
        <v>30</v>
      </c>
      <c r="P3326">
        <v>6.56002184617184</v>
      </c>
      <c r="Q3326">
        <v>2.0221155813073599</v>
      </c>
      <c r="R3326">
        <v>2.4982783803245199</v>
      </c>
      <c r="S3326">
        <v>36</v>
      </c>
      <c r="T3326">
        <v>56</v>
      </c>
      <c r="U3326">
        <v>547.39350038235398</v>
      </c>
      <c r="V3326">
        <v>3.09358081979891E-3</v>
      </c>
      <c r="W3326">
        <v>1553907.6810037901</v>
      </c>
      <c r="X3326" t="s">
        <v>31</v>
      </c>
      <c r="Y3326">
        <f>1-768-554-1762</f>
        <v>-3083</v>
      </c>
    </row>
    <row r="3327" spans="1:25" x14ac:dyDescent="0.35">
      <c r="A3327">
        <v>39.6077627944317</v>
      </c>
      <c r="B3327">
        <v>-116.803325044416</v>
      </c>
      <c r="C3327" t="s">
        <v>34</v>
      </c>
      <c r="D3327">
        <v>42.955916900920997</v>
      </c>
      <c r="E3327">
        <v>8</v>
      </c>
      <c r="F3327">
        <v>4023</v>
      </c>
      <c r="G3327">
        <v>3</v>
      </c>
      <c r="H3327">
        <v>2</v>
      </c>
      <c r="I3327">
        <v>1989</v>
      </c>
      <c r="J3327">
        <v>0</v>
      </c>
      <c r="K3327">
        <v>0</v>
      </c>
      <c r="L3327">
        <v>0</v>
      </c>
      <c r="M3327">
        <v>14</v>
      </c>
      <c r="N3327" t="s">
        <v>37</v>
      </c>
      <c r="O3327" t="s">
        <v>27</v>
      </c>
      <c r="P3327">
        <v>9.4597998922113007</v>
      </c>
      <c r="Q3327">
        <v>1.22609210779307</v>
      </c>
      <c r="R3327">
        <v>3.7974515632002901</v>
      </c>
      <c r="S3327">
        <v>35</v>
      </c>
      <c r="T3327">
        <v>26</v>
      </c>
      <c r="U3327">
        <v>286.79462090318901</v>
      </c>
      <c r="V3327">
        <v>3.47999005717126E-3</v>
      </c>
      <c r="W3327">
        <v>1346241.87843812</v>
      </c>
      <c r="X3327" t="s">
        <v>42</v>
      </c>
      <c r="Y3327">
        <f>1-630-720-8154</f>
        <v>-9503</v>
      </c>
    </row>
    <row r="3328" spans="1:25" x14ac:dyDescent="0.35">
      <c r="A3328">
        <v>38.760404370252303</v>
      </c>
      <c r="B3328">
        <v>-116.32917765135799</v>
      </c>
      <c r="C3328" t="s">
        <v>25</v>
      </c>
      <c r="D3328">
        <v>6.0779734077972201</v>
      </c>
      <c r="E3328">
        <v>1</v>
      </c>
      <c r="F3328">
        <v>1637</v>
      </c>
      <c r="G3328">
        <v>4</v>
      </c>
      <c r="H3328">
        <v>1</v>
      </c>
      <c r="I3328">
        <v>1968</v>
      </c>
      <c r="J3328">
        <v>0</v>
      </c>
      <c r="K3328">
        <v>0</v>
      </c>
      <c r="L3328">
        <v>1</v>
      </c>
      <c r="M3328">
        <v>3</v>
      </c>
      <c r="N3328" t="s">
        <v>41</v>
      </c>
      <c r="O3328" t="s">
        <v>30</v>
      </c>
      <c r="P3328">
        <v>10.089546836172399</v>
      </c>
      <c r="Q3328">
        <v>2.3976113675612001</v>
      </c>
      <c r="R3328">
        <v>2.2628811712074501</v>
      </c>
      <c r="S3328">
        <v>140</v>
      </c>
      <c r="T3328">
        <v>65</v>
      </c>
      <c r="U3328">
        <v>890.46112463644397</v>
      </c>
      <c r="V3328">
        <v>1.83262064752596E-3</v>
      </c>
      <c r="W3328">
        <v>1741939.5517011001</v>
      </c>
      <c r="X3328" t="s">
        <v>33</v>
      </c>
      <c r="Y3328">
        <f>1-483-475-1516</f>
        <v>-2473</v>
      </c>
    </row>
    <row r="3329" spans="1:25" x14ac:dyDescent="0.35">
      <c r="A3329">
        <v>41.981569809334999</v>
      </c>
      <c r="B3329">
        <v>-116.78052865820899</v>
      </c>
      <c r="C3329" t="s">
        <v>34</v>
      </c>
      <c r="D3329">
        <v>12.100173224981299</v>
      </c>
      <c r="E3329">
        <v>5</v>
      </c>
      <c r="F3329">
        <v>1772</v>
      </c>
      <c r="G3329">
        <v>5</v>
      </c>
      <c r="H3329">
        <v>3</v>
      </c>
      <c r="I3329">
        <v>2008</v>
      </c>
      <c r="J3329">
        <v>1</v>
      </c>
      <c r="K3329">
        <v>1</v>
      </c>
      <c r="L3329">
        <v>1</v>
      </c>
      <c r="M3329">
        <v>10</v>
      </c>
      <c r="N3329" t="s">
        <v>35</v>
      </c>
      <c r="O3329" t="s">
        <v>32</v>
      </c>
      <c r="P3329">
        <v>5.4452168579206504</v>
      </c>
      <c r="Q3329">
        <v>1.28319640275223</v>
      </c>
      <c r="R3329">
        <v>0.57306403083452895</v>
      </c>
      <c r="S3329">
        <v>71</v>
      </c>
      <c r="T3329">
        <v>75</v>
      </c>
      <c r="U3329">
        <v>216.009579830218</v>
      </c>
      <c r="V3329">
        <v>5.6433408577878097E-3</v>
      </c>
      <c r="W3329">
        <v>825758.08046741097</v>
      </c>
      <c r="X3329" t="s">
        <v>31</v>
      </c>
      <c r="Y3329">
        <f>1-355-838-7832</f>
        <v>-9024</v>
      </c>
    </row>
    <row r="3330" spans="1:25" x14ac:dyDescent="0.35">
      <c r="A3330">
        <v>40.996484610103899</v>
      </c>
      <c r="B3330">
        <v>-117.059083080953</v>
      </c>
      <c r="C3330" t="s">
        <v>34</v>
      </c>
      <c r="D3330">
        <v>4.1947326326244196</v>
      </c>
      <c r="E3330">
        <v>0</v>
      </c>
      <c r="F3330">
        <v>3842</v>
      </c>
      <c r="G3330">
        <v>4</v>
      </c>
      <c r="H3330">
        <v>1</v>
      </c>
      <c r="I3330">
        <v>2019</v>
      </c>
      <c r="J3330">
        <v>1</v>
      </c>
      <c r="K3330">
        <v>1</v>
      </c>
      <c r="L3330">
        <v>0</v>
      </c>
      <c r="M3330">
        <v>9</v>
      </c>
      <c r="N3330" t="s">
        <v>37</v>
      </c>
      <c r="O3330" t="s">
        <v>27</v>
      </c>
      <c r="P3330">
        <v>4.9338501241545902</v>
      </c>
      <c r="Q3330">
        <v>0.67151349489489698</v>
      </c>
      <c r="R3330">
        <v>5.1741884780781797</v>
      </c>
      <c r="S3330">
        <v>38</v>
      </c>
      <c r="T3330">
        <v>36</v>
      </c>
      <c r="U3330">
        <v>735.56367302443505</v>
      </c>
      <c r="V3330">
        <v>2.34252993232691E-3</v>
      </c>
      <c r="W3330">
        <v>3222837.7149789301</v>
      </c>
      <c r="X3330" t="s">
        <v>43</v>
      </c>
      <c r="Y3330">
        <f>1-503-631-7177</f>
        <v>-8310</v>
      </c>
    </row>
    <row r="3331" spans="1:25" x14ac:dyDescent="0.35">
      <c r="A3331">
        <v>35.045474696061198</v>
      </c>
      <c r="B3331">
        <v>-115.26012999797599</v>
      </c>
      <c r="C3331" t="s">
        <v>25</v>
      </c>
      <c r="D3331">
        <v>42.399836960109504</v>
      </c>
      <c r="E3331">
        <v>9</v>
      </c>
      <c r="F3331">
        <v>3288</v>
      </c>
      <c r="G3331">
        <v>3</v>
      </c>
      <c r="H3331">
        <v>2</v>
      </c>
      <c r="I3331">
        <v>1960</v>
      </c>
      <c r="J3331">
        <v>0</v>
      </c>
      <c r="K3331">
        <v>0</v>
      </c>
      <c r="L3331">
        <v>1</v>
      </c>
      <c r="M3331">
        <v>3</v>
      </c>
      <c r="N3331" t="s">
        <v>37</v>
      </c>
      <c r="O3331" t="s">
        <v>30</v>
      </c>
      <c r="P3331">
        <v>5.7992335432907396</v>
      </c>
      <c r="Q3331">
        <v>1.76081294538457</v>
      </c>
      <c r="R3331">
        <v>3.514264599813</v>
      </c>
      <c r="S3331">
        <v>108</v>
      </c>
      <c r="T3331">
        <v>65</v>
      </c>
      <c r="U3331">
        <v>739.555859443705</v>
      </c>
      <c r="V3331">
        <v>9.1240875912408702E-4</v>
      </c>
      <c r="W3331">
        <v>2703885.1045593298</v>
      </c>
      <c r="X3331" t="s">
        <v>42</v>
      </c>
      <c r="Y3331">
        <f>1-978-773-5265</f>
        <v>-7015</v>
      </c>
    </row>
    <row r="3332" spans="1:25" x14ac:dyDescent="0.35">
      <c r="A3332">
        <v>32.578775131330801</v>
      </c>
      <c r="B3332">
        <v>-118.565474800042</v>
      </c>
      <c r="C3332" t="s">
        <v>34</v>
      </c>
      <c r="D3332">
        <v>40.435142732627199</v>
      </c>
      <c r="E3332">
        <v>0</v>
      </c>
      <c r="F3332">
        <v>4189</v>
      </c>
      <c r="G3332">
        <v>3</v>
      </c>
      <c r="H3332">
        <v>1</v>
      </c>
      <c r="I3332">
        <v>2017</v>
      </c>
      <c r="J3332">
        <v>1</v>
      </c>
      <c r="K3332">
        <v>0</v>
      </c>
      <c r="L3332">
        <v>1</v>
      </c>
      <c r="M3332">
        <v>4</v>
      </c>
      <c r="N3332" t="s">
        <v>41</v>
      </c>
      <c r="O3332" t="s">
        <v>32</v>
      </c>
      <c r="P3332">
        <v>2.79873677074128</v>
      </c>
      <c r="Q3332">
        <v>0.62888063661156401</v>
      </c>
      <c r="R3332">
        <v>4.1914807820837696</v>
      </c>
      <c r="S3332">
        <v>97</v>
      </c>
      <c r="T3332">
        <v>26</v>
      </c>
      <c r="U3332">
        <v>649.95104053803698</v>
      </c>
      <c r="V3332">
        <v>9.5488183337311995E-4</v>
      </c>
      <c r="W3332">
        <v>2910555.3537677401</v>
      </c>
      <c r="X3332" t="s">
        <v>43</v>
      </c>
      <c r="Y3332">
        <f>1-554-719-9688</f>
        <v>-10960</v>
      </c>
    </row>
    <row r="3333" spans="1:25" x14ac:dyDescent="0.35">
      <c r="A3333">
        <v>33.2669752267104</v>
      </c>
      <c r="B3333">
        <v>-123.13535630556601</v>
      </c>
      <c r="C3333" t="s">
        <v>34</v>
      </c>
      <c r="D3333">
        <v>42.682147483170098</v>
      </c>
      <c r="E3333">
        <v>3</v>
      </c>
      <c r="F3333">
        <v>2696</v>
      </c>
      <c r="G3333">
        <v>5</v>
      </c>
      <c r="H3333">
        <v>1</v>
      </c>
      <c r="I3333">
        <v>2021</v>
      </c>
      <c r="J3333">
        <v>0</v>
      </c>
      <c r="K3333">
        <v>0</v>
      </c>
      <c r="L3333">
        <v>0</v>
      </c>
      <c r="M3333">
        <v>6</v>
      </c>
      <c r="N3333" t="s">
        <v>26</v>
      </c>
      <c r="O3333" t="s">
        <v>30</v>
      </c>
      <c r="P3333">
        <v>3.55611809477471</v>
      </c>
      <c r="Q3333">
        <v>1.3395155036398601</v>
      </c>
      <c r="R3333">
        <v>0.40667143418792501</v>
      </c>
      <c r="S3333">
        <v>116</v>
      </c>
      <c r="T3333">
        <v>68</v>
      </c>
      <c r="U3333">
        <v>272.83406024863001</v>
      </c>
      <c r="V3333">
        <v>2.2255192878338202E-3</v>
      </c>
      <c r="W3333">
        <v>998463.64952334994</v>
      </c>
      <c r="X3333" t="s">
        <v>31</v>
      </c>
      <c r="Y3333">
        <f>1-817-176-3121</f>
        <v>-4113</v>
      </c>
    </row>
    <row r="3334" spans="1:25" x14ac:dyDescent="0.35">
      <c r="A3334">
        <v>35.552248711739701</v>
      </c>
      <c r="B3334">
        <v>-119.48681197207701</v>
      </c>
      <c r="C3334" t="s">
        <v>25</v>
      </c>
      <c r="D3334">
        <v>1.92707447704463</v>
      </c>
      <c r="E3334">
        <v>9</v>
      </c>
      <c r="F3334">
        <v>919</v>
      </c>
      <c r="G3334">
        <v>2</v>
      </c>
      <c r="H3334">
        <v>1</v>
      </c>
      <c r="I3334">
        <v>1984</v>
      </c>
      <c r="J3334">
        <v>0</v>
      </c>
      <c r="K3334">
        <v>1</v>
      </c>
      <c r="L3334">
        <v>0</v>
      </c>
      <c r="M3334">
        <v>9</v>
      </c>
      <c r="N3334" t="s">
        <v>26</v>
      </c>
      <c r="O3334" t="s">
        <v>30</v>
      </c>
      <c r="P3334">
        <v>6.4405399170449602</v>
      </c>
      <c r="Q3334">
        <v>2.1338066742131301</v>
      </c>
      <c r="R3334">
        <v>1.4918584711287</v>
      </c>
      <c r="S3334">
        <v>196</v>
      </c>
      <c r="T3334">
        <v>58</v>
      </c>
      <c r="U3334">
        <v>660.44181087264406</v>
      </c>
      <c r="V3334">
        <v>9.7932535364526601E-3</v>
      </c>
      <c r="W3334">
        <v>752742.533077801</v>
      </c>
      <c r="X3334" t="s">
        <v>28</v>
      </c>
      <c r="Y3334">
        <f>1-626-255-4701</f>
        <v>-5581</v>
      </c>
    </row>
    <row r="3335" spans="1:25" x14ac:dyDescent="0.35">
      <c r="A3335">
        <v>40.489204943546099</v>
      </c>
      <c r="B3335">
        <v>-121.227918363702</v>
      </c>
      <c r="C3335" t="s">
        <v>25</v>
      </c>
      <c r="D3335">
        <v>30.699836353061901</v>
      </c>
      <c r="E3335">
        <v>5</v>
      </c>
      <c r="F3335">
        <v>1148</v>
      </c>
      <c r="G3335">
        <v>2</v>
      </c>
      <c r="H3335">
        <v>3</v>
      </c>
      <c r="I3335">
        <v>1971</v>
      </c>
      <c r="J3335">
        <v>1</v>
      </c>
      <c r="K3335">
        <v>0</v>
      </c>
      <c r="L3335">
        <v>0</v>
      </c>
      <c r="M3335">
        <v>11</v>
      </c>
      <c r="N3335" t="s">
        <v>41</v>
      </c>
      <c r="O3335" t="s">
        <v>27</v>
      </c>
      <c r="P3335">
        <v>11.063371135863299</v>
      </c>
      <c r="Q3335">
        <v>0.66064382924905396</v>
      </c>
      <c r="R3335">
        <v>1.1129997513513401</v>
      </c>
      <c r="S3335">
        <v>125</v>
      </c>
      <c r="T3335">
        <v>20</v>
      </c>
      <c r="U3335">
        <v>855.13650620032104</v>
      </c>
      <c r="V3335">
        <v>9.5818815331010394E-3</v>
      </c>
      <c r="W3335">
        <v>1192750.10939942</v>
      </c>
      <c r="X3335" t="s">
        <v>39</v>
      </c>
      <c r="Y3335">
        <f>1-200-904-7620</f>
        <v>-8723</v>
      </c>
    </row>
    <row r="3336" spans="1:25" x14ac:dyDescent="0.35">
      <c r="A3336">
        <v>39.578348227475097</v>
      </c>
      <c r="B3336">
        <v>-119.860115517444</v>
      </c>
      <c r="C3336" t="s">
        <v>29</v>
      </c>
      <c r="D3336">
        <v>11.595838242693199</v>
      </c>
      <c r="E3336">
        <v>6</v>
      </c>
      <c r="F3336">
        <v>4379</v>
      </c>
      <c r="G3336">
        <v>3</v>
      </c>
      <c r="H3336">
        <v>3</v>
      </c>
      <c r="I3336">
        <v>1963</v>
      </c>
      <c r="J3336">
        <v>1</v>
      </c>
      <c r="K3336">
        <v>1</v>
      </c>
      <c r="L3336">
        <v>0</v>
      </c>
      <c r="M3336">
        <v>10</v>
      </c>
      <c r="N3336" t="s">
        <v>35</v>
      </c>
      <c r="O3336" t="s">
        <v>32</v>
      </c>
      <c r="P3336">
        <v>2.1583635914477202</v>
      </c>
      <c r="Q3336">
        <v>0.87303094937506898</v>
      </c>
      <c r="R3336">
        <v>0.36005356245381798</v>
      </c>
      <c r="S3336">
        <v>154</v>
      </c>
      <c r="T3336">
        <v>31</v>
      </c>
      <c r="U3336">
        <v>527.369724992192</v>
      </c>
      <c r="V3336">
        <v>2.2836263987211598E-3</v>
      </c>
      <c r="W3336">
        <v>2596774.6678740098</v>
      </c>
      <c r="X3336" t="s">
        <v>42</v>
      </c>
      <c r="Y3336">
        <f>1-302-845-6433</f>
        <v>-7579</v>
      </c>
    </row>
    <row r="3337" spans="1:25" x14ac:dyDescent="0.35">
      <c r="A3337">
        <v>33.292657176010003</v>
      </c>
      <c r="B3337">
        <v>-121.28504114470699</v>
      </c>
      <c r="C3337" t="s">
        <v>25</v>
      </c>
      <c r="D3337">
        <v>19.7386136290773</v>
      </c>
      <c r="E3337">
        <v>1</v>
      </c>
      <c r="F3337">
        <v>3018</v>
      </c>
      <c r="G3337">
        <v>2</v>
      </c>
      <c r="H3337">
        <v>3</v>
      </c>
      <c r="I3337">
        <v>1981</v>
      </c>
      <c r="J3337">
        <v>1</v>
      </c>
      <c r="K3337">
        <v>1</v>
      </c>
      <c r="L3337">
        <v>1</v>
      </c>
      <c r="M3337">
        <v>7</v>
      </c>
      <c r="N3337" t="s">
        <v>41</v>
      </c>
      <c r="O3337" t="s">
        <v>27</v>
      </c>
      <c r="P3337">
        <v>4.84307158597578</v>
      </c>
      <c r="Q3337">
        <v>2.1091407537297502</v>
      </c>
      <c r="R3337">
        <v>7.8199029216993701</v>
      </c>
      <c r="S3337">
        <v>30</v>
      </c>
      <c r="T3337">
        <v>31</v>
      </c>
      <c r="U3337">
        <v>673.41235776301505</v>
      </c>
      <c r="V3337">
        <v>2.3194168323392899E-3</v>
      </c>
      <c r="W3337">
        <v>2329732.9226397499</v>
      </c>
      <c r="X3337" t="s">
        <v>40</v>
      </c>
      <c r="Y3337">
        <f>1-264-521-2251</f>
        <v>-3035</v>
      </c>
    </row>
    <row r="3338" spans="1:25" x14ac:dyDescent="0.35">
      <c r="A3338">
        <v>36.682023586919897</v>
      </c>
      <c r="B3338">
        <v>-116.087933890385</v>
      </c>
      <c r="C3338" t="s">
        <v>25</v>
      </c>
      <c r="D3338">
        <v>12.359035498794499</v>
      </c>
      <c r="E3338">
        <v>2</v>
      </c>
      <c r="F3338">
        <v>4562</v>
      </c>
      <c r="G3338">
        <v>2</v>
      </c>
      <c r="H3338">
        <v>2</v>
      </c>
      <c r="I3338">
        <v>1967</v>
      </c>
      <c r="J3338">
        <v>1</v>
      </c>
      <c r="K3338">
        <v>1</v>
      </c>
      <c r="L3338">
        <v>1</v>
      </c>
      <c r="M3338">
        <v>14</v>
      </c>
      <c r="N3338" t="s">
        <v>26</v>
      </c>
      <c r="O3338" t="s">
        <v>32</v>
      </c>
      <c r="P3338">
        <v>12.250553961215401</v>
      </c>
      <c r="Q3338">
        <v>1.4072302882954999</v>
      </c>
      <c r="R3338">
        <v>9.8275726208250003</v>
      </c>
      <c r="S3338">
        <v>9</v>
      </c>
      <c r="T3338">
        <v>49</v>
      </c>
      <c r="U3338">
        <v>270.95124015668802</v>
      </c>
      <c r="V3338">
        <v>3.0688294607628202E-3</v>
      </c>
      <c r="W3338">
        <v>1582186.1622512599</v>
      </c>
      <c r="X3338" t="s">
        <v>43</v>
      </c>
      <c r="Y3338">
        <f>1-880-145-3629</f>
        <v>-4653</v>
      </c>
    </row>
    <row r="3339" spans="1:25" x14ac:dyDescent="0.35">
      <c r="A3339">
        <v>34.141304692060103</v>
      </c>
      <c r="B3339">
        <v>-121.414015381376</v>
      </c>
      <c r="C3339" t="s">
        <v>25</v>
      </c>
      <c r="D3339">
        <v>24.136223045880399</v>
      </c>
      <c r="E3339">
        <v>7</v>
      </c>
      <c r="F3339">
        <v>1827</v>
      </c>
      <c r="G3339">
        <v>3</v>
      </c>
      <c r="H3339">
        <v>2</v>
      </c>
      <c r="I3339">
        <v>2014</v>
      </c>
      <c r="J3339">
        <v>0</v>
      </c>
      <c r="K3339">
        <v>0</v>
      </c>
      <c r="L3339">
        <v>1</v>
      </c>
      <c r="M3339">
        <v>3</v>
      </c>
      <c r="N3339" t="s">
        <v>41</v>
      </c>
      <c r="O3339" t="s">
        <v>30</v>
      </c>
      <c r="P3339">
        <v>13.009144118918099</v>
      </c>
      <c r="Q3339">
        <v>1.3949571120036299</v>
      </c>
      <c r="R3339">
        <v>1.4150061669788601</v>
      </c>
      <c r="S3339">
        <v>113</v>
      </c>
      <c r="T3339">
        <v>68</v>
      </c>
      <c r="U3339">
        <v>533.70063046529697</v>
      </c>
      <c r="V3339">
        <v>1.64203612479474E-3</v>
      </c>
      <c r="W3339">
        <v>1288615.32620039</v>
      </c>
      <c r="X3339" t="s">
        <v>39</v>
      </c>
      <c r="Y3339">
        <f>1-257-177-1970</f>
        <v>-2403</v>
      </c>
    </row>
    <row r="3340" spans="1:25" x14ac:dyDescent="0.35">
      <c r="A3340">
        <v>33.730400120106601</v>
      </c>
      <c r="B3340">
        <v>-115.856749941354</v>
      </c>
      <c r="C3340" t="s">
        <v>34</v>
      </c>
      <c r="D3340">
        <v>15.581319015454699</v>
      </c>
      <c r="E3340">
        <v>5</v>
      </c>
      <c r="F3340">
        <v>524</v>
      </c>
      <c r="G3340">
        <v>1</v>
      </c>
      <c r="H3340">
        <v>1</v>
      </c>
      <c r="I3340">
        <v>1978</v>
      </c>
      <c r="J3340">
        <v>0</v>
      </c>
      <c r="K3340">
        <v>0</v>
      </c>
      <c r="L3340">
        <v>0</v>
      </c>
      <c r="M3340">
        <v>12</v>
      </c>
      <c r="N3340" t="s">
        <v>41</v>
      </c>
      <c r="O3340" t="s">
        <v>27</v>
      </c>
      <c r="P3340">
        <v>4.3174327053530304</v>
      </c>
      <c r="Q3340">
        <v>1.6292434112804499</v>
      </c>
      <c r="R3340">
        <v>8.0394915543481904</v>
      </c>
      <c r="S3340">
        <v>11</v>
      </c>
      <c r="T3340">
        <v>30</v>
      </c>
      <c r="U3340">
        <v>735.24670493162</v>
      </c>
      <c r="V3340">
        <v>2.2900763358778602E-2</v>
      </c>
      <c r="W3340">
        <v>313041.830735658</v>
      </c>
      <c r="X3340" t="s">
        <v>39</v>
      </c>
      <c r="Y3340">
        <f>1-394-667-5125</f>
        <v>-6185</v>
      </c>
    </row>
    <row r="3341" spans="1:25" x14ac:dyDescent="0.35">
      <c r="A3341">
        <v>38.923314850206303</v>
      </c>
      <c r="B3341">
        <v>-114.89980786375899</v>
      </c>
      <c r="C3341" t="s">
        <v>25</v>
      </c>
      <c r="D3341">
        <v>22.830661409638399</v>
      </c>
      <c r="E3341">
        <v>5</v>
      </c>
      <c r="F3341">
        <v>1111</v>
      </c>
      <c r="G3341">
        <v>4</v>
      </c>
      <c r="H3341">
        <v>3</v>
      </c>
      <c r="I3341">
        <v>1960</v>
      </c>
      <c r="J3341">
        <v>0</v>
      </c>
      <c r="K3341">
        <v>1</v>
      </c>
      <c r="L3341">
        <v>0</v>
      </c>
      <c r="M3341">
        <v>5</v>
      </c>
      <c r="N3341" t="s">
        <v>26</v>
      </c>
      <c r="O3341" t="s">
        <v>27</v>
      </c>
      <c r="P3341">
        <v>4.2951648500993898</v>
      </c>
      <c r="Q3341">
        <v>1.4635191600741699</v>
      </c>
      <c r="R3341">
        <v>9.3194063201881399</v>
      </c>
      <c r="S3341">
        <v>96</v>
      </c>
      <c r="T3341">
        <v>24</v>
      </c>
      <c r="U3341">
        <v>396.58975824409299</v>
      </c>
      <c r="V3341">
        <v>4.5004500450044997E-3</v>
      </c>
      <c r="W3341">
        <v>704661.08707571798</v>
      </c>
      <c r="X3341" t="s">
        <v>42</v>
      </c>
      <c r="Y3341">
        <f>1-809-116-5032</f>
        <v>-5956</v>
      </c>
    </row>
    <row r="3342" spans="1:25" x14ac:dyDescent="0.35">
      <c r="A3342">
        <v>36.741942730981201</v>
      </c>
      <c r="B3342">
        <v>-120.942975420111</v>
      </c>
      <c r="C3342" t="s">
        <v>25</v>
      </c>
      <c r="D3342">
        <v>7.8660890433316002</v>
      </c>
      <c r="E3342">
        <v>7</v>
      </c>
      <c r="F3342">
        <v>3910</v>
      </c>
      <c r="G3342">
        <v>1</v>
      </c>
      <c r="H3342">
        <v>3</v>
      </c>
      <c r="I3342">
        <v>1994</v>
      </c>
      <c r="J3342">
        <v>1</v>
      </c>
      <c r="K3342">
        <v>1</v>
      </c>
      <c r="L3342">
        <v>0</v>
      </c>
      <c r="M3342">
        <v>11</v>
      </c>
      <c r="N3342" t="s">
        <v>35</v>
      </c>
      <c r="O3342" t="s">
        <v>27</v>
      </c>
      <c r="P3342">
        <v>11.7924176771556</v>
      </c>
      <c r="Q3342">
        <v>0.51079051600256997</v>
      </c>
      <c r="R3342">
        <v>7.0005349015852198</v>
      </c>
      <c r="S3342">
        <v>19</v>
      </c>
      <c r="T3342">
        <v>72</v>
      </c>
      <c r="U3342">
        <v>205.528446216726</v>
      </c>
      <c r="V3342">
        <v>2.81329923273657E-3</v>
      </c>
      <c r="W3342">
        <v>1185802.73464666</v>
      </c>
      <c r="X3342" t="s">
        <v>33</v>
      </c>
      <c r="Y3342">
        <f>1-385-257-7041</f>
        <v>-7682</v>
      </c>
    </row>
    <row r="3343" spans="1:25" x14ac:dyDescent="0.35">
      <c r="A3343">
        <v>32.902356636561301</v>
      </c>
      <c r="B3343">
        <v>-115.28823038555799</v>
      </c>
      <c r="C3343" t="s">
        <v>25</v>
      </c>
      <c r="D3343">
        <v>41.614445001130598</v>
      </c>
      <c r="E3343">
        <v>6</v>
      </c>
      <c r="F3343">
        <v>2560</v>
      </c>
      <c r="G3343">
        <v>2</v>
      </c>
      <c r="H3343">
        <v>3</v>
      </c>
      <c r="I3343">
        <v>2013</v>
      </c>
      <c r="J3343">
        <v>1</v>
      </c>
      <c r="K3343">
        <v>0</v>
      </c>
      <c r="L3343">
        <v>0</v>
      </c>
      <c r="M3343">
        <v>4</v>
      </c>
      <c r="N3343" t="s">
        <v>37</v>
      </c>
      <c r="O3343" t="s">
        <v>32</v>
      </c>
      <c r="P3343">
        <v>7.3536993936375401</v>
      </c>
      <c r="Q3343">
        <v>0.81951293566320504</v>
      </c>
      <c r="R3343">
        <v>1.6707418052818801</v>
      </c>
      <c r="S3343">
        <v>118</v>
      </c>
      <c r="T3343">
        <v>52</v>
      </c>
      <c r="U3343">
        <v>762.82882744808103</v>
      </c>
      <c r="V3343">
        <v>1.5625000000000001E-3</v>
      </c>
      <c r="W3343">
        <v>2170978.1092465599</v>
      </c>
      <c r="X3343" t="s">
        <v>31</v>
      </c>
      <c r="Y3343">
        <f>1-900-653-7472</f>
        <v>-9024</v>
      </c>
    </row>
    <row r="3344" spans="1:25" x14ac:dyDescent="0.35">
      <c r="A3344">
        <v>41.054556142925001</v>
      </c>
      <c r="B3344">
        <v>-121.708784986827</v>
      </c>
      <c r="C3344" t="s">
        <v>25</v>
      </c>
      <c r="D3344">
        <v>25.1898081121596</v>
      </c>
      <c r="E3344">
        <v>1</v>
      </c>
      <c r="F3344">
        <v>4147</v>
      </c>
      <c r="G3344">
        <v>5</v>
      </c>
      <c r="H3344">
        <v>1</v>
      </c>
      <c r="I3344">
        <v>2022</v>
      </c>
      <c r="J3344">
        <v>1</v>
      </c>
      <c r="K3344">
        <v>1</v>
      </c>
      <c r="L3344">
        <v>1</v>
      </c>
      <c r="M3344">
        <v>8</v>
      </c>
      <c r="N3344" t="s">
        <v>41</v>
      </c>
      <c r="O3344" t="s">
        <v>27</v>
      </c>
      <c r="P3344">
        <v>12.5108747314765</v>
      </c>
      <c r="Q3344">
        <v>1.5512451368341</v>
      </c>
      <c r="R3344">
        <v>4.0703180067920997</v>
      </c>
      <c r="S3344">
        <v>100</v>
      </c>
      <c r="T3344">
        <v>68</v>
      </c>
      <c r="U3344">
        <v>814.618938974662</v>
      </c>
      <c r="V3344">
        <v>1.92910537738123E-3</v>
      </c>
      <c r="W3344">
        <v>3930210.9352915199</v>
      </c>
      <c r="X3344" t="s">
        <v>28</v>
      </c>
      <c r="Y3344">
        <f>1-835-547-6458</f>
        <v>-7839</v>
      </c>
    </row>
    <row r="3345" spans="1:25" x14ac:dyDescent="0.35">
      <c r="A3345">
        <v>35.507704336664503</v>
      </c>
      <c r="B3345">
        <v>-123.98739163524201</v>
      </c>
      <c r="C3345" t="s">
        <v>29</v>
      </c>
      <c r="D3345">
        <v>11.222365470365901</v>
      </c>
      <c r="E3345">
        <v>4</v>
      </c>
      <c r="F3345">
        <v>700</v>
      </c>
      <c r="G3345">
        <v>4</v>
      </c>
      <c r="H3345">
        <v>2</v>
      </c>
      <c r="I3345">
        <v>1989</v>
      </c>
      <c r="J3345">
        <v>0</v>
      </c>
      <c r="K3345">
        <v>0</v>
      </c>
      <c r="L3345">
        <v>1</v>
      </c>
      <c r="M3345">
        <v>14</v>
      </c>
      <c r="N3345" t="s">
        <v>26</v>
      </c>
      <c r="O3345" t="s">
        <v>32</v>
      </c>
      <c r="P3345">
        <v>13.660188505432</v>
      </c>
      <c r="Q3345">
        <v>1.18585817866639</v>
      </c>
      <c r="R3345">
        <v>2.5660935340704101</v>
      </c>
      <c r="S3345">
        <v>99</v>
      </c>
      <c r="T3345">
        <v>42</v>
      </c>
      <c r="U3345">
        <v>656.14203786545704</v>
      </c>
      <c r="V3345">
        <v>0.02</v>
      </c>
      <c r="W3345">
        <v>786143.73628562398</v>
      </c>
      <c r="X3345" t="s">
        <v>28</v>
      </c>
      <c r="Y3345">
        <f>1-883-821-3190</f>
        <v>-4893</v>
      </c>
    </row>
    <row r="3346" spans="1:25" x14ac:dyDescent="0.35">
      <c r="A3346">
        <v>36.5881205679269</v>
      </c>
      <c r="B3346">
        <v>-122.182638226376</v>
      </c>
      <c r="C3346" t="s">
        <v>29</v>
      </c>
      <c r="D3346">
        <v>27.276777459407899</v>
      </c>
      <c r="E3346">
        <v>8</v>
      </c>
      <c r="F3346">
        <v>3827</v>
      </c>
      <c r="G3346">
        <v>2</v>
      </c>
      <c r="H3346">
        <v>2</v>
      </c>
      <c r="I3346">
        <v>1964</v>
      </c>
      <c r="J3346">
        <v>1</v>
      </c>
      <c r="K3346">
        <v>1</v>
      </c>
      <c r="L3346">
        <v>1</v>
      </c>
      <c r="M3346">
        <v>12</v>
      </c>
      <c r="N3346" t="s">
        <v>37</v>
      </c>
      <c r="O3346" t="s">
        <v>32</v>
      </c>
      <c r="P3346">
        <v>9.6016139821603304</v>
      </c>
      <c r="Q3346">
        <v>1.9903668000377199</v>
      </c>
      <c r="R3346">
        <v>8.3660645492502805</v>
      </c>
      <c r="S3346">
        <v>26</v>
      </c>
      <c r="T3346">
        <v>42</v>
      </c>
      <c r="U3346">
        <v>563.06570506048399</v>
      </c>
      <c r="V3346">
        <v>3.13561536451528E-3</v>
      </c>
      <c r="W3346">
        <v>2493396.1890344899</v>
      </c>
      <c r="X3346" t="s">
        <v>40</v>
      </c>
      <c r="Y3346">
        <f>1-636-435-3579</f>
        <v>-4649</v>
      </c>
    </row>
    <row r="3347" spans="1:25" x14ac:dyDescent="0.35">
      <c r="A3347">
        <v>36.642387986548798</v>
      </c>
      <c r="B3347">
        <v>-121.895307281545</v>
      </c>
      <c r="C3347" t="s">
        <v>25</v>
      </c>
      <c r="D3347">
        <v>27.737020145070201</v>
      </c>
      <c r="E3347">
        <v>8</v>
      </c>
      <c r="F3347">
        <v>767</v>
      </c>
      <c r="G3347">
        <v>5</v>
      </c>
      <c r="H3347">
        <v>1</v>
      </c>
      <c r="I3347">
        <v>1958</v>
      </c>
      <c r="J3347">
        <v>0</v>
      </c>
      <c r="K3347">
        <v>0</v>
      </c>
      <c r="L3347">
        <v>0</v>
      </c>
      <c r="M3347">
        <v>7</v>
      </c>
      <c r="N3347" t="s">
        <v>37</v>
      </c>
      <c r="O3347" t="s">
        <v>32</v>
      </c>
      <c r="P3347">
        <v>2.1634556219427501</v>
      </c>
      <c r="Q3347">
        <v>2.1940883349900902</v>
      </c>
      <c r="R3347">
        <v>2.1263398279025498</v>
      </c>
      <c r="S3347">
        <v>186</v>
      </c>
      <c r="T3347">
        <v>35</v>
      </c>
      <c r="U3347">
        <v>222.55508017577799</v>
      </c>
      <c r="V3347">
        <v>9.12646675358539E-3</v>
      </c>
      <c r="W3347">
        <v>304514.72098281397</v>
      </c>
      <c r="X3347" t="s">
        <v>31</v>
      </c>
      <c r="Y3347">
        <f>1-213-603-3295</f>
        <v>-4110</v>
      </c>
    </row>
    <row r="3348" spans="1:25" x14ac:dyDescent="0.35">
      <c r="A3348">
        <v>33.489567132716601</v>
      </c>
      <c r="B3348">
        <v>-121.09259404030399</v>
      </c>
      <c r="C3348" t="s">
        <v>25</v>
      </c>
      <c r="D3348">
        <v>25.971032506673801</v>
      </c>
      <c r="E3348">
        <v>5</v>
      </c>
      <c r="F3348">
        <v>4146</v>
      </c>
      <c r="G3348">
        <v>4</v>
      </c>
      <c r="H3348">
        <v>1</v>
      </c>
      <c r="I3348">
        <v>2006</v>
      </c>
      <c r="J3348">
        <v>1</v>
      </c>
      <c r="K3348">
        <v>0</v>
      </c>
      <c r="L3348">
        <v>1</v>
      </c>
      <c r="M3348">
        <v>4</v>
      </c>
      <c r="N3348" t="s">
        <v>41</v>
      </c>
      <c r="O3348" t="s">
        <v>32</v>
      </c>
      <c r="P3348">
        <v>8.0989506978691495</v>
      </c>
      <c r="Q3348">
        <v>1.1795618107885399</v>
      </c>
      <c r="R3348">
        <v>6.2859674440608604</v>
      </c>
      <c r="S3348">
        <v>156</v>
      </c>
      <c r="T3348">
        <v>33</v>
      </c>
      <c r="U3348">
        <v>866.30312973862203</v>
      </c>
      <c r="V3348">
        <v>9.6478533526290404E-4</v>
      </c>
      <c r="W3348">
        <v>3804411.5852417001</v>
      </c>
      <c r="X3348" t="s">
        <v>28</v>
      </c>
      <c r="Y3348">
        <f>1-284-304-9977</f>
        <v>-10564</v>
      </c>
    </row>
    <row r="3349" spans="1:25" x14ac:dyDescent="0.35">
      <c r="A3349">
        <v>33.977311668618299</v>
      </c>
      <c r="B3349">
        <v>-115.73326654504901</v>
      </c>
      <c r="C3349" t="s">
        <v>29</v>
      </c>
      <c r="D3349">
        <v>17.9651269650392</v>
      </c>
      <c r="E3349">
        <v>1</v>
      </c>
      <c r="F3349">
        <v>924</v>
      </c>
      <c r="G3349">
        <v>2</v>
      </c>
      <c r="H3349">
        <v>2</v>
      </c>
      <c r="I3349">
        <v>1977</v>
      </c>
      <c r="J3349">
        <v>0</v>
      </c>
      <c r="K3349">
        <v>1</v>
      </c>
      <c r="L3349">
        <v>1</v>
      </c>
      <c r="M3349">
        <v>5</v>
      </c>
      <c r="N3349" t="s">
        <v>37</v>
      </c>
      <c r="O3349" t="s">
        <v>27</v>
      </c>
      <c r="P3349">
        <v>10.436341578143301</v>
      </c>
      <c r="Q3349">
        <v>0.95068147227649602</v>
      </c>
      <c r="R3349">
        <v>5.0995103547573297</v>
      </c>
      <c r="S3349">
        <v>18</v>
      </c>
      <c r="T3349">
        <v>58</v>
      </c>
      <c r="U3349">
        <v>360.19707334432599</v>
      </c>
      <c r="V3349">
        <v>5.4112554112554102E-3</v>
      </c>
      <c r="W3349">
        <v>592772.97971518396</v>
      </c>
      <c r="X3349" t="s">
        <v>28</v>
      </c>
      <c r="Y3349">
        <f>1-812-477-5592</f>
        <v>-6880</v>
      </c>
    </row>
    <row r="3350" spans="1:25" x14ac:dyDescent="0.35">
      <c r="A3350">
        <v>38.360872794795299</v>
      </c>
      <c r="B3350">
        <v>-120.203772977762</v>
      </c>
      <c r="C3350" t="s">
        <v>25</v>
      </c>
      <c r="D3350">
        <v>11.6567938554109</v>
      </c>
      <c r="E3350">
        <v>2</v>
      </c>
      <c r="F3350">
        <v>4838</v>
      </c>
      <c r="G3350">
        <v>1</v>
      </c>
      <c r="H3350">
        <v>3</v>
      </c>
      <c r="I3350">
        <v>1976</v>
      </c>
      <c r="J3350">
        <v>0</v>
      </c>
      <c r="K3350">
        <v>0</v>
      </c>
      <c r="L3350">
        <v>1</v>
      </c>
      <c r="M3350">
        <v>4</v>
      </c>
      <c r="N3350" t="s">
        <v>37</v>
      </c>
      <c r="O3350" t="s">
        <v>32</v>
      </c>
      <c r="P3350">
        <v>11.227507710796001</v>
      </c>
      <c r="Q3350">
        <v>0.87038098873279102</v>
      </c>
      <c r="R3350">
        <v>2.3153335202030298</v>
      </c>
      <c r="S3350">
        <v>184</v>
      </c>
      <c r="T3350">
        <v>73</v>
      </c>
      <c r="U3350">
        <v>362.59699960926901</v>
      </c>
      <c r="V3350">
        <v>8.2678792889623797E-4</v>
      </c>
      <c r="W3350">
        <v>1852567.41617863</v>
      </c>
      <c r="X3350" t="s">
        <v>44</v>
      </c>
      <c r="Y3350">
        <f>1-304-547-8524</f>
        <v>-9374</v>
      </c>
    </row>
    <row r="3351" spans="1:25" x14ac:dyDescent="0.35">
      <c r="A3351">
        <v>35.722949579142401</v>
      </c>
      <c r="B3351">
        <v>-119.644507413247</v>
      </c>
      <c r="C3351" t="s">
        <v>25</v>
      </c>
      <c r="D3351">
        <v>30.698627080849199</v>
      </c>
      <c r="E3351">
        <v>3</v>
      </c>
      <c r="F3351">
        <v>4983</v>
      </c>
      <c r="G3351">
        <v>1</v>
      </c>
      <c r="H3351">
        <v>1</v>
      </c>
      <c r="I3351">
        <v>2008</v>
      </c>
      <c r="J3351">
        <v>0</v>
      </c>
      <c r="K3351">
        <v>1</v>
      </c>
      <c r="L3351">
        <v>0</v>
      </c>
      <c r="M3351">
        <v>3</v>
      </c>
      <c r="N3351" t="s">
        <v>35</v>
      </c>
      <c r="O3351" t="s">
        <v>27</v>
      </c>
      <c r="P3351">
        <v>13.2317175743348</v>
      </c>
      <c r="Q3351">
        <v>0.58469654200480703</v>
      </c>
      <c r="R3351">
        <v>6.0639189016416601</v>
      </c>
      <c r="S3351">
        <v>3</v>
      </c>
      <c r="T3351">
        <v>69</v>
      </c>
      <c r="U3351">
        <v>701.61415635750802</v>
      </c>
      <c r="V3351">
        <v>6.0204695966285305E-4</v>
      </c>
      <c r="W3351">
        <v>3755188.1653119698</v>
      </c>
      <c r="X3351" t="s">
        <v>33</v>
      </c>
      <c r="Y3351">
        <f>1-483-314-4007</f>
        <v>-4803</v>
      </c>
    </row>
    <row r="3352" spans="1:25" x14ac:dyDescent="0.35">
      <c r="A3352">
        <v>41.2422120313378</v>
      </c>
      <c r="B3352">
        <v>-116.16946336046701</v>
      </c>
      <c r="C3352" t="s">
        <v>29</v>
      </c>
      <c r="D3352">
        <v>18.670987534143201</v>
      </c>
      <c r="E3352">
        <v>6</v>
      </c>
      <c r="F3352">
        <v>4890</v>
      </c>
      <c r="G3352">
        <v>5</v>
      </c>
      <c r="H3352">
        <v>3</v>
      </c>
      <c r="I3352">
        <v>2010</v>
      </c>
      <c r="J3352">
        <v>0</v>
      </c>
      <c r="K3352">
        <v>0</v>
      </c>
      <c r="L3352">
        <v>1</v>
      </c>
      <c r="M3352">
        <v>7</v>
      </c>
      <c r="N3352" t="s">
        <v>26</v>
      </c>
      <c r="O3352" t="s">
        <v>27</v>
      </c>
      <c r="P3352">
        <v>9.4828010376294696</v>
      </c>
      <c r="Q3352">
        <v>1.6441055095327</v>
      </c>
      <c r="R3352">
        <v>1.31186332296485</v>
      </c>
      <c r="S3352">
        <v>75</v>
      </c>
      <c r="T3352">
        <v>60</v>
      </c>
      <c r="U3352">
        <v>263.50682792525498</v>
      </c>
      <c r="V3352">
        <v>1.43149284253578E-3</v>
      </c>
      <c r="W3352">
        <v>1645386.41889287</v>
      </c>
      <c r="X3352" t="s">
        <v>44</v>
      </c>
      <c r="Y3352">
        <f>1-419-589-6822</f>
        <v>-7829</v>
      </c>
    </row>
    <row r="3353" spans="1:25" x14ac:dyDescent="0.35">
      <c r="A3353">
        <v>32.660580394052197</v>
      </c>
      <c r="B3353">
        <v>-116.135651506288</v>
      </c>
      <c r="C3353" t="s">
        <v>25</v>
      </c>
      <c r="D3353">
        <v>31.118619530964999</v>
      </c>
      <c r="E3353">
        <v>9</v>
      </c>
      <c r="F3353">
        <v>4904</v>
      </c>
      <c r="G3353">
        <v>2</v>
      </c>
      <c r="H3353">
        <v>2</v>
      </c>
      <c r="I3353">
        <v>1950</v>
      </c>
      <c r="J3353">
        <v>0</v>
      </c>
      <c r="K3353">
        <v>0</v>
      </c>
      <c r="L3353">
        <v>0</v>
      </c>
      <c r="M3353">
        <v>2</v>
      </c>
      <c r="N3353" t="s">
        <v>37</v>
      </c>
      <c r="O3353" t="s">
        <v>32</v>
      </c>
      <c r="P3353">
        <v>10.441989917299001</v>
      </c>
      <c r="Q3353">
        <v>1.8445569065791401</v>
      </c>
      <c r="R3353">
        <v>8.1509354089752293</v>
      </c>
      <c r="S3353">
        <v>163</v>
      </c>
      <c r="T3353">
        <v>39</v>
      </c>
      <c r="U3353">
        <v>399.11152332480799</v>
      </c>
      <c r="V3353">
        <v>4.0783034257748702E-4</v>
      </c>
      <c r="W3353">
        <v>2110261.1968719601</v>
      </c>
      <c r="X3353" t="s">
        <v>38</v>
      </c>
      <c r="Y3353">
        <f>1-786-874-7804</f>
        <v>-9463</v>
      </c>
    </row>
    <row r="3354" spans="1:25" x14ac:dyDescent="0.35">
      <c r="A3354">
        <v>35.315390870242702</v>
      </c>
      <c r="B3354">
        <v>-117.63803032153</v>
      </c>
      <c r="C3354" t="s">
        <v>29</v>
      </c>
      <c r="D3354">
        <v>4.7295270268049698</v>
      </c>
      <c r="E3354">
        <v>7</v>
      </c>
      <c r="F3354">
        <v>4258</v>
      </c>
      <c r="G3354">
        <v>2</v>
      </c>
      <c r="H3354">
        <v>1</v>
      </c>
      <c r="I3354">
        <v>1993</v>
      </c>
      <c r="J3354">
        <v>0</v>
      </c>
      <c r="K3354">
        <v>0</v>
      </c>
      <c r="L3354">
        <v>1</v>
      </c>
      <c r="M3354">
        <v>3</v>
      </c>
      <c r="N3354" t="s">
        <v>35</v>
      </c>
      <c r="O3354" t="s">
        <v>32</v>
      </c>
      <c r="P3354">
        <v>13.344786900934199</v>
      </c>
      <c r="Q3354">
        <v>2.4784526855583202</v>
      </c>
      <c r="R3354">
        <v>7.1090693188811001</v>
      </c>
      <c r="S3354">
        <v>7</v>
      </c>
      <c r="T3354">
        <v>20</v>
      </c>
      <c r="U3354">
        <v>285.481619172053</v>
      </c>
      <c r="V3354">
        <v>7.0455612963832705E-4</v>
      </c>
      <c r="W3354">
        <v>1455671.52825801</v>
      </c>
      <c r="X3354" t="s">
        <v>42</v>
      </c>
      <c r="Y3354">
        <f>1-354-635-5648</f>
        <v>-6636</v>
      </c>
    </row>
    <row r="3355" spans="1:25" x14ac:dyDescent="0.35">
      <c r="A3355">
        <v>35.7564987398776</v>
      </c>
      <c r="B3355">
        <v>-122.32539261570599</v>
      </c>
      <c r="C3355" t="s">
        <v>29</v>
      </c>
      <c r="D3355">
        <v>17.1749715588642</v>
      </c>
      <c r="E3355">
        <v>7</v>
      </c>
      <c r="F3355">
        <v>833</v>
      </c>
      <c r="G3355">
        <v>4</v>
      </c>
      <c r="H3355">
        <v>1</v>
      </c>
      <c r="I3355">
        <v>2015</v>
      </c>
      <c r="J3355">
        <v>0</v>
      </c>
      <c r="K3355">
        <v>0</v>
      </c>
      <c r="L3355">
        <v>0</v>
      </c>
      <c r="M3355">
        <v>4</v>
      </c>
      <c r="N3355" t="s">
        <v>37</v>
      </c>
      <c r="O3355" t="s">
        <v>32</v>
      </c>
      <c r="P3355">
        <v>6.7591164872925198</v>
      </c>
      <c r="Q3355">
        <v>2.1972861345432699</v>
      </c>
      <c r="R3355">
        <v>8.4624707291723507</v>
      </c>
      <c r="S3355">
        <v>59</v>
      </c>
      <c r="T3355">
        <v>22</v>
      </c>
      <c r="U3355">
        <v>451.71599188210098</v>
      </c>
      <c r="V3355">
        <v>4.80192076830732E-3</v>
      </c>
      <c r="W3355">
        <v>598904.56428050797</v>
      </c>
      <c r="X3355" t="s">
        <v>44</v>
      </c>
      <c r="Y3355">
        <f>1-297-669-8418</f>
        <v>-9383</v>
      </c>
    </row>
    <row r="3356" spans="1:25" x14ac:dyDescent="0.35">
      <c r="A3356">
        <v>37.500590810867202</v>
      </c>
      <c r="B3356">
        <v>-117.638621616858</v>
      </c>
      <c r="C3356" t="s">
        <v>34</v>
      </c>
      <c r="D3356">
        <v>36.706719430587498</v>
      </c>
      <c r="E3356">
        <v>0</v>
      </c>
      <c r="F3356">
        <v>4820</v>
      </c>
      <c r="G3356">
        <v>4</v>
      </c>
      <c r="H3356">
        <v>1</v>
      </c>
      <c r="I3356">
        <v>1995</v>
      </c>
      <c r="J3356">
        <v>0</v>
      </c>
      <c r="K3356">
        <v>0</v>
      </c>
      <c r="L3356">
        <v>0</v>
      </c>
      <c r="M3356">
        <v>8</v>
      </c>
      <c r="N3356" t="s">
        <v>41</v>
      </c>
      <c r="O3356" t="s">
        <v>32</v>
      </c>
      <c r="P3356">
        <v>14.3553884435326</v>
      </c>
      <c r="Q3356">
        <v>1.5533725583595099</v>
      </c>
      <c r="R3356">
        <v>3.4953275126865799</v>
      </c>
      <c r="S3356">
        <v>71</v>
      </c>
      <c r="T3356">
        <v>57</v>
      </c>
      <c r="U3356">
        <v>624.218213480381</v>
      </c>
      <c r="V3356">
        <v>1.6597510373443901E-3</v>
      </c>
      <c r="W3356">
        <v>3244536.0247490001</v>
      </c>
      <c r="X3356" t="s">
        <v>42</v>
      </c>
      <c r="Y3356">
        <f>1-621-951-3688</f>
        <v>-5259</v>
      </c>
    </row>
    <row r="3357" spans="1:25" x14ac:dyDescent="0.35">
      <c r="A3357">
        <v>39.4753041067544</v>
      </c>
      <c r="B3357">
        <v>-118.813210396866</v>
      </c>
      <c r="C3357" t="s">
        <v>34</v>
      </c>
      <c r="D3357">
        <v>18.938672863258901</v>
      </c>
      <c r="E3357">
        <v>9</v>
      </c>
      <c r="F3357">
        <v>1969</v>
      </c>
      <c r="G3357">
        <v>4</v>
      </c>
      <c r="H3357">
        <v>3</v>
      </c>
      <c r="I3357">
        <v>2022</v>
      </c>
      <c r="J3357">
        <v>1</v>
      </c>
      <c r="K3357">
        <v>0</v>
      </c>
      <c r="L3357">
        <v>0</v>
      </c>
      <c r="M3357">
        <v>13</v>
      </c>
      <c r="N3357" t="s">
        <v>26</v>
      </c>
      <c r="O3357" t="s">
        <v>27</v>
      </c>
      <c r="P3357">
        <v>14.5628372079864</v>
      </c>
      <c r="Q3357">
        <v>2.3353797348048801</v>
      </c>
      <c r="R3357">
        <v>8.06017162927761</v>
      </c>
      <c r="S3357">
        <v>113</v>
      </c>
      <c r="T3357">
        <v>72</v>
      </c>
      <c r="U3357">
        <v>350.79413447444801</v>
      </c>
      <c r="V3357">
        <v>6.6023362112747497E-3</v>
      </c>
      <c r="W3357">
        <v>1094431.1015735599</v>
      </c>
      <c r="X3357" t="s">
        <v>40</v>
      </c>
      <c r="Y3357">
        <f>1-228-851-6408</f>
        <v>-7486</v>
      </c>
    </row>
    <row r="3358" spans="1:25" x14ac:dyDescent="0.35">
      <c r="A3358">
        <v>33.005020195079297</v>
      </c>
      <c r="B3358">
        <v>-123.18086372367399</v>
      </c>
      <c r="C3358" t="s">
        <v>34</v>
      </c>
      <c r="D3358">
        <v>5.4942091398856796</v>
      </c>
      <c r="E3358">
        <v>5</v>
      </c>
      <c r="F3358">
        <v>3829</v>
      </c>
      <c r="G3358">
        <v>2</v>
      </c>
      <c r="H3358">
        <v>2</v>
      </c>
      <c r="I3358">
        <v>1955</v>
      </c>
      <c r="J3358">
        <v>1</v>
      </c>
      <c r="K3358">
        <v>0</v>
      </c>
      <c r="L3358">
        <v>0</v>
      </c>
      <c r="M3358">
        <v>5</v>
      </c>
      <c r="N3358" t="s">
        <v>41</v>
      </c>
      <c r="O3358" t="s">
        <v>27</v>
      </c>
      <c r="P3358">
        <v>13.977462270561199</v>
      </c>
      <c r="Q3358">
        <v>2.4347112817562602</v>
      </c>
      <c r="R3358">
        <v>5.72040890466989</v>
      </c>
      <c r="S3358">
        <v>91</v>
      </c>
      <c r="T3358">
        <v>23</v>
      </c>
      <c r="U3358">
        <v>253.52040198650101</v>
      </c>
      <c r="V3358">
        <v>1.3058239749281701E-3</v>
      </c>
      <c r="W3358">
        <v>1205900.46273773</v>
      </c>
      <c r="X3358" t="s">
        <v>40</v>
      </c>
      <c r="Y3358">
        <f>1-435-706-3408</f>
        <v>-4548</v>
      </c>
    </row>
    <row r="3359" spans="1:25" x14ac:dyDescent="0.35">
      <c r="A3359">
        <v>34.1750292219605</v>
      </c>
      <c r="B3359">
        <v>-115.46471496553499</v>
      </c>
      <c r="C3359" t="s">
        <v>25</v>
      </c>
      <c r="D3359">
        <v>14.0610988329941</v>
      </c>
      <c r="E3359">
        <v>6</v>
      </c>
      <c r="F3359">
        <v>1733</v>
      </c>
      <c r="G3359">
        <v>1</v>
      </c>
      <c r="H3359">
        <v>3</v>
      </c>
      <c r="I3359">
        <v>1991</v>
      </c>
      <c r="J3359">
        <v>1</v>
      </c>
      <c r="K3359">
        <v>1</v>
      </c>
      <c r="L3359">
        <v>0</v>
      </c>
      <c r="M3359">
        <v>2</v>
      </c>
      <c r="N3359" t="s">
        <v>26</v>
      </c>
      <c r="O3359" t="s">
        <v>32</v>
      </c>
      <c r="P3359">
        <v>6.0437930073847603</v>
      </c>
      <c r="Q3359">
        <v>1.2967246582866001</v>
      </c>
      <c r="R3359">
        <v>9.7106585841737108</v>
      </c>
      <c r="S3359">
        <v>102</v>
      </c>
      <c r="T3359">
        <v>42</v>
      </c>
      <c r="U3359">
        <v>453.05943542633202</v>
      </c>
      <c r="V3359">
        <v>1.1540680900173101E-3</v>
      </c>
      <c r="W3359">
        <v>1003039.57395834</v>
      </c>
      <c r="X3359" t="s">
        <v>43</v>
      </c>
      <c r="Y3359">
        <f>1-871-977-5198</f>
        <v>-7045</v>
      </c>
    </row>
    <row r="3360" spans="1:25" x14ac:dyDescent="0.35">
      <c r="A3360">
        <v>35.125963770848003</v>
      </c>
      <c r="B3360">
        <v>-117.896340712485</v>
      </c>
      <c r="C3360" t="s">
        <v>34</v>
      </c>
      <c r="D3360">
        <v>13.763137726614801</v>
      </c>
      <c r="E3360">
        <v>0</v>
      </c>
      <c r="F3360">
        <v>2361</v>
      </c>
      <c r="G3360">
        <v>3</v>
      </c>
      <c r="H3360">
        <v>3</v>
      </c>
      <c r="I3360">
        <v>2009</v>
      </c>
      <c r="J3360">
        <v>1</v>
      </c>
      <c r="K3360">
        <v>0</v>
      </c>
      <c r="L3360">
        <v>0</v>
      </c>
      <c r="M3360">
        <v>12</v>
      </c>
      <c r="N3360" t="s">
        <v>37</v>
      </c>
      <c r="O3360" t="s">
        <v>27</v>
      </c>
      <c r="P3360">
        <v>10.7877053478772</v>
      </c>
      <c r="Q3360">
        <v>1.9634654939591001</v>
      </c>
      <c r="R3360">
        <v>8.6614196404750299</v>
      </c>
      <c r="S3360">
        <v>148</v>
      </c>
      <c r="T3360">
        <v>24</v>
      </c>
      <c r="U3360">
        <v>311.36272390465899</v>
      </c>
      <c r="V3360">
        <v>5.0825921219822103E-3</v>
      </c>
      <c r="W3360">
        <v>989516.97461497795</v>
      </c>
      <c r="X3360" t="s">
        <v>43</v>
      </c>
      <c r="Y3360">
        <f>1-273-780-9215</f>
        <v>-10267</v>
      </c>
    </row>
    <row r="3361" spans="1:25" x14ac:dyDescent="0.35">
      <c r="A3361">
        <v>39.457905523829098</v>
      </c>
      <c r="B3361">
        <v>-114.117840485809</v>
      </c>
      <c r="C3361" t="s">
        <v>29</v>
      </c>
      <c r="D3361">
        <v>37.918731243102101</v>
      </c>
      <c r="E3361">
        <v>4</v>
      </c>
      <c r="F3361">
        <v>2004</v>
      </c>
      <c r="G3361">
        <v>4</v>
      </c>
      <c r="H3361">
        <v>1</v>
      </c>
      <c r="I3361">
        <v>1996</v>
      </c>
      <c r="J3361">
        <v>1</v>
      </c>
      <c r="K3361">
        <v>0</v>
      </c>
      <c r="L3361">
        <v>1</v>
      </c>
      <c r="M3361">
        <v>12</v>
      </c>
      <c r="N3361" t="s">
        <v>35</v>
      </c>
      <c r="O3361" t="s">
        <v>32</v>
      </c>
      <c r="P3361">
        <v>12.5537399170166</v>
      </c>
      <c r="Q3361">
        <v>1.05637460898094</v>
      </c>
      <c r="R3361">
        <v>9.0331494303523101</v>
      </c>
      <c r="S3361">
        <v>13</v>
      </c>
      <c r="T3361">
        <v>51</v>
      </c>
      <c r="U3361">
        <v>570.28760445227795</v>
      </c>
      <c r="V3361">
        <v>5.9880239520958001E-3</v>
      </c>
      <c r="W3361">
        <v>1513371.7900803101</v>
      </c>
      <c r="X3361" t="s">
        <v>33</v>
      </c>
      <c r="Y3361">
        <f>1-397-270-1347</f>
        <v>-2013</v>
      </c>
    </row>
    <row r="3362" spans="1:25" x14ac:dyDescent="0.35">
      <c r="A3362">
        <v>36.611310077087197</v>
      </c>
      <c r="B3362">
        <v>-115.56372220378501</v>
      </c>
      <c r="C3362" t="s">
        <v>25</v>
      </c>
      <c r="D3362">
        <v>23.057986306566502</v>
      </c>
      <c r="E3362">
        <v>7</v>
      </c>
      <c r="F3362">
        <v>4260</v>
      </c>
      <c r="G3362">
        <v>2</v>
      </c>
      <c r="H3362">
        <v>1</v>
      </c>
      <c r="I3362">
        <v>1959</v>
      </c>
      <c r="J3362">
        <v>1</v>
      </c>
      <c r="K3362">
        <v>0</v>
      </c>
      <c r="L3362">
        <v>0</v>
      </c>
      <c r="M3362">
        <v>14</v>
      </c>
      <c r="N3362" t="s">
        <v>26</v>
      </c>
      <c r="O3362" t="s">
        <v>32</v>
      </c>
      <c r="P3362">
        <v>7.4466276163089598</v>
      </c>
      <c r="Q3362">
        <v>0.67421847701001503</v>
      </c>
      <c r="R3362">
        <v>0.10761036996612899</v>
      </c>
      <c r="S3362">
        <v>89</v>
      </c>
      <c r="T3362">
        <v>37</v>
      </c>
      <c r="U3362">
        <v>562.52385323447004</v>
      </c>
      <c r="V3362">
        <v>3.2863849765258201E-3</v>
      </c>
      <c r="W3362">
        <v>2478571.1565106702</v>
      </c>
      <c r="X3362" t="s">
        <v>39</v>
      </c>
      <c r="Y3362">
        <f>1-745-388-8922</f>
        <v>-10054</v>
      </c>
    </row>
    <row r="3363" spans="1:25" x14ac:dyDescent="0.35">
      <c r="A3363">
        <v>41.842198643880899</v>
      </c>
      <c r="B3363">
        <v>-114.58369831063899</v>
      </c>
      <c r="C3363" t="s">
        <v>29</v>
      </c>
      <c r="D3363">
        <v>18.704171015171301</v>
      </c>
      <c r="E3363">
        <v>7</v>
      </c>
      <c r="F3363">
        <v>1600</v>
      </c>
      <c r="G3363">
        <v>3</v>
      </c>
      <c r="H3363">
        <v>2</v>
      </c>
      <c r="I3363">
        <v>1980</v>
      </c>
      <c r="J3363">
        <v>0</v>
      </c>
      <c r="K3363">
        <v>1</v>
      </c>
      <c r="L3363">
        <v>0</v>
      </c>
      <c r="M3363">
        <v>3</v>
      </c>
      <c r="N3363" t="s">
        <v>41</v>
      </c>
      <c r="O3363" t="s">
        <v>32</v>
      </c>
      <c r="P3363">
        <v>5.2774229756020299</v>
      </c>
      <c r="Q3363">
        <v>2.0597029423788298</v>
      </c>
      <c r="R3363">
        <v>0.51729606873865797</v>
      </c>
      <c r="S3363">
        <v>136</v>
      </c>
      <c r="T3363">
        <v>69</v>
      </c>
      <c r="U3363">
        <v>259.76897055468299</v>
      </c>
      <c r="V3363">
        <v>1.8749999999999999E-3</v>
      </c>
      <c r="W3363">
        <v>711559.09827454004</v>
      </c>
      <c r="X3363" t="s">
        <v>38</v>
      </c>
      <c r="Y3363">
        <f>1-257-763-2001</f>
        <v>-3020</v>
      </c>
    </row>
    <row r="3364" spans="1:25" x14ac:dyDescent="0.35">
      <c r="A3364">
        <v>39.448395984949499</v>
      </c>
      <c r="B3364">
        <v>-116.71888561280601</v>
      </c>
      <c r="C3364" t="s">
        <v>25</v>
      </c>
      <c r="D3364">
        <v>41.215013989809897</v>
      </c>
      <c r="E3364">
        <v>5</v>
      </c>
      <c r="F3364">
        <v>2735</v>
      </c>
      <c r="G3364">
        <v>1</v>
      </c>
      <c r="H3364">
        <v>2</v>
      </c>
      <c r="I3364">
        <v>1951</v>
      </c>
      <c r="J3364">
        <v>1</v>
      </c>
      <c r="K3364">
        <v>1</v>
      </c>
      <c r="L3364">
        <v>0</v>
      </c>
      <c r="M3364">
        <v>3</v>
      </c>
      <c r="N3364" t="s">
        <v>26</v>
      </c>
      <c r="O3364" t="s">
        <v>30</v>
      </c>
      <c r="P3364">
        <v>14.1478085880441</v>
      </c>
      <c r="Q3364">
        <v>0.70703966916963301</v>
      </c>
      <c r="R3364">
        <v>6.5161912930016097</v>
      </c>
      <c r="S3364">
        <v>0</v>
      </c>
      <c r="T3364">
        <v>50</v>
      </c>
      <c r="U3364">
        <v>776.80680239217997</v>
      </c>
      <c r="V3364">
        <v>1.09689213893967E-3</v>
      </c>
      <c r="W3364">
        <v>2414493.3507280601</v>
      </c>
      <c r="X3364" t="s">
        <v>31</v>
      </c>
      <c r="Y3364">
        <f>1-675-706-3306</f>
        <v>-4686</v>
      </c>
    </row>
    <row r="3365" spans="1:25" x14ac:dyDescent="0.35">
      <c r="A3365">
        <v>36.853431653873201</v>
      </c>
      <c r="B3365">
        <v>-115.98448647609101</v>
      </c>
      <c r="C3365" t="s">
        <v>29</v>
      </c>
      <c r="D3365">
        <v>4.3725770990730899</v>
      </c>
      <c r="E3365">
        <v>7</v>
      </c>
      <c r="F3365">
        <v>2191</v>
      </c>
      <c r="G3365">
        <v>4</v>
      </c>
      <c r="H3365">
        <v>2</v>
      </c>
      <c r="I3365">
        <v>1997</v>
      </c>
      <c r="J3365">
        <v>1</v>
      </c>
      <c r="K3365">
        <v>0</v>
      </c>
      <c r="L3365">
        <v>0</v>
      </c>
      <c r="M3365">
        <v>8</v>
      </c>
      <c r="N3365" t="s">
        <v>41</v>
      </c>
      <c r="O3365" t="s">
        <v>32</v>
      </c>
      <c r="P3365">
        <v>6.0633426313960204</v>
      </c>
      <c r="Q3365">
        <v>2.2181655889728198</v>
      </c>
      <c r="R3365">
        <v>7.6964181526128597</v>
      </c>
      <c r="S3365">
        <v>109</v>
      </c>
      <c r="T3365">
        <v>56</v>
      </c>
      <c r="U3365">
        <v>892.38172749076296</v>
      </c>
      <c r="V3365">
        <v>3.6513007759014101E-3</v>
      </c>
      <c r="W3365">
        <v>2155489.5648050001</v>
      </c>
      <c r="X3365" t="s">
        <v>33</v>
      </c>
      <c r="Y3365">
        <f>1-925-940-7984</f>
        <v>-9848</v>
      </c>
    </row>
    <row r="3366" spans="1:25" x14ac:dyDescent="0.35">
      <c r="A3366">
        <v>39.314058632955998</v>
      </c>
      <c r="B3366">
        <v>-124.137438502493</v>
      </c>
      <c r="C3366" t="s">
        <v>25</v>
      </c>
      <c r="D3366">
        <v>39.152806094609197</v>
      </c>
      <c r="E3366">
        <v>5</v>
      </c>
      <c r="F3366">
        <v>1663</v>
      </c>
      <c r="G3366">
        <v>3</v>
      </c>
      <c r="H3366">
        <v>1</v>
      </c>
      <c r="I3366">
        <v>1985</v>
      </c>
      <c r="J3366">
        <v>1</v>
      </c>
      <c r="K3366">
        <v>1</v>
      </c>
      <c r="L3366">
        <v>0</v>
      </c>
      <c r="M3366">
        <v>2</v>
      </c>
      <c r="N3366" t="s">
        <v>26</v>
      </c>
      <c r="O3366" t="s">
        <v>32</v>
      </c>
      <c r="P3366">
        <v>6.3617067644944303</v>
      </c>
      <c r="Q3366">
        <v>2.1255662771449599</v>
      </c>
      <c r="R3366">
        <v>0.87087689264138202</v>
      </c>
      <c r="S3366">
        <v>49</v>
      </c>
      <c r="T3366">
        <v>21</v>
      </c>
      <c r="U3366">
        <v>978.23950656459795</v>
      </c>
      <c r="V3366">
        <v>1.2026458208057699E-3</v>
      </c>
      <c r="W3366">
        <v>1924107.82805345</v>
      </c>
      <c r="X3366" t="s">
        <v>44</v>
      </c>
      <c r="Y3366">
        <f>1-746-156-3238</f>
        <v>-4139</v>
      </c>
    </row>
    <row r="3367" spans="1:25" x14ac:dyDescent="0.35">
      <c r="A3367">
        <v>32.753546967053197</v>
      </c>
      <c r="B3367">
        <v>-122.54946694255599</v>
      </c>
      <c r="C3367" t="s">
        <v>34</v>
      </c>
      <c r="D3367">
        <v>43.952535279406099</v>
      </c>
      <c r="E3367">
        <v>3</v>
      </c>
      <c r="F3367">
        <v>714</v>
      </c>
      <c r="G3367">
        <v>4</v>
      </c>
      <c r="H3367">
        <v>2</v>
      </c>
      <c r="I3367">
        <v>1990</v>
      </c>
      <c r="J3367">
        <v>0</v>
      </c>
      <c r="K3367">
        <v>1</v>
      </c>
      <c r="L3367">
        <v>0</v>
      </c>
      <c r="M3367">
        <v>12</v>
      </c>
      <c r="N3367" t="s">
        <v>37</v>
      </c>
      <c r="O3367" t="s">
        <v>32</v>
      </c>
      <c r="P3367">
        <v>5.7175924964268203</v>
      </c>
      <c r="Q3367">
        <v>0.95310443274217505</v>
      </c>
      <c r="R3367">
        <v>8.6978808498812707</v>
      </c>
      <c r="S3367">
        <v>98</v>
      </c>
      <c r="T3367">
        <v>54</v>
      </c>
      <c r="U3367">
        <v>444.57882352262698</v>
      </c>
      <c r="V3367">
        <v>1.6806722689075598E-2</v>
      </c>
      <c r="W3367">
        <v>540949.86044387706</v>
      </c>
      <c r="X3367" t="s">
        <v>38</v>
      </c>
      <c r="Y3367">
        <f>1-457-515-9178</f>
        <v>-10149</v>
      </c>
    </row>
    <row r="3368" spans="1:25" x14ac:dyDescent="0.35">
      <c r="A3368">
        <v>38.725671626955503</v>
      </c>
      <c r="B3368">
        <v>-118.453314011103</v>
      </c>
      <c r="C3368" t="s">
        <v>29</v>
      </c>
      <c r="D3368">
        <v>8.6428314169302904</v>
      </c>
      <c r="E3368">
        <v>4</v>
      </c>
      <c r="F3368">
        <v>960</v>
      </c>
      <c r="G3368">
        <v>1</v>
      </c>
      <c r="H3368">
        <v>3</v>
      </c>
      <c r="I3368">
        <v>1995</v>
      </c>
      <c r="J3368">
        <v>0</v>
      </c>
      <c r="K3368">
        <v>0</v>
      </c>
      <c r="L3368">
        <v>1</v>
      </c>
      <c r="M3368">
        <v>12</v>
      </c>
      <c r="N3368" t="s">
        <v>35</v>
      </c>
      <c r="O3368" t="s">
        <v>32</v>
      </c>
      <c r="P3368">
        <v>11.5882513531496</v>
      </c>
      <c r="Q3368">
        <v>1.29684705376405</v>
      </c>
      <c r="R3368">
        <v>7.2436474034370901</v>
      </c>
      <c r="S3368">
        <v>88</v>
      </c>
      <c r="T3368">
        <v>73</v>
      </c>
      <c r="U3368">
        <v>206.46431272837</v>
      </c>
      <c r="V3368">
        <v>1.2500000000000001E-2</v>
      </c>
      <c r="W3368">
        <v>479762.889807662</v>
      </c>
      <c r="X3368" t="s">
        <v>28</v>
      </c>
      <c r="Y3368">
        <f>1-474-897-6340</f>
        <v>-7710</v>
      </c>
    </row>
    <row r="3369" spans="1:25" x14ac:dyDescent="0.35">
      <c r="A3369">
        <v>39.647289253127397</v>
      </c>
      <c r="B3369">
        <v>-120.05035228528099</v>
      </c>
      <c r="C3369" t="s">
        <v>29</v>
      </c>
      <c r="D3369">
        <v>28.1271546896958</v>
      </c>
      <c r="E3369">
        <v>7</v>
      </c>
      <c r="F3369">
        <v>1907</v>
      </c>
      <c r="G3369">
        <v>1</v>
      </c>
      <c r="H3369">
        <v>2</v>
      </c>
      <c r="I3369">
        <v>2003</v>
      </c>
      <c r="J3369">
        <v>1</v>
      </c>
      <c r="K3369">
        <v>0</v>
      </c>
      <c r="L3369">
        <v>1</v>
      </c>
      <c r="M3369">
        <v>7</v>
      </c>
      <c r="N3369" t="s">
        <v>26</v>
      </c>
      <c r="O3369" t="s">
        <v>32</v>
      </c>
      <c r="P3369">
        <v>7.8108781841316404</v>
      </c>
      <c r="Q3369">
        <v>2.39543672093092</v>
      </c>
      <c r="R3369">
        <v>4.8296312946739901</v>
      </c>
      <c r="S3369">
        <v>118</v>
      </c>
      <c r="T3369">
        <v>69</v>
      </c>
      <c r="U3369">
        <v>454.46137030024403</v>
      </c>
      <c r="V3369">
        <v>3.6706869428421601E-3</v>
      </c>
      <c r="W3369">
        <v>999099.20073192206</v>
      </c>
      <c r="X3369" t="s">
        <v>40</v>
      </c>
      <c r="Y3369">
        <f>1-735-997-9221</f>
        <v>-10952</v>
      </c>
    </row>
    <row r="3370" spans="1:25" x14ac:dyDescent="0.35">
      <c r="A3370">
        <v>37.789132457679997</v>
      </c>
      <c r="B3370">
        <v>-117.234821711666</v>
      </c>
      <c r="C3370" t="s">
        <v>25</v>
      </c>
      <c r="D3370">
        <v>25.7360342205445</v>
      </c>
      <c r="E3370">
        <v>2</v>
      </c>
      <c r="F3370">
        <v>1025</v>
      </c>
      <c r="G3370">
        <v>1</v>
      </c>
      <c r="H3370">
        <v>2</v>
      </c>
      <c r="I3370">
        <v>1965</v>
      </c>
      <c r="J3370">
        <v>0</v>
      </c>
      <c r="K3370">
        <v>0</v>
      </c>
      <c r="L3370">
        <v>1</v>
      </c>
      <c r="M3370">
        <v>6</v>
      </c>
      <c r="N3370" t="s">
        <v>35</v>
      </c>
      <c r="O3370" t="s">
        <v>32</v>
      </c>
      <c r="P3370">
        <v>5.6165558928926096</v>
      </c>
      <c r="Q3370">
        <v>2.2265459304805502</v>
      </c>
      <c r="R3370">
        <v>7.1001169503630503</v>
      </c>
      <c r="S3370">
        <v>165</v>
      </c>
      <c r="T3370">
        <v>58</v>
      </c>
      <c r="U3370">
        <v>581.99813380424405</v>
      </c>
      <c r="V3370">
        <v>5.8536585365853598E-3</v>
      </c>
      <c r="W3370">
        <v>671038.33830532897</v>
      </c>
      <c r="X3370" t="s">
        <v>44</v>
      </c>
      <c r="Y3370">
        <f>1-862-452-8013</f>
        <v>-9326</v>
      </c>
    </row>
    <row r="3371" spans="1:25" x14ac:dyDescent="0.35">
      <c r="A3371">
        <v>38.7440617005009</v>
      </c>
      <c r="B3371">
        <v>-120.746112611184</v>
      </c>
      <c r="C3371" t="s">
        <v>29</v>
      </c>
      <c r="D3371">
        <v>10.3809074540567</v>
      </c>
      <c r="E3371">
        <v>8</v>
      </c>
      <c r="F3371">
        <v>2000</v>
      </c>
      <c r="G3371">
        <v>1</v>
      </c>
      <c r="H3371">
        <v>2</v>
      </c>
      <c r="I3371">
        <v>1975</v>
      </c>
      <c r="J3371">
        <v>1</v>
      </c>
      <c r="K3371">
        <v>1</v>
      </c>
      <c r="L3371">
        <v>1</v>
      </c>
      <c r="M3371">
        <v>6</v>
      </c>
      <c r="N3371" t="s">
        <v>41</v>
      </c>
      <c r="O3371" t="s">
        <v>32</v>
      </c>
      <c r="P3371">
        <v>6.9959971580409999</v>
      </c>
      <c r="Q3371">
        <v>1.6684977707389701</v>
      </c>
      <c r="R3371">
        <v>6.0965472044622402</v>
      </c>
      <c r="S3371">
        <v>169</v>
      </c>
      <c r="T3371">
        <v>35</v>
      </c>
      <c r="U3371">
        <v>386.55255728164099</v>
      </c>
      <c r="V3371">
        <v>3.0000000000000001E-3</v>
      </c>
      <c r="W3371">
        <v>940891.17917283298</v>
      </c>
      <c r="X3371" t="s">
        <v>40</v>
      </c>
      <c r="Y3371">
        <f>1-593-747-4449</f>
        <v>-5788</v>
      </c>
    </row>
    <row r="3372" spans="1:25" x14ac:dyDescent="0.35">
      <c r="A3372">
        <v>40.349096948560103</v>
      </c>
      <c r="B3372">
        <v>-120.29659968569899</v>
      </c>
      <c r="C3372" t="s">
        <v>25</v>
      </c>
      <c r="D3372">
        <v>18.902132056866801</v>
      </c>
      <c r="E3372">
        <v>5</v>
      </c>
      <c r="F3372">
        <v>4344</v>
      </c>
      <c r="G3372">
        <v>4</v>
      </c>
      <c r="H3372">
        <v>2</v>
      </c>
      <c r="I3372">
        <v>2009</v>
      </c>
      <c r="J3372">
        <v>1</v>
      </c>
      <c r="K3372">
        <v>0</v>
      </c>
      <c r="L3372">
        <v>1</v>
      </c>
      <c r="M3372">
        <v>13</v>
      </c>
      <c r="N3372" t="s">
        <v>41</v>
      </c>
      <c r="O3372" t="s">
        <v>32</v>
      </c>
      <c r="P3372">
        <v>12.8272317065415</v>
      </c>
      <c r="Q3372">
        <v>1.9331052704607801</v>
      </c>
      <c r="R3372">
        <v>4.63026162772967</v>
      </c>
      <c r="S3372">
        <v>96</v>
      </c>
      <c r="T3372">
        <v>64</v>
      </c>
      <c r="U3372">
        <v>670.42165622083201</v>
      </c>
      <c r="V3372">
        <v>2.99263351749539E-3</v>
      </c>
      <c r="W3372">
        <v>3272530.15957405</v>
      </c>
      <c r="X3372" t="s">
        <v>33</v>
      </c>
      <c r="Y3372">
        <f>1-834-513-6428</f>
        <v>-7774</v>
      </c>
    </row>
    <row r="3373" spans="1:25" x14ac:dyDescent="0.35">
      <c r="A3373">
        <v>34.5740781381133</v>
      </c>
      <c r="B3373">
        <v>-116.034894675733</v>
      </c>
      <c r="C3373" t="s">
        <v>25</v>
      </c>
      <c r="D3373">
        <v>6.8188777015126503</v>
      </c>
      <c r="E3373">
        <v>3</v>
      </c>
      <c r="F3373">
        <v>3590</v>
      </c>
      <c r="G3373">
        <v>1</v>
      </c>
      <c r="H3373">
        <v>3</v>
      </c>
      <c r="I3373">
        <v>1994</v>
      </c>
      <c r="J3373">
        <v>0</v>
      </c>
      <c r="K3373">
        <v>1</v>
      </c>
      <c r="L3373">
        <v>0</v>
      </c>
      <c r="M3373">
        <v>4</v>
      </c>
      <c r="N3373" t="s">
        <v>35</v>
      </c>
      <c r="O3373" t="s">
        <v>30</v>
      </c>
      <c r="P3373">
        <v>11.291334898869</v>
      </c>
      <c r="Q3373">
        <v>1.4309110872592199</v>
      </c>
      <c r="R3373">
        <v>3.3861572661070101</v>
      </c>
      <c r="S3373">
        <v>137</v>
      </c>
      <c r="T3373">
        <v>62</v>
      </c>
      <c r="U3373">
        <v>427.39427625728399</v>
      </c>
      <c r="V3373">
        <v>1.1142061281337E-3</v>
      </c>
      <c r="W3373">
        <v>1816202.7199544201</v>
      </c>
      <c r="X3373" t="s">
        <v>28</v>
      </c>
      <c r="Y3373">
        <f>1-507-228-6009</f>
        <v>-6743</v>
      </c>
    </row>
    <row r="3374" spans="1:25" x14ac:dyDescent="0.35">
      <c r="A3374">
        <v>41.936798615097203</v>
      </c>
      <c r="B3374">
        <v>-119.927873412868</v>
      </c>
      <c r="C3374" t="s">
        <v>25</v>
      </c>
      <c r="D3374">
        <v>29.669110827607401</v>
      </c>
      <c r="E3374">
        <v>8</v>
      </c>
      <c r="F3374">
        <v>3257</v>
      </c>
      <c r="G3374">
        <v>1</v>
      </c>
      <c r="H3374">
        <v>3</v>
      </c>
      <c r="I3374">
        <v>2018</v>
      </c>
      <c r="J3374">
        <v>1</v>
      </c>
      <c r="K3374">
        <v>1</v>
      </c>
      <c r="L3374">
        <v>0</v>
      </c>
      <c r="M3374">
        <v>11</v>
      </c>
      <c r="N3374" t="s">
        <v>41</v>
      </c>
      <c r="O3374" t="s">
        <v>32</v>
      </c>
      <c r="P3374">
        <v>8.2374090011721499</v>
      </c>
      <c r="Q3374">
        <v>0.65448211132502498</v>
      </c>
      <c r="R3374">
        <v>8.5255500403271203</v>
      </c>
      <c r="S3374">
        <v>76</v>
      </c>
      <c r="T3374">
        <v>57</v>
      </c>
      <c r="U3374">
        <v>931.271272193757</v>
      </c>
      <c r="V3374">
        <v>3.3773411114522501E-3</v>
      </c>
      <c r="W3374">
        <v>3345318.9729336798</v>
      </c>
      <c r="X3374" t="s">
        <v>39</v>
      </c>
      <c r="Y3374">
        <f>1-693-837-3930</f>
        <v>-5459</v>
      </c>
    </row>
    <row r="3375" spans="1:25" x14ac:dyDescent="0.35">
      <c r="A3375">
        <v>37.155270560377602</v>
      </c>
      <c r="B3375">
        <v>-115.451025801074</v>
      </c>
      <c r="C3375" t="s">
        <v>25</v>
      </c>
      <c r="D3375">
        <v>5.5815983601159997</v>
      </c>
      <c r="E3375">
        <v>9</v>
      </c>
      <c r="F3375">
        <v>3093</v>
      </c>
      <c r="G3375">
        <v>4</v>
      </c>
      <c r="H3375">
        <v>1</v>
      </c>
      <c r="I3375">
        <v>1996</v>
      </c>
      <c r="J3375">
        <v>1</v>
      </c>
      <c r="K3375">
        <v>0</v>
      </c>
      <c r="L3375">
        <v>1</v>
      </c>
      <c r="M3375">
        <v>9</v>
      </c>
      <c r="N3375" t="s">
        <v>37</v>
      </c>
      <c r="O3375" t="s">
        <v>30</v>
      </c>
      <c r="P3375">
        <v>7.36169791238214</v>
      </c>
      <c r="Q3375">
        <v>2.3765140267581102</v>
      </c>
      <c r="R3375">
        <v>0.35188265339421698</v>
      </c>
      <c r="S3375">
        <v>60</v>
      </c>
      <c r="T3375">
        <v>25</v>
      </c>
      <c r="U3375">
        <v>773.166698351322</v>
      </c>
      <c r="V3375">
        <v>2.9097963142579999E-3</v>
      </c>
      <c r="W3375">
        <v>2791599.4423588198</v>
      </c>
      <c r="X3375" t="s">
        <v>44</v>
      </c>
      <c r="Y3375">
        <f>1-632-318-6684</f>
        <v>-7633</v>
      </c>
    </row>
    <row r="3376" spans="1:25" x14ac:dyDescent="0.35">
      <c r="A3376">
        <v>37.747389450136303</v>
      </c>
      <c r="B3376">
        <v>-119.07446192288</v>
      </c>
      <c r="C3376" t="s">
        <v>25</v>
      </c>
      <c r="D3376">
        <v>8.4140629358534191</v>
      </c>
      <c r="E3376">
        <v>5</v>
      </c>
      <c r="F3376">
        <v>1507</v>
      </c>
      <c r="G3376">
        <v>1</v>
      </c>
      <c r="H3376">
        <v>2</v>
      </c>
      <c r="I3376">
        <v>1950</v>
      </c>
      <c r="J3376">
        <v>1</v>
      </c>
      <c r="K3376">
        <v>1</v>
      </c>
      <c r="L3376">
        <v>1</v>
      </c>
      <c r="M3376">
        <v>8</v>
      </c>
      <c r="N3376" t="s">
        <v>35</v>
      </c>
      <c r="O3376" t="s">
        <v>30</v>
      </c>
      <c r="P3376">
        <v>6.0856139001013903</v>
      </c>
      <c r="Q3376">
        <v>0.71447637450397194</v>
      </c>
      <c r="R3376">
        <v>4.8885356675953</v>
      </c>
      <c r="S3376">
        <v>169</v>
      </c>
      <c r="T3376">
        <v>65</v>
      </c>
      <c r="U3376">
        <v>765.747307919744</v>
      </c>
      <c r="V3376">
        <v>5.3085600530855996E-3</v>
      </c>
      <c r="W3376">
        <v>1356512.4944599799</v>
      </c>
      <c r="X3376" t="s">
        <v>39</v>
      </c>
      <c r="Y3376">
        <f>1-238-703-8576</f>
        <v>-9516</v>
      </c>
    </row>
    <row r="3377" spans="1:25" x14ac:dyDescent="0.35">
      <c r="A3377">
        <v>33.847553053649101</v>
      </c>
      <c r="B3377">
        <v>-114.552272989504</v>
      </c>
      <c r="C3377" t="s">
        <v>25</v>
      </c>
      <c r="D3377">
        <v>26.612364233623101</v>
      </c>
      <c r="E3377">
        <v>1</v>
      </c>
      <c r="F3377">
        <v>1265</v>
      </c>
      <c r="G3377">
        <v>1</v>
      </c>
      <c r="H3377">
        <v>2</v>
      </c>
      <c r="I3377">
        <v>2021</v>
      </c>
      <c r="J3377">
        <v>1</v>
      </c>
      <c r="K3377">
        <v>1</v>
      </c>
      <c r="L3377">
        <v>1</v>
      </c>
      <c r="M3377">
        <v>7</v>
      </c>
      <c r="N3377" t="s">
        <v>35</v>
      </c>
      <c r="O3377" t="s">
        <v>32</v>
      </c>
      <c r="P3377">
        <v>3.2746625650234602</v>
      </c>
      <c r="Q3377">
        <v>0.75972916199386498</v>
      </c>
      <c r="R3377">
        <v>2.5125278879353998</v>
      </c>
      <c r="S3377">
        <v>137</v>
      </c>
      <c r="T3377">
        <v>57</v>
      </c>
      <c r="U3377">
        <v>454.513514027501</v>
      </c>
      <c r="V3377">
        <v>5.5335968379446598E-3</v>
      </c>
      <c r="W3377">
        <v>810178.67970593297</v>
      </c>
      <c r="X3377" t="s">
        <v>31</v>
      </c>
      <c r="Y3377">
        <f>1-882-542-9828</f>
        <v>-11251</v>
      </c>
    </row>
    <row r="3378" spans="1:25" x14ac:dyDescent="0.35">
      <c r="A3378">
        <v>41.771479833480797</v>
      </c>
      <c r="B3378">
        <v>-117.226458956019</v>
      </c>
      <c r="C3378" t="s">
        <v>25</v>
      </c>
      <c r="D3378">
        <v>12.391963666634499</v>
      </c>
      <c r="E3378">
        <v>3</v>
      </c>
      <c r="F3378">
        <v>3608</v>
      </c>
      <c r="G3378">
        <v>5</v>
      </c>
      <c r="H3378">
        <v>2</v>
      </c>
      <c r="I3378">
        <v>1970</v>
      </c>
      <c r="J3378">
        <v>0</v>
      </c>
      <c r="K3378">
        <v>0</v>
      </c>
      <c r="L3378">
        <v>0</v>
      </c>
      <c r="M3378">
        <v>10</v>
      </c>
      <c r="N3378" t="s">
        <v>37</v>
      </c>
      <c r="O3378" t="s">
        <v>30</v>
      </c>
      <c r="P3378">
        <v>6.5405365797559298</v>
      </c>
      <c r="Q3378">
        <v>2.1840793095394102</v>
      </c>
      <c r="R3378">
        <v>5.2134225504664098</v>
      </c>
      <c r="S3378">
        <v>14</v>
      </c>
      <c r="T3378">
        <v>38</v>
      </c>
      <c r="U3378">
        <v>262.26650790415198</v>
      </c>
      <c r="V3378">
        <v>2.7716186252771599E-3</v>
      </c>
      <c r="W3378">
        <v>1210878.9309648499</v>
      </c>
      <c r="X3378" t="s">
        <v>40</v>
      </c>
      <c r="Y3378">
        <f>1-621-404-4526</f>
        <v>-5550</v>
      </c>
    </row>
    <row r="3379" spans="1:25" x14ac:dyDescent="0.35">
      <c r="A3379">
        <v>34.789678851120101</v>
      </c>
      <c r="B3379">
        <v>-122.05874000455201</v>
      </c>
      <c r="C3379" t="s">
        <v>34</v>
      </c>
      <c r="D3379">
        <v>24.0430754483402</v>
      </c>
      <c r="E3379">
        <v>7</v>
      </c>
      <c r="F3379">
        <v>907</v>
      </c>
      <c r="G3379">
        <v>5</v>
      </c>
      <c r="H3379">
        <v>3</v>
      </c>
      <c r="I3379">
        <v>1986</v>
      </c>
      <c r="J3379">
        <v>0</v>
      </c>
      <c r="K3379">
        <v>1</v>
      </c>
      <c r="L3379">
        <v>0</v>
      </c>
      <c r="M3379">
        <v>4</v>
      </c>
      <c r="N3379" t="s">
        <v>35</v>
      </c>
      <c r="O3379" t="s">
        <v>30</v>
      </c>
      <c r="P3379">
        <v>5.7384154341647999</v>
      </c>
      <c r="Q3379">
        <v>2.03695287817906</v>
      </c>
      <c r="R3379">
        <v>1.0132572168968601</v>
      </c>
      <c r="S3379">
        <v>72</v>
      </c>
      <c r="T3379">
        <v>39</v>
      </c>
      <c r="U3379">
        <v>445.50649126501099</v>
      </c>
      <c r="V3379">
        <v>4.4101433296582096E-3</v>
      </c>
      <c r="W3379">
        <v>873469.62680781505</v>
      </c>
      <c r="X3379" t="s">
        <v>39</v>
      </c>
      <c r="Y3379">
        <f>1-910-346-6743</f>
        <v>-7998</v>
      </c>
    </row>
    <row r="3380" spans="1:25" x14ac:dyDescent="0.35">
      <c r="A3380">
        <v>39.604688584809097</v>
      </c>
      <c r="B3380">
        <v>-122.23665893953201</v>
      </c>
      <c r="C3380" t="s">
        <v>25</v>
      </c>
      <c r="D3380">
        <v>46.162437531421503</v>
      </c>
      <c r="E3380">
        <v>9</v>
      </c>
      <c r="F3380">
        <v>736</v>
      </c>
      <c r="G3380">
        <v>4</v>
      </c>
      <c r="H3380">
        <v>3</v>
      </c>
      <c r="I3380">
        <v>1996</v>
      </c>
      <c r="J3380">
        <v>0</v>
      </c>
      <c r="K3380">
        <v>1</v>
      </c>
      <c r="L3380">
        <v>1</v>
      </c>
      <c r="M3380">
        <v>13</v>
      </c>
      <c r="N3380" t="s">
        <v>41</v>
      </c>
      <c r="O3380" t="s">
        <v>32</v>
      </c>
      <c r="P3380">
        <v>4.58260475881288</v>
      </c>
      <c r="Q3380">
        <v>2.1567877485576199</v>
      </c>
      <c r="R3380">
        <v>6.3708997627507102</v>
      </c>
      <c r="S3380">
        <v>171</v>
      </c>
      <c r="T3380">
        <v>50</v>
      </c>
      <c r="U3380">
        <v>681.74656587111599</v>
      </c>
      <c r="V3380">
        <v>1.7663043478260799E-2</v>
      </c>
      <c r="W3380">
        <v>812178.12553288997</v>
      </c>
      <c r="X3380" t="s">
        <v>28</v>
      </c>
      <c r="Y3380">
        <f>1-405-844-2880</f>
        <v>-4128</v>
      </c>
    </row>
    <row r="3381" spans="1:25" x14ac:dyDescent="0.35">
      <c r="A3381">
        <v>35.315319357236703</v>
      </c>
      <c r="B3381">
        <v>-115.556014752862</v>
      </c>
      <c r="C3381" t="s">
        <v>25</v>
      </c>
      <c r="D3381">
        <v>10.895253654595599</v>
      </c>
      <c r="E3381">
        <v>2</v>
      </c>
      <c r="F3381">
        <v>3142</v>
      </c>
      <c r="G3381">
        <v>5</v>
      </c>
      <c r="H3381">
        <v>1</v>
      </c>
      <c r="I3381">
        <v>1986</v>
      </c>
      <c r="J3381">
        <v>0</v>
      </c>
      <c r="K3381">
        <v>1</v>
      </c>
      <c r="L3381">
        <v>1</v>
      </c>
      <c r="M3381">
        <v>12</v>
      </c>
      <c r="N3381" t="s">
        <v>26</v>
      </c>
      <c r="O3381" t="s">
        <v>27</v>
      </c>
      <c r="P3381">
        <v>14.354971769631501</v>
      </c>
      <c r="Q3381">
        <v>1.93696690722524</v>
      </c>
      <c r="R3381">
        <v>3.4797728683374198</v>
      </c>
      <c r="S3381">
        <v>85</v>
      </c>
      <c r="T3381">
        <v>32</v>
      </c>
      <c r="U3381">
        <v>338.65476866714198</v>
      </c>
      <c r="V3381">
        <v>3.8192234245703299E-3</v>
      </c>
      <c r="W3381">
        <v>1560769.0960289999</v>
      </c>
      <c r="X3381" t="s">
        <v>31</v>
      </c>
      <c r="Y3381">
        <f>1-203-226-1109</f>
        <v>-1537</v>
      </c>
    </row>
    <row r="3382" spans="1:25" x14ac:dyDescent="0.35">
      <c r="A3382">
        <v>40.601331944813801</v>
      </c>
      <c r="B3382">
        <v>-123.286623358727</v>
      </c>
      <c r="C3382" t="s">
        <v>25</v>
      </c>
      <c r="D3382">
        <v>13.7785200183523</v>
      </c>
      <c r="E3382">
        <v>4</v>
      </c>
      <c r="F3382">
        <v>3930</v>
      </c>
      <c r="G3382">
        <v>4</v>
      </c>
      <c r="H3382">
        <v>3</v>
      </c>
      <c r="I3382">
        <v>1969</v>
      </c>
      <c r="J3382">
        <v>1</v>
      </c>
      <c r="K3382">
        <v>1</v>
      </c>
      <c r="L3382">
        <v>0</v>
      </c>
      <c r="M3382">
        <v>2</v>
      </c>
      <c r="N3382" t="s">
        <v>41</v>
      </c>
      <c r="O3382" t="s">
        <v>32</v>
      </c>
      <c r="P3382">
        <v>6.6462294011221204</v>
      </c>
      <c r="Q3382">
        <v>0.78382300311156095</v>
      </c>
      <c r="R3382">
        <v>9.0852486880827197</v>
      </c>
      <c r="S3382">
        <v>6</v>
      </c>
      <c r="T3382">
        <v>55</v>
      </c>
      <c r="U3382">
        <v>724.75501178085699</v>
      </c>
      <c r="V3382">
        <v>5.0890585241730203E-4</v>
      </c>
      <c r="W3382">
        <v>3255540.2012739601</v>
      </c>
      <c r="X3382" t="s">
        <v>39</v>
      </c>
      <c r="Y3382">
        <f>1-451-583-5223</f>
        <v>-6256</v>
      </c>
    </row>
    <row r="3383" spans="1:25" x14ac:dyDescent="0.35">
      <c r="A3383">
        <v>41.253790986784402</v>
      </c>
      <c r="B3383">
        <v>-123.78392424217201</v>
      </c>
      <c r="C3383" t="s">
        <v>29</v>
      </c>
      <c r="D3383">
        <v>44.1528559471382</v>
      </c>
      <c r="E3383">
        <v>4</v>
      </c>
      <c r="F3383">
        <v>2841</v>
      </c>
      <c r="G3383">
        <v>4</v>
      </c>
      <c r="H3383">
        <v>3</v>
      </c>
      <c r="I3383">
        <v>1967</v>
      </c>
      <c r="J3383">
        <v>0</v>
      </c>
      <c r="K3383">
        <v>1</v>
      </c>
      <c r="L3383">
        <v>0</v>
      </c>
      <c r="M3383">
        <v>12</v>
      </c>
      <c r="N3383" t="s">
        <v>35</v>
      </c>
      <c r="O3383" t="s">
        <v>27</v>
      </c>
      <c r="P3383">
        <v>11.7934033822439</v>
      </c>
      <c r="Q3383">
        <v>2.3797258385040099</v>
      </c>
      <c r="R3383">
        <v>0.18410973230734401</v>
      </c>
      <c r="S3383">
        <v>100</v>
      </c>
      <c r="T3383">
        <v>31</v>
      </c>
      <c r="U3383">
        <v>595.33634104242503</v>
      </c>
      <c r="V3383">
        <v>4.2238648363252303E-3</v>
      </c>
      <c r="W3383">
        <v>2128841.3975543799</v>
      </c>
      <c r="X3383" t="s">
        <v>36</v>
      </c>
      <c r="Y3383">
        <f>1-533-376-8157</f>
        <v>-9065</v>
      </c>
    </row>
    <row r="3384" spans="1:25" x14ac:dyDescent="0.35">
      <c r="A3384">
        <v>34.578297117948203</v>
      </c>
      <c r="B3384">
        <v>-119.862190566759</v>
      </c>
      <c r="C3384" t="s">
        <v>34</v>
      </c>
      <c r="D3384">
        <v>20.867315228225099</v>
      </c>
      <c r="E3384">
        <v>6</v>
      </c>
      <c r="F3384">
        <v>1131</v>
      </c>
      <c r="G3384">
        <v>4</v>
      </c>
      <c r="H3384">
        <v>3</v>
      </c>
      <c r="I3384">
        <v>1972</v>
      </c>
      <c r="J3384">
        <v>1</v>
      </c>
      <c r="K3384">
        <v>0</v>
      </c>
      <c r="L3384">
        <v>1</v>
      </c>
      <c r="M3384">
        <v>13</v>
      </c>
      <c r="N3384" t="s">
        <v>26</v>
      </c>
      <c r="O3384" t="s">
        <v>32</v>
      </c>
      <c r="P3384">
        <v>8.0356797011708991</v>
      </c>
      <c r="Q3384">
        <v>0.78789343413944302</v>
      </c>
      <c r="R3384">
        <v>2.04826702481509</v>
      </c>
      <c r="S3384">
        <v>189</v>
      </c>
      <c r="T3384">
        <v>50</v>
      </c>
      <c r="U3384">
        <v>251.43776315075999</v>
      </c>
      <c r="V3384">
        <v>1.1494252873563199E-2</v>
      </c>
      <c r="W3384">
        <v>568127.52243344695</v>
      </c>
      <c r="X3384" t="s">
        <v>42</v>
      </c>
      <c r="Y3384">
        <f>1-815-529-9996</f>
        <v>-11339</v>
      </c>
    </row>
    <row r="3385" spans="1:25" x14ac:dyDescent="0.35">
      <c r="A3385">
        <v>38.049789306323802</v>
      </c>
      <c r="B3385">
        <v>-115.199917954027</v>
      </c>
      <c r="C3385" t="s">
        <v>29</v>
      </c>
      <c r="D3385">
        <v>6.8909897345849096</v>
      </c>
      <c r="E3385">
        <v>2</v>
      </c>
      <c r="F3385">
        <v>900</v>
      </c>
      <c r="G3385">
        <v>1</v>
      </c>
      <c r="H3385">
        <v>3</v>
      </c>
      <c r="I3385">
        <v>2000</v>
      </c>
      <c r="J3385">
        <v>1</v>
      </c>
      <c r="K3385">
        <v>1</v>
      </c>
      <c r="L3385">
        <v>1</v>
      </c>
      <c r="M3385">
        <v>9</v>
      </c>
      <c r="N3385" t="s">
        <v>41</v>
      </c>
      <c r="O3385" t="s">
        <v>27</v>
      </c>
      <c r="P3385">
        <v>4.6685522590345903</v>
      </c>
      <c r="Q3385">
        <v>1.3070610166621901</v>
      </c>
      <c r="R3385">
        <v>9.0272226032071995E-2</v>
      </c>
      <c r="S3385">
        <v>66</v>
      </c>
      <c r="T3385">
        <v>72</v>
      </c>
      <c r="U3385">
        <v>387.70915280995399</v>
      </c>
      <c r="V3385">
        <v>0.01</v>
      </c>
      <c r="W3385">
        <v>637022.54615539603</v>
      </c>
      <c r="X3385" t="s">
        <v>38</v>
      </c>
      <c r="Y3385">
        <f>1-960-705-7377</f>
        <v>-9041</v>
      </c>
    </row>
    <row r="3386" spans="1:25" x14ac:dyDescent="0.35">
      <c r="A3386">
        <v>41.906274768716202</v>
      </c>
      <c r="B3386">
        <v>-118.433070229675</v>
      </c>
      <c r="C3386" t="s">
        <v>29</v>
      </c>
      <c r="D3386">
        <v>33.110233391263698</v>
      </c>
      <c r="E3386">
        <v>0</v>
      </c>
      <c r="F3386">
        <v>3688</v>
      </c>
      <c r="G3386">
        <v>1</v>
      </c>
      <c r="H3386">
        <v>3</v>
      </c>
      <c r="I3386">
        <v>1951</v>
      </c>
      <c r="J3386">
        <v>1</v>
      </c>
      <c r="K3386">
        <v>1</v>
      </c>
      <c r="L3386">
        <v>0</v>
      </c>
      <c r="M3386">
        <v>7</v>
      </c>
      <c r="N3386" t="s">
        <v>35</v>
      </c>
      <c r="O3386" t="s">
        <v>27</v>
      </c>
      <c r="P3386">
        <v>14.6810747393799</v>
      </c>
      <c r="Q3386">
        <v>1.65539033239176</v>
      </c>
      <c r="R3386">
        <v>3.0730640331661898</v>
      </c>
      <c r="S3386">
        <v>41</v>
      </c>
      <c r="T3386">
        <v>73</v>
      </c>
      <c r="U3386">
        <v>521.61383923178801</v>
      </c>
      <c r="V3386">
        <v>1.89804772234273E-3</v>
      </c>
      <c r="W3386">
        <v>2190293.5915204198</v>
      </c>
      <c r="X3386" t="s">
        <v>33</v>
      </c>
      <c r="Y3386">
        <f>1-495-363-9151</f>
        <v>-10008</v>
      </c>
    </row>
    <row r="3387" spans="1:25" x14ac:dyDescent="0.35">
      <c r="A3387">
        <v>37.471345098302997</v>
      </c>
      <c r="B3387">
        <v>-114.506133904</v>
      </c>
      <c r="C3387" t="s">
        <v>25</v>
      </c>
      <c r="D3387">
        <v>40.954507827084498</v>
      </c>
      <c r="E3387">
        <v>1</v>
      </c>
      <c r="F3387">
        <v>2959</v>
      </c>
      <c r="G3387">
        <v>4</v>
      </c>
      <c r="H3387">
        <v>2</v>
      </c>
      <c r="I3387">
        <v>1973</v>
      </c>
      <c r="J3387">
        <v>1</v>
      </c>
      <c r="K3387">
        <v>1</v>
      </c>
      <c r="L3387">
        <v>0</v>
      </c>
      <c r="M3387">
        <v>8</v>
      </c>
      <c r="N3387" t="s">
        <v>35</v>
      </c>
      <c r="O3387" t="s">
        <v>32</v>
      </c>
      <c r="P3387">
        <v>7.4762143416637503</v>
      </c>
      <c r="Q3387">
        <v>2.4839476381138299</v>
      </c>
      <c r="R3387">
        <v>3.4020352783343699</v>
      </c>
      <c r="S3387">
        <v>153</v>
      </c>
      <c r="T3387">
        <v>75</v>
      </c>
      <c r="U3387">
        <v>737.64729451179403</v>
      </c>
      <c r="V3387">
        <v>2.7036160865157098E-3</v>
      </c>
      <c r="W3387">
        <v>2504852.2851709998</v>
      </c>
      <c r="X3387" t="s">
        <v>40</v>
      </c>
      <c r="Y3387">
        <f>1-879-604-3514</f>
        <v>-4996</v>
      </c>
    </row>
    <row r="3388" spans="1:25" x14ac:dyDescent="0.35">
      <c r="A3388">
        <v>40.745769770571599</v>
      </c>
      <c r="B3388">
        <v>-121.953956368495</v>
      </c>
      <c r="C3388" t="s">
        <v>29</v>
      </c>
      <c r="D3388">
        <v>1.97099527253855</v>
      </c>
      <c r="E3388">
        <v>9</v>
      </c>
      <c r="F3388">
        <v>882</v>
      </c>
      <c r="G3388">
        <v>4</v>
      </c>
      <c r="H3388">
        <v>3</v>
      </c>
      <c r="I3388">
        <v>1958</v>
      </c>
      <c r="J3388">
        <v>1</v>
      </c>
      <c r="K3388">
        <v>1</v>
      </c>
      <c r="L3388">
        <v>1</v>
      </c>
      <c r="M3388">
        <v>12</v>
      </c>
      <c r="N3388" t="s">
        <v>35</v>
      </c>
      <c r="O3388" t="s">
        <v>32</v>
      </c>
      <c r="P3388">
        <v>11.7143209235221</v>
      </c>
      <c r="Q3388">
        <v>1.8779198612252701</v>
      </c>
      <c r="R3388">
        <v>9.4886893538945092</v>
      </c>
      <c r="S3388">
        <v>129</v>
      </c>
      <c r="T3388">
        <v>36</v>
      </c>
      <c r="U3388">
        <v>574.06944391910599</v>
      </c>
      <c r="V3388">
        <v>1.3605442176870699E-2</v>
      </c>
      <c r="W3388">
        <v>908491.80332800897</v>
      </c>
      <c r="X3388" t="s">
        <v>31</v>
      </c>
      <c r="Y3388">
        <f>1-636-704-4539</f>
        <v>-5878</v>
      </c>
    </row>
    <row r="3389" spans="1:25" x14ac:dyDescent="0.35">
      <c r="A3389">
        <v>33.410833960353798</v>
      </c>
      <c r="B3389">
        <v>-120.50701373976899</v>
      </c>
      <c r="C3389" t="s">
        <v>34</v>
      </c>
      <c r="D3389">
        <v>40.165109604836303</v>
      </c>
      <c r="E3389">
        <v>9</v>
      </c>
      <c r="F3389">
        <v>4986</v>
      </c>
      <c r="G3389">
        <v>5</v>
      </c>
      <c r="H3389">
        <v>2</v>
      </c>
      <c r="I3389">
        <v>2019</v>
      </c>
      <c r="J3389">
        <v>1</v>
      </c>
      <c r="K3389">
        <v>1</v>
      </c>
      <c r="L3389">
        <v>0</v>
      </c>
      <c r="M3389">
        <v>12</v>
      </c>
      <c r="N3389" t="s">
        <v>35</v>
      </c>
      <c r="O3389" t="s">
        <v>32</v>
      </c>
      <c r="P3389">
        <v>9.3986725536166098</v>
      </c>
      <c r="Q3389">
        <v>1.66720181036236</v>
      </c>
      <c r="R3389">
        <v>8.1042285164252608</v>
      </c>
      <c r="S3389">
        <v>89</v>
      </c>
      <c r="T3389">
        <v>21</v>
      </c>
      <c r="U3389">
        <v>296.628865979632</v>
      </c>
      <c r="V3389">
        <v>2.40673886883273E-3</v>
      </c>
      <c r="W3389">
        <v>1962925.4458050099</v>
      </c>
      <c r="X3389" t="s">
        <v>31</v>
      </c>
      <c r="Y3389">
        <f>1-765-749-7304</f>
        <v>-8817</v>
      </c>
    </row>
    <row r="3390" spans="1:25" x14ac:dyDescent="0.35">
      <c r="A3390">
        <v>34.094487499896502</v>
      </c>
      <c r="B3390">
        <v>-120.67964869840399</v>
      </c>
      <c r="C3390" t="s">
        <v>34</v>
      </c>
      <c r="D3390">
        <v>38.983042229383301</v>
      </c>
      <c r="E3390">
        <v>2</v>
      </c>
      <c r="F3390">
        <v>1305</v>
      </c>
      <c r="G3390">
        <v>3</v>
      </c>
      <c r="H3390">
        <v>2</v>
      </c>
      <c r="I3390">
        <v>2021</v>
      </c>
      <c r="J3390">
        <v>1</v>
      </c>
      <c r="K3390">
        <v>1</v>
      </c>
      <c r="L3390">
        <v>0</v>
      </c>
      <c r="M3390">
        <v>5</v>
      </c>
      <c r="N3390" t="s">
        <v>35</v>
      </c>
      <c r="O3390" t="s">
        <v>32</v>
      </c>
      <c r="P3390">
        <v>12.544458035226301</v>
      </c>
      <c r="Q3390">
        <v>2.2822233075565799</v>
      </c>
      <c r="R3390">
        <v>3.4654914565605202</v>
      </c>
      <c r="S3390">
        <v>168</v>
      </c>
      <c r="T3390">
        <v>50</v>
      </c>
      <c r="U3390">
        <v>886.02686160832798</v>
      </c>
      <c r="V3390">
        <v>3.83141762452107E-3</v>
      </c>
      <c r="W3390">
        <v>1567017.04294969</v>
      </c>
      <c r="X3390" t="s">
        <v>33</v>
      </c>
      <c r="Y3390">
        <f>1-269-623-3555</f>
        <v>-4446</v>
      </c>
    </row>
    <row r="3391" spans="1:25" x14ac:dyDescent="0.35">
      <c r="A3391">
        <v>33.760230817322501</v>
      </c>
      <c r="B3391">
        <v>-122.643065954626</v>
      </c>
      <c r="C3391" t="s">
        <v>34</v>
      </c>
      <c r="D3391">
        <v>47.218537350261499</v>
      </c>
      <c r="E3391">
        <v>0</v>
      </c>
      <c r="F3391">
        <v>1633</v>
      </c>
      <c r="G3391">
        <v>3</v>
      </c>
      <c r="H3391">
        <v>2</v>
      </c>
      <c r="I3391">
        <v>1961</v>
      </c>
      <c r="J3391">
        <v>0</v>
      </c>
      <c r="K3391">
        <v>0</v>
      </c>
      <c r="L3391">
        <v>0</v>
      </c>
      <c r="M3391">
        <v>12</v>
      </c>
      <c r="N3391" t="s">
        <v>35</v>
      </c>
      <c r="O3391" t="s">
        <v>30</v>
      </c>
      <c r="P3391">
        <v>13.192265444208401</v>
      </c>
      <c r="Q3391">
        <v>0.65740494770701097</v>
      </c>
      <c r="R3391">
        <v>2.42849187436217</v>
      </c>
      <c r="S3391">
        <v>111</v>
      </c>
      <c r="T3391">
        <v>26</v>
      </c>
      <c r="U3391">
        <v>664.85174627631898</v>
      </c>
      <c r="V3391">
        <v>7.3484384568279198E-3</v>
      </c>
      <c r="W3391">
        <v>1304214.76670851</v>
      </c>
      <c r="X3391" t="s">
        <v>42</v>
      </c>
      <c r="Y3391">
        <f>1-789-236-9351</f>
        <v>-10375</v>
      </c>
    </row>
    <row r="3392" spans="1:25" x14ac:dyDescent="0.35">
      <c r="A3392">
        <v>41.3679153145249</v>
      </c>
      <c r="B3392">
        <v>-122.126257545755</v>
      </c>
      <c r="C3392" t="s">
        <v>34</v>
      </c>
      <c r="D3392">
        <v>41.275160605415898</v>
      </c>
      <c r="E3392">
        <v>0</v>
      </c>
      <c r="F3392">
        <v>2464</v>
      </c>
      <c r="G3392">
        <v>3</v>
      </c>
      <c r="H3392">
        <v>3</v>
      </c>
      <c r="I3392">
        <v>1985</v>
      </c>
      <c r="J3392">
        <v>0</v>
      </c>
      <c r="K3392">
        <v>0</v>
      </c>
      <c r="L3392">
        <v>0</v>
      </c>
      <c r="M3392">
        <v>4</v>
      </c>
      <c r="N3392" t="s">
        <v>26</v>
      </c>
      <c r="O3392" t="s">
        <v>30</v>
      </c>
      <c r="P3392">
        <v>11.978994838427599</v>
      </c>
      <c r="Q3392">
        <v>1.40379666347875</v>
      </c>
      <c r="R3392">
        <v>3.0018710235576802</v>
      </c>
      <c r="S3392">
        <v>153</v>
      </c>
      <c r="T3392">
        <v>26</v>
      </c>
      <c r="U3392">
        <v>323.18598866723897</v>
      </c>
      <c r="V3392">
        <v>1.62337662337662E-3</v>
      </c>
      <c r="W3392">
        <v>1047140.94432862</v>
      </c>
      <c r="X3392" t="s">
        <v>33</v>
      </c>
      <c r="Y3392">
        <f>1-454-887-1494</f>
        <v>-2834</v>
      </c>
    </row>
    <row r="3393" spans="1:25" x14ac:dyDescent="0.35">
      <c r="A3393">
        <v>34.964626418216596</v>
      </c>
      <c r="B3393">
        <v>-118.83873375120901</v>
      </c>
      <c r="C3393" t="s">
        <v>25</v>
      </c>
      <c r="D3393">
        <v>7.2836012951768501</v>
      </c>
      <c r="E3393">
        <v>2</v>
      </c>
      <c r="F3393">
        <v>632</v>
      </c>
      <c r="G3393">
        <v>1</v>
      </c>
      <c r="H3393">
        <v>3</v>
      </c>
      <c r="I3393">
        <v>2005</v>
      </c>
      <c r="J3393">
        <v>0</v>
      </c>
      <c r="K3393">
        <v>0</v>
      </c>
      <c r="L3393">
        <v>0</v>
      </c>
      <c r="M3393">
        <v>6</v>
      </c>
      <c r="N3393" t="s">
        <v>41</v>
      </c>
      <c r="O3393" t="s">
        <v>27</v>
      </c>
      <c r="P3393">
        <v>5.7642151635008201</v>
      </c>
      <c r="Q3393">
        <v>0.69024637032314595</v>
      </c>
      <c r="R3393">
        <v>7.7275197993216</v>
      </c>
      <c r="S3393">
        <v>160</v>
      </c>
      <c r="T3393">
        <v>48</v>
      </c>
      <c r="U3393">
        <v>860.11389694849197</v>
      </c>
      <c r="V3393">
        <v>9.4936708860759497E-3</v>
      </c>
      <c r="W3393">
        <v>605372.74478675099</v>
      </c>
      <c r="X3393" t="s">
        <v>43</v>
      </c>
      <c r="Y3393">
        <f>1-567-973-8823</f>
        <v>-10362</v>
      </c>
    </row>
    <row r="3394" spans="1:25" x14ac:dyDescent="0.35">
      <c r="A3394">
        <v>34.480872689045597</v>
      </c>
      <c r="B3394">
        <v>-119.4612565396</v>
      </c>
      <c r="C3394" t="s">
        <v>34</v>
      </c>
      <c r="D3394">
        <v>12.5796926848209</v>
      </c>
      <c r="E3394">
        <v>6</v>
      </c>
      <c r="F3394">
        <v>3740</v>
      </c>
      <c r="G3394">
        <v>2</v>
      </c>
      <c r="H3394">
        <v>2</v>
      </c>
      <c r="I3394">
        <v>2013</v>
      </c>
      <c r="J3394">
        <v>0</v>
      </c>
      <c r="K3394">
        <v>1</v>
      </c>
      <c r="L3394">
        <v>1</v>
      </c>
      <c r="M3394">
        <v>5</v>
      </c>
      <c r="N3394" t="s">
        <v>41</v>
      </c>
      <c r="O3394" t="s">
        <v>30</v>
      </c>
      <c r="P3394">
        <v>8.8004909125011892</v>
      </c>
      <c r="Q3394">
        <v>0.62708477579514699</v>
      </c>
      <c r="R3394">
        <v>5.3312989936940003</v>
      </c>
      <c r="S3394">
        <v>46</v>
      </c>
      <c r="T3394">
        <v>69</v>
      </c>
      <c r="U3394">
        <v>731.33391564955605</v>
      </c>
      <c r="V3394">
        <v>1.3368983957219201E-3</v>
      </c>
      <c r="W3394">
        <v>3104738.5924965199</v>
      </c>
      <c r="X3394" t="s">
        <v>44</v>
      </c>
      <c r="Y3394">
        <f>1-985-251-5988</f>
        <v>-7223</v>
      </c>
    </row>
    <row r="3395" spans="1:25" x14ac:dyDescent="0.35">
      <c r="A3395">
        <v>39.291555452783797</v>
      </c>
      <c r="B3395">
        <v>-115.444270649393</v>
      </c>
      <c r="C3395" t="s">
        <v>29</v>
      </c>
      <c r="D3395">
        <v>20.394985282145999</v>
      </c>
      <c r="E3395">
        <v>3</v>
      </c>
      <c r="F3395">
        <v>1219</v>
      </c>
      <c r="G3395">
        <v>5</v>
      </c>
      <c r="H3395">
        <v>2</v>
      </c>
      <c r="I3395">
        <v>2011</v>
      </c>
      <c r="J3395">
        <v>1</v>
      </c>
      <c r="K3395">
        <v>1</v>
      </c>
      <c r="L3395">
        <v>0</v>
      </c>
      <c r="M3395">
        <v>6</v>
      </c>
      <c r="N3395" t="s">
        <v>35</v>
      </c>
      <c r="O3395" t="s">
        <v>32</v>
      </c>
      <c r="P3395">
        <v>3.9068485922768499</v>
      </c>
      <c r="Q3395">
        <v>0.59087926147279701</v>
      </c>
      <c r="R3395">
        <v>4.1260923886897896</v>
      </c>
      <c r="S3395">
        <v>3</v>
      </c>
      <c r="T3395">
        <v>60</v>
      </c>
      <c r="U3395">
        <v>871.29512253616497</v>
      </c>
      <c r="V3395">
        <v>4.9220672682526601E-3</v>
      </c>
      <c r="W3395">
        <v>1425118.46899101</v>
      </c>
      <c r="X3395" t="s">
        <v>33</v>
      </c>
      <c r="Y3395">
        <f>1-220-865-8113</f>
        <v>-9197</v>
      </c>
    </row>
    <row r="3396" spans="1:25" x14ac:dyDescent="0.35">
      <c r="A3396">
        <v>41.514536504099098</v>
      </c>
      <c r="B3396">
        <v>-117.725442748254</v>
      </c>
      <c r="C3396" t="s">
        <v>25</v>
      </c>
      <c r="D3396">
        <v>28.539713893136099</v>
      </c>
      <c r="E3396">
        <v>8</v>
      </c>
      <c r="F3396">
        <v>4094</v>
      </c>
      <c r="G3396">
        <v>1</v>
      </c>
      <c r="H3396">
        <v>1</v>
      </c>
      <c r="I3396">
        <v>1998</v>
      </c>
      <c r="J3396">
        <v>1</v>
      </c>
      <c r="K3396">
        <v>0</v>
      </c>
      <c r="L3396">
        <v>1</v>
      </c>
      <c r="M3396">
        <v>11</v>
      </c>
      <c r="N3396" t="s">
        <v>26</v>
      </c>
      <c r="O3396" t="s">
        <v>32</v>
      </c>
      <c r="P3396">
        <v>3.11505367596612</v>
      </c>
      <c r="Q3396">
        <v>0.96896732279511799</v>
      </c>
      <c r="R3396">
        <v>3.4701048552993998</v>
      </c>
      <c r="S3396">
        <v>168</v>
      </c>
      <c r="T3396">
        <v>22</v>
      </c>
      <c r="U3396">
        <v>434.90876039105302</v>
      </c>
      <c r="V3396">
        <v>2.6868588177821201E-3</v>
      </c>
      <c r="W3396">
        <v>1823037.7677030901</v>
      </c>
      <c r="X3396" t="s">
        <v>43</v>
      </c>
      <c r="Y3396">
        <f>1-766-663-7841</f>
        <v>-9269</v>
      </c>
    </row>
    <row r="3397" spans="1:25" x14ac:dyDescent="0.35">
      <c r="A3397">
        <v>38.404825058727198</v>
      </c>
      <c r="B3397">
        <v>-122.31284080041</v>
      </c>
      <c r="C3397" t="s">
        <v>29</v>
      </c>
      <c r="D3397">
        <v>28.4822405741014</v>
      </c>
      <c r="E3397">
        <v>7</v>
      </c>
      <c r="F3397">
        <v>2734</v>
      </c>
      <c r="G3397">
        <v>1</v>
      </c>
      <c r="H3397">
        <v>1</v>
      </c>
      <c r="I3397">
        <v>2019</v>
      </c>
      <c r="J3397">
        <v>0</v>
      </c>
      <c r="K3397">
        <v>1</v>
      </c>
      <c r="L3397">
        <v>1</v>
      </c>
      <c r="M3397">
        <v>7</v>
      </c>
      <c r="N3397" t="s">
        <v>37</v>
      </c>
      <c r="O3397" t="s">
        <v>32</v>
      </c>
      <c r="P3397">
        <v>6.9511786724680897</v>
      </c>
      <c r="Q3397">
        <v>1.4798531516223901</v>
      </c>
      <c r="R3397">
        <v>6.4428680940804597</v>
      </c>
      <c r="S3397">
        <v>8</v>
      </c>
      <c r="T3397">
        <v>59</v>
      </c>
      <c r="U3397">
        <v>999.06228815719896</v>
      </c>
      <c r="V3397">
        <v>2.5603511338697801E-3</v>
      </c>
      <c r="W3397">
        <v>2925610.9507715902</v>
      </c>
      <c r="X3397" t="s">
        <v>33</v>
      </c>
      <c r="Y3397">
        <f>1-979-809-5532</f>
        <v>-7319</v>
      </c>
    </row>
    <row r="3398" spans="1:25" x14ac:dyDescent="0.35">
      <c r="A3398">
        <v>41.177143991354797</v>
      </c>
      <c r="B3398">
        <v>-121.69135805684201</v>
      </c>
      <c r="C3398" t="s">
        <v>34</v>
      </c>
      <c r="D3398">
        <v>47.673828634512802</v>
      </c>
      <c r="E3398">
        <v>5</v>
      </c>
      <c r="F3398">
        <v>4701</v>
      </c>
      <c r="G3398">
        <v>3</v>
      </c>
      <c r="H3398">
        <v>3</v>
      </c>
      <c r="I3398">
        <v>2016</v>
      </c>
      <c r="J3398">
        <v>1</v>
      </c>
      <c r="K3398">
        <v>0</v>
      </c>
      <c r="L3398">
        <v>1</v>
      </c>
      <c r="M3398">
        <v>2</v>
      </c>
      <c r="N3398" t="s">
        <v>26</v>
      </c>
      <c r="O3398" t="s">
        <v>27</v>
      </c>
      <c r="P3398">
        <v>6.4926173164748899</v>
      </c>
      <c r="Q3398">
        <v>2.3380251159857899</v>
      </c>
      <c r="R3398">
        <v>8.4630477771106492</v>
      </c>
      <c r="S3398">
        <v>33</v>
      </c>
      <c r="T3398">
        <v>35</v>
      </c>
      <c r="U3398">
        <v>573.74362434708996</v>
      </c>
      <c r="V3398">
        <v>4.2544139544777699E-4</v>
      </c>
      <c r="W3398">
        <v>3082998.3385439799</v>
      </c>
      <c r="X3398" t="s">
        <v>43</v>
      </c>
      <c r="Y3398">
        <f>1-586-286-6570</f>
        <v>-7441</v>
      </c>
    </row>
    <row r="3399" spans="1:25" x14ac:dyDescent="0.35">
      <c r="A3399">
        <v>38.319956481974899</v>
      </c>
      <c r="B3399">
        <v>-114.659235839771</v>
      </c>
      <c r="C3399" t="s">
        <v>25</v>
      </c>
      <c r="D3399">
        <v>19.623771581650399</v>
      </c>
      <c r="E3399">
        <v>6</v>
      </c>
      <c r="F3399">
        <v>4006</v>
      </c>
      <c r="G3399">
        <v>5</v>
      </c>
      <c r="H3399">
        <v>3</v>
      </c>
      <c r="I3399">
        <v>1956</v>
      </c>
      <c r="J3399">
        <v>0</v>
      </c>
      <c r="K3399">
        <v>1</v>
      </c>
      <c r="L3399">
        <v>1</v>
      </c>
      <c r="M3399">
        <v>11</v>
      </c>
      <c r="N3399" t="s">
        <v>41</v>
      </c>
      <c r="O3399" t="s">
        <v>27</v>
      </c>
      <c r="P3399">
        <v>5.1527564339971201</v>
      </c>
      <c r="Q3399">
        <v>2.4572062885671202</v>
      </c>
      <c r="R3399">
        <v>4.2171730423399296</v>
      </c>
      <c r="S3399">
        <v>92</v>
      </c>
      <c r="T3399">
        <v>79</v>
      </c>
      <c r="U3399">
        <v>776.14170764497601</v>
      </c>
      <c r="V3399">
        <v>2.7458811782326499E-3</v>
      </c>
      <c r="W3399">
        <v>3527342.2468980802</v>
      </c>
      <c r="X3399" t="s">
        <v>38</v>
      </c>
      <c r="Y3399">
        <f>1-369-685-9850</f>
        <v>-10903</v>
      </c>
    </row>
    <row r="3400" spans="1:25" x14ac:dyDescent="0.35">
      <c r="A3400">
        <v>40.390022183358397</v>
      </c>
      <c r="B3400">
        <v>-116.567158480738</v>
      </c>
      <c r="C3400" t="s">
        <v>25</v>
      </c>
      <c r="D3400">
        <v>31.008836190001801</v>
      </c>
      <c r="E3400">
        <v>3</v>
      </c>
      <c r="F3400">
        <v>4243</v>
      </c>
      <c r="G3400">
        <v>5</v>
      </c>
      <c r="H3400">
        <v>3</v>
      </c>
      <c r="I3400">
        <v>1995</v>
      </c>
      <c r="J3400">
        <v>0</v>
      </c>
      <c r="K3400">
        <v>1</v>
      </c>
      <c r="L3400">
        <v>1</v>
      </c>
      <c r="M3400">
        <v>8</v>
      </c>
      <c r="N3400" t="s">
        <v>35</v>
      </c>
      <c r="O3400" t="s">
        <v>30</v>
      </c>
      <c r="P3400">
        <v>2.82096069645416</v>
      </c>
      <c r="Q3400">
        <v>1.3737198310358101</v>
      </c>
      <c r="R3400">
        <v>5.2044490507500196</v>
      </c>
      <c r="S3400">
        <v>156</v>
      </c>
      <c r="T3400">
        <v>40</v>
      </c>
      <c r="U3400">
        <v>601.01228487810101</v>
      </c>
      <c r="V3400">
        <v>1.885458402074E-3</v>
      </c>
      <c r="W3400">
        <v>2959006.8202393102</v>
      </c>
      <c r="X3400" t="s">
        <v>36</v>
      </c>
      <c r="Y3400">
        <f>1-467-896-3940</f>
        <v>-5302</v>
      </c>
    </row>
    <row r="3401" spans="1:25" x14ac:dyDescent="0.35">
      <c r="A3401">
        <v>35.746230074162597</v>
      </c>
      <c r="B3401">
        <v>-115.81743127840301</v>
      </c>
      <c r="C3401" t="s">
        <v>29</v>
      </c>
      <c r="D3401">
        <v>42.289684492832698</v>
      </c>
      <c r="E3401">
        <v>2</v>
      </c>
      <c r="F3401">
        <v>2930</v>
      </c>
      <c r="G3401">
        <v>5</v>
      </c>
      <c r="H3401">
        <v>2</v>
      </c>
      <c r="I3401">
        <v>1998</v>
      </c>
      <c r="J3401">
        <v>1</v>
      </c>
      <c r="K3401">
        <v>0</v>
      </c>
      <c r="L3401">
        <v>1</v>
      </c>
      <c r="M3401">
        <v>2</v>
      </c>
      <c r="N3401" t="s">
        <v>35</v>
      </c>
      <c r="O3401" t="s">
        <v>32</v>
      </c>
      <c r="P3401">
        <v>8.5521389426038699</v>
      </c>
      <c r="Q3401">
        <v>1.3698808894640899</v>
      </c>
      <c r="R3401">
        <v>8.9395721773585706</v>
      </c>
      <c r="S3401">
        <v>54</v>
      </c>
      <c r="T3401">
        <v>25</v>
      </c>
      <c r="U3401">
        <v>412.43527675489298</v>
      </c>
      <c r="V3401">
        <v>6.8259385665529E-4</v>
      </c>
      <c r="W3401">
        <v>1574800.2893242401</v>
      </c>
      <c r="X3401" t="s">
        <v>43</v>
      </c>
      <c r="Y3401">
        <f>1-280-688-5781</f>
        <v>-6748</v>
      </c>
    </row>
    <row r="3402" spans="1:25" x14ac:dyDescent="0.35">
      <c r="A3402">
        <v>39.855421368184501</v>
      </c>
      <c r="B3402">
        <v>-123.64828282608499</v>
      </c>
      <c r="C3402" t="s">
        <v>29</v>
      </c>
      <c r="D3402">
        <v>1.7947397651799799</v>
      </c>
      <c r="E3402">
        <v>6</v>
      </c>
      <c r="F3402">
        <v>2940</v>
      </c>
      <c r="G3402">
        <v>5</v>
      </c>
      <c r="H3402">
        <v>1</v>
      </c>
      <c r="I3402">
        <v>1958</v>
      </c>
      <c r="J3402">
        <v>1</v>
      </c>
      <c r="K3402">
        <v>0</v>
      </c>
      <c r="L3402">
        <v>0</v>
      </c>
      <c r="M3402">
        <v>4</v>
      </c>
      <c r="N3402" t="s">
        <v>26</v>
      </c>
      <c r="O3402" t="s">
        <v>30</v>
      </c>
      <c r="P3402">
        <v>11.172729640868701</v>
      </c>
      <c r="Q3402">
        <v>1.6066893163733</v>
      </c>
      <c r="R3402">
        <v>8.0522426643137202</v>
      </c>
      <c r="S3402">
        <v>18</v>
      </c>
      <c r="T3402">
        <v>41</v>
      </c>
      <c r="U3402">
        <v>597.74279942368696</v>
      </c>
      <c r="V3402">
        <v>1.36054421768707E-3</v>
      </c>
      <c r="W3402">
        <v>2063707.0442095301</v>
      </c>
      <c r="X3402" t="s">
        <v>33</v>
      </c>
      <c r="Y3402">
        <f>1-626-507-6324</f>
        <v>-7456</v>
      </c>
    </row>
    <row r="3403" spans="1:25" x14ac:dyDescent="0.35">
      <c r="A3403">
        <v>41.5393863197475</v>
      </c>
      <c r="B3403">
        <v>-117.855994449238</v>
      </c>
      <c r="C3403" t="s">
        <v>29</v>
      </c>
      <c r="D3403">
        <v>9.1815959563351495</v>
      </c>
      <c r="E3403">
        <v>2</v>
      </c>
      <c r="F3403">
        <v>1113</v>
      </c>
      <c r="G3403">
        <v>4</v>
      </c>
      <c r="H3403">
        <v>1</v>
      </c>
      <c r="I3403">
        <v>1986</v>
      </c>
      <c r="J3403">
        <v>0</v>
      </c>
      <c r="K3403">
        <v>0</v>
      </c>
      <c r="L3403">
        <v>1</v>
      </c>
      <c r="M3403">
        <v>11</v>
      </c>
      <c r="N3403" t="s">
        <v>35</v>
      </c>
      <c r="O3403" t="s">
        <v>30</v>
      </c>
      <c r="P3403">
        <v>8.2438373396159204</v>
      </c>
      <c r="Q3403">
        <v>0.98103067008618405</v>
      </c>
      <c r="R3403">
        <v>5.6044001379324797</v>
      </c>
      <c r="S3403">
        <v>179</v>
      </c>
      <c r="T3403">
        <v>50</v>
      </c>
      <c r="U3403">
        <v>929.06457241164401</v>
      </c>
      <c r="V3403">
        <v>9.8831985624438408E-3</v>
      </c>
      <c r="W3403">
        <v>1267233.76729288</v>
      </c>
      <c r="X3403" t="s">
        <v>36</v>
      </c>
      <c r="Y3403">
        <f>1-393-896-1807</f>
        <v>-3095</v>
      </c>
    </row>
    <row r="3404" spans="1:25" x14ac:dyDescent="0.35">
      <c r="A3404">
        <v>33.248127873380596</v>
      </c>
      <c r="B3404">
        <v>-119.613085268316</v>
      </c>
      <c r="C3404" t="s">
        <v>25</v>
      </c>
      <c r="D3404">
        <v>16.906629430553501</v>
      </c>
      <c r="E3404">
        <v>4</v>
      </c>
      <c r="F3404">
        <v>4337</v>
      </c>
      <c r="G3404">
        <v>2</v>
      </c>
      <c r="H3404">
        <v>2</v>
      </c>
      <c r="I3404">
        <v>2003</v>
      </c>
      <c r="J3404">
        <v>1</v>
      </c>
      <c r="K3404">
        <v>1</v>
      </c>
      <c r="L3404">
        <v>1</v>
      </c>
      <c r="M3404">
        <v>9</v>
      </c>
      <c r="N3404" t="s">
        <v>26</v>
      </c>
      <c r="O3404" t="s">
        <v>30</v>
      </c>
      <c r="P3404">
        <v>7.9360910560519304</v>
      </c>
      <c r="Q3404">
        <v>2.4086585391806001</v>
      </c>
      <c r="R3404">
        <v>0.58994088138085299</v>
      </c>
      <c r="S3404">
        <v>151</v>
      </c>
      <c r="T3404">
        <v>75</v>
      </c>
      <c r="U3404">
        <v>694.24621671095997</v>
      </c>
      <c r="V3404">
        <v>2.0751671662439402E-3</v>
      </c>
      <c r="W3404">
        <v>3300151.0897361101</v>
      </c>
      <c r="X3404" t="s">
        <v>38</v>
      </c>
      <c r="Y3404">
        <f>1-528-140-8263</f>
        <v>-8930</v>
      </c>
    </row>
    <row r="3405" spans="1:25" x14ac:dyDescent="0.35">
      <c r="A3405">
        <v>41.789486273923998</v>
      </c>
      <c r="B3405">
        <v>-120.85340762458701</v>
      </c>
      <c r="C3405" t="s">
        <v>29</v>
      </c>
      <c r="D3405">
        <v>3.7947084852989201</v>
      </c>
      <c r="E3405">
        <v>4</v>
      </c>
      <c r="F3405">
        <v>2920</v>
      </c>
      <c r="G3405">
        <v>2</v>
      </c>
      <c r="H3405">
        <v>2</v>
      </c>
      <c r="I3405">
        <v>1968</v>
      </c>
      <c r="J3405">
        <v>0</v>
      </c>
      <c r="K3405">
        <v>0</v>
      </c>
      <c r="L3405">
        <v>0</v>
      </c>
      <c r="M3405">
        <v>5</v>
      </c>
      <c r="N3405" t="s">
        <v>35</v>
      </c>
      <c r="O3405" t="s">
        <v>27</v>
      </c>
      <c r="P3405">
        <v>8.5292166420123099</v>
      </c>
      <c r="Q3405">
        <v>0.93658614387603201</v>
      </c>
      <c r="R3405">
        <v>4.8635280682477298</v>
      </c>
      <c r="S3405">
        <v>15</v>
      </c>
      <c r="T3405">
        <v>37</v>
      </c>
      <c r="U3405">
        <v>477.82690870581598</v>
      </c>
      <c r="V3405">
        <v>1.71232876712328E-3</v>
      </c>
      <c r="W3405">
        <v>1514451.5017251701</v>
      </c>
      <c r="X3405" t="s">
        <v>44</v>
      </c>
      <c r="Y3405">
        <f>1-636-171-7556</f>
        <v>-8362</v>
      </c>
    </row>
    <row r="3406" spans="1:25" x14ac:dyDescent="0.35">
      <c r="A3406">
        <v>37.724440414789001</v>
      </c>
      <c r="B3406">
        <v>-116.827229167254</v>
      </c>
      <c r="C3406" t="s">
        <v>25</v>
      </c>
      <c r="D3406">
        <v>40.5086815359046</v>
      </c>
      <c r="E3406">
        <v>2</v>
      </c>
      <c r="F3406">
        <v>1231</v>
      </c>
      <c r="G3406">
        <v>5</v>
      </c>
      <c r="H3406">
        <v>2</v>
      </c>
      <c r="I3406">
        <v>1988</v>
      </c>
      <c r="J3406">
        <v>0</v>
      </c>
      <c r="K3406">
        <v>1</v>
      </c>
      <c r="L3406">
        <v>1</v>
      </c>
      <c r="M3406">
        <v>13</v>
      </c>
      <c r="N3406" t="s">
        <v>26</v>
      </c>
      <c r="O3406" t="s">
        <v>32</v>
      </c>
      <c r="P3406">
        <v>5.4517099998877203</v>
      </c>
      <c r="Q3406">
        <v>2.1834621494484598</v>
      </c>
      <c r="R3406">
        <v>1.5051034044238301</v>
      </c>
      <c r="S3406">
        <v>162</v>
      </c>
      <c r="T3406">
        <v>40</v>
      </c>
      <c r="U3406">
        <v>628.05070500024499</v>
      </c>
      <c r="V3406">
        <v>1.05605199025182E-2</v>
      </c>
      <c r="W3406">
        <v>1076253.2749151201</v>
      </c>
      <c r="X3406" t="s">
        <v>31</v>
      </c>
      <c r="Y3406">
        <f>1-937-191-3425</f>
        <v>-4552</v>
      </c>
    </row>
    <row r="3407" spans="1:25" x14ac:dyDescent="0.35">
      <c r="A3407">
        <v>32.869888899937898</v>
      </c>
      <c r="B3407">
        <v>-120.77325929384</v>
      </c>
      <c r="C3407" t="s">
        <v>34</v>
      </c>
      <c r="D3407">
        <v>4.6278087266714003</v>
      </c>
      <c r="E3407">
        <v>1</v>
      </c>
      <c r="F3407">
        <v>967</v>
      </c>
      <c r="G3407">
        <v>5</v>
      </c>
      <c r="H3407">
        <v>3</v>
      </c>
      <c r="I3407">
        <v>1992</v>
      </c>
      <c r="J3407">
        <v>1</v>
      </c>
      <c r="K3407">
        <v>1</v>
      </c>
      <c r="L3407">
        <v>1</v>
      </c>
      <c r="M3407">
        <v>12</v>
      </c>
      <c r="N3407" t="s">
        <v>41</v>
      </c>
      <c r="O3407" t="s">
        <v>32</v>
      </c>
      <c r="P3407">
        <v>9.7035236681404893</v>
      </c>
      <c r="Q3407">
        <v>0.71389462857844299</v>
      </c>
      <c r="R3407">
        <v>8.5565998716745408</v>
      </c>
      <c r="S3407">
        <v>136</v>
      </c>
      <c r="T3407">
        <v>68</v>
      </c>
      <c r="U3407">
        <v>804.41741155270199</v>
      </c>
      <c r="V3407">
        <v>1.24095139607032E-2</v>
      </c>
      <c r="W3407">
        <v>1265958.9621023801</v>
      </c>
      <c r="X3407" t="s">
        <v>36</v>
      </c>
      <c r="Y3407">
        <f>1-723-129-6270</f>
        <v>-7121</v>
      </c>
    </row>
    <row r="3408" spans="1:25" x14ac:dyDescent="0.35">
      <c r="A3408">
        <v>33.895838240087599</v>
      </c>
      <c r="B3408">
        <v>-118.985487853835</v>
      </c>
      <c r="C3408" t="s">
        <v>29</v>
      </c>
      <c r="D3408">
        <v>42.833881650841803</v>
      </c>
      <c r="E3408">
        <v>7</v>
      </c>
      <c r="F3408">
        <v>2279</v>
      </c>
      <c r="G3408">
        <v>2</v>
      </c>
      <c r="H3408">
        <v>3</v>
      </c>
      <c r="I3408">
        <v>2021</v>
      </c>
      <c r="J3408">
        <v>0</v>
      </c>
      <c r="K3408">
        <v>0</v>
      </c>
      <c r="L3408">
        <v>0</v>
      </c>
      <c r="M3408">
        <v>5</v>
      </c>
      <c r="N3408" t="s">
        <v>41</v>
      </c>
      <c r="O3408" t="s">
        <v>27</v>
      </c>
      <c r="P3408">
        <v>7.2347530910095497</v>
      </c>
      <c r="Q3408">
        <v>1.3462417916421101</v>
      </c>
      <c r="R3408">
        <v>9.5495406497060493</v>
      </c>
      <c r="S3408">
        <v>89</v>
      </c>
      <c r="T3408">
        <v>47</v>
      </c>
      <c r="U3408">
        <v>760.28838120228704</v>
      </c>
      <c r="V3408">
        <v>2.1939447125932398E-3</v>
      </c>
      <c r="W3408">
        <v>1927514.8857352301</v>
      </c>
      <c r="X3408" t="s">
        <v>33</v>
      </c>
      <c r="Y3408">
        <f>1-259-707-8804</f>
        <v>-9769</v>
      </c>
    </row>
    <row r="3409" spans="1:25" x14ac:dyDescent="0.35">
      <c r="A3409">
        <v>33.900725858398602</v>
      </c>
      <c r="B3409">
        <v>-121.439241054802</v>
      </c>
      <c r="C3409" t="s">
        <v>34</v>
      </c>
      <c r="D3409">
        <v>29.012105071104401</v>
      </c>
      <c r="E3409">
        <v>7</v>
      </c>
      <c r="F3409">
        <v>3649</v>
      </c>
      <c r="G3409">
        <v>1</v>
      </c>
      <c r="H3409">
        <v>2</v>
      </c>
      <c r="I3409">
        <v>2018</v>
      </c>
      <c r="J3409">
        <v>0</v>
      </c>
      <c r="K3409">
        <v>1</v>
      </c>
      <c r="L3409">
        <v>1</v>
      </c>
      <c r="M3409">
        <v>4</v>
      </c>
      <c r="N3409" t="s">
        <v>35</v>
      </c>
      <c r="O3409" t="s">
        <v>32</v>
      </c>
      <c r="P3409">
        <v>14.5788677529758</v>
      </c>
      <c r="Q3409">
        <v>2.0216231329265102</v>
      </c>
      <c r="R3409">
        <v>1.1762952024534501</v>
      </c>
      <c r="S3409">
        <v>21</v>
      </c>
      <c r="T3409">
        <v>51</v>
      </c>
      <c r="U3409">
        <v>474.05161070479301</v>
      </c>
      <c r="V3409">
        <v>1.09619073718827E-3</v>
      </c>
      <c r="W3409">
        <v>2163161.6842191499</v>
      </c>
      <c r="X3409" t="s">
        <v>42</v>
      </c>
      <c r="Y3409">
        <f>1-528-777-5796</f>
        <v>-7100</v>
      </c>
    </row>
    <row r="3410" spans="1:25" x14ac:dyDescent="0.35">
      <c r="A3410">
        <v>34.341483735684903</v>
      </c>
      <c r="B3410">
        <v>-123.09266404691201</v>
      </c>
      <c r="C3410" t="s">
        <v>34</v>
      </c>
      <c r="D3410">
        <v>22.0658604374451</v>
      </c>
      <c r="E3410">
        <v>3</v>
      </c>
      <c r="F3410">
        <v>3536</v>
      </c>
      <c r="G3410">
        <v>3</v>
      </c>
      <c r="H3410">
        <v>1</v>
      </c>
      <c r="I3410">
        <v>1969</v>
      </c>
      <c r="J3410">
        <v>0</v>
      </c>
      <c r="K3410">
        <v>1</v>
      </c>
      <c r="L3410">
        <v>0</v>
      </c>
      <c r="M3410">
        <v>6</v>
      </c>
      <c r="N3410" t="s">
        <v>35</v>
      </c>
      <c r="O3410" t="s">
        <v>27</v>
      </c>
      <c r="P3410">
        <v>4.0715213108016801</v>
      </c>
      <c r="Q3410">
        <v>1.18467113360335</v>
      </c>
      <c r="R3410">
        <v>0.60217522336251905</v>
      </c>
      <c r="S3410">
        <v>198</v>
      </c>
      <c r="T3410">
        <v>40</v>
      </c>
      <c r="U3410">
        <v>870.03291244098398</v>
      </c>
      <c r="V3410">
        <v>1.69683257918552E-3</v>
      </c>
      <c r="W3410">
        <v>3253895.1563417101</v>
      </c>
      <c r="X3410" t="s">
        <v>38</v>
      </c>
      <c r="Y3410">
        <f>1-930-829-9196</f>
        <v>-10954</v>
      </c>
    </row>
    <row r="3411" spans="1:25" x14ac:dyDescent="0.35">
      <c r="A3411">
        <v>33.9342917076291</v>
      </c>
      <c r="B3411">
        <v>-114.072891546943</v>
      </c>
      <c r="C3411" t="s">
        <v>25</v>
      </c>
      <c r="D3411">
        <v>8.8378034132149104</v>
      </c>
      <c r="E3411">
        <v>3</v>
      </c>
      <c r="F3411">
        <v>1461</v>
      </c>
      <c r="G3411">
        <v>5</v>
      </c>
      <c r="H3411">
        <v>3</v>
      </c>
      <c r="I3411">
        <v>1975</v>
      </c>
      <c r="J3411">
        <v>0</v>
      </c>
      <c r="K3411">
        <v>0</v>
      </c>
      <c r="L3411">
        <v>0</v>
      </c>
      <c r="M3411">
        <v>3</v>
      </c>
      <c r="N3411" t="s">
        <v>41</v>
      </c>
      <c r="O3411" t="s">
        <v>27</v>
      </c>
      <c r="P3411">
        <v>13.0352013961006</v>
      </c>
      <c r="Q3411">
        <v>0.63571579118761501</v>
      </c>
      <c r="R3411">
        <v>3.4226808181979602</v>
      </c>
      <c r="S3411">
        <v>199</v>
      </c>
      <c r="T3411">
        <v>70</v>
      </c>
      <c r="U3411">
        <v>524.41229533684702</v>
      </c>
      <c r="V3411">
        <v>2.05338809034907E-3</v>
      </c>
      <c r="W3411">
        <v>1085445.7116700599</v>
      </c>
      <c r="X3411" t="s">
        <v>31</v>
      </c>
      <c r="Y3411">
        <f>1-527-113-5500</f>
        <v>-6139</v>
      </c>
    </row>
    <row r="3412" spans="1:25" x14ac:dyDescent="0.35">
      <c r="A3412">
        <v>36.3046214467563</v>
      </c>
      <c r="B3412">
        <v>-122.583608729579</v>
      </c>
      <c r="C3412" t="s">
        <v>29</v>
      </c>
      <c r="D3412">
        <v>6.6634786954211496</v>
      </c>
      <c r="E3412">
        <v>6</v>
      </c>
      <c r="F3412">
        <v>3126</v>
      </c>
      <c r="G3412">
        <v>1</v>
      </c>
      <c r="H3412">
        <v>1</v>
      </c>
      <c r="I3412">
        <v>1952</v>
      </c>
      <c r="J3412">
        <v>0</v>
      </c>
      <c r="K3412">
        <v>0</v>
      </c>
      <c r="L3412">
        <v>0</v>
      </c>
      <c r="M3412">
        <v>8</v>
      </c>
      <c r="N3412" t="s">
        <v>41</v>
      </c>
      <c r="O3412" t="s">
        <v>27</v>
      </c>
      <c r="P3412">
        <v>12.9695654072686</v>
      </c>
      <c r="Q3412">
        <v>2.3328122993108198</v>
      </c>
      <c r="R3412">
        <v>7.99739919085743</v>
      </c>
      <c r="S3412">
        <v>4</v>
      </c>
      <c r="T3412">
        <v>34</v>
      </c>
      <c r="U3412">
        <v>235.13205241208999</v>
      </c>
      <c r="V3412">
        <v>2.5591810620601398E-3</v>
      </c>
      <c r="W3412">
        <v>747845.95272165502</v>
      </c>
      <c r="X3412" t="s">
        <v>33</v>
      </c>
      <c r="Y3412">
        <f>1-960-416-2838</f>
        <v>-4213</v>
      </c>
    </row>
    <row r="3413" spans="1:25" x14ac:dyDescent="0.35">
      <c r="A3413">
        <v>36.337781677126003</v>
      </c>
      <c r="B3413">
        <v>-115.5228249007</v>
      </c>
      <c r="C3413" t="s">
        <v>29</v>
      </c>
      <c r="D3413">
        <v>23.205949680035001</v>
      </c>
      <c r="E3413">
        <v>6</v>
      </c>
      <c r="F3413">
        <v>936</v>
      </c>
      <c r="G3413">
        <v>5</v>
      </c>
      <c r="H3413">
        <v>3</v>
      </c>
      <c r="I3413">
        <v>1999</v>
      </c>
      <c r="J3413">
        <v>1</v>
      </c>
      <c r="K3413">
        <v>0</v>
      </c>
      <c r="L3413">
        <v>0</v>
      </c>
      <c r="M3413">
        <v>8</v>
      </c>
      <c r="N3413" t="s">
        <v>37</v>
      </c>
      <c r="O3413" t="s">
        <v>27</v>
      </c>
      <c r="P3413">
        <v>7.7890696420256296</v>
      </c>
      <c r="Q3413">
        <v>0.76912798443941</v>
      </c>
      <c r="R3413">
        <v>7.3854856051165596</v>
      </c>
      <c r="S3413">
        <v>177</v>
      </c>
      <c r="T3413">
        <v>54</v>
      </c>
      <c r="U3413">
        <v>850.88609009654203</v>
      </c>
      <c r="V3413">
        <v>8.5470085470085392E-3</v>
      </c>
      <c r="W3413">
        <v>1233732.31782177</v>
      </c>
      <c r="X3413" t="s">
        <v>31</v>
      </c>
      <c r="Y3413">
        <f>1-608-492-6271</f>
        <v>-7370</v>
      </c>
    </row>
    <row r="3414" spans="1:25" x14ac:dyDescent="0.35">
      <c r="A3414">
        <v>38.473942555772602</v>
      </c>
      <c r="B3414">
        <v>-116.828937276923</v>
      </c>
      <c r="C3414" t="s">
        <v>29</v>
      </c>
      <c r="D3414">
        <v>32.910911379726102</v>
      </c>
      <c r="E3414">
        <v>2</v>
      </c>
      <c r="F3414">
        <v>4000</v>
      </c>
      <c r="G3414">
        <v>3</v>
      </c>
      <c r="H3414">
        <v>2</v>
      </c>
      <c r="I3414">
        <v>1995</v>
      </c>
      <c r="J3414">
        <v>0</v>
      </c>
      <c r="K3414">
        <v>0</v>
      </c>
      <c r="L3414">
        <v>0</v>
      </c>
      <c r="M3414">
        <v>13</v>
      </c>
      <c r="N3414" t="s">
        <v>35</v>
      </c>
      <c r="O3414" t="s">
        <v>27</v>
      </c>
      <c r="P3414">
        <v>8.7979439525173895</v>
      </c>
      <c r="Q3414">
        <v>2.3706875703199102</v>
      </c>
      <c r="R3414">
        <v>2.76212772954046</v>
      </c>
      <c r="S3414">
        <v>70</v>
      </c>
      <c r="T3414">
        <v>69</v>
      </c>
      <c r="U3414">
        <v>386.91040811908999</v>
      </c>
      <c r="V3414">
        <v>3.2499999999999999E-3</v>
      </c>
      <c r="W3414">
        <v>1719494.8290502999</v>
      </c>
      <c r="X3414" t="s">
        <v>44</v>
      </c>
      <c r="Y3414">
        <f>1-803-528-8842</f>
        <v>-10172</v>
      </c>
    </row>
    <row r="3415" spans="1:25" x14ac:dyDescent="0.35">
      <c r="A3415">
        <v>39.118327443811999</v>
      </c>
      <c r="B3415">
        <v>-117.967398658872</v>
      </c>
      <c r="C3415" t="s">
        <v>25</v>
      </c>
      <c r="D3415">
        <v>34.146867639634003</v>
      </c>
      <c r="E3415">
        <v>1</v>
      </c>
      <c r="F3415">
        <v>3094</v>
      </c>
      <c r="G3415">
        <v>2</v>
      </c>
      <c r="H3415">
        <v>3</v>
      </c>
      <c r="I3415">
        <v>1966</v>
      </c>
      <c r="J3415">
        <v>0</v>
      </c>
      <c r="K3415">
        <v>1</v>
      </c>
      <c r="L3415">
        <v>1</v>
      </c>
      <c r="M3415">
        <v>4</v>
      </c>
      <c r="N3415" t="s">
        <v>37</v>
      </c>
      <c r="O3415" t="s">
        <v>32</v>
      </c>
      <c r="P3415">
        <v>7.5082294627636701</v>
      </c>
      <c r="Q3415">
        <v>1.27629383833993</v>
      </c>
      <c r="R3415">
        <v>1.3426565174135401</v>
      </c>
      <c r="S3415">
        <v>144</v>
      </c>
      <c r="T3415">
        <v>39</v>
      </c>
      <c r="U3415">
        <v>631.69831988118199</v>
      </c>
      <c r="V3415">
        <v>1.29282482223658E-3</v>
      </c>
      <c r="W3415">
        <v>2251441.0469634999</v>
      </c>
      <c r="X3415" t="s">
        <v>31</v>
      </c>
      <c r="Y3415">
        <f>1-359-278-3741</f>
        <v>-4377</v>
      </c>
    </row>
    <row r="3416" spans="1:25" x14ac:dyDescent="0.35">
      <c r="A3416">
        <v>34.453288789256099</v>
      </c>
      <c r="B3416">
        <v>-119.760359868688</v>
      </c>
      <c r="C3416" t="s">
        <v>34</v>
      </c>
      <c r="D3416">
        <v>22.2838324168561</v>
      </c>
      <c r="E3416">
        <v>1</v>
      </c>
      <c r="F3416">
        <v>3192</v>
      </c>
      <c r="G3416">
        <v>4</v>
      </c>
      <c r="H3416">
        <v>1</v>
      </c>
      <c r="I3416">
        <v>1950</v>
      </c>
      <c r="J3416">
        <v>1</v>
      </c>
      <c r="K3416">
        <v>0</v>
      </c>
      <c r="L3416">
        <v>1</v>
      </c>
      <c r="M3416">
        <v>3</v>
      </c>
      <c r="N3416" t="s">
        <v>41</v>
      </c>
      <c r="O3416" t="s">
        <v>32</v>
      </c>
      <c r="P3416">
        <v>2.6688149029469201</v>
      </c>
      <c r="Q3416">
        <v>1.27065603528729</v>
      </c>
      <c r="R3416">
        <v>6.4827440292038698</v>
      </c>
      <c r="S3416">
        <v>106</v>
      </c>
      <c r="T3416">
        <v>61</v>
      </c>
      <c r="U3416">
        <v>452.610435599119</v>
      </c>
      <c r="V3416">
        <v>9.3984962406015E-4</v>
      </c>
      <c r="W3416">
        <v>1647491.79341123</v>
      </c>
      <c r="X3416" t="s">
        <v>33</v>
      </c>
      <c r="Y3416">
        <f>1-325-598-8609</f>
        <v>-9531</v>
      </c>
    </row>
    <row r="3417" spans="1:25" x14ac:dyDescent="0.35">
      <c r="A3417">
        <v>33.916200985024602</v>
      </c>
      <c r="B3417">
        <v>-115.767549759958</v>
      </c>
      <c r="C3417" t="s">
        <v>34</v>
      </c>
      <c r="D3417">
        <v>23.1738489170422</v>
      </c>
      <c r="E3417">
        <v>0</v>
      </c>
      <c r="F3417">
        <v>2560</v>
      </c>
      <c r="G3417">
        <v>2</v>
      </c>
      <c r="H3417">
        <v>1</v>
      </c>
      <c r="I3417">
        <v>1970</v>
      </c>
      <c r="J3417">
        <v>1</v>
      </c>
      <c r="K3417">
        <v>1</v>
      </c>
      <c r="L3417">
        <v>1</v>
      </c>
      <c r="M3417">
        <v>5</v>
      </c>
      <c r="N3417" t="s">
        <v>35</v>
      </c>
      <c r="O3417" t="s">
        <v>32</v>
      </c>
      <c r="P3417">
        <v>10.955737547184199</v>
      </c>
      <c r="Q3417">
        <v>0.62969590036829604</v>
      </c>
      <c r="R3417">
        <v>9.4336427125394895</v>
      </c>
      <c r="S3417">
        <v>171</v>
      </c>
      <c r="T3417">
        <v>52</v>
      </c>
      <c r="U3417">
        <v>474.51508981087301</v>
      </c>
      <c r="V3417">
        <v>1.953125E-3</v>
      </c>
      <c r="W3417">
        <v>1448631.8975277899</v>
      </c>
      <c r="X3417" t="s">
        <v>31</v>
      </c>
      <c r="Y3417">
        <f>1-449-346-4725</f>
        <v>-5519</v>
      </c>
    </row>
    <row r="3418" spans="1:25" x14ac:dyDescent="0.35">
      <c r="A3418">
        <v>33.6907196875624</v>
      </c>
      <c r="B3418">
        <v>-119.32478467819401</v>
      </c>
      <c r="C3418" t="s">
        <v>25</v>
      </c>
      <c r="D3418">
        <v>10.862376412267899</v>
      </c>
      <c r="E3418">
        <v>3</v>
      </c>
      <c r="F3418">
        <v>2699</v>
      </c>
      <c r="G3418">
        <v>5</v>
      </c>
      <c r="H3418">
        <v>1</v>
      </c>
      <c r="I3418">
        <v>2008</v>
      </c>
      <c r="J3418">
        <v>1</v>
      </c>
      <c r="K3418">
        <v>0</v>
      </c>
      <c r="L3418">
        <v>1</v>
      </c>
      <c r="M3418">
        <v>9</v>
      </c>
      <c r="N3418" t="s">
        <v>35</v>
      </c>
      <c r="O3418" t="s">
        <v>32</v>
      </c>
      <c r="P3418">
        <v>11.065239947882899</v>
      </c>
      <c r="Q3418">
        <v>0.76628338714827704</v>
      </c>
      <c r="R3418">
        <v>1.8303116042169001</v>
      </c>
      <c r="S3418">
        <v>115</v>
      </c>
      <c r="T3418">
        <v>25</v>
      </c>
      <c r="U3418">
        <v>232.402418888737</v>
      </c>
      <c r="V3418">
        <v>3.3345683586513499E-3</v>
      </c>
      <c r="W3418">
        <v>1067774.6425282699</v>
      </c>
      <c r="X3418" t="s">
        <v>40</v>
      </c>
      <c r="Y3418">
        <f>1-468-856-3707</f>
        <v>-5030</v>
      </c>
    </row>
    <row r="3419" spans="1:25" x14ac:dyDescent="0.35">
      <c r="A3419">
        <v>34.0037329523091</v>
      </c>
      <c r="B3419">
        <v>-123.10260288463</v>
      </c>
      <c r="C3419" t="s">
        <v>25</v>
      </c>
      <c r="D3419">
        <v>42.078269414266103</v>
      </c>
      <c r="E3419">
        <v>8</v>
      </c>
      <c r="F3419">
        <v>3214</v>
      </c>
      <c r="G3419">
        <v>5</v>
      </c>
      <c r="H3419">
        <v>1</v>
      </c>
      <c r="I3419">
        <v>1996</v>
      </c>
      <c r="J3419">
        <v>1</v>
      </c>
      <c r="K3419">
        <v>1</v>
      </c>
      <c r="L3419">
        <v>0</v>
      </c>
      <c r="M3419">
        <v>13</v>
      </c>
      <c r="N3419" t="s">
        <v>37</v>
      </c>
      <c r="O3419" t="s">
        <v>32</v>
      </c>
      <c r="P3419">
        <v>8.1329102521324099</v>
      </c>
      <c r="Q3419">
        <v>2.4899603078629</v>
      </c>
      <c r="R3419">
        <v>8.6568394328390106</v>
      </c>
      <c r="S3419">
        <v>193</v>
      </c>
      <c r="T3419">
        <v>49</v>
      </c>
      <c r="U3419">
        <v>242.87081593364601</v>
      </c>
      <c r="V3419">
        <v>4.0448039825762196E-3</v>
      </c>
      <c r="W3419">
        <v>1246186.4887887801</v>
      </c>
      <c r="X3419" t="s">
        <v>36</v>
      </c>
      <c r="Y3419">
        <f>1-219-446-4746</f>
        <v>-5410</v>
      </c>
    </row>
    <row r="3420" spans="1:25" x14ac:dyDescent="0.35">
      <c r="A3420">
        <v>39.592593036038501</v>
      </c>
      <c r="B3420">
        <v>-114.962810044183</v>
      </c>
      <c r="C3420" t="s">
        <v>29</v>
      </c>
      <c r="D3420">
        <v>16.692621741753801</v>
      </c>
      <c r="E3420">
        <v>2</v>
      </c>
      <c r="F3420">
        <v>1684</v>
      </c>
      <c r="G3420">
        <v>5</v>
      </c>
      <c r="H3420">
        <v>2</v>
      </c>
      <c r="I3420">
        <v>2003</v>
      </c>
      <c r="J3420">
        <v>0</v>
      </c>
      <c r="K3420">
        <v>0</v>
      </c>
      <c r="L3420">
        <v>1</v>
      </c>
      <c r="M3420">
        <v>10</v>
      </c>
      <c r="N3420" t="s">
        <v>41</v>
      </c>
      <c r="O3420" t="s">
        <v>32</v>
      </c>
      <c r="P3420">
        <v>6.8170166894492601</v>
      </c>
      <c r="Q3420">
        <v>1.47381517840969</v>
      </c>
      <c r="R3420">
        <v>0.583562411447209</v>
      </c>
      <c r="S3420">
        <v>92</v>
      </c>
      <c r="T3420">
        <v>37</v>
      </c>
      <c r="U3420">
        <v>398.44466538956601</v>
      </c>
      <c r="V3420">
        <v>5.9382422802850303E-3</v>
      </c>
      <c r="W3420">
        <v>1057574.53374808</v>
      </c>
      <c r="X3420" t="s">
        <v>38</v>
      </c>
      <c r="Y3420">
        <f>1-255-489-4552</f>
        <v>-5295</v>
      </c>
    </row>
    <row r="3421" spans="1:25" x14ac:dyDescent="0.35">
      <c r="A3421">
        <v>36.016103377332797</v>
      </c>
      <c r="B3421">
        <v>-120.57291831836601</v>
      </c>
      <c r="C3421" t="s">
        <v>29</v>
      </c>
      <c r="D3421">
        <v>13.6396404369102</v>
      </c>
      <c r="E3421">
        <v>3</v>
      </c>
      <c r="F3421">
        <v>703</v>
      </c>
      <c r="G3421">
        <v>3</v>
      </c>
      <c r="H3421">
        <v>1</v>
      </c>
      <c r="I3421">
        <v>2008</v>
      </c>
      <c r="J3421">
        <v>1</v>
      </c>
      <c r="K3421">
        <v>0</v>
      </c>
      <c r="L3421">
        <v>0</v>
      </c>
      <c r="M3421">
        <v>10</v>
      </c>
      <c r="N3421" t="s">
        <v>41</v>
      </c>
      <c r="O3421" t="s">
        <v>30</v>
      </c>
      <c r="P3421">
        <v>12.824506818361099</v>
      </c>
      <c r="Q3421">
        <v>2.1376726385490699</v>
      </c>
      <c r="R3421">
        <v>5.0791070191497401</v>
      </c>
      <c r="S3421">
        <v>168</v>
      </c>
      <c r="T3421">
        <v>47</v>
      </c>
      <c r="U3421">
        <v>746.408637271918</v>
      </c>
      <c r="V3421">
        <v>1.4224751066856301E-2</v>
      </c>
      <c r="W3421">
        <v>824716.74770247203</v>
      </c>
      <c r="X3421" t="s">
        <v>44</v>
      </c>
      <c r="Y3421">
        <f>1-719-490-8415</f>
        <v>-9623</v>
      </c>
    </row>
    <row r="3422" spans="1:25" x14ac:dyDescent="0.35">
      <c r="A3422">
        <v>33.098092024348297</v>
      </c>
      <c r="B3422">
        <v>-117.022746217476</v>
      </c>
      <c r="C3422" t="s">
        <v>29</v>
      </c>
      <c r="D3422">
        <v>26.350837746768502</v>
      </c>
      <c r="E3422">
        <v>3</v>
      </c>
      <c r="F3422">
        <v>4059</v>
      </c>
      <c r="G3422">
        <v>1</v>
      </c>
      <c r="H3422">
        <v>3</v>
      </c>
      <c r="I3422">
        <v>1956</v>
      </c>
      <c r="J3422">
        <v>0</v>
      </c>
      <c r="K3422">
        <v>0</v>
      </c>
      <c r="L3422">
        <v>1</v>
      </c>
      <c r="M3422">
        <v>3</v>
      </c>
      <c r="N3422" t="s">
        <v>26</v>
      </c>
      <c r="O3422" t="s">
        <v>27</v>
      </c>
      <c r="P3422">
        <v>2.08454769707371</v>
      </c>
      <c r="Q3422">
        <v>1.36385930608049</v>
      </c>
      <c r="R3422">
        <v>7.3047223038594602</v>
      </c>
      <c r="S3422">
        <v>194</v>
      </c>
      <c r="T3422">
        <v>45</v>
      </c>
      <c r="U3422">
        <v>551.79806281900005</v>
      </c>
      <c r="V3422">
        <v>7.3909830007390896E-4</v>
      </c>
      <c r="W3422">
        <v>2309239.9095406602</v>
      </c>
      <c r="X3422" t="s">
        <v>43</v>
      </c>
      <c r="Y3422">
        <f>1-615-545-4322</f>
        <v>-5481</v>
      </c>
    </row>
    <row r="3423" spans="1:25" x14ac:dyDescent="0.35">
      <c r="A3423">
        <v>34.903977323769098</v>
      </c>
      <c r="B3423">
        <v>-119.161318903186</v>
      </c>
      <c r="C3423" t="s">
        <v>25</v>
      </c>
      <c r="D3423">
        <v>13.056464508607</v>
      </c>
      <c r="E3423">
        <v>2</v>
      </c>
      <c r="F3423">
        <v>4004</v>
      </c>
      <c r="G3423">
        <v>4</v>
      </c>
      <c r="H3423">
        <v>2</v>
      </c>
      <c r="I3423">
        <v>1953</v>
      </c>
      <c r="J3423">
        <v>1</v>
      </c>
      <c r="K3423">
        <v>1</v>
      </c>
      <c r="L3423">
        <v>0</v>
      </c>
      <c r="M3423">
        <v>2</v>
      </c>
      <c r="N3423" t="s">
        <v>37</v>
      </c>
      <c r="O3423" t="s">
        <v>27</v>
      </c>
      <c r="P3423">
        <v>13.977491853114101</v>
      </c>
      <c r="Q3423">
        <v>0.930671713694321</v>
      </c>
      <c r="R3423">
        <v>5.6421430957126804</v>
      </c>
      <c r="S3423">
        <v>157</v>
      </c>
      <c r="T3423">
        <v>31</v>
      </c>
      <c r="U3423">
        <v>826.40718104141195</v>
      </c>
      <c r="V3423">
        <v>4.9950049950049896E-4</v>
      </c>
      <c r="W3423">
        <v>3671542.1354338098</v>
      </c>
      <c r="X3423" t="s">
        <v>36</v>
      </c>
      <c r="Y3423">
        <f>1-347-795-9656</f>
        <v>-10797</v>
      </c>
    </row>
    <row r="3424" spans="1:25" x14ac:dyDescent="0.35">
      <c r="A3424">
        <v>36.083122640917701</v>
      </c>
      <c r="B3424">
        <v>-121.05022462452099</v>
      </c>
      <c r="C3424" t="s">
        <v>25</v>
      </c>
      <c r="D3424">
        <v>14.9558370251968</v>
      </c>
      <c r="E3424">
        <v>7</v>
      </c>
      <c r="F3424">
        <v>4749</v>
      </c>
      <c r="G3424">
        <v>2</v>
      </c>
      <c r="H3424">
        <v>2</v>
      </c>
      <c r="I3424">
        <v>1957</v>
      </c>
      <c r="J3424">
        <v>0</v>
      </c>
      <c r="K3424">
        <v>0</v>
      </c>
      <c r="L3424">
        <v>1</v>
      </c>
      <c r="M3424">
        <v>9</v>
      </c>
      <c r="N3424" t="s">
        <v>37</v>
      </c>
      <c r="O3424" t="s">
        <v>30</v>
      </c>
      <c r="P3424">
        <v>11.961505309778399</v>
      </c>
      <c r="Q3424">
        <v>2.3185067639152099</v>
      </c>
      <c r="R3424">
        <v>2.0124843676395798</v>
      </c>
      <c r="S3424">
        <v>109</v>
      </c>
      <c r="T3424">
        <v>77</v>
      </c>
      <c r="U3424">
        <v>362.26275078153702</v>
      </c>
      <c r="V3424">
        <v>1.8951358180669599E-3</v>
      </c>
      <c r="W3424">
        <v>1951370.3356662199</v>
      </c>
      <c r="X3424" t="s">
        <v>44</v>
      </c>
      <c r="Y3424">
        <f>1-544-828-9366</f>
        <v>-10737</v>
      </c>
    </row>
    <row r="3425" spans="1:25" x14ac:dyDescent="0.35">
      <c r="A3425">
        <v>35.2992373058757</v>
      </c>
      <c r="B3425">
        <v>-124.415967063911</v>
      </c>
      <c r="C3425" t="s">
        <v>25</v>
      </c>
      <c r="D3425">
        <v>12.8757760127752</v>
      </c>
      <c r="E3425">
        <v>7</v>
      </c>
      <c r="F3425">
        <v>2727</v>
      </c>
      <c r="G3425">
        <v>1</v>
      </c>
      <c r="H3425">
        <v>1</v>
      </c>
      <c r="I3425">
        <v>2022</v>
      </c>
      <c r="J3425">
        <v>1</v>
      </c>
      <c r="K3425">
        <v>1</v>
      </c>
      <c r="L3425">
        <v>1</v>
      </c>
      <c r="M3425">
        <v>8</v>
      </c>
      <c r="N3425" t="s">
        <v>35</v>
      </c>
      <c r="O3425" t="s">
        <v>27</v>
      </c>
      <c r="P3425">
        <v>14.116030354693899</v>
      </c>
      <c r="Q3425">
        <v>0.54611215570285898</v>
      </c>
      <c r="R3425">
        <v>2.0649576620092298</v>
      </c>
      <c r="S3425">
        <v>184</v>
      </c>
      <c r="T3425">
        <v>38</v>
      </c>
      <c r="U3425">
        <v>716.869047194838</v>
      </c>
      <c r="V3425">
        <v>2.9336266960029301E-3</v>
      </c>
      <c r="W3425">
        <v>2308577.1014530198</v>
      </c>
      <c r="X3425" t="s">
        <v>40</v>
      </c>
      <c r="Y3425">
        <f>1-881-146-8323</f>
        <v>-9349</v>
      </c>
    </row>
    <row r="3426" spans="1:25" x14ac:dyDescent="0.35">
      <c r="A3426">
        <v>41.878171213564897</v>
      </c>
      <c r="B3426">
        <v>-117.27524550531901</v>
      </c>
      <c r="C3426" t="s">
        <v>29</v>
      </c>
      <c r="D3426">
        <v>43.469053033378501</v>
      </c>
      <c r="E3426">
        <v>7</v>
      </c>
      <c r="F3426">
        <v>4034</v>
      </c>
      <c r="G3426">
        <v>5</v>
      </c>
      <c r="H3426">
        <v>1</v>
      </c>
      <c r="I3426">
        <v>2017</v>
      </c>
      <c r="J3426">
        <v>1</v>
      </c>
      <c r="K3426">
        <v>1</v>
      </c>
      <c r="L3426">
        <v>0</v>
      </c>
      <c r="M3426">
        <v>10</v>
      </c>
      <c r="N3426" t="s">
        <v>37</v>
      </c>
      <c r="O3426" t="s">
        <v>30</v>
      </c>
      <c r="P3426">
        <v>9.9847839576216693</v>
      </c>
      <c r="Q3426">
        <v>1.106076071568</v>
      </c>
      <c r="R3426">
        <v>8.3531512779668091</v>
      </c>
      <c r="S3426">
        <v>114</v>
      </c>
      <c r="T3426">
        <v>70</v>
      </c>
      <c r="U3426">
        <v>228.53774142634799</v>
      </c>
      <c r="V3426">
        <v>2.4789291026276598E-3</v>
      </c>
      <c r="W3426">
        <v>1483499.8936310301</v>
      </c>
      <c r="X3426" t="s">
        <v>43</v>
      </c>
      <c r="Y3426">
        <f>1-618-988-2011</f>
        <v>-3616</v>
      </c>
    </row>
    <row r="3427" spans="1:25" x14ac:dyDescent="0.35">
      <c r="A3427">
        <v>36.164053228393897</v>
      </c>
      <c r="B3427">
        <v>-121.47832359184</v>
      </c>
      <c r="C3427" t="s">
        <v>25</v>
      </c>
      <c r="D3427">
        <v>20.338334282390498</v>
      </c>
      <c r="E3427">
        <v>5</v>
      </c>
      <c r="F3427">
        <v>1350</v>
      </c>
      <c r="G3427">
        <v>5</v>
      </c>
      <c r="H3427">
        <v>3</v>
      </c>
      <c r="I3427">
        <v>2011</v>
      </c>
      <c r="J3427">
        <v>0</v>
      </c>
      <c r="K3427">
        <v>0</v>
      </c>
      <c r="L3427">
        <v>1</v>
      </c>
      <c r="M3427">
        <v>7</v>
      </c>
      <c r="N3427" t="s">
        <v>26</v>
      </c>
      <c r="O3427" t="s">
        <v>27</v>
      </c>
      <c r="P3427">
        <v>5.4465737901911204</v>
      </c>
      <c r="Q3427">
        <v>1.52891402684067</v>
      </c>
      <c r="R3427">
        <v>4.1070950955969199</v>
      </c>
      <c r="S3427">
        <v>187</v>
      </c>
      <c r="T3427">
        <v>46</v>
      </c>
      <c r="U3427">
        <v>733.98427227567402</v>
      </c>
      <c r="V3427">
        <v>5.1851851851851798E-3</v>
      </c>
      <c r="W3427">
        <v>1272985.9425546399</v>
      </c>
      <c r="X3427" t="s">
        <v>39</v>
      </c>
      <c r="Y3427">
        <f>1-300-881-8684</f>
        <v>-9864</v>
      </c>
    </row>
    <row r="3428" spans="1:25" x14ac:dyDescent="0.35">
      <c r="A3428">
        <v>37.957437960596998</v>
      </c>
      <c r="B3428">
        <v>-117.523980026475</v>
      </c>
      <c r="C3428" t="s">
        <v>34</v>
      </c>
      <c r="D3428">
        <v>35.607707567346999</v>
      </c>
      <c r="E3428">
        <v>2</v>
      </c>
      <c r="F3428">
        <v>4992</v>
      </c>
      <c r="G3428">
        <v>5</v>
      </c>
      <c r="H3428">
        <v>3</v>
      </c>
      <c r="I3428">
        <v>1961</v>
      </c>
      <c r="J3428">
        <v>0</v>
      </c>
      <c r="K3428">
        <v>0</v>
      </c>
      <c r="L3428">
        <v>0</v>
      </c>
      <c r="M3428">
        <v>13</v>
      </c>
      <c r="N3428" t="s">
        <v>37</v>
      </c>
      <c r="O3428" t="s">
        <v>27</v>
      </c>
      <c r="P3428">
        <v>3.0686628666856199</v>
      </c>
      <c r="Q3428">
        <v>1.2608653732033801</v>
      </c>
      <c r="R3428">
        <v>2.4361338369149701</v>
      </c>
      <c r="S3428">
        <v>38</v>
      </c>
      <c r="T3428">
        <v>27</v>
      </c>
      <c r="U3428">
        <v>416.83208989852301</v>
      </c>
      <c r="V3428">
        <v>2.60416666666666E-3</v>
      </c>
      <c r="W3428">
        <v>2295776.2363195298</v>
      </c>
      <c r="X3428" t="s">
        <v>28</v>
      </c>
      <c r="Y3428">
        <f>1-715-532-4316</f>
        <v>-5562</v>
      </c>
    </row>
    <row r="3429" spans="1:25" x14ac:dyDescent="0.35">
      <c r="A3429">
        <v>32.531089332100002</v>
      </c>
      <c r="B3429">
        <v>-122.886905757771</v>
      </c>
      <c r="C3429" t="s">
        <v>25</v>
      </c>
      <c r="D3429">
        <v>38.173165037142098</v>
      </c>
      <c r="E3429">
        <v>1</v>
      </c>
      <c r="F3429">
        <v>3476</v>
      </c>
      <c r="G3429">
        <v>2</v>
      </c>
      <c r="H3429">
        <v>2</v>
      </c>
      <c r="I3429">
        <v>1974</v>
      </c>
      <c r="J3429">
        <v>1</v>
      </c>
      <c r="K3429">
        <v>1</v>
      </c>
      <c r="L3429">
        <v>0</v>
      </c>
      <c r="M3429">
        <v>2</v>
      </c>
      <c r="N3429" t="s">
        <v>35</v>
      </c>
      <c r="O3429" t="s">
        <v>32</v>
      </c>
      <c r="P3429">
        <v>2.1937057810938598</v>
      </c>
      <c r="Q3429">
        <v>1.03704277964096</v>
      </c>
      <c r="R3429">
        <v>8.3976948087907299</v>
      </c>
      <c r="S3429">
        <v>123</v>
      </c>
      <c r="T3429">
        <v>68</v>
      </c>
      <c r="U3429">
        <v>744.29398373558604</v>
      </c>
      <c r="V3429">
        <v>5.7537399309551198E-4</v>
      </c>
      <c r="W3429">
        <v>2784003.1467055599</v>
      </c>
      <c r="X3429" t="s">
        <v>33</v>
      </c>
      <c r="Y3429">
        <f>1-457-431-1313</f>
        <v>-2200</v>
      </c>
    </row>
    <row r="3430" spans="1:25" x14ac:dyDescent="0.35">
      <c r="A3430">
        <v>36.417987149602503</v>
      </c>
      <c r="B3430">
        <v>-114.36705043348201</v>
      </c>
      <c r="C3430" t="s">
        <v>25</v>
      </c>
      <c r="D3430">
        <v>34.794317963608101</v>
      </c>
      <c r="E3430">
        <v>1</v>
      </c>
      <c r="F3430">
        <v>3701</v>
      </c>
      <c r="G3430">
        <v>1</v>
      </c>
      <c r="H3430">
        <v>1</v>
      </c>
      <c r="I3430">
        <v>1962</v>
      </c>
      <c r="J3430">
        <v>1</v>
      </c>
      <c r="K3430">
        <v>0</v>
      </c>
      <c r="L3430">
        <v>1</v>
      </c>
      <c r="M3430">
        <v>6</v>
      </c>
      <c r="N3430" t="s">
        <v>26</v>
      </c>
      <c r="O3430" t="s">
        <v>32</v>
      </c>
      <c r="P3430">
        <v>7.8921641099367497</v>
      </c>
      <c r="Q3430">
        <v>1.2398670588924201</v>
      </c>
      <c r="R3430">
        <v>1.75851508118675</v>
      </c>
      <c r="S3430">
        <v>122</v>
      </c>
      <c r="T3430">
        <v>30</v>
      </c>
      <c r="U3430">
        <v>368.70697764111799</v>
      </c>
      <c r="V3430">
        <v>1.62118346392866E-3</v>
      </c>
      <c r="W3430">
        <v>1504930.6770337101</v>
      </c>
      <c r="X3430" t="s">
        <v>43</v>
      </c>
      <c r="Y3430">
        <f>1-741-632-5308</f>
        <v>-6680</v>
      </c>
    </row>
    <row r="3431" spans="1:25" x14ac:dyDescent="0.35">
      <c r="A3431">
        <v>36.092892606494402</v>
      </c>
      <c r="B3431">
        <v>-118.99143900393901</v>
      </c>
      <c r="C3431" t="s">
        <v>29</v>
      </c>
      <c r="D3431">
        <v>28.111565603218899</v>
      </c>
      <c r="E3431">
        <v>0</v>
      </c>
      <c r="F3431">
        <v>2729</v>
      </c>
      <c r="G3431">
        <v>1</v>
      </c>
      <c r="H3431">
        <v>1</v>
      </c>
      <c r="I3431">
        <v>1982</v>
      </c>
      <c r="J3431">
        <v>0</v>
      </c>
      <c r="K3431">
        <v>0</v>
      </c>
      <c r="L3431">
        <v>0</v>
      </c>
      <c r="M3431">
        <v>7</v>
      </c>
      <c r="N3431" t="s">
        <v>26</v>
      </c>
      <c r="O3431" t="s">
        <v>27</v>
      </c>
      <c r="P3431">
        <v>13.605298044048</v>
      </c>
      <c r="Q3431">
        <v>2.4933409502569601</v>
      </c>
      <c r="R3431">
        <v>6.9605180912830598</v>
      </c>
      <c r="S3431">
        <v>101</v>
      </c>
      <c r="T3431">
        <v>70</v>
      </c>
      <c r="U3431">
        <v>601.00795387544804</v>
      </c>
      <c r="V3431">
        <v>2.5650421399780101E-3</v>
      </c>
      <c r="W3431">
        <v>1784914.5888551001</v>
      </c>
      <c r="X3431" t="s">
        <v>33</v>
      </c>
      <c r="Y3431">
        <f>1-878-774-2488</f>
        <v>-4139</v>
      </c>
    </row>
    <row r="3432" spans="1:25" x14ac:dyDescent="0.35">
      <c r="A3432">
        <v>40.453764583191798</v>
      </c>
      <c r="B3432">
        <v>-118.71931220267901</v>
      </c>
      <c r="C3432" t="s">
        <v>29</v>
      </c>
      <c r="D3432">
        <v>8.6040721123639106</v>
      </c>
      <c r="E3432">
        <v>7</v>
      </c>
      <c r="F3432">
        <v>4517</v>
      </c>
      <c r="G3432">
        <v>3</v>
      </c>
      <c r="H3432">
        <v>2</v>
      </c>
      <c r="I3432">
        <v>1951</v>
      </c>
      <c r="J3432">
        <v>1</v>
      </c>
      <c r="K3432">
        <v>1</v>
      </c>
      <c r="L3432">
        <v>0</v>
      </c>
      <c r="M3432">
        <v>12</v>
      </c>
      <c r="N3432" t="s">
        <v>26</v>
      </c>
      <c r="O3432" t="s">
        <v>32</v>
      </c>
      <c r="P3432">
        <v>4.6326996864138899</v>
      </c>
      <c r="Q3432">
        <v>0.67718277877845701</v>
      </c>
      <c r="R3432">
        <v>1.7359627150539301</v>
      </c>
      <c r="S3432">
        <v>64</v>
      </c>
      <c r="T3432">
        <v>37</v>
      </c>
      <c r="U3432">
        <v>507.701809064955</v>
      </c>
      <c r="V3432">
        <v>2.6566305069736498E-3</v>
      </c>
      <c r="W3432">
        <v>2596612.1385539202</v>
      </c>
      <c r="X3432" t="s">
        <v>31</v>
      </c>
      <c r="Y3432">
        <f>1-410-988-6107</f>
        <v>-7504</v>
      </c>
    </row>
    <row r="3433" spans="1:25" x14ac:dyDescent="0.35">
      <c r="A3433">
        <v>40.3582859880892</v>
      </c>
      <c r="B3433">
        <v>-116.507995578709</v>
      </c>
      <c r="C3433" t="s">
        <v>29</v>
      </c>
      <c r="D3433">
        <v>35.287101748670601</v>
      </c>
      <c r="E3433">
        <v>3</v>
      </c>
      <c r="F3433">
        <v>3243</v>
      </c>
      <c r="G3433">
        <v>4</v>
      </c>
      <c r="H3433">
        <v>1</v>
      </c>
      <c r="I3433">
        <v>1988</v>
      </c>
      <c r="J3433">
        <v>0</v>
      </c>
      <c r="K3433">
        <v>1</v>
      </c>
      <c r="L3433">
        <v>0</v>
      </c>
      <c r="M3433">
        <v>4</v>
      </c>
      <c r="N3433" t="s">
        <v>35</v>
      </c>
      <c r="O3433" t="s">
        <v>32</v>
      </c>
      <c r="P3433">
        <v>11.1304178845194</v>
      </c>
      <c r="Q3433">
        <v>2.2078424637599001</v>
      </c>
      <c r="R3433">
        <v>7.6373858842322901</v>
      </c>
      <c r="S3433">
        <v>3</v>
      </c>
      <c r="T3433">
        <v>60</v>
      </c>
      <c r="U3433">
        <v>381.37315936029898</v>
      </c>
      <c r="V3433">
        <v>1.2334258402713499E-3</v>
      </c>
      <c r="W3433">
        <v>1540156.12896185</v>
      </c>
      <c r="X3433" t="s">
        <v>31</v>
      </c>
      <c r="Y3433">
        <f>1-673-811-2458</f>
        <v>-3941</v>
      </c>
    </row>
    <row r="3434" spans="1:25" x14ac:dyDescent="0.35">
      <c r="A3434">
        <v>39.542291961951001</v>
      </c>
      <c r="B3434">
        <v>-117.23407864006199</v>
      </c>
      <c r="C3434" t="s">
        <v>34</v>
      </c>
      <c r="D3434">
        <v>27.3039954891096</v>
      </c>
      <c r="E3434">
        <v>1</v>
      </c>
      <c r="F3434">
        <v>666</v>
      </c>
      <c r="G3434">
        <v>1</v>
      </c>
      <c r="H3434">
        <v>2</v>
      </c>
      <c r="I3434">
        <v>1962</v>
      </c>
      <c r="J3434">
        <v>0</v>
      </c>
      <c r="K3434">
        <v>0</v>
      </c>
      <c r="L3434">
        <v>1</v>
      </c>
      <c r="M3434">
        <v>6</v>
      </c>
      <c r="N3434" t="s">
        <v>37</v>
      </c>
      <c r="O3434" t="s">
        <v>27</v>
      </c>
      <c r="P3434">
        <v>11.953330112128899</v>
      </c>
      <c r="Q3434">
        <v>2.05125114259073</v>
      </c>
      <c r="R3434">
        <v>9.3725739292686399</v>
      </c>
      <c r="S3434">
        <v>151</v>
      </c>
      <c r="T3434">
        <v>34</v>
      </c>
      <c r="U3434">
        <v>933.79867853058499</v>
      </c>
      <c r="V3434">
        <v>9.0090090090090003E-3</v>
      </c>
      <c r="W3434">
        <v>619974.98747721</v>
      </c>
      <c r="X3434" t="s">
        <v>36</v>
      </c>
      <c r="Y3434">
        <f>1-814-860-7403</f>
        <v>-9076</v>
      </c>
    </row>
    <row r="3435" spans="1:25" x14ac:dyDescent="0.35">
      <c r="A3435">
        <v>33.413625139986003</v>
      </c>
      <c r="B3435">
        <v>-114.418256223386</v>
      </c>
      <c r="C3435" t="s">
        <v>25</v>
      </c>
      <c r="D3435">
        <v>2.1971601016234499</v>
      </c>
      <c r="E3435">
        <v>3</v>
      </c>
      <c r="F3435">
        <v>1765</v>
      </c>
      <c r="G3435">
        <v>4</v>
      </c>
      <c r="H3435">
        <v>3</v>
      </c>
      <c r="I3435">
        <v>1972</v>
      </c>
      <c r="J3435">
        <v>1</v>
      </c>
      <c r="K3435">
        <v>0</v>
      </c>
      <c r="L3435">
        <v>1</v>
      </c>
      <c r="M3435">
        <v>8</v>
      </c>
      <c r="N3435" t="s">
        <v>35</v>
      </c>
      <c r="O3435" t="s">
        <v>32</v>
      </c>
      <c r="P3435">
        <v>2.4531249062143998</v>
      </c>
      <c r="Q3435">
        <v>0.75768833354051301</v>
      </c>
      <c r="R3435">
        <v>6.4508177904517598</v>
      </c>
      <c r="S3435">
        <v>114</v>
      </c>
      <c r="T3435">
        <v>24</v>
      </c>
      <c r="U3435">
        <v>719.49841453721797</v>
      </c>
      <c r="V3435">
        <v>4.5325779036827097E-3</v>
      </c>
      <c r="W3435">
        <v>1508284.1396355999</v>
      </c>
      <c r="X3435" t="s">
        <v>28</v>
      </c>
      <c r="Y3435">
        <f>1-249-946-5774</f>
        <v>-6968</v>
      </c>
    </row>
    <row r="3436" spans="1:25" x14ac:dyDescent="0.35">
      <c r="A3436">
        <v>41.796735783492799</v>
      </c>
      <c r="B3436">
        <v>-120.883339491266</v>
      </c>
      <c r="C3436" t="s">
        <v>29</v>
      </c>
      <c r="D3436">
        <v>11.4310397962408</v>
      </c>
      <c r="E3436">
        <v>6</v>
      </c>
      <c r="F3436">
        <v>1837</v>
      </c>
      <c r="G3436">
        <v>4</v>
      </c>
      <c r="H3436">
        <v>1</v>
      </c>
      <c r="I3436">
        <v>1985</v>
      </c>
      <c r="J3436">
        <v>0</v>
      </c>
      <c r="K3436">
        <v>1</v>
      </c>
      <c r="L3436">
        <v>0</v>
      </c>
      <c r="M3436">
        <v>2</v>
      </c>
      <c r="N3436" t="s">
        <v>37</v>
      </c>
      <c r="O3436" t="s">
        <v>30</v>
      </c>
      <c r="P3436">
        <v>2.59487156561041</v>
      </c>
      <c r="Q3436">
        <v>2.4251631424334201</v>
      </c>
      <c r="R3436">
        <v>6.2973108543961098</v>
      </c>
      <c r="S3436">
        <v>137</v>
      </c>
      <c r="T3436">
        <v>34</v>
      </c>
      <c r="U3436">
        <v>815.87704570947506</v>
      </c>
      <c r="V3436">
        <v>1.08873162765378E-3</v>
      </c>
      <c r="W3436">
        <v>1683235.7572286599</v>
      </c>
      <c r="X3436" t="s">
        <v>43</v>
      </c>
      <c r="Y3436">
        <f>1-379-693-8339</f>
        <v>-9410</v>
      </c>
    </row>
    <row r="3437" spans="1:25" x14ac:dyDescent="0.35">
      <c r="A3437">
        <v>32.631154720025997</v>
      </c>
      <c r="B3437">
        <v>-117.31673389469</v>
      </c>
      <c r="C3437" t="s">
        <v>25</v>
      </c>
      <c r="D3437">
        <v>34.9751545230936</v>
      </c>
      <c r="E3437">
        <v>5</v>
      </c>
      <c r="F3437">
        <v>3539</v>
      </c>
      <c r="G3437">
        <v>3</v>
      </c>
      <c r="H3437">
        <v>1</v>
      </c>
      <c r="I3437">
        <v>1959</v>
      </c>
      <c r="J3437">
        <v>1</v>
      </c>
      <c r="K3437">
        <v>1</v>
      </c>
      <c r="L3437">
        <v>0</v>
      </c>
      <c r="M3437">
        <v>3</v>
      </c>
      <c r="N3437" t="s">
        <v>41</v>
      </c>
      <c r="O3437" t="s">
        <v>27</v>
      </c>
      <c r="P3437">
        <v>11.672193544005699</v>
      </c>
      <c r="Q3437">
        <v>2.1076594478827002</v>
      </c>
      <c r="R3437">
        <v>9.08835828911457</v>
      </c>
      <c r="S3437">
        <v>146</v>
      </c>
      <c r="T3437">
        <v>23</v>
      </c>
      <c r="U3437">
        <v>970.46848103897003</v>
      </c>
      <c r="V3437">
        <v>8.4769708957332501E-4</v>
      </c>
      <c r="W3437">
        <v>3751992.0502102198</v>
      </c>
      <c r="X3437" t="s">
        <v>39</v>
      </c>
      <c r="Y3437">
        <f>1-876-586-2630</f>
        <v>-4091</v>
      </c>
    </row>
    <row r="3438" spans="1:25" x14ac:dyDescent="0.35">
      <c r="A3438">
        <v>41.775037167500599</v>
      </c>
      <c r="B3438">
        <v>-119.924926269956</v>
      </c>
      <c r="C3438" t="s">
        <v>29</v>
      </c>
      <c r="D3438">
        <v>2.7337692269731799</v>
      </c>
      <c r="E3438">
        <v>6</v>
      </c>
      <c r="F3438">
        <v>1011</v>
      </c>
      <c r="G3438">
        <v>2</v>
      </c>
      <c r="H3438">
        <v>3</v>
      </c>
      <c r="I3438">
        <v>2017</v>
      </c>
      <c r="J3438">
        <v>0</v>
      </c>
      <c r="K3438">
        <v>0</v>
      </c>
      <c r="L3438">
        <v>0</v>
      </c>
      <c r="M3438">
        <v>8</v>
      </c>
      <c r="N3438" t="s">
        <v>26</v>
      </c>
      <c r="O3438" t="s">
        <v>27</v>
      </c>
      <c r="P3438">
        <v>2.13989583587749</v>
      </c>
      <c r="Q3438">
        <v>2.0684641076372898</v>
      </c>
      <c r="R3438">
        <v>0.48834573453703201</v>
      </c>
      <c r="S3438">
        <v>184</v>
      </c>
      <c r="T3438">
        <v>49</v>
      </c>
      <c r="U3438">
        <v>405.61012391926198</v>
      </c>
      <c r="V3438">
        <v>7.91295746785361E-3</v>
      </c>
      <c r="W3438">
        <v>615247.17782944103</v>
      </c>
      <c r="X3438" t="s">
        <v>39</v>
      </c>
      <c r="Y3438">
        <f>1-886-291-9281</f>
        <v>-10457</v>
      </c>
    </row>
    <row r="3439" spans="1:25" x14ac:dyDescent="0.35">
      <c r="A3439">
        <v>32.963185526412701</v>
      </c>
      <c r="B3439">
        <v>-116.860496469393</v>
      </c>
      <c r="C3439" t="s">
        <v>25</v>
      </c>
      <c r="D3439">
        <v>36.829694734297</v>
      </c>
      <c r="E3439">
        <v>4</v>
      </c>
      <c r="F3439">
        <v>1432</v>
      </c>
      <c r="G3439">
        <v>2</v>
      </c>
      <c r="H3439">
        <v>1</v>
      </c>
      <c r="I3439">
        <v>2011</v>
      </c>
      <c r="J3439">
        <v>1</v>
      </c>
      <c r="K3439">
        <v>1</v>
      </c>
      <c r="L3439">
        <v>0</v>
      </c>
      <c r="M3439">
        <v>6</v>
      </c>
      <c r="N3439" t="s">
        <v>41</v>
      </c>
      <c r="O3439" t="s">
        <v>32</v>
      </c>
      <c r="P3439">
        <v>10.751166024517101</v>
      </c>
      <c r="Q3439">
        <v>1.44233695383688</v>
      </c>
      <c r="R3439">
        <v>9.0578645717299402</v>
      </c>
      <c r="S3439">
        <v>63</v>
      </c>
      <c r="T3439">
        <v>43</v>
      </c>
      <c r="U3439">
        <v>773.68874545847405</v>
      </c>
      <c r="V3439">
        <v>4.1899441340782096E-3</v>
      </c>
      <c r="W3439">
        <v>1448805.13856849</v>
      </c>
      <c r="X3439" t="s">
        <v>28</v>
      </c>
      <c r="Y3439">
        <f>1-942-263-9357</f>
        <v>-10561</v>
      </c>
    </row>
    <row r="3440" spans="1:25" x14ac:dyDescent="0.35">
      <c r="A3440">
        <v>34.994585056782299</v>
      </c>
      <c r="B3440">
        <v>-123.317018225635</v>
      </c>
      <c r="C3440" t="s">
        <v>29</v>
      </c>
      <c r="D3440">
        <v>18.266343390151999</v>
      </c>
      <c r="E3440">
        <v>9</v>
      </c>
      <c r="F3440">
        <v>1525</v>
      </c>
      <c r="G3440">
        <v>4</v>
      </c>
      <c r="H3440">
        <v>1</v>
      </c>
      <c r="I3440">
        <v>1991</v>
      </c>
      <c r="J3440">
        <v>0</v>
      </c>
      <c r="K3440">
        <v>0</v>
      </c>
      <c r="L3440">
        <v>0</v>
      </c>
      <c r="M3440">
        <v>7</v>
      </c>
      <c r="N3440" t="s">
        <v>37</v>
      </c>
      <c r="O3440" t="s">
        <v>32</v>
      </c>
      <c r="P3440">
        <v>11.6674642966034</v>
      </c>
      <c r="Q3440">
        <v>1.7068023376367201</v>
      </c>
      <c r="R3440">
        <v>1.6528666630052899</v>
      </c>
      <c r="S3440">
        <v>186</v>
      </c>
      <c r="T3440">
        <v>25</v>
      </c>
      <c r="U3440">
        <v>579.63664294598698</v>
      </c>
      <c r="V3440">
        <v>4.59016393442622E-3</v>
      </c>
      <c r="W3440">
        <v>1123560.7404241799</v>
      </c>
      <c r="X3440" t="s">
        <v>43</v>
      </c>
      <c r="Y3440">
        <f>1-640-685-1327</f>
        <v>-2651</v>
      </c>
    </row>
    <row r="3441" spans="1:25" x14ac:dyDescent="0.35">
      <c r="A3441">
        <v>39.084409779086101</v>
      </c>
      <c r="B3441">
        <v>-121.964486341099</v>
      </c>
      <c r="C3441" t="s">
        <v>34</v>
      </c>
      <c r="D3441">
        <v>4.6704186218041297</v>
      </c>
      <c r="E3441">
        <v>3</v>
      </c>
      <c r="F3441">
        <v>4714</v>
      </c>
      <c r="G3441">
        <v>1</v>
      </c>
      <c r="H3441">
        <v>1</v>
      </c>
      <c r="I3441">
        <v>1965</v>
      </c>
      <c r="J3441">
        <v>1</v>
      </c>
      <c r="K3441">
        <v>0</v>
      </c>
      <c r="L3441">
        <v>1</v>
      </c>
      <c r="M3441">
        <v>6</v>
      </c>
      <c r="N3441" t="s">
        <v>41</v>
      </c>
      <c r="O3441" t="s">
        <v>27</v>
      </c>
      <c r="P3441">
        <v>8.0901397553300001</v>
      </c>
      <c r="Q3441">
        <v>1.1280575904757</v>
      </c>
      <c r="R3441">
        <v>9.2082539055499009</v>
      </c>
      <c r="S3441">
        <v>123</v>
      </c>
      <c r="T3441">
        <v>25</v>
      </c>
      <c r="U3441">
        <v>915.59487166094402</v>
      </c>
      <c r="V3441">
        <v>1.27280441238862E-3</v>
      </c>
      <c r="W3441">
        <v>4289554.0167166796</v>
      </c>
      <c r="X3441" t="s">
        <v>31</v>
      </c>
      <c r="Y3441">
        <f>1-465-293-6342</f>
        <v>-7099</v>
      </c>
    </row>
    <row r="3442" spans="1:25" x14ac:dyDescent="0.35">
      <c r="A3442">
        <v>34.011228011782102</v>
      </c>
      <c r="B3442">
        <v>-119.86440755888199</v>
      </c>
      <c r="C3442" t="s">
        <v>34</v>
      </c>
      <c r="D3442">
        <v>37.354479266216799</v>
      </c>
      <c r="E3442">
        <v>8</v>
      </c>
      <c r="F3442">
        <v>4478</v>
      </c>
      <c r="G3442">
        <v>3</v>
      </c>
      <c r="H3442">
        <v>2</v>
      </c>
      <c r="I3442">
        <v>2011</v>
      </c>
      <c r="J3442">
        <v>1</v>
      </c>
      <c r="K3442">
        <v>0</v>
      </c>
      <c r="L3442">
        <v>1</v>
      </c>
      <c r="M3442">
        <v>4</v>
      </c>
      <c r="N3442" t="s">
        <v>37</v>
      </c>
      <c r="O3442" t="s">
        <v>30</v>
      </c>
      <c r="P3442">
        <v>9.5699782079100508</v>
      </c>
      <c r="Q3442">
        <v>0.57308574281273394</v>
      </c>
      <c r="R3442">
        <v>4.0197451206651902</v>
      </c>
      <c r="S3442">
        <v>61</v>
      </c>
      <c r="T3442">
        <v>38</v>
      </c>
      <c r="U3442">
        <v>723.45847530439005</v>
      </c>
      <c r="V3442">
        <v>8.9325591782045497E-4</v>
      </c>
      <c r="W3442">
        <v>3708632.9489106298</v>
      </c>
      <c r="X3442" t="s">
        <v>38</v>
      </c>
      <c r="Y3442">
        <f>1-702-234-1469</f>
        <v>-2404</v>
      </c>
    </row>
    <row r="3443" spans="1:25" x14ac:dyDescent="0.35">
      <c r="A3443">
        <v>32.952939442387297</v>
      </c>
      <c r="B3443">
        <v>-122.172415345245</v>
      </c>
      <c r="C3443" t="s">
        <v>29</v>
      </c>
      <c r="D3443">
        <v>29.960343294840701</v>
      </c>
      <c r="E3443">
        <v>7</v>
      </c>
      <c r="F3443">
        <v>550</v>
      </c>
      <c r="G3443">
        <v>1</v>
      </c>
      <c r="H3443">
        <v>3</v>
      </c>
      <c r="I3443">
        <v>1974</v>
      </c>
      <c r="J3443">
        <v>1</v>
      </c>
      <c r="K3443">
        <v>0</v>
      </c>
      <c r="L3443">
        <v>0</v>
      </c>
      <c r="M3443">
        <v>9</v>
      </c>
      <c r="N3443" t="s">
        <v>37</v>
      </c>
      <c r="O3443" t="s">
        <v>27</v>
      </c>
      <c r="P3443">
        <v>8.2036687162101405</v>
      </c>
      <c r="Q3443">
        <v>1.3135938025248799</v>
      </c>
      <c r="R3443">
        <v>5.7009538560637898</v>
      </c>
      <c r="S3443">
        <v>132</v>
      </c>
      <c r="T3443">
        <v>56</v>
      </c>
      <c r="U3443">
        <v>865.73337655114199</v>
      </c>
      <c r="V3443">
        <v>1.6363636363636299E-2</v>
      </c>
      <c r="W3443">
        <v>548252.67203796306</v>
      </c>
      <c r="X3443" t="s">
        <v>40</v>
      </c>
      <c r="Y3443">
        <f>1-596-955-1750</f>
        <v>-3300</v>
      </c>
    </row>
    <row r="3444" spans="1:25" x14ac:dyDescent="0.35">
      <c r="A3444">
        <v>36.111513843610098</v>
      </c>
      <c r="B3444">
        <v>-119.872555183844</v>
      </c>
      <c r="C3444" t="s">
        <v>34</v>
      </c>
      <c r="D3444">
        <v>19.122564683306599</v>
      </c>
      <c r="E3444">
        <v>5</v>
      </c>
      <c r="F3444">
        <v>3441</v>
      </c>
      <c r="G3444">
        <v>4</v>
      </c>
      <c r="H3444">
        <v>3</v>
      </c>
      <c r="I3444">
        <v>1974</v>
      </c>
      <c r="J3444">
        <v>0</v>
      </c>
      <c r="K3444">
        <v>0</v>
      </c>
      <c r="L3444">
        <v>0</v>
      </c>
      <c r="M3444">
        <v>11</v>
      </c>
      <c r="N3444" t="s">
        <v>41</v>
      </c>
      <c r="O3444" t="s">
        <v>30</v>
      </c>
      <c r="P3444">
        <v>6.3766411605808404</v>
      </c>
      <c r="Q3444">
        <v>1.5301542660542</v>
      </c>
      <c r="R3444">
        <v>3.2096096044292799</v>
      </c>
      <c r="S3444">
        <v>44</v>
      </c>
      <c r="T3444">
        <v>54</v>
      </c>
      <c r="U3444">
        <v>280.60831981036603</v>
      </c>
      <c r="V3444">
        <v>3.1967451322289999E-3</v>
      </c>
      <c r="W3444">
        <v>1257140.50226695</v>
      </c>
      <c r="X3444" t="s">
        <v>38</v>
      </c>
      <c r="Y3444">
        <f>1-983-871-4939</f>
        <v>-6792</v>
      </c>
    </row>
    <row r="3445" spans="1:25" x14ac:dyDescent="0.35">
      <c r="A3445">
        <v>34.041351470171101</v>
      </c>
      <c r="B3445">
        <v>-123.57794954765799</v>
      </c>
      <c r="C3445" t="s">
        <v>25</v>
      </c>
      <c r="D3445">
        <v>40.844839826098102</v>
      </c>
      <c r="E3445">
        <v>2</v>
      </c>
      <c r="F3445">
        <v>2122</v>
      </c>
      <c r="G3445">
        <v>2</v>
      </c>
      <c r="H3445">
        <v>3</v>
      </c>
      <c r="I3445">
        <v>2015</v>
      </c>
      <c r="J3445">
        <v>0</v>
      </c>
      <c r="K3445">
        <v>1</v>
      </c>
      <c r="L3445">
        <v>1</v>
      </c>
      <c r="M3445">
        <v>9</v>
      </c>
      <c r="N3445" t="s">
        <v>37</v>
      </c>
      <c r="O3445" t="s">
        <v>32</v>
      </c>
      <c r="P3445">
        <v>13.538588747774501</v>
      </c>
      <c r="Q3445">
        <v>0.97137980383656497</v>
      </c>
      <c r="R3445">
        <v>9.7239776450557702</v>
      </c>
      <c r="S3445">
        <v>102</v>
      </c>
      <c r="T3445">
        <v>50</v>
      </c>
      <c r="U3445">
        <v>699.65232001684603</v>
      </c>
      <c r="V3445">
        <v>4.2412818096135702E-3</v>
      </c>
      <c r="W3445">
        <v>1931524.7614312801</v>
      </c>
      <c r="X3445" t="s">
        <v>38</v>
      </c>
      <c r="Y3445">
        <f>1-564-950-6786</f>
        <v>-8299</v>
      </c>
    </row>
    <row r="3446" spans="1:25" x14ac:dyDescent="0.35">
      <c r="A3446">
        <v>39.9574068447657</v>
      </c>
      <c r="B3446">
        <v>-122.89143403513501</v>
      </c>
      <c r="C3446" t="s">
        <v>34</v>
      </c>
      <c r="D3446">
        <v>41.959389402095198</v>
      </c>
      <c r="E3446">
        <v>3</v>
      </c>
      <c r="F3446">
        <v>4292</v>
      </c>
      <c r="G3446">
        <v>4</v>
      </c>
      <c r="H3446">
        <v>2</v>
      </c>
      <c r="I3446">
        <v>1979</v>
      </c>
      <c r="J3446">
        <v>1</v>
      </c>
      <c r="K3446">
        <v>1</v>
      </c>
      <c r="L3446">
        <v>0</v>
      </c>
      <c r="M3446">
        <v>6</v>
      </c>
      <c r="N3446" t="s">
        <v>41</v>
      </c>
      <c r="O3446" t="s">
        <v>27</v>
      </c>
      <c r="P3446">
        <v>9.3287281278255296</v>
      </c>
      <c r="Q3446">
        <v>1.0622139501315999</v>
      </c>
      <c r="R3446">
        <v>0.27137035370152501</v>
      </c>
      <c r="S3446">
        <v>180</v>
      </c>
      <c r="T3446">
        <v>45</v>
      </c>
      <c r="U3446">
        <v>967.70694528376396</v>
      </c>
      <c r="V3446">
        <v>1.39794967381174E-3</v>
      </c>
      <c r="W3446">
        <v>4524989.5815133397</v>
      </c>
      <c r="X3446" t="s">
        <v>44</v>
      </c>
      <c r="Y3446">
        <f>1-201-130-8847</f>
        <v>-9177</v>
      </c>
    </row>
    <row r="3447" spans="1:25" x14ac:dyDescent="0.35">
      <c r="A3447">
        <v>35.4577168120693</v>
      </c>
      <c r="B3447">
        <v>-118.91460323703301</v>
      </c>
      <c r="C3447" t="s">
        <v>25</v>
      </c>
      <c r="D3447">
        <v>8.10812639462638</v>
      </c>
      <c r="E3447">
        <v>1</v>
      </c>
      <c r="F3447">
        <v>2858</v>
      </c>
      <c r="G3447">
        <v>4</v>
      </c>
      <c r="H3447">
        <v>1</v>
      </c>
      <c r="I3447">
        <v>1968</v>
      </c>
      <c r="J3447">
        <v>0</v>
      </c>
      <c r="K3447">
        <v>1</v>
      </c>
      <c r="L3447">
        <v>0</v>
      </c>
      <c r="M3447">
        <v>13</v>
      </c>
      <c r="N3447" t="s">
        <v>41</v>
      </c>
      <c r="O3447" t="s">
        <v>30</v>
      </c>
      <c r="P3447">
        <v>9.3507877934322003</v>
      </c>
      <c r="Q3447">
        <v>2.44082869635008</v>
      </c>
      <c r="R3447">
        <v>0.37932281941826501</v>
      </c>
      <c r="S3447">
        <v>95</v>
      </c>
      <c r="T3447">
        <v>25</v>
      </c>
      <c r="U3447">
        <v>848.61995471187004</v>
      </c>
      <c r="V3447">
        <v>4.5486354093771802E-3</v>
      </c>
      <c r="W3447">
        <v>2815910.8097103699</v>
      </c>
      <c r="X3447" t="s">
        <v>28</v>
      </c>
      <c r="Y3447">
        <f>1-667-988-4806</f>
        <v>-6460</v>
      </c>
    </row>
    <row r="3448" spans="1:25" x14ac:dyDescent="0.35">
      <c r="A3448">
        <v>32.904244757148803</v>
      </c>
      <c r="B3448">
        <v>-114.409644466689</v>
      </c>
      <c r="C3448" t="s">
        <v>34</v>
      </c>
      <c r="D3448">
        <v>44.816764403687799</v>
      </c>
      <c r="E3448">
        <v>1</v>
      </c>
      <c r="F3448">
        <v>3966</v>
      </c>
      <c r="G3448">
        <v>2</v>
      </c>
      <c r="H3448">
        <v>2</v>
      </c>
      <c r="I3448">
        <v>2021</v>
      </c>
      <c r="J3448">
        <v>1</v>
      </c>
      <c r="K3448">
        <v>1</v>
      </c>
      <c r="L3448">
        <v>1</v>
      </c>
      <c r="M3448">
        <v>5</v>
      </c>
      <c r="N3448" t="s">
        <v>37</v>
      </c>
      <c r="O3448" t="s">
        <v>27</v>
      </c>
      <c r="P3448">
        <v>12.2012603790584</v>
      </c>
      <c r="Q3448">
        <v>1.0441457176251601</v>
      </c>
      <c r="R3448">
        <v>3.3102664095171401</v>
      </c>
      <c r="S3448">
        <v>8</v>
      </c>
      <c r="T3448">
        <v>23</v>
      </c>
      <c r="U3448">
        <v>209.254213724419</v>
      </c>
      <c r="V3448">
        <v>1.26071608673726E-3</v>
      </c>
      <c r="W3448">
        <v>1260579.46056413</v>
      </c>
      <c r="X3448" t="s">
        <v>36</v>
      </c>
      <c r="Y3448">
        <f>1-293-640-8784</f>
        <v>-9716</v>
      </c>
    </row>
    <row r="3449" spans="1:25" x14ac:dyDescent="0.35">
      <c r="A3449">
        <v>36.978868824285897</v>
      </c>
      <c r="B3449">
        <v>-121.27298594905101</v>
      </c>
      <c r="C3449" t="s">
        <v>25</v>
      </c>
      <c r="D3449">
        <v>8.5502340556220808</v>
      </c>
      <c r="E3449">
        <v>9</v>
      </c>
      <c r="F3449">
        <v>4689</v>
      </c>
      <c r="G3449">
        <v>5</v>
      </c>
      <c r="H3449">
        <v>3</v>
      </c>
      <c r="I3449">
        <v>1951</v>
      </c>
      <c r="J3449">
        <v>0</v>
      </c>
      <c r="K3449">
        <v>0</v>
      </c>
      <c r="L3449">
        <v>1</v>
      </c>
      <c r="M3449">
        <v>10</v>
      </c>
      <c r="N3449" t="s">
        <v>35</v>
      </c>
      <c r="O3449" t="s">
        <v>30</v>
      </c>
      <c r="P3449">
        <v>5.1613349195479703</v>
      </c>
      <c r="Q3449">
        <v>1.0178752052285001</v>
      </c>
      <c r="R3449">
        <v>0.78690134190580296</v>
      </c>
      <c r="S3449">
        <v>60</v>
      </c>
      <c r="T3449">
        <v>71</v>
      </c>
      <c r="U3449">
        <v>336.285183173782</v>
      </c>
      <c r="V3449">
        <v>2.1326508850501098E-3</v>
      </c>
      <c r="W3449">
        <v>1945687.8385475699</v>
      </c>
      <c r="X3449" t="s">
        <v>43</v>
      </c>
      <c r="Y3449">
        <f>1-986-318-3900</f>
        <v>-5203</v>
      </c>
    </row>
    <row r="3450" spans="1:25" x14ac:dyDescent="0.35">
      <c r="A3450">
        <v>33.097867982868202</v>
      </c>
      <c r="B3450">
        <v>-114.59114725876699</v>
      </c>
      <c r="C3450" t="s">
        <v>34</v>
      </c>
      <c r="D3450">
        <v>1.37150881346358</v>
      </c>
      <c r="E3450">
        <v>6</v>
      </c>
      <c r="F3450">
        <v>1303</v>
      </c>
      <c r="G3450">
        <v>1</v>
      </c>
      <c r="H3450">
        <v>1</v>
      </c>
      <c r="I3450">
        <v>1990</v>
      </c>
      <c r="J3450">
        <v>0</v>
      </c>
      <c r="K3450">
        <v>1</v>
      </c>
      <c r="L3450">
        <v>0</v>
      </c>
      <c r="M3450">
        <v>8</v>
      </c>
      <c r="N3450" t="s">
        <v>26</v>
      </c>
      <c r="O3450" t="s">
        <v>27</v>
      </c>
      <c r="P3450">
        <v>5.8027754042476696</v>
      </c>
      <c r="Q3450">
        <v>2.2972541694729198</v>
      </c>
      <c r="R3450">
        <v>6.1481038443434697</v>
      </c>
      <c r="S3450">
        <v>135</v>
      </c>
      <c r="T3450">
        <v>66</v>
      </c>
      <c r="U3450">
        <v>641.57979360101604</v>
      </c>
      <c r="V3450">
        <v>6.1396776669224804E-3</v>
      </c>
      <c r="W3450">
        <v>956370.60153433797</v>
      </c>
      <c r="X3450" t="s">
        <v>44</v>
      </c>
      <c r="Y3450">
        <f>1-373-477-6208</f>
        <v>-7057</v>
      </c>
    </row>
    <row r="3451" spans="1:25" x14ac:dyDescent="0.35">
      <c r="A3451">
        <v>35.413430935329401</v>
      </c>
      <c r="B3451">
        <v>-123.9242890238</v>
      </c>
      <c r="C3451" t="s">
        <v>25</v>
      </c>
      <c r="D3451">
        <v>42.446382865134801</v>
      </c>
      <c r="E3451">
        <v>1</v>
      </c>
      <c r="F3451">
        <v>2153</v>
      </c>
      <c r="G3451">
        <v>1</v>
      </c>
      <c r="H3451">
        <v>3</v>
      </c>
      <c r="I3451">
        <v>1978</v>
      </c>
      <c r="J3451">
        <v>1</v>
      </c>
      <c r="K3451">
        <v>0</v>
      </c>
      <c r="L3451">
        <v>0</v>
      </c>
      <c r="M3451">
        <v>10</v>
      </c>
      <c r="N3451" t="s">
        <v>26</v>
      </c>
      <c r="O3451" t="s">
        <v>30</v>
      </c>
      <c r="P3451">
        <v>14.3426180133602</v>
      </c>
      <c r="Q3451">
        <v>2.2456099423132199</v>
      </c>
      <c r="R3451">
        <v>2.2163096847047701</v>
      </c>
      <c r="S3451">
        <v>184</v>
      </c>
      <c r="T3451">
        <v>59</v>
      </c>
      <c r="U3451">
        <v>686.38570212456796</v>
      </c>
      <c r="V3451">
        <v>4.6446818392940001E-3</v>
      </c>
      <c r="W3451">
        <v>1705307.3426398099</v>
      </c>
      <c r="X3451" t="s">
        <v>33</v>
      </c>
      <c r="Y3451">
        <f>1-284-121-4332</f>
        <v>-4736</v>
      </c>
    </row>
    <row r="3452" spans="1:25" x14ac:dyDescent="0.35">
      <c r="A3452">
        <v>34.603813500098198</v>
      </c>
      <c r="B3452">
        <v>-123.528714585979</v>
      </c>
      <c r="C3452" t="s">
        <v>34</v>
      </c>
      <c r="D3452">
        <v>34.932890772247603</v>
      </c>
      <c r="E3452">
        <v>1</v>
      </c>
      <c r="F3452">
        <v>2081</v>
      </c>
      <c r="G3452">
        <v>2</v>
      </c>
      <c r="H3452">
        <v>2</v>
      </c>
      <c r="I3452">
        <v>2009</v>
      </c>
      <c r="J3452">
        <v>1</v>
      </c>
      <c r="K3452">
        <v>1</v>
      </c>
      <c r="L3452">
        <v>1</v>
      </c>
      <c r="M3452">
        <v>5</v>
      </c>
      <c r="N3452" t="s">
        <v>35</v>
      </c>
      <c r="O3452" t="s">
        <v>32</v>
      </c>
      <c r="P3452">
        <v>10.3135355429367</v>
      </c>
      <c r="Q3452">
        <v>2.35178085886107</v>
      </c>
      <c r="R3452">
        <v>7.4260262525333598</v>
      </c>
      <c r="S3452">
        <v>135</v>
      </c>
      <c r="T3452">
        <v>34</v>
      </c>
      <c r="U3452">
        <v>504.61127637212297</v>
      </c>
      <c r="V3452">
        <v>2.4026910139355998E-3</v>
      </c>
      <c r="W3452">
        <v>1277445.4960427501</v>
      </c>
      <c r="X3452" t="s">
        <v>43</v>
      </c>
      <c r="Y3452">
        <f>1-716-889-8931</f>
        <v>-10535</v>
      </c>
    </row>
    <row r="3453" spans="1:25" x14ac:dyDescent="0.35">
      <c r="A3453">
        <v>40.078520899916697</v>
      </c>
      <c r="B3453">
        <v>-124.201055154415</v>
      </c>
      <c r="C3453" t="s">
        <v>29</v>
      </c>
      <c r="D3453">
        <v>2.4425656025664702</v>
      </c>
      <c r="E3453">
        <v>6</v>
      </c>
      <c r="F3453">
        <v>973</v>
      </c>
      <c r="G3453">
        <v>1</v>
      </c>
      <c r="H3453">
        <v>2</v>
      </c>
      <c r="I3453">
        <v>1958</v>
      </c>
      <c r="J3453">
        <v>1</v>
      </c>
      <c r="K3453">
        <v>1</v>
      </c>
      <c r="L3453">
        <v>0</v>
      </c>
      <c r="M3453">
        <v>2</v>
      </c>
      <c r="N3453" t="s">
        <v>26</v>
      </c>
      <c r="O3453" t="s">
        <v>32</v>
      </c>
      <c r="P3453">
        <v>4.6257549320345301</v>
      </c>
      <c r="Q3453">
        <v>0.61128304768221098</v>
      </c>
      <c r="R3453">
        <v>8.8971195835379699</v>
      </c>
      <c r="S3453">
        <v>5</v>
      </c>
      <c r="T3453">
        <v>36</v>
      </c>
      <c r="U3453">
        <v>410.30637522192001</v>
      </c>
      <c r="V3453">
        <v>2.0554984583761502E-3</v>
      </c>
      <c r="W3453">
        <v>508738.46999863599</v>
      </c>
      <c r="X3453" t="s">
        <v>43</v>
      </c>
      <c r="Y3453">
        <f>1-415-407-8381</f>
        <v>-9202</v>
      </c>
    </row>
    <row r="3454" spans="1:25" x14ac:dyDescent="0.35">
      <c r="A3454">
        <v>33.923714230801203</v>
      </c>
      <c r="B3454">
        <v>-116.46440300867999</v>
      </c>
      <c r="C3454" t="s">
        <v>34</v>
      </c>
      <c r="D3454">
        <v>33.587903429103903</v>
      </c>
      <c r="E3454">
        <v>9</v>
      </c>
      <c r="F3454">
        <v>2574</v>
      </c>
      <c r="G3454">
        <v>4</v>
      </c>
      <c r="H3454">
        <v>2</v>
      </c>
      <c r="I3454">
        <v>1984</v>
      </c>
      <c r="J3454">
        <v>0</v>
      </c>
      <c r="K3454">
        <v>1</v>
      </c>
      <c r="L3454">
        <v>0</v>
      </c>
      <c r="M3454">
        <v>7</v>
      </c>
      <c r="N3454" t="s">
        <v>37</v>
      </c>
      <c r="O3454" t="s">
        <v>27</v>
      </c>
      <c r="P3454">
        <v>11.312073748186499</v>
      </c>
      <c r="Q3454">
        <v>1.14066351597611</v>
      </c>
      <c r="R3454">
        <v>6.7394579173939899</v>
      </c>
      <c r="S3454">
        <v>74</v>
      </c>
      <c r="T3454">
        <v>68</v>
      </c>
      <c r="U3454">
        <v>204.51432087064001</v>
      </c>
      <c r="V3454">
        <v>2.71950271950271E-3</v>
      </c>
      <c r="W3454">
        <v>926638.27318344102</v>
      </c>
      <c r="X3454" t="s">
        <v>28</v>
      </c>
      <c r="Y3454">
        <f>1-568-861-6972</f>
        <v>-8400</v>
      </c>
    </row>
    <row r="3455" spans="1:25" x14ac:dyDescent="0.35">
      <c r="A3455">
        <v>37.747700919918699</v>
      </c>
      <c r="B3455">
        <v>-116.172474236356</v>
      </c>
      <c r="C3455" t="s">
        <v>25</v>
      </c>
      <c r="D3455">
        <v>48.317380216483798</v>
      </c>
      <c r="E3455">
        <v>8</v>
      </c>
      <c r="F3455">
        <v>3787</v>
      </c>
      <c r="G3455">
        <v>1</v>
      </c>
      <c r="H3455">
        <v>1</v>
      </c>
      <c r="I3455">
        <v>2005</v>
      </c>
      <c r="J3455">
        <v>0</v>
      </c>
      <c r="K3455">
        <v>0</v>
      </c>
      <c r="L3455">
        <v>0</v>
      </c>
      <c r="M3455">
        <v>4</v>
      </c>
      <c r="N3455" t="s">
        <v>35</v>
      </c>
      <c r="O3455" t="s">
        <v>32</v>
      </c>
      <c r="P3455">
        <v>6.3740230476844504</v>
      </c>
      <c r="Q3455">
        <v>0.95835715699181201</v>
      </c>
      <c r="R3455">
        <v>5.4518665417612304</v>
      </c>
      <c r="S3455">
        <v>114</v>
      </c>
      <c r="T3455">
        <v>72</v>
      </c>
      <c r="U3455">
        <v>744.17863484394195</v>
      </c>
      <c r="V3455">
        <v>1.05624504885133E-3</v>
      </c>
      <c r="W3455">
        <v>2864442.32036142</v>
      </c>
      <c r="X3455" t="s">
        <v>36</v>
      </c>
      <c r="Y3455">
        <f>1-847-691-9318</f>
        <v>-10855</v>
      </c>
    </row>
    <row r="3456" spans="1:25" x14ac:dyDescent="0.35">
      <c r="A3456">
        <v>32.8226516435032</v>
      </c>
      <c r="B3456">
        <v>-115.34505089528599</v>
      </c>
      <c r="C3456" t="s">
        <v>29</v>
      </c>
      <c r="D3456">
        <v>48.4873888924851</v>
      </c>
      <c r="E3456">
        <v>3</v>
      </c>
      <c r="F3456">
        <v>4210</v>
      </c>
      <c r="G3456">
        <v>5</v>
      </c>
      <c r="H3456">
        <v>2</v>
      </c>
      <c r="I3456">
        <v>1951</v>
      </c>
      <c r="J3456">
        <v>1</v>
      </c>
      <c r="K3456">
        <v>1</v>
      </c>
      <c r="L3456">
        <v>0</v>
      </c>
      <c r="M3456">
        <v>5</v>
      </c>
      <c r="N3456" t="s">
        <v>26</v>
      </c>
      <c r="O3456" t="s">
        <v>32</v>
      </c>
      <c r="P3456">
        <v>4.0323627766789896</v>
      </c>
      <c r="Q3456">
        <v>1.8713571796577</v>
      </c>
      <c r="R3456">
        <v>6.3862696006738604</v>
      </c>
      <c r="S3456">
        <v>33</v>
      </c>
      <c r="T3456">
        <v>71</v>
      </c>
      <c r="U3456">
        <v>459.66858337138598</v>
      </c>
      <c r="V3456">
        <v>1.187648456057E-3</v>
      </c>
      <c r="W3456">
        <v>2278998.7511510798</v>
      </c>
      <c r="X3456" t="s">
        <v>44</v>
      </c>
      <c r="Y3456">
        <f>1-502-420-2209</f>
        <v>-3130</v>
      </c>
    </row>
    <row r="3457" spans="1:25" x14ac:dyDescent="0.35">
      <c r="A3457">
        <v>39.470381869273503</v>
      </c>
      <c r="B3457">
        <v>-119.512783400538</v>
      </c>
      <c r="C3457" t="s">
        <v>25</v>
      </c>
      <c r="D3457">
        <v>7.6734404133815399</v>
      </c>
      <c r="E3457">
        <v>0</v>
      </c>
      <c r="F3457">
        <v>2136</v>
      </c>
      <c r="G3457">
        <v>1</v>
      </c>
      <c r="H3457">
        <v>2</v>
      </c>
      <c r="I3457">
        <v>1998</v>
      </c>
      <c r="J3457">
        <v>0</v>
      </c>
      <c r="K3457">
        <v>0</v>
      </c>
      <c r="L3457">
        <v>0</v>
      </c>
      <c r="M3457">
        <v>11</v>
      </c>
      <c r="N3457" t="s">
        <v>26</v>
      </c>
      <c r="O3457" t="s">
        <v>30</v>
      </c>
      <c r="P3457">
        <v>14.228554635027299</v>
      </c>
      <c r="Q3457">
        <v>0.62605151462129105</v>
      </c>
      <c r="R3457">
        <v>5.5176739888672097</v>
      </c>
      <c r="S3457">
        <v>51</v>
      </c>
      <c r="T3457">
        <v>58</v>
      </c>
      <c r="U3457">
        <v>395.46336394522899</v>
      </c>
      <c r="V3457">
        <v>5.1498127340823896E-3</v>
      </c>
      <c r="W3457">
        <v>981715.50797464105</v>
      </c>
      <c r="X3457" t="s">
        <v>44</v>
      </c>
      <c r="Y3457">
        <f>1-959-736-5873</f>
        <v>-7567</v>
      </c>
    </row>
    <row r="3458" spans="1:25" x14ac:dyDescent="0.35">
      <c r="A3458">
        <v>33.657002839131998</v>
      </c>
      <c r="B3458">
        <v>-121.22812353871301</v>
      </c>
      <c r="C3458" t="s">
        <v>25</v>
      </c>
      <c r="D3458">
        <v>46.541803846933597</v>
      </c>
      <c r="E3458">
        <v>6</v>
      </c>
      <c r="F3458">
        <v>4741</v>
      </c>
      <c r="G3458">
        <v>5</v>
      </c>
      <c r="H3458">
        <v>2</v>
      </c>
      <c r="I3458">
        <v>1959</v>
      </c>
      <c r="J3458">
        <v>0</v>
      </c>
      <c r="K3458">
        <v>0</v>
      </c>
      <c r="L3458">
        <v>1</v>
      </c>
      <c r="M3458">
        <v>9</v>
      </c>
      <c r="N3458" t="s">
        <v>35</v>
      </c>
      <c r="O3458" t="s">
        <v>32</v>
      </c>
      <c r="P3458">
        <v>12.265644831830199</v>
      </c>
      <c r="Q3458">
        <v>2.21346384855718</v>
      </c>
      <c r="R3458">
        <v>2.7776806833566998</v>
      </c>
      <c r="S3458">
        <v>140</v>
      </c>
      <c r="T3458">
        <v>52</v>
      </c>
      <c r="U3458">
        <v>361.50024557810701</v>
      </c>
      <c r="V3458">
        <v>1.8983336848766E-3</v>
      </c>
      <c r="W3458">
        <v>1953607.4348179901</v>
      </c>
      <c r="X3458" t="s">
        <v>38</v>
      </c>
      <c r="Y3458">
        <f>1-886-326-9522</f>
        <v>-10733</v>
      </c>
    </row>
    <row r="3459" spans="1:25" x14ac:dyDescent="0.35">
      <c r="A3459">
        <v>34.953251090772497</v>
      </c>
      <c r="B3459">
        <v>-116.286560462758</v>
      </c>
      <c r="C3459" t="s">
        <v>29</v>
      </c>
      <c r="D3459">
        <v>26.366800072224901</v>
      </c>
      <c r="E3459">
        <v>5</v>
      </c>
      <c r="F3459">
        <v>4283</v>
      </c>
      <c r="G3459">
        <v>5</v>
      </c>
      <c r="H3459">
        <v>1</v>
      </c>
      <c r="I3459">
        <v>1976</v>
      </c>
      <c r="J3459">
        <v>1</v>
      </c>
      <c r="K3459">
        <v>1</v>
      </c>
      <c r="L3459">
        <v>1</v>
      </c>
      <c r="M3459">
        <v>13</v>
      </c>
      <c r="N3459" t="s">
        <v>41</v>
      </c>
      <c r="O3459" t="s">
        <v>27</v>
      </c>
      <c r="P3459">
        <v>7.1313700732062397</v>
      </c>
      <c r="Q3459">
        <v>2.22621684039275</v>
      </c>
      <c r="R3459">
        <v>7.97291270188426</v>
      </c>
      <c r="S3459">
        <v>129</v>
      </c>
      <c r="T3459">
        <v>30</v>
      </c>
      <c r="U3459">
        <v>579.98239866533504</v>
      </c>
      <c r="V3459">
        <v>3.0352556619192101E-3</v>
      </c>
      <c r="W3459">
        <v>2883804.7508927602</v>
      </c>
      <c r="X3459" t="s">
        <v>44</v>
      </c>
      <c r="Y3459">
        <f>1-241-565-8447</f>
        <v>-9252</v>
      </c>
    </row>
    <row r="3460" spans="1:25" x14ac:dyDescent="0.35">
      <c r="A3460">
        <v>33.826894948650299</v>
      </c>
      <c r="B3460">
        <v>-119.37624598988199</v>
      </c>
      <c r="C3460" t="s">
        <v>29</v>
      </c>
      <c r="D3460">
        <v>3.7825683463290898</v>
      </c>
      <c r="E3460">
        <v>6</v>
      </c>
      <c r="F3460">
        <v>4821</v>
      </c>
      <c r="G3460">
        <v>5</v>
      </c>
      <c r="H3460">
        <v>3</v>
      </c>
      <c r="I3460">
        <v>1976</v>
      </c>
      <c r="J3460">
        <v>1</v>
      </c>
      <c r="K3460">
        <v>0</v>
      </c>
      <c r="L3460">
        <v>1</v>
      </c>
      <c r="M3460">
        <v>10</v>
      </c>
      <c r="N3460" t="s">
        <v>37</v>
      </c>
      <c r="O3460" t="s">
        <v>32</v>
      </c>
      <c r="P3460">
        <v>12.19323757586</v>
      </c>
      <c r="Q3460">
        <v>0.61016647041371097</v>
      </c>
      <c r="R3460">
        <v>2.07577814932477</v>
      </c>
      <c r="S3460">
        <v>35</v>
      </c>
      <c r="T3460">
        <v>33</v>
      </c>
      <c r="U3460">
        <v>219.42821912543999</v>
      </c>
      <c r="V3460">
        <v>2.07425845260319E-3</v>
      </c>
      <c r="W3460">
        <v>1524324.3124118999</v>
      </c>
      <c r="X3460" t="s">
        <v>42</v>
      </c>
      <c r="Y3460">
        <f>1-714-896-2434</f>
        <v>-4043</v>
      </c>
    </row>
    <row r="3461" spans="1:25" x14ac:dyDescent="0.35">
      <c r="A3461">
        <v>36.628232734024003</v>
      </c>
      <c r="B3461">
        <v>-120.61132303437201</v>
      </c>
      <c r="C3461" t="s">
        <v>34</v>
      </c>
      <c r="D3461">
        <v>48.203471713444202</v>
      </c>
      <c r="E3461">
        <v>4</v>
      </c>
      <c r="F3461">
        <v>2612</v>
      </c>
      <c r="G3461">
        <v>4</v>
      </c>
      <c r="H3461">
        <v>3</v>
      </c>
      <c r="I3461">
        <v>1955</v>
      </c>
      <c r="J3461">
        <v>1</v>
      </c>
      <c r="K3461">
        <v>1</v>
      </c>
      <c r="L3461">
        <v>0</v>
      </c>
      <c r="M3461">
        <v>13</v>
      </c>
      <c r="N3461" t="s">
        <v>35</v>
      </c>
      <c r="O3461" t="s">
        <v>30</v>
      </c>
      <c r="P3461">
        <v>2.0711605739082501</v>
      </c>
      <c r="Q3461">
        <v>2.2827170632070701</v>
      </c>
      <c r="R3461">
        <v>7.1000289463583401</v>
      </c>
      <c r="S3461">
        <v>188</v>
      </c>
      <c r="T3461">
        <v>22</v>
      </c>
      <c r="U3461">
        <v>362.00029978435998</v>
      </c>
      <c r="V3461">
        <v>4.9770290964777902E-3</v>
      </c>
      <c r="W3461">
        <v>1193048.23047771</v>
      </c>
      <c r="X3461" t="s">
        <v>39</v>
      </c>
      <c r="Y3461">
        <f>1-238-236-4196</f>
        <v>-4669</v>
      </c>
    </row>
    <row r="3462" spans="1:25" x14ac:dyDescent="0.35">
      <c r="A3462">
        <v>38.158634510142903</v>
      </c>
      <c r="B3462">
        <v>-122.553213604463</v>
      </c>
      <c r="C3462" t="s">
        <v>34</v>
      </c>
      <c r="D3462">
        <v>31.7680821466837</v>
      </c>
      <c r="E3462">
        <v>9</v>
      </c>
      <c r="F3462">
        <v>2664</v>
      </c>
      <c r="G3462">
        <v>5</v>
      </c>
      <c r="H3462">
        <v>1</v>
      </c>
      <c r="I3462">
        <v>2015</v>
      </c>
      <c r="J3462">
        <v>1</v>
      </c>
      <c r="K3462">
        <v>0</v>
      </c>
      <c r="L3462">
        <v>1</v>
      </c>
      <c r="M3462">
        <v>13</v>
      </c>
      <c r="N3462" t="s">
        <v>41</v>
      </c>
      <c r="O3462" t="s">
        <v>27</v>
      </c>
      <c r="P3462">
        <v>4.1975510461454499</v>
      </c>
      <c r="Q3462">
        <v>0.80368219199183299</v>
      </c>
      <c r="R3462">
        <v>7.6978100095677098</v>
      </c>
      <c r="S3462">
        <v>133</v>
      </c>
      <c r="T3462">
        <v>37</v>
      </c>
      <c r="U3462">
        <v>691.51634535993901</v>
      </c>
      <c r="V3462">
        <v>4.8798798798798801E-3</v>
      </c>
      <c r="W3462">
        <v>2215007.3753117602</v>
      </c>
      <c r="X3462" t="s">
        <v>28</v>
      </c>
      <c r="Y3462">
        <f>1-840-926-5502</f>
        <v>-7267</v>
      </c>
    </row>
    <row r="3463" spans="1:25" x14ac:dyDescent="0.35">
      <c r="A3463">
        <v>32.947207586384103</v>
      </c>
      <c r="B3463">
        <v>-117.745559244905</v>
      </c>
      <c r="C3463" t="s">
        <v>25</v>
      </c>
      <c r="D3463">
        <v>40.410213415352501</v>
      </c>
      <c r="E3463">
        <v>1</v>
      </c>
      <c r="F3463">
        <v>2375</v>
      </c>
      <c r="G3463">
        <v>5</v>
      </c>
      <c r="H3463">
        <v>3</v>
      </c>
      <c r="I3463">
        <v>1973</v>
      </c>
      <c r="J3463">
        <v>0</v>
      </c>
      <c r="K3463">
        <v>0</v>
      </c>
      <c r="L3463">
        <v>0</v>
      </c>
      <c r="M3463">
        <v>11</v>
      </c>
      <c r="N3463" t="s">
        <v>37</v>
      </c>
      <c r="O3463" t="s">
        <v>32</v>
      </c>
      <c r="P3463">
        <v>5.5745410437606298</v>
      </c>
      <c r="Q3463">
        <v>0.94927234779217196</v>
      </c>
      <c r="R3463">
        <v>3.3704009636530099</v>
      </c>
      <c r="S3463">
        <v>108</v>
      </c>
      <c r="T3463">
        <v>33</v>
      </c>
      <c r="U3463">
        <v>725.20432677512497</v>
      </c>
      <c r="V3463">
        <v>4.6315789473684197E-3</v>
      </c>
      <c r="W3463">
        <v>1995497.3290539701</v>
      </c>
      <c r="X3463" t="s">
        <v>28</v>
      </c>
      <c r="Y3463">
        <f>1-404-150-7041</f>
        <v>-7594</v>
      </c>
    </row>
    <row r="3464" spans="1:25" x14ac:dyDescent="0.35">
      <c r="A3464">
        <v>32.561910616956602</v>
      </c>
      <c r="B3464">
        <v>-118.094276580385</v>
      </c>
      <c r="C3464" t="s">
        <v>29</v>
      </c>
      <c r="D3464">
        <v>15.8712812137949</v>
      </c>
      <c r="E3464">
        <v>7</v>
      </c>
      <c r="F3464">
        <v>2048</v>
      </c>
      <c r="G3464">
        <v>2</v>
      </c>
      <c r="H3464">
        <v>1</v>
      </c>
      <c r="I3464">
        <v>1980</v>
      </c>
      <c r="J3464">
        <v>1</v>
      </c>
      <c r="K3464">
        <v>0</v>
      </c>
      <c r="L3464">
        <v>1</v>
      </c>
      <c r="M3464">
        <v>7</v>
      </c>
      <c r="N3464" t="s">
        <v>35</v>
      </c>
      <c r="O3464" t="s">
        <v>30</v>
      </c>
      <c r="P3464">
        <v>11.494338883068799</v>
      </c>
      <c r="Q3464">
        <v>1.9764532664232</v>
      </c>
      <c r="R3464">
        <v>4.4228612545075396</v>
      </c>
      <c r="S3464">
        <v>110</v>
      </c>
      <c r="T3464">
        <v>79</v>
      </c>
      <c r="U3464">
        <v>699.43161059477495</v>
      </c>
      <c r="V3464">
        <v>3.41796875E-3</v>
      </c>
      <c r="W3464">
        <v>1674640.6659798599</v>
      </c>
      <c r="X3464" t="s">
        <v>36</v>
      </c>
      <c r="Y3464">
        <f>1-416-269-5010</f>
        <v>-5694</v>
      </c>
    </row>
    <row r="3465" spans="1:25" x14ac:dyDescent="0.35">
      <c r="A3465">
        <v>36.300986448965503</v>
      </c>
      <c r="B3465">
        <v>-118.664636421597</v>
      </c>
      <c r="C3465" t="s">
        <v>29</v>
      </c>
      <c r="D3465">
        <v>23.9591940093703</v>
      </c>
      <c r="E3465">
        <v>1</v>
      </c>
      <c r="F3465">
        <v>3639</v>
      </c>
      <c r="G3465">
        <v>4</v>
      </c>
      <c r="H3465">
        <v>3</v>
      </c>
      <c r="I3465">
        <v>1989</v>
      </c>
      <c r="J3465">
        <v>1</v>
      </c>
      <c r="K3465">
        <v>1</v>
      </c>
      <c r="L3465">
        <v>1</v>
      </c>
      <c r="M3465">
        <v>13</v>
      </c>
      <c r="N3465" t="s">
        <v>37</v>
      </c>
      <c r="O3465" t="s">
        <v>30</v>
      </c>
      <c r="P3465">
        <v>7.6377277715574197</v>
      </c>
      <c r="Q3465">
        <v>1.25885645292968</v>
      </c>
      <c r="R3465">
        <v>0.70251925948523297</v>
      </c>
      <c r="S3465">
        <v>46</v>
      </c>
      <c r="T3465">
        <v>65</v>
      </c>
      <c r="U3465">
        <v>804.83285027360103</v>
      </c>
      <c r="V3465">
        <v>3.572410002748E-3</v>
      </c>
      <c r="W3465">
        <v>3323369.7749715801</v>
      </c>
      <c r="X3465" t="s">
        <v>42</v>
      </c>
      <c r="Y3465">
        <f>1-737-384-7303</f>
        <v>-8423</v>
      </c>
    </row>
    <row r="3466" spans="1:25" x14ac:dyDescent="0.35">
      <c r="A3466">
        <v>34.307311846124797</v>
      </c>
      <c r="B3466">
        <v>-120.87621475827299</v>
      </c>
      <c r="C3466" t="s">
        <v>34</v>
      </c>
      <c r="D3466">
        <v>7.9825587634413901</v>
      </c>
      <c r="E3466">
        <v>2</v>
      </c>
      <c r="F3466">
        <v>2536</v>
      </c>
      <c r="G3466">
        <v>3</v>
      </c>
      <c r="H3466">
        <v>2</v>
      </c>
      <c r="I3466">
        <v>1955</v>
      </c>
      <c r="J3466">
        <v>1</v>
      </c>
      <c r="K3466">
        <v>0</v>
      </c>
      <c r="L3466">
        <v>1</v>
      </c>
      <c r="M3466">
        <v>7</v>
      </c>
      <c r="N3466" t="s">
        <v>26</v>
      </c>
      <c r="O3466" t="s">
        <v>27</v>
      </c>
      <c r="P3466">
        <v>6.8001372188176799</v>
      </c>
      <c r="Q3466">
        <v>0.50380855399207403</v>
      </c>
      <c r="R3466">
        <v>6.7781090530033303</v>
      </c>
      <c r="S3466">
        <v>133</v>
      </c>
      <c r="T3466">
        <v>24</v>
      </c>
      <c r="U3466">
        <v>929.94428349817599</v>
      </c>
      <c r="V3466">
        <v>2.76025236593059E-3</v>
      </c>
      <c r="W3466">
        <v>2503077.17166</v>
      </c>
      <c r="X3466" t="s">
        <v>42</v>
      </c>
      <c r="Y3466">
        <f>1-421-138-8549</f>
        <v>-9107</v>
      </c>
    </row>
    <row r="3467" spans="1:25" x14ac:dyDescent="0.35">
      <c r="A3467">
        <v>39.998965498662201</v>
      </c>
      <c r="B3467">
        <v>-114.375782555718</v>
      </c>
      <c r="C3467" t="s">
        <v>29</v>
      </c>
      <c r="D3467">
        <v>21.385132435432599</v>
      </c>
      <c r="E3467">
        <v>6</v>
      </c>
      <c r="F3467">
        <v>3181</v>
      </c>
      <c r="G3467">
        <v>2</v>
      </c>
      <c r="H3467">
        <v>1</v>
      </c>
      <c r="I3467">
        <v>2007</v>
      </c>
      <c r="J3467">
        <v>0</v>
      </c>
      <c r="K3467">
        <v>1</v>
      </c>
      <c r="L3467">
        <v>1</v>
      </c>
      <c r="M3467">
        <v>14</v>
      </c>
      <c r="N3467" t="s">
        <v>37</v>
      </c>
      <c r="O3467" t="s">
        <v>32</v>
      </c>
      <c r="P3467">
        <v>5.4502671091220796</v>
      </c>
      <c r="Q3467">
        <v>0.64858948919127402</v>
      </c>
      <c r="R3467">
        <v>1.19853044972505</v>
      </c>
      <c r="S3467">
        <v>138</v>
      </c>
      <c r="T3467">
        <v>32</v>
      </c>
      <c r="U3467">
        <v>393.54618799699</v>
      </c>
      <c r="V3467">
        <v>4.4011317195850304E-3</v>
      </c>
      <c r="W3467">
        <v>1537154.7696585199</v>
      </c>
      <c r="X3467" t="s">
        <v>42</v>
      </c>
      <c r="Y3467">
        <f>1-290-961-6190</f>
        <v>-7440</v>
      </c>
    </row>
    <row r="3468" spans="1:25" x14ac:dyDescent="0.35">
      <c r="A3468">
        <v>38.591150307310201</v>
      </c>
      <c r="B3468">
        <v>-120.21340652503901</v>
      </c>
      <c r="C3468" t="s">
        <v>34</v>
      </c>
      <c r="D3468">
        <v>16.739720559981301</v>
      </c>
      <c r="E3468">
        <v>1</v>
      </c>
      <c r="F3468">
        <v>3746</v>
      </c>
      <c r="G3468">
        <v>4</v>
      </c>
      <c r="H3468">
        <v>1</v>
      </c>
      <c r="I3468">
        <v>2017</v>
      </c>
      <c r="J3468">
        <v>1</v>
      </c>
      <c r="K3468">
        <v>1</v>
      </c>
      <c r="L3468">
        <v>0</v>
      </c>
      <c r="M3468">
        <v>6</v>
      </c>
      <c r="N3468" t="s">
        <v>35</v>
      </c>
      <c r="O3468" t="s">
        <v>32</v>
      </c>
      <c r="P3468">
        <v>4.07491672037765</v>
      </c>
      <c r="Q3468">
        <v>1.2573852454838299</v>
      </c>
      <c r="R3468">
        <v>2.0319803155831302</v>
      </c>
      <c r="S3468">
        <v>147</v>
      </c>
      <c r="T3468">
        <v>20</v>
      </c>
      <c r="U3468">
        <v>564.98659654504002</v>
      </c>
      <c r="V3468">
        <v>1.6017084890549899E-3</v>
      </c>
      <c r="W3468">
        <v>2399527.3845233498</v>
      </c>
      <c r="X3468" t="s">
        <v>28</v>
      </c>
      <c r="Y3468">
        <f>1-274-177-7900</f>
        <v>-8350</v>
      </c>
    </row>
    <row r="3469" spans="1:25" x14ac:dyDescent="0.35">
      <c r="A3469">
        <v>38.262796613354901</v>
      </c>
      <c r="B3469">
        <v>-120.153991166734</v>
      </c>
      <c r="C3469" t="s">
        <v>29</v>
      </c>
      <c r="D3469">
        <v>6.6875369112065099</v>
      </c>
      <c r="E3469">
        <v>4</v>
      </c>
      <c r="F3469">
        <v>3403</v>
      </c>
      <c r="G3469">
        <v>3</v>
      </c>
      <c r="H3469">
        <v>1</v>
      </c>
      <c r="I3469">
        <v>2010</v>
      </c>
      <c r="J3469">
        <v>1</v>
      </c>
      <c r="K3469">
        <v>0</v>
      </c>
      <c r="L3469">
        <v>0</v>
      </c>
      <c r="M3469">
        <v>10</v>
      </c>
      <c r="N3469" t="s">
        <v>41</v>
      </c>
      <c r="O3469" t="s">
        <v>30</v>
      </c>
      <c r="P3469">
        <v>14.634441942372501</v>
      </c>
      <c r="Q3469">
        <v>0.83556686741223296</v>
      </c>
      <c r="R3469">
        <v>8.7337380919437404</v>
      </c>
      <c r="S3469">
        <v>185</v>
      </c>
      <c r="T3469">
        <v>49</v>
      </c>
      <c r="U3469">
        <v>220.553055612192</v>
      </c>
      <c r="V3469">
        <v>2.9385836027034898E-3</v>
      </c>
      <c r="W3469">
        <v>1083396.82271085</v>
      </c>
      <c r="X3469" t="s">
        <v>31</v>
      </c>
      <c r="Y3469">
        <f>1-773-161-8814</f>
        <v>-9747</v>
      </c>
    </row>
    <row r="3470" spans="1:25" x14ac:dyDescent="0.35">
      <c r="A3470">
        <v>39.295184068240701</v>
      </c>
      <c r="B3470">
        <v>-118.93317503533</v>
      </c>
      <c r="C3470" t="s">
        <v>34</v>
      </c>
      <c r="D3470">
        <v>36.0518436468749</v>
      </c>
      <c r="E3470">
        <v>1</v>
      </c>
      <c r="F3470">
        <v>2223</v>
      </c>
      <c r="G3470">
        <v>2</v>
      </c>
      <c r="H3470">
        <v>2</v>
      </c>
      <c r="I3470">
        <v>1968</v>
      </c>
      <c r="J3470">
        <v>1</v>
      </c>
      <c r="K3470">
        <v>0</v>
      </c>
      <c r="L3470">
        <v>1</v>
      </c>
      <c r="M3470">
        <v>6</v>
      </c>
      <c r="N3470" t="s">
        <v>37</v>
      </c>
      <c r="O3470" t="s">
        <v>32</v>
      </c>
      <c r="P3470">
        <v>2.1338682037640799</v>
      </c>
      <c r="Q3470">
        <v>2.1418842497588999</v>
      </c>
      <c r="R3470">
        <v>3.1165064208544302</v>
      </c>
      <c r="S3470">
        <v>135</v>
      </c>
      <c r="T3470">
        <v>43</v>
      </c>
      <c r="U3470">
        <v>682.650561623307</v>
      </c>
      <c r="V3470">
        <v>2.6990553306342701E-3</v>
      </c>
      <c r="W3470">
        <v>1665353.8425310401</v>
      </c>
      <c r="X3470" t="s">
        <v>40</v>
      </c>
      <c r="Y3470">
        <f>1-803-533-4369</f>
        <v>-5704</v>
      </c>
    </row>
    <row r="3471" spans="1:25" x14ac:dyDescent="0.35">
      <c r="A3471">
        <v>34.136257334151502</v>
      </c>
      <c r="B3471">
        <v>-114.751231286216</v>
      </c>
      <c r="C3471" t="s">
        <v>34</v>
      </c>
      <c r="D3471">
        <v>7.3911957494762497</v>
      </c>
      <c r="E3471">
        <v>7</v>
      </c>
      <c r="F3471">
        <v>2386</v>
      </c>
      <c r="G3471">
        <v>5</v>
      </c>
      <c r="H3471">
        <v>2</v>
      </c>
      <c r="I3471">
        <v>1961</v>
      </c>
      <c r="J3471">
        <v>0</v>
      </c>
      <c r="K3471">
        <v>1</v>
      </c>
      <c r="L3471">
        <v>0</v>
      </c>
      <c r="M3471">
        <v>14</v>
      </c>
      <c r="N3471" t="s">
        <v>26</v>
      </c>
      <c r="O3471" t="s">
        <v>27</v>
      </c>
      <c r="P3471">
        <v>9.5320204252935401</v>
      </c>
      <c r="Q3471">
        <v>1.63389518145752</v>
      </c>
      <c r="R3471">
        <v>4.8064011558147604</v>
      </c>
      <c r="S3471">
        <v>53</v>
      </c>
      <c r="T3471">
        <v>66</v>
      </c>
      <c r="U3471">
        <v>999.74652761449897</v>
      </c>
      <c r="V3471">
        <v>5.86756077116513E-3</v>
      </c>
      <c r="W3471">
        <v>2762051.33916099</v>
      </c>
      <c r="X3471" t="s">
        <v>38</v>
      </c>
      <c r="Y3471">
        <f>1-505-372-3622</f>
        <v>-4498</v>
      </c>
    </row>
    <row r="3472" spans="1:25" x14ac:dyDescent="0.35">
      <c r="A3472">
        <v>37.225689272664702</v>
      </c>
      <c r="B3472">
        <v>-120.219928390379</v>
      </c>
      <c r="C3472" t="s">
        <v>34</v>
      </c>
      <c r="D3472">
        <v>13.724344833697399</v>
      </c>
      <c r="E3472">
        <v>0</v>
      </c>
      <c r="F3472">
        <v>1032</v>
      </c>
      <c r="G3472">
        <v>4</v>
      </c>
      <c r="H3472">
        <v>2</v>
      </c>
      <c r="I3472">
        <v>1950</v>
      </c>
      <c r="J3472">
        <v>1</v>
      </c>
      <c r="K3472">
        <v>0</v>
      </c>
      <c r="L3472">
        <v>1</v>
      </c>
      <c r="M3472">
        <v>9</v>
      </c>
      <c r="N3472" t="s">
        <v>37</v>
      </c>
      <c r="O3472" t="s">
        <v>32</v>
      </c>
      <c r="P3472">
        <v>5.6557361217976396</v>
      </c>
      <c r="Q3472">
        <v>1.5814001157830899</v>
      </c>
      <c r="R3472">
        <v>9.3294255125985295</v>
      </c>
      <c r="S3472">
        <v>69</v>
      </c>
      <c r="T3472">
        <v>57</v>
      </c>
      <c r="U3472">
        <v>818.21574929643498</v>
      </c>
      <c r="V3472">
        <v>8.7209302325581394E-3</v>
      </c>
      <c r="W3472">
        <v>1103827.20414114</v>
      </c>
      <c r="X3472" t="s">
        <v>38</v>
      </c>
      <c r="Y3472">
        <f>1-331-381-8810</f>
        <v>-9521</v>
      </c>
    </row>
    <row r="3473" spans="1:25" x14ac:dyDescent="0.35">
      <c r="A3473">
        <v>35.008551467736702</v>
      </c>
      <c r="B3473">
        <v>-119.98365659746101</v>
      </c>
      <c r="C3473" t="s">
        <v>25</v>
      </c>
      <c r="D3473">
        <v>24.844100158514799</v>
      </c>
      <c r="E3473">
        <v>7</v>
      </c>
      <c r="F3473">
        <v>3910</v>
      </c>
      <c r="G3473">
        <v>3</v>
      </c>
      <c r="H3473">
        <v>1</v>
      </c>
      <c r="I3473">
        <v>1996</v>
      </c>
      <c r="J3473">
        <v>0</v>
      </c>
      <c r="K3473">
        <v>0</v>
      </c>
      <c r="L3473">
        <v>1</v>
      </c>
      <c r="M3473">
        <v>3</v>
      </c>
      <c r="N3473" t="s">
        <v>41</v>
      </c>
      <c r="O3473" t="s">
        <v>30</v>
      </c>
      <c r="P3473">
        <v>2.0820933022865602</v>
      </c>
      <c r="Q3473">
        <v>2.48826921382773</v>
      </c>
      <c r="R3473">
        <v>1.22846607562624</v>
      </c>
      <c r="S3473">
        <v>16</v>
      </c>
      <c r="T3473">
        <v>41</v>
      </c>
      <c r="U3473">
        <v>991.98507252598699</v>
      </c>
      <c r="V3473">
        <v>7.6726342710997403E-4</v>
      </c>
      <c r="W3473">
        <v>3984998.6897838698</v>
      </c>
      <c r="X3473" t="s">
        <v>42</v>
      </c>
      <c r="Y3473">
        <f>1-704-725-3952</f>
        <v>-5380</v>
      </c>
    </row>
    <row r="3474" spans="1:25" x14ac:dyDescent="0.35">
      <c r="A3474">
        <v>34.9967048068699</v>
      </c>
      <c r="B3474">
        <v>-119.369457268198</v>
      </c>
      <c r="C3474" t="s">
        <v>34</v>
      </c>
      <c r="D3474">
        <v>8.8268808639113097</v>
      </c>
      <c r="E3474">
        <v>9</v>
      </c>
      <c r="F3474">
        <v>3906</v>
      </c>
      <c r="G3474">
        <v>1</v>
      </c>
      <c r="H3474">
        <v>2</v>
      </c>
      <c r="I3474">
        <v>2019</v>
      </c>
      <c r="J3474">
        <v>1</v>
      </c>
      <c r="K3474">
        <v>0</v>
      </c>
      <c r="L3474">
        <v>0</v>
      </c>
      <c r="M3474">
        <v>6</v>
      </c>
      <c r="N3474" t="s">
        <v>37</v>
      </c>
      <c r="O3474" t="s">
        <v>32</v>
      </c>
      <c r="P3474">
        <v>4.1204301711177704</v>
      </c>
      <c r="Q3474">
        <v>1.13551479434518</v>
      </c>
      <c r="R3474">
        <v>6.0963632077327796</v>
      </c>
      <c r="S3474">
        <v>81</v>
      </c>
      <c r="T3474">
        <v>58</v>
      </c>
      <c r="U3474">
        <v>324.73680354779299</v>
      </c>
      <c r="V3474">
        <v>1.53609831029185E-3</v>
      </c>
      <c r="W3474">
        <v>1452981.4612579499</v>
      </c>
      <c r="X3474" t="s">
        <v>39</v>
      </c>
      <c r="Y3474">
        <f>1-332-170-1692</f>
        <v>-2193</v>
      </c>
    </row>
    <row r="3475" spans="1:25" x14ac:dyDescent="0.35">
      <c r="A3475">
        <v>37.901529097526101</v>
      </c>
      <c r="B3475">
        <v>-114.200512782846</v>
      </c>
      <c r="C3475" t="s">
        <v>29</v>
      </c>
      <c r="D3475">
        <v>13.372886818162399</v>
      </c>
      <c r="E3475">
        <v>8</v>
      </c>
      <c r="F3475">
        <v>3172</v>
      </c>
      <c r="G3475">
        <v>5</v>
      </c>
      <c r="H3475">
        <v>2</v>
      </c>
      <c r="I3475">
        <v>1999</v>
      </c>
      <c r="J3475">
        <v>0</v>
      </c>
      <c r="K3475">
        <v>0</v>
      </c>
      <c r="L3475">
        <v>0</v>
      </c>
      <c r="M3475">
        <v>8</v>
      </c>
      <c r="N3475" t="s">
        <v>26</v>
      </c>
      <c r="O3475" t="s">
        <v>30</v>
      </c>
      <c r="P3475">
        <v>6.5713377750464401</v>
      </c>
      <c r="Q3475">
        <v>1.3187193366252901</v>
      </c>
      <c r="R3475">
        <v>0.85317789165130098</v>
      </c>
      <c r="S3475">
        <v>80</v>
      </c>
      <c r="T3475">
        <v>75</v>
      </c>
      <c r="U3475">
        <v>757.64162827574899</v>
      </c>
      <c r="V3475">
        <v>2.5220680958385798E-3</v>
      </c>
      <c r="W3475">
        <v>2703321.1279593301</v>
      </c>
      <c r="X3475" t="s">
        <v>31</v>
      </c>
      <c r="Y3475">
        <f>1-605-455-6891</f>
        <v>-7950</v>
      </c>
    </row>
    <row r="3476" spans="1:25" x14ac:dyDescent="0.35">
      <c r="A3476">
        <v>37.2490962364596</v>
      </c>
      <c r="B3476">
        <v>-116.69817618338099</v>
      </c>
      <c r="C3476" t="s">
        <v>25</v>
      </c>
      <c r="D3476">
        <v>35.359211419545197</v>
      </c>
      <c r="E3476">
        <v>7</v>
      </c>
      <c r="F3476">
        <v>2401</v>
      </c>
      <c r="G3476">
        <v>3</v>
      </c>
      <c r="H3476">
        <v>3</v>
      </c>
      <c r="I3476">
        <v>1953</v>
      </c>
      <c r="J3476">
        <v>0</v>
      </c>
      <c r="K3476">
        <v>1</v>
      </c>
      <c r="L3476">
        <v>0</v>
      </c>
      <c r="M3476">
        <v>12</v>
      </c>
      <c r="N3476" t="s">
        <v>26</v>
      </c>
      <c r="O3476" t="s">
        <v>32</v>
      </c>
      <c r="P3476">
        <v>2.40161864017912</v>
      </c>
      <c r="Q3476">
        <v>0.85763122846387296</v>
      </c>
      <c r="R3476">
        <v>2.8115145710399099</v>
      </c>
      <c r="S3476">
        <v>31</v>
      </c>
      <c r="T3476">
        <v>32</v>
      </c>
      <c r="U3476">
        <v>277.66631408348297</v>
      </c>
      <c r="V3476">
        <v>4.99791753436068E-3</v>
      </c>
      <c r="W3476">
        <v>782270.36306746898</v>
      </c>
      <c r="X3476" t="s">
        <v>33</v>
      </c>
      <c r="Y3476">
        <f>1-208-382-2493</f>
        <v>-3082</v>
      </c>
    </row>
    <row r="3477" spans="1:25" x14ac:dyDescent="0.35">
      <c r="A3477">
        <v>39.028417277288803</v>
      </c>
      <c r="B3477">
        <v>-121.43236083289401</v>
      </c>
      <c r="C3477" t="s">
        <v>34</v>
      </c>
      <c r="D3477">
        <v>19.976713518606299</v>
      </c>
      <c r="E3477">
        <v>1</v>
      </c>
      <c r="F3477">
        <v>1013</v>
      </c>
      <c r="G3477">
        <v>5</v>
      </c>
      <c r="H3477">
        <v>3</v>
      </c>
      <c r="I3477">
        <v>1986</v>
      </c>
      <c r="J3477">
        <v>0</v>
      </c>
      <c r="K3477">
        <v>0</v>
      </c>
      <c r="L3477">
        <v>0</v>
      </c>
      <c r="M3477">
        <v>12</v>
      </c>
      <c r="N3477" t="s">
        <v>35</v>
      </c>
      <c r="O3477" t="s">
        <v>30</v>
      </c>
      <c r="P3477">
        <v>2.9768870682043702</v>
      </c>
      <c r="Q3477">
        <v>2.0720321394369501</v>
      </c>
      <c r="R3477">
        <v>7.6588606950195102</v>
      </c>
      <c r="S3477">
        <v>34</v>
      </c>
      <c r="T3477">
        <v>56</v>
      </c>
      <c r="U3477">
        <v>370.77863113554002</v>
      </c>
      <c r="V3477">
        <v>1.18460019743336E-2</v>
      </c>
      <c r="W3477">
        <v>672997.87245155801</v>
      </c>
      <c r="X3477" t="s">
        <v>40</v>
      </c>
      <c r="Y3477">
        <f>1-231-885-2367</f>
        <v>-3482</v>
      </c>
    </row>
    <row r="3478" spans="1:25" x14ac:dyDescent="0.35">
      <c r="A3478">
        <v>41.335726395730198</v>
      </c>
      <c r="B3478">
        <v>-121.159511575905</v>
      </c>
      <c r="C3478" t="s">
        <v>34</v>
      </c>
      <c r="D3478">
        <v>8.1481428048895896</v>
      </c>
      <c r="E3478">
        <v>6</v>
      </c>
      <c r="F3478">
        <v>3430</v>
      </c>
      <c r="G3478">
        <v>4</v>
      </c>
      <c r="H3478">
        <v>3</v>
      </c>
      <c r="I3478">
        <v>1984</v>
      </c>
      <c r="J3478">
        <v>1</v>
      </c>
      <c r="K3478">
        <v>0</v>
      </c>
      <c r="L3478">
        <v>1</v>
      </c>
      <c r="M3478">
        <v>7</v>
      </c>
      <c r="N3478" t="s">
        <v>26</v>
      </c>
      <c r="O3478" t="s">
        <v>27</v>
      </c>
      <c r="P3478">
        <v>14.855384565246901</v>
      </c>
      <c r="Q3478">
        <v>2.3339914266958699</v>
      </c>
      <c r="R3478">
        <v>7.3124282420451596</v>
      </c>
      <c r="S3478">
        <v>118</v>
      </c>
      <c r="T3478">
        <v>44</v>
      </c>
      <c r="U3478">
        <v>200.18355422843001</v>
      </c>
      <c r="V3478">
        <v>2.0408163265306098E-3</v>
      </c>
      <c r="W3478">
        <v>1130019.95429118</v>
      </c>
      <c r="X3478" t="s">
        <v>43</v>
      </c>
      <c r="Y3478">
        <f>1-666-516-7669</f>
        <v>-8850</v>
      </c>
    </row>
    <row r="3479" spans="1:25" x14ac:dyDescent="0.35">
      <c r="A3479">
        <v>41.1617336641172</v>
      </c>
      <c r="B3479">
        <v>-119.425232403785</v>
      </c>
      <c r="C3479" t="s">
        <v>34</v>
      </c>
      <c r="D3479">
        <v>18.705209040789899</v>
      </c>
      <c r="E3479">
        <v>1</v>
      </c>
      <c r="F3479">
        <v>3834</v>
      </c>
      <c r="G3479">
        <v>2</v>
      </c>
      <c r="H3479">
        <v>2</v>
      </c>
      <c r="I3479">
        <v>1972</v>
      </c>
      <c r="J3479">
        <v>1</v>
      </c>
      <c r="K3479">
        <v>0</v>
      </c>
      <c r="L3479">
        <v>0</v>
      </c>
      <c r="M3479">
        <v>12</v>
      </c>
      <c r="N3479" t="s">
        <v>37</v>
      </c>
      <c r="O3479" t="s">
        <v>27</v>
      </c>
      <c r="P3479">
        <v>12.3170541703371</v>
      </c>
      <c r="Q3479">
        <v>0.69156212038950904</v>
      </c>
      <c r="R3479">
        <v>3.2159301563832501</v>
      </c>
      <c r="S3479">
        <v>195</v>
      </c>
      <c r="T3479">
        <v>56</v>
      </c>
      <c r="U3479">
        <v>594.79632643090599</v>
      </c>
      <c r="V3479">
        <v>3.1298904538341098E-3</v>
      </c>
      <c r="W3479">
        <v>2452334.6639325302</v>
      </c>
      <c r="X3479" t="s">
        <v>28</v>
      </c>
      <c r="Y3479">
        <f>1-949-141-3653</f>
        <v>-4742</v>
      </c>
    </row>
    <row r="3480" spans="1:25" x14ac:dyDescent="0.35">
      <c r="A3480">
        <v>34.372501441974002</v>
      </c>
      <c r="B3480">
        <v>-116.758707085575</v>
      </c>
      <c r="C3480" t="s">
        <v>25</v>
      </c>
      <c r="D3480">
        <v>5.1106278988369196</v>
      </c>
      <c r="E3480">
        <v>7</v>
      </c>
      <c r="F3480">
        <v>4127</v>
      </c>
      <c r="G3480">
        <v>3</v>
      </c>
      <c r="H3480">
        <v>1</v>
      </c>
      <c r="I3480">
        <v>1972</v>
      </c>
      <c r="J3480">
        <v>0</v>
      </c>
      <c r="K3480">
        <v>1</v>
      </c>
      <c r="L3480">
        <v>1</v>
      </c>
      <c r="M3480">
        <v>6</v>
      </c>
      <c r="N3480" t="s">
        <v>35</v>
      </c>
      <c r="O3480" t="s">
        <v>30</v>
      </c>
      <c r="P3480">
        <v>9.5674815610586599</v>
      </c>
      <c r="Q3480">
        <v>0.52885328870910198</v>
      </c>
      <c r="R3480">
        <v>4.2391496177806998</v>
      </c>
      <c r="S3480">
        <v>68</v>
      </c>
      <c r="T3480">
        <v>71</v>
      </c>
      <c r="U3480">
        <v>237.58335107174699</v>
      </c>
      <c r="V3480">
        <v>1.4538405621516801E-3</v>
      </c>
      <c r="W3480">
        <v>1334696.31288347</v>
      </c>
      <c r="X3480" t="s">
        <v>44</v>
      </c>
      <c r="Y3480">
        <f>1-734-973-6694</f>
        <v>-8400</v>
      </c>
    </row>
    <row r="3481" spans="1:25" x14ac:dyDescent="0.35">
      <c r="A3481">
        <v>33.919252545396198</v>
      </c>
      <c r="B3481">
        <v>-122.203445710746</v>
      </c>
      <c r="C3481" t="s">
        <v>29</v>
      </c>
      <c r="D3481">
        <v>9.1291274657591792</v>
      </c>
      <c r="E3481">
        <v>9</v>
      </c>
      <c r="F3481">
        <v>1397</v>
      </c>
      <c r="G3481">
        <v>3</v>
      </c>
      <c r="H3481">
        <v>1</v>
      </c>
      <c r="I3481">
        <v>2014</v>
      </c>
      <c r="J3481">
        <v>0</v>
      </c>
      <c r="K3481">
        <v>1</v>
      </c>
      <c r="L3481">
        <v>0</v>
      </c>
      <c r="M3481">
        <v>9</v>
      </c>
      <c r="N3481" t="s">
        <v>37</v>
      </c>
      <c r="O3481" t="s">
        <v>30</v>
      </c>
      <c r="P3481">
        <v>12.340158553219201</v>
      </c>
      <c r="Q3481">
        <v>1.10918887309513</v>
      </c>
      <c r="R3481">
        <v>5.4635695842022098</v>
      </c>
      <c r="S3481">
        <v>0</v>
      </c>
      <c r="T3481">
        <v>32</v>
      </c>
      <c r="U3481">
        <v>793.45076161181703</v>
      </c>
      <c r="V3481">
        <v>6.4423765211166703E-3</v>
      </c>
      <c r="W3481">
        <v>1484348.79184196</v>
      </c>
      <c r="X3481" t="s">
        <v>42</v>
      </c>
      <c r="Y3481">
        <f>1-991-100-4185</f>
        <v>-5275</v>
      </c>
    </row>
    <row r="3482" spans="1:25" x14ac:dyDescent="0.35">
      <c r="A3482">
        <v>36.850087614632002</v>
      </c>
      <c r="B3482">
        <v>-117.22145132615501</v>
      </c>
      <c r="C3482" t="s">
        <v>29</v>
      </c>
      <c r="D3482">
        <v>48.9628857958037</v>
      </c>
      <c r="E3482">
        <v>8</v>
      </c>
      <c r="F3482">
        <v>601</v>
      </c>
      <c r="G3482">
        <v>1</v>
      </c>
      <c r="H3482">
        <v>2</v>
      </c>
      <c r="I3482">
        <v>1988</v>
      </c>
      <c r="J3482">
        <v>1</v>
      </c>
      <c r="K3482">
        <v>1</v>
      </c>
      <c r="L3482">
        <v>0</v>
      </c>
      <c r="M3482">
        <v>6</v>
      </c>
      <c r="N3482" t="s">
        <v>37</v>
      </c>
      <c r="O3482" t="s">
        <v>30</v>
      </c>
      <c r="P3482">
        <v>12.2758205819592</v>
      </c>
      <c r="Q3482">
        <v>2.1464979944412801</v>
      </c>
      <c r="R3482">
        <v>9.2019376162747903</v>
      </c>
      <c r="S3482">
        <v>177</v>
      </c>
      <c r="T3482">
        <v>27</v>
      </c>
      <c r="U3482">
        <v>968.74164249808803</v>
      </c>
      <c r="V3482">
        <v>9.9833610648918398E-3</v>
      </c>
      <c r="W3482">
        <v>799912.83012557996</v>
      </c>
      <c r="X3482" t="s">
        <v>28</v>
      </c>
      <c r="Y3482">
        <f>1-977-456-4615</f>
        <v>-6047</v>
      </c>
    </row>
    <row r="3483" spans="1:25" x14ac:dyDescent="0.35">
      <c r="A3483">
        <v>33.3130414409789</v>
      </c>
      <c r="B3483">
        <v>-121.06279319155099</v>
      </c>
      <c r="C3483" t="s">
        <v>29</v>
      </c>
      <c r="D3483">
        <v>35.486236065683201</v>
      </c>
      <c r="E3483">
        <v>2</v>
      </c>
      <c r="F3483">
        <v>618</v>
      </c>
      <c r="G3483">
        <v>1</v>
      </c>
      <c r="H3483">
        <v>2</v>
      </c>
      <c r="I3483">
        <v>1954</v>
      </c>
      <c r="J3483">
        <v>0</v>
      </c>
      <c r="K3483">
        <v>0</v>
      </c>
      <c r="L3483">
        <v>1</v>
      </c>
      <c r="M3483">
        <v>13</v>
      </c>
      <c r="N3483" t="s">
        <v>26</v>
      </c>
      <c r="O3483" t="s">
        <v>32</v>
      </c>
      <c r="P3483">
        <v>5.8997877900957896</v>
      </c>
      <c r="Q3483">
        <v>1.3993296026569499</v>
      </c>
      <c r="R3483">
        <v>9.8395947970748399</v>
      </c>
      <c r="S3483">
        <v>172</v>
      </c>
      <c r="T3483">
        <v>46</v>
      </c>
      <c r="U3483">
        <v>311.24511952560698</v>
      </c>
      <c r="V3483">
        <v>2.1035598705501601E-2</v>
      </c>
      <c r="W3483">
        <v>335215.66617920098</v>
      </c>
      <c r="X3483" t="s">
        <v>39</v>
      </c>
      <c r="Y3483">
        <f>1-498-946-4627</f>
        <v>-6070</v>
      </c>
    </row>
    <row r="3484" spans="1:25" x14ac:dyDescent="0.35">
      <c r="A3484">
        <v>39.505139140911503</v>
      </c>
      <c r="B3484">
        <v>-118.050104005195</v>
      </c>
      <c r="C3484" t="s">
        <v>34</v>
      </c>
      <c r="D3484">
        <v>19.608572023599201</v>
      </c>
      <c r="E3484">
        <v>7</v>
      </c>
      <c r="F3484">
        <v>1555</v>
      </c>
      <c r="G3484">
        <v>5</v>
      </c>
      <c r="H3484">
        <v>2</v>
      </c>
      <c r="I3484">
        <v>1952</v>
      </c>
      <c r="J3484">
        <v>1</v>
      </c>
      <c r="K3484">
        <v>1</v>
      </c>
      <c r="L3484">
        <v>1</v>
      </c>
      <c r="M3484">
        <v>14</v>
      </c>
      <c r="N3484" t="s">
        <v>41</v>
      </c>
      <c r="O3484" t="s">
        <v>30</v>
      </c>
      <c r="P3484">
        <v>4.2676948045315903</v>
      </c>
      <c r="Q3484">
        <v>1.5952547821387</v>
      </c>
      <c r="R3484">
        <v>1.0491767509932299</v>
      </c>
      <c r="S3484">
        <v>110</v>
      </c>
      <c r="T3484">
        <v>58</v>
      </c>
      <c r="U3484">
        <v>208.738768530756</v>
      </c>
      <c r="V3484">
        <v>9.0032154340836008E-3</v>
      </c>
      <c r="W3484">
        <v>640929.34392581601</v>
      </c>
      <c r="X3484" t="s">
        <v>42</v>
      </c>
      <c r="Y3484">
        <f>1-902-303-7087</f>
        <v>-8291</v>
      </c>
    </row>
    <row r="3485" spans="1:25" x14ac:dyDescent="0.35">
      <c r="A3485">
        <v>41.011028956582898</v>
      </c>
      <c r="B3485">
        <v>-115.68532568596</v>
      </c>
      <c r="C3485" t="s">
        <v>25</v>
      </c>
      <c r="D3485">
        <v>35.057598923711197</v>
      </c>
      <c r="E3485">
        <v>7</v>
      </c>
      <c r="F3485">
        <v>1389</v>
      </c>
      <c r="G3485">
        <v>5</v>
      </c>
      <c r="H3485">
        <v>3</v>
      </c>
      <c r="I3485">
        <v>2003</v>
      </c>
      <c r="J3485">
        <v>1</v>
      </c>
      <c r="K3485">
        <v>0</v>
      </c>
      <c r="L3485">
        <v>0</v>
      </c>
      <c r="M3485">
        <v>3</v>
      </c>
      <c r="N3485" t="s">
        <v>37</v>
      </c>
      <c r="O3485" t="s">
        <v>32</v>
      </c>
      <c r="P3485">
        <v>5.0246883553877497</v>
      </c>
      <c r="Q3485">
        <v>1.7505717904396201</v>
      </c>
      <c r="R3485">
        <v>1.6259170811354899</v>
      </c>
      <c r="S3485">
        <v>119</v>
      </c>
      <c r="T3485">
        <v>58</v>
      </c>
      <c r="U3485">
        <v>433.103549155932</v>
      </c>
      <c r="V3485">
        <v>2.15982721382289E-3</v>
      </c>
      <c r="W3485">
        <v>913831.97854666098</v>
      </c>
      <c r="X3485" t="s">
        <v>38</v>
      </c>
      <c r="Y3485">
        <f>1-796-855-6354</f>
        <v>-8004</v>
      </c>
    </row>
    <row r="3486" spans="1:25" x14ac:dyDescent="0.35">
      <c r="A3486">
        <v>38.239838393778903</v>
      </c>
      <c r="B3486">
        <v>-114.740929984701</v>
      </c>
      <c r="C3486" t="s">
        <v>34</v>
      </c>
      <c r="D3486">
        <v>20.113607470447501</v>
      </c>
      <c r="E3486">
        <v>5</v>
      </c>
      <c r="F3486">
        <v>3133</v>
      </c>
      <c r="G3486">
        <v>2</v>
      </c>
      <c r="H3486">
        <v>1</v>
      </c>
      <c r="I3486">
        <v>1984</v>
      </c>
      <c r="J3486">
        <v>0</v>
      </c>
      <c r="K3486">
        <v>0</v>
      </c>
      <c r="L3486">
        <v>1</v>
      </c>
      <c r="M3486">
        <v>9</v>
      </c>
      <c r="N3486" t="s">
        <v>37</v>
      </c>
      <c r="O3486" t="s">
        <v>27</v>
      </c>
      <c r="P3486">
        <v>4.4049542207622503</v>
      </c>
      <c r="Q3486">
        <v>0.95049656393295001</v>
      </c>
      <c r="R3486">
        <v>5.3117414627904003</v>
      </c>
      <c r="S3486">
        <v>82</v>
      </c>
      <c r="T3486">
        <v>37</v>
      </c>
      <c r="U3486">
        <v>397.72976623859398</v>
      </c>
      <c r="V3486">
        <v>2.87264602617299E-3</v>
      </c>
      <c r="W3486">
        <v>1323951.1220774199</v>
      </c>
      <c r="X3486" t="s">
        <v>43</v>
      </c>
      <c r="Y3486">
        <f>1-551-912-3847</f>
        <v>-5309</v>
      </c>
    </row>
    <row r="3487" spans="1:25" x14ac:dyDescent="0.35">
      <c r="A3487">
        <v>35.316297469506701</v>
      </c>
      <c r="B3487">
        <v>-117.107777436717</v>
      </c>
      <c r="C3487" t="s">
        <v>34</v>
      </c>
      <c r="D3487">
        <v>32.127833004680198</v>
      </c>
      <c r="E3487">
        <v>6</v>
      </c>
      <c r="F3487">
        <v>737</v>
      </c>
      <c r="G3487">
        <v>3</v>
      </c>
      <c r="H3487">
        <v>1</v>
      </c>
      <c r="I3487">
        <v>2000</v>
      </c>
      <c r="J3487">
        <v>1</v>
      </c>
      <c r="K3487">
        <v>0</v>
      </c>
      <c r="L3487">
        <v>0</v>
      </c>
      <c r="M3487">
        <v>13</v>
      </c>
      <c r="N3487" t="s">
        <v>35</v>
      </c>
      <c r="O3487" t="s">
        <v>27</v>
      </c>
      <c r="P3487">
        <v>2.88723797615943</v>
      </c>
      <c r="Q3487">
        <v>2.0646781713909399</v>
      </c>
      <c r="R3487">
        <v>8.2851340595304599</v>
      </c>
      <c r="S3487">
        <v>159</v>
      </c>
      <c r="T3487">
        <v>30</v>
      </c>
      <c r="U3487">
        <v>744.84940336402599</v>
      </c>
      <c r="V3487">
        <v>1.7639077340569801E-2</v>
      </c>
      <c r="W3487">
        <v>678283.93681945105</v>
      </c>
      <c r="X3487" t="s">
        <v>43</v>
      </c>
      <c r="Y3487">
        <f>1-454-756-1727</f>
        <v>-2936</v>
      </c>
    </row>
    <row r="3488" spans="1:25" x14ac:dyDescent="0.35">
      <c r="A3488">
        <v>35.694527671975997</v>
      </c>
      <c r="B3488">
        <v>-122.861690760136</v>
      </c>
      <c r="C3488" t="s">
        <v>29</v>
      </c>
      <c r="D3488">
        <v>21.642169482302702</v>
      </c>
      <c r="E3488">
        <v>7</v>
      </c>
      <c r="F3488">
        <v>3086</v>
      </c>
      <c r="G3488">
        <v>2</v>
      </c>
      <c r="H3488">
        <v>2</v>
      </c>
      <c r="I3488">
        <v>1981</v>
      </c>
      <c r="J3488">
        <v>0</v>
      </c>
      <c r="K3488">
        <v>0</v>
      </c>
      <c r="L3488">
        <v>1</v>
      </c>
      <c r="M3488">
        <v>11</v>
      </c>
      <c r="N3488" t="s">
        <v>37</v>
      </c>
      <c r="O3488" t="s">
        <v>30</v>
      </c>
      <c r="P3488">
        <v>12.3327312632609</v>
      </c>
      <c r="Q3488">
        <v>2.2362296255975598</v>
      </c>
      <c r="R3488">
        <v>2.91467411258827</v>
      </c>
      <c r="S3488">
        <v>60</v>
      </c>
      <c r="T3488">
        <v>61</v>
      </c>
      <c r="U3488">
        <v>714.57024277316896</v>
      </c>
      <c r="V3488">
        <v>3.5644847699287099E-3</v>
      </c>
      <c r="W3488">
        <v>2416201.5658159698</v>
      </c>
      <c r="X3488" t="s">
        <v>40</v>
      </c>
      <c r="Y3488">
        <f>1-945-935-6036</f>
        <v>-7915</v>
      </c>
    </row>
    <row r="3489" spans="1:25" x14ac:dyDescent="0.35">
      <c r="A3489">
        <v>40.542794930338502</v>
      </c>
      <c r="B3489">
        <v>-114.40228427089301</v>
      </c>
      <c r="C3489" t="s">
        <v>29</v>
      </c>
      <c r="D3489">
        <v>47.225001794700802</v>
      </c>
      <c r="E3489">
        <v>6</v>
      </c>
      <c r="F3489">
        <v>4830</v>
      </c>
      <c r="G3489">
        <v>2</v>
      </c>
      <c r="H3489">
        <v>2</v>
      </c>
      <c r="I3489">
        <v>1952</v>
      </c>
      <c r="J3489">
        <v>1</v>
      </c>
      <c r="K3489">
        <v>0</v>
      </c>
      <c r="L3489">
        <v>0</v>
      </c>
      <c r="M3489">
        <v>12</v>
      </c>
      <c r="N3489" t="s">
        <v>37</v>
      </c>
      <c r="O3489" t="s">
        <v>27</v>
      </c>
      <c r="P3489">
        <v>2.7584758811130898</v>
      </c>
      <c r="Q3489">
        <v>2.3929140179168402</v>
      </c>
      <c r="R3489">
        <v>1.16654862043215</v>
      </c>
      <c r="S3489">
        <v>10</v>
      </c>
      <c r="T3489">
        <v>29</v>
      </c>
      <c r="U3489">
        <v>486.57479403588502</v>
      </c>
      <c r="V3489">
        <v>2.4844720496894398E-3</v>
      </c>
      <c r="W3489">
        <v>2424322.9178027501</v>
      </c>
      <c r="X3489" t="s">
        <v>38</v>
      </c>
      <c r="Y3489">
        <f>1-214-787-2467</f>
        <v>-3467</v>
      </c>
    </row>
    <row r="3490" spans="1:25" x14ac:dyDescent="0.35">
      <c r="A3490">
        <v>35.756693949710503</v>
      </c>
      <c r="B3490">
        <v>-123.503317044627</v>
      </c>
      <c r="C3490" t="s">
        <v>29</v>
      </c>
      <c r="D3490">
        <v>16.784058308710399</v>
      </c>
      <c r="E3490">
        <v>7</v>
      </c>
      <c r="F3490">
        <v>3827</v>
      </c>
      <c r="G3490">
        <v>4</v>
      </c>
      <c r="H3490">
        <v>2</v>
      </c>
      <c r="I3490">
        <v>2010</v>
      </c>
      <c r="J3490">
        <v>1</v>
      </c>
      <c r="K3490">
        <v>0</v>
      </c>
      <c r="L3490">
        <v>1</v>
      </c>
      <c r="M3490">
        <v>12</v>
      </c>
      <c r="N3490" t="s">
        <v>41</v>
      </c>
      <c r="O3490" t="s">
        <v>30</v>
      </c>
      <c r="P3490">
        <v>6.4634035898043898</v>
      </c>
      <c r="Q3490">
        <v>1.5220222261546901</v>
      </c>
      <c r="R3490">
        <v>0.35761635440379202</v>
      </c>
      <c r="S3490">
        <v>177</v>
      </c>
      <c r="T3490">
        <v>43</v>
      </c>
      <c r="U3490">
        <v>428.10769425782399</v>
      </c>
      <c r="V3490">
        <v>3.13561536451528E-3</v>
      </c>
      <c r="W3490">
        <v>1927482.4559935699</v>
      </c>
      <c r="X3490" t="s">
        <v>38</v>
      </c>
      <c r="Y3490">
        <f>1-881-844-2114</f>
        <v>-3838</v>
      </c>
    </row>
    <row r="3491" spans="1:25" x14ac:dyDescent="0.35">
      <c r="A3491">
        <v>36.693343829497501</v>
      </c>
      <c r="B3491">
        <v>-117.042696067156</v>
      </c>
      <c r="C3491" t="s">
        <v>34</v>
      </c>
      <c r="D3491">
        <v>16.453631786055599</v>
      </c>
      <c r="E3491">
        <v>1</v>
      </c>
      <c r="F3491">
        <v>503</v>
      </c>
      <c r="G3491">
        <v>3</v>
      </c>
      <c r="H3491">
        <v>3</v>
      </c>
      <c r="I3491">
        <v>1970</v>
      </c>
      <c r="J3491">
        <v>1</v>
      </c>
      <c r="K3491">
        <v>1</v>
      </c>
      <c r="L3491">
        <v>1</v>
      </c>
      <c r="M3491">
        <v>4</v>
      </c>
      <c r="N3491" t="s">
        <v>35</v>
      </c>
      <c r="O3491" t="s">
        <v>27</v>
      </c>
      <c r="P3491">
        <v>11.7549718415783</v>
      </c>
      <c r="Q3491">
        <v>2.0748604311294399</v>
      </c>
      <c r="R3491">
        <v>1.2132664028136999</v>
      </c>
      <c r="S3491">
        <v>43</v>
      </c>
      <c r="T3491">
        <v>64</v>
      </c>
      <c r="U3491">
        <v>951.28488918550795</v>
      </c>
      <c r="V3491">
        <v>7.9522862823061605E-3</v>
      </c>
      <c r="W3491">
        <v>954608.83212911501</v>
      </c>
      <c r="X3491" t="s">
        <v>33</v>
      </c>
      <c r="Y3491">
        <f>1-206-669-2653</f>
        <v>-3527</v>
      </c>
    </row>
    <row r="3492" spans="1:25" x14ac:dyDescent="0.35">
      <c r="A3492">
        <v>32.9135011437494</v>
      </c>
      <c r="B3492">
        <v>-122.25423660681101</v>
      </c>
      <c r="C3492" t="s">
        <v>25</v>
      </c>
      <c r="D3492">
        <v>3.0598303998386598</v>
      </c>
      <c r="E3492">
        <v>2</v>
      </c>
      <c r="F3492">
        <v>1640</v>
      </c>
      <c r="G3492">
        <v>1</v>
      </c>
      <c r="H3492">
        <v>1</v>
      </c>
      <c r="I3492">
        <v>2018</v>
      </c>
      <c r="J3492">
        <v>1</v>
      </c>
      <c r="K3492">
        <v>0</v>
      </c>
      <c r="L3492">
        <v>1</v>
      </c>
      <c r="M3492">
        <v>7</v>
      </c>
      <c r="N3492" t="s">
        <v>37</v>
      </c>
      <c r="O3492" t="s">
        <v>32</v>
      </c>
      <c r="P3492">
        <v>5.4767464108295103</v>
      </c>
      <c r="Q3492">
        <v>2.44031569419991</v>
      </c>
      <c r="R3492">
        <v>5.5578321987021404</v>
      </c>
      <c r="S3492">
        <v>53</v>
      </c>
      <c r="T3492">
        <v>22</v>
      </c>
      <c r="U3492">
        <v>302.75902708557101</v>
      </c>
      <c r="V3492">
        <v>4.2682926829268296E-3</v>
      </c>
      <c r="W3492">
        <v>638481.40026267106</v>
      </c>
      <c r="X3492" t="s">
        <v>33</v>
      </c>
      <c r="Y3492">
        <f>1-908-990-2916</f>
        <v>-4813</v>
      </c>
    </row>
    <row r="3493" spans="1:25" x14ac:dyDescent="0.35">
      <c r="A3493">
        <v>33.934609960367503</v>
      </c>
      <c r="B3493">
        <v>-124.110846955486</v>
      </c>
      <c r="C3493" t="s">
        <v>29</v>
      </c>
      <c r="D3493">
        <v>48.593082130613297</v>
      </c>
      <c r="E3493">
        <v>5</v>
      </c>
      <c r="F3493">
        <v>3643</v>
      </c>
      <c r="G3493">
        <v>1</v>
      </c>
      <c r="H3493">
        <v>3</v>
      </c>
      <c r="I3493">
        <v>2006</v>
      </c>
      <c r="J3493">
        <v>1</v>
      </c>
      <c r="K3493">
        <v>0</v>
      </c>
      <c r="L3493">
        <v>1</v>
      </c>
      <c r="M3493">
        <v>13</v>
      </c>
      <c r="N3493" t="s">
        <v>35</v>
      </c>
      <c r="O3493" t="s">
        <v>30</v>
      </c>
      <c r="P3493">
        <v>14.5951809756403</v>
      </c>
      <c r="Q3493">
        <v>2.2262196830816099</v>
      </c>
      <c r="R3493">
        <v>9.1019263188687205</v>
      </c>
      <c r="S3493">
        <v>91</v>
      </c>
      <c r="T3493">
        <v>27</v>
      </c>
      <c r="U3493">
        <v>477.16774994967199</v>
      </c>
      <c r="V3493">
        <v>3.56848751029371E-3</v>
      </c>
      <c r="W3493">
        <v>2065092.15150958</v>
      </c>
      <c r="X3493" t="s">
        <v>38</v>
      </c>
      <c r="Y3493">
        <f>1-594-593-1989</f>
        <v>-3175</v>
      </c>
    </row>
    <row r="3494" spans="1:25" x14ac:dyDescent="0.35">
      <c r="A3494">
        <v>34.978353400982002</v>
      </c>
      <c r="B3494">
        <v>-124.21083556318</v>
      </c>
      <c r="C3494" t="s">
        <v>29</v>
      </c>
      <c r="D3494">
        <v>35.347552843953899</v>
      </c>
      <c r="E3494">
        <v>6</v>
      </c>
      <c r="F3494">
        <v>4152</v>
      </c>
      <c r="G3494">
        <v>3</v>
      </c>
      <c r="H3494">
        <v>1</v>
      </c>
      <c r="I3494">
        <v>1982</v>
      </c>
      <c r="J3494">
        <v>1</v>
      </c>
      <c r="K3494">
        <v>1</v>
      </c>
      <c r="L3494">
        <v>1</v>
      </c>
      <c r="M3494">
        <v>12</v>
      </c>
      <c r="N3494" t="s">
        <v>35</v>
      </c>
      <c r="O3494" t="s">
        <v>32</v>
      </c>
      <c r="P3494">
        <v>4.63983168098106</v>
      </c>
      <c r="Q3494">
        <v>1.44590349956224</v>
      </c>
      <c r="R3494">
        <v>5.4941377252244603</v>
      </c>
      <c r="S3494">
        <v>131</v>
      </c>
      <c r="T3494">
        <v>60</v>
      </c>
      <c r="U3494">
        <v>393.504522610126</v>
      </c>
      <c r="V3494">
        <v>2.8901734104046198E-3</v>
      </c>
      <c r="W3494">
        <v>1887292.68790376</v>
      </c>
      <c r="X3494" t="s">
        <v>28</v>
      </c>
      <c r="Y3494">
        <f>1-209-180-6983</f>
        <v>-7371</v>
      </c>
    </row>
    <row r="3495" spans="1:25" x14ac:dyDescent="0.35">
      <c r="A3495">
        <v>35.093858331526</v>
      </c>
      <c r="B3495">
        <v>-116.70050826467801</v>
      </c>
      <c r="C3495" t="s">
        <v>25</v>
      </c>
      <c r="D3495">
        <v>9.0009826656300103</v>
      </c>
      <c r="E3495">
        <v>4</v>
      </c>
      <c r="F3495">
        <v>3608</v>
      </c>
      <c r="G3495">
        <v>4</v>
      </c>
      <c r="H3495">
        <v>1</v>
      </c>
      <c r="I3495">
        <v>2019</v>
      </c>
      <c r="J3495">
        <v>1</v>
      </c>
      <c r="K3495">
        <v>1</v>
      </c>
      <c r="L3495">
        <v>0</v>
      </c>
      <c r="M3495">
        <v>13</v>
      </c>
      <c r="N3495" t="s">
        <v>35</v>
      </c>
      <c r="O3495" t="s">
        <v>27</v>
      </c>
      <c r="P3495">
        <v>11.911489144836199</v>
      </c>
      <c r="Q3495">
        <v>1.9857249916714499</v>
      </c>
      <c r="R3495">
        <v>1.1344710480226601</v>
      </c>
      <c r="S3495">
        <v>62</v>
      </c>
      <c r="T3495">
        <v>79</v>
      </c>
      <c r="U3495">
        <v>982.83369590832001</v>
      </c>
      <c r="V3495">
        <v>3.6031042128603099E-3</v>
      </c>
      <c r="W3495">
        <v>3985308.1404731302</v>
      </c>
      <c r="X3495" t="s">
        <v>33</v>
      </c>
      <c r="Y3495">
        <f>1-564-280-5780</f>
        <v>-6623</v>
      </c>
    </row>
    <row r="3496" spans="1:25" x14ac:dyDescent="0.35">
      <c r="A3496">
        <v>37.972295491031097</v>
      </c>
      <c r="B3496">
        <v>-118.36554612445499</v>
      </c>
      <c r="C3496" t="s">
        <v>25</v>
      </c>
      <c r="D3496">
        <v>7.1789718735891297</v>
      </c>
      <c r="E3496">
        <v>8</v>
      </c>
      <c r="F3496">
        <v>3897</v>
      </c>
      <c r="G3496">
        <v>4</v>
      </c>
      <c r="H3496">
        <v>3</v>
      </c>
      <c r="I3496">
        <v>1957</v>
      </c>
      <c r="J3496">
        <v>1</v>
      </c>
      <c r="K3496">
        <v>1</v>
      </c>
      <c r="L3496">
        <v>1</v>
      </c>
      <c r="M3496">
        <v>2</v>
      </c>
      <c r="N3496" t="s">
        <v>26</v>
      </c>
      <c r="O3496" t="s">
        <v>30</v>
      </c>
      <c r="P3496">
        <v>5.1433848655025098</v>
      </c>
      <c r="Q3496">
        <v>1.23938400031286</v>
      </c>
      <c r="R3496">
        <v>1.5701803620653301</v>
      </c>
      <c r="S3496">
        <v>54</v>
      </c>
      <c r="T3496">
        <v>21</v>
      </c>
      <c r="U3496">
        <v>908.01654686288703</v>
      </c>
      <c r="V3496">
        <v>5.1321529381575495E-4</v>
      </c>
      <c r="W3496">
        <v>3896884.26778547</v>
      </c>
      <c r="X3496" t="s">
        <v>40</v>
      </c>
      <c r="Y3496">
        <f>1-686-271-7181</f>
        <v>-8137</v>
      </c>
    </row>
    <row r="3497" spans="1:25" x14ac:dyDescent="0.35">
      <c r="A3497">
        <v>38.281242557968497</v>
      </c>
      <c r="B3497">
        <v>-117.460279304341</v>
      </c>
      <c r="C3497" t="s">
        <v>34</v>
      </c>
      <c r="D3497">
        <v>19.475929053635301</v>
      </c>
      <c r="E3497">
        <v>0</v>
      </c>
      <c r="F3497">
        <v>3224</v>
      </c>
      <c r="G3497">
        <v>5</v>
      </c>
      <c r="H3497">
        <v>1</v>
      </c>
      <c r="I3497">
        <v>2014</v>
      </c>
      <c r="J3497">
        <v>1</v>
      </c>
      <c r="K3497">
        <v>0</v>
      </c>
      <c r="L3497">
        <v>1</v>
      </c>
      <c r="M3497">
        <v>13</v>
      </c>
      <c r="N3497" t="s">
        <v>37</v>
      </c>
      <c r="O3497" t="s">
        <v>27</v>
      </c>
      <c r="P3497">
        <v>3.5706903709842801</v>
      </c>
      <c r="Q3497">
        <v>2.21574131361825</v>
      </c>
      <c r="R3497">
        <v>8.2139785962859602</v>
      </c>
      <c r="S3497">
        <v>100</v>
      </c>
      <c r="T3497">
        <v>65</v>
      </c>
      <c r="U3497">
        <v>822.74281969004403</v>
      </c>
      <c r="V3497">
        <v>4.0322580645161202E-3</v>
      </c>
      <c r="W3497">
        <v>2987309.7934928602</v>
      </c>
      <c r="X3497" t="s">
        <v>40</v>
      </c>
      <c r="Y3497">
        <f>1-879-886-6287</f>
        <v>-8051</v>
      </c>
    </row>
    <row r="3498" spans="1:25" x14ac:dyDescent="0.35">
      <c r="A3498">
        <v>39.065783890469199</v>
      </c>
      <c r="B3498">
        <v>-122.10805541773399</v>
      </c>
      <c r="C3498" t="s">
        <v>29</v>
      </c>
      <c r="D3498">
        <v>2.6217443174131301</v>
      </c>
      <c r="E3498">
        <v>1</v>
      </c>
      <c r="F3498">
        <v>1515</v>
      </c>
      <c r="G3498">
        <v>3</v>
      </c>
      <c r="H3498">
        <v>3</v>
      </c>
      <c r="I3498">
        <v>1964</v>
      </c>
      <c r="J3498">
        <v>1</v>
      </c>
      <c r="K3498">
        <v>1</v>
      </c>
      <c r="L3498">
        <v>1</v>
      </c>
      <c r="M3498">
        <v>4</v>
      </c>
      <c r="N3498" t="s">
        <v>35</v>
      </c>
      <c r="O3498" t="s">
        <v>30</v>
      </c>
      <c r="P3498">
        <v>13.485916478210701</v>
      </c>
      <c r="Q3498">
        <v>1.8173177835391601</v>
      </c>
      <c r="R3498">
        <v>2.5106540437895699</v>
      </c>
      <c r="S3498">
        <v>39</v>
      </c>
      <c r="T3498">
        <v>52</v>
      </c>
      <c r="U3498">
        <v>816.87836486257902</v>
      </c>
      <c r="V3498">
        <v>2.6402640264026399E-3</v>
      </c>
      <c r="W3498">
        <v>1711589.5671538599</v>
      </c>
      <c r="X3498" t="s">
        <v>38</v>
      </c>
      <c r="Y3498">
        <f>1-519-427-5605</f>
        <v>-6550</v>
      </c>
    </row>
    <row r="3499" spans="1:25" x14ac:dyDescent="0.35">
      <c r="A3499">
        <v>35.552300587856998</v>
      </c>
      <c r="B3499">
        <v>-116.174856251736</v>
      </c>
      <c r="C3499" t="s">
        <v>29</v>
      </c>
      <c r="D3499">
        <v>1.2609416925699399</v>
      </c>
      <c r="E3499">
        <v>7</v>
      </c>
      <c r="F3499">
        <v>1501</v>
      </c>
      <c r="G3499">
        <v>3</v>
      </c>
      <c r="H3499">
        <v>1</v>
      </c>
      <c r="I3499">
        <v>2007</v>
      </c>
      <c r="J3499">
        <v>1</v>
      </c>
      <c r="K3499">
        <v>1</v>
      </c>
      <c r="L3499">
        <v>0</v>
      </c>
      <c r="M3499">
        <v>5</v>
      </c>
      <c r="N3499" t="s">
        <v>35</v>
      </c>
      <c r="O3499" t="s">
        <v>30</v>
      </c>
      <c r="P3499">
        <v>9.4992378254856291</v>
      </c>
      <c r="Q3499">
        <v>0.98349028429733898</v>
      </c>
      <c r="R3499">
        <v>1.8111633303358201</v>
      </c>
      <c r="S3499">
        <v>48</v>
      </c>
      <c r="T3499">
        <v>70</v>
      </c>
      <c r="U3499">
        <v>357.68122310382302</v>
      </c>
      <c r="V3499">
        <v>3.3311125916055898E-3</v>
      </c>
      <c r="W3499">
        <v>925389.93600920704</v>
      </c>
      <c r="X3499" t="s">
        <v>44</v>
      </c>
      <c r="Y3499">
        <f>1-873-704-6725</f>
        <v>-8301</v>
      </c>
    </row>
    <row r="3500" spans="1:25" x14ac:dyDescent="0.35">
      <c r="A3500">
        <v>36.379214109610501</v>
      </c>
      <c r="B3500">
        <v>-117.252973967947</v>
      </c>
      <c r="C3500" t="s">
        <v>34</v>
      </c>
      <c r="D3500">
        <v>33.874988297055602</v>
      </c>
      <c r="E3500">
        <v>1</v>
      </c>
      <c r="F3500">
        <v>3228</v>
      </c>
      <c r="G3500">
        <v>3</v>
      </c>
      <c r="H3500">
        <v>3</v>
      </c>
      <c r="I3500">
        <v>2016</v>
      </c>
      <c r="J3500">
        <v>1</v>
      </c>
      <c r="K3500">
        <v>0</v>
      </c>
      <c r="L3500">
        <v>1</v>
      </c>
      <c r="M3500">
        <v>6</v>
      </c>
      <c r="N3500" t="s">
        <v>41</v>
      </c>
      <c r="O3500" t="s">
        <v>32</v>
      </c>
      <c r="P3500">
        <v>7.5701084978328597</v>
      </c>
      <c r="Q3500">
        <v>1.68886683061178</v>
      </c>
      <c r="R3500">
        <v>3.6183847194462002</v>
      </c>
      <c r="S3500">
        <v>191</v>
      </c>
      <c r="T3500">
        <v>23</v>
      </c>
      <c r="U3500">
        <v>945.99296383199805</v>
      </c>
      <c r="V3500">
        <v>1.8587360594795499E-3</v>
      </c>
      <c r="W3500">
        <v>3268220.8187815999</v>
      </c>
      <c r="X3500" t="s">
        <v>38</v>
      </c>
      <c r="Y3500">
        <f>1-934-740-1675</f>
        <v>-3348</v>
      </c>
    </row>
    <row r="3501" spans="1:25" x14ac:dyDescent="0.35">
      <c r="A3501">
        <v>36.2294306799661</v>
      </c>
      <c r="B3501">
        <v>-121.58958338168399</v>
      </c>
      <c r="C3501" t="s">
        <v>29</v>
      </c>
      <c r="D3501">
        <v>35.880492241947501</v>
      </c>
      <c r="E3501">
        <v>3</v>
      </c>
      <c r="F3501">
        <v>4535</v>
      </c>
      <c r="G3501">
        <v>1</v>
      </c>
      <c r="H3501">
        <v>3</v>
      </c>
      <c r="I3501">
        <v>1960</v>
      </c>
      <c r="J3501">
        <v>1</v>
      </c>
      <c r="K3501">
        <v>0</v>
      </c>
      <c r="L3501">
        <v>0</v>
      </c>
      <c r="M3501">
        <v>13</v>
      </c>
      <c r="N3501" t="s">
        <v>41</v>
      </c>
      <c r="O3501" t="s">
        <v>27</v>
      </c>
      <c r="P3501">
        <v>4.5630899221761299</v>
      </c>
      <c r="Q3501">
        <v>0.828626705350473</v>
      </c>
      <c r="R3501">
        <v>0.94054074999733395</v>
      </c>
      <c r="S3501">
        <v>116</v>
      </c>
      <c r="T3501">
        <v>77</v>
      </c>
      <c r="U3501">
        <v>404.26656405060498</v>
      </c>
      <c r="V3501">
        <v>2.8665931642778298E-3</v>
      </c>
      <c r="W3501">
        <v>1962447.6426396801</v>
      </c>
      <c r="X3501" t="s">
        <v>39</v>
      </c>
      <c r="Y3501">
        <f>1-733-857-5072</f>
        <v>-6661</v>
      </c>
    </row>
    <row r="3502" spans="1:25" x14ac:dyDescent="0.35">
      <c r="A3502">
        <v>34.630499910603902</v>
      </c>
      <c r="B3502">
        <v>-114.23388486417301</v>
      </c>
      <c r="C3502" t="s">
        <v>25</v>
      </c>
      <c r="D3502">
        <v>45.8249656758897</v>
      </c>
      <c r="E3502">
        <v>6</v>
      </c>
      <c r="F3502">
        <v>4945</v>
      </c>
      <c r="G3502">
        <v>3</v>
      </c>
      <c r="H3502">
        <v>2</v>
      </c>
      <c r="I3502">
        <v>2017</v>
      </c>
      <c r="J3502">
        <v>0</v>
      </c>
      <c r="K3502">
        <v>0</v>
      </c>
      <c r="L3502">
        <v>0</v>
      </c>
      <c r="M3502">
        <v>10</v>
      </c>
      <c r="N3502" t="s">
        <v>37</v>
      </c>
      <c r="O3502" t="s">
        <v>32</v>
      </c>
      <c r="P3502">
        <v>8.6569188022628598</v>
      </c>
      <c r="Q3502">
        <v>1.5699438680365501</v>
      </c>
      <c r="R3502">
        <v>5.9703340935648201</v>
      </c>
      <c r="S3502">
        <v>96</v>
      </c>
      <c r="T3502">
        <v>28</v>
      </c>
      <c r="U3502">
        <v>859.99758041286304</v>
      </c>
      <c r="V3502">
        <v>2.0222446916076798E-3</v>
      </c>
      <c r="W3502">
        <v>4433097.4022595398</v>
      </c>
      <c r="X3502" t="s">
        <v>39</v>
      </c>
      <c r="Y3502">
        <f>1-975-783-3847</f>
        <v>-5604</v>
      </c>
    </row>
    <row r="3503" spans="1:25" x14ac:dyDescent="0.35">
      <c r="A3503">
        <v>32.594298536294097</v>
      </c>
      <c r="B3503">
        <v>-116.993426616505</v>
      </c>
      <c r="C3503" t="s">
        <v>25</v>
      </c>
      <c r="D3503">
        <v>31.702920673032601</v>
      </c>
      <c r="E3503">
        <v>6</v>
      </c>
      <c r="F3503">
        <v>3919</v>
      </c>
      <c r="G3503">
        <v>3</v>
      </c>
      <c r="H3503">
        <v>1</v>
      </c>
      <c r="I3503">
        <v>1980</v>
      </c>
      <c r="J3503">
        <v>1</v>
      </c>
      <c r="K3503">
        <v>1</v>
      </c>
      <c r="L3503">
        <v>1</v>
      </c>
      <c r="M3503">
        <v>3</v>
      </c>
      <c r="N3503" t="s">
        <v>26</v>
      </c>
      <c r="O3503" t="s">
        <v>27</v>
      </c>
      <c r="P3503">
        <v>10.1686994203199</v>
      </c>
      <c r="Q3503">
        <v>1.6594570921419001</v>
      </c>
      <c r="R3503">
        <v>9.5722796085026101</v>
      </c>
      <c r="S3503">
        <v>123</v>
      </c>
      <c r="T3503">
        <v>33</v>
      </c>
      <c r="U3503">
        <v>794.68178611123005</v>
      </c>
      <c r="V3503">
        <v>7.6550140341923902E-4</v>
      </c>
      <c r="W3503">
        <v>3479113.6688927501</v>
      </c>
      <c r="X3503" t="s">
        <v>42</v>
      </c>
      <c r="Y3503">
        <f>1-391-235-8948</f>
        <v>-9573</v>
      </c>
    </row>
    <row r="3504" spans="1:25" x14ac:dyDescent="0.35">
      <c r="A3504">
        <v>39.677152157744402</v>
      </c>
      <c r="B3504">
        <v>-118.972770918244</v>
      </c>
      <c r="C3504" t="s">
        <v>25</v>
      </c>
      <c r="D3504">
        <v>6.9183256396947996</v>
      </c>
      <c r="E3504">
        <v>0</v>
      </c>
      <c r="F3504">
        <v>4331</v>
      </c>
      <c r="G3504">
        <v>3</v>
      </c>
      <c r="H3504">
        <v>1</v>
      </c>
      <c r="I3504">
        <v>1952</v>
      </c>
      <c r="J3504">
        <v>0</v>
      </c>
      <c r="K3504">
        <v>0</v>
      </c>
      <c r="L3504">
        <v>1</v>
      </c>
      <c r="M3504">
        <v>11</v>
      </c>
      <c r="N3504" t="s">
        <v>37</v>
      </c>
      <c r="O3504" t="s">
        <v>30</v>
      </c>
      <c r="P3504">
        <v>14.8459194295993</v>
      </c>
      <c r="Q3504">
        <v>1.7774011174972599</v>
      </c>
      <c r="R3504">
        <v>6.44659555346656</v>
      </c>
      <c r="S3504">
        <v>111</v>
      </c>
      <c r="T3504">
        <v>33</v>
      </c>
      <c r="U3504">
        <v>498.03262914764201</v>
      </c>
      <c r="V3504">
        <v>2.53982913876702E-3</v>
      </c>
      <c r="W3504">
        <v>2355816.6040277602</v>
      </c>
      <c r="X3504" t="s">
        <v>31</v>
      </c>
      <c r="Y3504">
        <f>1-325-770-9942</f>
        <v>-11036</v>
      </c>
    </row>
    <row r="3505" spans="1:25" x14ac:dyDescent="0.35">
      <c r="A3505">
        <v>39.651527630114401</v>
      </c>
      <c r="B3505">
        <v>-123.842830157368</v>
      </c>
      <c r="C3505" t="s">
        <v>34</v>
      </c>
      <c r="D3505">
        <v>29.435123430423499</v>
      </c>
      <c r="E3505">
        <v>3</v>
      </c>
      <c r="F3505">
        <v>4061</v>
      </c>
      <c r="G3505">
        <v>3</v>
      </c>
      <c r="H3505">
        <v>3</v>
      </c>
      <c r="I3505">
        <v>1983</v>
      </c>
      <c r="J3505">
        <v>0</v>
      </c>
      <c r="K3505">
        <v>0</v>
      </c>
      <c r="L3505">
        <v>1</v>
      </c>
      <c r="M3505">
        <v>10</v>
      </c>
      <c r="N3505" t="s">
        <v>26</v>
      </c>
      <c r="O3505" t="s">
        <v>32</v>
      </c>
      <c r="P3505">
        <v>12.0948117007737</v>
      </c>
      <c r="Q3505">
        <v>1.8977103262972499</v>
      </c>
      <c r="R3505">
        <v>6.7000315735732601</v>
      </c>
      <c r="S3505">
        <v>71</v>
      </c>
      <c r="T3505">
        <v>36</v>
      </c>
      <c r="U3505">
        <v>850.23271851574395</v>
      </c>
      <c r="V3505">
        <v>2.46244767298694E-3</v>
      </c>
      <c r="W3505">
        <v>3777152.1958113001</v>
      </c>
      <c r="X3505" t="s">
        <v>40</v>
      </c>
      <c r="Y3505">
        <f>1-745-422-5439</f>
        <v>-6605</v>
      </c>
    </row>
    <row r="3506" spans="1:25" x14ac:dyDescent="0.35">
      <c r="A3506">
        <v>40.677168866560798</v>
      </c>
      <c r="B3506">
        <v>-114.23477166698</v>
      </c>
      <c r="C3506" t="s">
        <v>34</v>
      </c>
      <c r="D3506">
        <v>1.68205166944395</v>
      </c>
      <c r="E3506">
        <v>7</v>
      </c>
      <c r="F3506">
        <v>2864</v>
      </c>
      <c r="G3506">
        <v>2</v>
      </c>
      <c r="H3506">
        <v>3</v>
      </c>
      <c r="I3506">
        <v>2008</v>
      </c>
      <c r="J3506">
        <v>0</v>
      </c>
      <c r="K3506">
        <v>1</v>
      </c>
      <c r="L3506">
        <v>0</v>
      </c>
      <c r="M3506">
        <v>13</v>
      </c>
      <c r="N3506" t="s">
        <v>35</v>
      </c>
      <c r="O3506" t="s">
        <v>27</v>
      </c>
      <c r="P3506">
        <v>12.6303200559293</v>
      </c>
      <c r="Q3506">
        <v>1.0635101769748201</v>
      </c>
      <c r="R3506">
        <v>2.7295389290571599</v>
      </c>
      <c r="S3506">
        <v>143</v>
      </c>
      <c r="T3506">
        <v>57</v>
      </c>
      <c r="U3506">
        <v>512.98233626825197</v>
      </c>
      <c r="V3506">
        <v>4.5391061452513901E-3</v>
      </c>
      <c r="W3506">
        <v>1896659.53343393</v>
      </c>
      <c r="X3506" t="s">
        <v>38</v>
      </c>
      <c r="Y3506">
        <f>1-989-661-8509</f>
        <v>-10158</v>
      </c>
    </row>
    <row r="3507" spans="1:25" x14ac:dyDescent="0.35">
      <c r="A3507">
        <v>38.7837579392001</v>
      </c>
      <c r="B3507">
        <v>-114.38649203949799</v>
      </c>
      <c r="C3507" t="s">
        <v>29</v>
      </c>
      <c r="D3507">
        <v>5.7437014037404497</v>
      </c>
      <c r="E3507">
        <v>8</v>
      </c>
      <c r="F3507">
        <v>1163</v>
      </c>
      <c r="G3507">
        <v>5</v>
      </c>
      <c r="H3507">
        <v>2</v>
      </c>
      <c r="I3507">
        <v>2005</v>
      </c>
      <c r="J3507">
        <v>1</v>
      </c>
      <c r="K3507">
        <v>0</v>
      </c>
      <c r="L3507">
        <v>1</v>
      </c>
      <c r="M3507">
        <v>13</v>
      </c>
      <c r="N3507" t="s">
        <v>37</v>
      </c>
      <c r="O3507" t="s">
        <v>27</v>
      </c>
      <c r="P3507">
        <v>2.89216210346008</v>
      </c>
      <c r="Q3507">
        <v>1.8902817120027899</v>
      </c>
      <c r="R3507">
        <v>0.95203032218671202</v>
      </c>
      <c r="S3507">
        <v>115</v>
      </c>
      <c r="T3507">
        <v>64</v>
      </c>
      <c r="U3507">
        <v>801.52480739316798</v>
      </c>
      <c r="V3507">
        <v>1.11779879621668E-2</v>
      </c>
      <c r="W3507">
        <v>1302287.3939143401</v>
      </c>
      <c r="X3507" t="s">
        <v>33</v>
      </c>
      <c r="Y3507">
        <f>1-947-643-5326</f>
        <v>-6915</v>
      </c>
    </row>
    <row r="3508" spans="1:25" x14ac:dyDescent="0.35">
      <c r="A3508">
        <v>38.037955913183801</v>
      </c>
      <c r="B3508">
        <v>-116.924633121406</v>
      </c>
      <c r="C3508" t="s">
        <v>25</v>
      </c>
      <c r="D3508">
        <v>5.6134428012092403</v>
      </c>
      <c r="E3508">
        <v>9</v>
      </c>
      <c r="F3508">
        <v>2874</v>
      </c>
      <c r="G3508">
        <v>5</v>
      </c>
      <c r="H3508">
        <v>1</v>
      </c>
      <c r="I3508">
        <v>1974</v>
      </c>
      <c r="J3508">
        <v>1</v>
      </c>
      <c r="K3508">
        <v>1</v>
      </c>
      <c r="L3508">
        <v>1</v>
      </c>
      <c r="M3508">
        <v>3</v>
      </c>
      <c r="N3508" t="s">
        <v>26</v>
      </c>
      <c r="O3508" t="s">
        <v>30</v>
      </c>
      <c r="P3508">
        <v>11.0939941538991</v>
      </c>
      <c r="Q3508">
        <v>1.7996600399126601</v>
      </c>
      <c r="R3508">
        <v>8.1333669703990701</v>
      </c>
      <c r="S3508">
        <v>17</v>
      </c>
      <c r="T3508">
        <v>42</v>
      </c>
      <c r="U3508">
        <v>759.29314368934195</v>
      </c>
      <c r="V3508">
        <v>1.0438413361169099E-3</v>
      </c>
      <c r="W3508">
        <v>2617316.97700636</v>
      </c>
      <c r="X3508" t="s">
        <v>44</v>
      </c>
      <c r="Y3508">
        <f>1-588-539-7639</f>
        <v>-8765</v>
      </c>
    </row>
    <row r="3509" spans="1:25" x14ac:dyDescent="0.35">
      <c r="A3509">
        <v>38.034160998473602</v>
      </c>
      <c r="B3509">
        <v>-123.776723674575</v>
      </c>
      <c r="C3509" t="s">
        <v>29</v>
      </c>
      <c r="D3509">
        <v>6.8582482206139197</v>
      </c>
      <c r="E3509">
        <v>8</v>
      </c>
      <c r="F3509">
        <v>575</v>
      </c>
      <c r="G3509">
        <v>3</v>
      </c>
      <c r="H3509">
        <v>1</v>
      </c>
      <c r="I3509">
        <v>1997</v>
      </c>
      <c r="J3509">
        <v>0</v>
      </c>
      <c r="K3509">
        <v>0</v>
      </c>
      <c r="L3509">
        <v>1</v>
      </c>
      <c r="M3509">
        <v>4</v>
      </c>
      <c r="N3509" t="s">
        <v>35</v>
      </c>
      <c r="O3509" t="s">
        <v>30</v>
      </c>
      <c r="P3509">
        <v>3.7533600893344898</v>
      </c>
      <c r="Q3509">
        <v>1.15567205510607</v>
      </c>
      <c r="R3509">
        <v>6.6337803866530596</v>
      </c>
      <c r="S3509">
        <v>67</v>
      </c>
      <c r="T3509">
        <v>50</v>
      </c>
      <c r="U3509">
        <v>306.75677757235701</v>
      </c>
      <c r="V3509">
        <v>6.9565217391304298E-3</v>
      </c>
      <c r="W3509">
        <v>353031.24222293199</v>
      </c>
      <c r="X3509" t="s">
        <v>42</v>
      </c>
      <c r="Y3509">
        <f>1-965-964-1273</f>
        <v>-3201</v>
      </c>
    </row>
    <row r="3510" spans="1:25" x14ac:dyDescent="0.35">
      <c r="A3510">
        <v>41.979703018870502</v>
      </c>
      <c r="B3510">
        <v>-119.053546222986</v>
      </c>
      <c r="C3510" t="s">
        <v>34</v>
      </c>
      <c r="D3510">
        <v>1.4575678107103001</v>
      </c>
      <c r="E3510">
        <v>9</v>
      </c>
      <c r="F3510">
        <v>1917</v>
      </c>
      <c r="G3510">
        <v>4</v>
      </c>
      <c r="H3510">
        <v>3</v>
      </c>
      <c r="I3510">
        <v>1976</v>
      </c>
      <c r="J3510">
        <v>0</v>
      </c>
      <c r="K3510">
        <v>1</v>
      </c>
      <c r="L3510">
        <v>0</v>
      </c>
      <c r="M3510">
        <v>13</v>
      </c>
      <c r="N3510" t="s">
        <v>26</v>
      </c>
      <c r="O3510" t="s">
        <v>32</v>
      </c>
      <c r="P3510">
        <v>5.6070853338206099</v>
      </c>
      <c r="Q3510">
        <v>1.2543521218071101</v>
      </c>
      <c r="R3510">
        <v>8.8237534385509306</v>
      </c>
      <c r="S3510">
        <v>46</v>
      </c>
      <c r="T3510">
        <v>65</v>
      </c>
      <c r="U3510">
        <v>526.683392333916</v>
      </c>
      <c r="V3510">
        <v>6.7814293166405804E-3</v>
      </c>
      <c r="W3510">
        <v>1361446.3835803601</v>
      </c>
      <c r="X3510" t="s">
        <v>33</v>
      </c>
      <c r="Y3510">
        <f>1-722-462-8742</f>
        <v>-9925</v>
      </c>
    </row>
    <row r="3511" spans="1:25" x14ac:dyDescent="0.35">
      <c r="A3511">
        <v>40.521952967813597</v>
      </c>
      <c r="B3511">
        <v>-120.42375562418501</v>
      </c>
      <c r="C3511" t="s">
        <v>29</v>
      </c>
      <c r="D3511">
        <v>43.859517402020799</v>
      </c>
      <c r="E3511">
        <v>8</v>
      </c>
      <c r="F3511">
        <v>3153</v>
      </c>
      <c r="G3511">
        <v>5</v>
      </c>
      <c r="H3511">
        <v>1</v>
      </c>
      <c r="I3511">
        <v>1976</v>
      </c>
      <c r="J3511">
        <v>0</v>
      </c>
      <c r="K3511">
        <v>0</v>
      </c>
      <c r="L3511">
        <v>0</v>
      </c>
      <c r="M3511">
        <v>8</v>
      </c>
      <c r="N3511" t="s">
        <v>26</v>
      </c>
      <c r="O3511" t="s">
        <v>27</v>
      </c>
      <c r="P3511">
        <v>8.8693224448449399</v>
      </c>
      <c r="Q3511">
        <v>1.04309880168699</v>
      </c>
      <c r="R3511">
        <v>1.08480692822601</v>
      </c>
      <c r="S3511">
        <v>106</v>
      </c>
      <c r="T3511">
        <v>26</v>
      </c>
      <c r="U3511">
        <v>490.04757267467602</v>
      </c>
      <c r="V3511">
        <v>2.5372660957817899E-3</v>
      </c>
      <c r="W3511">
        <v>1755601.3196109601</v>
      </c>
      <c r="X3511" t="s">
        <v>42</v>
      </c>
      <c r="Y3511">
        <f>1-857-329-2236</f>
        <v>-3421</v>
      </c>
    </row>
    <row r="3512" spans="1:25" x14ac:dyDescent="0.35">
      <c r="A3512">
        <v>40.256208716372797</v>
      </c>
      <c r="B3512">
        <v>-119.771167371725</v>
      </c>
      <c r="C3512" t="s">
        <v>34</v>
      </c>
      <c r="D3512">
        <v>29.9772020968975</v>
      </c>
      <c r="E3512">
        <v>4</v>
      </c>
      <c r="F3512">
        <v>4521</v>
      </c>
      <c r="G3512">
        <v>1</v>
      </c>
      <c r="H3512">
        <v>2</v>
      </c>
      <c r="I3512">
        <v>2000</v>
      </c>
      <c r="J3512">
        <v>0</v>
      </c>
      <c r="K3512">
        <v>0</v>
      </c>
      <c r="L3512">
        <v>1</v>
      </c>
      <c r="M3512">
        <v>13</v>
      </c>
      <c r="N3512" t="s">
        <v>37</v>
      </c>
      <c r="O3512" t="s">
        <v>30</v>
      </c>
      <c r="P3512">
        <v>6.5416494689100704</v>
      </c>
      <c r="Q3512">
        <v>1.9519020881421401</v>
      </c>
      <c r="R3512">
        <v>5.4003559410497797</v>
      </c>
      <c r="S3512">
        <v>82</v>
      </c>
      <c r="T3512">
        <v>25</v>
      </c>
      <c r="U3512">
        <v>913.40551905831899</v>
      </c>
      <c r="V3512">
        <v>2.8754700287547002E-3</v>
      </c>
      <c r="W3512">
        <v>4216714.6800334398</v>
      </c>
      <c r="X3512" t="s">
        <v>28</v>
      </c>
      <c r="Y3512">
        <f>1-562-596-2082</f>
        <v>-3239</v>
      </c>
    </row>
    <row r="3513" spans="1:25" x14ac:dyDescent="0.35">
      <c r="A3513">
        <v>39.043959032739899</v>
      </c>
      <c r="B3513">
        <v>-118.41543953887999</v>
      </c>
      <c r="C3513" t="s">
        <v>29</v>
      </c>
      <c r="D3513">
        <v>12.0975034679596</v>
      </c>
      <c r="E3513">
        <v>9</v>
      </c>
      <c r="F3513">
        <v>1990</v>
      </c>
      <c r="G3513">
        <v>4</v>
      </c>
      <c r="H3513">
        <v>2</v>
      </c>
      <c r="I3513">
        <v>1959</v>
      </c>
      <c r="J3513">
        <v>1</v>
      </c>
      <c r="K3513">
        <v>0</v>
      </c>
      <c r="L3513">
        <v>0</v>
      </c>
      <c r="M3513">
        <v>2</v>
      </c>
      <c r="N3513" t="s">
        <v>37</v>
      </c>
      <c r="O3513" t="s">
        <v>32</v>
      </c>
      <c r="P3513">
        <v>13.326541351463799</v>
      </c>
      <c r="Q3513">
        <v>1.78691564484849</v>
      </c>
      <c r="R3513">
        <v>4.2974781128799897</v>
      </c>
      <c r="S3513">
        <v>45</v>
      </c>
      <c r="T3513">
        <v>50</v>
      </c>
      <c r="U3513">
        <v>946.569594352953</v>
      </c>
      <c r="V3513">
        <v>1.0050251256281399E-3</v>
      </c>
      <c r="W3513">
        <v>2252891.4011267298</v>
      </c>
      <c r="X3513" t="s">
        <v>36</v>
      </c>
      <c r="Y3513">
        <f>1-458-566-5698</f>
        <v>-6721</v>
      </c>
    </row>
    <row r="3514" spans="1:25" x14ac:dyDescent="0.35">
      <c r="A3514">
        <v>39.156443480348102</v>
      </c>
      <c r="B3514">
        <v>-121.31656464952999</v>
      </c>
      <c r="C3514" t="s">
        <v>29</v>
      </c>
      <c r="D3514">
        <v>44.651530669055603</v>
      </c>
      <c r="E3514">
        <v>0</v>
      </c>
      <c r="F3514">
        <v>3553</v>
      </c>
      <c r="G3514">
        <v>4</v>
      </c>
      <c r="H3514">
        <v>2</v>
      </c>
      <c r="I3514">
        <v>1952</v>
      </c>
      <c r="J3514">
        <v>1</v>
      </c>
      <c r="K3514">
        <v>0</v>
      </c>
      <c r="L3514">
        <v>0</v>
      </c>
      <c r="M3514">
        <v>6</v>
      </c>
      <c r="N3514" t="s">
        <v>26</v>
      </c>
      <c r="O3514" t="s">
        <v>27</v>
      </c>
      <c r="P3514">
        <v>12.991515897463501</v>
      </c>
      <c r="Q3514">
        <v>2.0169974309498202</v>
      </c>
      <c r="R3514">
        <v>8.0632147007083095</v>
      </c>
      <c r="S3514">
        <v>6</v>
      </c>
      <c r="T3514">
        <v>27</v>
      </c>
      <c r="U3514">
        <v>955.04720737935395</v>
      </c>
      <c r="V3514">
        <v>1.68871376301716E-3</v>
      </c>
      <c r="W3514">
        <v>3622872.8813968799</v>
      </c>
      <c r="X3514" t="s">
        <v>40</v>
      </c>
      <c r="Y3514">
        <f>1-282-509-7688</f>
        <v>-8478</v>
      </c>
    </row>
    <row r="3515" spans="1:25" x14ac:dyDescent="0.35">
      <c r="A3515">
        <v>35.441198988777501</v>
      </c>
      <c r="B3515">
        <v>-121.71992850634599</v>
      </c>
      <c r="C3515" t="s">
        <v>29</v>
      </c>
      <c r="D3515">
        <v>16.2828647706549</v>
      </c>
      <c r="E3515">
        <v>3</v>
      </c>
      <c r="F3515">
        <v>1611</v>
      </c>
      <c r="G3515">
        <v>4</v>
      </c>
      <c r="H3515">
        <v>3</v>
      </c>
      <c r="I3515">
        <v>1993</v>
      </c>
      <c r="J3515">
        <v>0</v>
      </c>
      <c r="K3515">
        <v>0</v>
      </c>
      <c r="L3515">
        <v>1</v>
      </c>
      <c r="M3515">
        <v>4</v>
      </c>
      <c r="N3515" t="s">
        <v>41</v>
      </c>
      <c r="O3515" t="s">
        <v>27</v>
      </c>
      <c r="P3515">
        <v>7.5663829536204501</v>
      </c>
      <c r="Q3515">
        <v>1.84956399732023</v>
      </c>
      <c r="R3515">
        <v>0.954253177597153</v>
      </c>
      <c r="S3515">
        <v>131</v>
      </c>
      <c r="T3515">
        <v>75</v>
      </c>
      <c r="U3515">
        <v>238.74915273260899</v>
      </c>
      <c r="V3515">
        <v>2.4829298572315302E-3</v>
      </c>
      <c r="W3515">
        <v>667997.688177131</v>
      </c>
      <c r="X3515" t="s">
        <v>42</v>
      </c>
      <c r="Y3515">
        <f>1-410-135-7673</f>
        <v>-8217</v>
      </c>
    </row>
    <row r="3516" spans="1:25" x14ac:dyDescent="0.35">
      <c r="A3516">
        <v>39.671278470711599</v>
      </c>
      <c r="B3516">
        <v>-123.074678739642</v>
      </c>
      <c r="C3516" t="s">
        <v>29</v>
      </c>
      <c r="D3516">
        <v>37.041323856276101</v>
      </c>
      <c r="E3516">
        <v>4</v>
      </c>
      <c r="F3516">
        <v>3786</v>
      </c>
      <c r="G3516">
        <v>4</v>
      </c>
      <c r="H3516">
        <v>3</v>
      </c>
      <c r="I3516">
        <v>1963</v>
      </c>
      <c r="J3516">
        <v>1</v>
      </c>
      <c r="K3516">
        <v>0</v>
      </c>
      <c r="L3516">
        <v>1</v>
      </c>
      <c r="M3516">
        <v>10</v>
      </c>
      <c r="N3516" t="s">
        <v>35</v>
      </c>
      <c r="O3516" t="s">
        <v>30</v>
      </c>
      <c r="P3516">
        <v>7.0024364379759598</v>
      </c>
      <c r="Q3516">
        <v>2.3721679340883899</v>
      </c>
      <c r="R3516">
        <v>4.1894434593436696</v>
      </c>
      <c r="S3516">
        <v>148</v>
      </c>
      <c r="T3516">
        <v>48</v>
      </c>
      <c r="U3516">
        <v>247.89949459535001</v>
      </c>
      <c r="V3516">
        <v>2.6413100898045401E-3</v>
      </c>
      <c r="W3516">
        <v>1231076.65402038</v>
      </c>
      <c r="X3516" t="s">
        <v>40</v>
      </c>
      <c r="Y3516">
        <f>1-915-893-4163</f>
        <v>-5970</v>
      </c>
    </row>
    <row r="3517" spans="1:25" x14ac:dyDescent="0.35">
      <c r="A3517">
        <v>41.0687660320514</v>
      </c>
      <c r="B3517">
        <v>-115.184993766055</v>
      </c>
      <c r="C3517" t="s">
        <v>25</v>
      </c>
      <c r="D3517">
        <v>12.453861650281899</v>
      </c>
      <c r="E3517">
        <v>0</v>
      </c>
      <c r="F3517">
        <v>3963</v>
      </c>
      <c r="G3517">
        <v>4</v>
      </c>
      <c r="H3517">
        <v>1</v>
      </c>
      <c r="I3517">
        <v>2003</v>
      </c>
      <c r="J3517">
        <v>1</v>
      </c>
      <c r="K3517">
        <v>1</v>
      </c>
      <c r="L3517">
        <v>0</v>
      </c>
      <c r="M3517">
        <v>7</v>
      </c>
      <c r="N3517" t="s">
        <v>26</v>
      </c>
      <c r="O3517" t="s">
        <v>32</v>
      </c>
      <c r="P3517">
        <v>11.9626697584872</v>
      </c>
      <c r="Q3517">
        <v>1.02430472145614</v>
      </c>
      <c r="R3517">
        <v>8.3005180218176005</v>
      </c>
      <c r="S3517">
        <v>175</v>
      </c>
      <c r="T3517">
        <v>45</v>
      </c>
      <c r="U3517">
        <v>594.03738358876603</v>
      </c>
      <c r="V3517">
        <v>1.7663386323492299E-3</v>
      </c>
      <c r="W3517">
        <v>2687592.8818621198</v>
      </c>
      <c r="X3517" t="s">
        <v>39</v>
      </c>
      <c r="Y3517">
        <f>1-379-734-5002</f>
        <v>-6114</v>
      </c>
    </row>
    <row r="3518" spans="1:25" x14ac:dyDescent="0.35">
      <c r="A3518">
        <v>40.274127771602998</v>
      </c>
      <c r="B3518">
        <v>-117.966889841276</v>
      </c>
      <c r="C3518" t="s">
        <v>29</v>
      </c>
      <c r="D3518">
        <v>8.1901772224135794</v>
      </c>
      <c r="E3518">
        <v>2</v>
      </c>
      <c r="F3518">
        <v>1847</v>
      </c>
      <c r="G3518">
        <v>3</v>
      </c>
      <c r="H3518">
        <v>1</v>
      </c>
      <c r="I3518">
        <v>2019</v>
      </c>
      <c r="J3518">
        <v>1</v>
      </c>
      <c r="K3518">
        <v>0</v>
      </c>
      <c r="L3518">
        <v>0</v>
      </c>
      <c r="M3518">
        <v>10</v>
      </c>
      <c r="N3518" t="s">
        <v>35</v>
      </c>
      <c r="O3518" t="s">
        <v>30</v>
      </c>
      <c r="P3518">
        <v>3.2364917500322701</v>
      </c>
      <c r="Q3518">
        <v>2.1497164817120602</v>
      </c>
      <c r="R3518">
        <v>9.9425092736145899</v>
      </c>
      <c r="S3518">
        <v>158</v>
      </c>
      <c r="T3518">
        <v>56</v>
      </c>
      <c r="U3518">
        <v>385.39560777884998</v>
      </c>
      <c r="V3518">
        <v>5.4141851651326404E-3</v>
      </c>
      <c r="W3518">
        <v>899141.26835916203</v>
      </c>
      <c r="X3518" t="s">
        <v>44</v>
      </c>
      <c r="Y3518">
        <f>1-416-763-7277</f>
        <v>-8455</v>
      </c>
    </row>
    <row r="3519" spans="1:25" x14ac:dyDescent="0.35">
      <c r="A3519">
        <v>35.798967034858101</v>
      </c>
      <c r="B3519">
        <v>-122.139538911285</v>
      </c>
      <c r="C3519" t="s">
        <v>34</v>
      </c>
      <c r="D3519">
        <v>40.465869397509799</v>
      </c>
      <c r="E3519">
        <v>7</v>
      </c>
      <c r="F3519">
        <v>4356</v>
      </c>
      <c r="G3519">
        <v>2</v>
      </c>
      <c r="H3519">
        <v>2</v>
      </c>
      <c r="I3519">
        <v>1981</v>
      </c>
      <c r="J3519">
        <v>1</v>
      </c>
      <c r="K3519">
        <v>1</v>
      </c>
      <c r="L3519">
        <v>0</v>
      </c>
      <c r="M3519">
        <v>11</v>
      </c>
      <c r="N3519" t="s">
        <v>26</v>
      </c>
      <c r="O3519" t="s">
        <v>27</v>
      </c>
      <c r="P3519">
        <v>9.91323459820895</v>
      </c>
      <c r="Q3519">
        <v>1.0885277691331801</v>
      </c>
      <c r="R3519">
        <v>7.4571215482742801</v>
      </c>
      <c r="S3519">
        <v>71</v>
      </c>
      <c r="T3519">
        <v>33</v>
      </c>
      <c r="U3519">
        <v>274.82853316540599</v>
      </c>
      <c r="V3519">
        <v>2.5252525252525198E-3</v>
      </c>
      <c r="W3519">
        <v>1551617.6724340699</v>
      </c>
      <c r="X3519" t="s">
        <v>38</v>
      </c>
      <c r="Y3519">
        <f>1-504-488-3868</f>
        <v>-4859</v>
      </c>
    </row>
    <row r="3520" spans="1:25" x14ac:dyDescent="0.35">
      <c r="A3520">
        <v>34.2707810318268</v>
      </c>
      <c r="B3520">
        <v>-120.04794842744499</v>
      </c>
      <c r="C3520" t="s">
        <v>34</v>
      </c>
      <c r="D3520">
        <v>3.5581581284334098</v>
      </c>
      <c r="E3520">
        <v>9</v>
      </c>
      <c r="F3520">
        <v>3492</v>
      </c>
      <c r="G3520">
        <v>1</v>
      </c>
      <c r="H3520">
        <v>1</v>
      </c>
      <c r="I3520">
        <v>2007</v>
      </c>
      <c r="J3520">
        <v>1</v>
      </c>
      <c r="K3520">
        <v>1</v>
      </c>
      <c r="L3520">
        <v>1</v>
      </c>
      <c r="M3520">
        <v>14</v>
      </c>
      <c r="N3520" t="s">
        <v>41</v>
      </c>
      <c r="O3520" t="s">
        <v>32</v>
      </c>
      <c r="P3520">
        <v>10.6726871446098</v>
      </c>
      <c r="Q3520">
        <v>0.74793726865124599</v>
      </c>
      <c r="R3520">
        <v>4.2043589398032397</v>
      </c>
      <c r="S3520">
        <v>179</v>
      </c>
      <c r="T3520">
        <v>56</v>
      </c>
      <c r="U3520">
        <v>571.95544902120901</v>
      </c>
      <c r="V3520">
        <v>4.0091638029782304E-3</v>
      </c>
      <c r="W3520">
        <v>2308313.31284911</v>
      </c>
      <c r="X3520" t="s">
        <v>36</v>
      </c>
      <c r="Y3520">
        <f>1-816-669-1464</f>
        <v>-2948</v>
      </c>
    </row>
    <row r="3521" spans="1:25" x14ac:dyDescent="0.35">
      <c r="A3521">
        <v>35.3890772410819</v>
      </c>
      <c r="B3521">
        <v>-117.30124331253199</v>
      </c>
      <c r="C3521" t="s">
        <v>29</v>
      </c>
      <c r="D3521">
        <v>34.1707321085457</v>
      </c>
      <c r="E3521">
        <v>5</v>
      </c>
      <c r="F3521">
        <v>2868</v>
      </c>
      <c r="G3521">
        <v>5</v>
      </c>
      <c r="H3521">
        <v>2</v>
      </c>
      <c r="I3521">
        <v>2001</v>
      </c>
      <c r="J3521">
        <v>1</v>
      </c>
      <c r="K3521">
        <v>1</v>
      </c>
      <c r="L3521">
        <v>0</v>
      </c>
      <c r="M3521">
        <v>4</v>
      </c>
      <c r="N3521" t="s">
        <v>37</v>
      </c>
      <c r="O3521" t="s">
        <v>27</v>
      </c>
      <c r="P3521">
        <v>10.1508510878406</v>
      </c>
      <c r="Q3521">
        <v>2.3555800924740899</v>
      </c>
      <c r="R3521">
        <v>5.7381389608377198</v>
      </c>
      <c r="S3521">
        <v>9</v>
      </c>
      <c r="T3521">
        <v>59</v>
      </c>
      <c r="U3521">
        <v>312.48408829127698</v>
      </c>
      <c r="V3521">
        <v>1.39470013947001E-3</v>
      </c>
      <c r="W3521">
        <v>1377487.51510462</v>
      </c>
      <c r="X3521" t="s">
        <v>43</v>
      </c>
      <c r="Y3521">
        <f>1-265-963-9695</f>
        <v>-10922</v>
      </c>
    </row>
    <row r="3522" spans="1:25" x14ac:dyDescent="0.35">
      <c r="A3522">
        <v>32.504338075130903</v>
      </c>
      <c r="B3522">
        <v>-119.036328129431</v>
      </c>
      <c r="C3522" t="s">
        <v>29</v>
      </c>
      <c r="D3522">
        <v>36.754719676556</v>
      </c>
      <c r="E3522">
        <v>9</v>
      </c>
      <c r="F3522">
        <v>2714</v>
      </c>
      <c r="G3522">
        <v>3</v>
      </c>
      <c r="H3522">
        <v>2</v>
      </c>
      <c r="I3522">
        <v>2004</v>
      </c>
      <c r="J3522">
        <v>1</v>
      </c>
      <c r="K3522">
        <v>1</v>
      </c>
      <c r="L3522">
        <v>1</v>
      </c>
      <c r="M3522">
        <v>9</v>
      </c>
      <c r="N3522" t="s">
        <v>35</v>
      </c>
      <c r="O3522" t="s">
        <v>30</v>
      </c>
      <c r="P3522">
        <v>4.02245356745828</v>
      </c>
      <c r="Q3522">
        <v>0.66893729458115903</v>
      </c>
      <c r="R3522">
        <v>6.7386862957989502</v>
      </c>
      <c r="S3522">
        <v>102</v>
      </c>
      <c r="T3522">
        <v>36</v>
      </c>
      <c r="U3522">
        <v>940.65162500172198</v>
      </c>
      <c r="V3522">
        <v>3.3161385408990401E-3</v>
      </c>
      <c r="W3522">
        <v>2930815.8090258902</v>
      </c>
      <c r="X3522" t="s">
        <v>43</v>
      </c>
      <c r="Y3522">
        <f>1-589-213-9355</f>
        <v>-10156</v>
      </c>
    </row>
    <row r="3523" spans="1:25" x14ac:dyDescent="0.35">
      <c r="A3523">
        <v>36.906166207770802</v>
      </c>
      <c r="B3523">
        <v>-114.512406159506</v>
      </c>
      <c r="C3523" t="s">
        <v>34</v>
      </c>
      <c r="D3523">
        <v>36.633610656632598</v>
      </c>
      <c r="E3523">
        <v>0</v>
      </c>
      <c r="F3523">
        <v>1195</v>
      </c>
      <c r="G3523">
        <v>1</v>
      </c>
      <c r="H3523">
        <v>3</v>
      </c>
      <c r="I3523">
        <v>1971</v>
      </c>
      <c r="J3523">
        <v>0</v>
      </c>
      <c r="K3523">
        <v>0</v>
      </c>
      <c r="L3523">
        <v>1</v>
      </c>
      <c r="M3523">
        <v>8</v>
      </c>
      <c r="N3523" t="s">
        <v>35</v>
      </c>
      <c r="O3523" t="s">
        <v>30</v>
      </c>
      <c r="P3523">
        <v>9.3947060588902591</v>
      </c>
      <c r="Q3523">
        <v>2.1330603554391598</v>
      </c>
      <c r="R3523">
        <v>0.38095566418128601</v>
      </c>
      <c r="S3523">
        <v>147</v>
      </c>
      <c r="T3523">
        <v>24</v>
      </c>
      <c r="U3523">
        <v>690.673279362931</v>
      </c>
      <c r="V3523">
        <v>6.6945606694560596E-3</v>
      </c>
      <c r="W3523">
        <v>979977.79934494197</v>
      </c>
      <c r="X3523" t="s">
        <v>36</v>
      </c>
      <c r="Y3523">
        <f>1-232-890-4524</f>
        <v>-5645</v>
      </c>
    </row>
    <row r="3524" spans="1:25" x14ac:dyDescent="0.35">
      <c r="A3524">
        <v>41.108208435670399</v>
      </c>
      <c r="B3524">
        <v>-120.974348874496</v>
      </c>
      <c r="C3524" t="s">
        <v>34</v>
      </c>
      <c r="D3524">
        <v>47.748360432904398</v>
      </c>
      <c r="E3524">
        <v>1</v>
      </c>
      <c r="F3524">
        <v>1119</v>
      </c>
      <c r="G3524">
        <v>4</v>
      </c>
      <c r="H3524">
        <v>1</v>
      </c>
      <c r="I3524">
        <v>1970</v>
      </c>
      <c r="J3524">
        <v>0</v>
      </c>
      <c r="K3524">
        <v>0</v>
      </c>
      <c r="L3524">
        <v>0</v>
      </c>
      <c r="M3524">
        <v>13</v>
      </c>
      <c r="N3524" t="s">
        <v>35</v>
      </c>
      <c r="O3524" t="s">
        <v>30</v>
      </c>
      <c r="P3524">
        <v>14.3637858578119</v>
      </c>
      <c r="Q3524">
        <v>2.3960947440620401</v>
      </c>
      <c r="R3524">
        <v>5.7068401691049697</v>
      </c>
      <c r="S3524">
        <v>199</v>
      </c>
      <c r="T3524">
        <v>66</v>
      </c>
      <c r="U3524">
        <v>373.81686532278297</v>
      </c>
      <c r="V3524">
        <v>1.1617515638963301E-2</v>
      </c>
      <c r="W3524">
        <v>671945.59902407404</v>
      </c>
      <c r="X3524" t="s">
        <v>28</v>
      </c>
      <c r="Y3524">
        <f>1-390-615-2410</f>
        <v>-3414</v>
      </c>
    </row>
    <row r="3525" spans="1:25" x14ac:dyDescent="0.35">
      <c r="A3525">
        <v>36.674315806075199</v>
      </c>
      <c r="B3525">
        <v>-121.117797689059</v>
      </c>
      <c r="C3525" t="s">
        <v>29</v>
      </c>
      <c r="D3525">
        <v>11.472145936937199</v>
      </c>
      <c r="E3525">
        <v>2</v>
      </c>
      <c r="F3525">
        <v>4117</v>
      </c>
      <c r="G3525">
        <v>1</v>
      </c>
      <c r="H3525">
        <v>3</v>
      </c>
      <c r="I3525">
        <v>1995</v>
      </c>
      <c r="J3525">
        <v>1</v>
      </c>
      <c r="K3525">
        <v>0</v>
      </c>
      <c r="L3525">
        <v>0</v>
      </c>
      <c r="M3525">
        <v>12</v>
      </c>
      <c r="N3525" t="s">
        <v>35</v>
      </c>
      <c r="O3525" t="s">
        <v>30</v>
      </c>
      <c r="P3525">
        <v>5.8144825547884098</v>
      </c>
      <c r="Q3525">
        <v>0.80314415047321397</v>
      </c>
      <c r="R3525">
        <v>0.634215788507003</v>
      </c>
      <c r="S3525">
        <v>62</v>
      </c>
      <c r="T3525">
        <v>69</v>
      </c>
      <c r="U3525">
        <v>276.44138535347798</v>
      </c>
      <c r="V3525">
        <v>2.91474374544571E-3</v>
      </c>
      <c r="W3525">
        <v>1242575.00295805</v>
      </c>
      <c r="X3525" t="s">
        <v>39</v>
      </c>
      <c r="Y3525">
        <f>1-755-847-7224</f>
        <v>-8825</v>
      </c>
    </row>
    <row r="3526" spans="1:25" x14ac:dyDescent="0.35">
      <c r="A3526">
        <v>34.589790856348699</v>
      </c>
      <c r="B3526">
        <v>-119.847305847416</v>
      </c>
      <c r="C3526" t="s">
        <v>25</v>
      </c>
      <c r="D3526">
        <v>16.469780454050401</v>
      </c>
      <c r="E3526">
        <v>9</v>
      </c>
      <c r="F3526">
        <v>4879</v>
      </c>
      <c r="G3526">
        <v>5</v>
      </c>
      <c r="H3526">
        <v>1</v>
      </c>
      <c r="I3526">
        <v>2006</v>
      </c>
      <c r="J3526">
        <v>0</v>
      </c>
      <c r="K3526">
        <v>0</v>
      </c>
      <c r="L3526">
        <v>0</v>
      </c>
      <c r="M3526">
        <v>4</v>
      </c>
      <c r="N3526" t="s">
        <v>41</v>
      </c>
      <c r="O3526" t="s">
        <v>32</v>
      </c>
      <c r="P3526">
        <v>4.6411649140213296</v>
      </c>
      <c r="Q3526">
        <v>2.2579048699198698</v>
      </c>
      <c r="R3526">
        <v>9.0796305369741503</v>
      </c>
      <c r="S3526">
        <v>129</v>
      </c>
      <c r="T3526">
        <v>59</v>
      </c>
      <c r="U3526">
        <v>617.22444255921198</v>
      </c>
      <c r="V3526">
        <v>8.19840131174421E-4</v>
      </c>
      <c r="W3526">
        <v>3203280.93980296</v>
      </c>
      <c r="X3526" t="s">
        <v>40</v>
      </c>
      <c r="Y3526">
        <f>1-593-573-5300</f>
        <v>-6465</v>
      </c>
    </row>
    <row r="3527" spans="1:25" x14ac:dyDescent="0.35">
      <c r="A3527">
        <v>32.691120505076498</v>
      </c>
      <c r="B3527">
        <v>-118.58070373253901</v>
      </c>
      <c r="C3527" t="s">
        <v>29</v>
      </c>
      <c r="D3527">
        <v>18.031927453675099</v>
      </c>
      <c r="E3527">
        <v>5</v>
      </c>
      <c r="F3527">
        <v>3042</v>
      </c>
      <c r="G3527">
        <v>3</v>
      </c>
      <c r="H3527">
        <v>3</v>
      </c>
      <c r="I3527">
        <v>1989</v>
      </c>
      <c r="J3527">
        <v>1</v>
      </c>
      <c r="K3527">
        <v>0</v>
      </c>
      <c r="L3527">
        <v>0</v>
      </c>
      <c r="M3527">
        <v>10</v>
      </c>
      <c r="N3527" t="s">
        <v>26</v>
      </c>
      <c r="O3527" t="s">
        <v>32</v>
      </c>
      <c r="P3527">
        <v>9.8393498852555705</v>
      </c>
      <c r="Q3527">
        <v>1.31229363235931</v>
      </c>
      <c r="R3527">
        <v>3.7015598978204598</v>
      </c>
      <c r="S3527">
        <v>135</v>
      </c>
      <c r="T3527">
        <v>60</v>
      </c>
      <c r="U3527">
        <v>334.36862134382397</v>
      </c>
      <c r="V3527">
        <v>3.2873109796186699E-3</v>
      </c>
      <c r="W3527">
        <v>1248154.39074639</v>
      </c>
      <c r="X3527" t="s">
        <v>39</v>
      </c>
      <c r="Y3527">
        <f>1-256-292-7575</f>
        <v>-8122</v>
      </c>
    </row>
    <row r="3528" spans="1:25" x14ac:dyDescent="0.35">
      <c r="A3528">
        <v>32.632148699823198</v>
      </c>
      <c r="B3528">
        <v>-119.14781528504</v>
      </c>
      <c r="C3528" t="s">
        <v>34</v>
      </c>
      <c r="D3528">
        <v>11.359729505919899</v>
      </c>
      <c r="E3528">
        <v>6</v>
      </c>
      <c r="F3528">
        <v>1186</v>
      </c>
      <c r="G3528">
        <v>1</v>
      </c>
      <c r="H3528">
        <v>1</v>
      </c>
      <c r="I3528">
        <v>2012</v>
      </c>
      <c r="J3528">
        <v>0</v>
      </c>
      <c r="K3528">
        <v>0</v>
      </c>
      <c r="L3528">
        <v>0</v>
      </c>
      <c r="M3528">
        <v>13</v>
      </c>
      <c r="N3528" t="s">
        <v>26</v>
      </c>
      <c r="O3528" t="s">
        <v>30</v>
      </c>
      <c r="P3528">
        <v>2.49496307032544</v>
      </c>
      <c r="Q3528">
        <v>1.8539119550926499</v>
      </c>
      <c r="R3528">
        <v>2.8165697281281998</v>
      </c>
      <c r="S3528">
        <v>75</v>
      </c>
      <c r="T3528">
        <v>53</v>
      </c>
      <c r="U3528">
        <v>705.12000275844798</v>
      </c>
      <c r="V3528">
        <v>1.09612141652613E-2</v>
      </c>
      <c r="W3528">
        <v>897579.73710086604</v>
      </c>
      <c r="X3528" t="s">
        <v>28</v>
      </c>
      <c r="Y3528">
        <f>1-805-964-6751</f>
        <v>-8519</v>
      </c>
    </row>
    <row r="3529" spans="1:25" x14ac:dyDescent="0.35">
      <c r="A3529">
        <v>39.925852330270999</v>
      </c>
      <c r="B3529">
        <v>-122.81457359237599</v>
      </c>
      <c r="C3529" t="s">
        <v>25</v>
      </c>
      <c r="D3529">
        <v>39.948156499139202</v>
      </c>
      <c r="E3529">
        <v>5</v>
      </c>
      <c r="F3529">
        <v>4463</v>
      </c>
      <c r="G3529">
        <v>1</v>
      </c>
      <c r="H3529">
        <v>2</v>
      </c>
      <c r="I3529">
        <v>1979</v>
      </c>
      <c r="J3529">
        <v>1</v>
      </c>
      <c r="K3529">
        <v>0</v>
      </c>
      <c r="L3529">
        <v>0</v>
      </c>
      <c r="M3529">
        <v>9</v>
      </c>
      <c r="N3529" t="s">
        <v>37</v>
      </c>
      <c r="O3529" t="s">
        <v>32</v>
      </c>
      <c r="P3529">
        <v>3.5706260285550502</v>
      </c>
      <c r="Q3529">
        <v>2.0089998906753901</v>
      </c>
      <c r="R3529">
        <v>5.4818640268888297</v>
      </c>
      <c r="S3529">
        <v>189</v>
      </c>
      <c r="T3529">
        <v>21</v>
      </c>
      <c r="U3529">
        <v>851.58374431746699</v>
      </c>
      <c r="V3529">
        <v>2.0165807752632698E-3</v>
      </c>
      <c r="W3529">
        <v>3839041.0315059298</v>
      </c>
      <c r="X3529" t="s">
        <v>28</v>
      </c>
      <c r="Y3529">
        <f>1-318-806-2302</f>
        <v>-3425</v>
      </c>
    </row>
    <row r="3530" spans="1:25" x14ac:dyDescent="0.35">
      <c r="A3530">
        <v>36.785279274898102</v>
      </c>
      <c r="B3530">
        <v>-119.922196958366</v>
      </c>
      <c r="C3530" t="s">
        <v>34</v>
      </c>
      <c r="D3530">
        <v>23.9781035813686</v>
      </c>
      <c r="E3530">
        <v>3</v>
      </c>
      <c r="F3530">
        <v>2483</v>
      </c>
      <c r="G3530">
        <v>4</v>
      </c>
      <c r="H3530">
        <v>3</v>
      </c>
      <c r="I3530">
        <v>1964</v>
      </c>
      <c r="J3530">
        <v>0</v>
      </c>
      <c r="K3530">
        <v>0</v>
      </c>
      <c r="L3530">
        <v>0</v>
      </c>
      <c r="M3530">
        <v>9</v>
      </c>
      <c r="N3530" t="s">
        <v>41</v>
      </c>
      <c r="O3530" t="s">
        <v>32</v>
      </c>
      <c r="P3530">
        <v>10.211402360359299</v>
      </c>
      <c r="Q3530">
        <v>1.6260843459115699</v>
      </c>
      <c r="R3530">
        <v>2.6509067793381602</v>
      </c>
      <c r="S3530">
        <v>137</v>
      </c>
      <c r="T3530">
        <v>38</v>
      </c>
      <c r="U3530">
        <v>981.89814596396502</v>
      </c>
      <c r="V3530">
        <v>3.6246476037051899E-3</v>
      </c>
      <c r="W3530">
        <v>2682239.6369812801</v>
      </c>
      <c r="X3530" t="s">
        <v>40</v>
      </c>
      <c r="Y3530">
        <f>1-207-480-4566</f>
        <v>-5252</v>
      </c>
    </row>
    <row r="3531" spans="1:25" x14ac:dyDescent="0.35">
      <c r="A3531">
        <v>36.608065119077899</v>
      </c>
      <c r="B3531">
        <v>-116.19749829145501</v>
      </c>
      <c r="C3531" t="s">
        <v>34</v>
      </c>
      <c r="D3531">
        <v>7.3315951589977502</v>
      </c>
      <c r="E3531">
        <v>2</v>
      </c>
      <c r="F3531">
        <v>4932</v>
      </c>
      <c r="G3531">
        <v>5</v>
      </c>
      <c r="H3531">
        <v>1</v>
      </c>
      <c r="I3531">
        <v>2015</v>
      </c>
      <c r="J3531">
        <v>1</v>
      </c>
      <c r="K3531">
        <v>1</v>
      </c>
      <c r="L3531">
        <v>0</v>
      </c>
      <c r="M3531">
        <v>14</v>
      </c>
      <c r="N3531" t="s">
        <v>37</v>
      </c>
      <c r="O3531" t="s">
        <v>30</v>
      </c>
      <c r="P3531">
        <v>10.725681221514</v>
      </c>
      <c r="Q3531">
        <v>1.70503134082576</v>
      </c>
      <c r="R3531">
        <v>3.25009494525895</v>
      </c>
      <c r="S3531">
        <v>31</v>
      </c>
      <c r="T3531">
        <v>78</v>
      </c>
      <c r="U3531">
        <v>977.54124425716805</v>
      </c>
      <c r="V3531">
        <v>2.8386050283860501E-3</v>
      </c>
      <c r="W3531">
        <v>5302545.3805697002</v>
      </c>
      <c r="X3531" t="s">
        <v>40</v>
      </c>
      <c r="Y3531">
        <f>1-291-170-2060</f>
        <v>-2520</v>
      </c>
    </row>
    <row r="3532" spans="1:25" x14ac:dyDescent="0.35">
      <c r="A3532">
        <v>39.588977733022901</v>
      </c>
      <c r="B3532">
        <v>-118.853173115507</v>
      </c>
      <c r="C3532" t="s">
        <v>34</v>
      </c>
      <c r="D3532">
        <v>42.739537937215403</v>
      </c>
      <c r="E3532">
        <v>8</v>
      </c>
      <c r="F3532">
        <v>1405</v>
      </c>
      <c r="G3532">
        <v>4</v>
      </c>
      <c r="H3532">
        <v>3</v>
      </c>
      <c r="I3532">
        <v>1989</v>
      </c>
      <c r="J3532">
        <v>0</v>
      </c>
      <c r="K3532">
        <v>1</v>
      </c>
      <c r="L3532">
        <v>1</v>
      </c>
      <c r="M3532">
        <v>14</v>
      </c>
      <c r="N3532" t="s">
        <v>26</v>
      </c>
      <c r="O3532" t="s">
        <v>27</v>
      </c>
      <c r="P3532">
        <v>13.643413566132301</v>
      </c>
      <c r="Q3532">
        <v>1.00254959771679</v>
      </c>
      <c r="R3532">
        <v>9.0731912753704798</v>
      </c>
      <c r="S3532">
        <v>111</v>
      </c>
      <c r="T3532">
        <v>34</v>
      </c>
      <c r="U3532">
        <v>492.28598241548002</v>
      </c>
      <c r="V3532">
        <v>9.9644128113879002E-3</v>
      </c>
      <c r="W3532">
        <v>1105378.19517478</v>
      </c>
      <c r="X3532" t="s">
        <v>42</v>
      </c>
      <c r="Y3532">
        <f>1-847-651-8606</f>
        <v>-10103</v>
      </c>
    </row>
    <row r="3533" spans="1:25" x14ac:dyDescent="0.35">
      <c r="A3533">
        <v>40.765429572694799</v>
      </c>
      <c r="B3533">
        <v>-124.39557068032801</v>
      </c>
      <c r="C3533" t="s">
        <v>25</v>
      </c>
      <c r="D3533">
        <v>4.9356639723170304</v>
      </c>
      <c r="E3533">
        <v>0</v>
      </c>
      <c r="F3533">
        <v>3474</v>
      </c>
      <c r="G3533">
        <v>3</v>
      </c>
      <c r="H3533">
        <v>1</v>
      </c>
      <c r="I3533">
        <v>1961</v>
      </c>
      <c r="J3533">
        <v>1</v>
      </c>
      <c r="K3533">
        <v>0</v>
      </c>
      <c r="L3533">
        <v>0</v>
      </c>
      <c r="M3533">
        <v>13</v>
      </c>
      <c r="N3533" t="s">
        <v>35</v>
      </c>
      <c r="O3533" t="s">
        <v>30</v>
      </c>
      <c r="P3533">
        <v>14.3296753821691</v>
      </c>
      <c r="Q3533">
        <v>1.4484166896974799</v>
      </c>
      <c r="R3533">
        <v>0.121820794514471</v>
      </c>
      <c r="S3533">
        <v>6</v>
      </c>
      <c r="T3533">
        <v>43</v>
      </c>
      <c r="U3533">
        <v>615.00320067690302</v>
      </c>
      <c r="V3533">
        <v>3.74208405296488E-3</v>
      </c>
      <c r="W3533">
        <v>2445841.7116827499</v>
      </c>
      <c r="X3533" t="s">
        <v>40</v>
      </c>
      <c r="Y3533">
        <f>1-376-925-2562</f>
        <v>-3862</v>
      </c>
    </row>
    <row r="3534" spans="1:25" x14ac:dyDescent="0.35">
      <c r="A3534">
        <v>35.4346954573735</v>
      </c>
      <c r="B3534">
        <v>-115.51854756198099</v>
      </c>
      <c r="C3534" t="s">
        <v>34</v>
      </c>
      <c r="D3534">
        <v>23.9820053031094</v>
      </c>
      <c r="E3534">
        <v>1</v>
      </c>
      <c r="F3534">
        <v>3977</v>
      </c>
      <c r="G3534">
        <v>3</v>
      </c>
      <c r="H3534">
        <v>1</v>
      </c>
      <c r="I3534">
        <v>1986</v>
      </c>
      <c r="J3534">
        <v>0</v>
      </c>
      <c r="K3534">
        <v>1</v>
      </c>
      <c r="L3534">
        <v>0</v>
      </c>
      <c r="M3534">
        <v>6</v>
      </c>
      <c r="N3534" t="s">
        <v>35</v>
      </c>
      <c r="O3534" t="s">
        <v>32</v>
      </c>
      <c r="P3534">
        <v>2.2121095444324501</v>
      </c>
      <c r="Q3534">
        <v>1.8374527887624099</v>
      </c>
      <c r="R3534">
        <v>4.5254622536611597</v>
      </c>
      <c r="S3534">
        <v>103</v>
      </c>
      <c r="T3534">
        <v>78</v>
      </c>
      <c r="U3534">
        <v>883.11893764844399</v>
      </c>
      <c r="V3534">
        <v>1.50867488056323E-3</v>
      </c>
      <c r="W3534">
        <v>3635434.2453297102</v>
      </c>
      <c r="X3534" t="s">
        <v>39</v>
      </c>
      <c r="Y3534">
        <f>1-244-637-8605</f>
        <v>-9485</v>
      </c>
    </row>
    <row r="3535" spans="1:25" x14ac:dyDescent="0.35">
      <c r="A3535">
        <v>39.5502391914168</v>
      </c>
      <c r="B3535">
        <v>-119.386170098281</v>
      </c>
      <c r="C3535" t="s">
        <v>34</v>
      </c>
      <c r="D3535">
        <v>8.5424864734343693</v>
      </c>
      <c r="E3535">
        <v>6</v>
      </c>
      <c r="F3535">
        <v>3621</v>
      </c>
      <c r="G3535">
        <v>2</v>
      </c>
      <c r="H3535">
        <v>3</v>
      </c>
      <c r="I3535">
        <v>1996</v>
      </c>
      <c r="J3535">
        <v>0</v>
      </c>
      <c r="K3535">
        <v>0</v>
      </c>
      <c r="L3535">
        <v>0</v>
      </c>
      <c r="M3535">
        <v>13</v>
      </c>
      <c r="N3535" t="s">
        <v>35</v>
      </c>
      <c r="O3535" t="s">
        <v>30</v>
      </c>
      <c r="P3535">
        <v>12.776048041308799</v>
      </c>
      <c r="Q3535">
        <v>1.4031436000669999</v>
      </c>
      <c r="R3535">
        <v>1.62829521591964</v>
      </c>
      <c r="S3535">
        <v>33</v>
      </c>
      <c r="T3535">
        <v>61</v>
      </c>
      <c r="U3535">
        <v>393.139489908884</v>
      </c>
      <c r="V3535">
        <v>3.59016846175089E-3</v>
      </c>
      <c r="W3535">
        <v>1645053.1456776201</v>
      </c>
      <c r="X3535" t="s">
        <v>44</v>
      </c>
      <c r="Y3535">
        <f>1-947-216-4370</f>
        <v>-5532</v>
      </c>
    </row>
    <row r="3536" spans="1:25" x14ac:dyDescent="0.35">
      <c r="A3536">
        <v>39.650229949117303</v>
      </c>
      <c r="B3536">
        <v>-119.350154833885</v>
      </c>
      <c r="C3536" t="s">
        <v>25</v>
      </c>
      <c r="D3536">
        <v>30.572968541008098</v>
      </c>
      <c r="E3536">
        <v>0</v>
      </c>
      <c r="F3536">
        <v>1822</v>
      </c>
      <c r="G3536">
        <v>4</v>
      </c>
      <c r="H3536">
        <v>1</v>
      </c>
      <c r="I3536">
        <v>1971</v>
      </c>
      <c r="J3536">
        <v>1</v>
      </c>
      <c r="K3536">
        <v>1</v>
      </c>
      <c r="L3536">
        <v>0</v>
      </c>
      <c r="M3536">
        <v>12</v>
      </c>
      <c r="N3536" t="s">
        <v>37</v>
      </c>
      <c r="O3536" t="s">
        <v>32</v>
      </c>
      <c r="P3536">
        <v>3.9999368873897598</v>
      </c>
      <c r="Q3536">
        <v>1.1763744475293101</v>
      </c>
      <c r="R3536">
        <v>3.61931123551622</v>
      </c>
      <c r="S3536">
        <v>72</v>
      </c>
      <c r="T3536">
        <v>51</v>
      </c>
      <c r="U3536">
        <v>337.37189737756898</v>
      </c>
      <c r="V3536">
        <v>6.5861690450054796E-3</v>
      </c>
      <c r="W3536">
        <v>866782.78532618901</v>
      </c>
      <c r="X3536" t="s">
        <v>38</v>
      </c>
      <c r="Y3536">
        <f>1-987-565-9263</f>
        <v>-10814</v>
      </c>
    </row>
    <row r="3537" spans="1:25" x14ac:dyDescent="0.35">
      <c r="A3537">
        <v>35.944570092540403</v>
      </c>
      <c r="B3537">
        <v>-121.038035462547</v>
      </c>
      <c r="C3537" t="s">
        <v>34</v>
      </c>
      <c r="D3537">
        <v>47.245973922120598</v>
      </c>
      <c r="E3537">
        <v>6</v>
      </c>
      <c r="F3537">
        <v>1614</v>
      </c>
      <c r="G3537">
        <v>4</v>
      </c>
      <c r="H3537">
        <v>1</v>
      </c>
      <c r="I3537">
        <v>1987</v>
      </c>
      <c r="J3537">
        <v>1</v>
      </c>
      <c r="K3537">
        <v>0</v>
      </c>
      <c r="L3537">
        <v>1</v>
      </c>
      <c r="M3537">
        <v>8</v>
      </c>
      <c r="N3537" t="s">
        <v>41</v>
      </c>
      <c r="O3537" t="s">
        <v>32</v>
      </c>
      <c r="P3537">
        <v>6.6930754775900896</v>
      </c>
      <c r="Q3537">
        <v>1.8946225774149701</v>
      </c>
      <c r="R3537">
        <v>0.21824682250359201</v>
      </c>
      <c r="S3537">
        <v>37</v>
      </c>
      <c r="T3537">
        <v>39</v>
      </c>
      <c r="U3537">
        <v>420.49309930999499</v>
      </c>
      <c r="V3537">
        <v>4.9566294919454702E-3</v>
      </c>
      <c r="W3537">
        <v>896378.63161449705</v>
      </c>
      <c r="X3537" t="s">
        <v>42</v>
      </c>
      <c r="Y3537">
        <f>1-651-683-9965</f>
        <v>-11298</v>
      </c>
    </row>
    <row r="3538" spans="1:25" x14ac:dyDescent="0.35">
      <c r="A3538">
        <v>40.964532871037299</v>
      </c>
      <c r="B3538">
        <v>-118.47751223649</v>
      </c>
      <c r="C3538" t="s">
        <v>25</v>
      </c>
      <c r="D3538">
        <v>7.3301985052701397</v>
      </c>
      <c r="E3538">
        <v>9</v>
      </c>
      <c r="F3538">
        <v>552</v>
      </c>
      <c r="G3538">
        <v>1</v>
      </c>
      <c r="H3538">
        <v>2</v>
      </c>
      <c r="I3538">
        <v>1968</v>
      </c>
      <c r="J3538">
        <v>0</v>
      </c>
      <c r="K3538">
        <v>1</v>
      </c>
      <c r="L3538">
        <v>1</v>
      </c>
      <c r="M3538">
        <v>10</v>
      </c>
      <c r="N3538" t="s">
        <v>37</v>
      </c>
      <c r="O3538" t="s">
        <v>27</v>
      </c>
      <c r="P3538">
        <v>11.5641374962666</v>
      </c>
      <c r="Q3538">
        <v>1.39572237742758</v>
      </c>
      <c r="R3538">
        <v>0.31403045082732001</v>
      </c>
      <c r="S3538">
        <v>196</v>
      </c>
      <c r="T3538">
        <v>42</v>
      </c>
      <c r="U3538">
        <v>446.86490858408303</v>
      </c>
      <c r="V3538">
        <v>1.8115942028985501E-2</v>
      </c>
      <c r="W3538">
        <v>469375.95679270697</v>
      </c>
      <c r="X3538" t="s">
        <v>39</v>
      </c>
      <c r="Y3538">
        <f>1-431-411-5077</f>
        <v>-5918</v>
      </c>
    </row>
    <row r="3539" spans="1:25" x14ac:dyDescent="0.35">
      <c r="A3539">
        <v>39.095434592767702</v>
      </c>
      <c r="B3539">
        <v>-119.29830572497001</v>
      </c>
      <c r="C3539" t="s">
        <v>34</v>
      </c>
      <c r="D3539">
        <v>21.6378991501042</v>
      </c>
      <c r="E3539">
        <v>8</v>
      </c>
      <c r="F3539">
        <v>4085</v>
      </c>
      <c r="G3539">
        <v>5</v>
      </c>
      <c r="H3539">
        <v>2</v>
      </c>
      <c r="I3539">
        <v>2000</v>
      </c>
      <c r="J3539">
        <v>0</v>
      </c>
      <c r="K3539">
        <v>1</v>
      </c>
      <c r="L3539">
        <v>1</v>
      </c>
      <c r="M3539">
        <v>8</v>
      </c>
      <c r="N3539" t="s">
        <v>41</v>
      </c>
      <c r="O3539" t="s">
        <v>32</v>
      </c>
      <c r="P3539">
        <v>6.1636002494462998</v>
      </c>
      <c r="Q3539">
        <v>0.60986345824511601</v>
      </c>
      <c r="R3539">
        <v>6.6083700592730903</v>
      </c>
      <c r="S3539">
        <v>86</v>
      </c>
      <c r="T3539">
        <v>24</v>
      </c>
      <c r="U3539">
        <v>694.39838612364395</v>
      </c>
      <c r="V3539">
        <v>1.9583843329253302E-3</v>
      </c>
      <c r="W3539">
        <v>3201860.4344440401</v>
      </c>
      <c r="X3539" t="s">
        <v>36</v>
      </c>
      <c r="Y3539">
        <f>1-226-870-6089</f>
        <v>-7184</v>
      </c>
    </row>
    <row r="3540" spans="1:25" x14ac:dyDescent="0.35">
      <c r="A3540">
        <v>37.025388342538797</v>
      </c>
      <c r="B3540">
        <v>-121.058996258067</v>
      </c>
      <c r="C3540" t="s">
        <v>34</v>
      </c>
      <c r="D3540">
        <v>27.2366576718081</v>
      </c>
      <c r="E3540">
        <v>6</v>
      </c>
      <c r="F3540">
        <v>4062</v>
      </c>
      <c r="G3540">
        <v>5</v>
      </c>
      <c r="H3540">
        <v>2</v>
      </c>
      <c r="I3540">
        <v>1960</v>
      </c>
      <c r="J3540">
        <v>1</v>
      </c>
      <c r="K3540">
        <v>1</v>
      </c>
      <c r="L3540">
        <v>1</v>
      </c>
      <c r="M3540">
        <v>10</v>
      </c>
      <c r="N3540" t="s">
        <v>26</v>
      </c>
      <c r="O3540" t="s">
        <v>30</v>
      </c>
      <c r="P3540">
        <v>13.141752137403101</v>
      </c>
      <c r="Q3540">
        <v>1.3315812466080299</v>
      </c>
      <c r="R3540">
        <v>1.8252395202501099</v>
      </c>
      <c r="S3540">
        <v>110</v>
      </c>
      <c r="T3540">
        <v>78</v>
      </c>
      <c r="U3540">
        <v>755.71413814649395</v>
      </c>
      <c r="V3540">
        <v>2.4618414574101399E-3</v>
      </c>
      <c r="W3540">
        <v>3537093.0697715399</v>
      </c>
      <c r="X3540" t="s">
        <v>42</v>
      </c>
      <c r="Y3540">
        <f>1-444-621-7161</f>
        <v>-8225</v>
      </c>
    </row>
    <row r="3541" spans="1:25" x14ac:dyDescent="0.35">
      <c r="A3541">
        <v>35.304793272420099</v>
      </c>
      <c r="B3541">
        <v>-118.338931315625</v>
      </c>
      <c r="C3541" t="s">
        <v>25</v>
      </c>
      <c r="D3541">
        <v>46.1798601791577</v>
      </c>
      <c r="E3541">
        <v>0</v>
      </c>
      <c r="F3541">
        <v>2579</v>
      </c>
      <c r="G3541">
        <v>2</v>
      </c>
      <c r="H3541">
        <v>2</v>
      </c>
      <c r="I3541">
        <v>2022</v>
      </c>
      <c r="J3541">
        <v>0</v>
      </c>
      <c r="K3541">
        <v>0</v>
      </c>
      <c r="L3541">
        <v>1</v>
      </c>
      <c r="M3541">
        <v>11</v>
      </c>
      <c r="N3541" t="s">
        <v>26</v>
      </c>
      <c r="O3541" t="s">
        <v>27</v>
      </c>
      <c r="P3541">
        <v>2.8131414675456501</v>
      </c>
      <c r="Q3541">
        <v>0.63543709449833097</v>
      </c>
      <c r="R3541">
        <v>7.3284926256173897</v>
      </c>
      <c r="S3541">
        <v>56</v>
      </c>
      <c r="T3541">
        <v>61</v>
      </c>
      <c r="U3541">
        <v>959.88962795482098</v>
      </c>
      <c r="V3541">
        <v>4.26521907716169E-3</v>
      </c>
      <c r="W3541">
        <v>2722973.1334535899</v>
      </c>
      <c r="X3541" t="s">
        <v>42</v>
      </c>
      <c r="Y3541">
        <f>1-804-863-1969</f>
        <v>-3635</v>
      </c>
    </row>
    <row r="3542" spans="1:25" x14ac:dyDescent="0.35">
      <c r="A3542">
        <v>33.597990442446097</v>
      </c>
      <c r="B3542">
        <v>-123.733926449336</v>
      </c>
      <c r="C3542" t="s">
        <v>29</v>
      </c>
      <c r="D3542">
        <v>26.957958538801002</v>
      </c>
      <c r="E3542">
        <v>8</v>
      </c>
      <c r="F3542">
        <v>4600</v>
      </c>
      <c r="G3542">
        <v>3</v>
      </c>
      <c r="H3542">
        <v>1</v>
      </c>
      <c r="I3542">
        <v>1995</v>
      </c>
      <c r="J3542">
        <v>0</v>
      </c>
      <c r="K3542">
        <v>0</v>
      </c>
      <c r="L3542">
        <v>0</v>
      </c>
      <c r="M3542">
        <v>5</v>
      </c>
      <c r="N3542" t="s">
        <v>37</v>
      </c>
      <c r="O3542" t="s">
        <v>32</v>
      </c>
      <c r="P3542">
        <v>10.2689158304684</v>
      </c>
      <c r="Q3542">
        <v>1.38479168883528</v>
      </c>
      <c r="R3542">
        <v>2.1408538347609798</v>
      </c>
      <c r="S3542">
        <v>84</v>
      </c>
      <c r="T3542">
        <v>24</v>
      </c>
      <c r="U3542">
        <v>226.67958332523801</v>
      </c>
      <c r="V3542">
        <v>1.08695652173913E-3</v>
      </c>
      <c r="W3542">
        <v>1207262.89209721</v>
      </c>
      <c r="X3542" t="s">
        <v>43</v>
      </c>
      <c r="Y3542">
        <f>1-513-333-2411</f>
        <v>-3256</v>
      </c>
    </row>
    <row r="3543" spans="1:25" x14ac:dyDescent="0.35">
      <c r="A3543">
        <v>36.754521436551201</v>
      </c>
      <c r="B3543">
        <v>-115.74413618908</v>
      </c>
      <c r="C3543" t="s">
        <v>34</v>
      </c>
      <c r="D3543">
        <v>36.435858564772303</v>
      </c>
      <c r="E3543">
        <v>0</v>
      </c>
      <c r="F3543">
        <v>4563</v>
      </c>
      <c r="G3543">
        <v>5</v>
      </c>
      <c r="H3543">
        <v>2</v>
      </c>
      <c r="I3543">
        <v>1991</v>
      </c>
      <c r="J3543">
        <v>1</v>
      </c>
      <c r="K3543">
        <v>1</v>
      </c>
      <c r="L3543">
        <v>0</v>
      </c>
      <c r="M3543">
        <v>12</v>
      </c>
      <c r="N3543" t="s">
        <v>26</v>
      </c>
      <c r="O3543" t="s">
        <v>27</v>
      </c>
      <c r="P3543">
        <v>4.1781345952493298</v>
      </c>
      <c r="Q3543">
        <v>1.6676246694799099</v>
      </c>
      <c r="R3543">
        <v>1.18574031030025</v>
      </c>
      <c r="S3543">
        <v>83</v>
      </c>
      <c r="T3543">
        <v>62</v>
      </c>
      <c r="U3543">
        <v>860.77794626784396</v>
      </c>
      <c r="V3543">
        <v>2.6298487836949299E-3</v>
      </c>
      <c r="W3543">
        <v>4472269.5830744598</v>
      </c>
      <c r="X3543" t="s">
        <v>43</v>
      </c>
      <c r="Y3543">
        <f>1-325-501-1966</f>
        <v>-2791</v>
      </c>
    </row>
    <row r="3544" spans="1:25" x14ac:dyDescent="0.35">
      <c r="A3544">
        <v>38.2840571563924</v>
      </c>
      <c r="B3544">
        <v>-116.281622199317</v>
      </c>
      <c r="C3544" t="s">
        <v>34</v>
      </c>
      <c r="D3544">
        <v>16.855477515982098</v>
      </c>
      <c r="E3544">
        <v>7</v>
      </c>
      <c r="F3544">
        <v>2220</v>
      </c>
      <c r="G3544">
        <v>4</v>
      </c>
      <c r="H3544">
        <v>3</v>
      </c>
      <c r="I3544">
        <v>1958</v>
      </c>
      <c r="J3544">
        <v>1</v>
      </c>
      <c r="K3544">
        <v>1</v>
      </c>
      <c r="L3544">
        <v>0</v>
      </c>
      <c r="M3544">
        <v>14</v>
      </c>
      <c r="N3544" t="s">
        <v>35</v>
      </c>
      <c r="O3544" t="s">
        <v>30</v>
      </c>
      <c r="P3544">
        <v>9.5525943030606602</v>
      </c>
      <c r="Q3544">
        <v>1.45579805947185</v>
      </c>
      <c r="R3544">
        <v>7.7850584657201898</v>
      </c>
      <c r="S3544">
        <v>82</v>
      </c>
      <c r="T3544">
        <v>38</v>
      </c>
      <c r="U3544">
        <v>601.926209818183</v>
      </c>
      <c r="V3544">
        <v>6.3063063063063E-3</v>
      </c>
      <c r="W3544">
        <v>1805887.2987935599</v>
      </c>
      <c r="X3544" t="s">
        <v>42</v>
      </c>
      <c r="Y3544">
        <f>1-793-716-8387</f>
        <v>-9895</v>
      </c>
    </row>
    <row r="3545" spans="1:25" x14ac:dyDescent="0.35">
      <c r="A3545">
        <v>36.813894736263201</v>
      </c>
      <c r="B3545">
        <v>-123.32224821858399</v>
      </c>
      <c r="C3545" t="s">
        <v>34</v>
      </c>
      <c r="D3545">
        <v>38.714582056279397</v>
      </c>
      <c r="E3545">
        <v>3</v>
      </c>
      <c r="F3545">
        <v>4761</v>
      </c>
      <c r="G3545">
        <v>4</v>
      </c>
      <c r="H3545">
        <v>2</v>
      </c>
      <c r="I3545">
        <v>1963</v>
      </c>
      <c r="J3545">
        <v>1</v>
      </c>
      <c r="K3545">
        <v>1</v>
      </c>
      <c r="L3545">
        <v>1</v>
      </c>
      <c r="M3545">
        <v>14</v>
      </c>
      <c r="N3545" t="s">
        <v>37</v>
      </c>
      <c r="O3545" t="s">
        <v>32</v>
      </c>
      <c r="P3545">
        <v>8.8986880896835494</v>
      </c>
      <c r="Q3545">
        <v>0.81541134619739397</v>
      </c>
      <c r="R3545">
        <v>8.6605411571648006</v>
      </c>
      <c r="S3545">
        <v>0</v>
      </c>
      <c r="T3545">
        <v>21</v>
      </c>
      <c r="U3545">
        <v>265.94706747563703</v>
      </c>
      <c r="V3545">
        <v>2.9405587061541601E-3</v>
      </c>
      <c r="W3545">
        <v>1673606.1728371701</v>
      </c>
      <c r="X3545" t="s">
        <v>43</v>
      </c>
      <c r="Y3545">
        <f>1-722-977-8053</f>
        <v>-9751</v>
      </c>
    </row>
    <row r="3546" spans="1:25" x14ac:dyDescent="0.35">
      <c r="A3546">
        <v>32.800904434791498</v>
      </c>
      <c r="B3546">
        <v>-114.549371794386</v>
      </c>
      <c r="C3546" t="s">
        <v>29</v>
      </c>
      <c r="D3546">
        <v>6.4890177324689304</v>
      </c>
      <c r="E3546">
        <v>9</v>
      </c>
      <c r="F3546">
        <v>3012</v>
      </c>
      <c r="G3546">
        <v>4</v>
      </c>
      <c r="H3546">
        <v>2</v>
      </c>
      <c r="I3546">
        <v>1963</v>
      </c>
      <c r="J3546">
        <v>0</v>
      </c>
      <c r="K3546">
        <v>1</v>
      </c>
      <c r="L3546">
        <v>1</v>
      </c>
      <c r="M3546">
        <v>14</v>
      </c>
      <c r="N3546" t="s">
        <v>26</v>
      </c>
      <c r="O3546" t="s">
        <v>30</v>
      </c>
      <c r="P3546">
        <v>7.5231618283475798</v>
      </c>
      <c r="Q3546">
        <v>2.0302211886537198</v>
      </c>
      <c r="R3546">
        <v>8.4251510689391793</v>
      </c>
      <c r="S3546">
        <v>88</v>
      </c>
      <c r="T3546">
        <v>52</v>
      </c>
      <c r="U3546">
        <v>839.721910001482</v>
      </c>
      <c r="V3546">
        <v>4.6480743691899003E-3</v>
      </c>
      <c r="W3546">
        <v>2843996.24990645</v>
      </c>
      <c r="X3546" t="s">
        <v>40</v>
      </c>
      <c r="Y3546">
        <f>1-947-614-8887</f>
        <v>-10447</v>
      </c>
    </row>
    <row r="3547" spans="1:25" x14ac:dyDescent="0.35">
      <c r="A3547">
        <v>40.423345317559701</v>
      </c>
      <c r="B3547">
        <v>-120.668527122631</v>
      </c>
      <c r="C3547" t="s">
        <v>29</v>
      </c>
      <c r="D3547">
        <v>4.1056639272046498</v>
      </c>
      <c r="E3547">
        <v>0</v>
      </c>
      <c r="F3547">
        <v>2396</v>
      </c>
      <c r="G3547">
        <v>5</v>
      </c>
      <c r="H3547">
        <v>1</v>
      </c>
      <c r="I3547">
        <v>2005</v>
      </c>
      <c r="J3547">
        <v>0</v>
      </c>
      <c r="K3547">
        <v>1</v>
      </c>
      <c r="L3547">
        <v>0</v>
      </c>
      <c r="M3547">
        <v>4</v>
      </c>
      <c r="N3547" t="s">
        <v>35</v>
      </c>
      <c r="O3547" t="s">
        <v>27</v>
      </c>
      <c r="P3547">
        <v>3.7075672810715301</v>
      </c>
      <c r="Q3547">
        <v>1.12622730626407</v>
      </c>
      <c r="R3547">
        <v>4.8386085762063198</v>
      </c>
      <c r="S3547">
        <v>182</v>
      </c>
      <c r="T3547">
        <v>69</v>
      </c>
      <c r="U3547">
        <v>778.58221998375996</v>
      </c>
      <c r="V3547">
        <v>1.6694490818030001E-3</v>
      </c>
      <c r="W3547">
        <v>2215657.2497782102</v>
      </c>
      <c r="X3547" t="s">
        <v>43</v>
      </c>
      <c r="Y3547">
        <f>1-333-657-4384</f>
        <v>-5373</v>
      </c>
    </row>
    <row r="3548" spans="1:25" x14ac:dyDescent="0.35">
      <c r="A3548">
        <v>37.270367147481103</v>
      </c>
      <c r="B3548">
        <v>-115.507293379087</v>
      </c>
      <c r="C3548" t="s">
        <v>29</v>
      </c>
      <c r="D3548">
        <v>10.760646803061301</v>
      </c>
      <c r="E3548">
        <v>7</v>
      </c>
      <c r="F3548">
        <v>625</v>
      </c>
      <c r="G3548">
        <v>5</v>
      </c>
      <c r="H3548">
        <v>2</v>
      </c>
      <c r="I3548">
        <v>1954</v>
      </c>
      <c r="J3548">
        <v>1</v>
      </c>
      <c r="K3548">
        <v>1</v>
      </c>
      <c r="L3548">
        <v>1</v>
      </c>
      <c r="M3548">
        <v>4</v>
      </c>
      <c r="N3548" t="s">
        <v>41</v>
      </c>
      <c r="O3548" t="s">
        <v>32</v>
      </c>
      <c r="P3548">
        <v>9.6314508879932799</v>
      </c>
      <c r="Q3548">
        <v>1.46642876606997</v>
      </c>
      <c r="R3548">
        <v>4.2103651921625804</v>
      </c>
      <c r="S3548">
        <v>178</v>
      </c>
      <c r="T3548">
        <v>28</v>
      </c>
      <c r="U3548">
        <v>369.07252763999901</v>
      </c>
      <c r="V3548">
        <v>6.4000000000000003E-3</v>
      </c>
      <c r="W3548">
        <v>730197.15091595997</v>
      </c>
      <c r="X3548" t="s">
        <v>39</v>
      </c>
      <c r="Y3548">
        <f>1-578-152-8214</f>
        <v>-8943</v>
      </c>
    </row>
    <row r="3549" spans="1:25" x14ac:dyDescent="0.35">
      <c r="A3549">
        <v>36.8071032646723</v>
      </c>
      <c r="B3549">
        <v>-118.165534515365</v>
      </c>
      <c r="C3549" t="s">
        <v>25</v>
      </c>
      <c r="D3549">
        <v>25.6577555832332</v>
      </c>
      <c r="E3549">
        <v>4</v>
      </c>
      <c r="F3549">
        <v>4982</v>
      </c>
      <c r="G3549">
        <v>2</v>
      </c>
      <c r="H3549">
        <v>3</v>
      </c>
      <c r="I3549">
        <v>1984</v>
      </c>
      <c r="J3549">
        <v>1</v>
      </c>
      <c r="K3549">
        <v>0</v>
      </c>
      <c r="L3549">
        <v>0</v>
      </c>
      <c r="M3549">
        <v>5</v>
      </c>
      <c r="N3549" t="s">
        <v>35</v>
      </c>
      <c r="O3549" t="s">
        <v>27</v>
      </c>
      <c r="P3549">
        <v>8.6222538376979703</v>
      </c>
      <c r="Q3549">
        <v>1.57430870339169</v>
      </c>
      <c r="R3549">
        <v>3.1254449359999099</v>
      </c>
      <c r="S3549">
        <v>54</v>
      </c>
      <c r="T3549">
        <v>72</v>
      </c>
      <c r="U3549">
        <v>642.45574308770495</v>
      </c>
      <c r="V3549">
        <v>1.00361300682456E-3</v>
      </c>
      <c r="W3549">
        <v>3402781.6696459199</v>
      </c>
      <c r="X3549" t="s">
        <v>39</v>
      </c>
      <c r="Y3549">
        <f>1-341-797-6447</f>
        <v>-7584</v>
      </c>
    </row>
    <row r="3550" spans="1:25" x14ac:dyDescent="0.35">
      <c r="A3550">
        <v>40.015689033734702</v>
      </c>
      <c r="B3550">
        <v>-120.654443333405</v>
      </c>
      <c r="C3550" t="s">
        <v>34</v>
      </c>
      <c r="D3550">
        <v>39.716741162928599</v>
      </c>
      <c r="E3550">
        <v>8</v>
      </c>
      <c r="F3550">
        <v>876</v>
      </c>
      <c r="G3550">
        <v>2</v>
      </c>
      <c r="H3550">
        <v>3</v>
      </c>
      <c r="I3550">
        <v>1991</v>
      </c>
      <c r="J3550">
        <v>1</v>
      </c>
      <c r="K3550">
        <v>1</v>
      </c>
      <c r="L3550">
        <v>0</v>
      </c>
      <c r="M3550">
        <v>11</v>
      </c>
      <c r="N3550" t="s">
        <v>35</v>
      </c>
      <c r="O3550" t="s">
        <v>30</v>
      </c>
      <c r="P3550">
        <v>5.1844033835427199</v>
      </c>
      <c r="Q3550">
        <v>1.3424505058685501</v>
      </c>
      <c r="R3550">
        <v>0.19994234862659299</v>
      </c>
      <c r="S3550">
        <v>62</v>
      </c>
      <c r="T3550">
        <v>74</v>
      </c>
      <c r="U3550">
        <v>908.48344343477595</v>
      </c>
      <c r="V3550">
        <v>1.2557077625570699E-2</v>
      </c>
      <c r="W3550">
        <v>1127213.23480336</v>
      </c>
      <c r="X3550" t="s">
        <v>39</v>
      </c>
      <c r="Y3550">
        <f>1-803-190-2283</f>
        <v>-3275</v>
      </c>
    </row>
    <row r="3551" spans="1:25" x14ac:dyDescent="0.35">
      <c r="A3551">
        <v>35.830100516006297</v>
      </c>
      <c r="B3551">
        <v>-117.30478732557999</v>
      </c>
      <c r="C3551" t="s">
        <v>29</v>
      </c>
      <c r="D3551">
        <v>13.115914868376599</v>
      </c>
      <c r="E3551">
        <v>2</v>
      </c>
      <c r="F3551">
        <v>4855</v>
      </c>
      <c r="G3551">
        <v>3</v>
      </c>
      <c r="H3551">
        <v>2</v>
      </c>
      <c r="I3551">
        <v>1973</v>
      </c>
      <c r="J3551">
        <v>1</v>
      </c>
      <c r="K3551">
        <v>1</v>
      </c>
      <c r="L3551">
        <v>0</v>
      </c>
      <c r="M3551">
        <v>5</v>
      </c>
      <c r="N3551" t="s">
        <v>41</v>
      </c>
      <c r="O3551" t="s">
        <v>27</v>
      </c>
      <c r="P3551">
        <v>11.4213805044979</v>
      </c>
      <c r="Q3551">
        <v>2.1735950651029898</v>
      </c>
      <c r="R3551">
        <v>3.8102030760237602</v>
      </c>
      <c r="S3551">
        <v>83</v>
      </c>
      <c r="T3551">
        <v>71</v>
      </c>
      <c r="U3551">
        <v>355.79573033650303</v>
      </c>
      <c r="V3551">
        <v>1.02986611740473E-3</v>
      </c>
      <c r="W3551">
        <v>2042234.9503293701</v>
      </c>
      <c r="X3551" t="s">
        <v>39</v>
      </c>
      <c r="Y3551">
        <f>1-711-475-4318</f>
        <v>-5503</v>
      </c>
    </row>
    <row r="3552" spans="1:25" x14ac:dyDescent="0.35">
      <c r="A3552">
        <v>40.2029639824583</v>
      </c>
      <c r="B3552">
        <v>-123.535083441477</v>
      </c>
      <c r="C3552" t="s">
        <v>29</v>
      </c>
      <c r="D3552">
        <v>24.487287647963999</v>
      </c>
      <c r="E3552">
        <v>7</v>
      </c>
      <c r="F3552">
        <v>3662</v>
      </c>
      <c r="G3552">
        <v>3</v>
      </c>
      <c r="H3552">
        <v>3</v>
      </c>
      <c r="I3552">
        <v>2013</v>
      </c>
      <c r="J3552">
        <v>1</v>
      </c>
      <c r="K3552">
        <v>1</v>
      </c>
      <c r="L3552">
        <v>0</v>
      </c>
      <c r="M3552">
        <v>11</v>
      </c>
      <c r="N3552" t="s">
        <v>37</v>
      </c>
      <c r="O3552" t="s">
        <v>27</v>
      </c>
      <c r="P3552">
        <v>3.66500386996454</v>
      </c>
      <c r="Q3552">
        <v>0.70484453586133999</v>
      </c>
      <c r="R3552">
        <v>3.5106694461701702</v>
      </c>
      <c r="S3552">
        <v>1</v>
      </c>
      <c r="T3552">
        <v>62</v>
      </c>
      <c r="U3552">
        <v>254.553969568855</v>
      </c>
      <c r="V3552">
        <v>3.0038230475150098E-3</v>
      </c>
      <c r="W3552">
        <v>1373486.48803489</v>
      </c>
      <c r="X3552" t="s">
        <v>40</v>
      </c>
      <c r="Y3552">
        <f>1-704-392-5673</f>
        <v>-6768</v>
      </c>
    </row>
    <row r="3553" spans="1:25" x14ac:dyDescent="0.35">
      <c r="A3553">
        <v>34.410915527407198</v>
      </c>
      <c r="B3553">
        <v>-122.64332634951801</v>
      </c>
      <c r="C3553" t="s">
        <v>25</v>
      </c>
      <c r="D3553">
        <v>37.563881814412802</v>
      </c>
      <c r="E3553">
        <v>0</v>
      </c>
      <c r="F3553">
        <v>3359</v>
      </c>
      <c r="G3553">
        <v>2</v>
      </c>
      <c r="H3553">
        <v>2</v>
      </c>
      <c r="I3553">
        <v>1957</v>
      </c>
      <c r="J3553">
        <v>0</v>
      </c>
      <c r="K3553">
        <v>0</v>
      </c>
      <c r="L3553">
        <v>1</v>
      </c>
      <c r="M3553">
        <v>11</v>
      </c>
      <c r="N3553" t="s">
        <v>37</v>
      </c>
      <c r="O3553" t="s">
        <v>30</v>
      </c>
      <c r="P3553">
        <v>5.4112667242495602</v>
      </c>
      <c r="Q3553">
        <v>1.74921884836273</v>
      </c>
      <c r="R3553">
        <v>7.8892792196217103</v>
      </c>
      <c r="S3553">
        <v>8</v>
      </c>
      <c r="T3553">
        <v>39</v>
      </c>
      <c r="U3553">
        <v>357.49226749892603</v>
      </c>
      <c r="V3553">
        <v>3.2747841619529599E-3</v>
      </c>
      <c r="W3553">
        <v>1379195.5208405301</v>
      </c>
      <c r="X3553" t="s">
        <v>36</v>
      </c>
      <c r="Y3553">
        <f>1-606-756-4322</f>
        <v>-5683</v>
      </c>
    </row>
    <row r="3554" spans="1:25" x14ac:dyDescent="0.35">
      <c r="A3554">
        <v>36.293597069054996</v>
      </c>
      <c r="B3554">
        <v>-114.139761001789</v>
      </c>
      <c r="C3554" t="s">
        <v>34</v>
      </c>
      <c r="D3554">
        <v>29.222629056687499</v>
      </c>
      <c r="E3554">
        <v>0</v>
      </c>
      <c r="F3554">
        <v>2986</v>
      </c>
      <c r="G3554">
        <v>2</v>
      </c>
      <c r="H3554">
        <v>1</v>
      </c>
      <c r="I3554">
        <v>1975</v>
      </c>
      <c r="J3554">
        <v>0</v>
      </c>
      <c r="K3554">
        <v>0</v>
      </c>
      <c r="L3554">
        <v>0</v>
      </c>
      <c r="M3554">
        <v>10</v>
      </c>
      <c r="N3554" t="s">
        <v>37</v>
      </c>
      <c r="O3554" t="s">
        <v>30</v>
      </c>
      <c r="P3554">
        <v>3.60917920499445</v>
      </c>
      <c r="Q3554">
        <v>2.1572373725126801</v>
      </c>
      <c r="R3554">
        <v>3.4187255353351298</v>
      </c>
      <c r="S3554">
        <v>92</v>
      </c>
      <c r="T3554">
        <v>47</v>
      </c>
      <c r="U3554">
        <v>744.91470981700297</v>
      </c>
      <c r="V3554">
        <v>3.3489618218352302E-3</v>
      </c>
      <c r="W3554">
        <v>2253597.5355195198</v>
      </c>
      <c r="X3554" t="s">
        <v>42</v>
      </c>
      <c r="Y3554">
        <f>1-417-850-1800</f>
        <v>-3066</v>
      </c>
    </row>
    <row r="3555" spans="1:25" x14ac:dyDescent="0.35">
      <c r="A3555">
        <v>39.111607508682297</v>
      </c>
      <c r="B3555">
        <v>-119.893967513936</v>
      </c>
      <c r="C3555" t="s">
        <v>34</v>
      </c>
      <c r="D3555">
        <v>44.624975689777401</v>
      </c>
      <c r="E3555">
        <v>3</v>
      </c>
      <c r="F3555">
        <v>2859</v>
      </c>
      <c r="G3555">
        <v>2</v>
      </c>
      <c r="H3555">
        <v>1</v>
      </c>
      <c r="I3555">
        <v>1981</v>
      </c>
      <c r="J3555">
        <v>1</v>
      </c>
      <c r="K3555">
        <v>1</v>
      </c>
      <c r="L3555">
        <v>1</v>
      </c>
      <c r="M3555">
        <v>5</v>
      </c>
      <c r="N3555" t="s">
        <v>35</v>
      </c>
      <c r="O3555" t="s">
        <v>27</v>
      </c>
      <c r="P3555">
        <v>12.7259730217758</v>
      </c>
      <c r="Q3555">
        <v>2.2546847454542198</v>
      </c>
      <c r="R3555">
        <v>8.8706723489500696</v>
      </c>
      <c r="S3555">
        <v>25</v>
      </c>
      <c r="T3555">
        <v>62</v>
      </c>
      <c r="U3555">
        <v>425.20707693678798</v>
      </c>
      <c r="V3555">
        <v>1.74886323889471E-3</v>
      </c>
      <c r="W3555">
        <v>1492093.30587436</v>
      </c>
      <c r="X3555" t="s">
        <v>44</v>
      </c>
      <c r="Y3555">
        <f>1-873-429-6507</f>
        <v>-7808</v>
      </c>
    </row>
    <row r="3556" spans="1:25" x14ac:dyDescent="0.35">
      <c r="A3556">
        <v>36.816175418733302</v>
      </c>
      <c r="B3556">
        <v>-123.76042992929899</v>
      </c>
      <c r="C3556" t="s">
        <v>29</v>
      </c>
      <c r="D3556">
        <v>2.24108824461526</v>
      </c>
      <c r="E3556">
        <v>8</v>
      </c>
      <c r="F3556">
        <v>2088</v>
      </c>
      <c r="G3556">
        <v>2</v>
      </c>
      <c r="H3556">
        <v>2</v>
      </c>
      <c r="I3556">
        <v>1955</v>
      </c>
      <c r="J3556">
        <v>0</v>
      </c>
      <c r="K3556">
        <v>0</v>
      </c>
      <c r="L3556">
        <v>0</v>
      </c>
      <c r="M3556">
        <v>8</v>
      </c>
      <c r="N3556" t="s">
        <v>41</v>
      </c>
      <c r="O3556" t="s">
        <v>32</v>
      </c>
      <c r="P3556">
        <v>12.343255531301899</v>
      </c>
      <c r="Q3556">
        <v>0.78814956799947999</v>
      </c>
      <c r="R3556">
        <v>9.5298764774960301</v>
      </c>
      <c r="S3556">
        <v>119</v>
      </c>
      <c r="T3556">
        <v>30</v>
      </c>
      <c r="U3556">
        <v>499.167450160356</v>
      </c>
      <c r="V3556">
        <v>3.83141762452107E-3</v>
      </c>
      <c r="W3556">
        <v>1153683.8510539499</v>
      </c>
      <c r="X3556" t="s">
        <v>36</v>
      </c>
      <c r="Y3556">
        <f>1-597-103-1440</f>
        <v>-2139</v>
      </c>
    </row>
    <row r="3557" spans="1:25" x14ac:dyDescent="0.35">
      <c r="A3557">
        <v>34.968282698711498</v>
      </c>
      <c r="B3557">
        <v>-123.430915258556</v>
      </c>
      <c r="C3557" t="s">
        <v>29</v>
      </c>
      <c r="D3557">
        <v>40.203099844385697</v>
      </c>
      <c r="E3557">
        <v>1</v>
      </c>
      <c r="F3557">
        <v>4160</v>
      </c>
      <c r="G3557">
        <v>2</v>
      </c>
      <c r="H3557">
        <v>2</v>
      </c>
      <c r="I3557">
        <v>1972</v>
      </c>
      <c r="J3557">
        <v>1</v>
      </c>
      <c r="K3557">
        <v>1</v>
      </c>
      <c r="L3557">
        <v>0</v>
      </c>
      <c r="M3557">
        <v>14</v>
      </c>
      <c r="N3557" t="s">
        <v>26</v>
      </c>
      <c r="O3557" t="s">
        <v>32</v>
      </c>
      <c r="P3557">
        <v>8.1752898789899007</v>
      </c>
      <c r="Q3557">
        <v>2.1430114937381699</v>
      </c>
      <c r="R3557">
        <v>6.7988428601793096</v>
      </c>
      <c r="S3557">
        <v>187</v>
      </c>
      <c r="T3557">
        <v>45</v>
      </c>
      <c r="U3557">
        <v>972.96056238116796</v>
      </c>
      <c r="V3557">
        <v>3.3653846153846099E-3</v>
      </c>
      <c r="W3557">
        <v>4226901.4667525804</v>
      </c>
      <c r="X3557" t="s">
        <v>43</v>
      </c>
      <c r="Y3557">
        <f>1-914-615-1677</f>
        <v>-3205</v>
      </c>
    </row>
    <row r="3558" spans="1:25" x14ac:dyDescent="0.35">
      <c r="A3558">
        <v>33.089881861642198</v>
      </c>
      <c r="B3558">
        <v>-123.550433110312</v>
      </c>
      <c r="C3558" t="s">
        <v>34</v>
      </c>
      <c r="D3558">
        <v>27.2713419393028</v>
      </c>
      <c r="E3558">
        <v>2</v>
      </c>
      <c r="F3558">
        <v>4956</v>
      </c>
      <c r="G3558">
        <v>5</v>
      </c>
      <c r="H3558">
        <v>2</v>
      </c>
      <c r="I3558">
        <v>1981</v>
      </c>
      <c r="J3558">
        <v>1</v>
      </c>
      <c r="K3558">
        <v>0</v>
      </c>
      <c r="L3558">
        <v>0</v>
      </c>
      <c r="M3558">
        <v>13</v>
      </c>
      <c r="N3558" t="s">
        <v>41</v>
      </c>
      <c r="O3558" t="s">
        <v>30</v>
      </c>
      <c r="P3558">
        <v>12.915221838586801</v>
      </c>
      <c r="Q3558">
        <v>2.0954705286341802</v>
      </c>
      <c r="R3558">
        <v>9.4460234690392895</v>
      </c>
      <c r="S3558">
        <v>71</v>
      </c>
      <c r="T3558">
        <v>65</v>
      </c>
      <c r="U3558">
        <v>476.60510028452001</v>
      </c>
      <c r="V3558">
        <v>2.6230831315577001E-3</v>
      </c>
      <c r="W3558">
        <v>2669914.3368180799</v>
      </c>
      <c r="X3558" t="s">
        <v>44</v>
      </c>
      <c r="Y3558">
        <f>1-601-881-7348</f>
        <v>-8829</v>
      </c>
    </row>
    <row r="3559" spans="1:25" x14ac:dyDescent="0.35">
      <c r="A3559">
        <v>37.411043223933099</v>
      </c>
      <c r="B3559">
        <v>-120.87061492994999</v>
      </c>
      <c r="C3559" t="s">
        <v>34</v>
      </c>
      <c r="D3559">
        <v>12.1848120486759</v>
      </c>
      <c r="E3559">
        <v>3</v>
      </c>
      <c r="F3559">
        <v>3190</v>
      </c>
      <c r="G3559">
        <v>4</v>
      </c>
      <c r="H3559">
        <v>3</v>
      </c>
      <c r="I3559">
        <v>1954</v>
      </c>
      <c r="J3559">
        <v>1</v>
      </c>
      <c r="K3559">
        <v>1</v>
      </c>
      <c r="L3559">
        <v>1</v>
      </c>
      <c r="M3559">
        <v>8</v>
      </c>
      <c r="N3559" t="s">
        <v>37</v>
      </c>
      <c r="O3559" t="s">
        <v>27</v>
      </c>
      <c r="P3559">
        <v>14.2643949614375</v>
      </c>
      <c r="Q3559">
        <v>0.85092224167303099</v>
      </c>
      <c r="R3559">
        <v>6.3168385641460203</v>
      </c>
      <c r="S3559">
        <v>27</v>
      </c>
      <c r="T3559">
        <v>33</v>
      </c>
      <c r="U3559">
        <v>701.59050855020996</v>
      </c>
      <c r="V3559">
        <v>2.5078369905956101E-3</v>
      </c>
      <c r="W3559">
        <v>2648047.5941623799</v>
      </c>
      <c r="X3559" t="s">
        <v>39</v>
      </c>
      <c r="Y3559">
        <f>1-346-307-5247</f>
        <v>-5899</v>
      </c>
    </row>
    <row r="3560" spans="1:25" x14ac:dyDescent="0.35">
      <c r="A3560">
        <v>36.087666613153999</v>
      </c>
      <c r="B3560">
        <v>-122.20024483448999</v>
      </c>
      <c r="C3560" t="s">
        <v>34</v>
      </c>
      <c r="D3560">
        <v>48.857706473332698</v>
      </c>
      <c r="E3560">
        <v>3</v>
      </c>
      <c r="F3560">
        <v>4409</v>
      </c>
      <c r="G3560">
        <v>4</v>
      </c>
      <c r="H3560">
        <v>3</v>
      </c>
      <c r="I3560">
        <v>1957</v>
      </c>
      <c r="J3560">
        <v>1</v>
      </c>
      <c r="K3560">
        <v>0</v>
      </c>
      <c r="L3560">
        <v>1</v>
      </c>
      <c r="M3560">
        <v>3</v>
      </c>
      <c r="N3560" t="s">
        <v>35</v>
      </c>
      <c r="O3560" t="s">
        <v>27</v>
      </c>
      <c r="P3560">
        <v>11.2472830257365</v>
      </c>
      <c r="Q3560">
        <v>1.9078069881223401</v>
      </c>
      <c r="R3560">
        <v>8.3295333426039306</v>
      </c>
      <c r="S3560">
        <v>98</v>
      </c>
      <c r="T3560">
        <v>75</v>
      </c>
      <c r="U3560">
        <v>879.57759138897495</v>
      </c>
      <c r="V3560">
        <v>6.80426400544341E-4</v>
      </c>
      <c r="W3560">
        <v>4228316.6679489603</v>
      </c>
      <c r="X3560" t="s">
        <v>28</v>
      </c>
      <c r="Y3560">
        <f>1-256-885-9702</f>
        <v>-10842</v>
      </c>
    </row>
    <row r="3561" spans="1:25" x14ac:dyDescent="0.35">
      <c r="A3561">
        <v>41.1287039283201</v>
      </c>
      <c r="B3561">
        <v>-117.065252138274</v>
      </c>
      <c r="C3561" t="s">
        <v>29</v>
      </c>
      <c r="D3561">
        <v>44.387895547199697</v>
      </c>
      <c r="E3561">
        <v>9</v>
      </c>
      <c r="F3561">
        <v>1127</v>
      </c>
      <c r="G3561">
        <v>1</v>
      </c>
      <c r="H3561">
        <v>3</v>
      </c>
      <c r="I3561">
        <v>2014</v>
      </c>
      <c r="J3561">
        <v>1</v>
      </c>
      <c r="K3561">
        <v>0</v>
      </c>
      <c r="L3561">
        <v>1</v>
      </c>
      <c r="M3561">
        <v>5</v>
      </c>
      <c r="N3561" t="s">
        <v>41</v>
      </c>
      <c r="O3561" t="s">
        <v>30</v>
      </c>
      <c r="P3561">
        <v>9.3242181873280803</v>
      </c>
      <c r="Q3561">
        <v>0.84160522721281905</v>
      </c>
      <c r="R3561">
        <v>7.7925020519741199</v>
      </c>
      <c r="S3561">
        <v>117</v>
      </c>
      <c r="T3561">
        <v>39</v>
      </c>
      <c r="U3561">
        <v>508.174295401454</v>
      </c>
      <c r="V3561">
        <v>4.4365572315882796E-3</v>
      </c>
      <c r="W3561">
        <v>827139.45534981904</v>
      </c>
      <c r="X3561" t="s">
        <v>36</v>
      </c>
      <c r="Y3561">
        <f>1-907-918-1856</f>
        <v>-3680</v>
      </c>
    </row>
    <row r="3562" spans="1:25" x14ac:dyDescent="0.35">
      <c r="A3562">
        <v>35.1332720075496</v>
      </c>
      <c r="B3562">
        <v>-117.383242585049</v>
      </c>
      <c r="C3562" t="s">
        <v>29</v>
      </c>
      <c r="D3562">
        <v>48.259831611714702</v>
      </c>
      <c r="E3562">
        <v>9</v>
      </c>
      <c r="F3562">
        <v>2492</v>
      </c>
      <c r="G3562">
        <v>5</v>
      </c>
      <c r="H3562">
        <v>2</v>
      </c>
      <c r="I3562">
        <v>2020</v>
      </c>
      <c r="J3562">
        <v>0</v>
      </c>
      <c r="K3562">
        <v>0</v>
      </c>
      <c r="L3562">
        <v>1</v>
      </c>
      <c r="M3562">
        <v>10</v>
      </c>
      <c r="N3562" t="s">
        <v>37</v>
      </c>
      <c r="O3562" t="s">
        <v>27</v>
      </c>
      <c r="P3562">
        <v>11.2071294211871</v>
      </c>
      <c r="Q3562">
        <v>2.0098640987134901</v>
      </c>
      <c r="R3562">
        <v>8.5644561366384</v>
      </c>
      <c r="S3562">
        <v>121</v>
      </c>
      <c r="T3562">
        <v>54</v>
      </c>
      <c r="U3562">
        <v>684.18315810995796</v>
      </c>
      <c r="V3562">
        <v>4.0128410914927696E-3</v>
      </c>
      <c r="W3562">
        <v>2100013.11185356</v>
      </c>
      <c r="X3562" t="s">
        <v>43</v>
      </c>
      <c r="Y3562">
        <f>1-767-665-1155</f>
        <v>-2586</v>
      </c>
    </row>
    <row r="3563" spans="1:25" x14ac:dyDescent="0.35">
      <c r="A3563">
        <v>40.697024200361099</v>
      </c>
      <c r="B3563">
        <v>-123.67848828045901</v>
      </c>
      <c r="C3563" t="s">
        <v>29</v>
      </c>
      <c r="D3563">
        <v>34.841182680416701</v>
      </c>
      <c r="E3563">
        <v>4</v>
      </c>
      <c r="F3563">
        <v>4343</v>
      </c>
      <c r="G3563">
        <v>2</v>
      </c>
      <c r="H3563">
        <v>1</v>
      </c>
      <c r="I3563">
        <v>1998</v>
      </c>
      <c r="J3563">
        <v>1</v>
      </c>
      <c r="K3563">
        <v>1</v>
      </c>
      <c r="L3563">
        <v>1</v>
      </c>
      <c r="M3563">
        <v>10</v>
      </c>
      <c r="N3563" t="s">
        <v>41</v>
      </c>
      <c r="O3563" t="s">
        <v>30</v>
      </c>
      <c r="P3563">
        <v>12.9047252881704</v>
      </c>
      <c r="Q3563">
        <v>2.3117173529616699</v>
      </c>
      <c r="R3563">
        <v>0.73822368911137204</v>
      </c>
      <c r="S3563">
        <v>118</v>
      </c>
      <c r="T3563">
        <v>27</v>
      </c>
      <c r="U3563">
        <v>242.91038742221099</v>
      </c>
      <c r="V3563">
        <v>2.3025558369790399E-3</v>
      </c>
      <c r="W3563">
        <v>1365655.23028914</v>
      </c>
      <c r="X3563" t="s">
        <v>28</v>
      </c>
      <c r="Y3563">
        <f>1-290-865-7627</f>
        <v>-8781</v>
      </c>
    </row>
    <row r="3564" spans="1:25" x14ac:dyDescent="0.35">
      <c r="A3564">
        <v>32.7921423443142</v>
      </c>
      <c r="B3564">
        <v>-115.93267209682401</v>
      </c>
      <c r="C3564" t="s">
        <v>29</v>
      </c>
      <c r="D3564">
        <v>25.260967748147799</v>
      </c>
      <c r="E3564">
        <v>1</v>
      </c>
      <c r="F3564">
        <v>2724</v>
      </c>
      <c r="G3564">
        <v>5</v>
      </c>
      <c r="H3564">
        <v>1</v>
      </c>
      <c r="I3564">
        <v>2009</v>
      </c>
      <c r="J3564">
        <v>1</v>
      </c>
      <c r="K3564">
        <v>1</v>
      </c>
      <c r="L3564">
        <v>1</v>
      </c>
      <c r="M3564">
        <v>11</v>
      </c>
      <c r="N3564" t="s">
        <v>26</v>
      </c>
      <c r="O3564" t="s">
        <v>32</v>
      </c>
      <c r="P3564">
        <v>13.2708142788071</v>
      </c>
      <c r="Q3564">
        <v>1.10221476127774</v>
      </c>
      <c r="R3564">
        <v>7.3782737374596898</v>
      </c>
      <c r="S3564">
        <v>179</v>
      </c>
      <c r="T3564">
        <v>67</v>
      </c>
      <c r="U3564">
        <v>831.44557464661</v>
      </c>
      <c r="V3564">
        <v>4.0381791483113001E-3</v>
      </c>
      <c r="W3564">
        <v>2816370.5549941901</v>
      </c>
      <c r="X3564" t="s">
        <v>39</v>
      </c>
      <c r="Y3564">
        <f>1-268-160-9493</f>
        <v>-9920</v>
      </c>
    </row>
    <row r="3565" spans="1:25" x14ac:dyDescent="0.35">
      <c r="A3565">
        <v>41.205793260976598</v>
      </c>
      <c r="B3565">
        <v>-119.21006132396001</v>
      </c>
      <c r="C3565" t="s">
        <v>29</v>
      </c>
      <c r="D3565">
        <v>42.3715030933893</v>
      </c>
      <c r="E3565">
        <v>5</v>
      </c>
      <c r="F3565">
        <v>748</v>
      </c>
      <c r="G3565">
        <v>5</v>
      </c>
      <c r="H3565">
        <v>2</v>
      </c>
      <c r="I3565">
        <v>1953</v>
      </c>
      <c r="J3565">
        <v>0</v>
      </c>
      <c r="K3565">
        <v>1</v>
      </c>
      <c r="L3565">
        <v>0</v>
      </c>
      <c r="M3565">
        <v>3</v>
      </c>
      <c r="N3565" t="s">
        <v>41</v>
      </c>
      <c r="O3565" t="s">
        <v>27</v>
      </c>
      <c r="P3565">
        <v>4.2091355194937998</v>
      </c>
      <c r="Q3565">
        <v>1.96007699632726</v>
      </c>
      <c r="R3565">
        <v>5.29046805442007</v>
      </c>
      <c r="S3565">
        <v>169</v>
      </c>
      <c r="T3565">
        <v>59</v>
      </c>
      <c r="U3565">
        <v>706.25484335190004</v>
      </c>
      <c r="V3565">
        <v>4.0106951871657697E-3</v>
      </c>
      <c r="W3565">
        <v>839641.28931005695</v>
      </c>
      <c r="X3565" t="s">
        <v>31</v>
      </c>
      <c r="Y3565">
        <f>1-353-934-1945</f>
        <v>-3231</v>
      </c>
    </row>
    <row r="3566" spans="1:25" x14ac:dyDescent="0.35">
      <c r="A3566">
        <v>41.974439428591801</v>
      </c>
      <c r="B3566">
        <v>-117.749697599127</v>
      </c>
      <c r="C3566" t="s">
        <v>29</v>
      </c>
      <c r="D3566">
        <v>18.518516770227599</v>
      </c>
      <c r="E3566">
        <v>1</v>
      </c>
      <c r="F3566">
        <v>4005</v>
      </c>
      <c r="G3566">
        <v>3</v>
      </c>
      <c r="H3566">
        <v>3</v>
      </c>
      <c r="I3566">
        <v>1955</v>
      </c>
      <c r="J3566">
        <v>0</v>
      </c>
      <c r="K3566">
        <v>1</v>
      </c>
      <c r="L3566">
        <v>0</v>
      </c>
      <c r="M3566">
        <v>8</v>
      </c>
      <c r="N3566" t="s">
        <v>35</v>
      </c>
      <c r="O3566" t="s">
        <v>32</v>
      </c>
      <c r="P3566">
        <v>6.2575985449297296</v>
      </c>
      <c r="Q3566">
        <v>0.99542752914645205</v>
      </c>
      <c r="R3566">
        <v>0.97511019869563298</v>
      </c>
      <c r="S3566">
        <v>32</v>
      </c>
      <c r="T3566">
        <v>58</v>
      </c>
      <c r="U3566">
        <v>624.21586701335696</v>
      </c>
      <c r="V3566">
        <v>1.9975031210986201E-3</v>
      </c>
      <c r="W3566">
        <v>2820770.5869151698</v>
      </c>
      <c r="X3566" t="s">
        <v>38</v>
      </c>
      <c r="Y3566">
        <f>1-887-526-4131</f>
        <v>-5543</v>
      </c>
    </row>
    <row r="3567" spans="1:25" x14ac:dyDescent="0.35">
      <c r="A3567">
        <v>37.595037604736902</v>
      </c>
      <c r="B3567">
        <v>-119.263018437</v>
      </c>
      <c r="C3567" t="s">
        <v>25</v>
      </c>
      <c r="D3567">
        <v>29.360330894990302</v>
      </c>
      <c r="E3567">
        <v>5</v>
      </c>
      <c r="F3567">
        <v>4892</v>
      </c>
      <c r="G3567">
        <v>4</v>
      </c>
      <c r="H3567">
        <v>2</v>
      </c>
      <c r="I3567">
        <v>2000</v>
      </c>
      <c r="J3567">
        <v>1</v>
      </c>
      <c r="K3567">
        <v>0</v>
      </c>
      <c r="L3567">
        <v>1</v>
      </c>
      <c r="M3567">
        <v>11</v>
      </c>
      <c r="N3567" t="s">
        <v>41</v>
      </c>
      <c r="O3567" t="s">
        <v>30</v>
      </c>
      <c r="P3567">
        <v>13.736856395453399</v>
      </c>
      <c r="Q3567">
        <v>2.1024368263153499</v>
      </c>
      <c r="R3567">
        <v>0.44621430701269499</v>
      </c>
      <c r="S3567">
        <v>179</v>
      </c>
      <c r="T3567">
        <v>62</v>
      </c>
      <c r="U3567">
        <v>930.02381518100901</v>
      </c>
      <c r="V3567">
        <v>2.2485690923957401E-3</v>
      </c>
      <c r="W3567">
        <v>4947354.1339445002</v>
      </c>
      <c r="X3567" t="s">
        <v>28</v>
      </c>
      <c r="Y3567">
        <f>1-731-347-7439</f>
        <v>-8516</v>
      </c>
    </row>
    <row r="3568" spans="1:25" x14ac:dyDescent="0.35">
      <c r="A3568">
        <v>39.478149655158198</v>
      </c>
      <c r="B3568">
        <v>-114.228410591659</v>
      </c>
      <c r="C3568" t="s">
        <v>25</v>
      </c>
      <c r="D3568">
        <v>19.077771751638998</v>
      </c>
      <c r="E3568">
        <v>2</v>
      </c>
      <c r="F3568">
        <v>2528</v>
      </c>
      <c r="G3568">
        <v>1</v>
      </c>
      <c r="H3568">
        <v>1</v>
      </c>
      <c r="I3568">
        <v>2009</v>
      </c>
      <c r="J3568">
        <v>1</v>
      </c>
      <c r="K3568">
        <v>0</v>
      </c>
      <c r="L3568">
        <v>0</v>
      </c>
      <c r="M3568">
        <v>14</v>
      </c>
      <c r="N3568" t="s">
        <v>37</v>
      </c>
      <c r="O3568" t="s">
        <v>30</v>
      </c>
      <c r="P3568">
        <v>14.488064929229299</v>
      </c>
      <c r="Q3568">
        <v>0.834302313825657</v>
      </c>
      <c r="R3568">
        <v>1.64068841388135</v>
      </c>
      <c r="S3568">
        <v>75</v>
      </c>
      <c r="T3568">
        <v>59</v>
      </c>
      <c r="U3568">
        <v>606.13306603906699</v>
      </c>
      <c r="V3568">
        <v>5.5379746835443003E-3</v>
      </c>
      <c r="W3568">
        <v>1771718.7720739101</v>
      </c>
      <c r="X3568" t="s">
        <v>33</v>
      </c>
      <c r="Y3568">
        <f>1-926-395-6640</f>
        <v>-7960</v>
      </c>
    </row>
    <row r="3569" spans="1:25" x14ac:dyDescent="0.35">
      <c r="A3569">
        <v>37.387502618772103</v>
      </c>
      <c r="B3569">
        <v>-116.973983547529</v>
      </c>
      <c r="C3569" t="s">
        <v>34</v>
      </c>
      <c r="D3569">
        <v>23.5626286739361</v>
      </c>
      <c r="E3569">
        <v>1</v>
      </c>
      <c r="F3569">
        <v>4819</v>
      </c>
      <c r="G3569">
        <v>1</v>
      </c>
      <c r="H3569">
        <v>1</v>
      </c>
      <c r="I3569">
        <v>2007</v>
      </c>
      <c r="J3569">
        <v>0</v>
      </c>
      <c r="K3569">
        <v>0</v>
      </c>
      <c r="L3569">
        <v>1</v>
      </c>
      <c r="M3569">
        <v>13</v>
      </c>
      <c r="N3569" t="s">
        <v>37</v>
      </c>
      <c r="O3569" t="s">
        <v>32</v>
      </c>
      <c r="P3569">
        <v>8.8080452113235506</v>
      </c>
      <c r="Q3569">
        <v>0.60760247045244498</v>
      </c>
      <c r="R3569">
        <v>1.7545274165897999</v>
      </c>
      <c r="S3569">
        <v>174</v>
      </c>
      <c r="T3569">
        <v>32</v>
      </c>
      <c r="U3569">
        <v>671.62343945036798</v>
      </c>
      <c r="V3569">
        <v>2.6976551151691201E-3</v>
      </c>
      <c r="W3569">
        <v>3314212.8172984701</v>
      </c>
      <c r="X3569" t="s">
        <v>33</v>
      </c>
      <c r="Y3569">
        <f>1-502-914-2009</f>
        <v>-3424</v>
      </c>
    </row>
    <row r="3570" spans="1:25" x14ac:dyDescent="0.35">
      <c r="A3570">
        <v>37.674144493025203</v>
      </c>
      <c r="B3570">
        <v>-122.444372545302</v>
      </c>
      <c r="C3570" t="s">
        <v>34</v>
      </c>
      <c r="D3570">
        <v>46.747126461987698</v>
      </c>
      <c r="E3570">
        <v>6</v>
      </c>
      <c r="F3570">
        <v>4744</v>
      </c>
      <c r="G3570">
        <v>3</v>
      </c>
      <c r="H3570">
        <v>1</v>
      </c>
      <c r="I3570">
        <v>1993</v>
      </c>
      <c r="J3570">
        <v>0</v>
      </c>
      <c r="K3570">
        <v>1</v>
      </c>
      <c r="L3570">
        <v>0</v>
      </c>
      <c r="M3570">
        <v>4</v>
      </c>
      <c r="N3570" t="s">
        <v>41</v>
      </c>
      <c r="O3570" t="s">
        <v>32</v>
      </c>
      <c r="P3570">
        <v>10.2361834982184</v>
      </c>
      <c r="Q3570">
        <v>1.0369097682835</v>
      </c>
      <c r="R3570">
        <v>5.8712612482993798</v>
      </c>
      <c r="S3570">
        <v>14</v>
      </c>
      <c r="T3570">
        <v>71</v>
      </c>
      <c r="U3570">
        <v>718.43456301095296</v>
      </c>
      <c r="V3570">
        <v>8.4317032040472095E-4</v>
      </c>
      <c r="W3570">
        <v>3673009.04143736</v>
      </c>
      <c r="X3570" t="s">
        <v>33</v>
      </c>
      <c r="Y3570">
        <f>1-397-690-5947</f>
        <v>-7033</v>
      </c>
    </row>
    <row r="3571" spans="1:25" x14ac:dyDescent="0.35">
      <c r="A3571">
        <v>39.689427865431597</v>
      </c>
      <c r="B3571">
        <v>-116.04838001111</v>
      </c>
      <c r="C3571" t="s">
        <v>34</v>
      </c>
      <c r="D3571">
        <v>9.3639137377527</v>
      </c>
      <c r="E3571">
        <v>0</v>
      </c>
      <c r="F3571">
        <v>2840</v>
      </c>
      <c r="G3571">
        <v>3</v>
      </c>
      <c r="H3571">
        <v>3</v>
      </c>
      <c r="I3571">
        <v>2006</v>
      </c>
      <c r="J3571">
        <v>0</v>
      </c>
      <c r="K3571">
        <v>0</v>
      </c>
      <c r="L3571">
        <v>1</v>
      </c>
      <c r="M3571">
        <v>14</v>
      </c>
      <c r="N3571" t="s">
        <v>26</v>
      </c>
      <c r="O3571" t="s">
        <v>32</v>
      </c>
      <c r="P3571">
        <v>9.7242793820473903</v>
      </c>
      <c r="Q3571">
        <v>0.58671025134708799</v>
      </c>
      <c r="R3571">
        <v>9.3820905396626308</v>
      </c>
      <c r="S3571">
        <v>61</v>
      </c>
      <c r="T3571">
        <v>74</v>
      </c>
      <c r="U3571">
        <v>397.35600915013401</v>
      </c>
      <c r="V3571">
        <v>4.9295774647887302E-3</v>
      </c>
      <c r="W3571">
        <v>1431962.41043784</v>
      </c>
      <c r="X3571" t="s">
        <v>43</v>
      </c>
      <c r="Y3571">
        <f>1-804-264-3140</f>
        <v>-4207</v>
      </c>
    </row>
    <row r="3572" spans="1:25" x14ac:dyDescent="0.35">
      <c r="A3572">
        <v>34.388996036399199</v>
      </c>
      <c r="B3572">
        <v>-116.92800770234101</v>
      </c>
      <c r="C3572" t="s">
        <v>34</v>
      </c>
      <c r="D3572">
        <v>1.0185513095957199</v>
      </c>
      <c r="E3572">
        <v>2</v>
      </c>
      <c r="F3572">
        <v>3418</v>
      </c>
      <c r="G3572">
        <v>1</v>
      </c>
      <c r="H3572">
        <v>2</v>
      </c>
      <c r="I3572">
        <v>2000</v>
      </c>
      <c r="J3572">
        <v>0</v>
      </c>
      <c r="K3572">
        <v>0</v>
      </c>
      <c r="L3572">
        <v>1</v>
      </c>
      <c r="M3572">
        <v>6</v>
      </c>
      <c r="N3572" t="s">
        <v>37</v>
      </c>
      <c r="O3572" t="s">
        <v>30</v>
      </c>
      <c r="P3572">
        <v>6.5580706320152196</v>
      </c>
      <c r="Q3572">
        <v>2.49080225645007</v>
      </c>
      <c r="R3572">
        <v>3.2613789660963999</v>
      </c>
      <c r="S3572">
        <v>5</v>
      </c>
      <c r="T3572">
        <v>41</v>
      </c>
      <c r="U3572">
        <v>564.11520523588501</v>
      </c>
      <c r="V3572">
        <v>1.7554125219426499E-3</v>
      </c>
      <c r="W3572">
        <v>2063819.6601280801</v>
      </c>
      <c r="X3572" t="s">
        <v>36</v>
      </c>
      <c r="Y3572">
        <f>1-434-169-5702</f>
        <v>-6304</v>
      </c>
    </row>
    <row r="3573" spans="1:25" x14ac:dyDescent="0.35">
      <c r="A3573">
        <v>35.939887876989502</v>
      </c>
      <c r="B3573">
        <v>-123.635900744132</v>
      </c>
      <c r="C3573" t="s">
        <v>25</v>
      </c>
      <c r="D3573">
        <v>33.910185856281103</v>
      </c>
      <c r="E3573">
        <v>5</v>
      </c>
      <c r="F3573">
        <v>2876</v>
      </c>
      <c r="G3573">
        <v>3</v>
      </c>
      <c r="H3573">
        <v>3</v>
      </c>
      <c r="I3573">
        <v>1957</v>
      </c>
      <c r="J3573">
        <v>1</v>
      </c>
      <c r="K3573">
        <v>0</v>
      </c>
      <c r="L3573">
        <v>0</v>
      </c>
      <c r="M3573">
        <v>13</v>
      </c>
      <c r="N3573" t="s">
        <v>41</v>
      </c>
      <c r="O3573" t="s">
        <v>30</v>
      </c>
      <c r="P3573">
        <v>4.9546717757484</v>
      </c>
      <c r="Q3573">
        <v>2.1428083209452899</v>
      </c>
      <c r="R3573">
        <v>4.2222438809659</v>
      </c>
      <c r="S3573">
        <v>99</v>
      </c>
      <c r="T3573">
        <v>65</v>
      </c>
      <c r="U3573">
        <v>856.45161388930399</v>
      </c>
      <c r="V3573">
        <v>4.5201668984700899E-3</v>
      </c>
      <c r="W3573">
        <v>2564157.8981329799</v>
      </c>
      <c r="X3573" t="s">
        <v>42</v>
      </c>
      <c r="Y3573">
        <f>1-778-103-1355</f>
        <v>-2235</v>
      </c>
    </row>
    <row r="3574" spans="1:25" x14ac:dyDescent="0.35">
      <c r="A3574">
        <v>38.586263229393801</v>
      </c>
      <c r="B3574">
        <v>-123.684553456484</v>
      </c>
      <c r="C3574" t="s">
        <v>34</v>
      </c>
      <c r="D3574">
        <v>15.7840038027304</v>
      </c>
      <c r="E3574">
        <v>9</v>
      </c>
      <c r="F3574">
        <v>757</v>
      </c>
      <c r="G3574">
        <v>2</v>
      </c>
      <c r="H3574">
        <v>2</v>
      </c>
      <c r="I3574">
        <v>2007</v>
      </c>
      <c r="J3574">
        <v>1</v>
      </c>
      <c r="K3574">
        <v>0</v>
      </c>
      <c r="L3574">
        <v>0</v>
      </c>
      <c r="M3574">
        <v>9</v>
      </c>
      <c r="N3574" t="s">
        <v>26</v>
      </c>
      <c r="O3574" t="s">
        <v>27</v>
      </c>
      <c r="P3574">
        <v>5.3534730657376404</v>
      </c>
      <c r="Q3574">
        <v>1.69104333270479</v>
      </c>
      <c r="R3574">
        <v>2.6976952910099898</v>
      </c>
      <c r="S3574">
        <v>109</v>
      </c>
      <c r="T3574">
        <v>78</v>
      </c>
      <c r="U3574">
        <v>275.39873000644002</v>
      </c>
      <c r="V3574">
        <v>1.1889035667107001E-2</v>
      </c>
      <c r="W3574">
        <v>436510.89499344898</v>
      </c>
      <c r="X3574" t="s">
        <v>33</v>
      </c>
      <c r="Y3574">
        <f>1-475-819-9790</f>
        <v>-11083</v>
      </c>
    </row>
    <row r="3575" spans="1:25" x14ac:dyDescent="0.35">
      <c r="A3575">
        <v>33.767816393108603</v>
      </c>
      <c r="B3575">
        <v>-118.648746670476</v>
      </c>
      <c r="C3575" t="s">
        <v>29</v>
      </c>
      <c r="D3575">
        <v>47.7386934682891</v>
      </c>
      <c r="E3575">
        <v>3</v>
      </c>
      <c r="F3575">
        <v>2190</v>
      </c>
      <c r="G3575">
        <v>4</v>
      </c>
      <c r="H3575">
        <v>2</v>
      </c>
      <c r="I3575">
        <v>2004</v>
      </c>
      <c r="J3575">
        <v>0</v>
      </c>
      <c r="K3575">
        <v>0</v>
      </c>
      <c r="L3575">
        <v>0</v>
      </c>
      <c r="M3575">
        <v>7</v>
      </c>
      <c r="N3575" t="s">
        <v>26</v>
      </c>
      <c r="O3575" t="s">
        <v>30</v>
      </c>
      <c r="P3575">
        <v>5.04568973885796</v>
      </c>
      <c r="Q3575">
        <v>1.2779794369084201</v>
      </c>
      <c r="R3575">
        <v>2.8953702193634099</v>
      </c>
      <c r="S3575">
        <v>139</v>
      </c>
      <c r="T3575">
        <v>40</v>
      </c>
      <c r="U3575">
        <v>944.76840297429499</v>
      </c>
      <c r="V3575">
        <v>3.1963470319634701E-3</v>
      </c>
      <c r="W3575">
        <v>2415725.2368284799</v>
      </c>
      <c r="X3575" t="s">
        <v>31</v>
      </c>
      <c r="Y3575">
        <f>1-724-767-5447</f>
        <v>-6937</v>
      </c>
    </row>
    <row r="3576" spans="1:25" x14ac:dyDescent="0.35">
      <c r="A3576">
        <v>34.286006404943201</v>
      </c>
      <c r="B3576">
        <v>-118.065237499491</v>
      </c>
      <c r="C3576" t="s">
        <v>34</v>
      </c>
      <c r="D3576">
        <v>19.959657176990099</v>
      </c>
      <c r="E3576">
        <v>0</v>
      </c>
      <c r="F3576">
        <v>3842</v>
      </c>
      <c r="G3576">
        <v>1</v>
      </c>
      <c r="H3576">
        <v>1</v>
      </c>
      <c r="I3576">
        <v>1961</v>
      </c>
      <c r="J3576">
        <v>0</v>
      </c>
      <c r="K3576">
        <v>1</v>
      </c>
      <c r="L3576">
        <v>0</v>
      </c>
      <c r="M3576">
        <v>14</v>
      </c>
      <c r="N3576" t="s">
        <v>26</v>
      </c>
      <c r="O3576" t="s">
        <v>32</v>
      </c>
      <c r="P3576">
        <v>10.7567794739515</v>
      </c>
      <c r="Q3576">
        <v>2.0043154589368899</v>
      </c>
      <c r="R3576">
        <v>3.6410183952856201</v>
      </c>
      <c r="S3576">
        <v>38</v>
      </c>
      <c r="T3576">
        <v>27</v>
      </c>
      <c r="U3576">
        <v>231.07441079788401</v>
      </c>
      <c r="V3576">
        <v>3.6439354502863001E-3</v>
      </c>
      <c r="W3576">
        <v>1005596.57133593</v>
      </c>
      <c r="X3576" t="s">
        <v>28</v>
      </c>
      <c r="Y3576">
        <f>1-697-845-8516</f>
        <v>-10057</v>
      </c>
    </row>
    <row r="3577" spans="1:25" x14ac:dyDescent="0.35">
      <c r="A3577">
        <v>35.985262950479502</v>
      </c>
      <c r="B3577">
        <v>-115.784368083654</v>
      </c>
      <c r="C3577" t="s">
        <v>34</v>
      </c>
      <c r="D3577">
        <v>26.9668797963195</v>
      </c>
      <c r="E3577">
        <v>1</v>
      </c>
      <c r="F3577">
        <v>901</v>
      </c>
      <c r="G3577">
        <v>2</v>
      </c>
      <c r="H3577">
        <v>1</v>
      </c>
      <c r="I3577">
        <v>2015</v>
      </c>
      <c r="J3577">
        <v>0</v>
      </c>
      <c r="K3577">
        <v>1</v>
      </c>
      <c r="L3577">
        <v>0</v>
      </c>
      <c r="M3577">
        <v>6</v>
      </c>
      <c r="N3577" t="s">
        <v>35</v>
      </c>
      <c r="O3577" t="s">
        <v>32</v>
      </c>
      <c r="P3577">
        <v>9.1376070034264103</v>
      </c>
      <c r="Q3577">
        <v>1.97716649963419</v>
      </c>
      <c r="R3577">
        <v>1.56629666468983</v>
      </c>
      <c r="S3577">
        <v>26</v>
      </c>
      <c r="T3577">
        <v>32</v>
      </c>
      <c r="U3577">
        <v>303.85027045236399</v>
      </c>
      <c r="V3577">
        <v>6.6592674805771301E-3</v>
      </c>
      <c r="W3577">
        <v>596626.67970666196</v>
      </c>
      <c r="X3577" t="s">
        <v>44</v>
      </c>
      <c r="Y3577">
        <f>1-472-786-2271</f>
        <v>-3528</v>
      </c>
    </row>
    <row r="3578" spans="1:25" x14ac:dyDescent="0.35">
      <c r="A3578">
        <v>35.113755238998898</v>
      </c>
      <c r="B3578">
        <v>-122.396792240468</v>
      </c>
      <c r="C3578" t="s">
        <v>34</v>
      </c>
      <c r="D3578">
        <v>10.5010181726398</v>
      </c>
      <c r="E3578">
        <v>4</v>
      </c>
      <c r="F3578">
        <v>833</v>
      </c>
      <c r="G3578">
        <v>3</v>
      </c>
      <c r="H3578">
        <v>3</v>
      </c>
      <c r="I3578">
        <v>2003</v>
      </c>
      <c r="J3578">
        <v>0</v>
      </c>
      <c r="K3578">
        <v>1</v>
      </c>
      <c r="L3578">
        <v>0</v>
      </c>
      <c r="M3578">
        <v>9</v>
      </c>
      <c r="N3578" t="s">
        <v>35</v>
      </c>
      <c r="O3578" t="s">
        <v>27</v>
      </c>
      <c r="P3578">
        <v>8.7113388200608597</v>
      </c>
      <c r="Q3578">
        <v>0.54552001124983396</v>
      </c>
      <c r="R3578">
        <v>3.9792208506598601</v>
      </c>
      <c r="S3578">
        <v>115</v>
      </c>
      <c r="T3578">
        <v>75</v>
      </c>
      <c r="U3578">
        <v>819.51741521122199</v>
      </c>
      <c r="V3578">
        <v>1.0804321728691399E-2</v>
      </c>
      <c r="W3578">
        <v>1011757.45944658</v>
      </c>
      <c r="X3578" t="s">
        <v>42</v>
      </c>
      <c r="Y3578">
        <f>1-397-512-2480</f>
        <v>-3388</v>
      </c>
    </row>
    <row r="3579" spans="1:25" x14ac:dyDescent="0.35">
      <c r="A3579">
        <v>35.777322720293398</v>
      </c>
      <c r="B3579">
        <v>-117.713198895358</v>
      </c>
      <c r="C3579" t="s">
        <v>34</v>
      </c>
      <c r="D3579">
        <v>24.521245071518798</v>
      </c>
      <c r="E3579">
        <v>6</v>
      </c>
      <c r="F3579">
        <v>1221</v>
      </c>
      <c r="G3579">
        <v>3</v>
      </c>
      <c r="H3579">
        <v>1</v>
      </c>
      <c r="I3579">
        <v>2019</v>
      </c>
      <c r="J3579">
        <v>1</v>
      </c>
      <c r="K3579">
        <v>0</v>
      </c>
      <c r="L3579">
        <v>1</v>
      </c>
      <c r="M3579">
        <v>10</v>
      </c>
      <c r="N3579" t="s">
        <v>41</v>
      </c>
      <c r="O3579" t="s">
        <v>30</v>
      </c>
      <c r="P3579">
        <v>11.9450347233711</v>
      </c>
      <c r="Q3579">
        <v>2.3072262623832298</v>
      </c>
      <c r="R3579">
        <v>2.7585267636809898</v>
      </c>
      <c r="S3579">
        <v>42</v>
      </c>
      <c r="T3579">
        <v>76</v>
      </c>
      <c r="U3579">
        <v>870.73680041037903</v>
      </c>
      <c r="V3579">
        <v>8.1900081900081901E-3</v>
      </c>
      <c r="W3579">
        <v>1400087.8921429201</v>
      </c>
      <c r="X3579" t="s">
        <v>38</v>
      </c>
      <c r="Y3579">
        <f>1-321-721-2812</f>
        <v>-3853</v>
      </c>
    </row>
    <row r="3580" spans="1:25" x14ac:dyDescent="0.35">
      <c r="A3580">
        <v>34.548732182626601</v>
      </c>
      <c r="B3580">
        <v>-117.173364371809</v>
      </c>
      <c r="C3580" t="s">
        <v>34</v>
      </c>
      <c r="D3580">
        <v>42.114093795680198</v>
      </c>
      <c r="E3580">
        <v>2</v>
      </c>
      <c r="F3580">
        <v>4500</v>
      </c>
      <c r="G3580">
        <v>2</v>
      </c>
      <c r="H3580">
        <v>1</v>
      </c>
      <c r="I3580">
        <v>2002</v>
      </c>
      <c r="J3580">
        <v>0</v>
      </c>
      <c r="K3580">
        <v>0</v>
      </c>
      <c r="L3580">
        <v>0</v>
      </c>
      <c r="M3580">
        <v>13</v>
      </c>
      <c r="N3580" t="s">
        <v>35</v>
      </c>
      <c r="O3580" t="s">
        <v>27</v>
      </c>
      <c r="P3580">
        <v>8.2454491528803597</v>
      </c>
      <c r="Q3580">
        <v>2.0357139890670402</v>
      </c>
      <c r="R3580">
        <v>2.0122572084925001</v>
      </c>
      <c r="S3580">
        <v>124</v>
      </c>
      <c r="T3580">
        <v>51</v>
      </c>
      <c r="U3580">
        <v>679.68652510191703</v>
      </c>
      <c r="V3580">
        <v>2.8888888888888801E-3</v>
      </c>
      <c r="W3580">
        <v>3225648.4557239399</v>
      </c>
      <c r="X3580" t="s">
        <v>40</v>
      </c>
      <c r="Y3580">
        <f>1-231-783-6418</f>
        <v>-7431</v>
      </c>
    </row>
    <row r="3581" spans="1:25" x14ac:dyDescent="0.35">
      <c r="A3581">
        <v>35.559325428546799</v>
      </c>
      <c r="B3581">
        <v>-115.404248841517</v>
      </c>
      <c r="C3581" t="s">
        <v>34</v>
      </c>
      <c r="D3581">
        <v>34.202635442462402</v>
      </c>
      <c r="E3581">
        <v>3</v>
      </c>
      <c r="F3581">
        <v>3058</v>
      </c>
      <c r="G3581">
        <v>1</v>
      </c>
      <c r="H3581">
        <v>2</v>
      </c>
      <c r="I3581">
        <v>2012</v>
      </c>
      <c r="J3581">
        <v>1</v>
      </c>
      <c r="K3581">
        <v>0</v>
      </c>
      <c r="L3581">
        <v>1</v>
      </c>
      <c r="M3581">
        <v>3</v>
      </c>
      <c r="N3581" t="s">
        <v>37</v>
      </c>
      <c r="O3581" t="s">
        <v>32</v>
      </c>
      <c r="P3581">
        <v>8.4892927864747492</v>
      </c>
      <c r="Q3581">
        <v>1.1243701835805799</v>
      </c>
      <c r="R3581">
        <v>1.7915711826973599</v>
      </c>
      <c r="S3581">
        <v>54</v>
      </c>
      <c r="T3581">
        <v>22</v>
      </c>
      <c r="U3581">
        <v>624.97823557882703</v>
      </c>
      <c r="V3581">
        <v>9.8103335513407392E-4</v>
      </c>
      <c r="W3581">
        <v>2123225.3510061498</v>
      </c>
      <c r="X3581" t="s">
        <v>33</v>
      </c>
      <c r="Y3581">
        <f>1-335-419-5829</f>
        <v>-6582</v>
      </c>
    </row>
    <row r="3582" spans="1:25" x14ac:dyDescent="0.35">
      <c r="A3582">
        <v>37.693140945690701</v>
      </c>
      <c r="B3582">
        <v>-118.620242845139</v>
      </c>
      <c r="C3582" t="s">
        <v>25</v>
      </c>
      <c r="D3582">
        <v>9.0232459810146199</v>
      </c>
      <c r="E3582">
        <v>5</v>
      </c>
      <c r="F3582">
        <v>1379</v>
      </c>
      <c r="G3582">
        <v>2</v>
      </c>
      <c r="H3582">
        <v>1</v>
      </c>
      <c r="I3582">
        <v>2002</v>
      </c>
      <c r="J3582">
        <v>1</v>
      </c>
      <c r="K3582">
        <v>1</v>
      </c>
      <c r="L3582">
        <v>0</v>
      </c>
      <c r="M3582">
        <v>4</v>
      </c>
      <c r="N3582" t="s">
        <v>41</v>
      </c>
      <c r="O3582" t="s">
        <v>30</v>
      </c>
      <c r="P3582">
        <v>4.8011040141960404</v>
      </c>
      <c r="Q3582">
        <v>1.0648208210755501</v>
      </c>
      <c r="R3582">
        <v>1.42507209580533E-2</v>
      </c>
      <c r="S3582">
        <v>64</v>
      </c>
      <c r="T3582">
        <v>36</v>
      </c>
      <c r="U3582">
        <v>414.70886031387403</v>
      </c>
      <c r="V3582">
        <v>2.9006526468455399E-3</v>
      </c>
      <c r="W3582">
        <v>890620.95917449601</v>
      </c>
      <c r="X3582" t="s">
        <v>40</v>
      </c>
      <c r="Y3582">
        <f>1-898-138-8376</f>
        <v>-9411</v>
      </c>
    </row>
    <row r="3583" spans="1:25" x14ac:dyDescent="0.35">
      <c r="A3583">
        <v>32.895415830974997</v>
      </c>
      <c r="B3583">
        <v>-123.197063234905</v>
      </c>
      <c r="C3583" t="s">
        <v>29</v>
      </c>
      <c r="D3583">
        <v>3.69408812198487</v>
      </c>
      <c r="E3583">
        <v>4</v>
      </c>
      <c r="F3583">
        <v>663</v>
      </c>
      <c r="G3583">
        <v>1</v>
      </c>
      <c r="H3583">
        <v>1</v>
      </c>
      <c r="I3583">
        <v>1961</v>
      </c>
      <c r="J3583">
        <v>1</v>
      </c>
      <c r="K3583">
        <v>0</v>
      </c>
      <c r="L3583">
        <v>0</v>
      </c>
      <c r="M3583">
        <v>12</v>
      </c>
      <c r="N3583" t="s">
        <v>37</v>
      </c>
      <c r="O3583" t="s">
        <v>30</v>
      </c>
      <c r="P3583">
        <v>5.5179998336864502</v>
      </c>
      <c r="Q3583">
        <v>1.8326880520619899</v>
      </c>
      <c r="R3583">
        <v>2.4526652145723</v>
      </c>
      <c r="S3583">
        <v>58</v>
      </c>
      <c r="T3583">
        <v>61</v>
      </c>
      <c r="U3583">
        <v>612.60911754692597</v>
      </c>
      <c r="V3583">
        <v>1.8099547511312201E-2</v>
      </c>
      <c r="W3583">
        <v>398983.04604722798</v>
      </c>
      <c r="X3583" t="s">
        <v>40</v>
      </c>
      <c r="Y3583">
        <f>1-860-197-5519</f>
        <v>-6575</v>
      </c>
    </row>
    <row r="3584" spans="1:25" x14ac:dyDescent="0.35">
      <c r="A3584">
        <v>39.938059417062902</v>
      </c>
      <c r="B3584">
        <v>-117.22752905692801</v>
      </c>
      <c r="C3584" t="s">
        <v>34</v>
      </c>
      <c r="D3584">
        <v>40.124945363929299</v>
      </c>
      <c r="E3584">
        <v>1</v>
      </c>
      <c r="F3584">
        <v>4281</v>
      </c>
      <c r="G3584">
        <v>5</v>
      </c>
      <c r="H3584">
        <v>2</v>
      </c>
      <c r="I3584">
        <v>1987</v>
      </c>
      <c r="J3584">
        <v>0</v>
      </c>
      <c r="K3584">
        <v>0</v>
      </c>
      <c r="L3584">
        <v>1</v>
      </c>
      <c r="M3584">
        <v>6</v>
      </c>
      <c r="N3584" t="s">
        <v>26</v>
      </c>
      <c r="O3584" t="s">
        <v>32</v>
      </c>
      <c r="P3584">
        <v>2.5306831053468701</v>
      </c>
      <c r="Q3584">
        <v>0.76853649367191101</v>
      </c>
      <c r="R3584">
        <v>0.178053041822827</v>
      </c>
      <c r="S3584">
        <v>133</v>
      </c>
      <c r="T3584">
        <v>64</v>
      </c>
      <c r="U3584">
        <v>728.79416343524997</v>
      </c>
      <c r="V3584">
        <v>1.40154169586545E-3</v>
      </c>
      <c r="W3584">
        <v>3409577.5355867199</v>
      </c>
      <c r="X3584" t="s">
        <v>44</v>
      </c>
      <c r="Y3584">
        <f>1-951-251-2480</f>
        <v>-3681</v>
      </c>
    </row>
    <row r="3585" spans="1:25" x14ac:dyDescent="0.35">
      <c r="A3585">
        <v>40.467683369711402</v>
      </c>
      <c r="B3585">
        <v>-120.398538826254</v>
      </c>
      <c r="C3585" t="s">
        <v>25</v>
      </c>
      <c r="D3585">
        <v>19.414663315551</v>
      </c>
      <c r="E3585">
        <v>1</v>
      </c>
      <c r="F3585">
        <v>4348</v>
      </c>
      <c r="G3585">
        <v>2</v>
      </c>
      <c r="H3585">
        <v>2</v>
      </c>
      <c r="I3585">
        <v>1972</v>
      </c>
      <c r="J3585">
        <v>1</v>
      </c>
      <c r="K3585">
        <v>1</v>
      </c>
      <c r="L3585">
        <v>0</v>
      </c>
      <c r="M3585">
        <v>13</v>
      </c>
      <c r="N3585" t="s">
        <v>26</v>
      </c>
      <c r="O3585" t="s">
        <v>27</v>
      </c>
      <c r="P3585">
        <v>13.2465504369702</v>
      </c>
      <c r="Q3585">
        <v>2.3637048189339098</v>
      </c>
      <c r="R3585">
        <v>4.7463289072943402</v>
      </c>
      <c r="S3585">
        <v>27</v>
      </c>
      <c r="T3585">
        <v>25</v>
      </c>
      <c r="U3585">
        <v>849.672060662852</v>
      </c>
      <c r="V3585">
        <v>2.9898804047838001E-3</v>
      </c>
      <c r="W3585">
        <v>3990580.8260409399</v>
      </c>
      <c r="X3585" t="s">
        <v>31</v>
      </c>
      <c r="Y3585">
        <f>1-423-855-7964</f>
        <v>-9241</v>
      </c>
    </row>
    <row r="3586" spans="1:25" x14ac:dyDescent="0.35">
      <c r="A3586">
        <v>37.783597376196802</v>
      </c>
      <c r="B3586">
        <v>-118.954523022597</v>
      </c>
      <c r="C3586" t="s">
        <v>25</v>
      </c>
      <c r="D3586">
        <v>19.220734571210301</v>
      </c>
      <c r="E3586">
        <v>2</v>
      </c>
      <c r="F3586">
        <v>874</v>
      </c>
      <c r="G3586">
        <v>5</v>
      </c>
      <c r="H3586">
        <v>3</v>
      </c>
      <c r="I3586">
        <v>1984</v>
      </c>
      <c r="J3586">
        <v>1</v>
      </c>
      <c r="K3586">
        <v>0</v>
      </c>
      <c r="L3586">
        <v>1</v>
      </c>
      <c r="M3586">
        <v>4</v>
      </c>
      <c r="N3586" t="s">
        <v>35</v>
      </c>
      <c r="O3586" t="s">
        <v>30</v>
      </c>
      <c r="P3586">
        <v>7.0171713449561999</v>
      </c>
      <c r="Q3586">
        <v>2.2862679086985498</v>
      </c>
      <c r="R3586">
        <v>4.8584762507636503</v>
      </c>
      <c r="S3586">
        <v>165</v>
      </c>
      <c r="T3586">
        <v>29</v>
      </c>
      <c r="U3586">
        <v>289.94759659319499</v>
      </c>
      <c r="V3586">
        <v>4.5766590389016001E-3</v>
      </c>
      <c r="W3586">
        <v>552305.71781505004</v>
      </c>
      <c r="X3586" t="s">
        <v>38</v>
      </c>
      <c r="Y3586">
        <f>1-752-337-2786</f>
        <v>-3874</v>
      </c>
    </row>
    <row r="3587" spans="1:25" x14ac:dyDescent="0.35">
      <c r="A3587">
        <v>35.835495551111897</v>
      </c>
      <c r="B3587">
        <v>-115.576749246868</v>
      </c>
      <c r="C3587" t="s">
        <v>29</v>
      </c>
      <c r="D3587">
        <v>41.070485483763299</v>
      </c>
      <c r="E3587">
        <v>2</v>
      </c>
      <c r="F3587">
        <v>3916</v>
      </c>
      <c r="G3587">
        <v>2</v>
      </c>
      <c r="H3587">
        <v>3</v>
      </c>
      <c r="I3587">
        <v>2006</v>
      </c>
      <c r="J3587">
        <v>1</v>
      </c>
      <c r="K3587">
        <v>0</v>
      </c>
      <c r="L3587">
        <v>1</v>
      </c>
      <c r="M3587">
        <v>9</v>
      </c>
      <c r="N3587" t="s">
        <v>35</v>
      </c>
      <c r="O3587" t="s">
        <v>27</v>
      </c>
      <c r="P3587">
        <v>5.6392793671333603</v>
      </c>
      <c r="Q3587">
        <v>1.7219336916202499</v>
      </c>
      <c r="R3587">
        <v>6.9256035637953399</v>
      </c>
      <c r="S3587">
        <v>22</v>
      </c>
      <c r="T3587">
        <v>61</v>
      </c>
      <c r="U3587">
        <v>220.73369561092801</v>
      </c>
      <c r="V3587">
        <v>2.29826353421859E-3</v>
      </c>
      <c r="W3587">
        <v>1241964.64006244</v>
      </c>
      <c r="X3587" t="s">
        <v>40</v>
      </c>
      <c r="Y3587">
        <f>1-656-173-5228</f>
        <v>-6056</v>
      </c>
    </row>
    <row r="3588" spans="1:25" x14ac:dyDescent="0.35">
      <c r="A3588">
        <v>35.142440268491001</v>
      </c>
      <c r="B3588">
        <v>-120.43962422113999</v>
      </c>
      <c r="C3588" t="s">
        <v>25</v>
      </c>
      <c r="D3588">
        <v>35.561336898364303</v>
      </c>
      <c r="E3588">
        <v>0</v>
      </c>
      <c r="F3588">
        <v>1121</v>
      </c>
      <c r="G3588">
        <v>4</v>
      </c>
      <c r="H3588">
        <v>2</v>
      </c>
      <c r="I3588">
        <v>1970</v>
      </c>
      <c r="J3588">
        <v>0</v>
      </c>
      <c r="K3588">
        <v>1</v>
      </c>
      <c r="L3588">
        <v>0</v>
      </c>
      <c r="M3588">
        <v>11</v>
      </c>
      <c r="N3588" t="s">
        <v>41</v>
      </c>
      <c r="O3588" t="s">
        <v>32</v>
      </c>
      <c r="P3588">
        <v>14.8078214972331</v>
      </c>
      <c r="Q3588">
        <v>1.2027074099110899</v>
      </c>
      <c r="R3588">
        <v>4.2852523535953901</v>
      </c>
      <c r="S3588">
        <v>56</v>
      </c>
      <c r="T3588">
        <v>65</v>
      </c>
      <c r="U3588">
        <v>907.72297691408096</v>
      </c>
      <c r="V3588">
        <v>9.8126672613737705E-3</v>
      </c>
      <c r="W3588">
        <v>1309598.2157037901</v>
      </c>
      <c r="X3588" t="s">
        <v>44</v>
      </c>
      <c r="Y3588">
        <f>1-303-913-6139</f>
        <v>-7354</v>
      </c>
    </row>
    <row r="3589" spans="1:25" x14ac:dyDescent="0.35">
      <c r="A3589">
        <v>34.497782344703701</v>
      </c>
      <c r="B3589">
        <v>-122.031250263194</v>
      </c>
      <c r="C3589" t="s">
        <v>25</v>
      </c>
      <c r="D3589">
        <v>34.385926197280902</v>
      </c>
      <c r="E3589">
        <v>9</v>
      </c>
      <c r="F3589">
        <v>1926</v>
      </c>
      <c r="G3589">
        <v>1</v>
      </c>
      <c r="H3589">
        <v>1</v>
      </c>
      <c r="I3589">
        <v>1970</v>
      </c>
      <c r="J3589">
        <v>0</v>
      </c>
      <c r="K3589">
        <v>0</v>
      </c>
      <c r="L3589">
        <v>1</v>
      </c>
      <c r="M3589">
        <v>5</v>
      </c>
      <c r="N3589" t="s">
        <v>26</v>
      </c>
      <c r="O3589" t="s">
        <v>27</v>
      </c>
      <c r="P3589">
        <v>9.1978732960025997</v>
      </c>
      <c r="Q3589">
        <v>0.94771043468375304</v>
      </c>
      <c r="R3589">
        <v>5.23701432454446</v>
      </c>
      <c r="S3589">
        <v>138</v>
      </c>
      <c r="T3589">
        <v>44</v>
      </c>
      <c r="U3589">
        <v>328.05990986037898</v>
      </c>
      <c r="V3589">
        <v>2.59605399792315E-3</v>
      </c>
      <c r="W3589">
        <v>643037.49839225295</v>
      </c>
      <c r="X3589" t="s">
        <v>31</v>
      </c>
      <c r="Y3589">
        <f>1-710-907-2067</f>
        <v>-3683</v>
      </c>
    </row>
    <row r="3590" spans="1:25" x14ac:dyDescent="0.35">
      <c r="A3590">
        <v>36.854547528046403</v>
      </c>
      <c r="B3590">
        <v>-116.517652710634</v>
      </c>
      <c r="C3590" t="s">
        <v>25</v>
      </c>
      <c r="D3590">
        <v>32.005834641407297</v>
      </c>
      <c r="E3590">
        <v>2</v>
      </c>
      <c r="F3590">
        <v>4565</v>
      </c>
      <c r="G3590">
        <v>2</v>
      </c>
      <c r="H3590">
        <v>2</v>
      </c>
      <c r="I3590">
        <v>1954</v>
      </c>
      <c r="J3590">
        <v>1</v>
      </c>
      <c r="K3590">
        <v>1</v>
      </c>
      <c r="L3590">
        <v>1</v>
      </c>
      <c r="M3590">
        <v>9</v>
      </c>
      <c r="N3590" t="s">
        <v>37</v>
      </c>
      <c r="O3590" t="s">
        <v>30</v>
      </c>
      <c r="P3590">
        <v>9.8547990954287901</v>
      </c>
      <c r="Q3590">
        <v>1.24444522815587</v>
      </c>
      <c r="R3590">
        <v>9.8889557089552795</v>
      </c>
      <c r="S3590">
        <v>45</v>
      </c>
      <c r="T3590">
        <v>37</v>
      </c>
      <c r="U3590">
        <v>650.07637868836696</v>
      </c>
      <c r="V3590">
        <v>1.9715224534501601E-3</v>
      </c>
      <c r="W3590">
        <v>3261797.1083094701</v>
      </c>
      <c r="X3590" t="s">
        <v>42</v>
      </c>
      <c r="Y3590">
        <f>1-756-108-3669</f>
        <v>-4532</v>
      </c>
    </row>
    <row r="3591" spans="1:25" x14ac:dyDescent="0.35">
      <c r="A3591">
        <v>36.717877840809898</v>
      </c>
      <c r="B3591">
        <v>-115.717267349997</v>
      </c>
      <c r="C3591" t="s">
        <v>25</v>
      </c>
      <c r="D3591">
        <v>39.0631262840445</v>
      </c>
      <c r="E3591">
        <v>4</v>
      </c>
      <c r="F3591">
        <v>4778</v>
      </c>
      <c r="G3591">
        <v>3</v>
      </c>
      <c r="H3591">
        <v>2</v>
      </c>
      <c r="I3591">
        <v>2019</v>
      </c>
      <c r="J3591">
        <v>0</v>
      </c>
      <c r="K3591">
        <v>0</v>
      </c>
      <c r="L3591">
        <v>1</v>
      </c>
      <c r="M3591">
        <v>11</v>
      </c>
      <c r="N3591" t="s">
        <v>26</v>
      </c>
      <c r="O3591" t="s">
        <v>30</v>
      </c>
      <c r="P3591">
        <v>7.9536680449012396</v>
      </c>
      <c r="Q3591">
        <v>0.60812270829478898</v>
      </c>
      <c r="R3591">
        <v>5.9470907165703899</v>
      </c>
      <c r="S3591">
        <v>77</v>
      </c>
      <c r="T3591">
        <v>23</v>
      </c>
      <c r="U3591">
        <v>536.95948940151595</v>
      </c>
      <c r="V3591">
        <v>2.30221850146504E-3</v>
      </c>
      <c r="W3591">
        <v>2898836.7301892298</v>
      </c>
      <c r="X3591" t="s">
        <v>36</v>
      </c>
      <c r="Y3591">
        <f>1-311-774-8272</f>
        <v>-9356</v>
      </c>
    </row>
    <row r="3592" spans="1:25" x14ac:dyDescent="0.35">
      <c r="A3592">
        <v>32.698158739814801</v>
      </c>
      <c r="B3592">
        <v>-118.180288765092</v>
      </c>
      <c r="C3592" t="s">
        <v>29</v>
      </c>
      <c r="D3592">
        <v>34.346332464017998</v>
      </c>
      <c r="E3592">
        <v>1</v>
      </c>
      <c r="F3592">
        <v>1132</v>
      </c>
      <c r="G3592">
        <v>1</v>
      </c>
      <c r="H3592">
        <v>3</v>
      </c>
      <c r="I3592">
        <v>1976</v>
      </c>
      <c r="J3592">
        <v>1</v>
      </c>
      <c r="K3592">
        <v>0</v>
      </c>
      <c r="L3592">
        <v>0</v>
      </c>
      <c r="M3592">
        <v>3</v>
      </c>
      <c r="N3592" t="s">
        <v>35</v>
      </c>
      <c r="O3592" t="s">
        <v>32</v>
      </c>
      <c r="P3592">
        <v>11.0863976221017</v>
      </c>
      <c r="Q3592">
        <v>1.72050959005671</v>
      </c>
      <c r="R3592">
        <v>3.6222868957747099</v>
      </c>
      <c r="S3592">
        <v>109</v>
      </c>
      <c r="T3592">
        <v>59</v>
      </c>
      <c r="U3592">
        <v>965.75803528184201</v>
      </c>
      <c r="V3592">
        <v>2.6501766784452299E-3</v>
      </c>
      <c r="W3592">
        <v>1295067.4079016601</v>
      </c>
      <c r="X3592" t="s">
        <v>39</v>
      </c>
      <c r="Y3592">
        <f>1-653-500-6650</f>
        <v>-7802</v>
      </c>
    </row>
    <row r="3593" spans="1:25" x14ac:dyDescent="0.35">
      <c r="A3593">
        <v>41.654840315081401</v>
      </c>
      <c r="B3593">
        <v>-120.515159215339</v>
      </c>
      <c r="C3593" t="s">
        <v>34</v>
      </c>
      <c r="D3593">
        <v>31.402723761957802</v>
      </c>
      <c r="E3593">
        <v>4</v>
      </c>
      <c r="F3593">
        <v>1304</v>
      </c>
      <c r="G3593">
        <v>1</v>
      </c>
      <c r="H3593">
        <v>2</v>
      </c>
      <c r="I3593">
        <v>2019</v>
      </c>
      <c r="J3593">
        <v>0</v>
      </c>
      <c r="K3593">
        <v>1</v>
      </c>
      <c r="L3593">
        <v>1</v>
      </c>
      <c r="M3593">
        <v>10</v>
      </c>
      <c r="N3593" t="s">
        <v>37</v>
      </c>
      <c r="O3593" t="s">
        <v>32</v>
      </c>
      <c r="P3593">
        <v>5.0212539804352003</v>
      </c>
      <c r="Q3593">
        <v>2.27721156829397</v>
      </c>
      <c r="R3593">
        <v>8.6213926847575308</v>
      </c>
      <c r="S3593">
        <v>49</v>
      </c>
      <c r="T3593">
        <v>71</v>
      </c>
      <c r="U3593">
        <v>533.15364758838598</v>
      </c>
      <c r="V3593">
        <v>7.6687116564417099E-3</v>
      </c>
      <c r="W3593">
        <v>913140.39373079699</v>
      </c>
      <c r="X3593" t="s">
        <v>33</v>
      </c>
      <c r="Y3593">
        <f>1-993-296-7297</f>
        <v>-8585</v>
      </c>
    </row>
    <row r="3594" spans="1:25" x14ac:dyDescent="0.35">
      <c r="A3594">
        <v>38.956891739808803</v>
      </c>
      <c r="B3594">
        <v>-121.324600044303</v>
      </c>
      <c r="C3594" t="s">
        <v>34</v>
      </c>
      <c r="D3594">
        <v>34.732339621290699</v>
      </c>
      <c r="E3594">
        <v>4</v>
      </c>
      <c r="F3594">
        <v>1137</v>
      </c>
      <c r="G3594">
        <v>5</v>
      </c>
      <c r="H3594">
        <v>1</v>
      </c>
      <c r="I3594">
        <v>1987</v>
      </c>
      <c r="J3594">
        <v>1</v>
      </c>
      <c r="K3594">
        <v>0</v>
      </c>
      <c r="L3594">
        <v>0</v>
      </c>
      <c r="M3594">
        <v>13</v>
      </c>
      <c r="N3594" t="s">
        <v>41</v>
      </c>
      <c r="O3594" t="s">
        <v>32</v>
      </c>
      <c r="P3594">
        <v>13.5472604297383</v>
      </c>
      <c r="Q3594">
        <v>1.3379788135092101</v>
      </c>
      <c r="R3594">
        <v>8.6967181859007496</v>
      </c>
      <c r="S3594">
        <v>190</v>
      </c>
      <c r="T3594">
        <v>20</v>
      </c>
      <c r="U3594">
        <v>677.502143454661</v>
      </c>
      <c r="V3594">
        <v>1.1433597185575999E-2</v>
      </c>
      <c r="W3594">
        <v>1133714.8095978501</v>
      </c>
      <c r="X3594" t="s">
        <v>28</v>
      </c>
      <c r="Y3594">
        <f>1-912-436-3196</f>
        <v>-4543</v>
      </c>
    </row>
    <row r="3595" spans="1:25" x14ac:dyDescent="0.35">
      <c r="A3595">
        <v>34.638388341517398</v>
      </c>
      <c r="B3595">
        <v>-121.290504822711</v>
      </c>
      <c r="C3595" t="s">
        <v>34</v>
      </c>
      <c r="D3595">
        <v>9.86930506457219</v>
      </c>
      <c r="E3595">
        <v>1</v>
      </c>
      <c r="F3595">
        <v>4798</v>
      </c>
      <c r="G3595">
        <v>4</v>
      </c>
      <c r="H3595">
        <v>1</v>
      </c>
      <c r="I3595">
        <v>2013</v>
      </c>
      <c r="J3595">
        <v>0</v>
      </c>
      <c r="K3595">
        <v>0</v>
      </c>
      <c r="L3595">
        <v>0</v>
      </c>
      <c r="M3595">
        <v>13</v>
      </c>
      <c r="N3595" t="s">
        <v>37</v>
      </c>
      <c r="O3595" t="s">
        <v>27</v>
      </c>
      <c r="P3595">
        <v>14.328021473828001</v>
      </c>
      <c r="Q3595">
        <v>1.1643903540137801</v>
      </c>
      <c r="R3595">
        <v>7.9821632921450201</v>
      </c>
      <c r="S3595">
        <v>37</v>
      </c>
      <c r="T3595">
        <v>39</v>
      </c>
      <c r="U3595">
        <v>844.67464709288504</v>
      </c>
      <c r="V3595">
        <v>2.7094622759483099E-3</v>
      </c>
      <c r="W3595">
        <v>4410440.2985554999</v>
      </c>
      <c r="X3595" t="s">
        <v>43</v>
      </c>
      <c r="Y3595">
        <f>1-594-726-9012</f>
        <v>-10331</v>
      </c>
    </row>
    <row r="3596" spans="1:25" x14ac:dyDescent="0.35">
      <c r="A3596">
        <v>40.535938847435901</v>
      </c>
      <c r="B3596">
        <v>-118.491075359175</v>
      </c>
      <c r="C3596" t="s">
        <v>25</v>
      </c>
      <c r="D3596">
        <v>11.5924864782301</v>
      </c>
      <c r="E3596">
        <v>9</v>
      </c>
      <c r="F3596">
        <v>803</v>
      </c>
      <c r="G3596">
        <v>3</v>
      </c>
      <c r="H3596">
        <v>2</v>
      </c>
      <c r="I3596">
        <v>1962</v>
      </c>
      <c r="J3596">
        <v>0</v>
      </c>
      <c r="K3596">
        <v>1</v>
      </c>
      <c r="L3596">
        <v>1</v>
      </c>
      <c r="M3596">
        <v>13</v>
      </c>
      <c r="N3596" t="s">
        <v>41</v>
      </c>
      <c r="O3596" t="s">
        <v>27</v>
      </c>
      <c r="P3596">
        <v>6.5466073483432501</v>
      </c>
      <c r="Q3596">
        <v>0.63944245989234505</v>
      </c>
      <c r="R3596">
        <v>2.5342113903071901</v>
      </c>
      <c r="S3596">
        <v>31</v>
      </c>
      <c r="T3596">
        <v>65</v>
      </c>
      <c r="U3596">
        <v>508.00286637795898</v>
      </c>
      <c r="V3596">
        <v>1.61892901618929E-2</v>
      </c>
      <c r="W3596">
        <v>649240.14663353597</v>
      </c>
      <c r="X3596" t="s">
        <v>40</v>
      </c>
      <c r="Y3596">
        <f>1-858-877-8439</f>
        <v>-10173</v>
      </c>
    </row>
    <row r="3597" spans="1:25" x14ac:dyDescent="0.35">
      <c r="A3597">
        <v>39.762494083745999</v>
      </c>
      <c r="B3597">
        <v>-117.45735315028401</v>
      </c>
      <c r="C3597" t="s">
        <v>25</v>
      </c>
      <c r="D3597">
        <v>48.6243743247881</v>
      </c>
      <c r="E3597">
        <v>3</v>
      </c>
      <c r="F3597">
        <v>4577</v>
      </c>
      <c r="G3597">
        <v>2</v>
      </c>
      <c r="H3597">
        <v>3</v>
      </c>
      <c r="I3597">
        <v>2013</v>
      </c>
      <c r="J3597">
        <v>0</v>
      </c>
      <c r="K3597">
        <v>0</v>
      </c>
      <c r="L3597">
        <v>0</v>
      </c>
      <c r="M3597">
        <v>11</v>
      </c>
      <c r="N3597" t="s">
        <v>26</v>
      </c>
      <c r="O3597" t="s">
        <v>32</v>
      </c>
      <c r="P3597">
        <v>9.9759508832035699</v>
      </c>
      <c r="Q3597">
        <v>2.2345435330174999</v>
      </c>
      <c r="R3597">
        <v>7.0842859449017803</v>
      </c>
      <c r="S3597">
        <v>177</v>
      </c>
      <c r="T3597">
        <v>44</v>
      </c>
      <c r="U3597">
        <v>835.89971228491504</v>
      </c>
      <c r="V3597">
        <v>2.4033209525890298E-3</v>
      </c>
      <c r="W3597">
        <v>3952075.51639693</v>
      </c>
      <c r="X3597" t="s">
        <v>44</v>
      </c>
      <c r="Y3597">
        <f>1-287-849-1501</f>
        <v>-2636</v>
      </c>
    </row>
    <row r="3598" spans="1:25" x14ac:dyDescent="0.35">
      <c r="A3598">
        <v>40.233376248048899</v>
      </c>
      <c r="B3598">
        <v>-122.668253876745</v>
      </c>
      <c r="C3598" t="s">
        <v>25</v>
      </c>
      <c r="D3598">
        <v>13.228028209449</v>
      </c>
      <c r="E3598">
        <v>4</v>
      </c>
      <c r="F3598">
        <v>3616</v>
      </c>
      <c r="G3598">
        <v>2</v>
      </c>
      <c r="H3598">
        <v>3</v>
      </c>
      <c r="I3598">
        <v>2006</v>
      </c>
      <c r="J3598">
        <v>0</v>
      </c>
      <c r="K3598">
        <v>0</v>
      </c>
      <c r="L3598">
        <v>0</v>
      </c>
      <c r="M3598">
        <v>11</v>
      </c>
      <c r="N3598" t="s">
        <v>26</v>
      </c>
      <c r="O3598" t="s">
        <v>30</v>
      </c>
      <c r="P3598">
        <v>4.0697831403457396</v>
      </c>
      <c r="Q3598">
        <v>1.9535103746570599</v>
      </c>
      <c r="R3598">
        <v>3.7114646463628</v>
      </c>
      <c r="S3598">
        <v>194</v>
      </c>
      <c r="T3598">
        <v>62</v>
      </c>
      <c r="U3598">
        <v>564.33404264900798</v>
      </c>
      <c r="V3598">
        <v>3.0420353982300802E-3</v>
      </c>
      <c r="W3598">
        <v>2177533.6784766498</v>
      </c>
      <c r="X3598" t="s">
        <v>44</v>
      </c>
      <c r="Y3598">
        <f>1-931-195-9172</f>
        <v>-10297</v>
      </c>
    </row>
    <row r="3599" spans="1:25" x14ac:dyDescent="0.35">
      <c r="A3599">
        <v>40.601482908322197</v>
      </c>
      <c r="B3599">
        <v>-121.847382154964</v>
      </c>
      <c r="C3599" t="s">
        <v>25</v>
      </c>
      <c r="D3599">
        <v>42.827641175518998</v>
      </c>
      <c r="E3599">
        <v>6</v>
      </c>
      <c r="F3599">
        <v>965</v>
      </c>
      <c r="G3599">
        <v>5</v>
      </c>
      <c r="H3599">
        <v>2</v>
      </c>
      <c r="I3599">
        <v>2016</v>
      </c>
      <c r="J3599">
        <v>0</v>
      </c>
      <c r="K3599">
        <v>1</v>
      </c>
      <c r="L3599">
        <v>1</v>
      </c>
      <c r="M3599">
        <v>4</v>
      </c>
      <c r="N3599" t="s">
        <v>35</v>
      </c>
      <c r="O3599" t="s">
        <v>30</v>
      </c>
      <c r="P3599">
        <v>2.51479598377531</v>
      </c>
      <c r="Q3599">
        <v>0.65986776069332598</v>
      </c>
      <c r="R3599">
        <v>1.29817801543664</v>
      </c>
      <c r="S3599">
        <v>148</v>
      </c>
      <c r="T3599">
        <v>68</v>
      </c>
      <c r="U3599">
        <v>578.33693469071</v>
      </c>
      <c r="V3599">
        <v>4.1450777202072502E-3</v>
      </c>
      <c r="W3599">
        <v>979057.17478223704</v>
      </c>
      <c r="X3599" t="s">
        <v>42</v>
      </c>
      <c r="Y3599">
        <f>1-894-559-2675</f>
        <v>-4127</v>
      </c>
    </row>
    <row r="3600" spans="1:25" x14ac:dyDescent="0.35">
      <c r="A3600">
        <v>32.507056599304299</v>
      </c>
      <c r="B3600">
        <v>-123.08277142633899</v>
      </c>
      <c r="C3600" t="s">
        <v>29</v>
      </c>
      <c r="D3600">
        <v>48.726222435415799</v>
      </c>
      <c r="E3600">
        <v>6</v>
      </c>
      <c r="F3600">
        <v>4018</v>
      </c>
      <c r="G3600">
        <v>1</v>
      </c>
      <c r="H3600">
        <v>3</v>
      </c>
      <c r="I3600">
        <v>2003</v>
      </c>
      <c r="J3600">
        <v>1</v>
      </c>
      <c r="K3600">
        <v>0</v>
      </c>
      <c r="L3600">
        <v>1</v>
      </c>
      <c r="M3600">
        <v>9</v>
      </c>
      <c r="N3600" t="s">
        <v>35</v>
      </c>
      <c r="O3600" t="s">
        <v>32</v>
      </c>
      <c r="P3600">
        <v>4.6663159186389196</v>
      </c>
      <c r="Q3600">
        <v>1.77379610480158</v>
      </c>
      <c r="R3600">
        <v>2.0532730037081701</v>
      </c>
      <c r="S3600">
        <v>28</v>
      </c>
      <c r="T3600">
        <v>70</v>
      </c>
      <c r="U3600">
        <v>481.72013717060202</v>
      </c>
      <c r="V3600">
        <v>2.2399203583872498E-3</v>
      </c>
      <c r="W3600">
        <v>2107901.3363229102</v>
      </c>
      <c r="X3600" t="s">
        <v>42</v>
      </c>
      <c r="Y3600">
        <f>1-459-425-2897</f>
        <v>-3780</v>
      </c>
    </row>
    <row r="3601" spans="1:25" x14ac:dyDescent="0.35">
      <c r="A3601">
        <v>38.003065448838697</v>
      </c>
      <c r="B3601">
        <v>-116.746713012165</v>
      </c>
      <c r="C3601" t="s">
        <v>34</v>
      </c>
      <c r="D3601">
        <v>14.5606450797055</v>
      </c>
      <c r="E3601">
        <v>8</v>
      </c>
      <c r="F3601">
        <v>3326</v>
      </c>
      <c r="G3601">
        <v>2</v>
      </c>
      <c r="H3601">
        <v>1</v>
      </c>
      <c r="I3601">
        <v>1983</v>
      </c>
      <c r="J3601">
        <v>0</v>
      </c>
      <c r="K3601">
        <v>0</v>
      </c>
      <c r="L3601">
        <v>0</v>
      </c>
      <c r="M3601">
        <v>4</v>
      </c>
      <c r="N3601" t="s">
        <v>35</v>
      </c>
      <c r="O3601" t="s">
        <v>32</v>
      </c>
      <c r="P3601">
        <v>6.0950714781980899</v>
      </c>
      <c r="Q3601">
        <v>1.7278257463475599</v>
      </c>
      <c r="R3601">
        <v>2.6879243828547699</v>
      </c>
      <c r="S3601">
        <v>77</v>
      </c>
      <c r="T3601">
        <v>22</v>
      </c>
      <c r="U3601">
        <v>995.74640321010895</v>
      </c>
      <c r="V3601">
        <v>1.2026458208057699E-3</v>
      </c>
      <c r="W3601">
        <v>3395405.0327037</v>
      </c>
      <c r="X3601" t="s">
        <v>43</v>
      </c>
      <c r="Y3601">
        <f>1-215-988-3248</f>
        <v>-4450</v>
      </c>
    </row>
    <row r="3602" spans="1:25" x14ac:dyDescent="0.35">
      <c r="A3602">
        <v>40.568680406260299</v>
      </c>
      <c r="B3602">
        <v>-118.116212046287</v>
      </c>
      <c r="C3602" t="s">
        <v>29</v>
      </c>
      <c r="D3602">
        <v>46.041693714041699</v>
      </c>
      <c r="E3602">
        <v>3</v>
      </c>
      <c r="F3602">
        <v>1892</v>
      </c>
      <c r="G3602">
        <v>1</v>
      </c>
      <c r="H3602">
        <v>2</v>
      </c>
      <c r="I3602">
        <v>2018</v>
      </c>
      <c r="J3602">
        <v>0</v>
      </c>
      <c r="K3602">
        <v>0</v>
      </c>
      <c r="L3602">
        <v>1</v>
      </c>
      <c r="M3602">
        <v>3</v>
      </c>
      <c r="N3602" t="s">
        <v>37</v>
      </c>
      <c r="O3602" t="s">
        <v>32</v>
      </c>
      <c r="P3602">
        <v>8.8212255474658292</v>
      </c>
      <c r="Q3602">
        <v>1.8575080429315101</v>
      </c>
      <c r="R3602">
        <v>2.8939893965632502</v>
      </c>
      <c r="S3602">
        <v>54</v>
      </c>
      <c r="T3602">
        <v>77</v>
      </c>
      <c r="U3602">
        <v>853.04094494911305</v>
      </c>
      <c r="V3602">
        <v>1.5856236786469301E-3</v>
      </c>
      <c r="W3602">
        <v>1786571.31599497</v>
      </c>
      <c r="X3602" t="s">
        <v>43</v>
      </c>
      <c r="Y3602">
        <f>1-958-622-8980</f>
        <v>-10559</v>
      </c>
    </row>
    <row r="3603" spans="1:25" x14ac:dyDescent="0.35">
      <c r="A3603">
        <v>33.910107808016001</v>
      </c>
      <c r="B3603">
        <v>-115.10584586608</v>
      </c>
      <c r="C3603" t="s">
        <v>29</v>
      </c>
      <c r="D3603">
        <v>40.717158238618801</v>
      </c>
      <c r="E3603">
        <v>7</v>
      </c>
      <c r="F3603">
        <v>2372</v>
      </c>
      <c r="G3603">
        <v>2</v>
      </c>
      <c r="H3603">
        <v>3</v>
      </c>
      <c r="I3603">
        <v>2018</v>
      </c>
      <c r="J3603">
        <v>0</v>
      </c>
      <c r="K3603">
        <v>1</v>
      </c>
      <c r="L3603">
        <v>0</v>
      </c>
      <c r="M3603">
        <v>10</v>
      </c>
      <c r="N3603" t="s">
        <v>41</v>
      </c>
      <c r="O3603" t="s">
        <v>27</v>
      </c>
      <c r="P3603">
        <v>10.667419468145701</v>
      </c>
      <c r="Q3603">
        <v>2.17735034964775</v>
      </c>
      <c r="R3603">
        <v>9.9044978785841895</v>
      </c>
      <c r="S3603">
        <v>170</v>
      </c>
      <c r="T3603">
        <v>46</v>
      </c>
      <c r="U3603">
        <v>507.89797373495003</v>
      </c>
      <c r="V3603">
        <v>4.2158516020235999E-3</v>
      </c>
      <c r="W3603">
        <v>1441725.00684658</v>
      </c>
      <c r="X3603" t="s">
        <v>44</v>
      </c>
      <c r="Y3603">
        <f>1-607-260-5483</f>
        <v>-6349</v>
      </c>
    </row>
    <row r="3604" spans="1:25" x14ac:dyDescent="0.35">
      <c r="A3604">
        <v>34.4633023099817</v>
      </c>
      <c r="B3604">
        <v>-122.09884462718399</v>
      </c>
      <c r="C3604" t="s">
        <v>34</v>
      </c>
      <c r="D3604">
        <v>33.154172845793497</v>
      </c>
      <c r="E3604">
        <v>4</v>
      </c>
      <c r="F3604">
        <v>2034</v>
      </c>
      <c r="G3604">
        <v>3</v>
      </c>
      <c r="H3604">
        <v>1</v>
      </c>
      <c r="I3604">
        <v>1989</v>
      </c>
      <c r="J3604">
        <v>0</v>
      </c>
      <c r="K3604">
        <v>1</v>
      </c>
      <c r="L3604">
        <v>0</v>
      </c>
      <c r="M3604">
        <v>14</v>
      </c>
      <c r="N3604" t="s">
        <v>41</v>
      </c>
      <c r="O3604" t="s">
        <v>30</v>
      </c>
      <c r="P3604">
        <v>6.5911139628363804</v>
      </c>
      <c r="Q3604">
        <v>1.0597487222134201</v>
      </c>
      <c r="R3604">
        <v>7.2824737719043098</v>
      </c>
      <c r="S3604">
        <v>3</v>
      </c>
      <c r="T3604">
        <v>56</v>
      </c>
      <c r="U3604">
        <v>638.40740390352698</v>
      </c>
      <c r="V3604">
        <v>6.8829891838741398E-3</v>
      </c>
      <c r="W3604">
        <v>1524386.0948063</v>
      </c>
      <c r="X3604" t="s">
        <v>44</v>
      </c>
      <c r="Y3604">
        <f>1-966-476-8274</f>
        <v>-9715</v>
      </c>
    </row>
    <row r="3605" spans="1:25" x14ac:dyDescent="0.35">
      <c r="A3605">
        <v>34.836971139035597</v>
      </c>
      <c r="B3605">
        <v>-116.798885353492</v>
      </c>
      <c r="C3605" t="s">
        <v>25</v>
      </c>
      <c r="D3605">
        <v>41.929330771017398</v>
      </c>
      <c r="E3605">
        <v>0</v>
      </c>
      <c r="F3605">
        <v>3431</v>
      </c>
      <c r="G3605">
        <v>2</v>
      </c>
      <c r="H3605">
        <v>3</v>
      </c>
      <c r="I3605">
        <v>1967</v>
      </c>
      <c r="J3605">
        <v>0</v>
      </c>
      <c r="K3605">
        <v>1</v>
      </c>
      <c r="L3605">
        <v>0</v>
      </c>
      <c r="M3605">
        <v>6</v>
      </c>
      <c r="N3605" t="s">
        <v>41</v>
      </c>
      <c r="O3605" t="s">
        <v>30</v>
      </c>
      <c r="P3605">
        <v>5.8981206501583303</v>
      </c>
      <c r="Q3605">
        <v>2.14555140155628</v>
      </c>
      <c r="R3605">
        <v>7.3659137323234498</v>
      </c>
      <c r="S3605">
        <v>87</v>
      </c>
      <c r="T3605">
        <v>21</v>
      </c>
      <c r="U3605">
        <v>973.03402598926596</v>
      </c>
      <c r="V3605">
        <v>1.7487612940833501E-3</v>
      </c>
      <c r="W3605">
        <v>3556231.8333266098</v>
      </c>
      <c r="X3605" t="s">
        <v>40</v>
      </c>
      <c r="Y3605">
        <f>1-278-274-9997</f>
        <v>-10548</v>
      </c>
    </row>
    <row r="3606" spans="1:25" x14ac:dyDescent="0.35">
      <c r="A3606">
        <v>35.391612022200398</v>
      </c>
      <c r="B3606">
        <v>-115.350713094244</v>
      </c>
      <c r="C3606" t="s">
        <v>34</v>
      </c>
      <c r="D3606">
        <v>44.199891028725801</v>
      </c>
      <c r="E3606">
        <v>9</v>
      </c>
      <c r="F3606">
        <v>2354</v>
      </c>
      <c r="G3606">
        <v>3</v>
      </c>
      <c r="H3606">
        <v>2</v>
      </c>
      <c r="I3606">
        <v>2010</v>
      </c>
      <c r="J3606">
        <v>1</v>
      </c>
      <c r="K3606">
        <v>0</v>
      </c>
      <c r="L3606">
        <v>0</v>
      </c>
      <c r="M3606">
        <v>10</v>
      </c>
      <c r="N3606" t="s">
        <v>37</v>
      </c>
      <c r="O3606" t="s">
        <v>32</v>
      </c>
      <c r="P3606">
        <v>12.847711666269801</v>
      </c>
      <c r="Q3606">
        <v>2.0065709983636602</v>
      </c>
      <c r="R3606">
        <v>1.58973030235053</v>
      </c>
      <c r="S3606">
        <v>122</v>
      </c>
      <c r="T3606">
        <v>48</v>
      </c>
      <c r="U3606">
        <v>552.28942847937299</v>
      </c>
      <c r="V3606">
        <v>4.2480883602378904E-3</v>
      </c>
      <c r="W3606">
        <v>1544586.3769207101</v>
      </c>
      <c r="X3606" t="s">
        <v>28</v>
      </c>
      <c r="Y3606">
        <f>1-959-648-3890</f>
        <v>-5496</v>
      </c>
    </row>
    <row r="3607" spans="1:25" x14ac:dyDescent="0.35">
      <c r="A3607">
        <v>36.642858384533298</v>
      </c>
      <c r="B3607">
        <v>-116.17277887000699</v>
      </c>
      <c r="C3607" t="s">
        <v>29</v>
      </c>
      <c r="D3607">
        <v>6.8571672887564397</v>
      </c>
      <c r="E3607">
        <v>2</v>
      </c>
      <c r="F3607">
        <v>3929</v>
      </c>
      <c r="G3607">
        <v>4</v>
      </c>
      <c r="H3607">
        <v>1</v>
      </c>
      <c r="I3607">
        <v>1964</v>
      </c>
      <c r="J3607">
        <v>0</v>
      </c>
      <c r="K3607">
        <v>0</v>
      </c>
      <c r="L3607">
        <v>0</v>
      </c>
      <c r="M3607">
        <v>14</v>
      </c>
      <c r="N3607" t="s">
        <v>37</v>
      </c>
      <c r="O3607" t="s">
        <v>30</v>
      </c>
      <c r="P3607">
        <v>2.9878295422660699</v>
      </c>
      <c r="Q3607">
        <v>2.27826385028987</v>
      </c>
      <c r="R3607">
        <v>8.0555692194638304</v>
      </c>
      <c r="S3607">
        <v>10</v>
      </c>
      <c r="T3607">
        <v>60</v>
      </c>
      <c r="U3607">
        <v>870.76604259359499</v>
      </c>
      <c r="V3607">
        <v>3.5632476457113701E-3</v>
      </c>
      <c r="W3607">
        <v>3558413.9502708199</v>
      </c>
      <c r="X3607" t="s">
        <v>38</v>
      </c>
      <c r="Y3607">
        <f>1-740-746-3307</f>
        <v>-4792</v>
      </c>
    </row>
    <row r="3608" spans="1:25" x14ac:dyDescent="0.35">
      <c r="A3608">
        <v>41.588553053738501</v>
      </c>
      <c r="B3608">
        <v>-115.03165512183</v>
      </c>
      <c r="C3608" t="s">
        <v>29</v>
      </c>
      <c r="D3608">
        <v>13.2694644402682</v>
      </c>
      <c r="E3608">
        <v>9</v>
      </c>
      <c r="F3608">
        <v>2845</v>
      </c>
      <c r="G3608">
        <v>2</v>
      </c>
      <c r="H3608">
        <v>3</v>
      </c>
      <c r="I3608">
        <v>2001</v>
      </c>
      <c r="J3608">
        <v>0</v>
      </c>
      <c r="K3608">
        <v>1</v>
      </c>
      <c r="L3608">
        <v>0</v>
      </c>
      <c r="M3608">
        <v>8</v>
      </c>
      <c r="N3608" t="s">
        <v>35</v>
      </c>
      <c r="O3608" t="s">
        <v>32</v>
      </c>
      <c r="P3608">
        <v>2.0122881588616699</v>
      </c>
      <c r="Q3608">
        <v>2.4558625356243602</v>
      </c>
      <c r="R3608">
        <v>1.44080821507961</v>
      </c>
      <c r="S3608">
        <v>25</v>
      </c>
      <c r="T3608">
        <v>61</v>
      </c>
      <c r="U3608">
        <v>745.34117163320502</v>
      </c>
      <c r="V3608">
        <v>2.8119507908611601E-3</v>
      </c>
      <c r="W3608">
        <v>2355984.7991077201</v>
      </c>
      <c r="X3608" t="s">
        <v>39</v>
      </c>
      <c r="Y3608">
        <f>1-882-965-8537</f>
        <v>-10383</v>
      </c>
    </row>
    <row r="3609" spans="1:25" x14ac:dyDescent="0.35">
      <c r="A3609">
        <v>35.450223793124302</v>
      </c>
      <c r="B3609">
        <v>-115.780529456023</v>
      </c>
      <c r="C3609" t="s">
        <v>34</v>
      </c>
      <c r="D3609">
        <v>44.211952552478103</v>
      </c>
      <c r="E3609">
        <v>7</v>
      </c>
      <c r="F3609">
        <v>4512</v>
      </c>
      <c r="G3609">
        <v>2</v>
      </c>
      <c r="H3609">
        <v>3</v>
      </c>
      <c r="I3609">
        <v>1961</v>
      </c>
      <c r="J3609">
        <v>1</v>
      </c>
      <c r="K3609">
        <v>1</v>
      </c>
      <c r="L3609">
        <v>0</v>
      </c>
      <c r="M3609">
        <v>5</v>
      </c>
      <c r="N3609" t="s">
        <v>26</v>
      </c>
      <c r="O3609" t="s">
        <v>32</v>
      </c>
      <c r="P3609">
        <v>12.355548181039699</v>
      </c>
      <c r="Q3609">
        <v>2.3090881998519501</v>
      </c>
      <c r="R3609">
        <v>0.17031113888670199</v>
      </c>
      <c r="S3609">
        <v>40</v>
      </c>
      <c r="T3609">
        <v>31</v>
      </c>
      <c r="U3609">
        <v>215.698344955473</v>
      </c>
      <c r="V3609">
        <v>1.1081560283687901E-3</v>
      </c>
      <c r="W3609">
        <v>1355798.3142782999</v>
      </c>
      <c r="X3609" t="s">
        <v>42</v>
      </c>
      <c r="Y3609">
        <f>1-675-953-7432</f>
        <v>-9059</v>
      </c>
    </row>
    <row r="3610" spans="1:25" x14ac:dyDescent="0.35">
      <c r="A3610">
        <v>34.615168308714097</v>
      </c>
      <c r="B3610">
        <v>-116.387537315156</v>
      </c>
      <c r="C3610" t="s">
        <v>29</v>
      </c>
      <c r="D3610">
        <v>13.477989274894799</v>
      </c>
      <c r="E3610">
        <v>6</v>
      </c>
      <c r="F3610">
        <v>1077</v>
      </c>
      <c r="G3610">
        <v>4</v>
      </c>
      <c r="H3610">
        <v>1</v>
      </c>
      <c r="I3610">
        <v>2015</v>
      </c>
      <c r="J3610">
        <v>1</v>
      </c>
      <c r="K3610">
        <v>1</v>
      </c>
      <c r="L3610">
        <v>1</v>
      </c>
      <c r="M3610">
        <v>10</v>
      </c>
      <c r="N3610" t="s">
        <v>41</v>
      </c>
      <c r="O3610" t="s">
        <v>32</v>
      </c>
      <c r="P3610">
        <v>13.990715552103699</v>
      </c>
      <c r="Q3610">
        <v>2.1577782590692398</v>
      </c>
      <c r="R3610">
        <v>4.4973839537498703</v>
      </c>
      <c r="S3610">
        <v>175</v>
      </c>
      <c r="T3610">
        <v>79</v>
      </c>
      <c r="U3610">
        <v>962.49507860149401</v>
      </c>
      <c r="V3610">
        <v>9.2850510677808702E-3</v>
      </c>
      <c r="W3610">
        <v>1524182.9918667099</v>
      </c>
      <c r="X3610" t="s">
        <v>36</v>
      </c>
      <c r="Y3610">
        <f>1-689-245-1870</f>
        <v>-2803</v>
      </c>
    </row>
    <row r="3611" spans="1:25" x14ac:dyDescent="0.35">
      <c r="A3611">
        <v>41.708165433108498</v>
      </c>
      <c r="B3611">
        <v>-119.02561638834101</v>
      </c>
      <c r="C3611" t="s">
        <v>34</v>
      </c>
      <c r="D3611">
        <v>27.3155810145864</v>
      </c>
      <c r="E3611">
        <v>7</v>
      </c>
      <c r="F3611">
        <v>4293</v>
      </c>
      <c r="G3611">
        <v>1</v>
      </c>
      <c r="H3611">
        <v>2</v>
      </c>
      <c r="I3611">
        <v>1993</v>
      </c>
      <c r="J3611">
        <v>1</v>
      </c>
      <c r="K3611">
        <v>0</v>
      </c>
      <c r="L3611">
        <v>0</v>
      </c>
      <c r="M3611">
        <v>13</v>
      </c>
      <c r="N3611" t="s">
        <v>35</v>
      </c>
      <c r="O3611" t="s">
        <v>27</v>
      </c>
      <c r="P3611">
        <v>14.8065016297755</v>
      </c>
      <c r="Q3611">
        <v>0.81567558343486402</v>
      </c>
      <c r="R3611">
        <v>2.5584074661463498</v>
      </c>
      <c r="S3611">
        <v>19</v>
      </c>
      <c r="T3611">
        <v>26</v>
      </c>
      <c r="U3611">
        <v>490.56433850071699</v>
      </c>
      <c r="V3611">
        <v>3.0281854181225202E-3</v>
      </c>
      <c r="W3611">
        <v>2395208.88459349</v>
      </c>
      <c r="X3611" t="s">
        <v>31</v>
      </c>
      <c r="Y3611">
        <f>1-504-667-8492</f>
        <v>-9662</v>
      </c>
    </row>
    <row r="3612" spans="1:25" x14ac:dyDescent="0.35">
      <c r="A3612">
        <v>33.687860176593702</v>
      </c>
      <c r="B3612">
        <v>-124.492775978338</v>
      </c>
      <c r="C3612" t="s">
        <v>29</v>
      </c>
      <c r="D3612">
        <v>32.579314963100899</v>
      </c>
      <c r="E3612">
        <v>2</v>
      </c>
      <c r="F3612">
        <v>1052</v>
      </c>
      <c r="G3612">
        <v>3</v>
      </c>
      <c r="H3612">
        <v>2</v>
      </c>
      <c r="I3612">
        <v>2018</v>
      </c>
      <c r="J3612">
        <v>0</v>
      </c>
      <c r="K3612">
        <v>1</v>
      </c>
      <c r="L3612">
        <v>0</v>
      </c>
      <c r="M3612">
        <v>10</v>
      </c>
      <c r="N3612" t="s">
        <v>41</v>
      </c>
      <c r="O3612" t="s">
        <v>30</v>
      </c>
      <c r="P3612">
        <v>4.4849363653999799</v>
      </c>
      <c r="Q3612">
        <v>0.66453215854717795</v>
      </c>
      <c r="R3612">
        <v>1.90767200404132</v>
      </c>
      <c r="S3612">
        <v>104</v>
      </c>
      <c r="T3612">
        <v>24</v>
      </c>
      <c r="U3612">
        <v>460.07106167501303</v>
      </c>
      <c r="V3612">
        <v>9.5057034220532299E-3</v>
      </c>
      <c r="W3612">
        <v>750041.05912581098</v>
      </c>
      <c r="X3612" t="s">
        <v>33</v>
      </c>
      <c r="Y3612">
        <f>1-775-992-4238</f>
        <v>-6004</v>
      </c>
    </row>
    <row r="3613" spans="1:25" x14ac:dyDescent="0.35">
      <c r="A3613">
        <v>41.760211274167297</v>
      </c>
      <c r="B3613">
        <v>-115.80314412669</v>
      </c>
      <c r="C3613" t="s">
        <v>34</v>
      </c>
      <c r="D3613">
        <v>2.0742903252407698</v>
      </c>
      <c r="E3613">
        <v>7</v>
      </c>
      <c r="F3613">
        <v>961</v>
      </c>
      <c r="G3613">
        <v>4</v>
      </c>
      <c r="H3613">
        <v>3</v>
      </c>
      <c r="I3613">
        <v>1994</v>
      </c>
      <c r="J3613">
        <v>1</v>
      </c>
      <c r="K3613">
        <v>1</v>
      </c>
      <c r="L3613">
        <v>0</v>
      </c>
      <c r="M3613">
        <v>7</v>
      </c>
      <c r="N3613" t="s">
        <v>26</v>
      </c>
      <c r="O3613" t="s">
        <v>30</v>
      </c>
      <c r="P3613">
        <v>14.020497801106901</v>
      </c>
      <c r="Q3613">
        <v>1.7995599680673999</v>
      </c>
      <c r="R3613">
        <v>6.9462691100757299</v>
      </c>
      <c r="S3613">
        <v>35</v>
      </c>
      <c r="T3613">
        <v>22</v>
      </c>
      <c r="U3613">
        <v>771.43524559225102</v>
      </c>
      <c r="V3613">
        <v>7.2840790842872002E-3</v>
      </c>
      <c r="W3613">
        <v>1240758.39213811</v>
      </c>
      <c r="X3613" t="s">
        <v>42</v>
      </c>
      <c r="Y3613">
        <f>1-811-642-6511</f>
        <v>-7963</v>
      </c>
    </row>
    <row r="3614" spans="1:25" x14ac:dyDescent="0.35">
      <c r="A3614">
        <v>36.042672292284202</v>
      </c>
      <c r="B3614">
        <v>-117.14565388378399</v>
      </c>
      <c r="C3614" t="s">
        <v>25</v>
      </c>
      <c r="D3614">
        <v>48.009174791737102</v>
      </c>
      <c r="E3614">
        <v>0</v>
      </c>
      <c r="F3614">
        <v>3223</v>
      </c>
      <c r="G3614">
        <v>2</v>
      </c>
      <c r="H3614">
        <v>2</v>
      </c>
      <c r="I3614">
        <v>1995</v>
      </c>
      <c r="J3614">
        <v>0</v>
      </c>
      <c r="K3614">
        <v>0</v>
      </c>
      <c r="L3614">
        <v>0</v>
      </c>
      <c r="M3614">
        <v>10</v>
      </c>
      <c r="N3614" t="s">
        <v>26</v>
      </c>
      <c r="O3614" t="s">
        <v>30</v>
      </c>
      <c r="P3614">
        <v>3.05024434555461</v>
      </c>
      <c r="Q3614">
        <v>0.91307148256821802</v>
      </c>
      <c r="R3614">
        <v>7.02759442455526</v>
      </c>
      <c r="S3614">
        <v>193</v>
      </c>
      <c r="T3614">
        <v>78</v>
      </c>
      <c r="U3614">
        <v>656.53309453408701</v>
      </c>
      <c r="V3614">
        <v>3.10269934843313E-3</v>
      </c>
      <c r="W3614">
        <v>2172122.1020005499</v>
      </c>
      <c r="X3614" t="s">
        <v>33</v>
      </c>
      <c r="Y3614">
        <f>1-453-555-2204</f>
        <v>-3211</v>
      </c>
    </row>
    <row r="3615" spans="1:25" x14ac:dyDescent="0.35">
      <c r="A3615">
        <v>37.5329286978155</v>
      </c>
      <c r="B3615">
        <v>-118.291376016162</v>
      </c>
      <c r="C3615" t="s">
        <v>34</v>
      </c>
      <c r="D3615">
        <v>5.2241296509053301</v>
      </c>
      <c r="E3615">
        <v>2</v>
      </c>
      <c r="F3615">
        <v>3937</v>
      </c>
      <c r="G3615">
        <v>5</v>
      </c>
      <c r="H3615">
        <v>2</v>
      </c>
      <c r="I3615">
        <v>2005</v>
      </c>
      <c r="J3615">
        <v>0</v>
      </c>
      <c r="K3615">
        <v>1</v>
      </c>
      <c r="L3615">
        <v>1</v>
      </c>
      <c r="M3615">
        <v>9</v>
      </c>
      <c r="N3615" t="s">
        <v>37</v>
      </c>
      <c r="O3615" t="s">
        <v>30</v>
      </c>
      <c r="P3615">
        <v>7.2225432221799402</v>
      </c>
      <c r="Q3615">
        <v>1.50744137491075</v>
      </c>
      <c r="R3615">
        <v>0.65048613323164095</v>
      </c>
      <c r="S3615">
        <v>177</v>
      </c>
      <c r="T3615">
        <v>61</v>
      </c>
      <c r="U3615">
        <v>495.62877441127199</v>
      </c>
      <c r="V3615">
        <v>2.28600457200914E-3</v>
      </c>
      <c r="W3615">
        <v>2380615.8574828599</v>
      </c>
      <c r="X3615" t="s">
        <v>28</v>
      </c>
      <c r="Y3615">
        <f>1-451-533-8502</f>
        <v>-9485</v>
      </c>
    </row>
    <row r="3616" spans="1:25" x14ac:dyDescent="0.35">
      <c r="A3616">
        <v>32.956429381578097</v>
      </c>
      <c r="B3616">
        <v>-123.79753833894701</v>
      </c>
      <c r="C3616" t="s">
        <v>25</v>
      </c>
      <c r="D3616">
        <v>46.5680920605149</v>
      </c>
      <c r="E3616">
        <v>5</v>
      </c>
      <c r="F3616">
        <v>4082</v>
      </c>
      <c r="G3616">
        <v>2</v>
      </c>
      <c r="H3616">
        <v>3</v>
      </c>
      <c r="I3616">
        <v>2012</v>
      </c>
      <c r="J3616">
        <v>0</v>
      </c>
      <c r="K3616">
        <v>1</v>
      </c>
      <c r="L3616">
        <v>1</v>
      </c>
      <c r="M3616">
        <v>2</v>
      </c>
      <c r="N3616" t="s">
        <v>37</v>
      </c>
      <c r="O3616" t="s">
        <v>27</v>
      </c>
      <c r="P3616">
        <v>12.2134521005264</v>
      </c>
      <c r="Q3616">
        <v>1.18850517229796</v>
      </c>
      <c r="R3616">
        <v>9.7050618456784203</v>
      </c>
      <c r="S3616">
        <v>184</v>
      </c>
      <c r="T3616">
        <v>22</v>
      </c>
      <c r="U3616">
        <v>691.93163631583604</v>
      </c>
      <c r="V3616">
        <v>4.8995590396864195E-4</v>
      </c>
      <c r="W3616">
        <v>3226830.8698883299</v>
      </c>
      <c r="X3616" t="s">
        <v>28</v>
      </c>
      <c r="Y3616">
        <f>1-521-155-1231</f>
        <v>-1906</v>
      </c>
    </row>
    <row r="3617" spans="1:25" x14ac:dyDescent="0.35">
      <c r="A3617">
        <v>33.222223092675101</v>
      </c>
      <c r="B3617">
        <v>-115.555412517715</v>
      </c>
      <c r="C3617" t="s">
        <v>25</v>
      </c>
      <c r="D3617">
        <v>34.579881150994403</v>
      </c>
      <c r="E3617">
        <v>0</v>
      </c>
      <c r="F3617">
        <v>3742</v>
      </c>
      <c r="G3617">
        <v>4</v>
      </c>
      <c r="H3617">
        <v>3</v>
      </c>
      <c r="I3617">
        <v>1997</v>
      </c>
      <c r="J3617">
        <v>1</v>
      </c>
      <c r="K3617">
        <v>1</v>
      </c>
      <c r="L3617">
        <v>0</v>
      </c>
      <c r="M3617">
        <v>8</v>
      </c>
      <c r="N3617" t="s">
        <v>41</v>
      </c>
      <c r="O3617" t="s">
        <v>30</v>
      </c>
      <c r="P3617">
        <v>10.158706040589699</v>
      </c>
      <c r="Q3617">
        <v>1.3049591685017401</v>
      </c>
      <c r="R3617">
        <v>5.3857875954843202</v>
      </c>
      <c r="S3617">
        <v>66</v>
      </c>
      <c r="T3617">
        <v>59</v>
      </c>
      <c r="U3617">
        <v>958.78556788595097</v>
      </c>
      <c r="V3617">
        <v>2.1378941742383698E-3</v>
      </c>
      <c r="W3617">
        <v>3977154.21363662</v>
      </c>
      <c r="X3617" t="s">
        <v>39</v>
      </c>
      <c r="Y3617">
        <f>1-962-961-8400</f>
        <v>-10322</v>
      </c>
    </row>
    <row r="3618" spans="1:25" x14ac:dyDescent="0.35">
      <c r="A3618">
        <v>40.166653989008502</v>
      </c>
      <c r="B3618">
        <v>-121.26637658996199</v>
      </c>
      <c r="C3618" t="s">
        <v>34</v>
      </c>
      <c r="D3618">
        <v>38.323597047476802</v>
      </c>
      <c r="E3618">
        <v>2</v>
      </c>
      <c r="F3618">
        <v>1489</v>
      </c>
      <c r="G3618">
        <v>3</v>
      </c>
      <c r="H3618">
        <v>3</v>
      </c>
      <c r="I3618">
        <v>1972</v>
      </c>
      <c r="J3618">
        <v>0</v>
      </c>
      <c r="K3618">
        <v>0</v>
      </c>
      <c r="L3618">
        <v>1</v>
      </c>
      <c r="M3618">
        <v>14</v>
      </c>
      <c r="N3618" t="s">
        <v>26</v>
      </c>
      <c r="O3618" t="s">
        <v>27</v>
      </c>
      <c r="P3618">
        <v>8.5850250611612395</v>
      </c>
      <c r="Q3618">
        <v>1.4866328910462401</v>
      </c>
      <c r="R3618">
        <v>6.9617701256767397</v>
      </c>
      <c r="S3618">
        <v>33</v>
      </c>
      <c r="T3618">
        <v>37</v>
      </c>
      <c r="U3618">
        <v>569.18997343807905</v>
      </c>
      <c r="V3618">
        <v>9.4022834116856899E-3</v>
      </c>
      <c r="W3618">
        <v>1057154.9748917101</v>
      </c>
      <c r="X3618" t="s">
        <v>39</v>
      </c>
      <c r="Y3618">
        <f>1-205-132-3124</f>
        <v>-3460</v>
      </c>
    </row>
    <row r="3619" spans="1:25" x14ac:dyDescent="0.35">
      <c r="A3619">
        <v>39.983356739404897</v>
      </c>
      <c r="B3619">
        <v>-119.30034512234801</v>
      </c>
      <c r="C3619" t="s">
        <v>34</v>
      </c>
      <c r="D3619">
        <v>16.533873000794699</v>
      </c>
      <c r="E3619">
        <v>9</v>
      </c>
      <c r="F3619">
        <v>1932</v>
      </c>
      <c r="G3619">
        <v>3</v>
      </c>
      <c r="H3619">
        <v>1</v>
      </c>
      <c r="I3619">
        <v>1970</v>
      </c>
      <c r="J3619">
        <v>1</v>
      </c>
      <c r="K3619">
        <v>1</v>
      </c>
      <c r="L3619">
        <v>0</v>
      </c>
      <c r="M3619">
        <v>9</v>
      </c>
      <c r="N3619" t="s">
        <v>35</v>
      </c>
      <c r="O3619" t="s">
        <v>27</v>
      </c>
      <c r="P3619">
        <v>12.321159760578</v>
      </c>
      <c r="Q3619">
        <v>1.3716191284896</v>
      </c>
      <c r="R3619">
        <v>2.2035036227540701</v>
      </c>
      <c r="S3619">
        <v>67</v>
      </c>
      <c r="T3619">
        <v>63</v>
      </c>
      <c r="U3619">
        <v>572.17905388395798</v>
      </c>
      <c r="V3619">
        <v>4.6583850931677002E-3</v>
      </c>
      <c r="W3619">
        <v>1391289.48693327</v>
      </c>
      <c r="X3619" t="s">
        <v>28</v>
      </c>
      <c r="Y3619">
        <f>1-958-302-1601</f>
        <v>-2860</v>
      </c>
    </row>
    <row r="3620" spans="1:25" x14ac:dyDescent="0.35">
      <c r="A3620">
        <v>38.707778097611197</v>
      </c>
      <c r="B3620">
        <v>-119.82341278301899</v>
      </c>
      <c r="C3620" t="s">
        <v>25</v>
      </c>
      <c r="D3620">
        <v>38.126848193412798</v>
      </c>
      <c r="E3620">
        <v>9</v>
      </c>
      <c r="F3620">
        <v>2709</v>
      </c>
      <c r="G3620">
        <v>4</v>
      </c>
      <c r="H3620">
        <v>3</v>
      </c>
      <c r="I3620">
        <v>2014</v>
      </c>
      <c r="J3620">
        <v>1</v>
      </c>
      <c r="K3620">
        <v>1</v>
      </c>
      <c r="L3620">
        <v>0</v>
      </c>
      <c r="M3620">
        <v>6</v>
      </c>
      <c r="N3620" t="s">
        <v>35</v>
      </c>
      <c r="O3620" t="s">
        <v>27</v>
      </c>
      <c r="P3620">
        <v>3.9057266533838999</v>
      </c>
      <c r="Q3620">
        <v>2.4062249957050499</v>
      </c>
      <c r="R3620">
        <v>5.0418232581537303</v>
      </c>
      <c r="S3620">
        <v>35</v>
      </c>
      <c r="T3620">
        <v>28</v>
      </c>
      <c r="U3620">
        <v>965.88122985003099</v>
      </c>
      <c r="V3620">
        <v>2.2148394241417401E-3</v>
      </c>
      <c r="W3620">
        <v>3027418.99187729</v>
      </c>
      <c r="X3620" t="s">
        <v>36</v>
      </c>
      <c r="Y3620">
        <f>1-216-783-6688</f>
        <v>-7686</v>
      </c>
    </row>
    <row r="3621" spans="1:25" x14ac:dyDescent="0.35">
      <c r="A3621">
        <v>39.904665671036199</v>
      </c>
      <c r="B3621">
        <v>-119.897599043976</v>
      </c>
      <c r="C3621" t="s">
        <v>25</v>
      </c>
      <c r="D3621">
        <v>2.8956868419914801</v>
      </c>
      <c r="E3621">
        <v>2</v>
      </c>
      <c r="F3621">
        <v>3057</v>
      </c>
      <c r="G3621">
        <v>3</v>
      </c>
      <c r="H3621">
        <v>2</v>
      </c>
      <c r="I3621">
        <v>1972</v>
      </c>
      <c r="J3621">
        <v>0</v>
      </c>
      <c r="K3621">
        <v>0</v>
      </c>
      <c r="L3621">
        <v>1</v>
      </c>
      <c r="M3621">
        <v>3</v>
      </c>
      <c r="N3621" t="s">
        <v>37</v>
      </c>
      <c r="O3621" t="s">
        <v>30</v>
      </c>
      <c r="P3621">
        <v>9.9641375394188803</v>
      </c>
      <c r="Q3621">
        <v>2.2246154747456099</v>
      </c>
      <c r="R3621">
        <v>1.0229399677723101</v>
      </c>
      <c r="S3621">
        <v>11</v>
      </c>
      <c r="T3621">
        <v>26</v>
      </c>
      <c r="U3621">
        <v>264.41278805009898</v>
      </c>
      <c r="V3621">
        <v>9.8135426889106895E-4</v>
      </c>
      <c r="W3621">
        <v>1097107.77643091</v>
      </c>
      <c r="X3621" t="s">
        <v>44</v>
      </c>
      <c r="Y3621">
        <f>1-774-297-4534</f>
        <v>-5604</v>
      </c>
    </row>
    <row r="3622" spans="1:25" x14ac:dyDescent="0.35">
      <c r="A3622">
        <v>41.632093964238599</v>
      </c>
      <c r="B3622">
        <v>-115.260815379142</v>
      </c>
      <c r="C3622" t="s">
        <v>29</v>
      </c>
      <c r="D3622">
        <v>43.539056721414198</v>
      </c>
      <c r="E3622">
        <v>6</v>
      </c>
      <c r="F3622">
        <v>2091</v>
      </c>
      <c r="G3622">
        <v>4</v>
      </c>
      <c r="H3622">
        <v>3</v>
      </c>
      <c r="I3622">
        <v>2010</v>
      </c>
      <c r="J3622">
        <v>1</v>
      </c>
      <c r="K3622">
        <v>0</v>
      </c>
      <c r="L3622">
        <v>1</v>
      </c>
      <c r="M3622">
        <v>8</v>
      </c>
      <c r="N3622" t="s">
        <v>26</v>
      </c>
      <c r="O3622" t="s">
        <v>30</v>
      </c>
      <c r="P3622">
        <v>12.2906757370679</v>
      </c>
      <c r="Q3622">
        <v>0.596474001933752</v>
      </c>
      <c r="R3622">
        <v>8.6600490492380899</v>
      </c>
      <c r="S3622">
        <v>8</v>
      </c>
      <c r="T3622">
        <v>21</v>
      </c>
      <c r="U3622">
        <v>226.50833304532799</v>
      </c>
      <c r="V3622">
        <v>3.8259206121472899E-3</v>
      </c>
      <c r="W3622">
        <v>945985.14220421098</v>
      </c>
      <c r="X3622" t="s">
        <v>31</v>
      </c>
      <c r="Y3622">
        <f>1-421-592-9422</f>
        <v>-10434</v>
      </c>
    </row>
    <row r="3623" spans="1:25" x14ac:dyDescent="0.35">
      <c r="A3623">
        <v>32.533766532838698</v>
      </c>
      <c r="B3623">
        <v>-122.276595321654</v>
      </c>
      <c r="C3623" t="s">
        <v>25</v>
      </c>
      <c r="D3623">
        <v>12.9204048690966</v>
      </c>
      <c r="E3623">
        <v>6</v>
      </c>
      <c r="F3623">
        <v>3485</v>
      </c>
      <c r="G3623">
        <v>3</v>
      </c>
      <c r="H3623">
        <v>1</v>
      </c>
      <c r="I3623">
        <v>1974</v>
      </c>
      <c r="J3623">
        <v>1</v>
      </c>
      <c r="K3623">
        <v>0</v>
      </c>
      <c r="L3623">
        <v>1</v>
      </c>
      <c r="M3623">
        <v>12</v>
      </c>
      <c r="N3623" t="s">
        <v>26</v>
      </c>
      <c r="O3623" t="s">
        <v>30</v>
      </c>
      <c r="P3623">
        <v>3.80036036180711</v>
      </c>
      <c r="Q3623">
        <v>1.26447797336583</v>
      </c>
      <c r="R3623">
        <v>3.6668835857840301</v>
      </c>
      <c r="S3623">
        <v>11</v>
      </c>
      <c r="T3623">
        <v>48</v>
      </c>
      <c r="U3623">
        <v>780.01628810695797</v>
      </c>
      <c r="V3623">
        <v>3.4433285509325598E-3</v>
      </c>
      <c r="W3623">
        <v>2874112.9094459098</v>
      </c>
      <c r="X3623" t="s">
        <v>38</v>
      </c>
      <c r="Y3623">
        <f>1-460-114-3505</f>
        <v>-4078</v>
      </c>
    </row>
    <row r="3624" spans="1:25" x14ac:dyDescent="0.35">
      <c r="A3624">
        <v>34.500565670905601</v>
      </c>
      <c r="B3624">
        <v>-119.89138780042801</v>
      </c>
      <c r="C3624" t="s">
        <v>34</v>
      </c>
      <c r="D3624">
        <v>47.125484501911998</v>
      </c>
      <c r="E3624">
        <v>3</v>
      </c>
      <c r="F3624">
        <v>4767</v>
      </c>
      <c r="G3624">
        <v>1</v>
      </c>
      <c r="H3624">
        <v>3</v>
      </c>
      <c r="I3624">
        <v>2021</v>
      </c>
      <c r="J3624">
        <v>1</v>
      </c>
      <c r="K3624">
        <v>0</v>
      </c>
      <c r="L3624">
        <v>0</v>
      </c>
      <c r="M3624">
        <v>14</v>
      </c>
      <c r="N3624" t="s">
        <v>26</v>
      </c>
      <c r="O3624" t="s">
        <v>27</v>
      </c>
      <c r="P3624">
        <v>6.7044776839307696</v>
      </c>
      <c r="Q3624">
        <v>1.02782249477819</v>
      </c>
      <c r="R3624">
        <v>5.2242098399544803</v>
      </c>
      <c r="S3624">
        <v>173</v>
      </c>
      <c r="T3624">
        <v>48</v>
      </c>
      <c r="U3624">
        <v>226.931331911749</v>
      </c>
      <c r="V3624">
        <v>2.93685756240822E-3</v>
      </c>
      <c r="W3624">
        <v>1229106.6273783999</v>
      </c>
      <c r="X3624" t="s">
        <v>31</v>
      </c>
      <c r="Y3624">
        <f>1-795-236-6418</f>
        <v>-7448</v>
      </c>
    </row>
    <row r="3625" spans="1:25" x14ac:dyDescent="0.35">
      <c r="A3625">
        <v>32.522343219802501</v>
      </c>
      <c r="B3625">
        <v>-121.61129181666399</v>
      </c>
      <c r="C3625" t="s">
        <v>25</v>
      </c>
      <c r="D3625">
        <v>3.1960592743172098</v>
      </c>
      <c r="E3625">
        <v>9</v>
      </c>
      <c r="F3625">
        <v>2684</v>
      </c>
      <c r="G3625">
        <v>3</v>
      </c>
      <c r="H3625">
        <v>1</v>
      </c>
      <c r="I3625">
        <v>1979</v>
      </c>
      <c r="J3625">
        <v>0</v>
      </c>
      <c r="K3625">
        <v>0</v>
      </c>
      <c r="L3625">
        <v>0</v>
      </c>
      <c r="M3625">
        <v>11</v>
      </c>
      <c r="N3625" t="s">
        <v>35</v>
      </c>
      <c r="O3625" t="s">
        <v>30</v>
      </c>
      <c r="P3625">
        <v>9.7626651535043507</v>
      </c>
      <c r="Q3625">
        <v>0.80804375198094902</v>
      </c>
      <c r="R3625">
        <v>0.120277292103124</v>
      </c>
      <c r="S3625">
        <v>16</v>
      </c>
      <c r="T3625">
        <v>67</v>
      </c>
      <c r="U3625">
        <v>212.42026525132499</v>
      </c>
      <c r="V3625">
        <v>4.0983606557376999E-3</v>
      </c>
      <c r="W3625">
        <v>790223.06960904005</v>
      </c>
      <c r="X3625" t="s">
        <v>43</v>
      </c>
      <c r="Y3625">
        <f>1-478-384-5563</f>
        <v>-6424</v>
      </c>
    </row>
    <row r="3626" spans="1:25" x14ac:dyDescent="0.35">
      <c r="A3626">
        <v>37.241379998688203</v>
      </c>
      <c r="B3626">
        <v>-120.988546165884</v>
      </c>
      <c r="C3626" t="s">
        <v>34</v>
      </c>
      <c r="D3626">
        <v>9.6962667180556892</v>
      </c>
      <c r="E3626">
        <v>2</v>
      </c>
      <c r="F3626">
        <v>2625</v>
      </c>
      <c r="G3626">
        <v>5</v>
      </c>
      <c r="H3626">
        <v>1</v>
      </c>
      <c r="I3626">
        <v>2013</v>
      </c>
      <c r="J3626">
        <v>1</v>
      </c>
      <c r="K3626">
        <v>0</v>
      </c>
      <c r="L3626">
        <v>0</v>
      </c>
      <c r="M3626">
        <v>4</v>
      </c>
      <c r="N3626" t="s">
        <v>41</v>
      </c>
      <c r="O3626" t="s">
        <v>32</v>
      </c>
      <c r="P3626">
        <v>14.721423992453699</v>
      </c>
      <c r="Q3626">
        <v>1.30955851060787</v>
      </c>
      <c r="R3626">
        <v>4.9871173079451196</v>
      </c>
      <c r="S3626">
        <v>190</v>
      </c>
      <c r="T3626">
        <v>64</v>
      </c>
      <c r="U3626">
        <v>702.65700130002199</v>
      </c>
      <c r="V3626">
        <v>1.5238095238095199E-3</v>
      </c>
      <c r="W3626">
        <v>2276797.8104091799</v>
      </c>
      <c r="X3626" t="s">
        <v>44</v>
      </c>
      <c r="Y3626">
        <f>1-758-271-3589</f>
        <v>-4617</v>
      </c>
    </row>
    <row r="3627" spans="1:25" x14ac:dyDescent="0.35">
      <c r="A3627">
        <v>39.812545746706199</v>
      </c>
      <c r="B3627">
        <v>-118.419525166011</v>
      </c>
      <c r="C3627" t="s">
        <v>34</v>
      </c>
      <c r="D3627">
        <v>46.449500171902599</v>
      </c>
      <c r="E3627">
        <v>0</v>
      </c>
      <c r="F3627">
        <v>650</v>
      </c>
      <c r="G3627">
        <v>5</v>
      </c>
      <c r="H3627">
        <v>1</v>
      </c>
      <c r="I3627">
        <v>2008</v>
      </c>
      <c r="J3627">
        <v>1</v>
      </c>
      <c r="K3627">
        <v>0</v>
      </c>
      <c r="L3627">
        <v>0</v>
      </c>
      <c r="M3627">
        <v>10</v>
      </c>
      <c r="N3627" t="s">
        <v>26</v>
      </c>
      <c r="O3627" t="s">
        <v>30</v>
      </c>
      <c r="P3627">
        <v>6.5989582681937504</v>
      </c>
      <c r="Q3627">
        <v>0.75848742489902299</v>
      </c>
      <c r="R3627">
        <v>6.2371320237033796</v>
      </c>
      <c r="S3627">
        <v>170</v>
      </c>
      <c r="T3627">
        <v>58</v>
      </c>
      <c r="U3627">
        <v>941.43704954419604</v>
      </c>
      <c r="V3627">
        <v>1.53846153846153E-2</v>
      </c>
      <c r="W3627">
        <v>892026.36853197694</v>
      </c>
      <c r="X3627" t="s">
        <v>40</v>
      </c>
      <c r="Y3627">
        <f>1-561-866-9107</f>
        <v>-10533</v>
      </c>
    </row>
    <row r="3628" spans="1:25" x14ac:dyDescent="0.35">
      <c r="A3628">
        <v>36.578531649965299</v>
      </c>
      <c r="B3628">
        <v>-117.51615800280899</v>
      </c>
      <c r="C3628" t="s">
        <v>34</v>
      </c>
      <c r="D3628">
        <v>11.9555559175084</v>
      </c>
      <c r="E3628">
        <v>0</v>
      </c>
      <c r="F3628">
        <v>2137</v>
      </c>
      <c r="G3628">
        <v>1</v>
      </c>
      <c r="H3628">
        <v>1</v>
      </c>
      <c r="I3628">
        <v>1998</v>
      </c>
      <c r="J3628">
        <v>0</v>
      </c>
      <c r="K3628">
        <v>0</v>
      </c>
      <c r="L3628">
        <v>1</v>
      </c>
      <c r="M3628">
        <v>12</v>
      </c>
      <c r="N3628" t="s">
        <v>26</v>
      </c>
      <c r="O3628" t="s">
        <v>27</v>
      </c>
      <c r="P3628">
        <v>14.5973967238786</v>
      </c>
      <c r="Q3628">
        <v>1.2119247794635599</v>
      </c>
      <c r="R3628">
        <v>8.1768882882052107</v>
      </c>
      <c r="S3628">
        <v>179</v>
      </c>
      <c r="T3628">
        <v>45</v>
      </c>
      <c r="U3628">
        <v>611.03555850601401</v>
      </c>
      <c r="V3628">
        <v>5.6153486195601298E-3</v>
      </c>
      <c r="W3628">
        <v>1413572.05351693</v>
      </c>
      <c r="X3628" t="s">
        <v>40</v>
      </c>
      <c r="Y3628">
        <f>1-359-835-8322</f>
        <v>-9515</v>
      </c>
    </row>
    <row r="3629" spans="1:25" x14ac:dyDescent="0.35">
      <c r="A3629">
        <v>36.117880098961798</v>
      </c>
      <c r="B3629">
        <v>-121.94404682749401</v>
      </c>
      <c r="C3629" t="s">
        <v>34</v>
      </c>
      <c r="D3629">
        <v>42.8012650522626</v>
      </c>
      <c r="E3629">
        <v>3</v>
      </c>
      <c r="F3629">
        <v>2413</v>
      </c>
      <c r="G3629">
        <v>1</v>
      </c>
      <c r="H3629">
        <v>3</v>
      </c>
      <c r="I3629">
        <v>2018</v>
      </c>
      <c r="J3629">
        <v>0</v>
      </c>
      <c r="K3629">
        <v>0</v>
      </c>
      <c r="L3629">
        <v>0</v>
      </c>
      <c r="M3629">
        <v>4</v>
      </c>
      <c r="N3629" t="s">
        <v>35</v>
      </c>
      <c r="O3629" t="s">
        <v>27</v>
      </c>
      <c r="P3629">
        <v>2.7227576640822599</v>
      </c>
      <c r="Q3629">
        <v>0.76756480544095895</v>
      </c>
      <c r="R3629">
        <v>6.5579024314038996</v>
      </c>
      <c r="S3629">
        <v>128</v>
      </c>
      <c r="T3629">
        <v>43</v>
      </c>
      <c r="U3629">
        <v>425.72536974965601</v>
      </c>
      <c r="V3629">
        <v>1.6576875259013599E-3</v>
      </c>
      <c r="W3629">
        <v>1083455.1582915799</v>
      </c>
      <c r="X3629" t="s">
        <v>33</v>
      </c>
      <c r="Y3629">
        <f>1-336-430-6026</f>
        <v>-6791</v>
      </c>
    </row>
    <row r="3630" spans="1:25" x14ac:dyDescent="0.35">
      <c r="A3630">
        <v>34.6904630416903</v>
      </c>
      <c r="B3630">
        <v>-117.876367832833</v>
      </c>
      <c r="C3630" t="s">
        <v>25</v>
      </c>
      <c r="D3630">
        <v>15.9424096055091</v>
      </c>
      <c r="E3630">
        <v>7</v>
      </c>
      <c r="F3630">
        <v>1131</v>
      </c>
      <c r="G3630">
        <v>1</v>
      </c>
      <c r="H3630">
        <v>2</v>
      </c>
      <c r="I3630">
        <v>1975</v>
      </c>
      <c r="J3630">
        <v>0</v>
      </c>
      <c r="K3630">
        <v>1</v>
      </c>
      <c r="L3630">
        <v>0</v>
      </c>
      <c r="M3630">
        <v>11</v>
      </c>
      <c r="N3630" t="s">
        <v>37</v>
      </c>
      <c r="O3630" t="s">
        <v>27</v>
      </c>
      <c r="P3630">
        <v>13.3940410163412</v>
      </c>
      <c r="Q3630">
        <v>0.588492853450166</v>
      </c>
      <c r="R3630">
        <v>9.7286921293637096</v>
      </c>
      <c r="S3630">
        <v>164</v>
      </c>
      <c r="T3630">
        <v>37</v>
      </c>
      <c r="U3630">
        <v>876.48261837348502</v>
      </c>
      <c r="V3630">
        <v>9.7259062776304094E-3</v>
      </c>
      <c r="W3630">
        <v>1245478.7150964399</v>
      </c>
      <c r="X3630" t="s">
        <v>43</v>
      </c>
      <c r="Y3630">
        <f>1-912-428-3839</f>
        <v>-5178</v>
      </c>
    </row>
    <row r="3631" spans="1:25" x14ac:dyDescent="0.35">
      <c r="A3631">
        <v>33.824553467363103</v>
      </c>
      <c r="B3631">
        <v>-116.49320242675201</v>
      </c>
      <c r="C3631" t="s">
        <v>25</v>
      </c>
      <c r="D3631">
        <v>5.5747406664205101</v>
      </c>
      <c r="E3631">
        <v>9</v>
      </c>
      <c r="F3631">
        <v>2025</v>
      </c>
      <c r="G3631">
        <v>1</v>
      </c>
      <c r="H3631">
        <v>1</v>
      </c>
      <c r="I3631">
        <v>2003</v>
      </c>
      <c r="J3631">
        <v>0</v>
      </c>
      <c r="K3631">
        <v>1</v>
      </c>
      <c r="L3631">
        <v>1</v>
      </c>
      <c r="M3631">
        <v>2</v>
      </c>
      <c r="N3631" t="s">
        <v>41</v>
      </c>
      <c r="O3631" t="s">
        <v>32</v>
      </c>
      <c r="P3631">
        <v>2.4214932648056502</v>
      </c>
      <c r="Q3631">
        <v>2.4208620154512399</v>
      </c>
      <c r="R3631">
        <v>2.58547802122412</v>
      </c>
      <c r="S3631">
        <v>81</v>
      </c>
      <c r="T3631">
        <v>41</v>
      </c>
      <c r="U3631">
        <v>734.22672083339</v>
      </c>
      <c r="V3631">
        <v>9.8765432098765391E-4</v>
      </c>
      <c r="W3631">
        <v>1607639.2250791299</v>
      </c>
      <c r="X3631" t="s">
        <v>28</v>
      </c>
      <c r="Y3631">
        <f>1-697-987-9521</f>
        <v>-11204</v>
      </c>
    </row>
    <row r="3632" spans="1:25" x14ac:dyDescent="0.35">
      <c r="A3632">
        <v>39.981118978157497</v>
      </c>
      <c r="B3632">
        <v>-117.96252117965101</v>
      </c>
      <c r="C3632" t="s">
        <v>34</v>
      </c>
      <c r="D3632">
        <v>17.668034239621299</v>
      </c>
      <c r="E3632">
        <v>9</v>
      </c>
      <c r="F3632">
        <v>4638</v>
      </c>
      <c r="G3632">
        <v>4</v>
      </c>
      <c r="H3632">
        <v>1</v>
      </c>
      <c r="I3632">
        <v>1970</v>
      </c>
      <c r="J3632">
        <v>1</v>
      </c>
      <c r="K3632">
        <v>1</v>
      </c>
      <c r="L3632">
        <v>0</v>
      </c>
      <c r="M3632">
        <v>10</v>
      </c>
      <c r="N3632" t="s">
        <v>26</v>
      </c>
      <c r="O3632" t="s">
        <v>27</v>
      </c>
      <c r="P3632">
        <v>11.5279095668797</v>
      </c>
      <c r="Q3632">
        <v>2.4976202598045099</v>
      </c>
      <c r="R3632">
        <v>8.6244591601823295</v>
      </c>
      <c r="S3632">
        <v>44</v>
      </c>
      <c r="T3632">
        <v>59</v>
      </c>
      <c r="U3632">
        <v>528.08617079320595</v>
      </c>
      <c r="V3632">
        <v>2.15610176800344E-3</v>
      </c>
      <c r="W3632">
        <v>2956373.6734555298</v>
      </c>
      <c r="X3632" t="s">
        <v>42</v>
      </c>
      <c r="Y3632">
        <f>1-961-178-4628</f>
        <v>-5766</v>
      </c>
    </row>
    <row r="3633" spans="1:25" x14ac:dyDescent="0.35">
      <c r="A3633">
        <v>32.642829293238698</v>
      </c>
      <c r="B3633">
        <v>-122.235542535115</v>
      </c>
      <c r="C3633" t="s">
        <v>29</v>
      </c>
      <c r="D3633">
        <v>36.2978506671204</v>
      </c>
      <c r="E3633">
        <v>1</v>
      </c>
      <c r="F3633">
        <v>3038</v>
      </c>
      <c r="G3633">
        <v>2</v>
      </c>
      <c r="H3633">
        <v>2</v>
      </c>
      <c r="I3633">
        <v>1966</v>
      </c>
      <c r="J3633">
        <v>0</v>
      </c>
      <c r="K3633">
        <v>1</v>
      </c>
      <c r="L3633">
        <v>0</v>
      </c>
      <c r="M3633">
        <v>13</v>
      </c>
      <c r="N3633" t="s">
        <v>37</v>
      </c>
      <c r="O3633" t="s">
        <v>30</v>
      </c>
      <c r="P3633">
        <v>9.4461700953496699</v>
      </c>
      <c r="Q3633">
        <v>0.90878251122759701</v>
      </c>
      <c r="R3633">
        <v>3.2113659450826502</v>
      </c>
      <c r="S3633">
        <v>161</v>
      </c>
      <c r="T3633">
        <v>65</v>
      </c>
      <c r="U3633">
        <v>581.75322801535799</v>
      </c>
      <c r="V3633">
        <v>4.2791310072415999E-3</v>
      </c>
      <c r="W3633">
        <v>1958793.6030888101</v>
      </c>
      <c r="X3633" t="s">
        <v>33</v>
      </c>
      <c r="Y3633">
        <f>1-937-413-8489</f>
        <v>-9838</v>
      </c>
    </row>
    <row r="3634" spans="1:25" x14ac:dyDescent="0.35">
      <c r="A3634">
        <v>32.9751997711641</v>
      </c>
      <c r="B3634">
        <v>-115.299150164152</v>
      </c>
      <c r="C3634" t="s">
        <v>29</v>
      </c>
      <c r="D3634">
        <v>28.985027816276698</v>
      </c>
      <c r="E3634">
        <v>8</v>
      </c>
      <c r="F3634">
        <v>3102</v>
      </c>
      <c r="G3634">
        <v>4</v>
      </c>
      <c r="H3634">
        <v>2</v>
      </c>
      <c r="I3634">
        <v>2005</v>
      </c>
      <c r="J3634">
        <v>0</v>
      </c>
      <c r="K3634">
        <v>1</v>
      </c>
      <c r="L3634">
        <v>0</v>
      </c>
      <c r="M3634">
        <v>14</v>
      </c>
      <c r="N3634" t="s">
        <v>41</v>
      </c>
      <c r="O3634" t="s">
        <v>32</v>
      </c>
      <c r="P3634">
        <v>4.6325832489753198</v>
      </c>
      <c r="Q3634">
        <v>0.64345811966669297</v>
      </c>
      <c r="R3634">
        <v>9.6246275146503404</v>
      </c>
      <c r="S3634">
        <v>158</v>
      </c>
      <c r="T3634">
        <v>71</v>
      </c>
      <c r="U3634">
        <v>912.18068102442498</v>
      </c>
      <c r="V3634">
        <v>4.5132172791747197E-3</v>
      </c>
      <c r="W3634">
        <v>3199149.9936607601</v>
      </c>
      <c r="X3634" t="s">
        <v>28</v>
      </c>
      <c r="Y3634">
        <f>1-533-919-9145</f>
        <v>-10596</v>
      </c>
    </row>
    <row r="3635" spans="1:25" x14ac:dyDescent="0.35">
      <c r="A3635">
        <v>34.612744751226401</v>
      </c>
      <c r="B3635">
        <v>-121.939928900891</v>
      </c>
      <c r="C3635" t="s">
        <v>34</v>
      </c>
      <c r="D3635">
        <v>18.508583375652901</v>
      </c>
      <c r="E3635">
        <v>5</v>
      </c>
      <c r="F3635">
        <v>3511</v>
      </c>
      <c r="G3635">
        <v>1</v>
      </c>
      <c r="H3635">
        <v>1</v>
      </c>
      <c r="I3635">
        <v>2007</v>
      </c>
      <c r="J3635">
        <v>0</v>
      </c>
      <c r="K3635">
        <v>1</v>
      </c>
      <c r="L3635">
        <v>0</v>
      </c>
      <c r="M3635">
        <v>2</v>
      </c>
      <c r="N3635" t="s">
        <v>37</v>
      </c>
      <c r="O3635" t="s">
        <v>32</v>
      </c>
      <c r="P3635">
        <v>2.86074027525795</v>
      </c>
      <c r="Q3635">
        <v>1.5858265131018101</v>
      </c>
      <c r="R3635">
        <v>5.6371655177767996</v>
      </c>
      <c r="S3635">
        <v>62</v>
      </c>
      <c r="T3635">
        <v>65</v>
      </c>
      <c r="U3635">
        <v>303.959826092264</v>
      </c>
      <c r="V3635">
        <v>5.6963827969239503E-4</v>
      </c>
      <c r="W3635">
        <v>1199697.49830889</v>
      </c>
      <c r="X3635" t="s">
        <v>42</v>
      </c>
      <c r="Y3635">
        <f>1-895-350-3277</f>
        <v>-4521</v>
      </c>
    </row>
    <row r="3636" spans="1:25" x14ac:dyDescent="0.35">
      <c r="A3636">
        <v>38.840361918375301</v>
      </c>
      <c r="B3636">
        <v>-116.24470960148101</v>
      </c>
      <c r="C3636" t="s">
        <v>34</v>
      </c>
      <c r="D3636">
        <v>5.8732189247021802</v>
      </c>
      <c r="E3636">
        <v>4</v>
      </c>
      <c r="F3636">
        <v>542</v>
      </c>
      <c r="G3636">
        <v>4</v>
      </c>
      <c r="H3636">
        <v>3</v>
      </c>
      <c r="I3636">
        <v>1989</v>
      </c>
      <c r="J3636">
        <v>0</v>
      </c>
      <c r="K3636">
        <v>0</v>
      </c>
      <c r="L3636">
        <v>0</v>
      </c>
      <c r="M3636">
        <v>5</v>
      </c>
      <c r="N3636" t="s">
        <v>35</v>
      </c>
      <c r="O3636" t="s">
        <v>30</v>
      </c>
      <c r="P3636">
        <v>2.6201738601128399</v>
      </c>
      <c r="Q3636">
        <v>1.83766653205143</v>
      </c>
      <c r="R3636">
        <v>5.71176041593184</v>
      </c>
      <c r="S3636">
        <v>141</v>
      </c>
      <c r="T3636">
        <v>45</v>
      </c>
      <c r="U3636">
        <v>209.74584606717599</v>
      </c>
      <c r="V3636">
        <v>9.2250922509225092E-3</v>
      </c>
      <c r="W3636">
        <v>261935.75515929199</v>
      </c>
      <c r="X3636" t="s">
        <v>38</v>
      </c>
      <c r="Y3636">
        <f>1-515-728-2662</f>
        <v>-3904</v>
      </c>
    </row>
    <row r="3637" spans="1:25" x14ac:dyDescent="0.35">
      <c r="A3637">
        <v>34.012848457368897</v>
      </c>
      <c r="B3637">
        <v>-120.81196880576</v>
      </c>
      <c r="C3637" t="s">
        <v>25</v>
      </c>
      <c r="D3637">
        <v>16.493970401417901</v>
      </c>
      <c r="E3637">
        <v>8</v>
      </c>
      <c r="F3637">
        <v>3249</v>
      </c>
      <c r="G3637">
        <v>5</v>
      </c>
      <c r="H3637">
        <v>2</v>
      </c>
      <c r="I3637">
        <v>1974</v>
      </c>
      <c r="J3637">
        <v>1</v>
      </c>
      <c r="K3637">
        <v>1</v>
      </c>
      <c r="L3637">
        <v>0</v>
      </c>
      <c r="M3637">
        <v>2</v>
      </c>
      <c r="N3637" t="s">
        <v>26</v>
      </c>
      <c r="O3637" t="s">
        <v>27</v>
      </c>
      <c r="P3637">
        <v>8.0784453855017109</v>
      </c>
      <c r="Q3637">
        <v>0.73590969730854106</v>
      </c>
      <c r="R3637">
        <v>8.3773110896484297</v>
      </c>
      <c r="S3637">
        <v>21</v>
      </c>
      <c r="T3637">
        <v>49</v>
      </c>
      <c r="U3637">
        <v>980.49026175560402</v>
      </c>
      <c r="V3637">
        <v>6.1557402277623795E-4</v>
      </c>
      <c r="W3637">
        <v>3568361.7662085099</v>
      </c>
      <c r="X3637" t="s">
        <v>40</v>
      </c>
      <c r="Y3637">
        <f>1-301-469-3883</f>
        <v>-4652</v>
      </c>
    </row>
    <row r="3638" spans="1:25" x14ac:dyDescent="0.35">
      <c r="A3638">
        <v>32.634810926069001</v>
      </c>
      <c r="B3638">
        <v>-120.733208417169</v>
      </c>
      <c r="C3638" t="s">
        <v>25</v>
      </c>
      <c r="D3638">
        <v>32.913320685077899</v>
      </c>
      <c r="E3638">
        <v>7</v>
      </c>
      <c r="F3638">
        <v>4127</v>
      </c>
      <c r="G3638">
        <v>2</v>
      </c>
      <c r="H3638">
        <v>1</v>
      </c>
      <c r="I3638">
        <v>1956</v>
      </c>
      <c r="J3638">
        <v>1</v>
      </c>
      <c r="K3638">
        <v>0</v>
      </c>
      <c r="L3638">
        <v>0</v>
      </c>
      <c r="M3638">
        <v>7</v>
      </c>
      <c r="N3638" t="s">
        <v>35</v>
      </c>
      <c r="O3638" t="s">
        <v>32</v>
      </c>
      <c r="P3638">
        <v>13.3517093289664</v>
      </c>
      <c r="Q3638">
        <v>0.982605506102044</v>
      </c>
      <c r="R3638">
        <v>8.5074419978466498</v>
      </c>
      <c r="S3638">
        <v>62</v>
      </c>
      <c r="T3638">
        <v>45</v>
      </c>
      <c r="U3638">
        <v>662.38955726537199</v>
      </c>
      <c r="V3638">
        <v>1.69614732251029E-3</v>
      </c>
      <c r="W3638">
        <v>2954085.4429704398</v>
      </c>
      <c r="X3638" t="s">
        <v>44</v>
      </c>
      <c r="Y3638">
        <f>1-978-191-9437</f>
        <v>-10605</v>
      </c>
    </row>
    <row r="3639" spans="1:25" x14ac:dyDescent="0.35">
      <c r="A3639">
        <v>37.842620442779797</v>
      </c>
      <c r="B3639">
        <v>-122.91914465266299</v>
      </c>
      <c r="C3639" t="s">
        <v>25</v>
      </c>
      <c r="D3639">
        <v>17.3592259835292</v>
      </c>
      <c r="E3639">
        <v>8</v>
      </c>
      <c r="F3639">
        <v>4372</v>
      </c>
      <c r="G3639">
        <v>2</v>
      </c>
      <c r="H3639">
        <v>1</v>
      </c>
      <c r="I3639">
        <v>1955</v>
      </c>
      <c r="J3639">
        <v>0</v>
      </c>
      <c r="K3639">
        <v>0</v>
      </c>
      <c r="L3639">
        <v>1</v>
      </c>
      <c r="M3639">
        <v>11</v>
      </c>
      <c r="N3639" t="s">
        <v>41</v>
      </c>
      <c r="O3639" t="s">
        <v>32</v>
      </c>
      <c r="P3639">
        <v>3.0287419333758598</v>
      </c>
      <c r="Q3639">
        <v>1.3019479705607699</v>
      </c>
      <c r="R3639">
        <v>1.5515545027751201</v>
      </c>
      <c r="S3639">
        <v>90</v>
      </c>
      <c r="T3639">
        <v>38</v>
      </c>
      <c r="U3639">
        <v>985.75080050011195</v>
      </c>
      <c r="V3639">
        <v>2.5160109789569901E-3</v>
      </c>
      <c r="W3639">
        <v>4371552.4379666001</v>
      </c>
      <c r="X3639" t="s">
        <v>28</v>
      </c>
      <c r="Y3639">
        <f>1-491-354-9420</f>
        <v>-10264</v>
      </c>
    </row>
    <row r="3640" spans="1:25" x14ac:dyDescent="0.35">
      <c r="A3640">
        <v>39.194756414948699</v>
      </c>
      <c r="B3640">
        <v>-120.96508289249201</v>
      </c>
      <c r="C3640" t="s">
        <v>34</v>
      </c>
      <c r="D3640">
        <v>35.508508540928503</v>
      </c>
      <c r="E3640">
        <v>4</v>
      </c>
      <c r="F3640">
        <v>685</v>
      </c>
      <c r="G3640">
        <v>4</v>
      </c>
      <c r="H3640">
        <v>1</v>
      </c>
      <c r="I3640">
        <v>1973</v>
      </c>
      <c r="J3640">
        <v>0</v>
      </c>
      <c r="K3640">
        <v>1</v>
      </c>
      <c r="L3640">
        <v>1</v>
      </c>
      <c r="M3640">
        <v>9</v>
      </c>
      <c r="N3640" t="s">
        <v>26</v>
      </c>
      <c r="O3640" t="s">
        <v>27</v>
      </c>
      <c r="P3640">
        <v>5.5371633778371701</v>
      </c>
      <c r="Q3640">
        <v>1.37353078518371</v>
      </c>
      <c r="R3640">
        <v>9.1271021663789007</v>
      </c>
      <c r="S3640">
        <v>134</v>
      </c>
      <c r="T3640">
        <v>79</v>
      </c>
      <c r="U3640">
        <v>320.33248477642502</v>
      </c>
      <c r="V3640">
        <v>1.3138686131386801E-2</v>
      </c>
      <c r="W3640">
        <v>499227.72054169601</v>
      </c>
      <c r="X3640" t="s">
        <v>38</v>
      </c>
      <c r="Y3640">
        <f>1-831-729-9669</f>
        <v>-11228</v>
      </c>
    </row>
    <row r="3641" spans="1:25" x14ac:dyDescent="0.35">
      <c r="A3641">
        <v>36.667886203664203</v>
      </c>
      <c r="B3641">
        <v>-117.54817344264301</v>
      </c>
      <c r="C3641" t="s">
        <v>34</v>
      </c>
      <c r="D3641">
        <v>3.5637311915634502</v>
      </c>
      <c r="E3641">
        <v>2</v>
      </c>
      <c r="F3641">
        <v>1921</v>
      </c>
      <c r="G3641">
        <v>1</v>
      </c>
      <c r="H3641">
        <v>2</v>
      </c>
      <c r="I3641">
        <v>1992</v>
      </c>
      <c r="J3641">
        <v>0</v>
      </c>
      <c r="K3641">
        <v>1</v>
      </c>
      <c r="L3641">
        <v>1</v>
      </c>
      <c r="M3641">
        <v>12</v>
      </c>
      <c r="N3641" t="s">
        <v>35</v>
      </c>
      <c r="O3641" t="s">
        <v>27</v>
      </c>
      <c r="P3641">
        <v>13.4521582587768</v>
      </c>
      <c r="Q3641">
        <v>0.90991162869131603</v>
      </c>
      <c r="R3641">
        <v>8.4230119897728208</v>
      </c>
      <c r="S3641">
        <v>195</v>
      </c>
      <c r="T3641">
        <v>78</v>
      </c>
      <c r="U3641">
        <v>663.48697161074597</v>
      </c>
      <c r="V3641">
        <v>6.2467464862050997E-3</v>
      </c>
      <c r="W3641">
        <v>1560009.5452811101</v>
      </c>
      <c r="X3641" t="s">
        <v>38</v>
      </c>
      <c r="Y3641">
        <f>1-343-435-5248</f>
        <v>-6025</v>
      </c>
    </row>
    <row r="3642" spans="1:25" x14ac:dyDescent="0.35">
      <c r="A3642">
        <v>34.450079132269302</v>
      </c>
      <c r="B3642">
        <v>-122.423009956656</v>
      </c>
      <c r="C3642" t="s">
        <v>29</v>
      </c>
      <c r="D3642">
        <v>41.894850284486402</v>
      </c>
      <c r="E3642">
        <v>1</v>
      </c>
      <c r="F3642">
        <v>3698</v>
      </c>
      <c r="G3642">
        <v>4</v>
      </c>
      <c r="H3642">
        <v>1</v>
      </c>
      <c r="I3642">
        <v>1966</v>
      </c>
      <c r="J3642">
        <v>1</v>
      </c>
      <c r="K3642">
        <v>0</v>
      </c>
      <c r="L3642">
        <v>1</v>
      </c>
      <c r="M3642">
        <v>2</v>
      </c>
      <c r="N3642" t="s">
        <v>37</v>
      </c>
      <c r="O3642" t="s">
        <v>27</v>
      </c>
      <c r="P3642">
        <v>10.754199373465401</v>
      </c>
      <c r="Q3642">
        <v>1.7095570249613301</v>
      </c>
      <c r="R3642">
        <v>8.65263212169884</v>
      </c>
      <c r="S3642">
        <v>104</v>
      </c>
      <c r="T3642">
        <v>47</v>
      </c>
      <c r="U3642">
        <v>343.06629881737302</v>
      </c>
      <c r="V3642">
        <v>5.4083288263926397E-4</v>
      </c>
      <c r="W3642">
        <v>1572029.8911175099</v>
      </c>
      <c r="X3642" t="s">
        <v>44</v>
      </c>
      <c r="Y3642">
        <f>1-519-364-2022</f>
        <v>-2904</v>
      </c>
    </row>
    <row r="3643" spans="1:25" x14ac:dyDescent="0.35">
      <c r="A3643">
        <v>34.228275256117101</v>
      </c>
      <c r="B3643">
        <v>-124.072087710388</v>
      </c>
      <c r="C3643" t="s">
        <v>25</v>
      </c>
      <c r="D3643">
        <v>37.6190267569242</v>
      </c>
      <c r="E3643">
        <v>2</v>
      </c>
      <c r="F3643">
        <v>2062</v>
      </c>
      <c r="G3643">
        <v>2</v>
      </c>
      <c r="H3643">
        <v>3</v>
      </c>
      <c r="I3643">
        <v>1993</v>
      </c>
      <c r="J3643">
        <v>1</v>
      </c>
      <c r="K3643">
        <v>1</v>
      </c>
      <c r="L3643">
        <v>0</v>
      </c>
      <c r="M3643">
        <v>11</v>
      </c>
      <c r="N3643" t="s">
        <v>41</v>
      </c>
      <c r="O3643" t="s">
        <v>27</v>
      </c>
      <c r="P3643">
        <v>11.6705743281442</v>
      </c>
      <c r="Q3643">
        <v>2.4336363992678001</v>
      </c>
      <c r="R3643">
        <v>1.14559706859157</v>
      </c>
      <c r="S3643">
        <v>182</v>
      </c>
      <c r="T3643">
        <v>64</v>
      </c>
      <c r="U3643">
        <v>625.44437406695999</v>
      </c>
      <c r="V3643">
        <v>5.3346265761396701E-3</v>
      </c>
      <c r="W3643">
        <v>1709832.54339716</v>
      </c>
      <c r="X3643" t="s">
        <v>38</v>
      </c>
      <c r="Y3643">
        <f>1-828-722-4735</f>
        <v>-6284</v>
      </c>
    </row>
    <row r="3644" spans="1:25" x14ac:dyDescent="0.35">
      <c r="A3644">
        <v>35.744446290124401</v>
      </c>
      <c r="B3644">
        <v>-123.020477450622</v>
      </c>
      <c r="C3644" t="s">
        <v>25</v>
      </c>
      <c r="D3644">
        <v>12.0706955876639</v>
      </c>
      <c r="E3644">
        <v>2</v>
      </c>
      <c r="F3644">
        <v>1568</v>
      </c>
      <c r="G3644">
        <v>1</v>
      </c>
      <c r="H3644">
        <v>3</v>
      </c>
      <c r="I3644">
        <v>2015</v>
      </c>
      <c r="J3644">
        <v>0</v>
      </c>
      <c r="K3644">
        <v>0</v>
      </c>
      <c r="L3644">
        <v>0</v>
      </c>
      <c r="M3644">
        <v>6</v>
      </c>
      <c r="N3644" t="s">
        <v>26</v>
      </c>
      <c r="O3644" t="s">
        <v>32</v>
      </c>
      <c r="P3644">
        <v>11.6450453313422</v>
      </c>
      <c r="Q3644">
        <v>0.97041883534729101</v>
      </c>
      <c r="R3644">
        <v>5.4337444571681797</v>
      </c>
      <c r="S3644">
        <v>42</v>
      </c>
      <c r="T3644">
        <v>43</v>
      </c>
      <c r="U3644">
        <v>260.20505287542699</v>
      </c>
      <c r="V3644">
        <v>3.8265306122448901E-3</v>
      </c>
      <c r="W3644">
        <v>548387.94402226096</v>
      </c>
      <c r="X3644" t="s">
        <v>44</v>
      </c>
      <c r="Y3644">
        <f>1-435-194-8809</f>
        <v>-9437</v>
      </c>
    </row>
    <row r="3645" spans="1:25" x14ac:dyDescent="0.35">
      <c r="A3645">
        <v>36.2786608814015</v>
      </c>
      <c r="B3645">
        <v>-114.49728625585701</v>
      </c>
      <c r="C3645" t="s">
        <v>34</v>
      </c>
      <c r="D3645">
        <v>37.792707813646999</v>
      </c>
      <c r="E3645">
        <v>2</v>
      </c>
      <c r="F3645">
        <v>592</v>
      </c>
      <c r="G3645">
        <v>5</v>
      </c>
      <c r="H3645">
        <v>3</v>
      </c>
      <c r="I3645">
        <v>1978</v>
      </c>
      <c r="J3645">
        <v>0</v>
      </c>
      <c r="K3645">
        <v>0</v>
      </c>
      <c r="L3645">
        <v>1</v>
      </c>
      <c r="M3645">
        <v>6</v>
      </c>
      <c r="N3645" t="s">
        <v>41</v>
      </c>
      <c r="O3645" t="s">
        <v>30</v>
      </c>
      <c r="P3645">
        <v>3.9689217701479702</v>
      </c>
      <c r="Q3645">
        <v>1.2621965126460399</v>
      </c>
      <c r="R3645">
        <v>9.1632285405529093</v>
      </c>
      <c r="S3645">
        <v>136</v>
      </c>
      <c r="T3645">
        <v>67</v>
      </c>
      <c r="U3645">
        <v>259.84246959355499</v>
      </c>
      <c r="V3645">
        <v>1.0135135135135099E-2</v>
      </c>
      <c r="W3645">
        <v>435085.62764616299</v>
      </c>
      <c r="X3645" t="s">
        <v>39</v>
      </c>
      <c r="Y3645">
        <f>1-846-867-4899</f>
        <v>-6611</v>
      </c>
    </row>
    <row r="3646" spans="1:25" x14ac:dyDescent="0.35">
      <c r="A3646">
        <v>39.849906232490802</v>
      </c>
      <c r="B3646">
        <v>-123.799581666015</v>
      </c>
      <c r="C3646" t="s">
        <v>34</v>
      </c>
      <c r="D3646">
        <v>28.854051982995198</v>
      </c>
      <c r="E3646">
        <v>3</v>
      </c>
      <c r="F3646">
        <v>3913</v>
      </c>
      <c r="G3646">
        <v>4</v>
      </c>
      <c r="H3646">
        <v>3</v>
      </c>
      <c r="I3646">
        <v>1982</v>
      </c>
      <c r="J3646">
        <v>1</v>
      </c>
      <c r="K3646">
        <v>1</v>
      </c>
      <c r="L3646">
        <v>0</v>
      </c>
      <c r="M3646">
        <v>2</v>
      </c>
      <c r="N3646" t="s">
        <v>37</v>
      </c>
      <c r="O3646" t="s">
        <v>30</v>
      </c>
      <c r="P3646">
        <v>5.4618949977836797</v>
      </c>
      <c r="Q3646">
        <v>1.5617721260647901</v>
      </c>
      <c r="R3646">
        <v>0.109083394005724</v>
      </c>
      <c r="S3646">
        <v>96</v>
      </c>
      <c r="T3646">
        <v>59</v>
      </c>
      <c r="U3646">
        <v>998.44953447387002</v>
      </c>
      <c r="V3646">
        <v>5.1111679018655696E-4</v>
      </c>
      <c r="W3646">
        <v>4245806.0461741798</v>
      </c>
      <c r="X3646" t="s">
        <v>38</v>
      </c>
      <c r="Y3646">
        <f>1-911-955-3433</f>
        <v>-5298</v>
      </c>
    </row>
    <row r="3647" spans="1:25" x14ac:dyDescent="0.35">
      <c r="A3647">
        <v>33.7956765953816</v>
      </c>
      <c r="B3647">
        <v>-116.193666136122</v>
      </c>
      <c r="C3647" t="s">
        <v>25</v>
      </c>
      <c r="D3647">
        <v>38.888820532912398</v>
      </c>
      <c r="E3647">
        <v>9</v>
      </c>
      <c r="F3647">
        <v>4035</v>
      </c>
      <c r="G3647">
        <v>4</v>
      </c>
      <c r="H3647">
        <v>2</v>
      </c>
      <c r="I3647">
        <v>1973</v>
      </c>
      <c r="J3647">
        <v>0</v>
      </c>
      <c r="K3647">
        <v>1</v>
      </c>
      <c r="L3647">
        <v>1</v>
      </c>
      <c r="M3647">
        <v>14</v>
      </c>
      <c r="N3647" t="s">
        <v>26</v>
      </c>
      <c r="O3647" t="s">
        <v>32</v>
      </c>
      <c r="P3647">
        <v>12.645228711363201</v>
      </c>
      <c r="Q3647">
        <v>2.2539408106875598</v>
      </c>
      <c r="R3647">
        <v>3.5300555832663001</v>
      </c>
      <c r="S3647">
        <v>57</v>
      </c>
      <c r="T3647">
        <v>65</v>
      </c>
      <c r="U3647">
        <v>889.840101500071</v>
      </c>
      <c r="V3647">
        <v>3.4696406443618299E-3</v>
      </c>
      <c r="W3647">
        <v>4006215.6331013902</v>
      </c>
      <c r="X3647" t="s">
        <v>43</v>
      </c>
      <c r="Y3647">
        <f>1-927-334-8565</f>
        <v>-9825</v>
      </c>
    </row>
    <row r="3648" spans="1:25" x14ac:dyDescent="0.35">
      <c r="A3648">
        <v>39.268683828301803</v>
      </c>
      <c r="B3648">
        <v>-114.977363227749</v>
      </c>
      <c r="C3648" t="s">
        <v>25</v>
      </c>
      <c r="D3648">
        <v>41.692839379247999</v>
      </c>
      <c r="E3648">
        <v>5</v>
      </c>
      <c r="F3648">
        <v>788</v>
      </c>
      <c r="G3648">
        <v>5</v>
      </c>
      <c r="H3648">
        <v>3</v>
      </c>
      <c r="I3648">
        <v>1993</v>
      </c>
      <c r="J3648">
        <v>1</v>
      </c>
      <c r="K3648">
        <v>0</v>
      </c>
      <c r="L3648">
        <v>1</v>
      </c>
      <c r="M3648">
        <v>8</v>
      </c>
      <c r="N3648" t="s">
        <v>26</v>
      </c>
      <c r="O3648" t="s">
        <v>30</v>
      </c>
      <c r="P3648">
        <v>11.3395114963228</v>
      </c>
      <c r="Q3648">
        <v>1.17497892208105</v>
      </c>
      <c r="R3648">
        <v>8.4211195438735995</v>
      </c>
      <c r="S3648">
        <v>88</v>
      </c>
      <c r="T3648">
        <v>58</v>
      </c>
      <c r="U3648">
        <v>597.60476412114997</v>
      </c>
      <c r="V3648">
        <v>1.01522842639593E-2</v>
      </c>
      <c r="W3648">
        <v>856530.79644885601</v>
      </c>
      <c r="X3648" t="s">
        <v>33</v>
      </c>
      <c r="Y3648">
        <f>1-795-279-6097</f>
        <v>-7170</v>
      </c>
    </row>
    <row r="3649" spans="1:25" x14ac:dyDescent="0.35">
      <c r="A3649">
        <v>41.8203936815422</v>
      </c>
      <c r="B3649">
        <v>-121.87134331825</v>
      </c>
      <c r="C3649" t="s">
        <v>34</v>
      </c>
      <c r="D3649">
        <v>48.809936732069197</v>
      </c>
      <c r="E3649">
        <v>3</v>
      </c>
      <c r="F3649">
        <v>2144</v>
      </c>
      <c r="G3649">
        <v>2</v>
      </c>
      <c r="H3649">
        <v>1</v>
      </c>
      <c r="I3649">
        <v>2004</v>
      </c>
      <c r="J3649">
        <v>0</v>
      </c>
      <c r="K3649">
        <v>1</v>
      </c>
      <c r="L3649">
        <v>0</v>
      </c>
      <c r="M3649">
        <v>2</v>
      </c>
      <c r="N3649" t="s">
        <v>41</v>
      </c>
      <c r="O3649" t="s">
        <v>32</v>
      </c>
      <c r="P3649">
        <v>12.763390590516201</v>
      </c>
      <c r="Q3649">
        <v>1.19896743621499</v>
      </c>
      <c r="R3649">
        <v>2.1083709554844199</v>
      </c>
      <c r="S3649">
        <v>185</v>
      </c>
      <c r="T3649">
        <v>70</v>
      </c>
      <c r="U3649">
        <v>525.12030102877304</v>
      </c>
      <c r="V3649">
        <v>9.3283582089552204E-4</v>
      </c>
      <c r="W3649">
        <v>1414627.3507206801</v>
      </c>
      <c r="X3649" t="s">
        <v>42</v>
      </c>
      <c r="Y3649">
        <f>1-959-942-3773</f>
        <v>-5673</v>
      </c>
    </row>
    <row r="3650" spans="1:25" x14ac:dyDescent="0.35">
      <c r="A3650">
        <v>39.047778629518902</v>
      </c>
      <c r="B3650">
        <v>-116.296164054889</v>
      </c>
      <c r="C3650" t="s">
        <v>25</v>
      </c>
      <c r="D3650">
        <v>22.275378547519601</v>
      </c>
      <c r="E3650">
        <v>0</v>
      </c>
      <c r="F3650">
        <v>3987</v>
      </c>
      <c r="G3650">
        <v>4</v>
      </c>
      <c r="H3650">
        <v>1</v>
      </c>
      <c r="I3650">
        <v>1988</v>
      </c>
      <c r="J3650">
        <v>0</v>
      </c>
      <c r="K3650">
        <v>0</v>
      </c>
      <c r="L3650">
        <v>0</v>
      </c>
      <c r="M3650">
        <v>6</v>
      </c>
      <c r="N3650" t="s">
        <v>41</v>
      </c>
      <c r="O3650" t="s">
        <v>30</v>
      </c>
      <c r="P3650">
        <v>10.783642271683799</v>
      </c>
      <c r="Q3650">
        <v>1.12420136774058</v>
      </c>
      <c r="R3650">
        <v>9.5988371696167292</v>
      </c>
      <c r="S3650">
        <v>136</v>
      </c>
      <c r="T3650">
        <v>21</v>
      </c>
      <c r="U3650">
        <v>832.03503453316296</v>
      </c>
      <c r="V3650">
        <v>1.5048908954100799E-3</v>
      </c>
      <c r="W3650">
        <v>3567653.7748577902</v>
      </c>
      <c r="X3650" t="s">
        <v>39</v>
      </c>
      <c r="Y3650">
        <f>1-684-411-4723</f>
        <v>-5817</v>
      </c>
    </row>
    <row r="3651" spans="1:25" x14ac:dyDescent="0.35">
      <c r="A3651">
        <v>39.010725559110099</v>
      </c>
      <c r="B3651">
        <v>-119.673167781475</v>
      </c>
      <c r="C3651" t="s">
        <v>29</v>
      </c>
      <c r="D3651">
        <v>40.239186846374899</v>
      </c>
      <c r="E3651">
        <v>8</v>
      </c>
      <c r="F3651">
        <v>1064</v>
      </c>
      <c r="G3651">
        <v>2</v>
      </c>
      <c r="H3651">
        <v>3</v>
      </c>
      <c r="I3651">
        <v>1952</v>
      </c>
      <c r="J3651">
        <v>0</v>
      </c>
      <c r="K3651">
        <v>1</v>
      </c>
      <c r="L3651">
        <v>1</v>
      </c>
      <c r="M3651">
        <v>4</v>
      </c>
      <c r="N3651" t="s">
        <v>41</v>
      </c>
      <c r="O3651" t="s">
        <v>27</v>
      </c>
      <c r="P3651">
        <v>13.1765254817344</v>
      </c>
      <c r="Q3651">
        <v>0.58238429620960197</v>
      </c>
      <c r="R3651">
        <v>0.22418532765940299</v>
      </c>
      <c r="S3651">
        <v>18</v>
      </c>
      <c r="T3651">
        <v>33</v>
      </c>
      <c r="U3651">
        <v>270.67227452810499</v>
      </c>
      <c r="V3651">
        <v>3.7593984962406E-3</v>
      </c>
      <c r="W3651">
        <v>520224.29248738597</v>
      </c>
      <c r="X3651" t="s">
        <v>36</v>
      </c>
      <c r="Y3651">
        <f>1-588-679-7971</f>
        <v>-9237</v>
      </c>
    </row>
    <row r="3652" spans="1:25" x14ac:dyDescent="0.35">
      <c r="A3652">
        <v>34.085005366675702</v>
      </c>
      <c r="B3652">
        <v>-119.133745068807</v>
      </c>
      <c r="C3652" t="s">
        <v>29</v>
      </c>
      <c r="D3652">
        <v>22.722120178273698</v>
      </c>
      <c r="E3652">
        <v>1</v>
      </c>
      <c r="F3652">
        <v>4400</v>
      </c>
      <c r="G3652">
        <v>5</v>
      </c>
      <c r="H3652">
        <v>3</v>
      </c>
      <c r="I3652">
        <v>1958</v>
      </c>
      <c r="J3652">
        <v>0</v>
      </c>
      <c r="K3652">
        <v>1</v>
      </c>
      <c r="L3652">
        <v>0</v>
      </c>
      <c r="M3652">
        <v>6</v>
      </c>
      <c r="N3652" t="s">
        <v>35</v>
      </c>
      <c r="O3652" t="s">
        <v>30</v>
      </c>
      <c r="P3652">
        <v>5.2192322658144699</v>
      </c>
      <c r="Q3652">
        <v>1.3148651224772301</v>
      </c>
      <c r="R3652">
        <v>4.1972515733873301</v>
      </c>
      <c r="S3652">
        <v>116</v>
      </c>
      <c r="T3652">
        <v>75</v>
      </c>
      <c r="U3652">
        <v>494.11259697035899</v>
      </c>
      <c r="V3652">
        <v>1.3636363636363601E-3</v>
      </c>
      <c r="W3652">
        <v>2465672.61739359</v>
      </c>
      <c r="X3652" t="s">
        <v>31</v>
      </c>
      <c r="Y3652">
        <f>1-524-624-1912</f>
        <v>-3059</v>
      </c>
    </row>
    <row r="3653" spans="1:25" x14ac:dyDescent="0.35">
      <c r="A3653">
        <v>34.049682847269402</v>
      </c>
      <c r="B3653">
        <v>-118.27042332174</v>
      </c>
      <c r="C3653" t="s">
        <v>29</v>
      </c>
      <c r="D3653">
        <v>14.7386677934057</v>
      </c>
      <c r="E3653">
        <v>7</v>
      </c>
      <c r="F3653">
        <v>3942</v>
      </c>
      <c r="G3653">
        <v>5</v>
      </c>
      <c r="H3653">
        <v>1</v>
      </c>
      <c r="I3653">
        <v>1992</v>
      </c>
      <c r="J3653">
        <v>0</v>
      </c>
      <c r="K3653">
        <v>1</v>
      </c>
      <c r="L3653">
        <v>0</v>
      </c>
      <c r="M3653">
        <v>7</v>
      </c>
      <c r="N3653" t="s">
        <v>37</v>
      </c>
      <c r="O3653" t="s">
        <v>32</v>
      </c>
      <c r="P3653">
        <v>7.1067891224327298</v>
      </c>
      <c r="Q3653">
        <v>1.88664886138435</v>
      </c>
      <c r="R3653">
        <v>0.28221618284140099</v>
      </c>
      <c r="S3653">
        <v>51</v>
      </c>
      <c r="T3653">
        <v>79</v>
      </c>
      <c r="U3653">
        <v>906.82325391600398</v>
      </c>
      <c r="V3653">
        <v>1.77574835109081E-3</v>
      </c>
      <c r="W3653">
        <v>3907530.0250530201</v>
      </c>
      <c r="X3653" t="s">
        <v>28</v>
      </c>
      <c r="Y3653">
        <f>1-622-501-6954</f>
        <v>-8076</v>
      </c>
    </row>
    <row r="3654" spans="1:25" x14ac:dyDescent="0.35">
      <c r="A3654">
        <v>35.254992215490603</v>
      </c>
      <c r="B3654">
        <v>-120.391178154729</v>
      </c>
      <c r="C3654" t="s">
        <v>34</v>
      </c>
      <c r="D3654">
        <v>49.761241122267201</v>
      </c>
      <c r="E3654">
        <v>5</v>
      </c>
      <c r="F3654">
        <v>893</v>
      </c>
      <c r="G3654">
        <v>1</v>
      </c>
      <c r="H3654">
        <v>2</v>
      </c>
      <c r="I3654">
        <v>1975</v>
      </c>
      <c r="J3654">
        <v>1</v>
      </c>
      <c r="K3654">
        <v>1</v>
      </c>
      <c r="L3654">
        <v>0</v>
      </c>
      <c r="M3654">
        <v>13</v>
      </c>
      <c r="N3654" t="s">
        <v>41</v>
      </c>
      <c r="O3654" t="s">
        <v>30</v>
      </c>
      <c r="P3654">
        <v>14.7484056610735</v>
      </c>
      <c r="Q3654">
        <v>1.7446900293521299</v>
      </c>
      <c r="R3654">
        <v>5.2822506952272903</v>
      </c>
      <c r="S3654">
        <v>21</v>
      </c>
      <c r="T3654">
        <v>29</v>
      </c>
      <c r="U3654">
        <v>751.84142219504304</v>
      </c>
      <c r="V3654">
        <v>1.45576707726763E-2</v>
      </c>
      <c r="W3654">
        <v>907434.55451001297</v>
      </c>
      <c r="X3654" t="s">
        <v>36</v>
      </c>
      <c r="Y3654">
        <f>1-860-790-3761</f>
        <v>-5410</v>
      </c>
    </row>
    <row r="3655" spans="1:25" x14ac:dyDescent="0.35">
      <c r="A3655">
        <v>40.9575447729693</v>
      </c>
      <c r="B3655">
        <v>-115.269726824298</v>
      </c>
      <c r="C3655" t="s">
        <v>25</v>
      </c>
      <c r="D3655">
        <v>30.6907009114224</v>
      </c>
      <c r="E3655">
        <v>6</v>
      </c>
      <c r="F3655">
        <v>3924</v>
      </c>
      <c r="G3655">
        <v>5</v>
      </c>
      <c r="H3655">
        <v>1</v>
      </c>
      <c r="I3655">
        <v>1999</v>
      </c>
      <c r="J3655">
        <v>1</v>
      </c>
      <c r="K3655">
        <v>1</v>
      </c>
      <c r="L3655">
        <v>1</v>
      </c>
      <c r="M3655">
        <v>2</v>
      </c>
      <c r="N3655" t="s">
        <v>35</v>
      </c>
      <c r="O3655" t="s">
        <v>27</v>
      </c>
      <c r="P3655">
        <v>10.996115311601701</v>
      </c>
      <c r="Q3655">
        <v>1.3678330806368</v>
      </c>
      <c r="R3655">
        <v>5.58824805500997</v>
      </c>
      <c r="S3655">
        <v>59</v>
      </c>
      <c r="T3655">
        <v>21</v>
      </c>
      <c r="U3655">
        <v>568.45476825772005</v>
      </c>
      <c r="V3655">
        <v>5.0968399592252796E-4</v>
      </c>
      <c r="W3655">
        <v>2706567.8405675902</v>
      </c>
      <c r="X3655" t="s">
        <v>42</v>
      </c>
      <c r="Y3655">
        <f>1-269-397-6321</f>
        <v>-6986</v>
      </c>
    </row>
    <row r="3656" spans="1:25" x14ac:dyDescent="0.35">
      <c r="A3656">
        <v>40.273921263553</v>
      </c>
      <c r="B3656">
        <v>-115.82260540519199</v>
      </c>
      <c r="C3656" t="s">
        <v>29</v>
      </c>
      <c r="D3656">
        <v>44.330213996204002</v>
      </c>
      <c r="E3656">
        <v>5</v>
      </c>
      <c r="F3656">
        <v>3249</v>
      </c>
      <c r="G3656">
        <v>5</v>
      </c>
      <c r="H3656">
        <v>3</v>
      </c>
      <c r="I3656">
        <v>2002</v>
      </c>
      <c r="J3656">
        <v>0</v>
      </c>
      <c r="K3656">
        <v>0</v>
      </c>
      <c r="L3656">
        <v>0</v>
      </c>
      <c r="M3656">
        <v>5</v>
      </c>
      <c r="N3656" t="s">
        <v>35</v>
      </c>
      <c r="O3656" t="s">
        <v>27</v>
      </c>
      <c r="P3656">
        <v>13.913380150173399</v>
      </c>
      <c r="Q3656">
        <v>1.78860103991623</v>
      </c>
      <c r="R3656">
        <v>5.9246667782091098</v>
      </c>
      <c r="S3656">
        <v>48</v>
      </c>
      <c r="T3656">
        <v>31</v>
      </c>
      <c r="U3656">
        <v>680.92938643968</v>
      </c>
      <c r="V3656">
        <v>1.53893505694059E-3</v>
      </c>
      <c r="W3656">
        <v>2531556.04935514</v>
      </c>
      <c r="X3656" t="s">
        <v>39</v>
      </c>
      <c r="Y3656">
        <f>1-707-841-3209</f>
        <v>-4756</v>
      </c>
    </row>
    <row r="3657" spans="1:25" x14ac:dyDescent="0.35">
      <c r="A3657">
        <v>35.185947819309398</v>
      </c>
      <c r="B3657">
        <v>-118.539031408002</v>
      </c>
      <c r="C3657" t="s">
        <v>25</v>
      </c>
      <c r="D3657">
        <v>30.820888989391701</v>
      </c>
      <c r="E3657">
        <v>0</v>
      </c>
      <c r="F3657">
        <v>3926</v>
      </c>
      <c r="G3657">
        <v>2</v>
      </c>
      <c r="H3657">
        <v>1</v>
      </c>
      <c r="I3657">
        <v>1961</v>
      </c>
      <c r="J3657">
        <v>1</v>
      </c>
      <c r="K3657">
        <v>1</v>
      </c>
      <c r="L3657">
        <v>1</v>
      </c>
      <c r="M3657">
        <v>3</v>
      </c>
      <c r="N3657" t="s">
        <v>41</v>
      </c>
      <c r="O3657" t="s">
        <v>27</v>
      </c>
      <c r="P3657">
        <v>7.9606765279153304</v>
      </c>
      <c r="Q3657">
        <v>1.6316269333995299</v>
      </c>
      <c r="R3657">
        <v>6.66125140350898</v>
      </c>
      <c r="S3657">
        <v>91</v>
      </c>
      <c r="T3657">
        <v>44</v>
      </c>
      <c r="U3657">
        <v>910.41854337410803</v>
      </c>
      <c r="V3657">
        <v>7.6413652572592905E-4</v>
      </c>
      <c r="W3657">
        <v>3779482.1072826399</v>
      </c>
      <c r="X3657" t="s">
        <v>38</v>
      </c>
      <c r="Y3657">
        <f>1-603-927-4103</f>
        <v>-5632</v>
      </c>
    </row>
    <row r="3658" spans="1:25" x14ac:dyDescent="0.35">
      <c r="A3658">
        <v>37.877729953879502</v>
      </c>
      <c r="B3658">
        <v>-123.41610193424199</v>
      </c>
      <c r="C3658" t="s">
        <v>34</v>
      </c>
      <c r="D3658">
        <v>23.448376322541201</v>
      </c>
      <c r="E3658">
        <v>0</v>
      </c>
      <c r="F3658">
        <v>3775</v>
      </c>
      <c r="G3658">
        <v>5</v>
      </c>
      <c r="H3658">
        <v>2</v>
      </c>
      <c r="I3658">
        <v>1982</v>
      </c>
      <c r="J3658">
        <v>1</v>
      </c>
      <c r="K3658">
        <v>1</v>
      </c>
      <c r="L3658">
        <v>0</v>
      </c>
      <c r="M3658">
        <v>7</v>
      </c>
      <c r="N3658" t="s">
        <v>37</v>
      </c>
      <c r="O3658" t="s">
        <v>30</v>
      </c>
      <c r="P3658">
        <v>11.259457789248501</v>
      </c>
      <c r="Q3658">
        <v>2.1484409175447201</v>
      </c>
      <c r="R3658">
        <v>8.9987720838592509</v>
      </c>
      <c r="S3658">
        <v>134</v>
      </c>
      <c r="T3658">
        <v>54</v>
      </c>
      <c r="U3658">
        <v>270.26332815895199</v>
      </c>
      <c r="V3658">
        <v>1.8543046357615801E-3</v>
      </c>
      <c r="W3658">
        <v>1463477.0018486199</v>
      </c>
      <c r="X3658" t="s">
        <v>33</v>
      </c>
      <c r="Y3658">
        <f>1-775-466-7357</f>
        <v>-8597</v>
      </c>
    </row>
    <row r="3659" spans="1:25" x14ac:dyDescent="0.35">
      <c r="A3659">
        <v>38.537973785299101</v>
      </c>
      <c r="B3659">
        <v>-119.455858823043</v>
      </c>
      <c r="C3659" t="s">
        <v>29</v>
      </c>
      <c r="D3659">
        <v>24.0388417058588</v>
      </c>
      <c r="E3659">
        <v>6</v>
      </c>
      <c r="F3659">
        <v>2936</v>
      </c>
      <c r="G3659">
        <v>4</v>
      </c>
      <c r="H3659">
        <v>2</v>
      </c>
      <c r="I3659">
        <v>2004</v>
      </c>
      <c r="J3659">
        <v>0</v>
      </c>
      <c r="K3659">
        <v>0</v>
      </c>
      <c r="L3659">
        <v>0</v>
      </c>
      <c r="M3659">
        <v>10</v>
      </c>
      <c r="N3659" t="s">
        <v>26</v>
      </c>
      <c r="O3659" t="s">
        <v>32</v>
      </c>
      <c r="P3659">
        <v>2.4005123666704198</v>
      </c>
      <c r="Q3659">
        <v>1.6954576016588401</v>
      </c>
      <c r="R3659">
        <v>7.5311022813394297</v>
      </c>
      <c r="S3659">
        <v>162</v>
      </c>
      <c r="T3659">
        <v>30</v>
      </c>
      <c r="U3659">
        <v>801.80385453532699</v>
      </c>
      <c r="V3659">
        <v>3.4059945504087098E-3</v>
      </c>
      <c r="W3659">
        <v>2605680.4396579601</v>
      </c>
      <c r="X3659" t="s">
        <v>28</v>
      </c>
      <c r="Y3659">
        <f>1-270-523-6146</f>
        <v>-6938</v>
      </c>
    </row>
    <row r="3660" spans="1:25" x14ac:dyDescent="0.35">
      <c r="A3660">
        <v>33.501486431790703</v>
      </c>
      <c r="B3660">
        <v>-120.77709177671299</v>
      </c>
      <c r="C3660" t="s">
        <v>34</v>
      </c>
      <c r="D3660">
        <v>6.8505331071168198</v>
      </c>
      <c r="E3660">
        <v>6</v>
      </c>
      <c r="F3660">
        <v>2589</v>
      </c>
      <c r="G3660">
        <v>2</v>
      </c>
      <c r="H3660">
        <v>2</v>
      </c>
      <c r="I3660">
        <v>1967</v>
      </c>
      <c r="J3660">
        <v>0</v>
      </c>
      <c r="K3660">
        <v>0</v>
      </c>
      <c r="L3660">
        <v>0</v>
      </c>
      <c r="M3660">
        <v>14</v>
      </c>
      <c r="N3660" t="s">
        <v>26</v>
      </c>
      <c r="O3660" t="s">
        <v>32</v>
      </c>
      <c r="P3660">
        <v>9.0060741862173401</v>
      </c>
      <c r="Q3660">
        <v>1.2613622307863199</v>
      </c>
      <c r="R3660">
        <v>8.8211952898775898</v>
      </c>
      <c r="S3660">
        <v>15</v>
      </c>
      <c r="T3660">
        <v>37</v>
      </c>
      <c r="U3660">
        <v>567.00108044660396</v>
      </c>
      <c r="V3660">
        <v>5.4074932406334396E-3</v>
      </c>
      <c r="W3660">
        <v>1567134.6371707199</v>
      </c>
      <c r="X3660" t="s">
        <v>44</v>
      </c>
      <c r="Y3660">
        <f>1-944-793-2057</f>
        <v>-3793</v>
      </c>
    </row>
    <row r="3661" spans="1:25" x14ac:dyDescent="0.35">
      <c r="A3661">
        <v>39.731648067346804</v>
      </c>
      <c r="B3661">
        <v>-114.02526381800701</v>
      </c>
      <c r="C3661" t="s">
        <v>34</v>
      </c>
      <c r="D3661">
        <v>43.715974496042399</v>
      </c>
      <c r="E3661">
        <v>8</v>
      </c>
      <c r="F3661">
        <v>547</v>
      </c>
      <c r="G3661">
        <v>2</v>
      </c>
      <c r="H3661">
        <v>3</v>
      </c>
      <c r="I3661">
        <v>1951</v>
      </c>
      <c r="J3661">
        <v>1</v>
      </c>
      <c r="K3661">
        <v>0</v>
      </c>
      <c r="L3661">
        <v>0</v>
      </c>
      <c r="M3661">
        <v>6</v>
      </c>
      <c r="N3661" t="s">
        <v>41</v>
      </c>
      <c r="O3661" t="s">
        <v>27</v>
      </c>
      <c r="P3661">
        <v>7.8794074022498997</v>
      </c>
      <c r="Q3661">
        <v>0.58671425761210205</v>
      </c>
      <c r="R3661">
        <v>4.2654360047111304</v>
      </c>
      <c r="S3661">
        <v>72</v>
      </c>
      <c r="T3661">
        <v>61</v>
      </c>
      <c r="U3661">
        <v>568.74728597396495</v>
      </c>
      <c r="V3661">
        <v>1.09689213893967E-2</v>
      </c>
      <c r="W3661">
        <v>506973.04102036101</v>
      </c>
      <c r="X3661" t="s">
        <v>44</v>
      </c>
      <c r="Y3661">
        <f>1-490-754-1438</f>
        <v>-2681</v>
      </c>
    </row>
    <row r="3662" spans="1:25" x14ac:dyDescent="0.35">
      <c r="A3662">
        <v>38.511351488900502</v>
      </c>
      <c r="B3662">
        <v>-117.678492744141</v>
      </c>
      <c r="C3662" t="s">
        <v>29</v>
      </c>
      <c r="D3662">
        <v>1.3801910582993699</v>
      </c>
      <c r="E3662">
        <v>5</v>
      </c>
      <c r="F3662">
        <v>2293</v>
      </c>
      <c r="G3662">
        <v>1</v>
      </c>
      <c r="H3662">
        <v>3</v>
      </c>
      <c r="I3662">
        <v>2019</v>
      </c>
      <c r="J3662">
        <v>0</v>
      </c>
      <c r="K3662">
        <v>0</v>
      </c>
      <c r="L3662">
        <v>0</v>
      </c>
      <c r="M3662">
        <v>9</v>
      </c>
      <c r="N3662" t="s">
        <v>41</v>
      </c>
      <c r="O3662" t="s">
        <v>32</v>
      </c>
      <c r="P3662">
        <v>7.5094149781666699</v>
      </c>
      <c r="Q3662">
        <v>0.94508797455938498</v>
      </c>
      <c r="R3662">
        <v>0.597615473990739</v>
      </c>
      <c r="S3662">
        <v>68</v>
      </c>
      <c r="T3662">
        <v>74</v>
      </c>
      <c r="U3662">
        <v>558.92963981311402</v>
      </c>
      <c r="V3662">
        <v>3.9249890972524997E-3</v>
      </c>
      <c r="W3662">
        <v>1517241.6993118401</v>
      </c>
      <c r="X3662" t="s">
        <v>31</v>
      </c>
      <c r="Y3662">
        <f>1-383-778-8088</f>
        <v>-9248</v>
      </c>
    </row>
    <row r="3663" spans="1:25" x14ac:dyDescent="0.35">
      <c r="A3663">
        <v>38.966176010074498</v>
      </c>
      <c r="B3663">
        <v>-123.104000931646</v>
      </c>
      <c r="C3663" t="s">
        <v>34</v>
      </c>
      <c r="D3663">
        <v>45.505922078260603</v>
      </c>
      <c r="E3663">
        <v>8</v>
      </c>
      <c r="F3663">
        <v>1419</v>
      </c>
      <c r="G3663">
        <v>1</v>
      </c>
      <c r="H3663">
        <v>1</v>
      </c>
      <c r="I3663">
        <v>1972</v>
      </c>
      <c r="J3663">
        <v>0</v>
      </c>
      <c r="K3663">
        <v>0</v>
      </c>
      <c r="L3663">
        <v>0</v>
      </c>
      <c r="M3663">
        <v>6</v>
      </c>
      <c r="N3663" t="s">
        <v>35</v>
      </c>
      <c r="O3663" t="s">
        <v>30</v>
      </c>
      <c r="P3663">
        <v>8.1180044689980608</v>
      </c>
      <c r="Q3663">
        <v>2.2121589217809698</v>
      </c>
      <c r="R3663">
        <v>5.1483097722113103</v>
      </c>
      <c r="S3663">
        <v>68</v>
      </c>
      <c r="T3663">
        <v>64</v>
      </c>
      <c r="U3663">
        <v>327.04457540872198</v>
      </c>
      <c r="V3663">
        <v>4.2283298097251501E-3</v>
      </c>
      <c r="W3663">
        <v>448658.51575103198</v>
      </c>
      <c r="X3663" t="s">
        <v>33</v>
      </c>
      <c r="Y3663">
        <f>1-602-275-3205</f>
        <v>-4081</v>
      </c>
    </row>
    <row r="3664" spans="1:25" x14ac:dyDescent="0.35">
      <c r="A3664">
        <v>38.215884723631497</v>
      </c>
      <c r="B3664">
        <v>-124.227415176691</v>
      </c>
      <c r="C3664" t="s">
        <v>29</v>
      </c>
      <c r="D3664">
        <v>16.9254212148284</v>
      </c>
      <c r="E3664">
        <v>4</v>
      </c>
      <c r="F3664">
        <v>3688</v>
      </c>
      <c r="G3664">
        <v>2</v>
      </c>
      <c r="H3664">
        <v>1</v>
      </c>
      <c r="I3664">
        <v>1996</v>
      </c>
      <c r="J3664">
        <v>1</v>
      </c>
      <c r="K3664">
        <v>1</v>
      </c>
      <c r="L3664">
        <v>0</v>
      </c>
      <c r="M3664">
        <v>12</v>
      </c>
      <c r="N3664" t="s">
        <v>37</v>
      </c>
      <c r="O3664" t="s">
        <v>27</v>
      </c>
      <c r="P3664">
        <v>4.67146391429036</v>
      </c>
      <c r="Q3664">
        <v>0.97197170803411304</v>
      </c>
      <c r="R3664">
        <v>4.7528012964809498</v>
      </c>
      <c r="S3664">
        <v>156</v>
      </c>
      <c r="T3664">
        <v>42</v>
      </c>
      <c r="U3664">
        <v>498.00510231783397</v>
      </c>
      <c r="V3664">
        <v>3.2537960954446801E-3</v>
      </c>
      <c r="W3664">
        <v>2068464.0183623601</v>
      </c>
      <c r="X3664" t="s">
        <v>40</v>
      </c>
      <c r="Y3664">
        <f>1-736-576-9943</f>
        <v>-11254</v>
      </c>
    </row>
    <row r="3665" spans="1:25" x14ac:dyDescent="0.35">
      <c r="A3665">
        <v>32.795706389864101</v>
      </c>
      <c r="B3665">
        <v>-123.98519625138</v>
      </c>
      <c r="C3665" t="s">
        <v>34</v>
      </c>
      <c r="D3665">
        <v>35.6688566379365</v>
      </c>
      <c r="E3665">
        <v>4</v>
      </c>
      <c r="F3665">
        <v>4672</v>
      </c>
      <c r="G3665">
        <v>4</v>
      </c>
      <c r="H3665">
        <v>3</v>
      </c>
      <c r="I3665">
        <v>1966</v>
      </c>
      <c r="J3665">
        <v>0</v>
      </c>
      <c r="K3665">
        <v>1</v>
      </c>
      <c r="L3665">
        <v>1</v>
      </c>
      <c r="M3665">
        <v>11</v>
      </c>
      <c r="N3665" t="s">
        <v>37</v>
      </c>
      <c r="O3665" t="s">
        <v>32</v>
      </c>
      <c r="P3665">
        <v>7.2890575478530302</v>
      </c>
      <c r="Q3665">
        <v>1.4616530258943301</v>
      </c>
      <c r="R3665">
        <v>5.9514998312902199</v>
      </c>
      <c r="S3665">
        <v>24</v>
      </c>
      <c r="T3665">
        <v>50</v>
      </c>
      <c r="U3665">
        <v>249.942117627237</v>
      </c>
      <c r="V3665">
        <v>2.35445205479452E-3</v>
      </c>
      <c r="W3665">
        <v>1511771.21633939</v>
      </c>
      <c r="X3665" t="s">
        <v>28</v>
      </c>
      <c r="Y3665">
        <f>1-724-180-2748</f>
        <v>-3651</v>
      </c>
    </row>
    <row r="3666" spans="1:25" x14ac:dyDescent="0.35">
      <c r="A3666">
        <v>33.570676080271397</v>
      </c>
      <c r="B3666">
        <v>-116.79564307819101</v>
      </c>
      <c r="C3666" t="s">
        <v>34</v>
      </c>
      <c r="D3666">
        <v>38.731523178124696</v>
      </c>
      <c r="E3666">
        <v>7</v>
      </c>
      <c r="F3666">
        <v>3053</v>
      </c>
      <c r="G3666">
        <v>3</v>
      </c>
      <c r="H3666">
        <v>1</v>
      </c>
      <c r="I3666">
        <v>2021</v>
      </c>
      <c r="J3666">
        <v>1</v>
      </c>
      <c r="K3666">
        <v>0</v>
      </c>
      <c r="L3666">
        <v>0</v>
      </c>
      <c r="M3666">
        <v>8</v>
      </c>
      <c r="N3666" t="s">
        <v>37</v>
      </c>
      <c r="O3666" t="s">
        <v>27</v>
      </c>
      <c r="P3666">
        <v>9.3090171553293697</v>
      </c>
      <c r="Q3666">
        <v>1.73701495178854</v>
      </c>
      <c r="R3666">
        <v>7.4109180721093599</v>
      </c>
      <c r="S3666">
        <v>104</v>
      </c>
      <c r="T3666">
        <v>34</v>
      </c>
      <c r="U3666">
        <v>840.14235448955606</v>
      </c>
      <c r="V3666">
        <v>2.6203734032099499E-3</v>
      </c>
      <c r="W3666">
        <v>2779054.2852114802</v>
      </c>
      <c r="X3666" t="s">
        <v>39</v>
      </c>
      <c r="Y3666">
        <f>1-443-703-3807</f>
        <v>-4952</v>
      </c>
    </row>
    <row r="3667" spans="1:25" x14ac:dyDescent="0.35">
      <c r="A3667">
        <v>32.688212761134302</v>
      </c>
      <c r="B3667">
        <v>-122.646376802538</v>
      </c>
      <c r="C3667" t="s">
        <v>25</v>
      </c>
      <c r="D3667">
        <v>4.32989093719846</v>
      </c>
      <c r="E3667">
        <v>4</v>
      </c>
      <c r="F3667">
        <v>2980</v>
      </c>
      <c r="G3667">
        <v>3</v>
      </c>
      <c r="H3667">
        <v>3</v>
      </c>
      <c r="I3667">
        <v>2004</v>
      </c>
      <c r="J3667">
        <v>0</v>
      </c>
      <c r="K3667">
        <v>0</v>
      </c>
      <c r="L3667">
        <v>0</v>
      </c>
      <c r="M3667">
        <v>5</v>
      </c>
      <c r="N3667" t="s">
        <v>35</v>
      </c>
      <c r="O3667" t="s">
        <v>30</v>
      </c>
      <c r="P3667">
        <v>3.0827412396707699</v>
      </c>
      <c r="Q3667">
        <v>2.3984447390596699</v>
      </c>
      <c r="R3667">
        <v>7.0897548242732302</v>
      </c>
      <c r="S3667">
        <v>58</v>
      </c>
      <c r="T3667">
        <v>60</v>
      </c>
      <c r="U3667">
        <v>683.91886008231097</v>
      </c>
      <c r="V3667">
        <v>1.6778523489932801E-3</v>
      </c>
      <c r="W3667">
        <v>2197847.7492060899</v>
      </c>
      <c r="X3667" t="s">
        <v>28</v>
      </c>
      <c r="Y3667">
        <f>1-496-803-8453</f>
        <v>-9751</v>
      </c>
    </row>
    <row r="3668" spans="1:25" x14ac:dyDescent="0.35">
      <c r="A3668">
        <v>33.711167504310097</v>
      </c>
      <c r="B3668">
        <v>-115.70601315655099</v>
      </c>
      <c r="C3668" t="s">
        <v>29</v>
      </c>
      <c r="D3668">
        <v>11.6437974377319</v>
      </c>
      <c r="E3668">
        <v>7</v>
      </c>
      <c r="F3668">
        <v>3567</v>
      </c>
      <c r="G3668">
        <v>2</v>
      </c>
      <c r="H3668">
        <v>1</v>
      </c>
      <c r="I3668">
        <v>1979</v>
      </c>
      <c r="J3668">
        <v>1</v>
      </c>
      <c r="K3668">
        <v>0</v>
      </c>
      <c r="L3668">
        <v>1</v>
      </c>
      <c r="M3668">
        <v>4</v>
      </c>
      <c r="N3668" t="s">
        <v>37</v>
      </c>
      <c r="O3668" t="s">
        <v>27</v>
      </c>
      <c r="P3668">
        <v>7.4745758326941303</v>
      </c>
      <c r="Q3668">
        <v>2.3521015005531298</v>
      </c>
      <c r="R3668">
        <v>5.4040997585355299</v>
      </c>
      <c r="S3668">
        <v>23</v>
      </c>
      <c r="T3668">
        <v>68</v>
      </c>
      <c r="U3668">
        <v>464.03125085420101</v>
      </c>
      <c r="V3668">
        <v>1.1213905242500699E-3</v>
      </c>
      <c r="W3668">
        <v>1878792.1918127099</v>
      </c>
      <c r="X3668" t="s">
        <v>31</v>
      </c>
      <c r="Y3668">
        <f>1-405-214-9599</f>
        <v>-10217</v>
      </c>
    </row>
    <row r="3669" spans="1:25" x14ac:dyDescent="0.35">
      <c r="A3669">
        <v>39.651414660334702</v>
      </c>
      <c r="B3669">
        <v>-121.96555317329199</v>
      </c>
      <c r="C3669" t="s">
        <v>34</v>
      </c>
      <c r="D3669">
        <v>39.614480449536202</v>
      </c>
      <c r="E3669">
        <v>2</v>
      </c>
      <c r="F3669">
        <v>503</v>
      </c>
      <c r="G3669">
        <v>3</v>
      </c>
      <c r="H3669">
        <v>2</v>
      </c>
      <c r="I3669">
        <v>1969</v>
      </c>
      <c r="J3669">
        <v>0</v>
      </c>
      <c r="K3669">
        <v>0</v>
      </c>
      <c r="L3669">
        <v>0</v>
      </c>
      <c r="M3669">
        <v>5</v>
      </c>
      <c r="N3669" t="s">
        <v>35</v>
      </c>
      <c r="O3669" t="s">
        <v>30</v>
      </c>
      <c r="P3669">
        <v>10.447225219325899</v>
      </c>
      <c r="Q3669">
        <v>1.2463460192418001</v>
      </c>
      <c r="R3669">
        <v>7.8113302149097104</v>
      </c>
      <c r="S3669">
        <v>152</v>
      </c>
      <c r="T3669">
        <v>70</v>
      </c>
      <c r="U3669">
        <v>410.92265087028397</v>
      </c>
      <c r="V3669">
        <v>9.9403578528827006E-3</v>
      </c>
      <c r="W3669">
        <v>370859.177462611</v>
      </c>
      <c r="X3669" t="s">
        <v>31</v>
      </c>
      <c r="Y3669">
        <f>1-358-279-7984</f>
        <v>-8620</v>
      </c>
    </row>
    <row r="3670" spans="1:25" x14ac:dyDescent="0.35">
      <c r="A3670">
        <v>38.4175094077994</v>
      </c>
      <c r="B3670">
        <v>-115.53074605070699</v>
      </c>
      <c r="C3670" t="s">
        <v>29</v>
      </c>
      <c r="D3670">
        <v>40.355747478375299</v>
      </c>
      <c r="E3670">
        <v>3</v>
      </c>
      <c r="F3670">
        <v>3302</v>
      </c>
      <c r="G3670">
        <v>5</v>
      </c>
      <c r="H3670">
        <v>1</v>
      </c>
      <c r="I3670">
        <v>1984</v>
      </c>
      <c r="J3670">
        <v>0</v>
      </c>
      <c r="K3670">
        <v>0</v>
      </c>
      <c r="L3670">
        <v>1</v>
      </c>
      <c r="M3670">
        <v>13</v>
      </c>
      <c r="N3670" t="s">
        <v>26</v>
      </c>
      <c r="O3670" t="s">
        <v>27</v>
      </c>
      <c r="P3670">
        <v>13.882728927029101</v>
      </c>
      <c r="Q3670">
        <v>2.07308324835798</v>
      </c>
      <c r="R3670">
        <v>2.0478133655074902</v>
      </c>
      <c r="S3670">
        <v>97</v>
      </c>
      <c r="T3670">
        <v>50</v>
      </c>
      <c r="U3670">
        <v>390.74713679883001</v>
      </c>
      <c r="V3670">
        <v>3.9370078740157402E-3</v>
      </c>
      <c r="W3670">
        <v>1673257.4829319201</v>
      </c>
      <c r="X3670" t="s">
        <v>31</v>
      </c>
      <c r="Y3670">
        <f>1-223-442-7646</f>
        <v>-8310</v>
      </c>
    </row>
    <row r="3671" spans="1:25" x14ac:dyDescent="0.35">
      <c r="A3671">
        <v>37.537133683343697</v>
      </c>
      <c r="B3671">
        <v>-116.19984464495001</v>
      </c>
      <c r="C3671" t="s">
        <v>34</v>
      </c>
      <c r="D3671">
        <v>37.260354364502398</v>
      </c>
      <c r="E3671">
        <v>1</v>
      </c>
      <c r="F3671">
        <v>4100</v>
      </c>
      <c r="G3671">
        <v>3</v>
      </c>
      <c r="H3671">
        <v>1</v>
      </c>
      <c r="I3671">
        <v>1975</v>
      </c>
      <c r="J3671">
        <v>1</v>
      </c>
      <c r="K3671">
        <v>1</v>
      </c>
      <c r="L3671">
        <v>0</v>
      </c>
      <c r="M3671">
        <v>11</v>
      </c>
      <c r="N3671" t="s">
        <v>41</v>
      </c>
      <c r="O3671" t="s">
        <v>32</v>
      </c>
      <c r="P3671">
        <v>3.0262375151959402</v>
      </c>
      <c r="Q3671">
        <v>1.6609443356899201</v>
      </c>
      <c r="R3671">
        <v>2.8161655564797301</v>
      </c>
      <c r="S3671">
        <v>15</v>
      </c>
      <c r="T3671">
        <v>31</v>
      </c>
      <c r="U3671">
        <v>618.39198939148798</v>
      </c>
      <c r="V3671">
        <v>2.6829268292682899E-3</v>
      </c>
      <c r="W3671">
        <v>2769251.8231378901</v>
      </c>
      <c r="X3671" t="s">
        <v>40</v>
      </c>
      <c r="Y3671">
        <f>1-956-570-2986</f>
        <v>-4511</v>
      </c>
    </row>
    <row r="3672" spans="1:25" x14ac:dyDescent="0.35">
      <c r="A3672">
        <v>41.115516952569401</v>
      </c>
      <c r="B3672">
        <v>-121.747059320902</v>
      </c>
      <c r="C3672" t="s">
        <v>25</v>
      </c>
      <c r="D3672">
        <v>40.424322944522601</v>
      </c>
      <c r="E3672">
        <v>7</v>
      </c>
      <c r="F3672">
        <v>3397</v>
      </c>
      <c r="G3672">
        <v>4</v>
      </c>
      <c r="H3672">
        <v>3</v>
      </c>
      <c r="I3672">
        <v>2015</v>
      </c>
      <c r="J3672">
        <v>0</v>
      </c>
      <c r="K3672">
        <v>1</v>
      </c>
      <c r="L3672">
        <v>0</v>
      </c>
      <c r="M3672">
        <v>13</v>
      </c>
      <c r="N3672" t="s">
        <v>37</v>
      </c>
      <c r="O3672" t="s">
        <v>30</v>
      </c>
      <c r="P3672">
        <v>6.9195943104192104</v>
      </c>
      <c r="Q3672">
        <v>0.57718267190530603</v>
      </c>
      <c r="R3672">
        <v>1.7873269755669701</v>
      </c>
      <c r="S3672">
        <v>12</v>
      </c>
      <c r="T3672">
        <v>55</v>
      </c>
      <c r="U3672">
        <v>235.14770477873799</v>
      </c>
      <c r="V3672">
        <v>3.8269060936120102E-3</v>
      </c>
      <c r="W3672">
        <v>1330294.5861996</v>
      </c>
      <c r="X3672" t="s">
        <v>40</v>
      </c>
      <c r="Y3672">
        <f>1-464-814-9308</f>
        <v>-10585</v>
      </c>
    </row>
    <row r="3673" spans="1:25" x14ac:dyDescent="0.35">
      <c r="A3673">
        <v>36.171193163403899</v>
      </c>
      <c r="B3673">
        <v>-116.217981547497</v>
      </c>
      <c r="C3673" t="s">
        <v>34</v>
      </c>
      <c r="D3673">
        <v>17.395846129471899</v>
      </c>
      <c r="E3673">
        <v>1</v>
      </c>
      <c r="F3673">
        <v>989</v>
      </c>
      <c r="G3673">
        <v>1</v>
      </c>
      <c r="H3673">
        <v>3</v>
      </c>
      <c r="I3673">
        <v>1973</v>
      </c>
      <c r="J3673">
        <v>0</v>
      </c>
      <c r="K3673">
        <v>0</v>
      </c>
      <c r="L3673">
        <v>1</v>
      </c>
      <c r="M3673">
        <v>12</v>
      </c>
      <c r="N3673" t="s">
        <v>37</v>
      </c>
      <c r="O3673" t="s">
        <v>30</v>
      </c>
      <c r="P3673">
        <v>12.3468023965979</v>
      </c>
      <c r="Q3673">
        <v>2.2338301003857999</v>
      </c>
      <c r="R3673">
        <v>9.4816273899765307</v>
      </c>
      <c r="S3673">
        <v>178</v>
      </c>
      <c r="T3673">
        <v>73</v>
      </c>
      <c r="U3673">
        <v>448.75729017899999</v>
      </c>
      <c r="V3673">
        <v>1.2133468149646101E-2</v>
      </c>
      <c r="W3673">
        <v>579539.79100008297</v>
      </c>
      <c r="X3673" t="s">
        <v>42</v>
      </c>
      <c r="Y3673">
        <f>1-306-253-6612</f>
        <v>-7170</v>
      </c>
    </row>
    <row r="3674" spans="1:25" x14ac:dyDescent="0.35">
      <c r="A3674">
        <v>32.593354705130302</v>
      </c>
      <c r="B3674">
        <v>-114.920843851846</v>
      </c>
      <c r="C3674" t="s">
        <v>34</v>
      </c>
      <c r="D3674">
        <v>17.056174558314801</v>
      </c>
      <c r="E3674">
        <v>5</v>
      </c>
      <c r="F3674">
        <v>3235</v>
      </c>
      <c r="G3674">
        <v>2</v>
      </c>
      <c r="H3674">
        <v>1</v>
      </c>
      <c r="I3674">
        <v>1970</v>
      </c>
      <c r="J3674">
        <v>1</v>
      </c>
      <c r="K3674">
        <v>1</v>
      </c>
      <c r="L3674">
        <v>1</v>
      </c>
      <c r="M3674">
        <v>12</v>
      </c>
      <c r="N3674" t="s">
        <v>26</v>
      </c>
      <c r="O3674" t="s">
        <v>30</v>
      </c>
      <c r="P3674">
        <v>4.8307941279432498</v>
      </c>
      <c r="Q3674">
        <v>0.59173448429875297</v>
      </c>
      <c r="R3674">
        <v>6.8890794734062899</v>
      </c>
      <c r="S3674">
        <v>120</v>
      </c>
      <c r="T3674">
        <v>48</v>
      </c>
      <c r="U3674">
        <v>628.71197835681096</v>
      </c>
      <c r="V3674">
        <v>3.70942812982998E-3</v>
      </c>
      <c r="W3674">
        <v>2286662.6587622701</v>
      </c>
      <c r="X3674" t="s">
        <v>39</v>
      </c>
      <c r="Y3674">
        <f>1-898-309-5660</f>
        <v>-6866</v>
      </c>
    </row>
    <row r="3675" spans="1:25" x14ac:dyDescent="0.35">
      <c r="A3675">
        <v>33.081839963627999</v>
      </c>
      <c r="B3675">
        <v>-118.84654917221999</v>
      </c>
      <c r="C3675" t="s">
        <v>29</v>
      </c>
      <c r="D3675">
        <v>26.8800971645746</v>
      </c>
      <c r="E3675">
        <v>2</v>
      </c>
      <c r="F3675">
        <v>1667</v>
      </c>
      <c r="G3675">
        <v>3</v>
      </c>
      <c r="H3675">
        <v>3</v>
      </c>
      <c r="I3675">
        <v>1985</v>
      </c>
      <c r="J3675">
        <v>0</v>
      </c>
      <c r="K3675">
        <v>1</v>
      </c>
      <c r="L3675">
        <v>0</v>
      </c>
      <c r="M3675">
        <v>14</v>
      </c>
      <c r="N3675" t="s">
        <v>35</v>
      </c>
      <c r="O3675" t="s">
        <v>32</v>
      </c>
      <c r="P3675">
        <v>13.329063159908699</v>
      </c>
      <c r="Q3675">
        <v>1.0263280961992101</v>
      </c>
      <c r="R3675">
        <v>1.3308452989556601</v>
      </c>
      <c r="S3675">
        <v>44</v>
      </c>
      <c r="T3675">
        <v>23</v>
      </c>
      <c r="U3675">
        <v>562.74951486604004</v>
      </c>
      <c r="V3675">
        <v>8.3983203359328101E-3</v>
      </c>
      <c r="W3675">
        <v>1342897.9303544399</v>
      </c>
      <c r="X3675" t="s">
        <v>40</v>
      </c>
      <c r="Y3675">
        <f>1-904-395-9027</f>
        <v>-10325</v>
      </c>
    </row>
    <row r="3676" spans="1:25" x14ac:dyDescent="0.35">
      <c r="A3676">
        <v>39.860510440896803</v>
      </c>
      <c r="B3676">
        <v>-124.445410999807</v>
      </c>
      <c r="C3676" t="s">
        <v>25</v>
      </c>
      <c r="D3676">
        <v>9.8931593390512607</v>
      </c>
      <c r="E3676">
        <v>7</v>
      </c>
      <c r="F3676">
        <v>1510</v>
      </c>
      <c r="G3676">
        <v>1</v>
      </c>
      <c r="H3676">
        <v>3</v>
      </c>
      <c r="I3676">
        <v>1983</v>
      </c>
      <c r="J3676">
        <v>0</v>
      </c>
      <c r="K3676">
        <v>1</v>
      </c>
      <c r="L3676">
        <v>0</v>
      </c>
      <c r="M3676">
        <v>4</v>
      </c>
      <c r="N3676" t="s">
        <v>35</v>
      </c>
      <c r="O3676" t="s">
        <v>27</v>
      </c>
      <c r="P3676">
        <v>7.46018377466293</v>
      </c>
      <c r="Q3676">
        <v>2.43638101707112</v>
      </c>
      <c r="R3676">
        <v>8.4036747740478699</v>
      </c>
      <c r="S3676">
        <v>92</v>
      </c>
      <c r="T3676">
        <v>34</v>
      </c>
      <c r="U3676">
        <v>541.14024770923902</v>
      </c>
      <c r="V3676">
        <v>2.6490066225165498E-3</v>
      </c>
      <c r="W3676">
        <v>976320.58058534295</v>
      </c>
      <c r="X3676" t="s">
        <v>38</v>
      </c>
      <c r="Y3676">
        <f>1-780-122-5471</f>
        <v>-6372</v>
      </c>
    </row>
    <row r="3677" spans="1:25" x14ac:dyDescent="0.35">
      <c r="A3677">
        <v>35.832114696676399</v>
      </c>
      <c r="B3677">
        <v>-119.41257396360101</v>
      </c>
      <c r="C3677" t="s">
        <v>29</v>
      </c>
      <c r="D3677">
        <v>10.403146286002</v>
      </c>
      <c r="E3677">
        <v>1</v>
      </c>
      <c r="F3677">
        <v>554</v>
      </c>
      <c r="G3677">
        <v>4</v>
      </c>
      <c r="H3677">
        <v>1</v>
      </c>
      <c r="I3677">
        <v>2002</v>
      </c>
      <c r="J3677">
        <v>1</v>
      </c>
      <c r="K3677">
        <v>0</v>
      </c>
      <c r="L3677">
        <v>0</v>
      </c>
      <c r="M3677">
        <v>9</v>
      </c>
      <c r="N3677" t="s">
        <v>41</v>
      </c>
      <c r="O3677" t="s">
        <v>27</v>
      </c>
      <c r="P3677">
        <v>14.7536951034739</v>
      </c>
      <c r="Q3677">
        <v>1.98283647976632</v>
      </c>
      <c r="R3677">
        <v>7.8553272160222001</v>
      </c>
      <c r="S3677">
        <v>128</v>
      </c>
      <c r="T3677">
        <v>59</v>
      </c>
      <c r="U3677">
        <v>599.12204001664099</v>
      </c>
      <c r="V3677">
        <v>1.6245487364620899E-2</v>
      </c>
      <c r="W3677">
        <v>658839.72879077296</v>
      </c>
      <c r="X3677" t="s">
        <v>40</v>
      </c>
      <c r="Y3677">
        <f>1-826-526-5610</f>
        <v>-6961</v>
      </c>
    </row>
    <row r="3678" spans="1:25" x14ac:dyDescent="0.35">
      <c r="A3678">
        <v>40.377577957276898</v>
      </c>
      <c r="B3678">
        <v>-116.456109542069</v>
      </c>
      <c r="C3678" t="s">
        <v>29</v>
      </c>
      <c r="D3678">
        <v>18.1532482336588</v>
      </c>
      <c r="E3678">
        <v>3</v>
      </c>
      <c r="F3678">
        <v>3839</v>
      </c>
      <c r="G3678">
        <v>1</v>
      </c>
      <c r="H3678">
        <v>2</v>
      </c>
      <c r="I3678">
        <v>1974</v>
      </c>
      <c r="J3678">
        <v>1</v>
      </c>
      <c r="K3678">
        <v>1</v>
      </c>
      <c r="L3678">
        <v>1</v>
      </c>
      <c r="M3678">
        <v>11</v>
      </c>
      <c r="N3678" t="s">
        <v>35</v>
      </c>
      <c r="O3678" t="s">
        <v>32</v>
      </c>
      <c r="P3678">
        <v>4.3791747775709604</v>
      </c>
      <c r="Q3678">
        <v>1.0553445297141799</v>
      </c>
      <c r="R3678">
        <v>0.77953559287931495</v>
      </c>
      <c r="S3678">
        <v>142</v>
      </c>
      <c r="T3678">
        <v>59</v>
      </c>
      <c r="U3678">
        <v>954.00304383415801</v>
      </c>
      <c r="V3678">
        <v>2.8653295128939801E-3</v>
      </c>
      <c r="W3678">
        <v>3971530.7402042202</v>
      </c>
      <c r="X3678" t="s">
        <v>28</v>
      </c>
      <c r="Y3678">
        <f>1-225-362-7890</f>
        <v>-8476</v>
      </c>
    </row>
    <row r="3679" spans="1:25" x14ac:dyDescent="0.35">
      <c r="A3679">
        <v>39.655973156092102</v>
      </c>
      <c r="B3679">
        <v>-117.266683718994</v>
      </c>
      <c r="C3679" t="s">
        <v>25</v>
      </c>
      <c r="D3679">
        <v>36.093864901964302</v>
      </c>
      <c r="E3679">
        <v>7</v>
      </c>
      <c r="F3679">
        <v>4400</v>
      </c>
      <c r="G3679">
        <v>1</v>
      </c>
      <c r="H3679">
        <v>3</v>
      </c>
      <c r="I3679">
        <v>2006</v>
      </c>
      <c r="J3679">
        <v>1</v>
      </c>
      <c r="K3679">
        <v>0</v>
      </c>
      <c r="L3679">
        <v>1</v>
      </c>
      <c r="M3679">
        <v>13</v>
      </c>
      <c r="N3679" t="s">
        <v>26</v>
      </c>
      <c r="O3679" t="s">
        <v>27</v>
      </c>
      <c r="P3679">
        <v>9.9812303444475301</v>
      </c>
      <c r="Q3679">
        <v>1.64107097277801</v>
      </c>
      <c r="R3679">
        <v>8.1644162364194095</v>
      </c>
      <c r="S3679">
        <v>162</v>
      </c>
      <c r="T3679">
        <v>35</v>
      </c>
      <c r="U3679">
        <v>431.93782476929903</v>
      </c>
      <c r="V3679">
        <v>2.9545454545454502E-3</v>
      </c>
      <c r="W3679">
        <v>2093118.67405158</v>
      </c>
      <c r="X3679" t="s">
        <v>44</v>
      </c>
      <c r="Y3679">
        <f>1-535-974-5691</f>
        <v>-7199</v>
      </c>
    </row>
    <row r="3680" spans="1:25" x14ac:dyDescent="0.35">
      <c r="A3680">
        <v>40.600268966876101</v>
      </c>
      <c r="B3680">
        <v>-115.164675448731</v>
      </c>
      <c r="C3680" t="s">
        <v>25</v>
      </c>
      <c r="D3680">
        <v>9.5812597079690107</v>
      </c>
      <c r="E3680">
        <v>7</v>
      </c>
      <c r="F3680">
        <v>2283</v>
      </c>
      <c r="G3680">
        <v>3</v>
      </c>
      <c r="H3680">
        <v>3</v>
      </c>
      <c r="I3680">
        <v>1978</v>
      </c>
      <c r="J3680">
        <v>1</v>
      </c>
      <c r="K3680">
        <v>1</v>
      </c>
      <c r="L3680">
        <v>1</v>
      </c>
      <c r="M3680">
        <v>12</v>
      </c>
      <c r="N3680" t="s">
        <v>35</v>
      </c>
      <c r="O3680" t="s">
        <v>30</v>
      </c>
      <c r="P3680">
        <v>4.3528366037634196</v>
      </c>
      <c r="Q3680">
        <v>1.7349442230735801</v>
      </c>
      <c r="R3680">
        <v>2.1193751803785901</v>
      </c>
      <c r="S3680">
        <v>184</v>
      </c>
      <c r="T3680">
        <v>61</v>
      </c>
      <c r="U3680">
        <v>207.959732095628</v>
      </c>
      <c r="V3680">
        <v>5.2562417871221999E-3</v>
      </c>
      <c r="W3680">
        <v>816805.33984289702</v>
      </c>
      <c r="X3680" t="s">
        <v>36</v>
      </c>
      <c r="Y3680">
        <f>1-202-847-7993</f>
        <v>-9041</v>
      </c>
    </row>
    <row r="3681" spans="1:25" x14ac:dyDescent="0.35">
      <c r="A3681">
        <v>37.2885323775063</v>
      </c>
      <c r="B3681">
        <v>-123.47644601792901</v>
      </c>
      <c r="C3681" t="s">
        <v>34</v>
      </c>
      <c r="D3681">
        <v>36.5226504641399</v>
      </c>
      <c r="E3681">
        <v>9</v>
      </c>
      <c r="F3681">
        <v>3795</v>
      </c>
      <c r="G3681">
        <v>2</v>
      </c>
      <c r="H3681">
        <v>1</v>
      </c>
      <c r="I3681">
        <v>1970</v>
      </c>
      <c r="J3681">
        <v>1</v>
      </c>
      <c r="K3681">
        <v>1</v>
      </c>
      <c r="L3681">
        <v>0</v>
      </c>
      <c r="M3681">
        <v>11</v>
      </c>
      <c r="N3681" t="s">
        <v>37</v>
      </c>
      <c r="O3681" t="s">
        <v>32</v>
      </c>
      <c r="P3681">
        <v>4.9498293210399504</v>
      </c>
      <c r="Q3681">
        <v>1.2736033987150599</v>
      </c>
      <c r="R3681">
        <v>7.0150054518502696</v>
      </c>
      <c r="S3681">
        <v>97</v>
      </c>
      <c r="T3681">
        <v>26</v>
      </c>
      <c r="U3681">
        <v>339.73189863493599</v>
      </c>
      <c r="V3681">
        <v>2.8985507246376799E-3</v>
      </c>
      <c r="W3681">
        <v>1453718.91863538</v>
      </c>
      <c r="X3681" t="s">
        <v>28</v>
      </c>
      <c r="Y3681">
        <f>1-832-938-8287</f>
        <v>-10056</v>
      </c>
    </row>
    <row r="3682" spans="1:25" x14ac:dyDescent="0.35">
      <c r="A3682">
        <v>36.891995654134199</v>
      </c>
      <c r="B3682">
        <v>-120.96616290492599</v>
      </c>
      <c r="C3682" t="s">
        <v>34</v>
      </c>
      <c r="D3682">
        <v>32.685738102151902</v>
      </c>
      <c r="E3682">
        <v>1</v>
      </c>
      <c r="F3682">
        <v>3458</v>
      </c>
      <c r="G3682">
        <v>2</v>
      </c>
      <c r="H3682">
        <v>1</v>
      </c>
      <c r="I3682">
        <v>1985</v>
      </c>
      <c r="J3682">
        <v>0</v>
      </c>
      <c r="K3682">
        <v>1</v>
      </c>
      <c r="L3682">
        <v>0</v>
      </c>
      <c r="M3682">
        <v>4</v>
      </c>
      <c r="N3682" t="s">
        <v>35</v>
      </c>
      <c r="O3682" t="s">
        <v>32</v>
      </c>
      <c r="P3682">
        <v>8.5927403267171698</v>
      </c>
      <c r="Q3682">
        <v>0.85041302052527901</v>
      </c>
      <c r="R3682">
        <v>6.8453384202781304</v>
      </c>
      <c r="S3682">
        <v>154</v>
      </c>
      <c r="T3682">
        <v>72</v>
      </c>
      <c r="U3682">
        <v>267.35280816722002</v>
      </c>
      <c r="V3682">
        <v>1.15673799884326E-3</v>
      </c>
      <c r="W3682">
        <v>1109670.97058839</v>
      </c>
      <c r="X3682" t="s">
        <v>44</v>
      </c>
      <c r="Y3682">
        <f>1-452-559-2625</f>
        <v>-3635</v>
      </c>
    </row>
    <row r="3683" spans="1:25" x14ac:dyDescent="0.35">
      <c r="A3683">
        <v>40.969861670300901</v>
      </c>
      <c r="B3683">
        <v>-120.790629159125</v>
      </c>
      <c r="C3683" t="s">
        <v>29</v>
      </c>
      <c r="D3683">
        <v>36.910247149433701</v>
      </c>
      <c r="E3683">
        <v>2</v>
      </c>
      <c r="F3683">
        <v>3545</v>
      </c>
      <c r="G3683">
        <v>3</v>
      </c>
      <c r="H3683">
        <v>1</v>
      </c>
      <c r="I3683">
        <v>2017</v>
      </c>
      <c r="J3683">
        <v>1</v>
      </c>
      <c r="K3683">
        <v>0</v>
      </c>
      <c r="L3683">
        <v>1</v>
      </c>
      <c r="M3683">
        <v>8</v>
      </c>
      <c r="N3683" t="s">
        <v>41</v>
      </c>
      <c r="O3683" t="s">
        <v>27</v>
      </c>
      <c r="P3683">
        <v>3.24330089952542</v>
      </c>
      <c r="Q3683">
        <v>1.54291565845871</v>
      </c>
      <c r="R3683">
        <v>3.7971464174567799</v>
      </c>
      <c r="S3683">
        <v>147</v>
      </c>
      <c r="T3683">
        <v>70</v>
      </c>
      <c r="U3683">
        <v>361.97194499996999</v>
      </c>
      <c r="V3683">
        <v>2.2566995768688201E-3</v>
      </c>
      <c r="W3683">
        <v>1573568.9345064999</v>
      </c>
      <c r="X3683" t="s">
        <v>38</v>
      </c>
      <c r="Y3683">
        <f>1-920-944-7415</f>
        <v>-9278</v>
      </c>
    </row>
    <row r="3684" spans="1:25" x14ac:dyDescent="0.35">
      <c r="A3684">
        <v>37.492440065036398</v>
      </c>
      <c r="B3684">
        <v>-120.912902884925</v>
      </c>
      <c r="C3684" t="s">
        <v>25</v>
      </c>
      <c r="D3684">
        <v>14.1028813967035</v>
      </c>
      <c r="E3684">
        <v>7</v>
      </c>
      <c r="F3684">
        <v>1676</v>
      </c>
      <c r="G3684">
        <v>3</v>
      </c>
      <c r="H3684">
        <v>1</v>
      </c>
      <c r="I3684">
        <v>2001</v>
      </c>
      <c r="J3684">
        <v>1</v>
      </c>
      <c r="K3684">
        <v>1</v>
      </c>
      <c r="L3684">
        <v>1</v>
      </c>
      <c r="M3684">
        <v>9</v>
      </c>
      <c r="N3684" t="s">
        <v>26</v>
      </c>
      <c r="O3684" t="s">
        <v>30</v>
      </c>
      <c r="P3684">
        <v>11.3562630355603</v>
      </c>
      <c r="Q3684">
        <v>1.23553869782697</v>
      </c>
      <c r="R3684">
        <v>1.47450886301534</v>
      </c>
      <c r="S3684">
        <v>2</v>
      </c>
      <c r="T3684">
        <v>28</v>
      </c>
      <c r="U3684">
        <v>425.30096742485699</v>
      </c>
      <c r="V3684">
        <v>5.3699284009546501E-3</v>
      </c>
      <c r="W3684">
        <v>1140009.094145</v>
      </c>
      <c r="X3684" t="s">
        <v>42</v>
      </c>
      <c r="Y3684">
        <f>1-683-410-4197</f>
        <v>-5289</v>
      </c>
    </row>
    <row r="3685" spans="1:25" x14ac:dyDescent="0.35">
      <c r="A3685">
        <v>39.025059269509299</v>
      </c>
      <c r="B3685">
        <v>-114.270393634793</v>
      </c>
      <c r="C3685" t="s">
        <v>25</v>
      </c>
      <c r="D3685">
        <v>15.236827799682199</v>
      </c>
      <c r="E3685">
        <v>0</v>
      </c>
      <c r="F3685">
        <v>2227</v>
      </c>
      <c r="G3685">
        <v>2</v>
      </c>
      <c r="H3685">
        <v>3</v>
      </c>
      <c r="I3685">
        <v>1970</v>
      </c>
      <c r="J3685">
        <v>1</v>
      </c>
      <c r="K3685">
        <v>1</v>
      </c>
      <c r="L3685">
        <v>0</v>
      </c>
      <c r="M3685">
        <v>13</v>
      </c>
      <c r="N3685" t="s">
        <v>37</v>
      </c>
      <c r="O3685" t="s">
        <v>30</v>
      </c>
      <c r="P3685">
        <v>8.4159216263065009</v>
      </c>
      <c r="Q3685">
        <v>0.90123191852167595</v>
      </c>
      <c r="R3685">
        <v>5.7998509415417701</v>
      </c>
      <c r="S3685">
        <v>191</v>
      </c>
      <c r="T3685">
        <v>31</v>
      </c>
      <c r="U3685">
        <v>315.897447301591</v>
      </c>
      <c r="V3685">
        <v>5.8374494836102298E-3</v>
      </c>
      <c r="W3685">
        <v>1045525.73118148</v>
      </c>
      <c r="X3685" t="s">
        <v>33</v>
      </c>
      <c r="Y3685">
        <f>1-684-962-5340</f>
        <v>-6985</v>
      </c>
    </row>
    <row r="3686" spans="1:25" x14ac:dyDescent="0.35">
      <c r="A3686">
        <v>33.357563355066702</v>
      </c>
      <c r="B3686">
        <v>-119.820351053724</v>
      </c>
      <c r="C3686" t="s">
        <v>25</v>
      </c>
      <c r="D3686">
        <v>22.5241185361003</v>
      </c>
      <c r="E3686">
        <v>1</v>
      </c>
      <c r="F3686">
        <v>1261</v>
      </c>
      <c r="G3686">
        <v>3</v>
      </c>
      <c r="H3686">
        <v>2</v>
      </c>
      <c r="I3686">
        <v>1968</v>
      </c>
      <c r="J3686">
        <v>0</v>
      </c>
      <c r="K3686">
        <v>0</v>
      </c>
      <c r="L3686">
        <v>0</v>
      </c>
      <c r="M3686">
        <v>2</v>
      </c>
      <c r="N3686" t="s">
        <v>37</v>
      </c>
      <c r="O3686" t="s">
        <v>32</v>
      </c>
      <c r="P3686">
        <v>11.303000861796599</v>
      </c>
      <c r="Q3686">
        <v>0.86632584486881903</v>
      </c>
      <c r="R3686">
        <v>4.6416274453932198</v>
      </c>
      <c r="S3686">
        <v>151</v>
      </c>
      <c r="T3686">
        <v>73</v>
      </c>
      <c r="U3686">
        <v>273.45944586834202</v>
      </c>
      <c r="V3686">
        <v>1.58604282315622E-3</v>
      </c>
      <c r="W3686">
        <v>436307.80398437398</v>
      </c>
      <c r="X3686" t="s">
        <v>36</v>
      </c>
      <c r="Y3686">
        <f>1-550-679-7914</f>
        <v>-9142</v>
      </c>
    </row>
    <row r="3687" spans="1:25" x14ac:dyDescent="0.35">
      <c r="A3687">
        <v>40.661186414058101</v>
      </c>
      <c r="B3687">
        <v>-123.377031699916</v>
      </c>
      <c r="C3687" t="s">
        <v>25</v>
      </c>
      <c r="D3687">
        <v>20.589125075785599</v>
      </c>
      <c r="E3687">
        <v>5</v>
      </c>
      <c r="F3687">
        <v>1937</v>
      </c>
      <c r="G3687">
        <v>5</v>
      </c>
      <c r="H3687">
        <v>3</v>
      </c>
      <c r="I3687">
        <v>1977</v>
      </c>
      <c r="J3687">
        <v>0</v>
      </c>
      <c r="K3687">
        <v>1</v>
      </c>
      <c r="L3687">
        <v>1</v>
      </c>
      <c r="M3687">
        <v>13</v>
      </c>
      <c r="N3687" t="s">
        <v>35</v>
      </c>
      <c r="O3687" t="s">
        <v>30</v>
      </c>
      <c r="P3687">
        <v>5.1820171384532996</v>
      </c>
      <c r="Q3687">
        <v>0.64112231103609196</v>
      </c>
      <c r="R3687">
        <v>7.8229653036525297</v>
      </c>
      <c r="S3687">
        <v>81</v>
      </c>
      <c r="T3687">
        <v>58</v>
      </c>
      <c r="U3687">
        <v>587.90827541077897</v>
      </c>
      <c r="V3687">
        <v>6.7114093959731499E-3</v>
      </c>
      <c r="W3687">
        <v>1517152.0633872</v>
      </c>
      <c r="X3687" t="s">
        <v>38</v>
      </c>
      <c r="Y3687">
        <f>1-217-128-4353</f>
        <v>-4697</v>
      </c>
    </row>
    <row r="3688" spans="1:25" x14ac:dyDescent="0.35">
      <c r="A3688">
        <v>39.637068706735199</v>
      </c>
      <c r="B3688">
        <v>-120.84979241388901</v>
      </c>
      <c r="C3688" t="s">
        <v>34</v>
      </c>
      <c r="D3688">
        <v>48.1226270407074</v>
      </c>
      <c r="E3688">
        <v>9</v>
      </c>
      <c r="F3688">
        <v>3482</v>
      </c>
      <c r="G3688">
        <v>3</v>
      </c>
      <c r="H3688">
        <v>2</v>
      </c>
      <c r="I3688">
        <v>1990</v>
      </c>
      <c r="J3688">
        <v>0</v>
      </c>
      <c r="K3688">
        <v>0</v>
      </c>
      <c r="L3688">
        <v>1</v>
      </c>
      <c r="M3688">
        <v>9</v>
      </c>
      <c r="N3688" t="s">
        <v>37</v>
      </c>
      <c r="O3688" t="s">
        <v>27</v>
      </c>
      <c r="P3688">
        <v>6.1705006283323396</v>
      </c>
      <c r="Q3688">
        <v>1.2889832679339699</v>
      </c>
      <c r="R3688">
        <v>5.7105799613632904</v>
      </c>
      <c r="S3688">
        <v>160</v>
      </c>
      <c r="T3688">
        <v>44</v>
      </c>
      <c r="U3688">
        <v>942.90775829124198</v>
      </c>
      <c r="V3688">
        <v>2.5847214244686901E-3</v>
      </c>
      <c r="W3688">
        <v>3553979.99257401</v>
      </c>
      <c r="X3688" t="s">
        <v>33</v>
      </c>
      <c r="Y3688">
        <f>1-299-299-9075</f>
        <v>-9672</v>
      </c>
    </row>
    <row r="3689" spans="1:25" x14ac:dyDescent="0.35">
      <c r="A3689">
        <v>37.385754932379001</v>
      </c>
      <c r="B3689">
        <v>-120.77655606815701</v>
      </c>
      <c r="C3689" t="s">
        <v>34</v>
      </c>
      <c r="D3689">
        <v>45.837019791045499</v>
      </c>
      <c r="E3689">
        <v>4</v>
      </c>
      <c r="F3689">
        <v>1931</v>
      </c>
      <c r="G3689">
        <v>2</v>
      </c>
      <c r="H3689">
        <v>3</v>
      </c>
      <c r="I3689">
        <v>1959</v>
      </c>
      <c r="J3689">
        <v>1</v>
      </c>
      <c r="K3689">
        <v>0</v>
      </c>
      <c r="L3689">
        <v>1</v>
      </c>
      <c r="M3689">
        <v>11</v>
      </c>
      <c r="N3689" t="s">
        <v>41</v>
      </c>
      <c r="O3689" t="s">
        <v>27</v>
      </c>
      <c r="P3689">
        <v>11.6113620861885</v>
      </c>
      <c r="Q3689">
        <v>0.51627469955004301</v>
      </c>
      <c r="R3689">
        <v>6.3983410288501998</v>
      </c>
      <c r="S3689">
        <v>151</v>
      </c>
      <c r="T3689">
        <v>42</v>
      </c>
      <c r="U3689">
        <v>455.92654171210302</v>
      </c>
      <c r="V3689">
        <v>5.69653029518384E-3</v>
      </c>
      <c r="W3689">
        <v>1175687.62317214</v>
      </c>
      <c r="X3689" t="s">
        <v>40</v>
      </c>
      <c r="Y3689">
        <f>1-869-567-9316</f>
        <v>-10751</v>
      </c>
    </row>
    <row r="3690" spans="1:25" x14ac:dyDescent="0.35">
      <c r="A3690">
        <v>41.838796991244898</v>
      </c>
      <c r="B3690">
        <v>-122.276472268522</v>
      </c>
      <c r="C3690" t="s">
        <v>29</v>
      </c>
      <c r="D3690">
        <v>20.2156958089117</v>
      </c>
      <c r="E3690">
        <v>5</v>
      </c>
      <c r="F3690">
        <v>4376</v>
      </c>
      <c r="G3690">
        <v>1</v>
      </c>
      <c r="H3690">
        <v>1</v>
      </c>
      <c r="I3690">
        <v>1990</v>
      </c>
      <c r="J3690">
        <v>1</v>
      </c>
      <c r="K3690">
        <v>0</v>
      </c>
      <c r="L3690">
        <v>0</v>
      </c>
      <c r="M3690">
        <v>13</v>
      </c>
      <c r="N3690" t="s">
        <v>35</v>
      </c>
      <c r="O3690" t="s">
        <v>32</v>
      </c>
      <c r="P3690">
        <v>13.5876278574754</v>
      </c>
      <c r="Q3690">
        <v>0.63416514127477497</v>
      </c>
      <c r="R3690">
        <v>9.1992797266964104</v>
      </c>
      <c r="S3690">
        <v>89</v>
      </c>
      <c r="T3690">
        <v>28</v>
      </c>
      <c r="U3690">
        <v>958.37906824070501</v>
      </c>
      <c r="V3690">
        <v>2.9707495429616001E-3</v>
      </c>
      <c r="W3690">
        <v>4301220.7489598598</v>
      </c>
      <c r="X3690" t="s">
        <v>28</v>
      </c>
      <c r="Y3690">
        <f>1-897-531-2823</f>
        <v>-4250</v>
      </c>
    </row>
    <row r="3691" spans="1:25" x14ac:dyDescent="0.35">
      <c r="A3691">
        <v>38.927144059520103</v>
      </c>
      <c r="B3691">
        <v>-118.34661648675301</v>
      </c>
      <c r="C3691" t="s">
        <v>34</v>
      </c>
      <c r="D3691">
        <v>32.224540790545397</v>
      </c>
      <c r="E3691">
        <v>7</v>
      </c>
      <c r="F3691">
        <v>2443</v>
      </c>
      <c r="G3691">
        <v>1</v>
      </c>
      <c r="H3691">
        <v>1</v>
      </c>
      <c r="I3691">
        <v>1972</v>
      </c>
      <c r="J3691">
        <v>1</v>
      </c>
      <c r="K3691">
        <v>0</v>
      </c>
      <c r="L3691">
        <v>0</v>
      </c>
      <c r="M3691">
        <v>2</v>
      </c>
      <c r="N3691" t="s">
        <v>37</v>
      </c>
      <c r="O3691" t="s">
        <v>32</v>
      </c>
      <c r="P3691">
        <v>8.6213940905303303</v>
      </c>
      <c r="Q3691">
        <v>2.4917459168218601</v>
      </c>
      <c r="R3691">
        <v>8.4210444760458802</v>
      </c>
      <c r="S3691">
        <v>125</v>
      </c>
      <c r="T3691">
        <v>21</v>
      </c>
      <c r="U3691">
        <v>794.929289307217</v>
      </c>
      <c r="V3691">
        <v>8.1866557511256596E-4</v>
      </c>
      <c r="W3691">
        <v>1999842.96864012</v>
      </c>
      <c r="X3691" t="s">
        <v>44</v>
      </c>
      <c r="Y3691">
        <f>1-634-664-3676</f>
        <v>-4973</v>
      </c>
    </row>
    <row r="3692" spans="1:25" x14ac:dyDescent="0.35">
      <c r="A3692">
        <v>36.475744310345398</v>
      </c>
      <c r="B3692">
        <v>-116.16180025448401</v>
      </c>
      <c r="C3692" t="s">
        <v>34</v>
      </c>
      <c r="D3692">
        <v>42.218031469977497</v>
      </c>
      <c r="E3692">
        <v>4</v>
      </c>
      <c r="F3692">
        <v>2389</v>
      </c>
      <c r="G3692">
        <v>5</v>
      </c>
      <c r="H3692">
        <v>2</v>
      </c>
      <c r="I3692">
        <v>1979</v>
      </c>
      <c r="J3692">
        <v>1</v>
      </c>
      <c r="K3692">
        <v>1</v>
      </c>
      <c r="L3692">
        <v>1</v>
      </c>
      <c r="M3692">
        <v>14</v>
      </c>
      <c r="N3692" t="s">
        <v>37</v>
      </c>
      <c r="O3692" t="s">
        <v>32</v>
      </c>
      <c r="P3692">
        <v>11.3609935623289</v>
      </c>
      <c r="Q3692">
        <v>1.9854092017176499</v>
      </c>
      <c r="R3692">
        <v>1.1688090010376999</v>
      </c>
      <c r="S3692">
        <v>34</v>
      </c>
      <c r="T3692">
        <v>45</v>
      </c>
      <c r="U3692">
        <v>484.67078279805298</v>
      </c>
      <c r="V3692">
        <v>5.8601925491837499E-3</v>
      </c>
      <c r="W3692">
        <v>1676607.9452513901</v>
      </c>
      <c r="X3692" t="s">
        <v>39</v>
      </c>
      <c r="Y3692">
        <f>1-283-745-8378</f>
        <v>-9405</v>
      </c>
    </row>
    <row r="3693" spans="1:25" x14ac:dyDescent="0.35">
      <c r="A3693">
        <v>37.511048508504402</v>
      </c>
      <c r="B3693">
        <v>-122.950691104421</v>
      </c>
      <c r="C3693" t="s">
        <v>25</v>
      </c>
      <c r="D3693">
        <v>27.7503099014573</v>
      </c>
      <c r="E3693">
        <v>6</v>
      </c>
      <c r="F3693">
        <v>2340</v>
      </c>
      <c r="G3693">
        <v>1</v>
      </c>
      <c r="H3693">
        <v>1</v>
      </c>
      <c r="I3693">
        <v>1998</v>
      </c>
      <c r="J3693">
        <v>1</v>
      </c>
      <c r="K3693">
        <v>1</v>
      </c>
      <c r="L3693">
        <v>0</v>
      </c>
      <c r="M3693">
        <v>14</v>
      </c>
      <c r="N3693" t="s">
        <v>26</v>
      </c>
      <c r="O3693" t="s">
        <v>30</v>
      </c>
      <c r="P3693">
        <v>3.54663415994361</v>
      </c>
      <c r="Q3693">
        <v>2.2215460307830899</v>
      </c>
      <c r="R3693">
        <v>4.14002362935405</v>
      </c>
      <c r="S3693">
        <v>74</v>
      </c>
      <c r="T3693">
        <v>53</v>
      </c>
      <c r="U3693">
        <v>910.15232480188195</v>
      </c>
      <c r="V3693">
        <v>5.9829059829059799E-3</v>
      </c>
      <c r="W3693">
        <v>2337421.0513931899</v>
      </c>
      <c r="X3693" t="s">
        <v>33</v>
      </c>
      <c r="Y3693">
        <f>1-885-858-3679</f>
        <v>-5421</v>
      </c>
    </row>
    <row r="3694" spans="1:25" x14ac:dyDescent="0.35">
      <c r="A3694">
        <v>36.445536807440703</v>
      </c>
      <c r="B3694">
        <v>-120.74447307945699</v>
      </c>
      <c r="C3694" t="s">
        <v>25</v>
      </c>
      <c r="D3694">
        <v>32.459491380858601</v>
      </c>
      <c r="E3694">
        <v>8</v>
      </c>
      <c r="F3694">
        <v>1243</v>
      </c>
      <c r="G3694">
        <v>1</v>
      </c>
      <c r="H3694">
        <v>3</v>
      </c>
      <c r="I3694">
        <v>1990</v>
      </c>
      <c r="J3694">
        <v>0</v>
      </c>
      <c r="K3694">
        <v>0</v>
      </c>
      <c r="L3694">
        <v>0</v>
      </c>
      <c r="M3694">
        <v>7</v>
      </c>
      <c r="N3694" t="s">
        <v>35</v>
      </c>
      <c r="O3694" t="s">
        <v>32</v>
      </c>
      <c r="P3694">
        <v>11.964489307851</v>
      </c>
      <c r="Q3694">
        <v>1.7882932058026499</v>
      </c>
      <c r="R3694">
        <v>0.99267589489293995</v>
      </c>
      <c r="S3694">
        <v>118</v>
      </c>
      <c r="T3694">
        <v>20</v>
      </c>
      <c r="U3694">
        <v>372.19277863821702</v>
      </c>
      <c r="V3694">
        <v>5.6315366049879299E-3</v>
      </c>
      <c r="W3694">
        <v>632453.54855256504</v>
      </c>
      <c r="X3694" t="s">
        <v>39</v>
      </c>
      <c r="Y3694">
        <f>1-632-647-5583</f>
        <v>-6861</v>
      </c>
    </row>
    <row r="3695" spans="1:25" x14ac:dyDescent="0.35">
      <c r="A3695">
        <v>38.984294496307697</v>
      </c>
      <c r="B3695">
        <v>-120.313358858594</v>
      </c>
      <c r="C3695" t="s">
        <v>25</v>
      </c>
      <c r="D3695">
        <v>45.527927471984</v>
      </c>
      <c r="E3695">
        <v>1</v>
      </c>
      <c r="F3695">
        <v>1955</v>
      </c>
      <c r="G3695">
        <v>4</v>
      </c>
      <c r="H3695">
        <v>1</v>
      </c>
      <c r="I3695">
        <v>1995</v>
      </c>
      <c r="J3695">
        <v>1</v>
      </c>
      <c r="K3695">
        <v>0</v>
      </c>
      <c r="L3695">
        <v>0</v>
      </c>
      <c r="M3695">
        <v>12</v>
      </c>
      <c r="N3695" t="s">
        <v>37</v>
      </c>
      <c r="O3695" t="s">
        <v>30</v>
      </c>
      <c r="P3695">
        <v>14.6184317101162</v>
      </c>
      <c r="Q3695">
        <v>1.9045001157816801</v>
      </c>
      <c r="R3695">
        <v>5.96274890578308</v>
      </c>
      <c r="S3695">
        <v>140</v>
      </c>
      <c r="T3695">
        <v>52</v>
      </c>
      <c r="U3695">
        <v>651.91017509168796</v>
      </c>
      <c r="V3695">
        <v>6.1381074168797897E-3</v>
      </c>
      <c r="W3695">
        <v>1587491.95288275</v>
      </c>
      <c r="X3695" t="s">
        <v>42</v>
      </c>
      <c r="Y3695">
        <f>1-326-180-5224</f>
        <v>-5729</v>
      </c>
    </row>
    <row r="3696" spans="1:25" x14ac:dyDescent="0.35">
      <c r="A3696">
        <v>37.307111173985497</v>
      </c>
      <c r="B3696">
        <v>-122.152580033782</v>
      </c>
      <c r="C3696" t="s">
        <v>34</v>
      </c>
      <c r="D3696">
        <v>27.022402946501099</v>
      </c>
      <c r="E3696">
        <v>2</v>
      </c>
      <c r="F3696">
        <v>1367</v>
      </c>
      <c r="G3696">
        <v>3</v>
      </c>
      <c r="H3696">
        <v>3</v>
      </c>
      <c r="I3696">
        <v>1950</v>
      </c>
      <c r="J3696">
        <v>1</v>
      </c>
      <c r="K3696">
        <v>0</v>
      </c>
      <c r="L3696">
        <v>0</v>
      </c>
      <c r="M3696">
        <v>14</v>
      </c>
      <c r="N3696" t="s">
        <v>26</v>
      </c>
      <c r="O3696" t="s">
        <v>30</v>
      </c>
      <c r="P3696">
        <v>8.4426626448912696</v>
      </c>
      <c r="Q3696">
        <v>1.12793876895831</v>
      </c>
      <c r="R3696">
        <v>9.5133440229349908</v>
      </c>
      <c r="S3696">
        <v>187</v>
      </c>
      <c r="T3696">
        <v>63</v>
      </c>
      <c r="U3696">
        <v>518.37993132885094</v>
      </c>
      <c r="V3696">
        <v>1.0241404535479099E-2</v>
      </c>
      <c r="W3696">
        <v>862908.84882585402</v>
      </c>
      <c r="X3696" t="s">
        <v>31</v>
      </c>
      <c r="Y3696">
        <f>1-446-240-5041</f>
        <v>-5726</v>
      </c>
    </row>
    <row r="3697" spans="1:25" x14ac:dyDescent="0.35">
      <c r="A3697">
        <v>37.2871269999197</v>
      </c>
      <c r="B3697">
        <v>-114.451333248526</v>
      </c>
      <c r="C3697" t="s">
        <v>25</v>
      </c>
      <c r="D3697">
        <v>21.9385373677841</v>
      </c>
      <c r="E3697">
        <v>2</v>
      </c>
      <c r="F3697">
        <v>3943</v>
      </c>
      <c r="G3697">
        <v>2</v>
      </c>
      <c r="H3697">
        <v>2</v>
      </c>
      <c r="I3697">
        <v>1979</v>
      </c>
      <c r="J3697">
        <v>0</v>
      </c>
      <c r="K3697">
        <v>0</v>
      </c>
      <c r="L3697">
        <v>0</v>
      </c>
      <c r="M3697">
        <v>8</v>
      </c>
      <c r="N3697" t="s">
        <v>35</v>
      </c>
      <c r="O3697" t="s">
        <v>27</v>
      </c>
      <c r="P3697">
        <v>6.4765993435892897</v>
      </c>
      <c r="Q3697">
        <v>1.8212406771671199</v>
      </c>
      <c r="R3697">
        <v>0.50859757734446498</v>
      </c>
      <c r="S3697">
        <v>85</v>
      </c>
      <c r="T3697">
        <v>26</v>
      </c>
      <c r="U3697">
        <v>723.28299507085001</v>
      </c>
      <c r="V3697">
        <v>2.0289119959421699E-3</v>
      </c>
      <c r="W3697">
        <v>2906564.2912635002</v>
      </c>
      <c r="X3697" t="s">
        <v>28</v>
      </c>
      <c r="Y3697">
        <f>1-838-906-5086</f>
        <v>-6829</v>
      </c>
    </row>
    <row r="3698" spans="1:25" x14ac:dyDescent="0.35">
      <c r="A3698">
        <v>36.075222218008598</v>
      </c>
      <c r="B3698">
        <v>-117.614672170951</v>
      </c>
      <c r="C3698" t="s">
        <v>34</v>
      </c>
      <c r="D3698">
        <v>26.479467999310302</v>
      </c>
      <c r="E3698">
        <v>4</v>
      </c>
      <c r="F3698">
        <v>3245</v>
      </c>
      <c r="G3698">
        <v>2</v>
      </c>
      <c r="H3698">
        <v>2</v>
      </c>
      <c r="I3698">
        <v>2014</v>
      </c>
      <c r="J3698">
        <v>0</v>
      </c>
      <c r="K3698">
        <v>1</v>
      </c>
      <c r="L3698">
        <v>0</v>
      </c>
      <c r="M3698">
        <v>3</v>
      </c>
      <c r="N3698" t="s">
        <v>41</v>
      </c>
      <c r="O3698" t="s">
        <v>30</v>
      </c>
      <c r="P3698">
        <v>10.788581816025699</v>
      </c>
      <c r="Q3698">
        <v>1.79801683642109</v>
      </c>
      <c r="R3698">
        <v>5.42360902392935</v>
      </c>
      <c r="S3698">
        <v>128</v>
      </c>
      <c r="T3698">
        <v>76</v>
      </c>
      <c r="U3698">
        <v>734.68050011037303</v>
      </c>
      <c r="V3698">
        <v>9.2449922958397505E-4</v>
      </c>
      <c r="W3698">
        <v>2658763.1382673001</v>
      </c>
      <c r="X3698" t="s">
        <v>33</v>
      </c>
      <c r="Y3698">
        <f>1-397-808-1080</f>
        <v>-2284</v>
      </c>
    </row>
    <row r="3699" spans="1:25" x14ac:dyDescent="0.35">
      <c r="A3699">
        <v>39.885048141570898</v>
      </c>
      <c r="B3699">
        <v>-118.73469976602399</v>
      </c>
      <c r="C3699" t="s">
        <v>29</v>
      </c>
      <c r="D3699">
        <v>11.3584126766588</v>
      </c>
      <c r="E3699">
        <v>4</v>
      </c>
      <c r="F3699">
        <v>4332</v>
      </c>
      <c r="G3699">
        <v>1</v>
      </c>
      <c r="H3699">
        <v>3</v>
      </c>
      <c r="I3699">
        <v>1996</v>
      </c>
      <c r="J3699">
        <v>0</v>
      </c>
      <c r="K3699">
        <v>0</v>
      </c>
      <c r="L3699">
        <v>1</v>
      </c>
      <c r="M3699">
        <v>4</v>
      </c>
      <c r="N3699" t="s">
        <v>41</v>
      </c>
      <c r="O3699" t="s">
        <v>32</v>
      </c>
      <c r="P3699">
        <v>9.4204689172057794</v>
      </c>
      <c r="Q3699">
        <v>0.81766860340302305</v>
      </c>
      <c r="R3699">
        <v>0.49528281473424601</v>
      </c>
      <c r="S3699">
        <v>140</v>
      </c>
      <c r="T3699">
        <v>23</v>
      </c>
      <c r="U3699">
        <v>784.587041549898</v>
      </c>
      <c r="V3699">
        <v>9.2336103416435801E-4</v>
      </c>
      <c r="W3699">
        <v>3566536.76562957</v>
      </c>
      <c r="X3699" t="s">
        <v>31</v>
      </c>
      <c r="Y3699">
        <f>1-219-464-7148</f>
        <v>-7830</v>
      </c>
    </row>
    <row r="3700" spans="1:25" x14ac:dyDescent="0.35">
      <c r="A3700">
        <v>33.869715402830501</v>
      </c>
      <c r="B3700">
        <v>-115.387776712099</v>
      </c>
      <c r="C3700" t="s">
        <v>25</v>
      </c>
      <c r="D3700">
        <v>39.129491173269798</v>
      </c>
      <c r="E3700">
        <v>0</v>
      </c>
      <c r="F3700">
        <v>2259</v>
      </c>
      <c r="G3700">
        <v>1</v>
      </c>
      <c r="H3700">
        <v>2</v>
      </c>
      <c r="I3700">
        <v>2010</v>
      </c>
      <c r="J3700">
        <v>1</v>
      </c>
      <c r="K3700">
        <v>0</v>
      </c>
      <c r="L3700">
        <v>0</v>
      </c>
      <c r="M3700">
        <v>4</v>
      </c>
      <c r="N3700" t="s">
        <v>26</v>
      </c>
      <c r="O3700" t="s">
        <v>30</v>
      </c>
      <c r="P3700">
        <v>12.704155387730101</v>
      </c>
      <c r="Q3700">
        <v>0.60791207095675703</v>
      </c>
      <c r="R3700">
        <v>5.4008356656101997</v>
      </c>
      <c r="S3700">
        <v>31</v>
      </c>
      <c r="T3700">
        <v>23</v>
      </c>
      <c r="U3700">
        <v>693.29616883413098</v>
      </c>
      <c r="V3700">
        <v>1.77069499778663E-3</v>
      </c>
      <c r="W3700">
        <v>1784106.3400127799</v>
      </c>
      <c r="X3700" t="s">
        <v>28</v>
      </c>
      <c r="Y3700">
        <f>1-828-342-9515</f>
        <v>-10684</v>
      </c>
    </row>
    <row r="3701" spans="1:25" x14ac:dyDescent="0.35">
      <c r="A3701">
        <v>34.121917117628399</v>
      </c>
      <c r="B3701">
        <v>-116.865660347223</v>
      </c>
      <c r="C3701" t="s">
        <v>29</v>
      </c>
      <c r="D3701">
        <v>10.487637000164501</v>
      </c>
      <c r="E3701">
        <v>5</v>
      </c>
      <c r="F3701">
        <v>2348</v>
      </c>
      <c r="G3701">
        <v>2</v>
      </c>
      <c r="H3701">
        <v>2</v>
      </c>
      <c r="I3701">
        <v>1973</v>
      </c>
      <c r="J3701">
        <v>1</v>
      </c>
      <c r="K3701">
        <v>0</v>
      </c>
      <c r="L3701">
        <v>0</v>
      </c>
      <c r="M3701">
        <v>5</v>
      </c>
      <c r="N3701" t="s">
        <v>35</v>
      </c>
      <c r="O3701" t="s">
        <v>27</v>
      </c>
      <c r="P3701">
        <v>6.3361455839322698</v>
      </c>
      <c r="Q3701">
        <v>1.62689645896653</v>
      </c>
      <c r="R3701">
        <v>7.4522505964918704</v>
      </c>
      <c r="S3701">
        <v>130</v>
      </c>
      <c r="T3701">
        <v>55</v>
      </c>
      <c r="U3701">
        <v>784.02429199204096</v>
      </c>
      <c r="V3701">
        <v>2.12947189097103E-3</v>
      </c>
      <c r="W3701">
        <v>1906670.9030200399</v>
      </c>
      <c r="X3701" t="s">
        <v>43</v>
      </c>
      <c r="Y3701">
        <f>1-569-296-2652</f>
        <v>-3516</v>
      </c>
    </row>
    <row r="3702" spans="1:25" x14ac:dyDescent="0.35">
      <c r="A3702">
        <v>33.825250989055199</v>
      </c>
      <c r="B3702">
        <v>-118.870481487277</v>
      </c>
      <c r="C3702" t="s">
        <v>25</v>
      </c>
      <c r="D3702">
        <v>26.195993311819802</v>
      </c>
      <c r="E3702">
        <v>4</v>
      </c>
      <c r="F3702">
        <v>3672</v>
      </c>
      <c r="G3702">
        <v>3</v>
      </c>
      <c r="H3702">
        <v>3</v>
      </c>
      <c r="I3702">
        <v>1987</v>
      </c>
      <c r="J3702">
        <v>1</v>
      </c>
      <c r="K3702">
        <v>1</v>
      </c>
      <c r="L3702">
        <v>1</v>
      </c>
      <c r="M3702">
        <v>7</v>
      </c>
      <c r="N3702" t="s">
        <v>26</v>
      </c>
      <c r="O3702" t="s">
        <v>27</v>
      </c>
      <c r="P3702">
        <v>7.75349968426098</v>
      </c>
      <c r="Q3702">
        <v>0.63871607243869</v>
      </c>
      <c r="R3702">
        <v>7.8718827785623704</v>
      </c>
      <c r="S3702">
        <v>165</v>
      </c>
      <c r="T3702">
        <v>48</v>
      </c>
      <c r="U3702">
        <v>308.347012976342</v>
      </c>
      <c r="V3702">
        <v>1.90631808278867E-3</v>
      </c>
      <c r="W3702">
        <v>1458400.19347354</v>
      </c>
      <c r="X3702" t="s">
        <v>43</v>
      </c>
      <c r="Y3702">
        <f>1-935-672-3217</f>
        <v>-4823</v>
      </c>
    </row>
    <row r="3703" spans="1:25" x14ac:dyDescent="0.35">
      <c r="A3703">
        <v>34.7821845307597</v>
      </c>
      <c r="B3703">
        <v>-124.24610283764</v>
      </c>
      <c r="C3703" t="s">
        <v>25</v>
      </c>
      <c r="D3703">
        <v>45.760517279987702</v>
      </c>
      <c r="E3703">
        <v>5</v>
      </c>
      <c r="F3703">
        <v>1977</v>
      </c>
      <c r="G3703">
        <v>3</v>
      </c>
      <c r="H3703">
        <v>1</v>
      </c>
      <c r="I3703">
        <v>2018</v>
      </c>
      <c r="J3703">
        <v>0</v>
      </c>
      <c r="K3703">
        <v>0</v>
      </c>
      <c r="L3703">
        <v>0</v>
      </c>
      <c r="M3703">
        <v>14</v>
      </c>
      <c r="N3703" t="s">
        <v>37</v>
      </c>
      <c r="O3703" t="s">
        <v>27</v>
      </c>
      <c r="P3703">
        <v>14.5351974329605</v>
      </c>
      <c r="Q3703">
        <v>2.4531318134799101</v>
      </c>
      <c r="R3703">
        <v>2.90577470758892</v>
      </c>
      <c r="S3703">
        <v>33</v>
      </c>
      <c r="T3703">
        <v>45</v>
      </c>
      <c r="U3703">
        <v>548.45620906097895</v>
      </c>
      <c r="V3703">
        <v>7.0814365199797598E-3</v>
      </c>
      <c r="W3703">
        <v>1309294.9273477299</v>
      </c>
      <c r="X3703" t="s">
        <v>36</v>
      </c>
      <c r="Y3703">
        <f>1-415-435-5174</f>
        <v>-6023</v>
      </c>
    </row>
    <row r="3704" spans="1:25" x14ac:dyDescent="0.35">
      <c r="A3704">
        <v>33.921157273744498</v>
      </c>
      <c r="B3704">
        <v>-118.58905243014701</v>
      </c>
      <c r="C3704" t="s">
        <v>25</v>
      </c>
      <c r="D3704">
        <v>43.791892352161398</v>
      </c>
      <c r="E3704">
        <v>1</v>
      </c>
      <c r="F3704">
        <v>884</v>
      </c>
      <c r="G3704">
        <v>3</v>
      </c>
      <c r="H3704">
        <v>2</v>
      </c>
      <c r="I3704">
        <v>1951</v>
      </c>
      <c r="J3704">
        <v>0</v>
      </c>
      <c r="K3704">
        <v>0</v>
      </c>
      <c r="L3704">
        <v>0</v>
      </c>
      <c r="M3704">
        <v>2</v>
      </c>
      <c r="N3704" t="s">
        <v>41</v>
      </c>
      <c r="O3704" t="s">
        <v>30</v>
      </c>
      <c r="P3704">
        <v>13.504123916305</v>
      </c>
      <c r="Q3704">
        <v>1.2357800534685199</v>
      </c>
      <c r="R3704">
        <v>5.6815921024543599</v>
      </c>
      <c r="S3704">
        <v>60</v>
      </c>
      <c r="T3704">
        <v>25</v>
      </c>
      <c r="U3704">
        <v>856.27449359511695</v>
      </c>
      <c r="V3704">
        <v>2.26244343891402E-3</v>
      </c>
      <c r="W3704">
        <v>910754.08525783196</v>
      </c>
      <c r="X3704" t="s">
        <v>43</v>
      </c>
      <c r="Y3704">
        <f>1-629-433-7025</f>
        <v>-8086</v>
      </c>
    </row>
    <row r="3705" spans="1:25" x14ac:dyDescent="0.35">
      <c r="A3705">
        <v>38.940546635507197</v>
      </c>
      <c r="B3705">
        <v>-116.368249529867</v>
      </c>
      <c r="C3705" t="s">
        <v>25</v>
      </c>
      <c r="D3705">
        <v>43.137746934843598</v>
      </c>
      <c r="E3705">
        <v>5</v>
      </c>
      <c r="F3705">
        <v>554</v>
      </c>
      <c r="G3705">
        <v>4</v>
      </c>
      <c r="H3705">
        <v>2</v>
      </c>
      <c r="I3705">
        <v>1953</v>
      </c>
      <c r="J3705">
        <v>0</v>
      </c>
      <c r="K3705">
        <v>1</v>
      </c>
      <c r="L3705">
        <v>0</v>
      </c>
      <c r="M3705">
        <v>11</v>
      </c>
      <c r="N3705" t="s">
        <v>26</v>
      </c>
      <c r="O3705" t="s">
        <v>30</v>
      </c>
      <c r="P3705">
        <v>13.2806600068714</v>
      </c>
      <c r="Q3705">
        <v>0.866884461113269</v>
      </c>
      <c r="R3705">
        <v>0.323860358062045</v>
      </c>
      <c r="S3705">
        <v>97</v>
      </c>
      <c r="T3705">
        <v>27</v>
      </c>
      <c r="U3705">
        <v>701.05097486974898</v>
      </c>
      <c r="V3705">
        <v>1.9855595667869999E-2</v>
      </c>
      <c r="W3705">
        <v>790183.40712816105</v>
      </c>
      <c r="X3705" t="s">
        <v>28</v>
      </c>
      <c r="Y3705">
        <f>1-993-805-3707</f>
        <v>-5504</v>
      </c>
    </row>
    <row r="3706" spans="1:25" x14ac:dyDescent="0.35">
      <c r="A3706">
        <v>37.939870968046399</v>
      </c>
      <c r="B3706">
        <v>-119.474374301303</v>
      </c>
      <c r="C3706" t="s">
        <v>25</v>
      </c>
      <c r="D3706">
        <v>3.7918884239502999</v>
      </c>
      <c r="E3706">
        <v>4</v>
      </c>
      <c r="F3706">
        <v>2039</v>
      </c>
      <c r="G3706">
        <v>4</v>
      </c>
      <c r="H3706">
        <v>2</v>
      </c>
      <c r="I3706">
        <v>1955</v>
      </c>
      <c r="J3706">
        <v>1</v>
      </c>
      <c r="K3706">
        <v>0</v>
      </c>
      <c r="L3706">
        <v>0</v>
      </c>
      <c r="M3706">
        <v>12</v>
      </c>
      <c r="N3706" t="s">
        <v>35</v>
      </c>
      <c r="O3706" t="s">
        <v>32</v>
      </c>
      <c r="P3706">
        <v>2.6325933089486901</v>
      </c>
      <c r="Q3706">
        <v>1.01564719256717</v>
      </c>
      <c r="R3706">
        <v>2.7453872180993399</v>
      </c>
      <c r="S3706">
        <v>57</v>
      </c>
      <c r="T3706">
        <v>21</v>
      </c>
      <c r="U3706">
        <v>424.35870514108302</v>
      </c>
      <c r="V3706">
        <v>5.8852378616969098E-3</v>
      </c>
      <c r="W3706">
        <v>1124712.5896968399</v>
      </c>
      <c r="X3706" t="s">
        <v>33</v>
      </c>
      <c r="Y3706">
        <f>1-467-541-3266</f>
        <v>-4273</v>
      </c>
    </row>
    <row r="3707" spans="1:25" x14ac:dyDescent="0.35">
      <c r="A3707">
        <v>39.354713087293902</v>
      </c>
      <c r="B3707">
        <v>-121.601528050738</v>
      </c>
      <c r="C3707" t="s">
        <v>29</v>
      </c>
      <c r="D3707">
        <v>45.198643243826403</v>
      </c>
      <c r="E3707">
        <v>1</v>
      </c>
      <c r="F3707">
        <v>2932</v>
      </c>
      <c r="G3707">
        <v>5</v>
      </c>
      <c r="H3707">
        <v>2</v>
      </c>
      <c r="I3707">
        <v>1951</v>
      </c>
      <c r="J3707">
        <v>1</v>
      </c>
      <c r="K3707">
        <v>1</v>
      </c>
      <c r="L3707">
        <v>1</v>
      </c>
      <c r="M3707">
        <v>12</v>
      </c>
      <c r="N3707" t="s">
        <v>37</v>
      </c>
      <c r="O3707" t="s">
        <v>32</v>
      </c>
      <c r="P3707">
        <v>12.0038092092682</v>
      </c>
      <c r="Q3707">
        <v>1.9585602462049001</v>
      </c>
      <c r="R3707">
        <v>9.3663128603037897</v>
      </c>
      <c r="S3707">
        <v>53</v>
      </c>
      <c r="T3707">
        <v>46</v>
      </c>
      <c r="U3707">
        <v>466.03566456818999</v>
      </c>
      <c r="V3707">
        <v>4.0927694406548403E-3</v>
      </c>
      <c r="W3707">
        <v>1799886.7024459499</v>
      </c>
      <c r="X3707" t="s">
        <v>43</v>
      </c>
      <c r="Y3707">
        <f>1-505-861-1587</f>
        <v>-2952</v>
      </c>
    </row>
    <row r="3708" spans="1:25" x14ac:dyDescent="0.35">
      <c r="A3708">
        <v>34.504333079209403</v>
      </c>
      <c r="B3708">
        <v>-118.471262417517</v>
      </c>
      <c r="C3708" t="s">
        <v>29</v>
      </c>
      <c r="D3708">
        <v>29.913999311218799</v>
      </c>
      <c r="E3708">
        <v>5</v>
      </c>
      <c r="F3708">
        <v>3337</v>
      </c>
      <c r="G3708">
        <v>1</v>
      </c>
      <c r="H3708">
        <v>2</v>
      </c>
      <c r="I3708">
        <v>1971</v>
      </c>
      <c r="J3708">
        <v>0</v>
      </c>
      <c r="K3708">
        <v>1</v>
      </c>
      <c r="L3708">
        <v>0</v>
      </c>
      <c r="M3708">
        <v>2</v>
      </c>
      <c r="N3708" t="s">
        <v>37</v>
      </c>
      <c r="O3708" t="s">
        <v>32</v>
      </c>
      <c r="P3708">
        <v>3.0083378432003798</v>
      </c>
      <c r="Q3708">
        <v>0.78204208266890896</v>
      </c>
      <c r="R3708">
        <v>1.3201061176145199</v>
      </c>
      <c r="S3708">
        <v>145</v>
      </c>
      <c r="T3708">
        <v>69</v>
      </c>
      <c r="U3708">
        <v>733.73395100047503</v>
      </c>
      <c r="V3708">
        <v>5.9934072520227699E-4</v>
      </c>
      <c r="W3708">
        <v>2575537.55389506</v>
      </c>
      <c r="X3708" t="s">
        <v>38</v>
      </c>
      <c r="Y3708">
        <f>1-508-793-2640</f>
        <v>-3940</v>
      </c>
    </row>
    <row r="3709" spans="1:25" x14ac:dyDescent="0.35">
      <c r="A3709">
        <v>41.9123939857487</v>
      </c>
      <c r="B3709">
        <v>-121.65244298588399</v>
      </c>
      <c r="C3709" t="s">
        <v>25</v>
      </c>
      <c r="D3709">
        <v>33.498596663010602</v>
      </c>
      <c r="E3709">
        <v>7</v>
      </c>
      <c r="F3709">
        <v>2902</v>
      </c>
      <c r="G3709">
        <v>3</v>
      </c>
      <c r="H3709">
        <v>3</v>
      </c>
      <c r="I3709">
        <v>1972</v>
      </c>
      <c r="J3709">
        <v>1</v>
      </c>
      <c r="K3709">
        <v>1</v>
      </c>
      <c r="L3709">
        <v>0</v>
      </c>
      <c r="M3709">
        <v>10</v>
      </c>
      <c r="N3709" t="s">
        <v>26</v>
      </c>
      <c r="O3709" t="s">
        <v>30</v>
      </c>
      <c r="P3709">
        <v>4.6535412977168003</v>
      </c>
      <c r="Q3709">
        <v>0.77582519919759796</v>
      </c>
      <c r="R3709">
        <v>9.9352843868809195</v>
      </c>
      <c r="S3709">
        <v>5</v>
      </c>
      <c r="T3709">
        <v>63</v>
      </c>
      <c r="U3709">
        <v>779.21658826754697</v>
      </c>
      <c r="V3709">
        <v>3.44589937973811E-3</v>
      </c>
      <c r="W3709">
        <v>2592437.9899252802</v>
      </c>
      <c r="X3709" t="s">
        <v>42</v>
      </c>
      <c r="Y3709">
        <f>1-665-954-7710</f>
        <v>-9328</v>
      </c>
    </row>
    <row r="3710" spans="1:25" x14ac:dyDescent="0.35">
      <c r="A3710">
        <v>41.1016941213217</v>
      </c>
      <c r="B3710">
        <v>-119.390285015107</v>
      </c>
      <c r="C3710" t="s">
        <v>25</v>
      </c>
      <c r="D3710">
        <v>48.695671425264102</v>
      </c>
      <c r="E3710">
        <v>8</v>
      </c>
      <c r="F3710">
        <v>3489</v>
      </c>
      <c r="G3710">
        <v>4</v>
      </c>
      <c r="H3710">
        <v>3</v>
      </c>
      <c r="I3710">
        <v>1986</v>
      </c>
      <c r="J3710">
        <v>0</v>
      </c>
      <c r="K3710">
        <v>0</v>
      </c>
      <c r="L3710">
        <v>1</v>
      </c>
      <c r="M3710">
        <v>14</v>
      </c>
      <c r="N3710" t="s">
        <v>41</v>
      </c>
      <c r="O3710" t="s">
        <v>27</v>
      </c>
      <c r="P3710">
        <v>2.0272740089311698</v>
      </c>
      <c r="Q3710">
        <v>1.18010622602273</v>
      </c>
      <c r="R3710">
        <v>3.32263663730064</v>
      </c>
      <c r="S3710">
        <v>98</v>
      </c>
      <c r="T3710">
        <v>68</v>
      </c>
      <c r="U3710">
        <v>484.25378417593402</v>
      </c>
      <c r="V3710">
        <v>4.0126110633419299E-3</v>
      </c>
      <c r="W3710">
        <v>1955237.7064901199</v>
      </c>
      <c r="X3710" t="s">
        <v>33</v>
      </c>
      <c r="Y3710">
        <f>1-363-926-3213</f>
        <v>-4501</v>
      </c>
    </row>
    <row r="3711" spans="1:25" x14ac:dyDescent="0.35">
      <c r="A3711">
        <v>40.163946327386697</v>
      </c>
      <c r="B3711">
        <v>-121.937822795759</v>
      </c>
      <c r="C3711" t="s">
        <v>25</v>
      </c>
      <c r="D3711">
        <v>3.26309342674723</v>
      </c>
      <c r="E3711">
        <v>3</v>
      </c>
      <c r="F3711">
        <v>2452</v>
      </c>
      <c r="G3711">
        <v>3</v>
      </c>
      <c r="H3711">
        <v>2</v>
      </c>
      <c r="I3711">
        <v>1951</v>
      </c>
      <c r="J3711">
        <v>0</v>
      </c>
      <c r="K3711">
        <v>1</v>
      </c>
      <c r="L3711">
        <v>0</v>
      </c>
      <c r="M3711">
        <v>5</v>
      </c>
      <c r="N3711" t="s">
        <v>26</v>
      </c>
      <c r="O3711" t="s">
        <v>32</v>
      </c>
      <c r="P3711">
        <v>9.5182319268820308</v>
      </c>
      <c r="Q3711">
        <v>0.62512842234528798</v>
      </c>
      <c r="R3711">
        <v>3.42722555362228</v>
      </c>
      <c r="S3711">
        <v>79</v>
      </c>
      <c r="T3711">
        <v>27</v>
      </c>
      <c r="U3711">
        <v>837.91341587300997</v>
      </c>
      <c r="V3711">
        <v>2.03915171288743E-3</v>
      </c>
      <c r="W3711">
        <v>2405022.0393058201</v>
      </c>
      <c r="X3711" t="s">
        <v>43</v>
      </c>
      <c r="Y3711">
        <f>1-499-699-1751</f>
        <v>-2948</v>
      </c>
    </row>
    <row r="3712" spans="1:25" x14ac:dyDescent="0.35">
      <c r="A3712">
        <v>37.080208448172797</v>
      </c>
      <c r="B3712">
        <v>-115.405018074767</v>
      </c>
      <c r="C3712" t="s">
        <v>25</v>
      </c>
      <c r="D3712">
        <v>27.482837702539701</v>
      </c>
      <c r="E3712">
        <v>0</v>
      </c>
      <c r="F3712">
        <v>4558</v>
      </c>
      <c r="G3712">
        <v>3</v>
      </c>
      <c r="H3712">
        <v>2</v>
      </c>
      <c r="I3712">
        <v>1995</v>
      </c>
      <c r="J3712">
        <v>0</v>
      </c>
      <c r="K3712">
        <v>0</v>
      </c>
      <c r="L3712">
        <v>1</v>
      </c>
      <c r="M3712">
        <v>5</v>
      </c>
      <c r="N3712" t="s">
        <v>41</v>
      </c>
      <c r="O3712" t="s">
        <v>27</v>
      </c>
      <c r="P3712">
        <v>6.2230782539041698</v>
      </c>
      <c r="Q3712">
        <v>1.2574440485060501</v>
      </c>
      <c r="R3712">
        <v>2.8713938513263599</v>
      </c>
      <c r="S3712">
        <v>156</v>
      </c>
      <c r="T3712">
        <v>31</v>
      </c>
      <c r="U3712">
        <v>726.44739172684604</v>
      </c>
      <c r="V3712">
        <v>1.0969723562966199E-3</v>
      </c>
      <c r="W3712">
        <v>3551651.5326367798</v>
      </c>
      <c r="X3712" t="s">
        <v>31</v>
      </c>
      <c r="Y3712">
        <f>1-353-415-3763</f>
        <v>-4530</v>
      </c>
    </row>
    <row r="3713" spans="1:25" x14ac:dyDescent="0.35">
      <c r="A3713">
        <v>32.969505807078903</v>
      </c>
      <c r="B3713">
        <v>-119.364352509097</v>
      </c>
      <c r="C3713" t="s">
        <v>34</v>
      </c>
      <c r="D3713">
        <v>31.296234476335002</v>
      </c>
      <c r="E3713">
        <v>4</v>
      </c>
      <c r="F3713">
        <v>4039</v>
      </c>
      <c r="G3713">
        <v>3</v>
      </c>
      <c r="H3713">
        <v>2</v>
      </c>
      <c r="I3713">
        <v>1962</v>
      </c>
      <c r="J3713">
        <v>1</v>
      </c>
      <c r="K3713">
        <v>0</v>
      </c>
      <c r="L3713">
        <v>0</v>
      </c>
      <c r="M3713">
        <v>10</v>
      </c>
      <c r="N3713" t="s">
        <v>41</v>
      </c>
      <c r="O3713" t="s">
        <v>27</v>
      </c>
      <c r="P3713">
        <v>9.1976608685728003</v>
      </c>
      <c r="Q3713">
        <v>0.52959845588210697</v>
      </c>
      <c r="R3713">
        <v>6.7576281771322497</v>
      </c>
      <c r="S3713">
        <v>183</v>
      </c>
      <c r="T3713">
        <v>37</v>
      </c>
      <c r="U3713">
        <v>643.962990228899</v>
      </c>
      <c r="V3713">
        <v>2.4758603614756102E-3</v>
      </c>
      <c r="W3713">
        <v>2709133.5912031899</v>
      </c>
      <c r="X3713" t="s">
        <v>36</v>
      </c>
      <c r="Y3713">
        <f>1-560-296-1112</f>
        <v>-1967</v>
      </c>
    </row>
    <row r="3714" spans="1:25" x14ac:dyDescent="0.35">
      <c r="A3714">
        <v>34.907492882312802</v>
      </c>
      <c r="B3714">
        <v>-114.418378184641</v>
      </c>
      <c r="C3714" t="s">
        <v>25</v>
      </c>
      <c r="D3714">
        <v>32.040687733584498</v>
      </c>
      <c r="E3714">
        <v>6</v>
      </c>
      <c r="F3714">
        <v>1572</v>
      </c>
      <c r="G3714">
        <v>5</v>
      </c>
      <c r="H3714">
        <v>2</v>
      </c>
      <c r="I3714">
        <v>1984</v>
      </c>
      <c r="J3714">
        <v>0</v>
      </c>
      <c r="K3714">
        <v>0</v>
      </c>
      <c r="L3714">
        <v>1</v>
      </c>
      <c r="M3714">
        <v>7</v>
      </c>
      <c r="N3714" t="s">
        <v>26</v>
      </c>
      <c r="O3714" t="s">
        <v>30</v>
      </c>
      <c r="P3714">
        <v>3.9527412592761699</v>
      </c>
      <c r="Q3714">
        <v>1.3992479888762901</v>
      </c>
      <c r="R3714">
        <v>1.9291173384827001</v>
      </c>
      <c r="S3714">
        <v>57</v>
      </c>
      <c r="T3714">
        <v>33</v>
      </c>
      <c r="U3714">
        <v>278.10283418930601</v>
      </c>
      <c r="V3714">
        <v>4.4529262086513898E-3</v>
      </c>
      <c r="W3714">
        <v>725363.64133654395</v>
      </c>
      <c r="X3714" t="s">
        <v>36</v>
      </c>
      <c r="Y3714">
        <f>1-787-562-6506</f>
        <v>-7854</v>
      </c>
    </row>
    <row r="3715" spans="1:25" x14ac:dyDescent="0.35">
      <c r="A3715">
        <v>38.200198355313802</v>
      </c>
      <c r="B3715">
        <v>-117.623947331548</v>
      </c>
      <c r="C3715" t="s">
        <v>29</v>
      </c>
      <c r="D3715">
        <v>38.136891976952398</v>
      </c>
      <c r="E3715">
        <v>6</v>
      </c>
      <c r="F3715">
        <v>947</v>
      </c>
      <c r="G3715">
        <v>3</v>
      </c>
      <c r="H3715">
        <v>2</v>
      </c>
      <c r="I3715">
        <v>1962</v>
      </c>
      <c r="J3715">
        <v>1</v>
      </c>
      <c r="K3715">
        <v>0</v>
      </c>
      <c r="L3715">
        <v>0</v>
      </c>
      <c r="M3715">
        <v>2</v>
      </c>
      <c r="N3715" t="s">
        <v>26</v>
      </c>
      <c r="O3715" t="s">
        <v>32</v>
      </c>
      <c r="P3715">
        <v>8.8714459399187504</v>
      </c>
      <c r="Q3715">
        <v>1.8740233741996499</v>
      </c>
      <c r="R3715">
        <v>1.78503340715417</v>
      </c>
      <c r="S3715">
        <v>107</v>
      </c>
      <c r="T3715">
        <v>78</v>
      </c>
      <c r="U3715">
        <v>379.87377714450901</v>
      </c>
      <c r="V3715">
        <v>2.11193241816261E-3</v>
      </c>
      <c r="W3715">
        <v>551040.45771775104</v>
      </c>
      <c r="X3715" t="s">
        <v>42</v>
      </c>
      <c r="Y3715">
        <f>1-742-506-5714</f>
        <v>-6961</v>
      </c>
    </row>
    <row r="3716" spans="1:25" x14ac:dyDescent="0.35">
      <c r="A3716">
        <v>36.609378662582401</v>
      </c>
      <c r="B3716">
        <v>-121.836290620721</v>
      </c>
      <c r="C3716" t="s">
        <v>34</v>
      </c>
      <c r="D3716">
        <v>31.086964309286</v>
      </c>
      <c r="E3716">
        <v>5</v>
      </c>
      <c r="F3716">
        <v>3221</v>
      </c>
      <c r="G3716">
        <v>4</v>
      </c>
      <c r="H3716">
        <v>2</v>
      </c>
      <c r="I3716">
        <v>1982</v>
      </c>
      <c r="J3716">
        <v>1</v>
      </c>
      <c r="K3716">
        <v>0</v>
      </c>
      <c r="L3716">
        <v>0</v>
      </c>
      <c r="M3716">
        <v>6</v>
      </c>
      <c r="N3716" t="s">
        <v>35</v>
      </c>
      <c r="O3716" t="s">
        <v>30</v>
      </c>
      <c r="P3716">
        <v>11.3378432122588</v>
      </c>
      <c r="Q3716">
        <v>2.2920981404584402</v>
      </c>
      <c r="R3716">
        <v>2.5039213783525498</v>
      </c>
      <c r="S3716">
        <v>96</v>
      </c>
      <c r="T3716">
        <v>74</v>
      </c>
      <c r="U3716">
        <v>417.69709613017397</v>
      </c>
      <c r="V3716">
        <v>1.86277553554796E-3</v>
      </c>
      <c r="W3716">
        <v>1669259.5527973699</v>
      </c>
      <c r="X3716" t="s">
        <v>38</v>
      </c>
      <c r="Y3716">
        <f>1-695-827-8659</f>
        <v>-10180</v>
      </c>
    </row>
    <row r="3717" spans="1:25" x14ac:dyDescent="0.35">
      <c r="A3717">
        <v>41.436469193044204</v>
      </c>
      <c r="B3717">
        <v>-115.753010414042</v>
      </c>
      <c r="C3717" t="s">
        <v>34</v>
      </c>
      <c r="D3717">
        <v>10.8391395658647</v>
      </c>
      <c r="E3717">
        <v>5</v>
      </c>
      <c r="F3717">
        <v>2264</v>
      </c>
      <c r="G3717">
        <v>5</v>
      </c>
      <c r="H3717">
        <v>1</v>
      </c>
      <c r="I3717">
        <v>2009</v>
      </c>
      <c r="J3717">
        <v>0</v>
      </c>
      <c r="K3717">
        <v>0</v>
      </c>
      <c r="L3717">
        <v>0</v>
      </c>
      <c r="M3717">
        <v>8</v>
      </c>
      <c r="N3717" t="s">
        <v>35</v>
      </c>
      <c r="O3717" t="s">
        <v>27</v>
      </c>
      <c r="P3717">
        <v>9.4771233834524704</v>
      </c>
      <c r="Q3717">
        <v>1.5584873818743901</v>
      </c>
      <c r="R3717">
        <v>0.19986540035369799</v>
      </c>
      <c r="S3717">
        <v>3</v>
      </c>
      <c r="T3717">
        <v>24</v>
      </c>
      <c r="U3717">
        <v>953.81650594989503</v>
      </c>
      <c r="V3717">
        <v>3.53356890459363E-3</v>
      </c>
      <c r="W3717">
        <v>2571766.7965790601</v>
      </c>
      <c r="X3717" t="s">
        <v>39</v>
      </c>
      <c r="Y3717">
        <f>1-739-358-5552</f>
        <v>-6648</v>
      </c>
    </row>
    <row r="3718" spans="1:25" x14ac:dyDescent="0.35">
      <c r="A3718">
        <v>34.168435349104797</v>
      </c>
      <c r="B3718">
        <v>-117.84688334873501</v>
      </c>
      <c r="C3718" t="s">
        <v>25</v>
      </c>
      <c r="D3718">
        <v>37.861959321914902</v>
      </c>
      <c r="E3718">
        <v>0</v>
      </c>
      <c r="F3718">
        <v>4757</v>
      </c>
      <c r="G3718">
        <v>4</v>
      </c>
      <c r="H3718">
        <v>1</v>
      </c>
      <c r="I3718">
        <v>1957</v>
      </c>
      <c r="J3718">
        <v>1</v>
      </c>
      <c r="K3718">
        <v>1</v>
      </c>
      <c r="L3718">
        <v>1</v>
      </c>
      <c r="M3718">
        <v>9</v>
      </c>
      <c r="N3718" t="s">
        <v>35</v>
      </c>
      <c r="O3718" t="s">
        <v>32</v>
      </c>
      <c r="P3718">
        <v>5.7511249270186999</v>
      </c>
      <c r="Q3718">
        <v>1.35619159103159</v>
      </c>
      <c r="R3718">
        <v>8.4771068177403208</v>
      </c>
      <c r="S3718">
        <v>114</v>
      </c>
      <c r="T3718">
        <v>22</v>
      </c>
      <c r="U3718">
        <v>704.106170979544</v>
      </c>
      <c r="V3718">
        <v>1.8919487071683799E-3</v>
      </c>
      <c r="W3718">
        <v>3696957.6055284599</v>
      </c>
      <c r="X3718" t="s">
        <v>39</v>
      </c>
      <c r="Y3718">
        <f>1-972-125-8304</f>
        <v>-9400</v>
      </c>
    </row>
    <row r="3719" spans="1:25" x14ac:dyDescent="0.35">
      <c r="A3719">
        <v>35.391569563644303</v>
      </c>
      <c r="B3719">
        <v>-117.193843687742</v>
      </c>
      <c r="C3719" t="s">
        <v>34</v>
      </c>
      <c r="D3719">
        <v>46.181234866208698</v>
      </c>
      <c r="E3719">
        <v>7</v>
      </c>
      <c r="F3719">
        <v>807</v>
      </c>
      <c r="G3719">
        <v>1</v>
      </c>
      <c r="H3719">
        <v>3</v>
      </c>
      <c r="I3719">
        <v>1995</v>
      </c>
      <c r="J3719">
        <v>0</v>
      </c>
      <c r="K3719">
        <v>1</v>
      </c>
      <c r="L3719">
        <v>1</v>
      </c>
      <c r="M3719">
        <v>6</v>
      </c>
      <c r="N3719" t="s">
        <v>37</v>
      </c>
      <c r="O3719" t="s">
        <v>32</v>
      </c>
      <c r="P3719">
        <v>6.7372574302966504</v>
      </c>
      <c r="Q3719">
        <v>2.3318449093054001</v>
      </c>
      <c r="R3719">
        <v>1.4115193242625399</v>
      </c>
      <c r="S3719">
        <v>43</v>
      </c>
      <c r="T3719">
        <v>26</v>
      </c>
      <c r="U3719">
        <v>215.651422107553</v>
      </c>
      <c r="V3719">
        <v>7.4349442379182101E-3</v>
      </c>
      <c r="W3719">
        <v>466618.22844004398</v>
      </c>
      <c r="X3719" t="s">
        <v>36</v>
      </c>
      <c r="Y3719">
        <f>1-762-540-4238</f>
        <v>-5539</v>
      </c>
    </row>
    <row r="3720" spans="1:25" x14ac:dyDescent="0.35">
      <c r="A3720">
        <v>35.389358962909</v>
      </c>
      <c r="B3720">
        <v>-122.519669103387</v>
      </c>
      <c r="C3720" t="s">
        <v>25</v>
      </c>
      <c r="D3720">
        <v>43.924428113608101</v>
      </c>
      <c r="E3720">
        <v>1</v>
      </c>
      <c r="F3720">
        <v>1906</v>
      </c>
      <c r="G3720">
        <v>1</v>
      </c>
      <c r="H3720">
        <v>3</v>
      </c>
      <c r="I3720">
        <v>1985</v>
      </c>
      <c r="J3720">
        <v>1</v>
      </c>
      <c r="K3720">
        <v>1</v>
      </c>
      <c r="L3720">
        <v>0</v>
      </c>
      <c r="M3720">
        <v>14</v>
      </c>
      <c r="N3720" t="s">
        <v>37</v>
      </c>
      <c r="O3720" t="s">
        <v>30</v>
      </c>
      <c r="P3720">
        <v>11.157009040692101</v>
      </c>
      <c r="Q3720">
        <v>2.2727830922717698</v>
      </c>
      <c r="R3720">
        <v>4.1575108897217197</v>
      </c>
      <c r="S3720">
        <v>83</v>
      </c>
      <c r="T3720">
        <v>32</v>
      </c>
      <c r="U3720">
        <v>800.80575624540302</v>
      </c>
      <c r="V3720">
        <v>7.3452256033578103E-3</v>
      </c>
      <c r="W3720">
        <v>1809646.8219332299</v>
      </c>
      <c r="X3720" t="s">
        <v>44</v>
      </c>
      <c r="Y3720">
        <f>1-464-539-1533</f>
        <v>-2535</v>
      </c>
    </row>
    <row r="3721" spans="1:25" x14ac:dyDescent="0.35">
      <c r="A3721">
        <v>39.309223301166298</v>
      </c>
      <c r="B3721">
        <v>-117.435685134504</v>
      </c>
      <c r="C3721" t="s">
        <v>29</v>
      </c>
      <c r="D3721">
        <v>1.1681949857407601</v>
      </c>
      <c r="E3721">
        <v>3</v>
      </c>
      <c r="F3721">
        <v>792</v>
      </c>
      <c r="G3721">
        <v>1</v>
      </c>
      <c r="H3721">
        <v>3</v>
      </c>
      <c r="I3721">
        <v>1991</v>
      </c>
      <c r="J3721">
        <v>0</v>
      </c>
      <c r="K3721">
        <v>0</v>
      </c>
      <c r="L3721">
        <v>0</v>
      </c>
      <c r="M3721">
        <v>3</v>
      </c>
      <c r="N3721" t="s">
        <v>41</v>
      </c>
      <c r="O3721" t="s">
        <v>27</v>
      </c>
      <c r="P3721">
        <v>12.4153176150938</v>
      </c>
      <c r="Q3721">
        <v>1.5811468218487399</v>
      </c>
      <c r="R3721">
        <v>5.8251818169540401</v>
      </c>
      <c r="S3721">
        <v>138</v>
      </c>
      <c r="T3721">
        <v>55</v>
      </c>
      <c r="U3721">
        <v>958.45897791410596</v>
      </c>
      <c r="V3721">
        <v>3.7878787878787802E-3</v>
      </c>
      <c r="W3721">
        <v>897153.31983348296</v>
      </c>
      <c r="X3721" t="s">
        <v>40</v>
      </c>
      <c r="Y3721">
        <f>1-773-658-3960</f>
        <v>-5390</v>
      </c>
    </row>
    <row r="3722" spans="1:25" x14ac:dyDescent="0.35">
      <c r="A3722">
        <v>35.776890183297297</v>
      </c>
      <c r="B3722">
        <v>-116.38363495977801</v>
      </c>
      <c r="C3722" t="s">
        <v>29</v>
      </c>
      <c r="D3722">
        <v>11.5503732583807</v>
      </c>
      <c r="E3722">
        <v>4</v>
      </c>
      <c r="F3722">
        <v>4613</v>
      </c>
      <c r="G3722">
        <v>2</v>
      </c>
      <c r="H3722">
        <v>1</v>
      </c>
      <c r="I3722">
        <v>1970</v>
      </c>
      <c r="J3722">
        <v>0</v>
      </c>
      <c r="K3722">
        <v>1</v>
      </c>
      <c r="L3722">
        <v>1</v>
      </c>
      <c r="M3722">
        <v>6</v>
      </c>
      <c r="N3722" t="s">
        <v>37</v>
      </c>
      <c r="O3722" t="s">
        <v>32</v>
      </c>
      <c r="P3722">
        <v>9.1314793486638504</v>
      </c>
      <c r="Q3722">
        <v>0.69843399395530803</v>
      </c>
      <c r="R3722">
        <v>4.4360660936607603</v>
      </c>
      <c r="S3722">
        <v>116</v>
      </c>
      <c r="T3722">
        <v>44</v>
      </c>
      <c r="U3722">
        <v>413.024892378743</v>
      </c>
      <c r="V3722">
        <v>1.3006720138738299E-3</v>
      </c>
      <c r="W3722">
        <v>2050068.11539484</v>
      </c>
      <c r="X3722" t="s">
        <v>44</v>
      </c>
      <c r="Y3722">
        <f>1-237-153-4052</f>
        <v>-4441</v>
      </c>
    </row>
    <row r="3723" spans="1:25" x14ac:dyDescent="0.35">
      <c r="A3723">
        <v>33.4985772786467</v>
      </c>
      <c r="B3723">
        <v>-124.392803517633</v>
      </c>
      <c r="C3723" t="s">
        <v>34</v>
      </c>
      <c r="D3723">
        <v>40.242788327254203</v>
      </c>
      <c r="E3723">
        <v>7</v>
      </c>
      <c r="F3723">
        <v>4659</v>
      </c>
      <c r="G3723">
        <v>2</v>
      </c>
      <c r="H3723">
        <v>3</v>
      </c>
      <c r="I3723">
        <v>1990</v>
      </c>
      <c r="J3723">
        <v>0</v>
      </c>
      <c r="K3723">
        <v>0</v>
      </c>
      <c r="L3723">
        <v>1</v>
      </c>
      <c r="M3723">
        <v>3</v>
      </c>
      <c r="N3723" t="s">
        <v>26</v>
      </c>
      <c r="O3723" t="s">
        <v>30</v>
      </c>
      <c r="P3723">
        <v>10.8245528874832</v>
      </c>
      <c r="Q3723">
        <v>2.4179219042306301</v>
      </c>
      <c r="R3723">
        <v>6.9510782532039999</v>
      </c>
      <c r="S3723">
        <v>74</v>
      </c>
      <c r="T3723">
        <v>32</v>
      </c>
      <c r="U3723">
        <v>903.98183032360203</v>
      </c>
      <c r="V3723">
        <v>6.43915003219575E-4</v>
      </c>
      <c r="W3723">
        <v>4473672.1554949395</v>
      </c>
      <c r="X3723" t="s">
        <v>38</v>
      </c>
      <c r="Y3723">
        <f>1-524-370-9815</f>
        <v>-10708</v>
      </c>
    </row>
    <row r="3724" spans="1:25" x14ac:dyDescent="0.35">
      <c r="A3724">
        <v>39.276597062047401</v>
      </c>
      <c r="B3724">
        <v>-115.007562766511</v>
      </c>
      <c r="C3724" t="s">
        <v>29</v>
      </c>
      <c r="D3724">
        <v>36.360567313883898</v>
      </c>
      <c r="E3724">
        <v>4</v>
      </c>
      <c r="F3724">
        <v>807</v>
      </c>
      <c r="G3724">
        <v>4</v>
      </c>
      <c r="H3724">
        <v>3</v>
      </c>
      <c r="I3724">
        <v>1991</v>
      </c>
      <c r="J3724">
        <v>0</v>
      </c>
      <c r="K3724">
        <v>1</v>
      </c>
      <c r="L3724">
        <v>0</v>
      </c>
      <c r="M3724">
        <v>10</v>
      </c>
      <c r="N3724" t="s">
        <v>37</v>
      </c>
      <c r="O3724" t="s">
        <v>32</v>
      </c>
      <c r="P3724">
        <v>7.9805176458285398</v>
      </c>
      <c r="Q3724">
        <v>1.83562756254556</v>
      </c>
      <c r="R3724">
        <v>7.6238589967108696</v>
      </c>
      <c r="S3724">
        <v>108</v>
      </c>
      <c r="T3724">
        <v>22</v>
      </c>
      <c r="U3724">
        <v>717.98768473729695</v>
      </c>
      <c r="V3724">
        <v>1.23915737298636E-2</v>
      </c>
      <c r="W3724">
        <v>976292.25675586599</v>
      </c>
      <c r="X3724" t="s">
        <v>39</v>
      </c>
      <c r="Y3724">
        <f>1-293-771-2330</f>
        <v>-3393</v>
      </c>
    </row>
    <row r="3725" spans="1:25" x14ac:dyDescent="0.35">
      <c r="A3725">
        <v>40.519174447628799</v>
      </c>
      <c r="B3725">
        <v>-122.36823877561</v>
      </c>
      <c r="C3725" t="s">
        <v>34</v>
      </c>
      <c r="D3725">
        <v>27.181231023441999</v>
      </c>
      <c r="E3725">
        <v>3</v>
      </c>
      <c r="F3725">
        <v>3296</v>
      </c>
      <c r="G3725">
        <v>2</v>
      </c>
      <c r="H3725">
        <v>2</v>
      </c>
      <c r="I3725">
        <v>1991</v>
      </c>
      <c r="J3725">
        <v>1</v>
      </c>
      <c r="K3725">
        <v>0</v>
      </c>
      <c r="L3725">
        <v>0</v>
      </c>
      <c r="M3725">
        <v>14</v>
      </c>
      <c r="N3725" t="s">
        <v>41</v>
      </c>
      <c r="O3725" t="s">
        <v>32</v>
      </c>
      <c r="P3725">
        <v>11.7842789376258</v>
      </c>
      <c r="Q3725">
        <v>1.4262831897416</v>
      </c>
      <c r="R3725">
        <v>1.4922527095368101</v>
      </c>
      <c r="S3725">
        <v>90</v>
      </c>
      <c r="T3725">
        <v>26</v>
      </c>
      <c r="U3725">
        <v>433.393607140016</v>
      </c>
      <c r="V3725">
        <v>4.2475728155339804E-3</v>
      </c>
      <c r="W3725">
        <v>1525475.1563828399</v>
      </c>
      <c r="X3725" t="s">
        <v>28</v>
      </c>
      <c r="Y3725">
        <f>1-559-432-1801</f>
        <v>-2791</v>
      </c>
    </row>
    <row r="3726" spans="1:25" x14ac:dyDescent="0.35">
      <c r="A3726">
        <v>34.652817769603097</v>
      </c>
      <c r="B3726">
        <v>-123.862213596289</v>
      </c>
      <c r="C3726" t="s">
        <v>29</v>
      </c>
      <c r="D3726">
        <v>46.056705932543899</v>
      </c>
      <c r="E3726">
        <v>4</v>
      </c>
      <c r="F3726">
        <v>706</v>
      </c>
      <c r="G3726">
        <v>1</v>
      </c>
      <c r="H3726">
        <v>1</v>
      </c>
      <c r="I3726">
        <v>2014</v>
      </c>
      <c r="J3726">
        <v>0</v>
      </c>
      <c r="K3726">
        <v>0</v>
      </c>
      <c r="L3726">
        <v>1</v>
      </c>
      <c r="M3726">
        <v>11</v>
      </c>
      <c r="N3726" t="s">
        <v>35</v>
      </c>
      <c r="O3726" t="s">
        <v>27</v>
      </c>
      <c r="P3726">
        <v>7.2882003363925998</v>
      </c>
      <c r="Q3726">
        <v>0.64153898816196997</v>
      </c>
      <c r="R3726">
        <v>4.1352505739337797</v>
      </c>
      <c r="S3726">
        <v>191</v>
      </c>
      <c r="T3726">
        <v>60</v>
      </c>
      <c r="U3726">
        <v>558.05729416790496</v>
      </c>
      <c r="V3726">
        <v>1.5580736543909301E-2</v>
      </c>
      <c r="W3726">
        <v>539488.85802622198</v>
      </c>
      <c r="X3726" t="s">
        <v>42</v>
      </c>
      <c r="Y3726">
        <f>1-405-901-5618</f>
        <v>-6923</v>
      </c>
    </row>
    <row r="3727" spans="1:25" x14ac:dyDescent="0.35">
      <c r="A3727">
        <v>37.811328560950699</v>
      </c>
      <c r="B3727">
        <v>-116.006974291516</v>
      </c>
      <c r="C3727" t="s">
        <v>25</v>
      </c>
      <c r="D3727">
        <v>28.0262120598336</v>
      </c>
      <c r="E3727">
        <v>7</v>
      </c>
      <c r="F3727">
        <v>2152</v>
      </c>
      <c r="G3727">
        <v>3</v>
      </c>
      <c r="H3727">
        <v>2</v>
      </c>
      <c r="I3727">
        <v>1960</v>
      </c>
      <c r="J3727">
        <v>0</v>
      </c>
      <c r="K3727">
        <v>1</v>
      </c>
      <c r="L3727">
        <v>1</v>
      </c>
      <c r="M3727">
        <v>11</v>
      </c>
      <c r="N3727" t="s">
        <v>26</v>
      </c>
      <c r="O3727" t="s">
        <v>30</v>
      </c>
      <c r="P3727">
        <v>12.392891805408601</v>
      </c>
      <c r="Q3727">
        <v>0.75235835700495102</v>
      </c>
      <c r="R3727">
        <v>4.5072843647307401</v>
      </c>
      <c r="S3727">
        <v>165</v>
      </c>
      <c r="T3727">
        <v>54</v>
      </c>
      <c r="U3727">
        <v>714.45943179215601</v>
      </c>
      <c r="V3727">
        <v>5.1115241635687697E-3</v>
      </c>
      <c r="W3727">
        <v>1880035.05936427</v>
      </c>
      <c r="X3727" t="s">
        <v>43</v>
      </c>
      <c r="Y3727">
        <f>1-957-901-7009</f>
        <v>-8866</v>
      </c>
    </row>
    <row r="3728" spans="1:25" x14ac:dyDescent="0.35">
      <c r="A3728">
        <v>39.6393283164414</v>
      </c>
      <c r="B3728">
        <v>-118.260507380905</v>
      </c>
      <c r="C3728" t="s">
        <v>29</v>
      </c>
      <c r="D3728">
        <v>36.921737380524597</v>
      </c>
      <c r="E3728">
        <v>1</v>
      </c>
      <c r="F3728">
        <v>4555</v>
      </c>
      <c r="G3728">
        <v>4</v>
      </c>
      <c r="H3728">
        <v>2</v>
      </c>
      <c r="I3728">
        <v>1960</v>
      </c>
      <c r="J3728">
        <v>1</v>
      </c>
      <c r="K3728">
        <v>0</v>
      </c>
      <c r="L3728">
        <v>1</v>
      </c>
      <c r="M3728">
        <v>14</v>
      </c>
      <c r="N3728" t="s">
        <v>37</v>
      </c>
      <c r="O3728" t="s">
        <v>27</v>
      </c>
      <c r="P3728">
        <v>4.5243181570599402</v>
      </c>
      <c r="Q3728">
        <v>0.88366690748423304</v>
      </c>
      <c r="R3728">
        <v>1.93331476320035</v>
      </c>
      <c r="S3728">
        <v>191</v>
      </c>
      <c r="T3728">
        <v>71</v>
      </c>
      <c r="U3728">
        <v>745.48701433809504</v>
      </c>
      <c r="V3728">
        <v>3.0735455543358901E-3</v>
      </c>
      <c r="W3728">
        <v>3718181.8306849902</v>
      </c>
      <c r="X3728" t="s">
        <v>40</v>
      </c>
      <c r="Y3728">
        <f>1-521-130-3089</f>
        <v>-3739</v>
      </c>
    </row>
    <row r="3729" spans="1:25" x14ac:dyDescent="0.35">
      <c r="A3729">
        <v>40.808243677863302</v>
      </c>
      <c r="B3729">
        <v>-122.477146707806</v>
      </c>
      <c r="C3729" t="s">
        <v>25</v>
      </c>
      <c r="D3729">
        <v>47.495115465272498</v>
      </c>
      <c r="E3729">
        <v>1</v>
      </c>
      <c r="F3729">
        <v>1027</v>
      </c>
      <c r="G3729">
        <v>5</v>
      </c>
      <c r="H3729">
        <v>3</v>
      </c>
      <c r="I3729">
        <v>2001</v>
      </c>
      <c r="J3729">
        <v>0</v>
      </c>
      <c r="K3729">
        <v>0</v>
      </c>
      <c r="L3729">
        <v>1</v>
      </c>
      <c r="M3729">
        <v>13</v>
      </c>
      <c r="N3729" t="s">
        <v>26</v>
      </c>
      <c r="O3729" t="s">
        <v>32</v>
      </c>
      <c r="P3729">
        <v>7.4272555623928698</v>
      </c>
      <c r="Q3729">
        <v>1.4500736482204799</v>
      </c>
      <c r="R3729">
        <v>1.0609692273153699</v>
      </c>
      <c r="S3729">
        <v>150</v>
      </c>
      <c r="T3729">
        <v>20</v>
      </c>
      <c r="U3729">
        <v>607.046058821624</v>
      </c>
      <c r="V3729">
        <v>1.26582278481012E-2</v>
      </c>
      <c r="W3729">
        <v>1052632.8815649999</v>
      </c>
      <c r="X3729" t="s">
        <v>33</v>
      </c>
      <c r="Y3729">
        <f>1-981-294-1734</f>
        <v>-3008</v>
      </c>
    </row>
    <row r="3730" spans="1:25" x14ac:dyDescent="0.35">
      <c r="A3730">
        <v>38.739928817001001</v>
      </c>
      <c r="B3730">
        <v>-117.683603253996</v>
      </c>
      <c r="C3730" t="s">
        <v>25</v>
      </c>
      <c r="D3730">
        <v>31.519729055306598</v>
      </c>
      <c r="E3730">
        <v>6</v>
      </c>
      <c r="F3730">
        <v>2072</v>
      </c>
      <c r="G3730">
        <v>5</v>
      </c>
      <c r="H3730">
        <v>2</v>
      </c>
      <c r="I3730">
        <v>1999</v>
      </c>
      <c r="J3730">
        <v>1</v>
      </c>
      <c r="K3730">
        <v>1</v>
      </c>
      <c r="L3730">
        <v>0</v>
      </c>
      <c r="M3730">
        <v>4</v>
      </c>
      <c r="N3730" t="s">
        <v>35</v>
      </c>
      <c r="O3730" t="s">
        <v>32</v>
      </c>
      <c r="P3730">
        <v>13.3099858625352</v>
      </c>
      <c r="Q3730">
        <v>1.0626306755304999</v>
      </c>
      <c r="R3730">
        <v>8.93017396689579</v>
      </c>
      <c r="S3730">
        <v>130</v>
      </c>
      <c r="T3730">
        <v>28</v>
      </c>
      <c r="U3730">
        <v>912.42710189524996</v>
      </c>
      <c r="V3730">
        <v>1.9305019305019299E-3</v>
      </c>
      <c r="W3730">
        <v>2457018.54568935</v>
      </c>
      <c r="X3730" t="s">
        <v>42</v>
      </c>
      <c r="Y3730">
        <f>1-920-535-9946</f>
        <v>-11400</v>
      </c>
    </row>
    <row r="3731" spans="1:25" x14ac:dyDescent="0.35">
      <c r="A3731">
        <v>39.976868388299103</v>
      </c>
      <c r="B3731">
        <v>-119.292730171557</v>
      </c>
      <c r="C3731" t="s">
        <v>34</v>
      </c>
      <c r="D3731">
        <v>5.1167933432713699</v>
      </c>
      <c r="E3731">
        <v>8</v>
      </c>
      <c r="F3731">
        <v>2637</v>
      </c>
      <c r="G3731">
        <v>4</v>
      </c>
      <c r="H3731">
        <v>1</v>
      </c>
      <c r="I3731">
        <v>1967</v>
      </c>
      <c r="J3731">
        <v>0</v>
      </c>
      <c r="K3731">
        <v>1</v>
      </c>
      <c r="L3731">
        <v>0</v>
      </c>
      <c r="M3731">
        <v>3</v>
      </c>
      <c r="N3731" t="s">
        <v>41</v>
      </c>
      <c r="O3731" t="s">
        <v>27</v>
      </c>
      <c r="P3731">
        <v>13.498465993578201</v>
      </c>
      <c r="Q3731">
        <v>1.4766363686532999</v>
      </c>
      <c r="R3731">
        <v>3.99967961797456</v>
      </c>
      <c r="S3731">
        <v>58</v>
      </c>
      <c r="T3731">
        <v>73</v>
      </c>
      <c r="U3731">
        <v>470.695618620169</v>
      </c>
      <c r="V3731">
        <v>1.1376564277588101E-3</v>
      </c>
      <c r="W3731">
        <v>1697560.6552067399</v>
      </c>
      <c r="X3731" t="s">
        <v>36</v>
      </c>
      <c r="Y3731">
        <f>1-914-774-9916</f>
        <v>-11603</v>
      </c>
    </row>
    <row r="3732" spans="1:25" x14ac:dyDescent="0.35">
      <c r="A3732">
        <v>34.873271885371302</v>
      </c>
      <c r="B3732">
        <v>-114.083981403216</v>
      </c>
      <c r="C3732" t="s">
        <v>25</v>
      </c>
      <c r="D3732">
        <v>32.447705138773202</v>
      </c>
      <c r="E3732">
        <v>3</v>
      </c>
      <c r="F3732">
        <v>3049</v>
      </c>
      <c r="G3732">
        <v>5</v>
      </c>
      <c r="H3732">
        <v>1</v>
      </c>
      <c r="I3732">
        <v>1997</v>
      </c>
      <c r="J3732">
        <v>1</v>
      </c>
      <c r="K3732">
        <v>1</v>
      </c>
      <c r="L3732">
        <v>0</v>
      </c>
      <c r="M3732">
        <v>3</v>
      </c>
      <c r="N3732" t="s">
        <v>41</v>
      </c>
      <c r="O3732" t="s">
        <v>30</v>
      </c>
      <c r="P3732">
        <v>10.6679646617513</v>
      </c>
      <c r="Q3732">
        <v>0.81863924003454702</v>
      </c>
      <c r="R3732">
        <v>1.8190983089633901</v>
      </c>
      <c r="S3732">
        <v>96</v>
      </c>
      <c r="T3732">
        <v>70</v>
      </c>
      <c r="U3732">
        <v>889.35305429768903</v>
      </c>
      <c r="V3732">
        <v>9.8392915710068807E-4</v>
      </c>
      <c r="W3732">
        <v>3207879.9683861202</v>
      </c>
      <c r="X3732" t="s">
        <v>38</v>
      </c>
      <c r="Y3732">
        <f>1-617-918-4755</f>
        <v>-6289</v>
      </c>
    </row>
    <row r="3733" spans="1:25" x14ac:dyDescent="0.35">
      <c r="A3733">
        <v>37.587224622316697</v>
      </c>
      <c r="B3733">
        <v>-117.685093272559</v>
      </c>
      <c r="C3733" t="s">
        <v>34</v>
      </c>
      <c r="D3733">
        <v>27.805987869989298</v>
      </c>
      <c r="E3733">
        <v>2</v>
      </c>
      <c r="F3733">
        <v>2550</v>
      </c>
      <c r="G3733">
        <v>3</v>
      </c>
      <c r="H3733">
        <v>1</v>
      </c>
      <c r="I3733">
        <v>1980</v>
      </c>
      <c r="J3733">
        <v>0</v>
      </c>
      <c r="K3733">
        <v>1</v>
      </c>
      <c r="L3733">
        <v>0</v>
      </c>
      <c r="M3733">
        <v>14</v>
      </c>
      <c r="N3733" t="s">
        <v>37</v>
      </c>
      <c r="O3733" t="s">
        <v>32</v>
      </c>
      <c r="P3733">
        <v>11.381357031332399</v>
      </c>
      <c r="Q3733">
        <v>0.55744180136964205</v>
      </c>
      <c r="R3733">
        <v>8.8104729211750108</v>
      </c>
      <c r="S3733">
        <v>76</v>
      </c>
      <c r="T3733">
        <v>44</v>
      </c>
      <c r="U3733">
        <v>474.836819788713</v>
      </c>
      <c r="V3733">
        <v>5.49019607843137E-3</v>
      </c>
      <c r="W3733">
        <v>1530455.2189055199</v>
      </c>
      <c r="X3733" t="s">
        <v>40</v>
      </c>
      <c r="Y3733">
        <f>1-888-439-7731</f>
        <v>-9057</v>
      </c>
    </row>
    <row r="3734" spans="1:25" x14ac:dyDescent="0.35">
      <c r="A3734">
        <v>39.718490091782101</v>
      </c>
      <c r="B3734">
        <v>-118.962870286476</v>
      </c>
      <c r="C3734" t="s">
        <v>34</v>
      </c>
      <c r="D3734">
        <v>8.0046668741235791</v>
      </c>
      <c r="E3734">
        <v>2</v>
      </c>
      <c r="F3734">
        <v>1796</v>
      </c>
      <c r="G3734">
        <v>4</v>
      </c>
      <c r="H3734">
        <v>2</v>
      </c>
      <c r="I3734">
        <v>2006</v>
      </c>
      <c r="J3734">
        <v>0</v>
      </c>
      <c r="K3734">
        <v>1</v>
      </c>
      <c r="L3734">
        <v>0</v>
      </c>
      <c r="M3734">
        <v>3</v>
      </c>
      <c r="N3734" t="s">
        <v>35</v>
      </c>
      <c r="O3734" t="s">
        <v>27</v>
      </c>
      <c r="P3734">
        <v>3.60912544696922</v>
      </c>
      <c r="Q3734">
        <v>0.62489881121695001</v>
      </c>
      <c r="R3734">
        <v>0.44888684774205201</v>
      </c>
      <c r="S3734">
        <v>114</v>
      </c>
      <c r="T3734">
        <v>66</v>
      </c>
      <c r="U3734">
        <v>526.20221775141897</v>
      </c>
      <c r="V3734">
        <v>1.6703786191536701E-3</v>
      </c>
      <c r="W3734">
        <v>1225908.4696571799</v>
      </c>
      <c r="X3734" t="s">
        <v>40</v>
      </c>
      <c r="Y3734">
        <f>1-780-915-6303</f>
        <v>-7997</v>
      </c>
    </row>
    <row r="3735" spans="1:25" x14ac:dyDescent="0.35">
      <c r="A3735">
        <v>39.509055822637301</v>
      </c>
      <c r="B3735">
        <v>-117.469107966591</v>
      </c>
      <c r="C3735" t="s">
        <v>29</v>
      </c>
      <c r="D3735">
        <v>41.9934310121183</v>
      </c>
      <c r="E3735">
        <v>2</v>
      </c>
      <c r="F3735">
        <v>4831</v>
      </c>
      <c r="G3735">
        <v>1</v>
      </c>
      <c r="H3735">
        <v>2</v>
      </c>
      <c r="I3735">
        <v>1979</v>
      </c>
      <c r="J3735">
        <v>1</v>
      </c>
      <c r="K3735">
        <v>1</v>
      </c>
      <c r="L3735">
        <v>0</v>
      </c>
      <c r="M3735">
        <v>13</v>
      </c>
      <c r="N3735" t="s">
        <v>35</v>
      </c>
      <c r="O3735" t="s">
        <v>27</v>
      </c>
      <c r="P3735">
        <v>9.0182589375879303</v>
      </c>
      <c r="Q3735">
        <v>0.92614356400832498</v>
      </c>
      <c r="R3735">
        <v>4.0558513318761999</v>
      </c>
      <c r="S3735">
        <v>126</v>
      </c>
      <c r="T3735">
        <v>52</v>
      </c>
      <c r="U3735">
        <v>603.46375234414302</v>
      </c>
      <c r="V3735">
        <v>2.69095425377768E-3</v>
      </c>
      <c r="W3735">
        <v>3166169.6112229801</v>
      </c>
      <c r="X3735" t="s">
        <v>42</v>
      </c>
      <c r="Y3735">
        <f>1-517-292-6530</f>
        <v>-7338</v>
      </c>
    </row>
    <row r="3736" spans="1:25" x14ac:dyDescent="0.35">
      <c r="A3736">
        <v>38.597748946074397</v>
      </c>
      <c r="B3736">
        <v>-120.795021989285</v>
      </c>
      <c r="C3736" t="s">
        <v>34</v>
      </c>
      <c r="D3736">
        <v>31.9368616529989</v>
      </c>
      <c r="E3736">
        <v>3</v>
      </c>
      <c r="F3736">
        <v>1922</v>
      </c>
      <c r="G3736">
        <v>5</v>
      </c>
      <c r="H3736">
        <v>2</v>
      </c>
      <c r="I3736">
        <v>1979</v>
      </c>
      <c r="J3736">
        <v>1</v>
      </c>
      <c r="K3736">
        <v>1</v>
      </c>
      <c r="L3736">
        <v>0</v>
      </c>
      <c r="M3736">
        <v>6</v>
      </c>
      <c r="N3736" t="s">
        <v>26</v>
      </c>
      <c r="O3736" t="s">
        <v>27</v>
      </c>
      <c r="P3736">
        <v>13.788296321674601</v>
      </c>
      <c r="Q3736">
        <v>1.76887021190906</v>
      </c>
      <c r="R3736">
        <v>3.9610954799940798</v>
      </c>
      <c r="S3736">
        <v>117</v>
      </c>
      <c r="T3736">
        <v>55</v>
      </c>
      <c r="U3736">
        <v>568.13405183237398</v>
      </c>
      <c r="V3736">
        <v>3.1217481789802201E-3</v>
      </c>
      <c r="W3736">
        <v>1646681.2812953901</v>
      </c>
      <c r="X3736" t="s">
        <v>33</v>
      </c>
      <c r="Y3736">
        <f>1-379-163-5636</f>
        <v>-6177</v>
      </c>
    </row>
    <row r="3737" spans="1:25" x14ac:dyDescent="0.35">
      <c r="A3737">
        <v>41.303197873652003</v>
      </c>
      <c r="B3737">
        <v>-118.415587284857</v>
      </c>
      <c r="C3737" t="s">
        <v>34</v>
      </c>
      <c r="D3737">
        <v>47.928768019460797</v>
      </c>
      <c r="E3737">
        <v>2</v>
      </c>
      <c r="F3737">
        <v>2814</v>
      </c>
      <c r="G3737">
        <v>2</v>
      </c>
      <c r="H3737">
        <v>2</v>
      </c>
      <c r="I3737">
        <v>1978</v>
      </c>
      <c r="J3737">
        <v>1</v>
      </c>
      <c r="K3737">
        <v>0</v>
      </c>
      <c r="L3737">
        <v>0</v>
      </c>
      <c r="M3737">
        <v>4</v>
      </c>
      <c r="N3737" t="s">
        <v>35</v>
      </c>
      <c r="O3737" t="s">
        <v>30</v>
      </c>
      <c r="P3737">
        <v>13.577841894178199</v>
      </c>
      <c r="Q3737">
        <v>1.4983818454995601</v>
      </c>
      <c r="R3737">
        <v>6.60782727421548</v>
      </c>
      <c r="S3737">
        <v>179</v>
      </c>
      <c r="T3737">
        <v>60</v>
      </c>
      <c r="U3737">
        <v>965.17384755513694</v>
      </c>
      <c r="V3737">
        <v>1.42146410803127E-3</v>
      </c>
      <c r="W3737">
        <v>2883947.1378029501</v>
      </c>
      <c r="X3737" t="s">
        <v>38</v>
      </c>
      <c r="Y3737">
        <f>1-530-856-8958</f>
        <v>-10343</v>
      </c>
    </row>
    <row r="3738" spans="1:25" x14ac:dyDescent="0.35">
      <c r="A3738">
        <v>35.431533324947097</v>
      </c>
      <c r="B3738">
        <v>-122.49264047292201</v>
      </c>
      <c r="C3738" t="s">
        <v>34</v>
      </c>
      <c r="D3738">
        <v>12.140515748227701</v>
      </c>
      <c r="E3738">
        <v>9</v>
      </c>
      <c r="F3738">
        <v>2869</v>
      </c>
      <c r="G3738">
        <v>2</v>
      </c>
      <c r="H3738">
        <v>3</v>
      </c>
      <c r="I3738">
        <v>1958</v>
      </c>
      <c r="J3738">
        <v>1</v>
      </c>
      <c r="K3738">
        <v>0</v>
      </c>
      <c r="L3738">
        <v>1</v>
      </c>
      <c r="M3738">
        <v>10</v>
      </c>
      <c r="N3738" t="s">
        <v>35</v>
      </c>
      <c r="O3738" t="s">
        <v>32</v>
      </c>
      <c r="P3738">
        <v>13.807605058356501</v>
      </c>
      <c r="Q3738">
        <v>2.23104726334252</v>
      </c>
      <c r="R3738">
        <v>2.5619237917395101</v>
      </c>
      <c r="S3738">
        <v>117</v>
      </c>
      <c r="T3738">
        <v>28</v>
      </c>
      <c r="U3738">
        <v>352.45609272850402</v>
      </c>
      <c r="V3738">
        <v>3.4855350296270401E-3</v>
      </c>
      <c r="W3738">
        <v>1311969.95450814</v>
      </c>
      <c r="X3738" t="s">
        <v>43</v>
      </c>
      <c r="Y3738">
        <f>1-451-398-3684</f>
        <v>-4532</v>
      </c>
    </row>
    <row r="3739" spans="1:25" x14ac:dyDescent="0.35">
      <c r="A3739">
        <v>41.212267079113701</v>
      </c>
      <c r="B3739">
        <v>-118.356935911045</v>
      </c>
      <c r="C3739" t="s">
        <v>25</v>
      </c>
      <c r="D3739">
        <v>11.0847638814425</v>
      </c>
      <c r="E3739">
        <v>6</v>
      </c>
      <c r="F3739">
        <v>4063</v>
      </c>
      <c r="G3739">
        <v>4</v>
      </c>
      <c r="H3739">
        <v>2</v>
      </c>
      <c r="I3739">
        <v>1972</v>
      </c>
      <c r="J3739">
        <v>0</v>
      </c>
      <c r="K3739">
        <v>0</v>
      </c>
      <c r="L3739">
        <v>1</v>
      </c>
      <c r="M3739">
        <v>14</v>
      </c>
      <c r="N3739" t="s">
        <v>37</v>
      </c>
      <c r="O3739" t="s">
        <v>32</v>
      </c>
      <c r="P3739">
        <v>14.492604952000001</v>
      </c>
      <c r="Q3739">
        <v>1.03625950378662</v>
      </c>
      <c r="R3739">
        <v>9.7411760805580307</v>
      </c>
      <c r="S3739">
        <v>65</v>
      </c>
      <c r="T3739">
        <v>68</v>
      </c>
      <c r="U3739">
        <v>729.42641997201395</v>
      </c>
      <c r="V3739">
        <v>3.4457297563376798E-3</v>
      </c>
      <c r="W3739">
        <v>3328229.4396252902</v>
      </c>
      <c r="X3739" t="s">
        <v>33</v>
      </c>
      <c r="Y3739">
        <f>1-972-929-9635</f>
        <v>-11535</v>
      </c>
    </row>
    <row r="3740" spans="1:25" x14ac:dyDescent="0.35">
      <c r="A3740">
        <v>35.9243431597681</v>
      </c>
      <c r="B3740">
        <v>-118.47808315760901</v>
      </c>
      <c r="C3740" t="s">
        <v>34</v>
      </c>
      <c r="D3740">
        <v>19.927682310050301</v>
      </c>
      <c r="E3740">
        <v>3</v>
      </c>
      <c r="F3740">
        <v>1564</v>
      </c>
      <c r="G3740">
        <v>5</v>
      </c>
      <c r="H3740">
        <v>2</v>
      </c>
      <c r="I3740">
        <v>2001</v>
      </c>
      <c r="J3740">
        <v>0</v>
      </c>
      <c r="K3740">
        <v>0</v>
      </c>
      <c r="L3740">
        <v>1</v>
      </c>
      <c r="M3740">
        <v>4</v>
      </c>
      <c r="N3740" t="s">
        <v>37</v>
      </c>
      <c r="O3740" t="s">
        <v>30</v>
      </c>
      <c r="P3740">
        <v>14.020300765610999</v>
      </c>
      <c r="Q3740">
        <v>1.0221154222667499</v>
      </c>
      <c r="R3740">
        <v>7.8503187310095104</v>
      </c>
      <c r="S3740">
        <v>33</v>
      </c>
      <c r="T3740">
        <v>65</v>
      </c>
      <c r="U3740">
        <v>722.24537733186799</v>
      </c>
      <c r="V3740">
        <v>2.5575447570332401E-3</v>
      </c>
      <c r="W3740">
        <v>1532669.2853889801</v>
      </c>
      <c r="X3740" t="s">
        <v>33</v>
      </c>
      <c r="Y3740">
        <f>1-925-987-3539</f>
        <v>-5450</v>
      </c>
    </row>
    <row r="3741" spans="1:25" x14ac:dyDescent="0.35">
      <c r="A3741">
        <v>37.572443173727699</v>
      </c>
      <c r="B3741">
        <v>-119.819769680459</v>
      </c>
      <c r="C3741" t="s">
        <v>29</v>
      </c>
      <c r="D3741">
        <v>2.1591589276567298</v>
      </c>
      <c r="E3741">
        <v>9</v>
      </c>
      <c r="F3741">
        <v>3723</v>
      </c>
      <c r="G3741">
        <v>5</v>
      </c>
      <c r="H3741">
        <v>2</v>
      </c>
      <c r="I3741">
        <v>2015</v>
      </c>
      <c r="J3741">
        <v>1</v>
      </c>
      <c r="K3741">
        <v>1</v>
      </c>
      <c r="L3741">
        <v>0</v>
      </c>
      <c r="M3741">
        <v>4</v>
      </c>
      <c r="N3741" t="s">
        <v>35</v>
      </c>
      <c r="O3741" t="s">
        <v>30</v>
      </c>
      <c r="P3741">
        <v>5.6215542929794697</v>
      </c>
      <c r="Q3741">
        <v>1.69737593541612</v>
      </c>
      <c r="R3741">
        <v>9.7154283917427406</v>
      </c>
      <c r="S3741">
        <v>32</v>
      </c>
      <c r="T3741">
        <v>26</v>
      </c>
      <c r="U3741">
        <v>343.29222599282502</v>
      </c>
      <c r="V3741">
        <v>1.0744023636851999E-3</v>
      </c>
      <c r="W3741">
        <v>1755211.0369229701</v>
      </c>
      <c r="X3741" t="s">
        <v>44</v>
      </c>
      <c r="Y3741">
        <f>1-572-595-2032</f>
        <v>-3198</v>
      </c>
    </row>
    <row r="3742" spans="1:25" x14ac:dyDescent="0.35">
      <c r="A3742">
        <v>40.141529269063497</v>
      </c>
      <c r="B3742">
        <v>-120.917642134281</v>
      </c>
      <c r="C3742" t="s">
        <v>34</v>
      </c>
      <c r="D3742">
        <v>15.8358654743844</v>
      </c>
      <c r="E3742">
        <v>2</v>
      </c>
      <c r="F3742">
        <v>2760</v>
      </c>
      <c r="G3742">
        <v>3</v>
      </c>
      <c r="H3742">
        <v>2</v>
      </c>
      <c r="I3742">
        <v>2007</v>
      </c>
      <c r="J3742">
        <v>1</v>
      </c>
      <c r="K3742">
        <v>0</v>
      </c>
      <c r="L3742">
        <v>0</v>
      </c>
      <c r="M3742">
        <v>9</v>
      </c>
      <c r="N3742" t="s">
        <v>41</v>
      </c>
      <c r="O3742" t="s">
        <v>30</v>
      </c>
      <c r="P3742">
        <v>3.6695964822305198</v>
      </c>
      <c r="Q3742">
        <v>0.707731816456452</v>
      </c>
      <c r="R3742">
        <v>1.8908741737636801</v>
      </c>
      <c r="S3742">
        <v>153</v>
      </c>
      <c r="T3742">
        <v>74</v>
      </c>
      <c r="U3742">
        <v>991.068155310046</v>
      </c>
      <c r="V3742">
        <v>3.2608695652173898E-3</v>
      </c>
      <c r="W3742">
        <v>3033647.8252999401</v>
      </c>
      <c r="X3742" t="s">
        <v>42</v>
      </c>
      <c r="Y3742">
        <f>1-386-662-1483</f>
        <v>-2530</v>
      </c>
    </row>
    <row r="3743" spans="1:25" x14ac:dyDescent="0.35">
      <c r="A3743">
        <v>37.775987108283701</v>
      </c>
      <c r="B3743">
        <v>-123.856114008484</v>
      </c>
      <c r="C3743" t="s">
        <v>34</v>
      </c>
      <c r="D3743">
        <v>28.995614914522299</v>
      </c>
      <c r="E3743">
        <v>1</v>
      </c>
      <c r="F3743">
        <v>3746</v>
      </c>
      <c r="G3743">
        <v>1</v>
      </c>
      <c r="H3743">
        <v>3</v>
      </c>
      <c r="I3743">
        <v>2022</v>
      </c>
      <c r="J3743">
        <v>0</v>
      </c>
      <c r="K3743">
        <v>1</v>
      </c>
      <c r="L3743">
        <v>1</v>
      </c>
      <c r="M3743">
        <v>7</v>
      </c>
      <c r="N3743" t="s">
        <v>37</v>
      </c>
      <c r="O3743" t="s">
        <v>30</v>
      </c>
      <c r="P3743">
        <v>12.034502998334</v>
      </c>
      <c r="Q3743">
        <v>2.1059319382113202</v>
      </c>
      <c r="R3743">
        <v>7.8483774912693702</v>
      </c>
      <c r="S3743">
        <v>77</v>
      </c>
      <c r="T3743">
        <v>41</v>
      </c>
      <c r="U3743">
        <v>264.94641981317801</v>
      </c>
      <c r="V3743">
        <v>1.86865990389749E-3</v>
      </c>
      <c r="W3743">
        <v>1333861.98478667</v>
      </c>
      <c r="X3743" t="s">
        <v>38</v>
      </c>
      <c r="Y3743">
        <f>1-946-800-3479</f>
        <v>-5224</v>
      </c>
    </row>
    <row r="3744" spans="1:25" x14ac:dyDescent="0.35">
      <c r="A3744">
        <v>33.458785310392301</v>
      </c>
      <c r="B3744">
        <v>-120.10912778965501</v>
      </c>
      <c r="C3744" t="s">
        <v>29</v>
      </c>
      <c r="D3744">
        <v>11.420573784616099</v>
      </c>
      <c r="E3744">
        <v>5</v>
      </c>
      <c r="F3744">
        <v>3210</v>
      </c>
      <c r="G3744">
        <v>2</v>
      </c>
      <c r="H3744">
        <v>3</v>
      </c>
      <c r="I3744">
        <v>1964</v>
      </c>
      <c r="J3744">
        <v>0</v>
      </c>
      <c r="K3744">
        <v>1</v>
      </c>
      <c r="L3744">
        <v>1</v>
      </c>
      <c r="M3744">
        <v>5</v>
      </c>
      <c r="N3744" t="s">
        <v>26</v>
      </c>
      <c r="O3744" t="s">
        <v>27</v>
      </c>
      <c r="P3744">
        <v>8.0734835805050302</v>
      </c>
      <c r="Q3744">
        <v>2.3388602980252</v>
      </c>
      <c r="R3744">
        <v>8.9728321175340202</v>
      </c>
      <c r="S3744">
        <v>118</v>
      </c>
      <c r="T3744">
        <v>28</v>
      </c>
      <c r="U3744">
        <v>963.13424846464602</v>
      </c>
      <c r="V3744">
        <v>1.5576323987538899E-3</v>
      </c>
      <c r="W3744">
        <v>3334659.1101158401</v>
      </c>
      <c r="X3744" t="s">
        <v>28</v>
      </c>
      <c r="Y3744">
        <f>1-374-900-5378</f>
        <v>-6651</v>
      </c>
    </row>
    <row r="3745" spans="1:25" x14ac:dyDescent="0.35">
      <c r="A3745">
        <v>32.838789447612903</v>
      </c>
      <c r="B3745">
        <v>-119.39226987016301</v>
      </c>
      <c r="C3745" t="s">
        <v>29</v>
      </c>
      <c r="D3745">
        <v>9.9880014877238299</v>
      </c>
      <c r="E3745">
        <v>4</v>
      </c>
      <c r="F3745">
        <v>3774</v>
      </c>
      <c r="G3745">
        <v>4</v>
      </c>
      <c r="H3745">
        <v>2</v>
      </c>
      <c r="I3745">
        <v>1985</v>
      </c>
      <c r="J3745">
        <v>1</v>
      </c>
      <c r="K3745">
        <v>0</v>
      </c>
      <c r="L3745">
        <v>0</v>
      </c>
      <c r="M3745">
        <v>2</v>
      </c>
      <c r="N3745" t="s">
        <v>35</v>
      </c>
      <c r="O3745" t="s">
        <v>27</v>
      </c>
      <c r="P3745">
        <v>3.4244260939023601</v>
      </c>
      <c r="Q3745">
        <v>1.03292473706148</v>
      </c>
      <c r="R3745">
        <v>9.3806731336036595</v>
      </c>
      <c r="S3745">
        <v>162</v>
      </c>
      <c r="T3745">
        <v>59</v>
      </c>
      <c r="U3745">
        <v>751.78291778401501</v>
      </c>
      <c r="V3745">
        <v>5.2994170641229403E-4</v>
      </c>
      <c r="W3745">
        <v>3076915.9405377801</v>
      </c>
      <c r="X3745" t="s">
        <v>39</v>
      </c>
      <c r="Y3745">
        <f>1-216-841-1050</f>
        <v>-2106</v>
      </c>
    </row>
    <row r="3746" spans="1:25" x14ac:dyDescent="0.35">
      <c r="A3746">
        <v>35.794781165226098</v>
      </c>
      <c r="B3746">
        <v>-124.04943695334801</v>
      </c>
      <c r="C3746" t="s">
        <v>34</v>
      </c>
      <c r="D3746">
        <v>35.362052466489303</v>
      </c>
      <c r="E3746">
        <v>1</v>
      </c>
      <c r="F3746">
        <v>2403</v>
      </c>
      <c r="G3746">
        <v>1</v>
      </c>
      <c r="H3746">
        <v>2</v>
      </c>
      <c r="I3746">
        <v>1993</v>
      </c>
      <c r="J3746">
        <v>1</v>
      </c>
      <c r="K3746">
        <v>1</v>
      </c>
      <c r="L3746">
        <v>0</v>
      </c>
      <c r="M3746">
        <v>7</v>
      </c>
      <c r="N3746" t="s">
        <v>37</v>
      </c>
      <c r="O3746" t="s">
        <v>32</v>
      </c>
      <c r="P3746">
        <v>11.1912479830201</v>
      </c>
      <c r="Q3746">
        <v>1.84960548365892</v>
      </c>
      <c r="R3746">
        <v>1.42772546662929</v>
      </c>
      <c r="S3746">
        <v>27</v>
      </c>
      <c r="T3746">
        <v>23</v>
      </c>
      <c r="U3746">
        <v>829.91403434493998</v>
      </c>
      <c r="V3746">
        <v>2.9130253849354898E-3</v>
      </c>
      <c r="W3746">
        <v>2249403.61043627</v>
      </c>
      <c r="X3746" t="s">
        <v>42</v>
      </c>
      <c r="Y3746">
        <f>1-884-574-4348</f>
        <v>-5805</v>
      </c>
    </row>
    <row r="3747" spans="1:25" x14ac:dyDescent="0.35">
      <c r="A3747">
        <v>39.739894532647803</v>
      </c>
      <c r="B3747">
        <v>-119.687312705323</v>
      </c>
      <c r="C3747" t="s">
        <v>25</v>
      </c>
      <c r="D3747">
        <v>16.023963959235001</v>
      </c>
      <c r="E3747">
        <v>9</v>
      </c>
      <c r="F3747">
        <v>4593</v>
      </c>
      <c r="G3747">
        <v>1</v>
      </c>
      <c r="H3747">
        <v>3</v>
      </c>
      <c r="I3747">
        <v>2007</v>
      </c>
      <c r="J3747">
        <v>0</v>
      </c>
      <c r="K3747">
        <v>1</v>
      </c>
      <c r="L3747">
        <v>1</v>
      </c>
      <c r="M3747">
        <v>14</v>
      </c>
      <c r="N3747" t="s">
        <v>26</v>
      </c>
      <c r="O3747" t="s">
        <v>32</v>
      </c>
      <c r="P3747">
        <v>10.530363908649701</v>
      </c>
      <c r="Q3747">
        <v>2.47779076301082</v>
      </c>
      <c r="R3747">
        <v>7.3375306158300999</v>
      </c>
      <c r="S3747">
        <v>138</v>
      </c>
      <c r="T3747">
        <v>56</v>
      </c>
      <c r="U3747">
        <v>847.87792069013199</v>
      </c>
      <c r="V3747">
        <v>3.0481166993250501E-3</v>
      </c>
      <c r="W3747">
        <v>4111318.0722294198</v>
      </c>
      <c r="X3747" t="s">
        <v>40</v>
      </c>
      <c r="Y3747">
        <f>1-515-347-1895</f>
        <v>-2756</v>
      </c>
    </row>
    <row r="3748" spans="1:25" x14ac:dyDescent="0.35">
      <c r="A3748">
        <v>35.775181346369997</v>
      </c>
      <c r="B3748">
        <v>-115.32629140074</v>
      </c>
      <c r="C3748" t="s">
        <v>29</v>
      </c>
      <c r="D3748">
        <v>1.3236199936284601</v>
      </c>
      <c r="E3748">
        <v>2</v>
      </c>
      <c r="F3748">
        <v>4589</v>
      </c>
      <c r="G3748">
        <v>4</v>
      </c>
      <c r="H3748">
        <v>3</v>
      </c>
      <c r="I3748">
        <v>2012</v>
      </c>
      <c r="J3748">
        <v>0</v>
      </c>
      <c r="K3748">
        <v>1</v>
      </c>
      <c r="L3748">
        <v>1</v>
      </c>
      <c r="M3748">
        <v>6</v>
      </c>
      <c r="N3748" t="s">
        <v>37</v>
      </c>
      <c r="O3748" t="s">
        <v>32</v>
      </c>
      <c r="P3748">
        <v>8.2602524837942006</v>
      </c>
      <c r="Q3748">
        <v>1.1066229616846901</v>
      </c>
      <c r="R3748">
        <v>4.9048219685452201</v>
      </c>
      <c r="S3748">
        <v>8</v>
      </c>
      <c r="T3748">
        <v>67</v>
      </c>
      <c r="U3748">
        <v>397.51413655550402</v>
      </c>
      <c r="V3748">
        <v>1.30747439529309E-3</v>
      </c>
      <c r="W3748">
        <v>2237128.84227806</v>
      </c>
      <c r="X3748" t="s">
        <v>33</v>
      </c>
      <c r="Y3748">
        <f>1-208-593-6264</f>
        <v>-7064</v>
      </c>
    </row>
    <row r="3749" spans="1:25" x14ac:dyDescent="0.35">
      <c r="A3749">
        <v>37.739991749413797</v>
      </c>
      <c r="B3749">
        <v>-116.860539227321</v>
      </c>
      <c r="C3749" t="s">
        <v>25</v>
      </c>
      <c r="D3749">
        <v>17.5255011316791</v>
      </c>
      <c r="E3749">
        <v>1</v>
      </c>
      <c r="F3749">
        <v>878</v>
      </c>
      <c r="G3749">
        <v>5</v>
      </c>
      <c r="H3749">
        <v>2</v>
      </c>
      <c r="I3749">
        <v>1998</v>
      </c>
      <c r="J3749">
        <v>0</v>
      </c>
      <c r="K3749">
        <v>0</v>
      </c>
      <c r="L3749">
        <v>1</v>
      </c>
      <c r="M3749">
        <v>14</v>
      </c>
      <c r="N3749" t="s">
        <v>26</v>
      </c>
      <c r="O3749" t="s">
        <v>30</v>
      </c>
      <c r="P3749">
        <v>10.574257043333599</v>
      </c>
      <c r="Q3749">
        <v>1.81995026573055</v>
      </c>
      <c r="R3749">
        <v>1.9266374730693501</v>
      </c>
      <c r="S3749">
        <v>40</v>
      </c>
      <c r="T3749">
        <v>67</v>
      </c>
      <c r="U3749">
        <v>688.27796951287803</v>
      </c>
      <c r="V3749">
        <v>1.5945330296127502E-2</v>
      </c>
      <c r="W3749">
        <v>1051265.3891928201</v>
      </c>
      <c r="X3749" t="s">
        <v>36</v>
      </c>
      <c r="Y3749">
        <f>1-326-695-5354</f>
        <v>-6374</v>
      </c>
    </row>
    <row r="3750" spans="1:25" x14ac:dyDescent="0.35">
      <c r="A3750">
        <v>34.111257411284399</v>
      </c>
      <c r="B3750">
        <v>-119.695481359404</v>
      </c>
      <c r="C3750" t="s">
        <v>34</v>
      </c>
      <c r="D3750">
        <v>28.591975176795899</v>
      </c>
      <c r="E3750">
        <v>3</v>
      </c>
      <c r="F3750">
        <v>1246</v>
      </c>
      <c r="G3750">
        <v>5</v>
      </c>
      <c r="H3750">
        <v>1</v>
      </c>
      <c r="I3750">
        <v>1961</v>
      </c>
      <c r="J3750">
        <v>1</v>
      </c>
      <c r="K3750">
        <v>0</v>
      </c>
      <c r="L3750">
        <v>0</v>
      </c>
      <c r="M3750">
        <v>9</v>
      </c>
      <c r="N3750" t="s">
        <v>26</v>
      </c>
      <c r="O3750" t="s">
        <v>27</v>
      </c>
      <c r="P3750">
        <v>9.0167116607621907</v>
      </c>
      <c r="Q3750">
        <v>2.41307789208807</v>
      </c>
      <c r="R3750">
        <v>6.2017160190137899</v>
      </c>
      <c r="S3750">
        <v>75</v>
      </c>
      <c r="T3750">
        <v>27</v>
      </c>
      <c r="U3750">
        <v>912.941058246892</v>
      </c>
      <c r="V3750">
        <v>7.2231139646869898E-3</v>
      </c>
      <c r="W3750">
        <v>1325418.5857369299</v>
      </c>
      <c r="X3750" t="s">
        <v>31</v>
      </c>
      <c r="Y3750">
        <f>1-280-962-8314</f>
        <v>-9555</v>
      </c>
    </row>
    <row r="3751" spans="1:25" x14ac:dyDescent="0.35">
      <c r="A3751">
        <v>36.986402203281301</v>
      </c>
      <c r="B3751">
        <v>-122.61118153830699</v>
      </c>
      <c r="C3751" t="s">
        <v>29</v>
      </c>
      <c r="D3751">
        <v>32.924181311110502</v>
      </c>
      <c r="E3751">
        <v>7</v>
      </c>
      <c r="F3751">
        <v>815</v>
      </c>
      <c r="G3751">
        <v>2</v>
      </c>
      <c r="H3751">
        <v>3</v>
      </c>
      <c r="I3751">
        <v>1974</v>
      </c>
      <c r="J3751">
        <v>1</v>
      </c>
      <c r="K3751">
        <v>1</v>
      </c>
      <c r="L3751">
        <v>0</v>
      </c>
      <c r="M3751">
        <v>11</v>
      </c>
      <c r="N3751" t="s">
        <v>26</v>
      </c>
      <c r="O3751" t="s">
        <v>30</v>
      </c>
      <c r="P3751">
        <v>11.2076378146972</v>
      </c>
      <c r="Q3751">
        <v>2.0561346960682099</v>
      </c>
      <c r="R3751">
        <v>0.86114557345884502</v>
      </c>
      <c r="S3751">
        <v>127</v>
      </c>
      <c r="T3751">
        <v>46</v>
      </c>
      <c r="U3751">
        <v>295.244909461281</v>
      </c>
      <c r="V3751">
        <v>1.3496932515337399E-2</v>
      </c>
      <c r="W3751">
        <v>535612.03134962195</v>
      </c>
      <c r="X3751" t="s">
        <v>42</v>
      </c>
      <c r="Y3751">
        <f>1-678-525-6988</f>
        <v>-8190</v>
      </c>
    </row>
    <row r="3752" spans="1:25" x14ac:dyDescent="0.35">
      <c r="A3752">
        <v>38.039100231394698</v>
      </c>
      <c r="B3752">
        <v>-122.14079567488901</v>
      </c>
      <c r="C3752" t="s">
        <v>25</v>
      </c>
      <c r="D3752">
        <v>39.8640940683891</v>
      </c>
      <c r="E3752">
        <v>9</v>
      </c>
      <c r="F3752">
        <v>4891</v>
      </c>
      <c r="G3752">
        <v>4</v>
      </c>
      <c r="H3752">
        <v>3</v>
      </c>
      <c r="I3752">
        <v>1958</v>
      </c>
      <c r="J3752">
        <v>1</v>
      </c>
      <c r="K3752">
        <v>0</v>
      </c>
      <c r="L3752">
        <v>1</v>
      </c>
      <c r="M3752">
        <v>13</v>
      </c>
      <c r="N3752" t="s">
        <v>41</v>
      </c>
      <c r="O3752" t="s">
        <v>32</v>
      </c>
      <c r="P3752">
        <v>10.975801028641399</v>
      </c>
      <c r="Q3752">
        <v>1.1525527283459001</v>
      </c>
      <c r="R3752">
        <v>6.4157836137214002</v>
      </c>
      <c r="S3752">
        <v>133</v>
      </c>
      <c r="T3752">
        <v>50</v>
      </c>
      <c r="U3752">
        <v>478.103701979574</v>
      </c>
      <c r="V3752">
        <v>2.65794316090779E-3</v>
      </c>
      <c r="W3752">
        <v>2628333.1842470798</v>
      </c>
      <c r="X3752" t="s">
        <v>40</v>
      </c>
      <c r="Y3752">
        <f>1-861-350-5290</f>
        <v>-6500</v>
      </c>
    </row>
    <row r="3753" spans="1:25" x14ac:dyDescent="0.35">
      <c r="A3753">
        <v>39.696440469246802</v>
      </c>
      <c r="B3753">
        <v>-118.37971177902</v>
      </c>
      <c r="C3753" t="s">
        <v>34</v>
      </c>
      <c r="D3753">
        <v>39.451836382345803</v>
      </c>
      <c r="E3753">
        <v>0</v>
      </c>
      <c r="F3753">
        <v>3500</v>
      </c>
      <c r="G3753">
        <v>3</v>
      </c>
      <c r="H3753">
        <v>2</v>
      </c>
      <c r="I3753">
        <v>1955</v>
      </c>
      <c r="J3753">
        <v>1</v>
      </c>
      <c r="K3753">
        <v>0</v>
      </c>
      <c r="L3753">
        <v>1</v>
      </c>
      <c r="M3753">
        <v>11</v>
      </c>
      <c r="N3753" t="s">
        <v>26</v>
      </c>
      <c r="O3753" t="s">
        <v>32</v>
      </c>
      <c r="P3753">
        <v>3.4137424371696299</v>
      </c>
      <c r="Q3753">
        <v>2.430796948362</v>
      </c>
      <c r="R3753">
        <v>5.1327616304098296</v>
      </c>
      <c r="S3753">
        <v>45</v>
      </c>
      <c r="T3753">
        <v>40</v>
      </c>
      <c r="U3753">
        <v>246.66917602183599</v>
      </c>
      <c r="V3753">
        <v>3.1428571428571399E-3</v>
      </c>
      <c r="W3753">
        <v>1111999.2292430601</v>
      </c>
      <c r="X3753" t="s">
        <v>43</v>
      </c>
      <c r="Y3753">
        <f>1-210-653-3668</f>
        <v>-4530</v>
      </c>
    </row>
    <row r="3754" spans="1:25" x14ac:dyDescent="0.35">
      <c r="A3754">
        <v>36.933853695440099</v>
      </c>
      <c r="B3754">
        <v>-114.542068046712</v>
      </c>
      <c r="C3754" t="s">
        <v>25</v>
      </c>
      <c r="D3754">
        <v>27.462800125659498</v>
      </c>
      <c r="E3754">
        <v>0</v>
      </c>
      <c r="F3754">
        <v>3221</v>
      </c>
      <c r="G3754">
        <v>4</v>
      </c>
      <c r="H3754">
        <v>2</v>
      </c>
      <c r="I3754">
        <v>1965</v>
      </c>
      <c r="J3754">
        <v>0</v>
      </c>
      <c r="K3754">
        <v>1</v>
      </c>
      <c r="L3754">
        <v>0</v>
      </c>
      <c r="M3754">
        <v>11</v>
      </c>
      <c r="N3754" t="s">
        <v>37</v>
      </c>
      <c r="O3754" t="s">
        <v>32</v>
      </c>
      <c r="P3754">
        <v>11.902403341676999</v>
      </c>
      <c r="Q3754">
        <v>0.57359632084272805</v>
      </c>
      <c r="R3754">
        <v>1.67598874896228</v>
      </c>
      <c r="S3754">
        <v>19</v>
      </c>
      <c r="T3754">
        <v>73</v>
      </c>
      <c r="U3754">
        <v>383.24322906635399</v>
      </c>
      <c r="V3754">
        <v>3.4150884818379299E-3</v>
      </c>
      <c r="W3754">
        <v>1561175.15948581</v>
      </c>
      <c r="X3754" t="s">
        <v>42</v>
      </c>
      <c r="Y3754">
        <f>1-873-156-5880</f>
        <v>-6908</v>
      </c>
    </row>
    <row r="3755" spans="1:25" x14ac:dyDescent="0.35">
      <c r="A3755">
        <v>36.169661210894397</v>
      </c>
      <c r="B3755">
        <v>-114.947757827969</v>
      </c>
      <c r="C3755" t="s">
        <v>29</v>
      </c>
      <c r="D3755">
        <v>49.7159630931815</v>
      </c>
      <c r="E3755">
        <v>9</v>
      </c>
      <c r="F3755">
        <v>2104</v>
      </c>
      <c r="G3755">
        <v>1</v>
      </c>
      <c r="H3755">
        <v>2</v>
      </c>
      <c r="I3755">
        <v>1989</v>
      </c>
      <c r="J3755">
        <v>1</v>
      </c>
      <c r="K3755">
        <v>0</v>
      </c>
      <c r="L3755">
        <v>1</v>
      </c>
      <c r="M3755">
        <v>13</v>
      </c>
      <c r="N3755" t="s">
        <v>41</v>
      </c>
      <c r="O3755" t="s">
        <v>27</v>
      </c>
      <c r="P3755">
        <v>10.641770955376</v>
      </c>
      <c r="Q3755">
        <v>1.7372421757657299</v>
      </c>
      <c r="R3755">
        <v>0.70780665300340595</v>
      </c>
      <c r="S3755">
        <v>2</v>
      </c>
      <c r="T3755">
        <v>61</v>
      </c>
      <c r="U3755">
        <v>914.23502567556295</v>
      </c>
      <c r="V3755">
        <v>6.1787072243345998E-3</v>
      </c>
      <c r="W3755">
        <v>2150125.4687956301</v>
      </c>
      <c r="X3755" t="s">
        <v>43</v>
      </c>
      <c r="Y3755">
        <f>1-783-627-7598</f>
        <v>-9007</v>
      </c>
    </row>
    <row r="3756" spans="1:25" x14ac:dyDescent="0.35">
      <c r="A3756">
        <v>33.305375231671903</v>
      </c>
      <c r="B3756">
        <v>-119.67119305374899</v>
      </c>
      <c r="C3756" t="s">
        <v>29</v>
      </c>
      <c r="D3756">
        <v>3.8871586035300298</v>
      </c>
      <c r="E3756">
        <v>6</v>
      </c>
      <c r="F3756">
        <v>2393</v>
      </c>
      <c r="G3756">
        <v>2</v>
      </c>
      <c r="H3756">
        <v>3</v>
      </c>
      <c r="I3756">
        <v>2006</v>
      </c>
      <c r="J3756">
        <v>1</v>
      </c>
      <c r="K3756">
        <v>1</v>
      </c>
      <c r="L3756">
        <v>1</v>
      </c>
      <c r="M3756">
        <v>5</v>
      </c>
      <c r="N3756" t="s">
        <v>35</v>
      </c>
      <c r="O3756" t="s">
        <v>27</v>
      </c>
      <c r="P3756">
        <v>6.5082440404725403</v>
      </c>
      <c r="Q3756">
        <v>1.2878388143433299</v>
      </c>
      <c r="R3756">
        <v>3.0965216328924101</v>
      </c>
      <c r="S3756">
        <v>144</v>
      </c>
      <c r="T3756">
        <v>32</v>
      </c>
      <c r="U3756">
        <v>289.07140231851599</v>
      </c>
      <c r="V3756">
        <v>2.0894274968658502E-3</v>
      </c>
      <c r="W3756">
        <v>1034342.52284515</v>
      </c>
      <c r="X3756" t="s">
        <v>28</v>
      </c>
      <c r="Y3756">
        <f>1-368-368-2116</f>
        <v>-2851</v>
      </c>
    </row>
    <row r="3757" spans="1:25" x14ac:dyDescent="0.35">
      <c r="A3757">
        <v>39.337888882950701</v>
      </c>
      <c r="B3757">
        <v>-114.25769150703699</v>
      </c>
      <c r="C3757" t="s">
        <v>34</v>
      </c>
      <c r="D3757">
        <v>16.321961564473099</v>
      </c>
      <c r="E3757">
        <v>9</v>
      </c>
      <c r="F3757">
        <v>3893</v>
      </c>
      <c r="G3757">
        <v>1</v>
      </c>
      <c r="H3757">
        <v>1</v>
      </c>
      <c r="I3757">
        <v>2013</v>
      </c>
      <c r="J3757">
        <v>0</v>
      </c>
      <c r="K3757">
        <v>1</v>
      </c>
      <c r="L3757">
        <v>1</v>
      </c>
      <c r="M3757">
        <v>9</v>
      </c>
      <c r="N3757" t="s">
        <v>26</v>
      </c>
      <c r="O3757" t="s">
        <v>27</v>
      </c>
      <c r="P3757">
        <v>11.764960333049</v>
      </c>
      <c r="Q3757">
        <v>1.6244697674612001</v>
      </c>
      <c r="R3757">
        <v>1.5760551052285501</v>
      </c>
      <c r="S3757">
        <v>185</v>
      </c>
      <c r="T3757">
        <v>46</v>
      </c>
      <c r="U3757">
        <v>604.56568760722496</v>
      </c>
      <c r="V3757">
        <v>2.31184176727459E-3</v>
      </c>
      <c r="W3757">
        <v>2737000.2574734702</v>
      </c>
      <c r="X3757" t="s">
        <v>31</v>
      </c>
      <c r="Y3757">
        <f>1-372-133-6810</f>
        <v>-7314</v>
      </c>
    </row>
    <row r="3758" spans="1:25" x14ac:dyDescent="0.35">
      <c r="A3758">
        <v>33.388989775669202</v>
      </c>
      <c r="B3758">
        <v>-115.677492384405</v>
      </c>
      <c r="C3758" t="s">
        <v>34</v>
      </c>
      <c r="D3758">
        <v>18.8255746336065</v>
      </c>
      <c r="E3758">
        <v>7</v>
      </c>
      <c r="F3758">
        <v>2584</v>
      </c>
      <c r="G3758">
        <v>2</v>
      </c>
      <c r="H3758">
        <v>2</v>
      </c>
      <c r="I3758">
        <v>2018</v>
      </c>
      <c r="J3758">
        <v>0</v>
      </c>
      <c r="K3758">
        <v>0</v>
      </c>
      <c r="L3758">
        <v>1</v>
      </c>
      <c r="M3758">
        <v>3</v>
      </c>
      <c r="N3758" t="s">
        <v>26</v>
      </c>
      <c r="O3758" t="s">
        <v>32</v>
      </c>
      <c r="P3758">
        <v>2.2008810139216402</v>
      </c>
      <c r="Q3758">
        <v>1.85102755741939</v>
      </c>
      <c r="R3758">
        <v>2.4197203285220699</v>
      </c>
      <c r="S3758">
        <v>118</v>
      </c>
      <c r="T3758">
        <v>71</v>
      </c>
      <c r="U3758">
        <v>801.16725509821401</v>
      </c>
      <c r="V3758">
        <v>1.1609907120742999E-3</v>
      </c>
      <c r="W3758">
        <v>2247267.5858326098</v>
      </c>
      <c r="X3758" t="s">
        <v>44</v>
      </c>
      <c r="Y3758">
        <f>1-295-132-2977</f>
        <v>-3403</v>
      </c>
    </row>
    <row r="3759" spans="1:25" x14ac:dyDescent="0.35">
      <c r="A3759">
        <v>39.941517700746999</v>
      </c>
      <c r="B3759">
        <v>-116.907354574295</v>
      </c>
      <c r="C3759" t="s">
        <v>25</v>
      </c>
      <c r="D3759">
        <v>13.823755728898099</v>
      </c>
      <c r="E3759">
        <v>9</v>
      </c>
      <c r="F3759">
        <v>4823</v>
      </c>
      <c r="G3759">
        <v>4</v>
      </c>
      <c r="H3759">
        <v>3</v>
      </c>
      <c r="I3759">
        <v>1953</v>
      </c>
      <c r="J3759">
        <v>0</v>
      </c>
      <c r="K3759">
        <v>0</v>
      </c>
      <c r="L3759">
        <v>1</v>
      </c>
      <c r="M3759">
        <v>9</v>
      </c>
      <c r="N3759" t="s">
        <v>41</v>
      </c>
      <c r="O3759" t="s">
        <v>27</v>
      </c>
      <c r="P3759">
        <v>2.9418411889593701</v>
      </c>
      <c r="Q3759">
        <v>0.80842299119479699</v>
      </c>
      <c r="R3759">
        <v>6.8439222183965702</v>
      </c>
      <c r="S3759">
        <v>142</v>
      </c>
      <c r="T3759">
        <v>37</v>
      </c>
      <c r="U3759">
        <v>561.788041266194</v>
      </c>
      <c r="V3759">
        <v>1.8660584698320501E-3</v>
      </c>
      <c r="W3759">
        <v>2925097.7709431602</v>
      </c>
      <c r="X3759" t="s">
        <v>36</v>
      </c>
      <c r="Y3759">
        <f>1-712-501-5061</f>
        <v>-6273</v>
      </c>
    </row>
    <row r="3760" spans="1:25" x14ac:dyDescent="0.35">
      <c r="A3760">
        <v>41.007482883329097</v>
      </c>
      <c r="B3760">
        <v>-117.334280297192</v>
      </c>
      <c r="C3760" t="s">
        <v>34</v>
      </c>
      <c r="D3760">
        <v>8.4569132749312406</v>
      </c>
      <c r="E3760">
        <v>6</v>
      </c>
      <c r="F3760">
        <v>3714</v>
      </c>
      <c r="G3760">
        <v>1</v>
      </c>
      <c r="H3760">
        <v>3</v>
      </c>
      <c r="I3760">
        <v>1955</v>
      </c>
      <c r="J3760">
        <v>1</v>
      </c>
      <c r="K3760">
        <v>0</v>
      </c>
      <c r="L3760">
        <v>1</v>
      </c>
      <c r="M3760">
        <v>3</v>
      </c>
      <c r="N3760" t="s">
        <v>37</v>
      </c>
      <c r="O3760" t="s">
        <v>32</v>
      </c>
      <c r="P3760">
        <v>13.5975308650535</v>
      </c>
      <c r="Q3760">
        <v>1.9385314965565801</v>
      </c>
      <c r="R3760">
        <v>6.6435583976474799</v>
      </c>
      <c r="S3760">
        <v>45</v>
      </c>
      <c r="T3760">
        <v>22</v>
      </c>
      <c r="U3760">
        <v>340.87105780534398</v>
      </c>
      <c r="V3760">
        <v>8.0775444264943397E-4</v>
      </c>
      <c r="W3760">
        <v>1437413.85419848</v>
      </c>
      <c r="X3760" t="s">
        <v>40</v>
      </c>
      <c r="Y3760">
        <f>1-881-318-1049</f>
        <v>-2247</v>
      </c>
    </row>
    <row r="3761" spans="1:25" x14ac:dyDescent="0.35">
      <c r="A3761">
        <v>32.5007133374828</v>
      </c>
      <c r="B3761">
        <v>-114.361441170726</v>
      </c>
      <c r="C3761" t="s">
        <v>34</v>
      </c>
      <c r="D3761">
        <v>21.335729067969201</v>
      </c>
      <c r="E3761">
        <v>0</v>
      </c>
      <c r="F3761">
        <v>517</v>
      </c>
      <c r="G3761">
        <v>1</v>
      </c>
      <c r="H3761">
        <v>1</v>
      </c>
      <c r="I3761">
        <v>1990</v>
      </c>
      <c r="J3761">
        <v>0</v>
      </c>
      <c r="K3761">
        <v>1</v>
      </c>
      <c r="L3761">
        <v>0</v>
      </c>
      <c r="M3761">
        <v>5</v>
      </c>
      <c r="N3761" t="s">
        <v>37</v>
      </c>
      <c r="O3761" t="s">
        <v>27</v>
      </c>
      <c r="P3761">
        <v>12.453359558542299</v>
      </c>
      <c r="Q3761">
        <v>1.38780580190153</v>
      </c>
      <c r="R3761">
        <v>0.25820731740946301</v>
      </c>
      <c r="S3761">
        <v>39</v>
      </c>
      <c r="T3761">
        <v>32</v>
      </c>
      <c r="U3761">
        <v>422.04815393787698</v>
      </c>
      <c r="V3761">
        <v>9.6711798839458404E-3</v>
      </c>
      <c r="W3761">
        <v>441979.75957855902</v>
      </c>
      <c r="X3761" t="s">
        <v>40</v>
      </c>
      <c r="Y3761">
        <f>1-980-842-9487</f>
        <v>-11308</v>
      </c>
    </row>
    <row r="3762" spans="1:25" x14ac:dyDescent="0.35">
      <c r="A3762">
        <v>40.506681588166501</v>
      </c>
      <c r="B3762">
        <v>-120.77181950931799</v>
      </c>
      <c r="C3762" t="s">
        <v>34</v>
      </c>
      <c r="D3762">
        <v>21.5913774426092</v>
      </c>
      <c r="E3762">
        <v>4</v>
      </c>
      <c r="F3762">
        <v>3052</v>
      </c>
      <c r="G3762">
        <v>4</v>
      </c>
      <c r="H3762">
        <v>3</v>
      </c>
      <c r="I3762">
        <v>2009</v>
      </c>
      <c r="J3762">
        <v>0</v>
      </c>
      <c r="K3762">
        <v>0</v>
      </c>
      <c r="L3762">
        <v>1</v>
      </c>
      <c r="M3762">
        <v>5</v>
      </c>
      <c r="N3762" t="s">
        <v>37</v>
      </c>
      <c r="O3762" t="s">
        <v>30</v>
      </c>
      <c r="P3762">
        <v>6.4686551116218602</v>
      </c>
      <c r="Q3762">
        <v>2.1220034146893298</v>
      </c>
      <c r="R3762">
        <v>2.93144023699455</v>
      </c>
      <c r="S3762">
        <v>7</v>
      </c>
      <c r="T3762">
        <v>37</v>
      </c>
      <c r="U3762">
        <v>800.99044393509803</v>
      </c>
      <c r="V3762">
        <v>1.63826998689384E-3</v>
      </c>
      <c r="W3762">
        <v>2874907.4274282302</v>
      </c>
      <c r="X3762" t="s">
        <v>40</v>
      </c>
      <c r="Y3762">
        <f>1-640-819-6022</f>
        <v>-7480</v>
      </c>
    </row>
    <row r="3763" spans="1:25" x14ac:dyDescent="0.35">
      <c r="A3763">
        <v>33.590653008275098</v>
      </c>
      <c r="B3763">
        <v>-124.25068903276301</v>
      </c>
      <c r="C3763" t="s">
        <v>34</v>
      </c>
      <c r="D3763">
        <v>23.431920793140598</v>
      </c>
      <c r="E3763">
        <v>0</v>
      </c>
      <c r="F3763">
        <v>1375</v>
      </c>
      <c r="G3763">
        <v>3</v>
      </c>
      <c r="H3763">
        <v>2</v>
      </c>
      <c r="I3763">
        <v>1966</v>
      </c>
      <c r="J3763">
        <v>1</v>
      </c>
      <c r="K3763">
        <v>0</v>
      </c>
      <c r="L3763">
        <v>0</v>
      </c>
      <c r="M3763">
        <v>6</v>
      </c>
      <c r="N3763" t="s">
        <v>37</v>
      </c>
      <c r="O3763" t="s">
        <v>27</v>
      </c>
      <c r="P3763">
        <v>13.9673620465207</v>
      </c>
      <c r="Q3763">
        <v>1.4860933628288899</v>
      </c>
      <c r="R3763">
        <v>1.9872963581824801</v>
      </c>
      <c r="S3763">
        <v>190</v>
      </c>
      <c r="T3763">
        <v>61</v>
      </c>
      <c r="U3763">
        <v>348.18314998420999</v>
      </c>
      <c r="V3763">
        <v>4.3636363636363603E-3</v>
      </c>
      <c r="W3763">
        <v>788556.33716112003</v>
      </c>
      <c r="X3763" t="s">
        <v>28</v>
      </c>
      <c r="Y3763">
        <f>1-419-857-5306</f>
        <v>-6581</v>
      </c>
    </row>
    <row r="3764" spans="1:25" x14ac:dyDescent="0.35">
      <c r="A3764">
        <v>41.069827638261899</v>
      </c>
      <c r="B3764">
        <v>-120.41987795807999</v>
      </c>
      <c r="C3764" t="s">
        <v>25</v>
      </c>
      <c r="D3764">
        <v>48.404020874994401</v>
      </c>
      <c r="E3764">
        <v>7</v>
      </c>
      <c r="F3764">
        <v>3906</v>
      </c>
      <c r="G3764">
        <v>3</v>
      </c>
      <c r="H3764">
        <v>2</v>
      </c>
      <c r="I3764">
        <v>1978</v>
      </c>
      <c r="J3764">
        <v>1</v>
      </c>
      <c r="K3764">
        <v>0</v>
      </c>
      <c r="L3764">
        <v>1</v>
      </c>
      <c r="M3764">
        <v>13</v>
      </c>
      <c r="N3764" t="s">
        <v>35</v>
      </c>
      <c r="O3764" t="s">
        <v>27</v>
      </c>
      <c r="P3764">
        <v>14.5947615510687</v>
      </c>
      <c r="Q3764">
        <v>1.78907990047857</v>
      </c>
      <c r="R3764">
        <v>9.99773826065924</v>
      </c>
      <c r="S3764">
        <v>139</v>
      </c>
      <c r="T3764">
        <v>43</v>
      </c>
      <c r="U3764">
        <v>211.030132294731</v>
      </c>
      <c r="V3764">
        <v>3.32821300563236E-3</v>
      </c>
      <c r="W3764">
        <v>1065155.93931629</v>
      </c>
      <c r="X3764" t="s">
        <v>36</v>
      </c>
      <c r="Y3764">
        <f>1-220-870-5696</f>
        <v>-6785</v>
      </c>
    </row>
    <row r="3765" spans="1:25" x14ac:dyDescent="0.35">
      <c r="A3765">
        <v>39.783936521377598</v>
      </c>
      <c r="B3765">
        <v>-121.432955963534</v>
      </c>
      <c r="C3765" t="s">
        <v>34</v>
      </c>
      <c r="D3765">
        <v>19.794752085134601</v>
      </c>
      <c r="E3765">
        <v>6</v>
      </c>
      <c r="F3765">
        <v>1335</v>
      </c>
      <c r="G3765">
        <v>4</v>
      </c>
      <c r="H3765">
        <v>1</v>
      </c>
      <c r="I3765">
        <v>2017</v>
      </c>
      <c r="J3765">
        <v>0</v>
      </c>
      <c r="K3765">
        <v>0</v>
      </c>
      <c r="L3765">
        <v>0</v>
      </c>
      <c r="M3765">
        <v>11</v>
      </c>
      <c r="N3765" t="s">
        <v>26</v>
      </c>
      <c r="O3765" t="s">
        <v>27</v>
      </c>
      <c r="P3765">
        <v>12.317843152598501</v>
      </c>
      <c r="Q3765">
        <v>2.39352618345435</v>
      </c>
      <c r="R3765">
        <v>5.7429152074640104</v>
      </c>
      <c r="S3765">
        <v>2</v>
      </c>
      <c r="T3765">
        <v>50</v>
      </c>
      <c r="U3765">
        <v>642.83965268418297</v>
      </c>
      <c r="V3765">
        <v>8.23970037453183E-3</v>
      </c>
      <c r="W3765">
        <v>1196982.19132416</v>
      </c>
      <c r="X3765" t="s">
        <v>28</v>
      </c>
      <c r="Y3765">
        <f>1-642-786-5761</f>
        <v>-7188</v>
      </c>
    </row>
    <row r="3766" spans="1:25" x14ac:dyDescent="0.35">
      <c r="A3766">
        <v>37.517697636086297</v>
      </c>
      <c r="B3766">
        <v>-124.036386929217</v>
      </c>
      <c r="C3766" t="s">
        <v>34</v>
      </c>
      <c r="D3766">
        <v>19.315521620648799</v>
      </c>
      <c r="E3766">
        <v>8</v>
      </c>
      <c r="F3766">
        <v>4927</v>
      </c>
      <c r="G3766">
        <v>1</v>
      </c>
      <c r="H3766">
        <v>3</v>
      </c>
      <c r="I3766">
        <v>2012</v>
      </c>
      <c r="J3766">
        <v>0</v>
      </c>
      <c r="K3766">
        <v>1</v>
      </c>
      <c r="L3766">
        <v>0</v>
      </c>
      <c r="M3766">
        <v>4</v>
      </c>
      <c r="N3766" t="s">
        <v>37</v>
      </c>
      <c r="O3766" t="s">
        <v>32</v>
      </c>
      <c r="P3766">
        <v>13.491129253295</v>
      </c>
      <c r="Q3766">
        <v>2.4549154593203499</v>
      </c>
      <c r="R3766">
        <v>1.55987775290121</v>
      </c>
      <c r="S3766">
        <v>102</v>
      </c>
      <c r="T3766">
        <v>58</v>
      </c>
      <c r="U3766">
        <v>554.51137672346795</v>
      </c>
      <c r="V3766">
        <v>8.1185305459711705E-4</v>
      </c>
      <c r="W3766">
        <v>2978669.8910280801</v>
      </c>
      <c r="X3766" t="s">
        <v>44</v>
      </c>
      <c r="Y3766">
        <f>1-903-807-4557</f>
        <v>-6266</v>
      </c>
    </row>
    <row r="3767" spans="1:25" x14ac:dyDescent="0.35">
      <c r="A3767">
        <v>34.641715162407998</v>
      </c>
      <c r="B3767">
        <v>-123.07128911728699</v>
      </c>
      <c r="C3767" t="s">
        <v>25</v>
      </c>
      <c r="D3767">
        <v>13.088092059623699</v>
      </c>
      <c r="E3767">
        <v>3</v>
      </c>
      <c r="F3767">
        <v>4161</v>
      </c>
      <c r="G3767">
        <v>5</v>
      </c>
      <c r="H3767">
        <v>1</v>
      </c>
      <c r="I3767">
        <v>1961</v>
      </c>
      <c r="J3767">
        <v>0</v>
      </c>
      <c r="K3767">
        <v>1</v>
      </c>
      <c r="L3767">
        <v>1</v>
      </c>
      <c r="M3767">
        <v>13</v>
      </c>
      <c r="N3767" t="s">
        <v>41</v>
      </c>
      <c r="O3767" t="s">
        <v>30</v>
      </c>
      <c r="P3767">
        <v>4.6116866939220804</v>
      </c>
      <c r="Q3767">
        <v>0.66976853546689696</v>
      </c>
      <c r="R3767">
        <v>2.1888647688177501</v>
      </c>
      <c r="S3767">
        <v>26</v>
      </c>
      <c r="T3767">
        <v>32</v>
      </c>
      <c r="U3767">
        <v>573.41293008666003</v>
      </c>
      <c r="V3767">
        <v>3.1242489786109098E-3</v>
      </c>
      <c r="W3767">
        <v>2725955.2934627798</v>
      </c>
      <c r="X3767" t="s">
        <v>38</v>
      </c>
      <c r="Y3767">
        <f>1-539-396-7394</f>
        <v>-8328</v>
      </c>
    </row>
    <row r="3768" spans="1:25" x14ac:dyDescent="0.35">
      <c r="A3768">
        <v>37.470718496117399</v>
      </c>
      <c r="B3768">
        <v>-121.861245124291</v>
      </c>
      <c r="C3768" t="s">
        <v>25</v>
      </c>
      <c r="D3768">
        <v>39.0057948347986</v>
      </c>
      <c r="E3768">
        <v>9</v>
      </c>
      <c r="F3768">
        <v>4540</v>
      </c>
      <c r="G3768">
        <v>1</v>
      </c>
      <c r="H3768">
        <v>3</v>
      </c>
      <c r="I3768">
        <v>1998</v>
      </c>
      <c r="J3768">
        <v>0</v>
      </c>
      <c r="K3768">
        <v>0</v>
      </c>
      <c r="L3768">
        <v>1</v>
      </c>
      <c r="M3768">
        <v>13</v>
      </c>
      <c r="N3768" t="s">
        <v>26</v>
      </c>
      <c r="O3768" t="s">
        <v>30</v>
      </c>
      <c r="P3768">
        <v>12.3202161850616</v>
      </c>
      <c r="Q3768">
        <v>1.65584523114309</v>
      </c>
      <c r="R3768">
        <v>1.16334026125406</v>
      </c>
      <c r="S3768">
        <v>167</v>
      </c>
      <c r="T3768">
        <v>40</v>
      </c>
      <c r="U3768">
        <v>860.64373683082897</v>
      </c>
      <c r="V3768">
        <v>2.8634361233480102E-3</v>
      </c>
      <c r="W3768">
        <v>4080018.5769913802</v>
      </c>
      <c r="X3768" t="s">
        <v>44</v>
      </c>
      <c r="Y3768">
        <f>1-418-598-4103</f>
        <v>-5118</v>
      </c>
    </row>
    <row r="3769" spans="1:25" x14ac:dyDescent="0.35">
      <c r="A3769">
        <v>38.779391534309497</v>
      </c>
      <c r="B3769">
        <v>-120.676224961567</v>
      </c>
      <c r="C3769" t="s">
        <v>34</v>
      </c>
      <c r="D3769">
        <v>31.444255826614199</v>
      </c>
      <c r="E3769">
        <v>7</v>
      </c>
      <c r="F3769">
        <v>1434</v>
      </c>
      <c r="G3769">
        <v>2</v>
      </c>
      <c r="H3769">
        <v>1</v>
      </c>
      <c r="I3769">
        <v>1976</v>
      </c>
      <c r="J3769">
        <v>0</v>
      </c>
      <c r="K3769">
        <v>0</v>
      </c>
      <c r="L3769">
        <v>1</v>
      </c>
      <c r="M3769">
        <v>8</v>
      </c>
      <c r="N3769" t="s">
        <v>35</v>
      </c>
      <c r="O3769" t="s">
        <v>30</v>
      </c>
      <c r="P3769">
        <v>12.655376987415501</v>
      </c>
      <c r="Q3769">
        <v>0.64212671959296197</v>
      </c>
      <c r="R3769">
        <v>6.2254248750836298</v>
      </c>
      <c r="S3769">
        <v>7</v>
      </c>
      <c r="T3769">
        <v>75</v>
      </c>
      <c r="U3769">
        <v>801.05121985496703</v>
      </c>
      <c r="V3769">
        <v>5.5788005578800504E-3</v>
      </c>
      <c r="W3769">
        <v>1329336.87189808</v>
      </c>
      <c r="X3769" t="s">
        <v>40</v>
      </c>
      <c r="Y3769">
        <f>1-951-475-5665</f>
        <v>-7090</v>
      </c>
    </row>
    <row r="3770" spans="1:25" x14ac:dyDescent="0.35">
      <c r="A3770">
        <v>34.984088006623303</v>
      </c>
      <c r="B3770">
        <v>-123.25606719478201</v>
      </c>
      <c r="C3770" t="s">
        <v>34</v>
      </c>
      <c r="D3770">
        <v>18.838020463279399</v>
      </c>
      <c r="E3770">
        <v>1</v>
      </c>
      <c r="F3770">
        <v>4751</v>
      </c>
      <c r="G3770">
        <v>3</v>
      </c>
      <c r="H3770">
        <v>2</v>
      </c>
      <c r="I3770">
        <v>2000</v>
      </c>
      <c r="J3770">
        <v>0</v>
      </c>
      <c r="K3770">
        <v>1</v>
      </c>
      <c r="L3770">
        <v>0</v>
      </c>
      <c r="M3770">
        <v>4</v>
      </c>
      <c r="N3770" t="s">
        <v>41</v>
      </c>
      <c r="O3770" t="s">
        <v>30</v>
      </c>
      <c r="P3770">
        <v>10.0281578035375</v>
      </c>
      <c r="Q3770">
        <v>1.1755927580382399</v>
      </c>
      <c r="R3770">
        <v>4.4456608256434196</v>
      </c>
      <c r="S3770">
        <v>3</v>
      </c>
      <c r="T3770">
        <v>36</v>
      </c>
      <c r="U3770">
        <v>719.46599439530098</v>
      </c>
      <c r="V3770">
        <v>8.4192801515470402E-4</v>
      </c>
      <c r="W3770">
        <v>3750018.8942493</v>
      </c>
      <c r="X3770" t="s">
        <v>33</v>
      </c>
      <c r="Y3770">
        <f>1-380-432-8681</f>
        <v>-9492</v>
      </c>
    </row>
    <row r="3771" spans="1:25" x14ac:dyDescent="0.35">
      <c r="A3771">
        <v>34.970852984098002</v>
      </c>
      <c r="B3771">
        <v>-117.501373636236</v>
      </c>
      <c r="C3771" t="s">
        <v>25</v>
      </c>
      <c r="D3771">
        <v>24.587956199269701</v>
      </c>
      <c r="E3771">
        <v>6</v>
      </c>
      <c r="F3771">
        <v>1175</v>
      </c>
      <c r="G3771">
        <v>5</v>
      </c>
      <c r="H3771">
        <v>2</v>
      </c>
      <c r="I3771">
        <v>1983</v>
      </c>
      <c r="J3771">
        <v>0</v>
      </c>
      <c r="K3771">
        <v>0</v>
      </c>
      <c r="L3771">
        <v>1</v>
      </c>
      <c r="M3771">
        <v>4</v>
      </c>
      <c r="N3771" t="s">
        <v>35</v>
      </c>
      <c r="O3771" t="s">
        <v>27</v>
      </c>
      <c r="P3771">
        <v>3.0877982009823102</v>
      </c>
      <c r="Q3771">
        <v>1.5736982797986501</v>
      </c>
      <c r="R3771">
        <v>6.9065813174555402</v>
      </c>
      <c r="S3771">
        <v>170</v>
      </c>
      <c r="T3771">
        <v>22</v>
      </c>
      <c r="U3771">
        <v>514.40134021620702</v>
      </c>
      <c r="V3771">
        <v>3.4042553191489301E-3</v>
      </c>
      <c r="W3771">
        <v>801497.62031793303</v>
      </c>
      <c r="X3771" t="s">
        <v>36</v>
      </c>
      <c r="Y3771">
        <f>1-872-606-3161</f>
        <v>-4638</v>
      </c>
    </row>
    <row r="3772" spans="1:25" x14ac:dyDescent="0.35">
      <c r="A3772">
        <v>40.516046959233201</v>
      </c>
      <c r="B3772">
        <v>-124.283097988688</v>
      </c>
      <c r="C3772" t="s">
        <v>34</v>
      </c>
      <c r="D3772">
        <v>2.3251063808337298</v>
      </c>
      <c r="E3772">
        <v>1</v>
      </c>
      <c r="F3772">
        <v>3044</v>
      </c>
      <c r="G3772">
        <v>4</v>
      </c>
      <c r="H3772">
        <v>2</v>
      </c>
      <c r="I3772">
        <v>1983</v>
      </c>
      <c r="J3772">
        <v>1</v>
      </c>
      <c r="K3772">
        <v>0</v>
      </c>
      <c r="L3772">
        <v>0</v>
      </c>
      <c r="M3772">
        <v>5</v>
      </c>
      <c r="N3772" t="s">
        <v>41</v>
      </c>
      <c r="O3772" t="s">
        <v>27</v>
      </c>
      <c r="P3772">
        <v>10.3172436341848</v>
      </c>
      <c r="Q3772">
        <v>1.61471466472235</v>
      </c>
      <c r="R3772">
        <v>8.2771900407958496E-2</v>
      </c>
      <c r="S3772">
        <v>174</v>
      </c>
      <c r="T3772">
        <v>34</v>
      </c>
      <c r="U3772">
        <v>499.55147337693501</v>
      </c>
      <c r="V3772">
        <v>1.64257555847568E-3</v>
      </c>
      <c r="W3772">
        <v>1832612.9887671701</v>
      </c>
      <c r="X3772" t="s">
        <v>33</v>
      </c>
      <c r="Y3772">
        <f>1-309-375-8895</f>
        <v>-9578</v>
      </c>
    </row>
    <row r="3773" spans="1:25" x14ac:dyDescent="0.35">
      <c r="A3773">
        <v>34.011284379388798</v>
      </c>
      <c r="B3773">
        <v>-124.060025184864</v>
      </c>
      <c r="C3773" t="s">
        <v>25</v>
      </c>
      <c r="D3773">
        <v>7.1010576684038096</v>
      </c>
      <c r="E3773">
        <v>6</v>
      </c>
      <c r="F3773">
        <v>1802</v>
      </c>
      <c r="G3773">
        <v>3</v>
      </c>
      <c r="H3773">
        <v>3</v>
      </c>
      <c r="I3773">
        <v>1991</v>
      </c>
      <c r="J3773">
        <v>0</v>
      </c>
      <c r="K3773">
        <v>0</v>
      </c>
      <c r="L3773">
        <v>1</v>
      </c>
      <c r="M3773">
        <v>3</v>
      </c>
      <c r="N3773" t="s">
        <v>35</v>
      </c>
      <c r="O3773" t="s">
        <v>27</v>
      </c>
      <c r="P3773">
        <v>8.9411250545805903</v>
      </c>
      <c r="Q3773">
        <v>2.2868938438062898</v>
      </c>
      <c r="R3773">
        <v>5.8419614801389397</v>
      </c>
      <c r="S3773">
        <v>181</v>
      </c>
      <c r="T3773">
        <v>70</v>
      </c>
      <c r="U3773">
        <v>318.24701474764299</v>
      </c>
      <c r="V3773">
        <v>1.6648168701442799E-3</v>
      </c>
      <c r="W3773">
        <v>845231.58029076504</v>
      </c>
      <c r="X3773" t="s">
        <v>43</v>
      </c>
      <c r="Y3773">
        <f>1-738-170-7120</f>
        <v>-8027</v>
      </c>
    </row>
    <row r="3774" spans="1:25" x14ac:dyDescent="0.35">
      <c r="A3774">
        <v>37.653389217356398</v>
      </c>
      <c r="B3774">
        <v>-121.04878021818899</v>
      </c>
      <c r="C3774" t="s">
        <v>25</v>
      </c>
      <c r="D3774">
        <v>35.2514582483374</v>
      </c>
      <c r="E3774">
        <v>1</v>
      </c>
      <c r="F3774">
        <v>789</v>
      </c>
      <c r="G3774">
        <v>4</v>
      </c>
      <c r="H3774">
        <v>1</v>
      </c>
      <c r="I3774">
        <v>1987</v>
      </c>
      <c r="J3774">
        <v>0</v>
      </c>
      <c r="K3774">
        <v>1</v>
      </c>
      <c r="L3774">
        <v>1</v>
      </c>
      <c r="M3774">
        <v>10</v>
      </c>
      <c r="N3774" t="s">
        <v>37</v>
      </c>
      <c r="O3774" t="s">
        <v>27</v>
      </c>
      <c r="P3774">
        <v>10.0892989908288</v>
      </c>
      <c r="Q3774">
        <v>1.5781412343846799</v>
      </c>
      <c r="R3774">
        <v>2.13804334240253</v>
      </c>
      <c r="S3774">
        <v>123</v>
      </c>
      <c r="T3774">
        <v>51</v>
      </c>
      <c r="U3774">
        <v>600.26033831781604</v>
      </c>
      <c r="V3774">
        <v>1.26742712294043E-2</v>
      </c>
      <c r="W3774">
        <v>931399.84782058396</v>
      </c>
      <c r="X3774" t="s">
        <v>28</v>
      </c>
      <c r="Y3774">
        <f>1-614-625-4808</f>
        <v>-6046</v>
      </c>
    </row>
    <row r="3775" spans="1:25" x14ac:dyDescent="0.35">
      <c r="A3775">
        <v>36.455624177015899</v>
      </c>
      <c r="B3775">
        <v>-121.266586971878</v>
      </c>
      <c r="C3775" t="s">
        <v>25</v>
      </c>
      <c r="D3775">
        <v>47.580655572143399</v>
      </c>
      <c r="E3775">
        <v>1</v>
      </c>
      <c r="F3775">
        <v>3786</v>
      </c>
      <c r="G3775">
        <v>3</v>
      </c>
      <c r="H3775">
        <v>1</v>
      </c>
      <c r="I3775">
        <v>1974</v>
      </c>
      <c r="J3775">
        <v>1</v>
      </c>
      <c r="K3775">
        <v>0</v>
      </c>
      <c r="L3775">
        <v>0</v>
      </c>
      <c r="M3775">
        <v>4</v>
      </c>
      <c r="N3775" t="s">
        <v>37</v>
      </c>
      <c r="O3775" t="s">
        <v>32</v>
      </c>
      <c r="P3775">
        <v>10.0254107944941</v>
      </c>
      <c r="Q3775">
        <v>1.8345954385668799</v>
      </c>
      <c r="R3775">
        <v>7.0058490552958199</v>
      </c>
      <c r="S3775">
        <v>140</v>
      </c>
      <c r="T3775">
        <v>78</v>
      </c>
      <c r="U3775">
        <v>458.13901276146402</v>
      </c>
      <c r="V3775">
        <v>1.0565240359218101E-3</v>
      </c>
      <c r="W3775">
        <v>1867784.29720878</v>
      </c>
      <c r="X3775" t="s">
        <v>31</v>
      </c>
      <c r="Y3775">
        <f>1-678-112-5352</f>
        <v>-6141</v>
      </c>
    </row>
    <row r="3776" spans="1:25" x14ac:dyDescent="0.35">
      <c r="A3776">
        <v>33.133587024697803</v>
      </c>
      <c r="B3776">
        <v>-114.628864539015</v>
      </c>
      <c r="C3776" t="s">
        <v>34</v>
      </c>
      <c r="D3776">
        <v>10.5479008666694</v>
      </c>
      <c r="E3776">
        <v>4</v>
      </c>
      <c r="F3776">
        <v>2195</v>
      </c>
      <c r="G3776">
        <v>1</v>
      </c>
      <c r="H3776">
        <v>3</v>
      </c>
      <c r="I3776">
        <v>1973</v>
      </c>
      <c r="J3776">
        <v>1</v>
      </c>
      <c r="K3776">
        <v>1</v>
      </c>
      <c r="L3776">
        <v>1</v>
      </c>
      <c r="M3776">
        <v>12</v>
      </c>
      <c r="N3776" t="s">
        <v>26</v>
      </c>
      <c r="O3776" t="s">
        <v>30</v>
      </c>
      <c r="P3776">
        <v>7.2909242739505702</v>
      </c>
      <c r="Q3776">
        <v>0.93269690156361895</v>
      </c>
      <c r="R3776">
        <v>3.9093201327380598</v>
      </c>
      <c r="S3776">
        <v>121</v>
      </c>
      <c r="T3776">
        <v>61</v>
      </c>
      <c r="U3776">
        <v>325.218338804854</v>
      </c>
      <c r="V3776">
        <v>5.46697038724373E-3</v>
      </c>
      <c r="W3776">
        <v>1030903.24658841</v>
      </c>
      <c r="X3776" t="s">
        <v>44</v>
      </c>
      <c r="Y3776">
        <f>1-810-921-5110</f>
        <v>-6840</v>
      </c>
    </row>
    <row r="3777" spans="1:25" x14ac:dyDescent="0.35">
      <c r="A3777">
        <v>41.627413413593302</v>
      </c>
      <c r="B3777">
        <v>-121.941323619824</v>
      </c>
      <c r="C3777" t="s">
        <v>34</v>
      </c>
      <c r="D3777">
        <v>10.269980254878201</v>
      </c>
      <c r="E3777">
        <v>7</v>
      </c>
      <c r="F3777">
        <v>2260</v>
      </c>
      <c r="G3777">
        <v>4</v>
      </c>
      <c r="H3777">
        <v>2</v>
      </c>
      <c r="I3777">
        <v>1982</v>
      </c>
      <c r="J3777">
        <v>0</v>
      </c>
      <c r="K3777">
        <v>0</v>
      </c>
      <c r="L3777">
        <v>0</v>
      </c>
      <c r="M3777">
        <v>2</v>
      </c>
      <c r="N3777" t="s">
        <v>26</v>
      </c>
      <c r="O3777" t="s">
        <v>30</v>
      </c>
      <c r="P3777">
        <v>7.1417291960736602</v>
      </c>
      <c r="Q3777">
        <v>0.92468298141579697</v>
      </c>
      <c r="R3777">
        <v>9.0123588637216798</v>
      </c>
      <c r="S3777">
        <v>172</v>
      </c>
      <c r="T3777">
        <v>40</v>
      </c>
      <c r="U3777">
        <v>548.42286293445295</v>
      </c>
      <c r="V3777">
        <v>8.8495575221238904E-4</v>
      </c>
      <c r="W3777">
        <v>1443044.73976135</v>
      </c>
      <c r="X3777" t="s">
        <v>33</v>
      </c>
      <c r="Y3777">
        <f>1-813-442-9439</f>
        <v>-10693</v>
      </c>
    </row>
    <row r="3778" spans="1:25" x14ac:dyDescent="0.35">
      <c r="A3778">
        <v>40.682328640037198</v>
      </c>
      <c r="B3778">
        <v>-118.434057903281</v>
      </c>
      <c r="C3778" t="s">
        <v>25</v>
      </c>
      <c r="D3778">
        <v>11.7008817721665</v>
      </c>
      <c r="E3778">
        <v>6</v>
      </c>
      <c r="F3778">
        <v>610</v>
      </c>
      <c r="G3778">
        <v>5</v>
      </c>
      <c r="H3778">
        <v>2</v>
      </c>
      <c r="I3778">
        <v>1960</v>
      </c>
      <c r="J3778">
        <v>1</v>
      </c>
      <c r="K3778">
        <v>1</v>
      </c>
      <c r="L3778">
        <v>1</v>
      </c>
      <c r="M3778">
        <v>11</v>
      </c>
      <c r="N3778" t="s">
        <v>41</v>
      </c>
      <c r="O3778" t="s">
        <v>27</v>
      </c>
      <c r="P3778">
        <v>4.1371510358431101</v>
      </c>
      <c r="Q3778">
        <v>2.4194382812849899</v>
      </c>
      <c r="R3778">
        <v>1.4772010123288699</v>
      </c>
      <c r="S3778">
        <v>193</v>
      </c>
      <c r="T3778">
        <v>52</v>
      </c>
      <c r="U3778">
        <v>660.52587762089502</v>
      </c>
      <c r="V3778">
        <v>1.8032786885245899E-2</v>
      </c>
      <c r="W3778">
        <v>832569.841405001</v>
      </c>
      <c r="X3778" t="s">
        <v>38</v>
      </c>
      <c r="Y3778">
        <f>1-753-464-6788</f>
        <v>-8004</v>
      </c>
    </row>
    <row r="3779" spans="1:25" x14ac:dyDescent="0.35">
      <c r="A3779">
        <v>40.047195088409602</v>
      </c>
      <c r="B3779">
        <v>-121.130424183095</v>
      </c>
      <c r="C3779" t="s">
        <v>29</v>
      </c>
      <c r="D3779">
        <v>31.792702892329299</v>
      </c>
      <c r="E3779">
        <v>9</v>
      </c>
      <c r="F3779">
        <v>1243</v>
      </c>
      <c r="G3779">
        <v>5</v>
      </c>
      <c r="H3779">
        <v>3</v>
      </c>
      <c r="I3779">
        <v>1960</v>
      </c>
      <c r="J3779">
        <v>0</v>
      </c>
      <c r="K3779">
        <v>0</v>
      </c>
      <c r="L3779">
        <v>0</v>
      </c>
      <c r="M3779">
        <v>13</v>
      </c>
      <c r="N3779" t="s">
        <v>37</v>
      </c>
      <c r="O3779" t="s">
        <v>30</v>
      </c>
      <c r="P3779">
        <v>2.6008025694025099</v>
      </c>
      <c r="Q3779">
        <v>0.93784528050327598</v>
      </c>
      <c r="R3779">
        <v>3.7201057915163802</v>
      </c>
      <c r="S3779">
        <v>164</v>
      </c>
      <c r="T3779">
        <v>57</v>
      </c>
      <c r="U3779">
        <v>482.95073500991498</v>
      </c>
      <c r="V3779">
        <v>1.0458567980691801E-2</v>
      </c>
      <c r="W3779">
        <v>867785.38425438502</v>
      </c>
      <c r="X3779" t="s">
        <v>42</v>
      </c>
      <c r="Y3779">
        <f>1-278-269-2519</f>
        <v>-3065</v>
      </c>
    </row>
    <row r="3780" spans="1:25" x14ac:dyDescent="0.35">
      <c r="A3780">
        <v>40.9822220418664</v>
      </c>
      <c r="B3780">
        <v>-114.125706186868</v>
      </c>
      <c r="C3780" t="s">
        <v>29</v>
      </c>
      <c r="D3780">
        <v>47.521552165986002</v>
      </c>
      <c r="E3780">
        <v>8</v>
      </c>
      <c r="F3780">
        <v>1887</v>
      </c>
      <c r="G3780">
        <v>3</v>
      </c>
      <c r="H3780">
        <v>3</v>
      </c>
      <c r="I3780">
        <v>1967</v>
      </c>
      <c r="J3780">
        <v>1</v>
      </c>
      <c r="K3780">
        <v>1</v>
      </c>
      <c r="L3780">
        <v>0</v>
      </c>
      <c r="M3780">
        <v>5</v>
      </c>
      <c r="N3780" t="s">
        <v>37</v>
      </c>
      <c r="O3780" t="s">
        <v>30</v>
      </c>
      <c r="P3780">
        <v>9.0831808797804197</v>
      </c>
      <c r="Q3780">
        <v>1.50649356712935</v>
      </c>
      <c r="R3780">
        <v>7.9207729680196897</v>
      </c>
      <c r="S3780">
        <v>100</v>
      </c>
      <c r="T3780">
        <v>46</v>
      </c>
      <c r="U3780">
        <v>859.70346345438497</v>
      </c>
      <c r="V3780">
        <v>2.6497085320614702E-3</v>
      </c>
      <c r="W3780">
        <v>1920784.9715698401</v>
      </c>
      <c r="X3780" t="s">
        <v>36</v>
      </c>
      <c r="Y3780">
        <f>1-971-788-4033</f>
        <v>-5791</v>
      </c>
    </row>
    <row r="3781" spans="1:25" x14ac:dyDescent="0.35">
      <c r="A3781">
        <v>34.613963292764801</v>
      </c>
      <c r="B3781">
        <v>-121.171175203297</v>
      </c>
      <c r="C3781" t="s">
        <v>34</v>
      </c>
      <c r="D3781">
        <v>44.936922268228898</v>
      </c>
      <c r="E3781">
        <v>7</v>
      </c>
      <c r="F3781">
        <v>3954</v>
      </c>
      <c r="G3781">
        <v>5</v>
      </c>
      <c r="H3781">
        <v>2</v>
      </c>
      <c r="I3781">
        <v>1975</v>
      </c>
      <c r="J3781">
        <v>1</v>
      </c>
      <c r="K3781">
        <v>1</v>
      </c>
      <c r="L3781">
        <v>1</v>
      </c>
      <c r="M3781">
        <v>4</v>
      </c>
      <c r="N3781" t="s">
        <v>37</v>
      </c>
      <c r="O3781" t="s">
        <v>32</v>
      </c>
      <c r="P3781">
        <v>2.7448898092879199</v>
      </c>
      <c r="Q3781">
        <v>1.53545567960563</v>
      </c>
      <c r="R3781">
        <v>8.4395231624737495</v>
      </c>
      <c r="S3781">
        <v>129</v>
      </c>
      <c r="T3781">
        <v>40</v>
      </c>
      <c r="U3781">
        <v>646.81736888319404</v>
      </c>
      <c r="V3781">
        <v>1.01163378856853E-3</v>
      </c>
      <c r="W3781">
        <v>2915003.6782121798</v>
      </c>
      <c r="X3781" t="s">
        <v>42</v>
      </c>
      <c r="Y3781">
        <f>1-311-575-3450</f>
        <v>-4335</v>
      </c>
    </row>
    <row r="3782" spans="1:25" x14ac:dyDescent="0.35">
      <c r="A3782">
        <v>37.870376881254103</v>
      </c>
      <c r="B3782">
        <v>-118.412783216972</v>
      </c>
      <c r="C3782" t="s">
        <v>34</v>
      </c>
      <c r="D3782">
        <v>30.653344681390799</v>
      </c>
      <c r="E3782">
        <v>5</v>
      </c>
      <c r="F3782">
        <v>4145</v>
      </c>
      <c r="G3782">
        <v>3</v>
      </c>
      <c r="H3782">
        <v>2</v>
      </c>
      <c r="I3782">
        <v>1997</v>
      </c>
      <c r="J3782">
        <v>0</v>
      </c>
      <c r="K3782">
        <v>1</v>
      </c>
      <c r="L3782">
        <v>0</v>
      </c>
      <c r="M3782">
        <v>12</v>
      </c>
      <c r="N3782" t="s">
        <v>35</v>
      </c>
      <c r="O3782" t="s">
        <v>30</v>
      </c>
      <c r="P3782">
        <v>12.303126091299299</v>
      </c>
      <c r="Q3782">
        <v>0.64814557828348396</v>
      </c>
      <c r="R3782">
        <v>3.3630964862441202</v>
      </c>
      <c r="S3782">
        <v>33</v>
      </c>
      <c r="T3782">
        <v>63</v>
      </c>
      <c r="U3782">
        <v>243.345654842214</v>
      </c>
      <c r="V3782">
        <v>2.8950542822677901E-3</v>
      </c>
      <c r="W3782">
        <v>1439065.31087976</v>
      </c>
      <c r="X3782" t="s">
        <v>40</v>
      </c>
      <c r="Y3782">
        <f>1-893-818-6979</f>
        <v>-8689</v>
      </c>
    </row>
    <row r="3783" spans="1:25" x14ac:dyDescent="0.35">
      <c r="A3783">
        <v>33.991956262348602</v>
      </c>
      <c r="B3783">
        <v>-117.797612087141</v>
      </c>
      <c r="C3783" t="s">
        <v>25</v>
      </c>
      <c r="D3783">
        <v>48.785689367091003</v>
      </c>
      <c r="E3783">
        <v>4</v>
      </c>
      <c r="F3783">
        <v>944</v>
      </c>
      <c r="G3783">
        <v>1</v>
      </c>
      <c r="H3783">
        <v>3</v>
      </c>
      <c r="I3783">
        <v>1985</v>
      </c>
      <c r="J3783">
        <v>1</v>
      </c>
      <c r="K3783">
        <v>1</v>
      </c>
      <c r="L3783">
        <v>0</v>
      </c>
      <c r="M3783">
        <v>7</v>
      </c>
      <c r="N3783" t="s">
        <v>37</v>
      </c>
      <c r="O3783" t="s">
        <v>32</v>
      </c>
      <c r="P3783">
        <v>4.4094785656896596</v>
      </c>
      <c r="Q3783">
        <v>0.94500667070181998</v>
      </c>
      <c r="R3783">
        <v>1.7285945888883201</v>
      </c>
      <c r="S3783">
        <v>179</v>
      </c>
      <c r="T3783">
        <v>57</v>
      </c>
      <c r="U3783">
        <v>772.78369131473005</v>
      </c>
      <c r="V3783">
        <v>7.4152542372881297E-3</v>
      </c>
      <c r="W3783">
        <v>897828.18348764896</v>
      </c>
      <c r="X3783" t="s">
        <v>40</v>
      </c>
      <c r="Y3783">
        <f>1-452-583-4768</f>
        <v>-5802</v>
      </c>
    </row>
    <row r="3784" spans="1:25" x14ac:dyDescent="0.35">
      <c r="A3784">
        <v>37.7665197476611</v>
      </c>
      <c r="B3784">
        <v>-121.03915468060799</v>
      </c>
      <c r="C3784" t="s">
        <v>34</v>
      </c>
      <c r="D3784">
        <v>39.204526420283997</v>
      </c>
      <c r="E3784">
        <v>8</v>
      </c>
      <c r="F3784">
        <v>4475</v>
      </c>
      <c r="G3784">
        <v>2</v>
      </c>
      <c r="H3784">
        <v>1</v>
      </c>
      <c r="I3784">
        <v>1974</v>
      </c>
      <c r="J3784">
        <v>0</v>
      </c>
      <c r="K3784">
        <v>0</v>
      </c>
      <c r="L3784">
        <v>0</v>
      </c>
      <c r="M3784">
        <v>13</v>
      </c>
      <c r="N3784" t="s">
        <v>35</v>
      </c>
      <c r="O3784" t="s">
        <v>30</v>
      </c>
      <c r="P3784">
        <v>14.0005364286946</v>
      </c>
      <c r="Q3784">
        <v>1.6264512221090901</v>
      </c>
      <c r="R3784">
        <v>7.9561540263753496</v>
      </c>
      <c r="S3784">
        <v>30</v>
      </c>
      <c r="T3784">
        <v>46</v>
      </c>
      <c r="U3784">
        <v>885.70537592061203</v>
      </c>
      <c r="V3784">
        <v>2.9050279329608901E-3</v>
      </c>
      <c r="W3784">
        <v>4077817.9979428099</v>
      </c>
      <c r="X3784" t="s">
        <v>42</v>
      </c>
      <c r="Y3784">
        <f>1-657-219-4464</f>
        <v>-5339</v>
      </c>
    </row>
    <row r="3785" spans="1:25" x14ac:dyDescent="0.35">
      <c r="A3785">
        <v>38.108686418796502</v>
      </c>
      <c r="B3785">
        <v>-118.93826005237</v>
      </c>
      <c r="C3785" t="s">
        <v>29</v>
      </c>
      <c r="D3785">
        <v>9.1276439233035802</v>
      </c>
      <c r="E3785">
        <v>5</v>
      </c>
      <c r="F3785">
        <v>3140</v>
      </c>
      <c r="G3785">
        <v>1</v>
      </c>
      <c r="H3785">
        <v>2</v>
      </c>
      <c r="I3785">
        <v>1994</v>
      </c>
      <c r="J3785">
        <v>0</v>
      </c>
      <c r="K3785">
        <v>1</v>
      </c>
      <c r="L3785">
        <v>1</v>
      </c>
      <c r="M3785">
        <v>6</v>
      </c>
      <c r="N3785" t="s">
        <v>35</v>
      </c>
      <c r="O3785" t="s">
        <v>32</v>
      </c>
      <c r="P3785">
        <v>9.6235771504517693</v>
      </c>
      <c r="Q3785">
        <v>2.0370483777761601</v>
      </c>
      <c r="R3785">
        <v>1.62922585303286</v>
      </c>
      <c r="S3785">
        <v>130</v>
      </c>
      <c r="T3785">
        <v>43</v>
      </c>
      <c r="U3785">
        <v>761.79937061870305</v>
      </c>
      <c r="V3785">
        <v>1.9108280254777001E-3</v>
      </c>
      <c r="W3785">
        <v>2712587.57613501</v>
      </c>
      <c r="X3785" t="s">
        <v>38</v>
      </c>
      <c r="Y3785">
        <f>1-294-627-8817</f>
        <v>-9737</v>
      </c>
    </row>
    <row r="3786" spans="1:25" x14ac:dyDescent="0.35">
      <c r="A3786">
        <v>38.086794397003203</v>
      </c>
      <c r="B3786">
        <v>-122.766147595663</v>
      </c>
      <c r="C3786" t="s">
        <v>34</v>
      </c>
      <c r="D3786">
        <v>45.361802865690599</v>
      </c>
      <c r="E3786">
        <v>9</v>
      </c>
      <c r="F3786">
        <v>4306</v>
      </c>
      <c r="G3786">
        <v>1</v>
      </c>
      <c r="H3786">
        <v>2</v>
      </c>
      <c r="I3786">
        <v>2011</v>
      </c>
      <c r="J3786">
        <v>1</v>
      </c>
      <c r="K3786">
        <v>1</v>
      </c>
      <c r="L3786">
        <v>0</v>
      </c>
      <c r="M3786">
        <v>2</v>
      </c>
      <c r="N3786" t="s">
        <v>41</v>
      </c>
      <c r="O3786" t="s">
        <v>27</v>
      </c>
      <c r="P3786">
        <v>10.1426272164398</v>
      </c>
      <c r="Q3786">
        <v>1.90651976870382</v>
      </c>
      <c r="R3786">
        <v>5.7209977524873201</v>
      </c>
      <c r="S3786">
        <v>148</v>
      </c>
      <c r="T3786">
        <v>38</v>
      </c>
      <c r="U3786">
        <v>891.59449367836601</v>
      </c>
      <c r="V3786">
        <v>4.6446818392939998E-4</v>
      </c>
      <c r="W3786">
        <v>4210772.9113264401</v>
      </c>
      <c r="X3786" t="s">
        <v>40</v>
      </c>
      <c r="Y3786">
        <f>1-682-164-1700</f>
        <v>-2545</v>
      </c>
    </row>
    <row r="3787" spans="1:25" x14ac:dyDescent="0.35">
      <c r="A3787">
        <v>37.693070475061397</v>
      </c>
      <c r="B3787">
        <v>-117.18442292046601</v>
      </c>
      <c r="C3787" t="s">
        <v>34</v>
      </c>
      <c r="D3787">
        <v>28.445502968387199</v>
      </c>
      <c r="E3787">
        <v>2</v>
      </c>
      <c r="F3787">
        <v>2973</v>
      </c>
      <c r="G3787">
        <v>3</v>
      </c>
      <c r="H3787">
        <v>3</v>
      </c>
      <c r="I3787">
        <v>2014</v>
      </c>
      <c r="J3787">
        <v>1</v>
      </c>
      <c r="K3787">
        <v>1</v>
      </c>
      <c r="L3787">
        <v>1</v>
      </c>
      <c r="M3787">
        <v>9</v>
      </c>
      <c r="N3787" t="s">
        <v>35</v>
      </c>
      <c r="O3787" t="s">
        <v>32</v>
      </c>
      <c r="P3787">
        <v>9.9717954485928093</v>
      </c>
      <c r="Q3787">
        <v>0.70311629339898196</v>
      </c>
      <c r="R3787">
        <v>0.53487044359955205</v>
      </c>
      <c r="S3787">
        <v>83</v>
      </c>
      <c r="T3787">
        <v>72</v>
      </c>
      <c r="U3787">
        <v>791.66153282667995</v>
      </c>
      <c r="V3787">
        <v>3.02724520686175E-3</v>
      </c>
      <c r="W3787">
        <v>2941847.54067855</v>
      </c>
      <c r="X3787" t="s">
        <v>36</v>
      </c>
      <c r="Y3787">
        <f>1-525-994-3941</f>
        <v>-5459</v>
      </c>
    </row>
    <row r="3788" spans="1:25" x14ac:dyDescent="0.35">
      <c r="A3788">
        <v>37.834045935973002</v>
      </c>
      <c r="B3788">
        <v>-123.77339633370499</v>
      </c>
      <c r="C3788" t="s">
        <v>29</v>
      </c>
      <c r="D3788">
        <v>22.594821694987701</v>
      </c>
      <c r="E3788">
        <v>5</v>
      </c>
      <c r="F3788">
        <v>636</v>
      </c>
      <c r="G3788">
        <v>5</v>
      </c>
      <c r="H3788">
        <v>3</v>
      </c>
      <c r="I3788">
        <v>2012</v>
      </c>
      <c r="J3788">
        <v>1</v>
      </c>
      <c r="K3788">
        <v>1</v>
      </c>
      <c r="L3788">
        <v>1</v>
      </c>
      <c r="M3788">
        <v>7</v>
      </c>
      <c r="N3788" t="s">
        <v>37</v>
      </c>
      <c r="O3788" t="s">
        <v>32</v>
      </c>
      <c r="P3788">
        <v>5.5393722478444802</v>
      </c>
      <c r="Q3788">
        <v>1.2866060381209401</v>
      </c>
      <c r="R3788">
        <v>0.61364683673015896</v>
      </c>
      <c r="S3788">
        <v>141</v>
      </c>
      <c r="T3788">
        <v>66</v>
      </c>
      <c r="U3788">
        <v>680.03974266873502</v>
      </c>
      <c r="V3788">
        <v>1.10062893081761E-2</v>
      </c>
      <c r="W3788">
        <v>1029701.9522084499</v>
      </c>
      <c r="X3788" t="s">
        <v>40</v>
      </c>
      <c r="Y3788">
        <f>1-417-942-9037</f>
        <v>-10395</v>
      </c>
    </row>
    <row r="3789" spans="1:25" x14ac:dyDescent="0.35">
      <c r="A3789">
        <v>38.739925105183602</v>
      </c>
      <c r="B3789">
        <v>-120.52380247135601</v>
      </c>
      <c r="C3789" t="s">
        <v>29</v>
      </c>
      <c r="D3789">
        <v>15.5352267657354</v>
      </c>
      <c r="E3789">
        <v>4</v>
      </c>
      <c r="F3789">
        <v>4616</v>
      </c>
      <c r="G3789">
        <v>3</v>
      </c>
      <c r="H3789">
        <v>1</v>
      </c>
      <c r="I3789">
        <v>1978</v>
      </c>
      <c r="J3789">
        <v>0</v>
      </c>
      <c r="K3789">
        <v>0</v>
      </c>
      <c r="L3789">
        <v>0</v>
      </c>
      <c r="M3789">
        <v>13</v>
      </c>
      <c r="N3789" t="s">
        <v>41</v>
      </c>
      <c r="O3789" t="s">
        <v>32</v>
      </c>
      <c r="P3789">
        <v>5.1883234222168397</v>
      </c>
      <c r="Q3789">
        <v>1.72320614924273</v>
      </c>
      <c r="R3789">
        <v>1.22693532804741</v>
      </c>
      <c r="S3789">
        <v>168</v>
      </c>
      <c r="T3789">
        <v>30</v>
      </c>
      <c r="U3789">
        <v>439.463113358204</v>
      </c>
      <c r="V3789">
        <v>2.8162911611785001E-3</v>
      </c>
      <c r="W3789">
        <v>2281528.2698841002</v>
      </c>
      <c r="X3789" t="s">
        <v>44</v>
      </c>
      <c r="Y3789">
        <f>1-773-654-9805</f>
        <v>-11231</v>
      </c>
    </row>
    <row r="3790" spans="1:25" x14ac:dyDescent="0.35">
      <c r="A3790">
        <v>34.772164517924402</v>
      </c>
      <c r="B3790">
        <v>-120.24885594708999</v>
      </c>
      <c r="C3790" t="s">
        <v>34</v>
      </c>
      <c r="D3790">
        <v>4.5071440776141296</v>
      </c>
      <c r="E3790">
        <v>5</v>
      </c>
      <c r="F3790">
        <v>783</v>
      </c>
      <c r="G3790">
        <v>2</v>
      </c>
      <c r="H3790">
        <v>2</v>
      </c>
      <c r="I3790">
        <v>1981</v>
      </c>
      <c r="J3790">
        <v>0</v>
      </c>
      <c r="K3790">
        <v>1</v>
      </c>
      <c r="L3790">
        <v>1</v>
      </c>
      <c r="M3790">
        <v>4</v>
      </c>
      <c r="N3790" t="s">
        <v>41</v>
      </c>
      <c r="O3790" t="s">
        <v>30</v>
      </c>
      <c r="P3790">
        <v>5.3573266798867198</v>
      </c>
      <c r="Q3790">
        <v>1.8915834461358001</v>
      </c>
      <c r="R3790">
        <v>7.0687665534670501</v>
      </c>
      <c r="S3790">
        <v>180</v>
      </c>
      <c r="T3790">
        <v>30</v>
      </c>
      <c r="U3790">
        <v>963.93310163593901</v>
      </c>
      <c r="V3790">
        <v>5.1085568326947597E-3</v>
      </c>
      <c r="W3790">
        <v>919983.917777222</v>
      </c>
      <c r="X3790" t="s">
        <v>43</v>
      </c>
      <c r="Y3790">
        <f>1-395-620-2492</f>
        <v>-3506</v>
      </c>
    </row>
    <row r="3791" spans="1:25" x14ac:dyDescent="0.35">
      <c r="A3791">
        <v>33.560390169583101</v>
      </c>
      <c r="B3791">
        <v>-120.373056258547</v>
      </c>
      <c r="C3791" t="s">
        <v>34</v>
      </c>
      <c r="D3791">
        <v>15.7245219447155</v>
      </c>
      <c r="E3791">
        <v>6</v>
      </c>
      <c r="F3791">
        <v>790</v>
      </c>
      <c r="G3791">
        <v>5</v>
      </c>
      <c r="H3791">
        <v>2</v>
      </c>
      <c r="I3791">
        <v>1953</v>
      </c>
      <c r="J3791">
        <v>1</v>
      </c>
      <c r="K3791">
        <v>0</v>
      </c>
      <c r="L3791">
        <v>0</v>
      </c>
      <c r="M3791">
        <v>11</v>
      </c>
      <c r="N3791" t="s">
        <v>41</v>
      </c>
      <c r="O3791" t="s">
        <v>30</v>
      </c>
      <c r="P3791">
        <v>3.55251206085453</v>
      </c>
      <c r="Q3791">
        <v>2.3037027693854002</v>
      </c>
      <c r="R3791">
        <v>2.1219877769559901</v>
      </c>
      <c r="S3791">
        <v>31</v>
      </c>
      <c r="T3791">
        <v>67</v>
      </c>
      <c r="U3791">
        <v>419.27746237155998</v>
      </c>
      <c r="V3791">
        <v>1.39240506329113E-2</v>
      </c>
      <c r="W3791">
        <v>507297.35531594901</v>
      </c>
      <c r="X3791" t="s">
        <v>33</v>
      </c>
      <c r="Y3791">
        <f>1-644-445-5402</f>
        <v>-6490</v>
      </c>
    </row>
    <row r="3792" spans="1:25" x14ac:dyDescent="0.35">
      <c r="A3792">
        <v>38.346523254004502</v>
      </c>
      <c r="B3792">
        <v>-117.226943229699</v>
      </c>
      <c r="C3792" t="s">
        <v>25</v>
      </c>
      <c r="D3792">
        <v>8.8058727668584407</v>
      </c>
      <c r="E3792">
        <v>9</v>
      </c>
      <c r="F3792">
        <v>4749</v>
      </c>
      <c r="G3792">
        <v>3</v>
      </c>
      <c r="H3792">
        <v>2</v>
      </c>
      <c r="I3792">
        <v>1986</v>
      </c>
      <c r="J3792">
        <v>1</v>
      </c>
      <c r="K3792">
        <v>1</v>
      </c>
      <c r="L3792">
        <v>1</v>
      </c>
      <c r="M3792">
        <v>8</v>
      </c>
      <c r="N3792" t="s">
        <v>41</v>
      </c>
      <c r="O3792" t="s">
        <v>30</v>
      </c>
      <c r="P3792">
        <v>2.0834628377075801</v>
      </c>
      <c r="Q3792">
        <v>1.43499673198655</v>
      </c>
      <c r="R3792">
        <v>2.98136012836886</v>
      </c>
      <c r="S3792">
        <v>67</v>
      </c>
      <c r="T3792">
        <v>54</v>
      </c>
      <c r="U3792">
        <v>495.25416593956601</v>
      </c>
      <c r="V3792">
        <v>1.6845651716150701E-3</v>
      </c>
      <c r="W3792">
        <v>2690039.15453002</v>
      </c>
      <c r="X3792" t="s">
        <v>31</v>
      </c>
      <c r="Y3792">
        <f>1-832-528-5257</f>
        <v>-6616</v>
      </c>
    </row>
    <row r="3793" spans="1:25" x14ac:dyDescent="0.35">
      <c r="A3793">
        <v>40.760712483812803</v>
      </c>
      <c r="B3793">
        <v>-123.259601776906</v>
      </c>
      <c r="C3793" t="s">
        <v>25</v>
      </c>
      <c r="D3793">
        <v>28.368894460140702</v>
      </c>
      <c r="E3793">
        <v>0</v>
      </c>
      <c r="F3793">
        <v>3244</v>
      </c>
      <c r="G3793">
        <v>1</v>
      </c>
      <c r="H3793">
        <v>1</v>
      </c>
      <c r="I3793">
        <v>1989</v>
      </c>
      <c r="J3793">
        <v>0</v>
      </c>
      <c r="K3793">
        <v>1</v>
      </c>
      <c r="L3793">
        <v>0</v>
      </c>
      <c r="M3793">
        <v>7</v>
      </c>
      <c r="N3793" t="s">
        <v>41</v>
      </c>
      <c r="O3793" t="s">
        <v>27</v>
      </c>
      <c r="P3793">
        <v>13.974831248956701</v>
      </c>
      <c r="Q3793">
        <v>1.2783616611623601</v>
      </c>
      <c r="R3793">
        <v>4.12751748863593</v>
      </c>
      <c r="S3793">
        <v>151</v>
      </c>
      <c r="T3793">
        <v>58</v>
      </c>
      <c r="U3793">
        <v>736.37629866744396</v>
      </c>
      <c r="V3793">
        <v>2.1578298397040602E-3</v>
      </c>
      <c r="W3793">
        <v>2636268.1783119598</v>
      </c>
      <c r="X3793" t="s">
        <v>44</v>
      </c>
      <c r="Y3793">
        <f>1-604-387-5917</f>
        <v>-6907</v>
      </c>
    </row>
    <row r="3794" spans="1:25" x14ac:dyDescent="0.35">
      <c r="A3794">
        <v>33.059882879250303</v>
      </c>
      <c r="B3794">
        <v>-119.48487293989299</v>
      </c>
      <c r="C3794" t="s">
        <v>25</v>
      </c>
      <c r="D3794">
        <v>37.446299631263898</v>
      </c>
      <c r="E3794">
        <v>8</v>
      </c>
      <c r="F3794">
        <v>1372</v>
      </c>
      <c r="G3794">
        <v>4</v>
      </c>
      <c r="H3794">
        <v>3</v>
      </c>
      <c r="I3794">
        <v>1968</v>
      </c>
      <c r="J3794">
        <v>0</v>
      </c>
      <c r="K3794">
        <v>1</v>
      </c>
      <c r="L3794">
        <v>0</v>
      </c>
      <c r="M3794">
        <v>7</v>
      </c>
      <c r="N3794" t="s">
        <v>35</v>
      </c>
      <c r="O3794" t="s">
        <v>32</v>
      </c>
      <c r="P3794">
        <v>14.977814414612901</v>
      </c>
      <c r="Q3794">
        <v>0.59240307883794996</v>
      </c>
      <c r="R3794">
        <v>3.6287540975374601</v>
      </c>
      <c r="S3794">
        <v>10</v>
      </c>
      <c r="T3794">
        <v>48</v>
      </c>
      <c r="U3794">
        <v>487.51865208624901</v>
      </c>
      <c r="V3794">
        <v>5.1020408163265302E-3</v>
      </c>
      <c r="W3794">
        <v>1158509.7008796199</v>
      </c>
      <c r="X3794" t="s">
        <v>28</v>
      </c>
      <c r="Y3794">
        <f>1-547-410-5730</f>
        <v>-6686</v>
      </c>
    </row>
    <row r="3795" spans="1:25" x14ac:dyDescent="0.35">
      <c r="A3795">
        <v>33.053489120483697</v>
      </c>
      <c r="B3795">
        <v>-119.549114687518</v>
      </c>
      <c r="C3795" t="s">
        <v>25</v>
      </c>
      <c r="D3795">
        <v>42.849638983745699</v>
      </c>
      <c r="E3795">
        <v>9</v>
      </c>
      <c r="F3795">
        <v>4605</v>
      </c>
      <c r="G3795">
        <v>3</v>
      </c>
      <c r="H3795">
        <v>3</v>
      </c>
      <c r="I3795">
        <v>1957</v>
      </c>
      <c r="J3795">
        <v>0</v>
      </c>
      <c r="K3795">
        <v>1</v>
      </c>
      <c r="L3795">
        <v>1</v>
      </c>
      <c r="M3795">
        <v>7</v>
      </c>
      <c r="N3795" t="s">
        <v>35</v>
      </c>
      <c r="O3795" t="s">
        <v>30</v>
      </c>
      <c r="P3795">
        <v>6.0382650592921499</v>
      </c>
      <c r="Q3795">
        <v>1.34907825591148</v>
      </c>
      <c r="R3795">
        <v>8.51986223564891</v>
      </c>
      <c r="S3795">
        <v>50</v>
      </c>
      <c r="T3795">
        <v>62</v>
      </c>
      <c r="U3795">
        <v>909.15788470110203</v>
      </c>
      <c r="V3795">
        <v>1.5200868621064001E-3</v>
      </c>
      <c r="W3795">
        <v>4381621.9052615296</v>
      </c>
      <c r="X3795" t="s">
        <v>44</v>
      </c>
      <c r="Y3795">
        <f>1-618-701-9957</f>
        <v>-11275</v>
      </c>
    </row>
    <row r="3796" spans="1:25" x14ac:dyDescent="0.35">
      <c r="A3796">
        <v>32.751397442608102</v>
      </c>
      <c r="B3796">
        <v>-116.346328670312</v>
      </c>
      <c r="C3796" t="s">
        <v>29</v>
      </c>
      <c r="D3796">
        <v>5.8163293106885101</v>
      </c>
      <c r="E3796">
        <v>9</v>
      </c>
      <c r="F3796">
        <v>4318</v>
      </c>
      <c r="G3796">
        <v>5</v>
      </c>
      <c r="H3796">
        <v>2</v>
      </c>
      <c r="I3796">
        <v>1950</v>
      </c>
      <c r="J3796">
        <v>0</v>
      </c>
      <c r="K3796">
        <v>1</v>
      </c>
      <c r="L3796">
        <v>0</v>
      </c>
      <c r="M3796">
        <v>2</v>
      </c>
      <c r="N3796" t="s">
        <v>41</v>
      </c>
      <c r="O3796" t="s">
        <v>30</v>
      </c>
      <c r="P3796">
        <v>9.0060308328879302</v>
      </c>
      <c r="Q3796">
        <v>2.1536186004375599</v>
      </c>
      <c r="R3796">
        <v>6.2135807970003798</v>
      </c>
      <c r="S3796">
        <v>169</v>
      </c>
      <c r="T3796">
        <v>48</v>
      </c>
      <c r="U3796">
        <v>262.74176920797902</v>
      </c>
      <c r="V3796">
        <v>4.6317739694302901E-4</v>
      </c>
      <c r="W3796">
        <v>1473846.1421614101</v>
      </c>
      <c r="X3796" t="s">
        <v>40</v>
      </c>
      <c r="Y3796">
        <f>1-786-922-3890</f>
        <v>-5597</v>
      </c>
    </row>
    <row r="3797" spans="1:25" x14ac:dyDescent="0.35">
      <c r="A3797">
        <v>32.579281214393397</v>
      </c>
      <c r="B3797">
        <v>-114.067621959203</v>
      </c>
      <c r="C3797" t="s">
        <v>29</v>
      </c>
      <c r="D3797">
        <v>39.878246349009203</v>
      </c>
      <c r="E3797">
        <v>9</v>
      </c>
      <c r="F3797">
        <v>3801</v>
      </c>
      <c r="G3797">
        <v>4</v>
      </c>
      <c r="H3797">
        <v>1</v>
      </c>
      <c r="I3797">
        <v>1962</v>
      </c>
      <c r="J3797">
        <v>0</v>
      </c>
      <c r="K3797">
        <v>1</v>
      </c>
      <c r="L3797">
        <v>1</v>
      </c>
      <c r="M3797">
        <v>10</v>
      </c>
      <c r="N3797" t="s">
        <v>41</v>
      </c>
      <c r="O3797" t="s">
        <v>30</v>
      </c>
      <c r="P3797">
        <v>10.4494655300264</v>
      </c>
      <c r="Q3797">
        <v>1.85413952171813</v>
      </c>
      <c r="R3797">
        <v>9.9167191364448204</v>
      </c>
      <c r="S3797">
        <v>38</v>
      </c>
      <c r="T3797">
        <v>42</v>
      </c>
      <c r="U3797">
        <v>548.22580999368699</v>
      </c>
      <c r="V3797">
        <v>2.6308866087871598E-3</v>
      </c>
      <c r="W3797">
        <v>2470621.7070866399</v>
      </c>
      <c r="X3797" t="s">
        <v>39</v>
      </c>
      <c r="Y3797">
        <f>1-514-725-3712</f>
        <v>-4950</v>
      </c>
    </row>
    <row r="3798" spans="1:25" x14ac:dyDescent="0.35">
      <c r="A3798">
        <v>33.190717430530498</v>
      </c>
      <c r="B3798">
        <v>-122.29543488155799</v>
      </c>
      <c r="C3798" t="s">
        <v>34</v>
      </c>
      <c r="D3798">
        <v>17.606283799883499</v>
      </c>
      <c r="E3798">
        <v>4</v>
      </c>
      <c r="F3798">
        <v>510</v>
      </c>
      <c r="G3798">
        <v>1</v>
      </c>
      <c r="H3798">
        <v>1</v>
      </c>
      <c r="I3798">
        <v>2005</v>
      </c>
      <c r="J3798">
        <v>0</v>
      </c>
      <c r="K3798">
        <v>0</v>
      </c>
      <c r="L3798">
        <v>1</v>
      </c>
      <c r="M3798">
        <v>7</v>
      </c>
      <c r="N3798" t="s">
        <v>26</v>
      </c>
      <c r="O3798" t="s">
        <v>32</v>
      </c>
      <c r="P3798">
        <v>9.1779358989560507</v>
      </c>
      <c r="Q3798">
        <v>1.26019438536824</v>
      </c>
      <c r="R3798">
        <v>0.88708896202328102</v>
      </c>
      <c r="S3798">
        <v>98</v>
      </c>
      <c r="T3798">
        <v>36</v>
      </c>
      <c r="U3798">
        <v>216.82627861419499</v>
      </c>
      <c r="V3798">
        <v>1.37254901960784E-2</v>
      </c>
      <c r="W3798">
        <v>173071.90459338899</v>
      </c>
      <c r="X3798" t="s">
        <v>38</v>
      </c>
      <c r="Y3798">
        <f>1-878-377-9606</f>
        <v>-10860</v>
      </c>
    </row>
    <row r="3799" spans="1:25" x14ac:dyDescent="0.35">
      <c r="A3799">
        <v>34.270596212012798</v>
      </c>
      <c r="B3799">
        <v>-119.63982987151</v>
      </c>
      <c r="C3799" t="s">
        <v>25</v>
      </c>
      <c r="D3799">
        <v>34.4028590942536</v>
      </c>
      <c r="E3799">
        <v>0</v>
      </c>
      <c r="F3799">
        <v>3120</v>
      </c>
      <c r="G3799">
        <v>5</v>
      </c>
      <c r="H3799">
        <v>1</v>
      </c>
      <c r="I3799">
        <v>1986</v>
      </c>
      <c r="J3799">
        <v>1</v>
      </c>
      <c r="K3799">
        <v>1</v>
      </c>
      <c r="L3799">
        <v>1</v>
      </c>
      <c r="M3799">
        <v>2</v>
      </c>
      <c r="N3799" t="s">
        <v>37</v>
      </c>
      <c r="O3799" t="s">
        <v>30</v>
      </c>
      <c r="P3799">
        <v>3.0222653106442401</v>
      </c>
      <c r="Q3799">
        <v>2.0654328259119201</v>
      </c>
      <c r="R3799">
        <v>6.2321859938390096</v>
      </c>
      <c r="S3799">
        <v>114</v>
      </c>
      <c r="T3799">
        <v>63</v>
      </c>
      <c r="U3799">
        <v>212.587121582555</v>
      </c>
      <c r="V3799">
        <v>6.4102564102564103E-4</v>
      </c>
      <c r="W3799">
        <v>1010933.71092202</v>
      </c>
      <c r="X3799" t="s">
        <v>44</v>
      </c>
      <c r="Y3799">
        <f>1-670-892-5817</f>
        <v>-7378</v>
      </c>
    </row>
    <row r="3800" spans="1:25" x14ac:dyDescent="0.35">
      <c r="A3800">
        <v>34.078805838160498</v>
      </c>
      <c r="B3800">
        <v>-118.073406868004</v>
      </c>
      <c r="C3800" t="s">
        <v>34</v>
      </c>
      <c r="D3800">
        <v>16.5524132536652</v>
      </c>
      <c r="E3800">
        <v>2</v>
      </c>
      <c r="F3800">
        <v>4281</v>
      </c>
      <c r="G3800">
        <v>3</v>
      </c>
      <c r="H3800">
        <v>3</v>
      </c>
      <c r="I3800">
        <v>2017</v>
      </c>
      <c r="J3800">
        <v>0</v>
      </c>
      <c r="K3800">
        <v>0</v>
      </c>
      <c r="L3800">
        <v>1</v>
      </c>
      <c r="M3800">
        <v>14</v>
      </c>
      <c r="N3800" t="s">
        <v>35</v>
      </c>
      <c r="O3800" t="s">
        <v>32</v>
      </c>
      <c r="P3800">
        <v>13.162109405347801</v>
      </c>
      <c r="Q3800">
        <v>0.81397266783247002</v>
      </c>
      <c r="R3800">
        <v>6.0656391809070396</v>
      </c>
      <c r="S3800">
        <v>123</v>
      </c>
      <c r="T3800">
        <v>21</v>
      </c>
      <c r="U3800">
        <v>809.51281571424602</v>
      </c>
      <c r="V3800">
        <v>3.2702639570193798E-3</v>
      </c>
      <c r="W3800">
        <v>3818034.9034908498</v>
      </c>
      <c r="X3800" t="s">
        <v>38</v>
      </c>
      <c r="Y3800">
        <f>1-615-808-6806</f>
        <v>-8228</v>
      </c>
    </row>
    <row r="3801" spans="1:25" x14ac:dyDescent="0.35">
      <c r="A3801">
        <v>38.2858337629998</v>
      </c>
      <c r="B3801">
        <v>-123.138532159099</v>
      </c>
      <c r="C3801" t="s">
        <v>25</v>
      </c>
      <c r="D3801">
        <v>8.24979733058459</v>
      </c>
      <c r="E3801">
        <v>7</v>
      </c>
      <c r="F3801">
        <v>2649</v>
      </c>
      <c r="G3801">
        <v>3</v>
      </c>
      <c r="H3801">
        <v>1</v>
      </c>
      <c r="I3801">
        <v>1971</v>
      </c>
      <c r="J3801">
        <v>0</v>
      </c>
      <c r="K3801">
        <v>1</v>
      </c>
      <c r="L3801">
        <v>0</v>
      </c>
      <c r="M3801">
        <v>11</v>
      </c>
      <c r="N3801" t="s">
        <v>41</v>
      </c>
      <c r="O3801" t="s">
        <v>27</v>
      </c>
      <c r="P3801">
        <v>11.4533053369209</v>
      </c>
      <c r="Q3801">
        <v>1.0369585352600299</v>
      </c>
      <c r="R3801">
        <v>9.7084946536631307</v>
      </c>
      <c r="S3801">
        <v>192</v>
      </c>
      <c r="T3801">
        <v>21</v>
      </c>
      <c r="U3801">
        <v>502.099667575642</v>
      </c>
      <c r="V3801">
        <v>4.1525103812759499E-3</v>
      </c>
      <c r="W3801">
        <v>1578079.85464928</v>
      </c>
      <c r="X3801" t="s">
        <v>39</v>
      </c>
      <c r="Y3801">
        <f>1-702-659-9171</f>
        <v>-10531</v>
      </c>
    </row>
    <row r="3802" spans="1:25" x14ac:dyDescent="0.35">
      <c r="A3802">
        <v>40.671989007286903</v>
      </c>
      <c r="B3802">
        <v>-116.056954564376</v>
      </c>
      <c r="C3802" t="s">
        <v>25</v>
      </c>
      <c r="D3802">
        <v>42.288611784586301</v>
      </c>
      <c r="E3802">
        <v>1</v>
      </c>
      <c r="F3802">
        <v>2432</v>
      </c>
      <c r="G3802">
        <v>2</v>
      </c>
      <c r="H3802">
        <v>2</v>
      </c>
      <c r="I3802">
        <v>1955</v>
      </c>
      <c r="J3802">
        <v>0</v>
      </c>
      <c r="K3802">
        <v>0</v>
      </c>
      <c r="L3802">
        <v>0</v>
      </c>
      <c r="M3802">
        <v>7</v>
      </c>
      <c r="N3802" t="s">
        <v>35</v>
      </c>
      <c r="O3802" t="s">
        <v>30</v>
      </c>
      <c r="P3802">
        <v>8.5293839544370904</v>
      </c>
      <c r="Q3802">
        <v>2.4388004692291698</v>
      </c>
      <c r="R3802">
        <v>1.30205513436029</v>
      </c>
      <c r="S3802">
        <v>38</v>
      </c>
      <c r="T3802">
        <v>26</v>
      </c>
      <c r="U3802">
        <v>580.24323374329697</v>
      </c>
      <c r="V3802">
        <v>2.8782894736842099E-3</v>
      </c>
      <c r="W3802">
        <v>1528131.3411995701</v>
      </c>
      <c r="X3802" t="s">
        <v>42</v>
      </c>
      <c r="Y3802">
        <f>1-759-751-2845</f>
        <v>-4354</v>
      </c>
    </row>
    <row r="3803" spans="1:25" x14ac:dyDescent="0.35">
      <c r="A3803">
        <v>35.086438752912699</v>
      </c>
      <c r="B3803">
        <v>-124.079750171011</v>
      </c>
      <c r="C3803" t="s">
        <v>25</v>
      </c>
      <c r="D3803">
        <v>48.806889854389901</v>
      </c>
      <c r="E3803">
        <v>4</v>
      </c>
      <c r="F3803">
        <v>2546</v>
      </c>
      <c r="G3803">
        <v>1</v>
      </c>
      <c r="H3803">
        <v>2</v>
      </c>
      <c r="I3803">
        <v>1981</v>
      </c>
      <c r="J3803">
        <v>0</v>
      </c>
      <c r="K3803">
        <v>1</v>
      </c>
      <c r="L3803">
        <v>1</v>
      </c>
      <c r="M3803">
        <v>2</v>
      </c>
      <c r="N3803" t="s">
        <v>26</v>
      </c>
      <c r="O3803" t="s">
        <v>32</v>
      </c>
      <c r="P3803">
        <v>13.119191429984401</v>
      </c>
      <c r="Q3803">
        <v>1.56319614346735</v>
      </c>
      <c r="R3803">
        <v>5.1480732697273099</v>
      </c>
      <c r="S3803">
        <v>109</v>
      </c>
      <c r="T3803">
        <v>75</v>
      </c>
      <c r="U3803">
        <v>433.51689822669499</v>
      </c>
      <c r="V3803">
        <v>7.8554595443833405E-4</v>
      </c>
      <c r="W3803">
        <v>1332693.14247651</v>
      </c>
      <c r="X3803" t="s">
        <v>38</v>
      </c>
      <c r="Y3803">
        <f>1-973-295-3502</f>
        <v>-4769</v>
      </c>
    </row>
    <row r="3804" spans="1:25" x14ac:dyDescent="0.35">
      <c r="A3804">
        <v>40.582761308479903</v>
      </c>
      <c r="B3804">
        <v>-122.417870894456</v>
      </c>
      <c r="C3804" t="s">
        <v>25</v>
      </c>
      <c r="D3804">
        <v>17.250036718096599</v>
      </c>
      <c r="E3804">
        <v>7</v>
      </c>
      <c r="F3804">
        <v>4819</v>
      </c>
      <c r="G3804">
        <v>1</v>
      </c>
      <c r="H3804">
        <v>2</v>
      </c>
      <c r="I3804">
        <v>1977</v>
      </c>
      <c r="J3804">
        <v>0</v>
      </c>
      <c r="K3804">
        <v>1</v>
      </c>
      <c r="L3804">
        <v>0</v>
      </c>
      <c r="M3804">
        <v>5</v>
      </c>
      <c r="N3804" t="s">
        <v>35</v>
      </c>
      <c r="O3804" t="s">
        <v>32</v>
      </c>
      <c r="P3804">
        <v>3.1202121536231999</v>
      </c>
      <c r="Q3804">
        <v>0.99917229631217996</v>
      </c>
      <c r="R3804">
        <v>3.7493532183974798</v>
      </c>
      <c r="S3804">
        <v>12</v>
      </c>
      <c r="T3804">
        <v>36</v>
      </c>
      <c r="U3804">
        <v>495.24892591542101</v>
      </c>
      <c r="V3804">
        <v>1.03755965968043E-3</v>
      </c>
      <c r="W3804">
        <v>2491424.2723288899</v>
      </c>
      <c r="X3804" t="s">
        <v>31</v>
      </c>
      <c r="Y3804">
        <f>1-291-370-7743</f>
        <v>-8403</v>
      </c>
    </row>
    <row r="3805" spans="1:25" x14ac:dyDescent="0.35">
      <c r="A3805">
        <v>34.240302151216397</v>
      </c>
      <c r="B3805">
        <v>-114.90978151999199</v>
      </c>
      <c r="C3805" t="s">
        <v>25</v>
      </c>
      <c r="D3805">
        <v>20.067471959424701</v>
      </c>
      <c r="E3805">
        <v>6</v>
      </c>
      <c r="F3805">
        <v>4463</v>
      </c>
      <c r="G3805">
        <v>1</v>
      </c>
      <c r="H3805">
        <v>2</v>
      </c>
      <c r="I3805">
        <v>1961</v>
      </c>
      <c r="J3805">
        <v>0</v>
      </c>
      <c r="K3805">
        <v>0</v>
      </c>
      <c r="L3805">
        <v>0</v>
      </c>
      <c r="M3805">
        <v>13</v>
      </c>
      <c r="N3805" t="s">
        <v>41</v>
      </c>
      <c r="O3805" t="s">
        <v>32</v>
      </c>
      <c r="P3805">
        <v>2.5115417512117202</v>
      </c>
      <c r="Q3805">
        <v>1.1322719985973599</v>
      </c>
      <c r="R3805">
        <v>7.6334957134704702</v>
      </c>
      <c r="S3805">
        <v>169</v>
      </c>
      <c r="T3805">
        <v>74</v>
      </c>
      <c r="U3805">
        <v>699.79782479204198</v>
      </c>
      <c r="V3805">
        <v>2.9128388976025002E-3</v>
      </c>
      <c r="W3805">
        <v>3047305.84341024</v>
      </c>
      <c r="X3805" t="s">
        <v>36</v>
      </c>
      <c r="Y3805">
        <f>1-353-998-1415</f>
        <v>-2765</v>
      </c>
    </row>
    <row r="3806" spans="1:25" x14ac:dyDescent="0.35">
      <c r="A3806">
        <v>40.709321379392698</v>
      </c>
      <c r="B3806">
        <v>-121.997599442962</v>
      </c>
      <c r="C3806" t="s">
        <v>25</v>
      </c>
      <c r="D3806">
        <v>22.890801672683899</v>
      </c>
      <c r="E3806">
        <v>1</v>
      </c>
      <c r="F3806">
        <v>3313</v>
      </c>
      <c r="G3806">
        <v>4</v>
      </c>
      <c r="H3806">
        <v>2</v>
      </c>
      <c r="I3806">
        <v>2022</v>
      </c>
      <c r="J3806">
        <v>0</v>
      </c>
      <c r="K3806">
        <v>0</v>
      </c>
      <c r="L3806">
        <v>1</v>
      </c>
      <c r="M3806">
        <v>9</v>
      </c>
      <c r="N3806" t="s">
        <v>35</v>
      </c>
      <c r="O3806" t="s">
        <v>27</v>
      </c>
      <c r="P3806">
        <v>9.5391456462469399</v>
      </c>
      <c r="Q3806">
        <v>2.4984740075919798</v>
      </c>
      <c r="R3806">
        <v>2.1310811710851501</v>
      </c>
      <c r="S3806">
        <v>190</v>
      </c>
      <c r="T3806">
        <v>50</v>
      </c>
      <c r="U3806">
        <v>251.46803471973701</v>
      </c>
      <c r="V3806">
        <v>2.71657108361002E-3</v>
      </c>
      <c r="W3806">
        <v>1217328.0444267499</v>
      </c>
      <c r="X3806" t="s">
        <v>40</v>
      </c>
      <c r="Y3806">
        <f>1-603-847-3942</f>
        <v>-5391</v>
      </c>
    </row>
    <row r="3807" spans="1:25" x14ac:dyDescent="0.35">
      <c r="A3807">
        <v>40.609372111460097</v>
      </c>
      <c r="B3807">
        <v>-120.126556844813</v>
      </c>
      <c r="C3807" t="s">
        <v>34</v>
      </c>
      <c r="D3807">
        <v>22.195116420468398</v>
      </c>
      <c r="E3807">
        <v>8</v>
      </c>
      <c r="F3807">
        <v>3438</v>
      </c>
      <c r="G3807">
        <v>4</v>
      </c>
      <c r="H3807">
        <v>3</v>
      </c>
      <c r="I3807">
        <v>1983</v>
      </c>
      <c r="J3807">
        <v>1</v>
      </c>
      <c r="K3807">
        <v>1</v>
      </c>
      <c r="L3807">
        <v>1</v>
      </c>
      <c r="M3807">
        <v>5</v>
      </c>
      <c r="N3807" t="s">
        <v>26</v>
      </c>
      <c r="O3807" t="s">
        <v>30</v>
      </c>
      <c r="P3807">
        <v>11.991697206158401</v>
      </c>
      <c r="Q3807">
        <v>1.0426567890673499</v>
      </c>
      <c r="R3807">
        <v>5.7923015512265001</v>
      </c>
      <c r="S3807">
        <v>198</v>
      </c>
      <c r="T3807">
        <v>32</v>
      </c>
      <c r="U3807">
        <v>425.717413647255</v>
      </c>
      <c r="V3807">
        <v>1.45433391506689E-3</v>
      </c>
      <c r="W3807">
        <v>2031147.22881736</v>
      </c>
      <c r="X3807" t="s">
        <v>42</v>
      </c>
      <c r="Y3807">
        <f>1-312-511-3714</f>
        <v>-4536</v>
      </c>
    </row>
    <row r="3808" spans="1:25" x14ac:dyDescent="0.35">
      <c r="A3808">
        <v>33.024374255161497</v>
      </c>
      <c r="B3808">
        <v>-123.22996247552</v>
      </c>
      <c r="C3808" t="s">
        <v>29</v>
      </c>
      <c r="D3808">
        <v>7.8682385999930204</v>
      </c>
      <c r="E3808">
        <v>2</v>
      </c>
      <c r="F3808">
        <v>3627</v>
      </c>
      <c r="G3808">
        <v>4</v>
      </c>
      <c r="H3808">
        <v>1</v>
      </c>
      <c r="I3808">
        <v>1982</v>
      </c>
      <c r="J3808">
        <v>1</v>
      </c>
      <c r="K3808">
        <v>1</v>
      </c>
      <c r="L3808">
        <v>1</v>
      </c>
      <c r="M3808">
        <v>11</v>
      </c>
      <c r="N3808" t="s">
        <v>35</v>
      </c>
      <c r="O3808" t="s">
        <v>27</v>
      </c>
      <c r="P3808">
        <v>9.0393201709872706</v>
      </c>
      <c r="Q3808">
        <v>1.6928453448876299</v>
      </c>
      <c r="R3808">
        <v>6.0456128873142001</v>
      </c>
      <c r="S3808">
        <v>76</v>
      </c>
      <c r="T3808">
        <v>70</v>
      </c>
      <c r="U3808">
        <v>345.97094218015798</v>
      </c>
      <c r="V3808">
        <v>3.0328094844223798E-3</v>
      </c>
      <c r="W3808">
        <v>1609585.0995986999</v>
      </c>
      <c r="X3808" t="s">
        <v>40</v>
      </c>
      <c r="Y3808">
        <f>1-356-605-5002</f>
        <v>-5962</v>
      </c>
    </row>
    <row r="3809" spans="1:25" x14ac:dyDescent="0.35">
      <c r="A3809">
        <v>38.359726634326798</v>
      </c>
      <c r="B3809">
        <v>-115.832617927298</v>
      </c>
      <c r="C3809" t="s">
        <v>34</v>
      </c>
      <c r="D3809">
        <v>18.6396086058731</v>
      </c>
      <c r="E3809">
        <v>9</v>
      </c>
      <c r="F3809">
        <v>764</v>
      </c>
      <c r="G3809">
        <v>1</v>
      </c>
      <c r="H3809">
        <v>3</v>
      </c>
      <c r="I3809">
        <v>1970</v>
      </c>
      <c r="J3809">
        <v>1</v>
      </c>
      <c r="K3809">
        <v>1</v>
      </c>
      <c r="L3809">
        <v>0</v>
      </c>
      <c r="M3809">
        <v>7</v>
      </c>
      <c r="N3809" t="s">
        <v>37</v>
      </c>
      <c r="O3809" t="s">
        <v>32</v>
      </c>
      <c r="P3809">
        <v>7.8064908873339203</v>
      </c>
      <c r="Q3809">
        <v>1.4584561277653101</v>
      </c>
      <c r="R3809">
        <v>6.3579866312299496</v>
      </c>
      <c r="S3809">
        <v>64</v>
      </c>
      <c r="T3809">
        <v>69</v>
      </c>
      <c r="U3809">
        <v>309.32060719575497</v>
      </c>
      <c r="V3809">
        <v>9.16230366492146E-3</v>
      </c>
      <c r="W3809">
        <v>445113.84687838203</v>
      </c>
      <c r="X3809" t="s">
        <v>43</v>
      </c>
      <c r="Y3809">
        <f>1-545-578-4779</f>
        <v>-5901</v>
      </c>
    </row>
    <row r="3810" spans="1:25" x14ac:dyDescent="0.35">
      <c r="A3810">
        <v>34.499479321233402</v>
      </c>
      <c r="B3810">
        <v>-114.38977374375</v>
      </c>
      <c r="C3810" t="s">
        <v>25</v>
      </c>
      <c r="D3810">
        <v>2.3034844094569</v>
      </c>
      <c r="E3810">
        <v>7</v>
      </c>
      <c r="F3810">
        <v>930</v>
      </c>
      <c r="G3810">
        <v>2</v>
      </c>
      <c r="H3810">
        <v>2</v>
      </c>
      <c r="I3810">
        <v>1988</v>
      </c>
      <c r="J3810">
        <v>1</v>
      </c>
      <c r="K3810">
        <v>0</v>
      </c>
      <c r="L3810">
        <v>0</v>
      </c>
      <c r="M3810">
        <v>11</v>
      </c>
      <c r="N3810" t="s">
        <v>41</v>
      </c>
      <c r="O3810" t="s">
        <v>27</v>
      </c>
      <c r="P3810">
        <v>12.6467081265461</v>
      </c>
      <c r="Q3810">
        <v>0.53736142099151796</v>
      </c>
      <c r="R3810">
        <v>3.4671152040457001</v>
      </c>
      <c r="S3810">
        <v>151</v>
      </c>
      <c r="T3810">
        <v>45</v>
      </c>
      <c r="U3810">
        <v>540.25194991464195</v>
      </c>
      <c r="V3810">
        <v>1.1827956989247299E-2</v>
      </c>
      <c r="W3810">
        <v>687338.35828908603</v>
      </c>
      <c r="X3810" t="s">
        <v>31</v>
      </c>
      <c r="Y3810">
        <f>1-560-267-1945</f>
        <v>-2771</v>
      </c>
    </row>
    <row r="3811" spans="1:25" x14ac:dyDescent="0.35">
      <c r="A3811">
        <v>34.773737274681203</v>
      </c>
      <c r="B3811">
        <v>-119.913431545393</v>
      </c>
      <c r="C3811" t="s">
        <v>25</v>
      </c>
      <c r="D3811">
        <v>3.7231595630032199</v>
      </c>
      <c r="E3811">
        <v>1</v>
      </c>
      <c r="F3811">
        <v>1269</v>
      </c>
      <c r="G3811">
        <v>1</v>
      </c>
      <c r="H3811">
        <v>2</v>
      </c>
      <c r="I3811">
        <v>1995</v>
      </c>
      <c r="J3811">
        <v>1</v>
      </c>
      <c r="K3811">
        <v>1</v>
      </c>
      <c r="L3811">
        <v>1</v>
      </c>
      <c r="M3811">
        <v>7</v>
      </c>
      <c r="N3811" t="s">
        <v>41</v>
      </c>
      <c r="O3811" t="s">
        <v>32</v>
      </c>
      <c r="P3811">
        <v>4.0169896142421502</v>
      </c>
      <c r="Q3811">
        <v>0.86928820676922802</v>
      </c>
      <c r="R3811">
        <v>7.1264608298429302</v>
      </c>
      <c r="S3811">
        <v>107</v>
      </c>
      <c r="T3811">
        <v>60</v>
      </c>
      <c r="U3811">
        <v>559.49654192739297</v>
      </c>
      <c r="V3811">
        <v>5.51615445232466E-3</v>
      </c>
      <c r="W3811">
        <v>1034367.75977742</v>
      </c>
      <c r="X3811" t="s">
        <v>38</v>
      </c>
      <c r="Y3811">
        <f>1-432-363-4836</f>
        <v>-5630</v>
      </c>
    </row>
    <row r="3812" spans="1:25" x14ac:dyDescent="0.35">
      <c r="A3812">
        <v>35.792058432343801</v>
      </c>
      <c r="B3812">
        <v>-117.535337714408</v>
      </c>
      <c r="C3812" t="s">
        <v>25</v>
      </c>
      <c r="D3812">
        <v>44.099576750748497</v>
      </c>
      <c r="E3812">
        <v>9</v>
      </c>
      <c r="F3812">
        <v>2988</v>
      </c>
      <c r="G3812">
        <v>5</v>
      </c>
      <c r="H3812">
        <v>1</v>
      </c>
      <c r="I3812">
        <v>1979</v>
      </c>
      <c r="J3812">
        <v>0</v>
      </c>
      <c r="K3812">
        <v>0</v>
      </c>
      <c r="L3812">
        <v>1</v>
      </c>
      <c r="M3812">
        <v>11</v>
      </c>
      <c r="N3812" t="s">
        <v>37</v>
      </c>
      <c r="O3812" t="s">
        <v>27</v>
      </c>
      <c r="P3812">
        <v>9.9056113513355708</v>
      </c>
      <c r="Q3812">
        <v>1.7753802334562701</v>
      </c>
      <c r="R3812">
        <v>4.0487973136423099</v>
      </c>
      <c r="S3812">
        <v>61</v>
      </c>
      <c r="T3812">
        <v>22</v>
      </c>
      <c r="U3812">
        <v>428.627761972663</v>
      </c>
      <c r="V3812">
        <v>3.6813922356090998E-3</v>
      </c>
      <c r="W3812">
        <v>1560375.8507753301</v>
      </c>
      <c r="X3812" t="s">
        <v>42</v>
      </c>
      <c r="Y3812">
        <f>1-651-557-2816</f>
        <v>-4023</v>
      </c>
    </row>
    <row r="3813" spans="1:25" x14ac:dyDescent="0.35">
      <c r="A3813">
        <v>41.002576711077097</v>
      </c>
      <c r="B3813">
        <v>-118.372959341889</v>
      </c>
      <c r="C3813" t="s">
        <v>25</v>
      </c>
      <c r="D3813">
        <v>32.646070866857201</v>
      </c>
      <c r="E3813">
        <v>7</v>
      </c>
      <c r="F3813">
        <v>1755</v>
      </c>
      <c r="G3813">
        <v>3</v>
      </c>
      <c r="H3813">
        <v>1</v>
      </c>
      <c r="I3813">
        <v>1980</v>
      </c>
      <c r="J3813">
        <v>1</v>
      </c>
      <c r="K3813">
        <v>1</v>
      </c>
      <c r="L3813">
        <v>0</v>
      </c>
      <c r="M3813">
        <v>6</v>
      </c>
      <c r="N3813" t="s">
        <v>41</v>
      </c>
      <c r="O3813" t="s">
        <v>32</v>
      </c>
      <c r="P3813">
        <v>12.024846252385901</v>
      </c>
      <c r="Q3813">
        <v>1.2728826438657701</v>
      </c>
      <c r="R3813">
        <v>2.1695324872207702</v>
      </c>
      <c r="S3813">
        <v>39</v>
      </c>
      <c r="T3813">
        <v>38</v>
      </c>
      <c r="U3813">
        <v>379.12849227737502</v>
      </c>
      <c r="V3813">
        <v>3.4188034188034101E-3</v>
      </c>
      <c r="W3813">
        <v>1068271.19567272</v>
      </c>
      <c r="X3813" t="s">
        <v>31</v>
      </c>
      <c r="Y3813">
        <f>1-616-399-4973</f>
        <v>-5987</v>
      </c>
    </row>
    <row r="3814" spans="1:25" x14ac:dyDescent="0.35">
      <c r="A3814">
        <v>35.070463284536601</v>
      </c>
      <c r="B3814">
        <v>-116.666625117471</v>
      </c>
      <c r="C3814" t="s">
        <v>34</v>
      </c>
      <c r="D3814">
        <v>36.376224898669101</v>
      </c>
      <c r="E3814">
        <v>0</v>
      </c>
      <c r="F3814">
        <v>4135</v>
      </c>
      <c r="G3814">
        <v>3</v>
      </c>
      <c r="H3814">
        <v>2</v>
      </c>
      <c r="I3814">
        <v>1974</v>
      </c>
      <c r="J3814">
        <v>0</v>
      </c>
      <c r="K3814">
        <v>0</v>
      </c>
      <c r="L3814">
        <v>1</v>
      </c>
      <c r="M3814">
        <v>5</v>
      </c>
      <c r="N3814" t="s">
        <v>41</v>
      </c>
      <c r="O3814" t="s">
        <v>30</v>
      </c>
      <c r="P3814">
        <v>11.5010003981136</v>
      </c>
      <c r="Q3814">
        <v>0.58717520142554003</v>
      </c>
      <c r="R3814">
        <v>1.69598158132678</v>
      </c>
      <c r="S3814">
        <v>21</v>
      </c>
      <c r="T3814">
        <v>40</v>
      </c>
      <c r="U3814">
        <v>294.722327434455</v>
      </c>
      <c r="V3814">
        <v>1.2091898428053199E-3</v>
      </c>
      <c r="W3814">
        <v>1508190.89940698</v>
      </c>
      <c r="X3814" t="s">
        <v>31</v>
      </c>
      <c r="Y3814">
        <f>1-919-350-7152</f>
        <v>-8420</v>
      </c>
    </row>
    <row r="3815" spans="1:25" x14ac:dyDescent="0.35">
      <c r="A3815">
        <v>34.282010747536098</v>
      </c>
      <c r="B3815">
        <v>-123.986050120271</v>
      </c>
      <c r="C3815" t="s">
        <v>34</v>
      </c>
      <c r="D3815">
        <v>35.533776252213002</v>
      </c>
      <c r="E3815">
        <v>6</v>
      </c>
      <c r="F3815">
        <v>550</v>
      </c>
      <c r="G3815">
        <v>3</v>
      </c>
      <c r="H3815">
        <v>1</v>
      </c>
      <c r="I3815">
        <v>1994</v>
      </c>
      <c r="J3815">
        <v>1</v>
      </c>
      <c r="K3815">
        <v>0</v>
      </c>
      <c r="L3815">
        <v>1</v>
      </c>
      <c r="M3815">
        <v>12</v>
      </c>
      <c r="N3815" t="s">
        <v>35</v>
      </c>
      <c r="O3815" t="s">
        <v>27</v>
      </c>
      <c r="P3815">
        <v>2.1889374581424699</v>
      </c>
      <c r="Q3815">
        <v>1.3241525265496299</v>
      </c>
      <c r="R3815">
        <v>1.2881063624642199</v>
      </c>
      <c r="S3815">
        <v>70</v>
      </c>
      <c r="T3815">
        <v>73</v>
      </c>
      <c r="U3815">
        <v>203.82693503182799</v>
      </c>
      <c r="V3815">
        <v>2.1818181818181799E-2</v>
      </c>
      <c r="W3815">
        <v>289647.64427132899</v>
      </c>
      <c r="X3815" t="s">
        <v>33</v>
      </c>
      <c r="Y3815">
        <f>1-973-200-4020</f>
        <v>-5192</v>
      </c>
    </row>
    <row r="3816" spans="1:25" x14ac:dyDescent="0.35">
      <c r="A3816">
        <v>41.578022446094799</v>
      </c>
      <c r="B3816">
        <v>-121.27296956639501</v>
      </c>
      <c r="C3816" t="s">
        <v>29</v>
      </c>
      <c r="D3816">
        <v>48.463583830556203</v>
      </c>
      <c r="E3816">
        <v>0</v>
      </c>
      <c r="F3816">
        <v>543</v>
      </c>
      <c r="G3816">
        <v>4</v>
      </c>
      <c r="H3816">
        <v>2</v>
      </c>
      <c r="I3816">
        <v>1987</v>
      </c>
      <c r="J3816">
        <v>0</v>
      </c>
      <c r="K3816">
        <v>1</v>
      </c>
      <c r="L3816">
        <v>0</v>
      </c>
      <c r="M3816">
        <v>12</v>
      </c>
      <c r="N3816" t="s">
        <v>41</v>
      </c>
      <c r="O3816" t="s">
        <v>27</v>
      </c>
      <c r="P3816">
        <v>8.1781091107535708</v>
      </c>
      <c r="Q3816">
        <v>2.2903327289131901</v>
      </c>
      <c r="R3816">
        <v>4.0997123765287</v>
      </c>
      <c r="S3816">
        <v>133</v>
      </c>
      <c r="T3816">
        <v>69</v>
      </c>
      <c r="U3816">
        <v>954.01475732262304</v>
      </c>
      <c r="V3816">
        <v>2.2099447513812098E-2</v>
      </c>
      <c r="W3816">
        <v>893502.60459269001</v>
      </c>
      <c r="X3816" t="s">
        <v>28</v>
      </c>
      <c r="Y3816">
        <f>1-238-849-6144</f>
        <v>-7230</v>
      </c>
    </row>
    <row r="3817" spans="1:25" x14ac:dyDescent="0.35">
      <c r="A3817">
        <v>32.660763685292501</v>
      </c>
      <c r="B3817">
        <v>-119.767663871024</v>
      </c>
      <c r="C3817" t="s">
        <v>29</v>
      </c>
      <c r="D3817">
        <v>26.6384600267114</v>
      </c>
      <c r="E3817">
        <v>7</v>
      </c>
      <c r="F3817">
        <v>3332</v>
      </c>
      <c r="G3817">
        <v>2</v>
      </c>
      <c r="H3817">
        <v>3</v>
      </c>
      <c r="I3817">
        <v>1986</v>
      </c>
      <c r="J3817">
        <v>1</v>
      </c>
      <c r="K3817">
        <v>0</v>
      </c>
      <c r="L3817">
        <v>1</v>
      </c>
      <c r="M3817">
        <v>7</v>
      </c>
      <c r="N3817" t="s">
        <v>35</v>
      </c>
      <c r="O3817" t="s">
        <v>30</v>
      </c>
      <c r="P3817">
        <v>3.37338750212965</v>
      </c>
      <c r="Q3817">
        <v>1.5689711050367201</v>
      </c>
      <c r="R3817">
        <v>2.28915288530446</v>
      </c>
      <c r="S3817">
        <v>32</v>
      </c>
      <c r="T3817">
        <v>75</v>
      </c>
      <c r="U3817">
        <v>475.32457357518399</v>
      </c>
      <c r="V3817">
        <v>2.1008403361344498E-3</v>
      </c>
      <c r="W3817">
        <v>1739256.5657358801</v>
      </c>
      <c r="X3817" t="s">
        <v>42</v>
      </c>
      <c r="Y3817">
        <f>1-572-871-2097</f>
        <v>-3539</v>
      </c>
    </row>
    <row r="3818" spans="1:25" x14ac:dyDescent="0.35">
      <c r="A3818">
        <v>35.8773648701507</v>
      </c>
      <c r="B3818">
        <v>-114.397023859345</v>
      </c>
      <c r="C3818" t="s">
        <v>29</v>
      </c>
      <c r="D3818">
        <v>32.884144345122898</v>
      </c>
      <c r="E3818">
        <v>1</v>
      </c>
      <c r="F3818">
        <v>706</v>
      </c>
      <c r="G3818">
        <v>4</v>
      </c>
      <c r="H3818">
        <v>1</v>
      </c>
      <c r="I3818">
        <v>2006</v>
      </c>
      <c r="J3818">
        <v>0</v>
      </c>
      <c r="K3818">
        <v>0</v>
      </c>
      <c r="L3818">
        <v>1</v>
      </c>
      <c r="M3818">
        <v>4</v>
      </c>
      <c r="N3818" t="s">
        <v>35</v>
      </c>
      <c r="O3818" t="s">
        <v>30</v>
      </c>
      <c r="P3818">
        <v>10.2443433112783</v>
      </c>
      <c r="Q3818">
        <v>1.1239022912908601</v>
      </c>
      <c r="R3818">
        <v>3.5204299999900499</v>
      </c>
      <c r="S3818">
        <v>76</v>
      </c>
      <c r="T3818">
        <v>75</v>
      </c>
      <c r="U3818">
        <v>567.71858605088698</v>
      </c>
      <c r="V3818">
        <v>5.6657223796033997E-3</v>
      </c>
      <c r="W3818">
        <v>624559.71699884802</v>
      </c>
      <c r="X3818" t="s">
        <v>36</v>
      </c>
      <c r="Y3818">
        <f>1-975-975-5081</f>
        <v>-7030</v>
      </c>
    </row>
    <row r="3819" spans="1:25" x14ac:dyDescent="0.35">
      <c r="A3819">
        <v>32.538557424699398</v>
      </c>
      <c r="B3819">
        <v>-120.184816707672</v>
      </c>
      <c r="C3819" t="s">
        <v>25</v>
      </c>
      <c r="D3819">
        <v>23.518887931338199</v>
      </c>
      <c r="E3819">
        <v>9</v>
      </c>
      <c r="F3819">
        <v>2663</v>
      </c>
      <c r="G3819">
        <v>5</v>
      </c>
      <c r="H3819">
        <v>1</v>
      </c>
      <c r="I3819">
        <v>1985</v>
      </c>
      <c r="J3819">
        <v>1</v>
      </c>
      <c r="K3819">
        <v>1</v>
      </c>
      <c r="L3819">
        <v>1</v>
      </c>
      <c r="M3819">
        <v>13</v>
      </c>
      <c r="N3819" t="s">
        <v>35</v>
      </c>
      <c r="O3819" t="s">
        <v>30</v>
      </c>
      <c r="P3819">
        <v>9.1452977139898994</v>
      </c>
      <c r="Q3819">
        <v>1.75881914047914</v>
      </c>
      <c r="R3819">
        <v>4.81758383142936</v>
      </c>
      <c r="S3819">
        <v>185</v>
      </c>
      <c r="T3819">
        <v>68</v>
      </c>
      <c r="U3819">
        <v>567.18260253231006</v>
      </c>
      <c r="V3819">
        <v>4.8817123544874202E-3</v>
      </c>
      <c r="W3819">
        <v>1920789.4164601299</v>
      </c>
      <c r="X3819" t="s">
        <v>39</v>
      </c>
      <c r="Y3819">
        <f>1-394-769-8028</f>
        <v>-9190</v>
      </c>
    </row>
    <row r="3820" spans="1:25" x14ac:dyDescent="0.35">
      <c r="A3820">
        <v>41.552938200287002</v>
      </c>
      <c r="B3820">
        <v>-122.818281419203</v>
      </c>
      <c r="C3820" t="s">
        <v>29</v>
      </c>
      <c r="D3820">
        <v>2.0565816185555499</v>
      </c>
      <c r="E3820">
        <v>5</v>
      </c>
      <c r="F3820">
        <v>4106</v>
      </c>
      <c r="G3820">
        <v>2</v>
      </c>
      <c r="H3820">
        <v>1</v>
      </c>
      <c r="I3820">
        <v>1950</v>
      </c>
      <c r="J3820">
        <v>0</v>
      </c>
      <c r="K3820">
        <v>1</v>
      </c>
      <c r="L3820">
        <v>0</v>
      </c>
      <c r="M3820">
        <v>10</v>
      </c>
      <c r="N3820" t="s">
        <v>35</v>
      </c>
      <c r="O3820" t="s">
        <v>32</v>
      </c>
      <c r="P3820">
        <v>14.778093984352401</v>
      </c>
      <c r="Q3820">
        <v>1.85165774592433</v>
      </c>
      <c r="R3820">
        <v>5.5084309762006498</v>
      </c>
      <c r="S3820">
        <v>69</v>
      </c>
      <c r="T3820">
        <v>60</v>
      </c>
      <c r="U3820">
        <v>514.99453145181099</v>
      </c>
      <c r="V3820">
        <v>2.4354603019970701E-3</v>
      </c>
      <c r="W3820">
        <v>2304448.1236133999</v>
      </c>
      <c r="X3820" t="s">
        <v>36</v>
      </c>
      <c r="Y3820">
        <f>1-983-988-4256</f>
        <v>-6226</v>
      </c>
    </row>
    <row r="3821" spans="1:25" x14ac:dyDescent="0.35">
      <c r="A3821">
        <v>37.681275402537402</v>
      </c>
      <c r="B3821">
        <v>-118.76700739962899</v>
      </c>
      <c r="C3821" t="s">
        <v>29</v>
      </c>
      <c r="D3821">
        <v>34.132426226992699</v>
      </c>
      <c r="E3821">
        <v>2</v>
      </c>
      <c r="F3821">
        <v>728</v>
      </c>
      <c r="G3821">
        <v>3</v>
      </c>
      <c r="H3821">
        <v>1</v>
      </c>
      <c r="I3821">
        <v>1962</v>
      </c>
      <c r="J3821">
        <v>0</v>
      </c>
      <c r="K3821">
        <v>0</v>
      </c>
      <c r="L3821">
        <v>0</v>
      </c>
      <c r="M3821">
        <v>2</v>
      </c>
      <c r="N3821" t="s">
        <v>26</v>
      </c>
      <c r="O3821" t="s">
        <v>27</v>
      </c>
      <c r="P3821">
        <v>14.2072431559163</v>
      </c>
      <c r="Q3821">
        <v>2.34107856556937</v>
      </c>
      <c r="R3821">
        <v>9.1053677606684698</v>
      </c>
      <c r="S3821">
        <v>87</v>
      </c>
      <c r="T3821">
        <v>46</v>
      </c>
      <c r="U3821">
        <v>711.92786599004296</v>
      </c>
      <c r="V3821">
        <v>2.7472527472527401E-3</v>
      </c>
      <c r="W3821">
        <v>662176.60120543302</v>
      </c>
      <c r="X3821" t="s">
        <v>28</v>
      </c>
      <c r="Y3821">
        <f>1-484-428-3239</f>
        <v>-4150</v>
      </c>
    </row>
    <row r="3822" spans="1:25" x14ac:dyDescent="0.35">
      <c r="A3822">
        <v>40.882050562126302</v>
      </c>
      <c r="B3822">
        <v>-117.770802764311</v>
      </c>
      <c r="C3822" t="s">
        <v>25</v>
      </c>
      <c r="D3822">
        <v>3.7498943374841698</v>
      </c>
      <c r="E3822">
        <v>5</v>
      </c>
      <c r="F3822">
        <v>2870</v>
      </c>
      <c r="G3822">
        <v>4</v>
      </c>
      <c r="H3822">
        <v>2</v>
      </c>
      <c r="I3822">
        <v>2013</v>
      </c>
      <c r="J3822">
        <v>0</v>
      </c>
      <c r="K3822">
        <v>1</v>
      </c>
      <c r="L3822">
        <v>0</v>
      </c>
      <c r="M3822">
        <v>14</v>
      </c>
      <c r="N3822" t="s">
        <v>26</v>
      </c>
      <c r="O3822" t="s">
        <v>27</v>
      </c>
      <c r="P3822">
        <v>11.9745615972269</v>
      </c>
      <c r="Q3822">
        <v>0.997588088281814</v>
      </c>
      <c r="R3822">
        <v>7.8935834866039798</v>
      </c>
      <c r="S3822">
        <v>135</v>
      </c>
      <c r="T3822">
        <v>59</v>
      </c>
      <c r="U3822">
        <v>666.02109441943799</v>
      </c>
      <c r="V3822">
        <v>4.8780487804877997E-3</v>
      </c>
      <c r="W3822">
        <v>2258687.1316912598</v>
      </c>
      <c r="X3822" t="s">
        <v>44</v>
      </c>
      <c r="Y3822">
        <f>1-289-875-3280</f>
        <v>-4443</v>
      </c>
    </row>
    <row r="3823" spans="1:25" x14ac:dyDescent="0.35">
      <c r="A3823">
        <v>41.393877144743001</v>
      </c>
      <c r="B3823">
        <v>-123.04527295784</v>
      </c>
      <c r="C3823" t="s">
        <v>34</v>
      </c>
      <c r="D3823">
        <v>15.570879931717601</v>
      </c>
      <c r="E3823">
        <v>5</v>
      </c>
      <c r="F3823">
        <v>668</v>
      </c>
      <c r="G3823">
        <v>4</v>
      </c>
      <c r="H3823">
        <v>2</v>
      </c>
      <c r="I3823">
        <v>2003</v>
      </c>
      <c r="J3823">
        <v>0</v>
      </c>
      <c r="K3823">
        <v>1</v>
      </c>
      <c r="L3823">
        <v>0</v>
      </c>
      <c r="M3823">
        <v>8</v>
      </c>
      <c r="N3823" t="s">
        <v>35</v>
      </c>
      <c r="O3823" t="s">
        <v>32</v>
      </c>
      <c r="P3823">
        <v>3.1316514148244399</v>
      </c>
      <c r="Q3823">
        <v>1.07065137359568</v>
      </c>
      <c r="R3823">
        <v>4.8174373338172396</v>
      </c>
      <c r="S3823">
        <v>135</v>
      </c>
      <c r="T3823">
        <v>37</v>
      </c>
      <c r="U3823">
        <v>594.44214916543206</v>
      </c>
      <c r="V3823">
        <v>1.19760479041916E-2</v>
      </c>
      <c r="W3823">
        <v>636968.96703014604</v>
      </c>
      <c r="X3823" t="s">
        <v>43</v>
      </c>
      <c r="Y3823">
        <f>1-818-800-7646</f>
        <v>-9263</v>
      </c>
    </row>
    <row r="3824" spans="1:25" x14ac:dyDescent="0.35">
      <c r="A3824">
        <v>35.3410465229883</v>
      </c>
      <c r="B3824">
        <v>-121.74271506243799</v>
      </c>
      <c r="C3824" t="s">
        <v>25</v>
      </c>
      <c r="D3824">
        <v>31.5553330061339</v>
      </c>
      <c r="E3824">
        <v>6</v>
      </c>
      <c r="F3824">
        <v>4697</v>
      </c>
      <c r="G3824">
        <v>1</v>
      </c>
      <c r="H3824">
        <v>1</v>
      </c>
      <c r="I3824">
        <v>1950</v>
      </c>
      <c r="J3824">
        <v>1</v>
      </c>
      <c r="K3824">
        <v>0</v>
      </c>
      <c r="L3824">
        <v>0</v>
      </c>
      <c r="M3824">
        <v>3</v>
      </c>
      <c r="N3824" t="s">
        <v>26</v>
      </c>
      <c r="O3824" t="s">
        <v>27</v>
      </c>
      <c r="P3824">
        <v>5.36933050193187</v>
      </c>
      <c r="Q3824">
        <v>2.1750154981585701</v>
      </c>
      <c r="R3824">
        <v>3.2729818525930598</v>
      </c>
      <c r="S3824">
        <v>186</v>
      </c>
      <c r="T3824">
        <v>58</v>
      </c>
      <c r="U3824">
        <v>336.99868661574101</v>
      </c>
      <c r="V3824">
        <v>6.3870555673834297E-4</v>
      </c>
      <c r="W3824">
        <v>1510991.4079072</v>
      </c>
      <c r="X3824" t="s">
        <v>44</v>
      </c>
      <c r="Y3824">
        <f>1-466-781-8444</f>
        <v>-9690</v>
      </c>
    </row>
    <row r="3825" spans="1:25" x14ac:dyDescent="0.35">
      <c r="A3825">
        <v>39.293230313853101</v>
      </c>
      <c r="B3825">
        <v>-114.832028148455</v>
      </c>
      <c r="C3825" t="s">
        <v>34</v>
      </c>
      <c r="D3825">
        <v>1.75476595353943</v>
      </c>
      <c r="E3825">
        <v>9</v>
      </c>
      <c r="F3825">
        <v>3054</v>
      </c>
      <c r="G3825">
        <v>4</v>
      </c>
      <c r="H3825">
        <v>1</v>
      </c>
      <c r="I3825">
        <v>1966</v>
      </c>
      <c r="J3825">
        <v>0</v>
      </c>
      <c r="K3825">
        <v>1</v>
      </c>
      <c r="L3825">
        <v>0</v>
      </c>
      <c r="M3825">
        <v>10</v>
      </c>
      <c r="N3825" t="s">
        <v>41</v>
      </c>
      <c r="O3825" t="s">
        <v>30</v>
      </c>
      <c r="P3825">
        <v>7.6205607705447704</v>
      </c>
      <c r="Q3825">
        <v>1.35309288800715</v>
      </c>
      <c r="R3825">
        <v>3.6603033984449702</v>
      </c>
      <c r="S3825">
        <v>142</v>
      </c>
      <c r="T3825">
        <v>22</v>
      </c>
      <c r="U3825">
        <v>754.64209630342202</v>
      </c>
      <c r="V3825">
        <v>3.2743942370661401E-3</v>
      </c>
      <c r="W3825">
        <v>2606915.5797056998</v>
      </c>
      <c r="X3825" t="s">
        <v>44</v>
      </c>
      <c r="Y3825">
        <f>1-439-220-4930</f>
        <v>-5588</v>
      </c>
    </row>
    <row r="3826" spans="1:25" x14ac:dyDescent="0.35">
      <c r="A3826">
        <v>33.323919826182198</v>
      </c>
      <c r="B3826">
        <v>-124.19150636692</v>
      </c>
      <c r="C3826" t="s">
        <v>25</v>
      </c>
      <c r="D3826">
        <v>25.135472780138699</v>
      </c>
      <c r="E3826">
        <v>3</v>
      </c>
      <c r="F3826">
        <v>1941</v>
      </c>
      <c r="G3826">
        <v>5</v>
      </c>
      <c r="H3826">
        <v>3</v>
      </c>
      <c r="I3826">
        <v>1980</v>
      </c>
      <c r="J3826">
        <v>1</v>
      </c>
      <c r="K3826">
        <v>1</v>
      </c>
      <c r="L3826">
        <v>1</v>
      </c>
      <c r="M3826">
        <v>7</v>
      </c>
      <c r="N3826" t="s">
        <v>35</v>
      </c>
      <c r="O3826" t="s">
        <v>32</v>
      </c>
      <c r="P3826">
        <v>5.7000447253560598</v>
      </c>
      <c r="Q3826">
        <v>1.5063252622866099</v>
      </c>
      <c r="R3826">
        <v>4.2687976377718497</v>
      </c>
      <c r="S3826">
        <v>135</v>
      </c>
      <c r="T3826">
        <v>29</v>
      </c>
      <c r="U3826">
        <v>455.383588449873</v>
      </c>
      <c r="V3826">
        <v>3.6063884595569202E-3</v>
      </c>
      <c r="W3826">
        <v>1332876.32565301</v>
      </c>
      <c r="X3826" t="s">
        <v>42</v>
      </c>
      <c r="Y3826">
        <f>1-527-492-7485</f>
        <v>-8503</v>
      </c>
    </row>
    <row r="3827" spans="1:25" x14ac:dyDescent="0.35">
      <c r="A3827">
        <v>33.2689008741688</v>
      </c>
      <c r="B3827">
        <v>-115.927924219679</v>
      </c>
      <c r="C3827" t="s">
        <v>29</v>
      </c>
      <c r="D3827">
        <v>22.788581772113101</v>
      </c>
      <c r="E3827">
        <v>5</v>
      </c>
      <c r="F3827">
        <v>4108</v>
      </c>
      <c r="G3827">
        <v>3</v>
      </c>
      <c r="H3827">
        <v>1</v>
      </c>
      <c r="I3827">
        <v>1977</v>
      </c>
      <c r="J3827">
        <v>0</v>
      </c>
      <c r="K3827">
        <v>1</v>
      </c>
      <c r="L3827">
        <v>1</v>
      </c>
      <c r="M3827">
        <v>9</v>
      </c>
      <c r="N3827" t="s">
        <v>26</v>
      </c>
      <c r="O3827" t="s">
        <v>32</v>
      </c>
      <c r="P3827">
        <v>13.3246675325135</v>
      </c>
      <c r="Q3827">
        <v>1.0873502584769601</v>
      </c>
      <c r="R3827">
        <v>8.3433075226788809</v>
      </c>
      <c r="S3827">
        <v>78</v>
      </c>
      <c r="T3827">
        <v>37</v>
      </c>
      <c r="U3827">
        <v>522.91159011174898</v>
      </c>
      <c r="V3827">
        <v>2.1908471275559802E-3</v>
      </c>
      <c r="W3827">
        <v>2470101.1904649599</v>
      </c>
      <c r="X3827" t="s">
        <v>28</v>
      </c>
      <c r="Y3827">
        <f>1-868-398-5583</f>
        <v>-6848</v>
      </c>
    </row>
    <row r="3828" spans="1:25" x14ac:dyDescent="0.35">
      <c r="A3828">
        <v>34.810077076177102</v>
      </c>
      <c r="B3828">
        <v>-123.80266981641201</v>
      </c>
      <c r="C3828" t="s">
        <v>29</v>
      </c>
      <c r="D3828">
        <v>47.151059973618601</v>
      </c>
      <c r="E3828">
        <v>1</v>
      </c>
      <c r="F3828">
        <v>1218</v>
      </c>
      <c r="G3828">
        <v>2</v>
      </c>
      <c r="H3828">
        <v>2</v>
      </c>
      <c r="I3828">
        <v>2005</v>
      </c>
      <c r="J3828">
        <v>0</v>
      </c>
      <c r="K3828">
        <v>0</v>
      </c>
      <c r="L3828">
        <v>0</v>
      </c>
      <c r="M3828">
        <v>3</v>
      </c>
      <c r="N3828" t="s">
        <v>26</v>
      </c>
      <c r="O3828" t="s">
        <v>32</v>
      </c>
      <c r="P3828">
        <v>3.9128461228253699</v>
      </c>
      <c r="Q3828">
        <v>1.27465797718354</v>
      </c>
      <c r="R3828">
        <v>0.34719026648086998</v>
      </c>
      <c r="S3828">
        <v>113</v>
      </c>
      <c r="T3828">
        <v>64</v>
      </c>
      <c r="U3828">
        <v>690.87630267986401</v>
      </c>
      <c r="V3828">
        <v>2.46305418719211E-3</v>
      </c>
      <c r="W3828">
        <v>975568.47023763903</v>
      </c>
      <c r="X3828" t="s">
        <v>36</v>
      </c>
      <c r="Y3828">
        <f>1-854-656-7438</f>
        <v>-8947</v>
      </c>
    </row>
    <row r="3829" spans="1:25" x14ac:dyDescent="0.35">
      <c r="A3829">
        <v>40.962077889144503</v>
      </c>
      <c r="B3829">
        <v>-119.605618854882</v>
      </c>
      <c r="C3829" t="s">
        <v>25</v>
      </c>
      <c r="D3829">
        <v>9.4194041847552707</v>
      </c>
      <c r="E3829">
        <v>7</v>
      </c>
      <c r="F3829">
        <v>3342</v>
      </c>
      <c r="G3829">
        <v>3</v>
      </c>
      <c r="H3829">
        <v>3</v>
      </c>
      <c r="I3829">
        <v>1950</v>
      </c>
      <c r="J3829">
        <v>0</v>
      </c>
      <c r="K3829">
        <v>1</v>
      </c>
      <c r="L3829">
        <v>1</v>
      </c>
      <c r="M3829">
        <v>4</v>
      </c>
      <c r="N3829" t="s">
        <v>41</v>
      </c>
      <c r="O3829" t="s">
        <v>27</v>
      </c>
      <c r="P3829">
        <v>13.588428235137201</v>
      </c>
      <c r="Q3829">
        <v>1.4216188809410699</v>
      </c>
      <c r="R3829">
        <v>7.9202341960952296</v>
      </c>
      <c r="S3829">
        <v>117</v>
      </c>
      <c r="T3829">
        <v>59</v>
      </c>
      <c r="U3829">
        <v>560.31133028928298</v>
      </c>
      <c r="V3829">
        <v>1.1968880909634899E-3</v>
      </c>
      <c r="W3829">
        <v>2158608.7590891402</v>
      </c>
      <c r="X3829" t="s">
        <v>39</v>
      </c>
      <c r="Y3829">
        <f>1-816-253-5047</f>
        <v>-6115</v>
      </c>
    </row>
    <row r="3830" spans="1:25" x14ac:dyDescent="0.35">
      <c r="A3830">
        <v>37.524189196124198</v>
      </c>
      <c r="B3830">
        <v>-118.870254420734</v>
      </c>
      <c r="C3830" t="s">
        <v>29</v>
      </c>
      <c r="D3830">
        <v>24.6360243161858</v>
      </c>
      <c r="E3830">
        <v>1</v>
      </c>
      <c r="F3830">
        <v>2586</v>
      </c>
      <c r="G3830">
        <v>4</v>
      </c>
      <c r="H3830">
        <v>2</v>
      </c>
      <c r="I3830">
        <v>2006</v>
      </c>
      <c r="J3830">
        <v>1</v>
      </c>
      <c r="K3830">
        <v>1</v>
      </c>
      <c r="L3830">
        <v>1</v>
      </c>
      <c r="M3830">
        <v>11</v>
      </c>
      <c r="N3830" t="s">
        <v>26</v>
      </c>
      <c r="O3830" t="s">
        <v>32</v>
      </c>
      <c r="P3830">
        <v>9.3405520656182901</v>
      </c>
      <c r="Q3830">
        <v>1.80344437712912</v>
      </c>
      <c r="R3830">
        <v>9.2380373601368593</v>
      </c>
      <c r="S3830">
        <v>55</v>
      </c>
      <c r="T3830">
        <v>27</v>
      </c>
      <c r="U3830">
        <v>758.21054096003297</v>
      </c>
      <c r="V3830">
        <v>4.2536736272235096E-3</v>
      </c>
      <c r="W3830">
        <v>2388087.0336667299</v>
      </c>
      <c r="X3830" t="s">
        <v>28</v>
      </c>
      <c r="Y3830">
        <f>1-604-690-9792</f>
        <v>-11085</v>
      </c>
    </row>
    <row r="3831" spans="1:25" x14ac:dyDescent="0.35">
      <c r="A3831">
        <v>41.453080487643597</v>
      </c>
      <c r="B3831">
        <v>-119.899133490539</v>
      </c>
      <c r="C3831" t="s">
        <v>25</v>
      </c>
      <c r="D3831">
        <v>41.314118506550699</v>
      </c>
      <c r="E3831">
        <v>6</v>
      </c>
      <c r="F3831">
        <v>2657</v>
      </c>
      <c r="G3831">
        <v>4</v>
      </c>
      <c r="H3831">
        <v>1</v>
      </c>
      <c r="I3831">
        <v>2008</v>
      </c>
      <c r="J3831">
        <v>1</v>
      </c>
      <c r="K3831">
        <v>0</v>
      </c>
      <c r="L3831">
        <v>1</v>
      </c>
      <c r="M3831">
        <v>2</v>
      </c>
      <c r="N3831" t="s">
        <v>37</v>
      </c>
      <c r="O3831" t="s">
        <v>32</v>
      </c>
      <c r="P3831">
        <v>14.833587899041</v>
      </c>
      <c r="Q3831">
        <v>0.51736312831389797</v>
      </c>
      <c r="R3831">
        <v>2.9027534299418498</v>
      </c>
      <c r="S3831">
        <v>142</v>
      </c>
      <c r="T3831">
        <v>35</v>
      </c>
      <c r="U3831">
        <v>693.71334773614001</v>
      </c>
      <c r="V3831">
        <v>7.52728641324802E-4</v>
      </c>
      <c r="W3831">
        <v>2232312.8698531999</v>
      </c>
      <c r="X3831" t="s">
        <v>38</v>
      </c>
      <c r="Y3831">
        <f>1-379-316-5683</f>
        <v>-6377</v>
      </c>
    </row>
    <row r="3832" spans="1:25" x14ac:dyDescent="0.35">
      <c r="A3832">
        <v>41.930544410013198</v>
      </c>
      <c r="B3832">
        <v>-123.49715408021</v>
      </c>
      <c r="C3832" t="s">
        <v>25</v>
      </c>
      <c r="D3832">
        <v>38.856939049768002</v>
      </c>
      <c r="E3832">
        <v>2</v>
      </c>
      <c r="F3832">
        <v>3499</v>
      </c>
      <c r="G3832">
        <v>5</v>
      </c>
      <c r="H3832">
        <v>3</v>
      </c>
      <c r="I3832">
        <v>2001</v>
      </c>
      <c r="J3832">
        <v>1</v>
      </c>
      <c r="K3832">
        <v>0</v>
      </c>
      <c r="L3832">
        <v>0</v>
      </c>
      <c r="M3832">
        <v>7</v>
      </c>
      <c r="N3832" t="s">
        <v>37</v>
      </c>
      <c r="O3832" t="s">
        <v>30</v>
      </c>
      <c r="P3832">
        <v>2.8053050963503701</v>
      </c>
      <c r="Q3832">
        <v>2.3105474812933302</v>
      </c>
      <c r="R3832">
        <v>0.990337788635403</v>
      </c>
      <c r="S3832">
        <v>124</v>
      </c>
      <c r="T3832">
        <v>22</v>
      </c>
      <c r="U3832">
        <v>304.45089728351797</v>
      </c>
      <c r="V3832">
        <v>2.00057159188339E-3</v>
      </c>
      <c r="W3832">
        <v>1346439.4723847001</v>
      </c>
      <c r="X3832" t="s">
        <v>38</v>
      </c>
      <c r="Y3832">
        <f>1-921-223-2812</f>
        <v>-3955</v>
      </c>
    </row>
    <row r="3833" spans="1:25" x14ac:dyDescent="0.35">
      <c r="A3833">
        <v>40.991580912856101</v>
      </c>
      <c r="B3833">
        <v>-123.79024471921301</v>
      </c>
      <c r="C3833" t="s">
        <v>25</v>
      </c>
      <c r="D3833">
        <v>45.614123611258698</v>
      </c>
      <c r="E3833">
        <v>4</v>
      </c>
      <c r="F3833">
        <v>1059</v>
      </c>
      <c r="G3833">
        <v>4</v>
      </c>
      <c r="H3833">
        <v>2</v>
      </c>
      <c r="I3833">
        <v>2012</v>
      </c>
      <c r="J3833">
        <v>0</v>
      </c>
      <c r="K3833">
        <v>0</v>
      </c>
      <c r="L3833">
        <v>0</v>
      </c>
      <c r="M3833">
        <v>8</v>
      </c>
      <c r="N3833" t="s">
        <v>26</v>
      </c>
      <c r="O3833" t="s">
        <v>32</v>
      </c>
      <c r="P3833">
        <v>6.9099795996461504</v>
      </c>
      <c r="Q3833">
        <v>1.0702547153600499</v>
      </c>
      <c r="R3833">
        <v>8.3100724714960794</v>
      </c>
      <c r="S3833">
        <v>30</v>
      </c>
      <c r="T3833">
        <v>26</v>
      </c>
      <c r="U3833">
        <v>574.78031712257098</v>
      </c>
      <c r="V3833">
        <v>7.5542965061378602E-3</v>
      </c>
      <c r="W3833">
        <v>910529.06424877397</v>
      </c>
      <c r="X3833" t="s">
        <v>43</v>
      </c>
      <c r="Y3833">
        <f>1-632-444-9080</f>
        <v>-10155</v>
      </c>
    </row>
    <row r="3834" spans="1:25" x14ac:dyDescent="0.35">
      <c r="A3834">
        <v>36.0766252468121</v>
      </c>
      <c r="B3834">
        <v>-119.90280592949701</v>
      </c>
      <c r="C3834" t="s">
        <v>25</v>
      </c>
      <c r="D3834">
        <v>18.374979737454101</v>
      </c>
      <c r="E3834">
        <v>2</v>
      </c>
      <c r="F3834">
        <v>3066</v>
      </c>
      <c r="G3834">
        <v>1</v>
      </c>
      <c r="H3834">
        <v>3</v>
      </c>
      <c r="I3834">
        <v>1992</v>
      </c>
      <c r="J3834">
        <v>0</v>
      </c>
      <c r="K3834">
        <v>1</v>
      </c>
      <c r="L3834">
        <v>0</v>
      </c>
      <c r="M3834">
        <v>7</v>
      </c>
      <c r="N3834" t="s">
        <v>41</v>
      </c>
      <c r="O3834" t="s">
        <v>32</v>
      </c>
      <c r="P3834">
        <v>13.9099521360768</v>
      </c>
      <c r="Q3834">
        <v>2.4257289728528901</v>
      </c>
      <c r="R3834">
        <v>3.4885652015159399</v>
      </c>
      <c r="S3834">
        <v>1</v>
      </c>
      <c r="T3834">
        <v>65</v>
      </c>
      <c r="U3834">
        <v>957.74787982266298</v>
      </c>
      <c r="V3834">
        <v>2.2831050228310501E-3</v>
      </c>
      <c r="W3834">
        <v>3288398.0765001499</v>
      </c>
      <c r="X3834" t="s">
        <v>31</v>
      </c>
      <c r="Y3834">
        <f>1-456-523-8009</f>
        <v>-8987</v>
      </c>
    </row>
    <row r="3835" spans="1:25" x14ac:dyDescent="0.35">
      <c r="A3835">
        <v>41.840196949455603</v>
      </c>
      <c r="B3835">
        <v>-115.356646305952</v>
      </c>
      <c r="C3835" t="s">
        <v>25</v>
      </c>
      <c r="D3835">
        <v>16.668686896548</v>
      </c>
      <c r="E3835">
        <v>9</v>
      </c>
      <c r="F3835">
        <v>4901</v>
      </c>
      <c r="G3835">
        <v>4</v>
      </c>
      <c r="H3835">
        <v>1</v>
      </c>
      <c r="I3835">
        <v>1965</v>
      </c>
      <c r="J3835">
        <v>1</v>
      </c>
      <c r="K3835">
        <v>0</v>
      </c>
      <c r="L3835">
        <v>0</v>
      </c>
      <c r="M3835">
        <v>13</v>
      </c>
      <c r="N3835" t="s">
        <v>26</v>
      </c>
      <c r="O3835" t="s">
        <v>32</v>
      </c>
      <c r="P3835">
        <v>14.8529889179287</v>
      </c>
      <c r="Q3835">
        <v>1.0714967658971899</v>
      </c>
      <c r="R3835">
        <v>7.9542061383782698</v>
      </c>
      <c r="S3835">
        <v>193</v>
      </c>
      <c r="T3835">
        <v>67</v>
      </c>
      <c r="U3835">
        <v>215.393931482022</v>
      </c>
      <c r="V3835">
        <v>2.6525198938992002E-3</v>
      </c>
      <c r="W3835">
        <v>1293501.5780924601</v>
      </c>
      <c r="X3835" t="s">
        <v>36</v>
      </c>
      <c r="Y3835">
        <f>1-854-802-7665</f>
        <v>-9320</v>
      </c>
    </row>
    <row r="3836" spans="1:25" x14ac:dyDescent="0.35">
      <c r="A3836">
        <v>34.447793646275301</v>
      </c>
      <c r="B3836">
        <v>-117.614618088971</v>
      </c>
      <c r="C3836" t="s">
        <v>29</v>
      </c>
      <c r="D3836">
        <v>39.959362959162299</v>
      </c>
      <c r="E3836">
        <v>3</v>
      </c>
      <c r="F3836">
        <v>4246</v>
      </c>
      <c r="G3836">
        <v>1</v>
      </c>
      <c r="H3836">
        <v>2</v>
      </c>
      <c r="I3836">
        <v>1992</v>
      </c>
      <c r="J3836">
        <v>0</v>
      </c>
      <c r="K3836">
        <v>0</v>
      </c>
      <c r="L3836">
        <v>1</v>
      </c>
      <c r="M3836">
        <v>6</v>
      </c>
      <c r="N3836" t="s">
        <v>26</v>
      </c>
      <c r="O3836" t="s">
        <v>27</v>
      </c>
      <c r="P3836">
        <v>12.7337219750126</v>
      </c>
      <c r="Q3836">
        <v>1.65847694818261</v>
      </c>
      <c r="R3836">
        <v>5.3857698526028903</v>
      </c>
      <c r="S3836">
        <v>45</v>
      </c>
      <c r="T3836">
        <v>39</v>
      </c>
      <c r="U3836">
        <v>798.96727502175497</v>
      </c>
      <c r="V3836">
        <v>1.4130946773433801E-3</v>
      </c>
      <c r="W3836">
        <v>3529817.9775891099</v>
      </c>
      <c r="X3836" t="s">
        <v>38</v>
      </c>
      <c r="Y3836">
        <f>1-709-496-3969</f>
        <v>-5173</v>
      </c>
    </row>
    <row r="3837" spans="1:25" x14ac:dyDescent="0.35">
      <c r="A3837">
        <v>34.5256168887638</v>
      </c>
      <c r="B3837">
        <v>-119.042153867962</v>
      </c>
      <c r="C3837" t="s">
        <v>29</v>
      </c>
      <c r="D3837">
        <v>32.127812104041404</v>
      </c>
      <c r="E3837">
        <v>8</v>
      </c>
      <c r="F3837">
        <v>2721</v>
      </c>
      <c r="G3837">
        <v>2</v>
      </c>
      <c r="H3837">
        <v>3</v>
      </c>
      <c r="I3837">
        <v>2001</v>
      </c>
      <c r="J3837">
        <v>1</v>
      </c>
      <c r="K3837">
        <v>1</v>
      </c>
      <c r="L3837">
        <v>1</v>
      </c>
      <c r="M3837">
        <v>10</v>
      </c>
      <c r="N3837" t="s">
        <v>37</v>
      </c>
      <c r="O3837" t="s">
        <v>30</v>
      </c>
      <c r="P3837">
        <v>2.5869662647662701</v>
      </c>
      <c r="Q3837">
        <v>1.50307420619666</v>
      </c>
      <c r="R3837">
        <v>4.4669651286032002</v>
      </c>
      <c r="S3837">
        <v>19</v>
      </c>
      <c r="T3837">
        <v>67</v>
      </c>
      <c r="U3837">
        <v>919.73950310797397</v>
      </c>
      <c r="V3837">
        <v>3.6751194413818401E-3</v>
      </c>
      <c r="W3837">
        <v>2844844.2392972899</v>
      </c>
      <c r="X3837" t="s">
        <v>28</v>
      </c>
      <c r="Y3837">
        <f>1-227-124-5848</f>
        <v>-6198</v>
      </c>
    </row>
    <row r="3838" spans="1:25" x14ac:dyDescent="0.35">
      <c r="A3838">
        <v>37.908158556174797</v>
      </c>
      <c r="B3838">
        <v>-119.45693301947</v>
      </c>
      <c r="C3838" t="s">
        <v>25</v>
      </c>
      <c r="D3838">
        <v>32.942813624846103</v>
      </c>
      <c r="E3838">
        <v>4</v>
      </c>
      <c r="F3838">
        <v>3192</v>
      </c>
      <c r="G3838">
        <v>1</v>
      </c>
      <c r="H3838">
        <v>3</v>
      </c>
      <c r="I3838">
        <v>1993</v>
      </c>
      <c r="J3838">
        <v>1</v>
      </c>
      <c r="K3838">
        <v>0</v>
      </c>
      <c r="L3838">
        <v>1</v>
      </c>
      <c r="M3838">
        <v>13</v>
      </c>
      <c r="N3838" t="s">
        <v>26</v>
      </c>
      <c r="O3838" t="s">
        <v>27</v>
      </c>
      <c r="P3838">
        <v>10.655083876659001</v>
      </c>
      <c r="Q3838">
        <v>1.51180021841684</v>
      </c>
      <c r="R3838">
        <v>3.51598786459284</v>
      </c>
      <c r="S3838">
        <v>181</v>
      </c>
      <c r="T3838">
        <v>27</v>
      </c>
      <c r="U3838">
        <v>225.85941401664999</v>
      </c>
      <c r="V3838">
        <v>4.0726817042606497E-3</v>
      </c>
      <c r="W3838">
        <v>930416.078121759</v>
      </c>
      <c r="X3838" t="s">
        <v>36</v>
      </c>
      <c r="Y3838">
        <f>1-961-833-7438</f>
        <v>-9231</v>
      </c>
    </row>
    <row r="3839" spans="1:25" x14ac:dyDescent="0.35">
      <c r="A3839">
        <v>39.401894568461202</v>
      </c>
      <c r="B3839">
        <v>-120.655799506287</v>
      </c>
      <c r="C3839" t="s">
        <v>29</v>
      </c>
      <c r="D3839">
        <v>45.276071208126297</v>
      </c>
      <c r="E3839">
        <v>3</v>
      </c>
      <c r="F3839">
        <v>1835</v>
      </c>
      <c r="G3839">
        <v>5</v>
      </c>
      <c r="H3839">
        <v>3</v>
      </c>
      <c r="I3839">
        <v>1991</v>
      </c>
      <c r="J3839">
        <v>1</v>
      </c>
      <c r="K3839">
        <v>1</v>
      </c>
      <c r="L3839">
        <v>0</v>
      </c>
      <c r="M3839">
        <v>14</v>
      </c>
      <c r="N3839" t="s">
        <v>35</v>
      </c>
      <c r="O3839" t="s">
        <v>30</v>
      </c>
      <c r="P3839">
        <v>3.7657777522973399</v>
      </c>
      <c r="Q3839">
        <v>2.4440323969883599</v>
      </c>
      <c r="R3839">
        <v>1.7378207678997799</v>
      </c>
      <c r="S3839">
        <v>48</v>
      </c>
      <c r="T3839">
        <v>75</v>
      </c>
      <c r="U3839">
        <v>468.65126182289998</v>
      </c>
      <c r="V3839">
        <v>7.6294277929155304E-3</v>
      </c>
      <c r="W3839">
        <v>1343677.99139306</v>
      </c>
      <c r="X3839" t="s">
        <v>44</v>
      </c>
      <c r="Y3839">
        <f>1-516-135-5966</f>
        <v>-6616</v>
      </c>
    </row>
    <row r="3840" spans="1:25" x14ac:dyDescent="0.35">
      <c r="A3840">
        <v>39.914370619750301</v>
      </c>
      <c r="B3840">
        <v>-122.74592889728</v>
      </c>
      <c r="C3840" t="s">
        <v>29</v>
      </c>
      <c r="D3840">
        <v>9.7702897979985401</v>
      </c>
      <c r="E3840">
        <v>3</v>
      </c>
      <c r="F3840">
        <v>4777</v>
      </c>
      <c r="G3840">
        <v>5</v>
      </c>
      <c r="H3840">
        <v>1</v>
      </c>
      <c r="I3840">
        <v>1961</v>
      </c>
      <c r="J3840">
        <v>1</v>
      </c>
      <c r="K3840">
        <v>0</v>
      </c>
      <c r="L3840">
        <v>1</v>
      </c>
      <c r="M3840">
        <v>8</v>
      </c>
      <c r="N3840" t="s">
        <v>26</v>
      </c>
      <c r="O3840" t="s">
        <v>27</v>
      </c>
      <c r="P3840">
        <v>5.5963910094438898</v>
      </c>
      <c r="Q3840">
        <v>1.6869300798473399</v>
      </c>
      <c r="R3840">
        <v>4.7233483270279697</v>
      </c>
      <c r="S3840">
        <v>110</v>
      </c>
      <c r="T3840">
        <v>66</v>
      </c>
      <c r="U3840">
        <v>258.60572748343702</v>
      </c>
      <c r="V3840">
        <v>1.6746912288046799E-3</v>
      </c>
      <c r="W3840">
        <v>1497143.5800274599</v>
      </c>
      <c r="X3840" t="s">
        <v>28</v>
      </c>
      <c r="Y3840">
        <f>1-588-761-6417</f>
        <v>-7765</v>
      </c>
    </row>
    <row r="3841" spans="1:25" x14ac:dyDescent="0.35">
      <c r="A3841">
        <v>35.6275178906223</v>
      </c>
      <c r="B3841">
        <v>-124.403621117453</v>
      </c>
      <c r="C3841" t="s">
        <v>25</v>
      </c>
      <c r="D3841">
        <v>35.277306386492299</v>
      </c>
      <c r="E3841">
        <v>1</v>
      </c>
      <c r="F3841">
        <v>2974</v>
      </c>
      <c r="G3841">
        <v>2</v>
      </c>
      <c r="H3841">
        <v>3</v>
      </c>
      <c r="I3841">
        <v>1974</v>
      </c>
      <c r="J3841">
        <v>0</v>
      </c>
      <c r="K3841">
        <v>0</v>
      </c>
      <c r="L3841">
        <v>1</v>
      </c>
      <c r="M3841">
        <v>14</v>
      </c>
      <c r="N3841" t="s">
        <v>41</v>
      </c>
      <c r="O3841" t="s">
        <v>30</v>
      </c>
      <c r="P3841">
        <v>11.4555902709478</v>
      </c>
      <c r="Q3841">
        <v>2.4047972713722099</v>
      </c>
      <c r="R3841">
        <v>2.8162167621222198</v>
      </c>
      <c r="S3841">
        <v>59</v>
      </c>
      <c r="T3841">
        <v>73</v>
      </c>
      <c r="U3841">
        <v>229.173510593521</v>
      </c>
      <c r="V3841">
        <v>4.7074646940147898E-3</v>
      </c>
      <c r="W3841">
        <v>983561.09243120695</v>
      </c>
      <c r="X3841" t="s">
        <v>44</v>
      </c>
      <c r="Y3841">
        <f>1-522-833-6089</f>
        <v>-7443</v>
      </c>
    </row>
    <row r="3842" spans="1:25" x14ac:dyDescent="0.35">
      <c r="A3842">
        <v>40.552405462775702</v>
      </c>
      <c r="B3842">
        <v>-121.44083575364699</v>
      </c>
      <c r="C3842" t="s">
        <v>25</v>
      </c>
      <c r="D3842">
        <v>16.950046476432298</v>
      </c>
      <c r="E3842">
        <v>9</v>
      </c>
      <c r="F3842">
        <v>1693</v>
      </c>
      <c r="G3842">
        <v>2</v>
      </c>
      <c r="H3842">
        <v>1</v>
      </c>
      <c r="I3842">
        <v>1957</v>
      </c>
      <c r="J3842">
        <v>1</v>
      </c>
      <c r="K3842">
        <v>1</v>
      </c>
      <c r="L3842">
        <v>0</v>
      </c>
      <c r="M3842">
        <v>9</v>
      </c>
      <c r="N3842" t="s">
        <v>37</v>
      </c>
      <c r="O3842" t="s">
        <v>30</v>
      </c>
      <c r="P3842">
        <v>10.389148601956199</v>
      </c>
      <c r="Q3842">
        <v>2.3468155453636799</v>
      </c>
      <c r="R3842">
        <v>3.7873159193691199</v>
      </c>
      <c r="S3842">
        <v>43</v>
      </c>
      <c r="T3842">
        <v>63</v>
      </c>
      <c r="U3842">
        <v>231.06993488767199</v>
      </c>
      <c r="V3842">
        <v>5.3160070880094498E-3</v>
      </c>
      <c r="W3842">
        <v>554329.58428191405</v>
      </c>
      <c r="X3842" t="s">
        <v>39</v>
      </c>
      <c r="Y3842">
        <f>1-390-851-9836</f>
        <v>-11076</v>
      </c>
    </row>
    <row r="3843" spans="1:25" x14ac:dyDescent="0.35">
      <c r="A3843">
        <v>34.703442071440897</v>
      </c>
      <c r="B3843">
        <v>-120.943315438787</v>
      </c>
      <c r="C3843" t="s">
        <v>29</v>
      </c>
      <c r="D3843">
        <v>38.613240067524799</v>
      </c>
      <c r="E3843">
        <v>0</v>
      </c>
      <c r="F3843">
        <v>2854</v>
      </c>
      <c r="G3843">
        <v>5</v>
      </c>
      <c r="H3843">
        <v>3</v>
      </c>
      <c r="I3843">
        <v>1989</v>
      </c>
      <c r="J3843">
        <v>0</v>
      </c>
      <c r="K3843">
        <v>0</v>
      </c>
      <c r="L3843">
        <v>1</v>
      </c>
      <c r="M3843">
        <v>3</v>
      </c>
      <c r="N3843" t="s">
        <v>26</v>
      </c>
      <c r="O3843" t="s">
        <v>30</v>
      </c>
      <c r="P3843">
        <v>7.43336089095724</v>
      </c>
      <c r="Q3843">
        <v>0.61070740154016601</v>
      </c>
      <c r="R3843">
        <v>0.29859093391921498</v>
      </c>
      <c r="S3843">
        <v>157</v>
      </c>
      <c r="T3843">
        <v>55</v>
      </c>
      <c r="U3843">
        <v>692.61996866996901</v>
      </c>
      <c r="V3843">
        <v>1.05115627189908E-3</v>
      </c>
      <c r="W3843">
        <v>2266467.4461853299</v>
      </c>
      <c r="X3843" t="s">
        <v>28</v>
      </c>
      <c r="Y3843">
        <f>1-745-978-1755</f>
        <v>-3477</v>
      </c>
    </row>
    <row r="3844" spans="1:25" x14ac:dyDescent="0.35">
      <c r="A3844">
        <v>40.379227522683102</v>
      </c>
      <c r="B3844">
        <v>-124.228092194602</v>
      </c>
      <c r="C3844" t="s">
        <v>34</v>
      </c>
      <c r="D3844">
        <v>45.791114791172802</v>
      </c>
      <c r="E3844">
        <v>4</v>
      </c>
      <c r="F3844">
        <v>4076</v>
      </c>
      <c r="G3844">
        <v>4</v>
      </c>
      <c r="H3844">
        <v>3</v>
      </c>
      <c r="I3844">
        <v>2003</v>
      </c>
      <c r="J3844">
        <v>0</v>
      </c>
      <c r="K3844">
        <v>1</v>
      </c>
      <c r="L3844">
        <v>0</v>
      </c>
      <c r="M3844">
        <v>6</v>
      </c>
      <c r="N3844" t="s">
        <v>35</v>
      </c>
      <c r="O3844" t="s">
        <v>27</v>
      </c>
      <c r="P3844">
        <v>9.1082393239226196</v>
      </c>
      <c r="Q3844">
        <v>1.44690677046032</v>
      </c>
      <c r="R3844">
        <v>3.5685640582370102</v>
      </c>
      <c r="S3844">
        <v>7</v>
      </c>
      <c r="T3844">
        <v>50</v>
      </c>
      <c r="U3844">
        <v>567.08408399401196</v>
      </c>
      <c r="V3844">
        <v>1.4720314033366E-3</v>
      </c>
      <c r="W3844">
        <v>2753716.5851538498</v>
      </c>
      <c r="X3844" t="s">
        <v>42</v>
      </c>
      <c r="Y3844">
        <f>1-856-962-1025</f>
        <v>-2842</v>
      </c>
    </row>
    <row r="3845" spans="1:25" x14ac:dyDescent="0.35">
      <c r="A3845">
        <v>35.360749462720598</v>
      </c>
      <c r="B3845">
        <v>-122.430249655458</v>
      </c>
      <c r="C3845" t="s">
        <v>29</v>
      </c>
      <c r="D3845">
        <v>27.898251076947201</v>
      </c>
      <c r="E3845">
        <v>9</v>
      </c>
      <c r="F3845">
        <v>1734</v>
      </c>
      <c r="G3845">
        <v>2</v>
      </c>
      <c r="H3845">
        <v>3</v>
      </c>
      <c r="I3845">
        <v>1985</v>
      </c>
      <c r="J3845">
        <v>1</v>
      </c>
      <c r="K3845">
        <v>0</v>
      </c>
      <c r="L3845">
        <v>1</v>
      </c>
      <c r="M3845">
        <v>14</v>
      </c>
      <c r="N3845" t="s">
        <v>37</v>
      </c>
      <c r="O3845" t="s">
        <v>30</v>
      </c>
      <c r="P3845">
        <v>12.4159283539868</v>
      </c>
      <c r="Q3845">
        <v>1.0533128154223601</v>
      </c>
      <c r="R3845">
        <v>6.9051809719393598</v>
      </c>
      <c r="S3845">
        <v>163</v>
      </c>
      <c r="T3845">
        <v>67</v>
      </c>
      <c r="U3845">
        <v>295.53024080665699</v>
      </c>
      <c r="V3845">
        <v>8.0738177623990697E-3</v>
      </c>
      <c r="W3845">
        <v>819901.602895558</v>
      </c>
      <c r="X3845" t="s">
        <v>39</v>
      </c>
      <c r="Y3845">
        <f>1-353-368-1564</f>
        <v>-2284</v>
      </c>
    </row>
    <row r="3846" spans="1:25" x14ac:dyDescent="0.35">
      <c r="A3846">
        <v>40.707967962525402</v>
      </c>
      <c r="B3846">
        <v>-120.243285711135</v>
      </c>
      <c r="C3846" t="s">
        <v>29</v>
      </c>
      <c r="D3846">
        <v>2.4654228606076201</v>
      </c>
      <c r="E3846">
        <v>9</v>
      </c>
      <c r="F3846">
        <v>4982</v>
      </c>
      <c r="G3846">
        <v>3</v>
      </c>
      <c r="H3846">
        <v>1</v>
      </c>
      <c r="I3846">
        <v>1957</v>
      </c>
      <c r="J3846">
        <v>1</v>
      </c>
      <c r="K3846">
        <v>0</v>
      </c>
      <c r="L3846">
        <v>1</v>
      </c>
      <c r="M3846">
        <v>14</v>
      </c>
      <c r="N3846" t="s">
        <v>41</v>
      </c>
      <c r="O3846" t="s">
        <v>32</v>
      </c>
      <c r="P3846">
        <v>7.07395908100467</v>
      </c>
      <c r="Q3846">
        <v>1.22154349284025</v>
      </c>
      <c r="R3846">
        <v>4.6907541128268102</v>
      </c>
      <c r="S3846">
        <v>74</v>
      </c>
      <c r="T3846">
        <v>31</v>
      </c>
      <c r="U3846">
        <v>596.31111479429501</v>
      </c>
      <c r="V3846">
        <v>2.8101164191087899E-3</v>
      </c>
      <c r="W3846">
        <v>3137041.7767658499</v>
      </c>
      <c r="X3846" t="s">
        <v>44</v>
      </c>
      <c r="Y3846">
        <f>1-362-287-5599</f>
        <v>-6247</v>
      </c>
    </row>
    <row r="3847" spans="1:25" x14ac:dyDescent="0.35">
      <c r="A3847">
        <v>34.008578452059801</v>
      </c>
      <c r="B3847">
        <v>-116.015285064669</v>
      </c>
      <c r="C3847" t="s">
        <v>29</v>
      </c>
      <c r="D3847">
        <v>7.9773662707091502</v>
      </c>
      <c r="E3847">
        <v>1</v>
      </c>
      <c r="F3847">
        <v>3162</v>
      </c>
      <c r="G3847">
        <v>3</v>
      </c>
      <c r="H3847">
        <v>3</v>
      </c>
      <c r="I3847">
        <v>2021</v>
      </c>
      <c r="J3847">
        <v>1</v>
      </c>
      <c r="K3847">
        <v>0</v>
      </c>
      <c r="L3847">
        <v>0</v>
      </c>
      <c r="M3847">
        <v>11</v>
      </c>
      <c r="N3847" t="s">
        <v>41</v>
      </c>
      <c r="O3847" t="s">
        <v>32</v>
      </c>
      <c r="P3847">
        <v>4.7895542537970002</v>
      </c>
      <c r="Q3847">
        <v>0.70573839231233104</v>
      </c>
      <c r="R3847">
        <v>0.79890574057492303</v>
      </c>
      <c r="S3847">
        <v>51</v>
      </c>
      <c r="T3847">
        <v>56</v>
      </c>
      <c r="U3847">
        <v>221.005112750309</v>
      </c>
      <c r="V3847">
        <v>3.4788108791903799E-3</v>
      </c>
      <c r="W3847">
        <v>1081657.0948915</v>
      </c>
      <c r="X3847" t="s">
        <v>42</v>
      </c>
      <c r="Y3847">
        <f>1-981-710-3811</f>
        <v>-5501</v>
      </c>
    </row>
    <row r="3848" spans="1:25" x14ac:dyDescent="0.35">
      <c r="A3848">
        <v>37.732784280856698</v>
      </c>
      <c r="B3848">
        <v>-123.71637823354</v>
      </c>
      <c r="C3848" t="s">
        <v>34</v>
      </c>
      <c r="D3848">
        <v>37.670253069428</v>
      </c>
      <c r="E3848">
        <v>1</v>
      </c>
      <c r="F3848">
        <v>4596</v>
      </c>
      <c r="G3848">
        <v>2</v>
      </c>
      <c r="H3848">
        <v>2</v>
      </c>
      <c r="I3848">
        <v>1972</v>
      </c>
      <c r="J3848">
        <v>0</v>
      </c>
      <c r="K3848">
        <v>0</v>
      </c>
      <c r="L3848">
        <v>1</v>
      </c>
      <c r="M3848">
        <v>3</v>
      </c>
      <c r="N3848" t="s">
        <v>37</v>
      </c>
      <c r="O3848" t="s">
        <v>30</v>
      </c>
      <c r="P3848">
        <v>3.5501958259032298</v>
      </c>
      <c r="Q3848">
        <v>1.59327266491104</v>
      </c>
      <c r="R3848">
        <v>2.1179996388904199</v>
      </c>
      <c r="S3848">
        <v>34</v>
      </c>
      <c r="T3848">
        <v>77</v>
      </c>
      <c r="U3848">
        <v>942.90960629817698</v>
      </c>
      <c r="V3848">
        <v>6.52741514360313E-4</v>
      </c>
      <c r="W3848">
        <v>4510222.3919637697</v>
      </c>
      <c r="X3848" t="s">
        <v>36</v>
      </c>
      <c r="Y3848">
        <f>1-269-349-2855</f>
        <v>-3472</v>
      </c>
    </row>
    <row r="3849" spans="1:25" x14ac:dyDescent="0.35">
      <c r="A3849">
        <v>33.087233901011302</v>
      </c>
      <c r="B3849">
        <v>-116.333060686184</v>
      </c>
      <c r="C3849" t="s">
        <v>25</v>
      </c>
      <c r="D3849">
        <v>1.2099312102672399</v>
      </c>
      <c r="E3849">
        <v>8</v>
      </c>
      <c r="F3849">
        <v>1079</v>
      </c>
      <c r="G3849">
        <v>4</v>
      </c>
      <c r="H3849">
        <v>1</v>
      </c>
      <c r="I3849">
        <v>1961</v>
      </c>
      <c r="J3849">
        <v>0</v>
      </c>
      <c r="K3849">
        <v>1</v>
      </c>
      <c r="L3849">
        <v>1</v>
      </c>
      <c r="M3849">
        <v>2</v>
      </c>
      <c r="N3849" t="s">
        <v>26</v>
      </c>
      <c r="O3849" t="s">
        <v>30</v>
      </c>
      <c r="P3849">
        <v>12.191179852479699</v>
      </c>
      <c r="Q3849">
        <v>2.3970496273783701</v>
      </c>
      <c r="R3849">
        <v>6.3838847049990299</v>
      </c>
      <c r="S3849">
        <v>183</v>
      </c>
      <c r="T3849">
        <v>43</v>
      </c>
      <c r="U3849">
        <v>620.18215389857801</v>
      </c>
      <c r="V3849">
        <v>1.8535681186283501E-3</v>
      </c>
      <c r="W3849">
        <v>925581.71871740499</v>
      </c>
      <c r="X3849" t="s">
        <v>39</v>
      </c>
      <c r="Y3849">
        <f>1-766-165-9457</f>
        <v>-10387</v>
      </c>
    </row>
    <row r="3850" spans="1:25" x14ac:dyDescent="0.35">
      <c r="A3850">
        <v>39.545019836172699</v>
      </c>
      <c r="B3850">
        <v>-117.667415948487</v>
      </c>
      <c r="C3850" t="s">
        <v>29</v>
      </c>
      <c r="D3850">
        <v>44.750208658226697</v>
      </c>
      <c r="E3850">
        <v>5</v>
      </c>
      <c r="F3850">
        <v>4001</v>
      </c>
      <c r="G3850">
        <v>1</v>
      </c>
      <c r="H3850">
        <v>3</v>
      </c>
      <c r="I3850">
        <v>1963</v>
      </c>
      <c r="J3850">
        <v>0</v>
      </c>
      <c r="K3850">
        <v>1</v>
      </c>
      <c r="L3850">
        <v>1</v>
      </c>
      <c r="M3850">
        <v>13</v>
      </c>
      <c r="N3850" t="s">
        <v>35</v>
      </c>
      <c r="O3850" t="s">
        <v>30</v>
      </c>
      <c r="P3850">
        <v>3.2837243382655501</v>
      </c>
      <c r="Q3850">
        <v>2.24893196819998</v>
      </c>
      <c r="R3850">
        <v>4.4507962207228404</v>
      </c>
      <c r="S3850">
        <v>190</v>
      </c>
      <c r="T3850">
        <v>41</v>
      </c>
      <c r="U3850">
        <v>488.98077287263902</v>
      </c>
      <c r="V3850">
        <v>3.2491877030742301E-3</v>
      </c>
      <c r="W3850">
        <v>2150916.8300509602</v>
      </c>
      <c r="X3850" t="s">
        <v>43</v>
      </c>
      <c r="Y3850">
        <f>1-445-211-1023</f>
        <v>-1678</v>
      </c>
    </row>
    <row r="3851" spans="1:25" x14ac:dyDescent="0.35">
      <c r="A3851">
        <v>35.820016658255703</v>
      </c>
      <c r="B3851">
        <v>-118.069079402958</v>
      </c>
      <c r="C3851" t="s">
        <v>34</v>
      </c>
      <c r="D3851">
        <v>48.907154258851897</v>
      </c>
      <c r="E3851">
        <v>2</v>
      </c>
      <c r="F3851">
        <v>4216</v>
      </c>
      <c r="G3851">
        <v>5</v>
      </c>
      <c r="H3851">
        <v>3</v>
      </c>
      <c r="I3851">
        <v>1961</v>
      </c>
      <c r="J3851">
        <v>1</v>
      </c>
      <c r="K3851">
        <v>0</v>
      </c>
      <c r="L3851">
        <v>1</v>
      </c>
      <c r="M3851">
        <v>5</v>
      </c>
      <c r="N3851" t="s">
        <v>26</v>
      </c>
      <c r="O3851" t="s">
        <v>30</v>
      </c>
      <c r="P3851">
        <v>13.904663934464899</v>
      </c>
      <c r="Q3851">
        <v>2.2657465173615199</v>
      </c>
      <c r="R3851">
        <v>9.5516608116055508</v>
      </c>
      <c r="S3851">
        <v>42</v>
      </c>
      <c r="T3851">
        <v>38</v>
      </c>
      <c r="U3851">
        <v>395.655338599846</v>
      </c>
      <c r="V3851">
        <v>1.1859582542694399E-3</v>
      </c>
      <c r="W3851">
        <v>2062338.58297647</v>
      </c>
      <c r="X3851" t="s">
        <v>39</v>
      </c>
      <c r="Y3851">
        <f>1-583-533-8128</f>
        <v>-9243</v>
      </c>
    </row>
    <row r="3852" spans="1:25" x14ac:dyDescent="0.35">
      <c r="A3852">
        <v>33.5172015232748</v>
      </c>
      <c r="B3852">
        <v>-118.92938640697599</v>
      </c>
      <c r="C3852" t="s">
        <v>29</v>
      </c>
      <c r="D3852">
        <v>1.99284658861941</v>
      </c>
      <c r="E3852">
        <v>0</v>
      </c>
      <c r="F3852">
        <v>4860</v>
      </c>
      <c r="G3852">
        <v>3</v>
      </c>
      <c r="H3852">
        <v>3</v>
      </c>
      <c r="I3852">
        <v>1966</v>
      </c>
      <c r="J3852">
        <v>1</v>
      </c>
      <c r="K3852">
        <v>1</v>
      </c>
      <c r="L3852">
        <v>0</v>
      </c>
      <c r="M3852">
        <v>7</v>
      </c>
      <c r="N3852" t="s">
        <v>41</v>
      </c>
      <c r="O3852" t="s">
        <v>32</v>
      </c>
      <c r="P3852">
        <v>11.5749799323339</v>
      </c>
      <c r="Q3852">
        <v>2.3633102511062001</v>
      </c>
      <c r="R3852">
        <v>4.4491787624143297</v>
      </c>
      <c r="S3852">
        <v>23</v>
      </c>
      <c r="T3852">
        <v>70</v>
      </c>
      <c r="U3852">
        <v>913.19314908357001</v>
      </c>
      <c r="V3852">
        <v>1.4403292181069899E-3</v>
      </c>
      <c r="W3852">
        <v>4798043.5382770197</v>
      </c>
      <c r="X3852" t="s">
        <v>33</v>
      </c>
      <c r="Y3852">
        <f>1-945-671-4644</f>
        <v>-6259</v>
      </c>
    </row>
    <row r="3853" spans="1:25" x14ac:dyDescent="0.35">
      <c r="A3853">
        <v>41.272868205354499</v>
      </c>
      <c r="B3853">
        <v>-117.781395616867</v>
      </c>
      <c r="C3853" t="s">
        <v>25</v>
      </c>
      <c r="D3853">
        <v>40.790803757897997</v>
      </c>
      <c r="E3853">
        <v>4</v>
      </c>
      <c r="F3853">
        <v>944</v>
      </c>
      <c r="G3853">
        <v>1</v>
      </c>
      <c r="H3853">
        <v>3</v>
      </c>
      <c r="I3853">
        <v>2001</v>
      </c>
      <c r="J3853">
        <v>0</v>
      </c>
      <c r="K3853">
        <v>0</v>
      </c>
      <c r="L3853">
        <v>0</v>
      </c>
      <c r="M3853">
        <v>5</v>
      </c>
      <c r="N3853" t="s">
        <v>37</v>
      </c>
      <c r="O3853" t="s">
        <v>27</v>
      </c>
      <c r="P3853">
        <v>8.7087198914452699</v>
      </c>
      <c r="Q3853">
        <v>1.2388967738777501</v>
      </c>
      <c r="R3853">
        <v>9.2801844363195407</v>
      </c>
      <c r="S3853">
        <v>124</v>
      </c>
      <c r="T3853">
        <v>30</v>
      </c>
      <c r="U3853">
        <v>743.29447869059595</v>
      </c>
      <c r="V3853">
        <v>5.29661016949152E-3</v>
      </c>
      <c r="W3853">
        <v>813023.939486483</v>
      </c>
      <c r="X3853" t="s">
        <v>40</v>
      </c>
      <c r="Y3853">
        <f>1-376-408-6670</f>
        <v>-7453</v>
      </c>
    </row>
    <row r="3854" spans="1:25" x14ac:dyDescent="0.35">
      <c r="A3854">
        <v>36.496306769712298</v>
      </c>
      <c r="B3854">
        <v>-123.476402851616</v>
      </c>
      <c r="C3854" t="s">
        <v>25</v>
      </c>
      <c r="D3854">
        <v>42.141299841156098</v>
      </c>
      <c r="E3854">
        <v>9</v>
      </c>
      <c r="F3854">
        <v>2960</v>
      </c>
      <c r="G3854">
        <v>3</v>
      </c>
      <c r="H3854">
        <v>3</v>
      </c>
      <c r="I3854">
        <v>1975</v>
      </c>
      <c r="J3854">
        <v>1</v>
      </c>
      <c r="K3854">
        <v>1</v>
      </c>
      <c r="L3854">
        <v>1</v>
      </c>
      <c r="M3854">
        <v>12</v>
      </c>
      <c r="N3854" t="s">
        <v>37</v>
      </c>
      <c r="O3854" t="s">
        <v>32</v>
      </c>
      <c r="P3854">
        <v>11.648837996379701</v>
      </c>
      <c r="Q3854">
        <v>1.55526802479016</v>
      </c>
      <c r="R3854">
        <v>9.8947920460509309</v>
      </c>
      <c r="S3854">
        <v>83</v>
      </c>
      <c r="T3854">
        <v>53</v>
      </c>
      <c r="U3854">
        <v>323.40850017103401</v>
      </c>
      <c r="V3854">
        <v>4.0540540540540499E-3</v>
      </c>
      <c r="W3854">
        <v>1331702.63132679</v>
      </c>
      <c r="X3854" t="s">
        <v>33</v>
      </c>
      <c r="Y3854">
        <f>1-821-201-1399</f>
        <v>-2420</v>
      </c>
    </row>
    <row r="3855" spans="1:25" x14ac:dyDescent="0.35">
      <c r="A3855">
        <v>39.216729398139201</v>
      </c>
      <c r="B3855">
        <v>-119.46345008828401</v>
      </c>
      <c r="C3855" t="s">
        <v>34</v>
      </c>
      <c r="D3855">
        <v>30.975482836320499</v>
      </c>
      <c r="E3855">
        <v>7</v>
      </c>
      <c r="F3855">
        <v>2523</v>
      </c>
      <c r="G3855">
        <v>2</v>
      </c>
      <c r="H3855">
        <v>3</v>
      </c>
      <c r="I3855">
        <v>1973</v>
      </c>
      <c r="J3855">
        <v>1</v>
      </c>
      <c r="K3855">
        <v>0</v>
      </c>
      <c r="L3855">
        <v>0</v>
      </c>
      <c r="M3855">
        <v>8</v>
      </c>
      <c r="N3855" t="s">
        <v>37</v>
      </c>
      <c r="O3855" t="s">
        <v>32</v>
      </c>
      <c r="P3855">
        <v>14.7821370051808</v>
      </c>
      <c r="Q3855">
        <v>1.3032706495983499</v>
      </c>
      <c r="R3855">
        <v>7.1529520621848901</v>
      </c>
      <c r="S3855">
        <v>124</v>
      </c>
      <c r="T3855">
        <v>29</v>
      </c>
      <c r="U3855">
        <v>374.72590411616602</v>
      </c>
      <c r="V3855">
        <v>3.1708283789139901E-3</v>
      </c>
      <c r="W3855">
        <v>1137542.3255668599</v>
      </c>
      <c r="X3855" t="s">
        <v>42</v>
      </c>
      <c r="Y3855">
        <f>1-707-679-9197</f>
        <v>-10582</v>
      </c>
    </row>
    <row r="3856" spans="1:25" x14ac:dyDescent="0.35">
      <c r="A3856">
        <v>39.590800830408099</v>
      </c>
      <c r="B3856">
        <v>-116.872235347857</v>
      </c>
      <c r="C3856" t="s">
        <v>25</v>
      </c>
      <c r="D3856">
        <v>2.4696407229826098</v>
      </c>
      <c r="E3856">
        <v>7</v>
      </c>
      <c r="F3856">
        <v>1976</v>
      </c>
      <c r="G3856">
        <v>4</v>
      </c>
      <c r="H3856">
        <v>2</v>
      </c>
      <c r="I3856">
        <v>1982</v>
      </c>
      <c r="J3856">
        <v>1</v>
      </c>
      <c r="K3856">
        <v>1</v>
      </c>
      <c r="L3856">
        <v>0</v>
      </c>
      <c r="M3856">
        <v>12</v>
      </c>
      <c r="N3856" t="s">
        <v>35</v>
      </c>
      <c r="O3856" t="s">
        <v>30</v>
      </c>
      <c r="P3856">
        <v>3.99033319356348</v>
      </c>
      <c r="Q3856">
        <v>1.0864734921612</v>
      </c>
      <c r="R3856">
        <v>2.73192181568503</v>
      </c>
      <c r="S3856">
        <v>118</v>
      </c>
      <c r="T3856">
        <v>50</v>
      </c>
      <c r="U3856">
        <v>736.03630552704703</v>
      </c>
      <c r="V3856">
        <v>6.0728744939271204E-3</v>
      </c>
      <c r="W3856">
        <v>1803242.8927847999</v>
      </c>
      <c r="X3856" t="s">
        <v>39</v>
      </c>
      <c r="Y3856">
        <f>1-522-730-5454</f>
        <v>-6705</v>
      </c>
    </row>
    <row r="3857" spans="1:25" x14ac:dyDescent="0.35">
      <c r="A3857">
        <v>34.477574203371503</v>
      </c>
      <c r="B3857">
        <v>-116.732154507792</v>
      </c>
      <c r="C3857" t="s">
        <v>25</v>
      </c>
      <c r="D3857">
        <v>19.513076259074602</v>
      </c>
      <c r="E3857">
        <v>1</v>
      </c>
      <c r="F3857">
        <v>1402</v>
      </c>
      <c r="G3857">
        <v>1</v>
      </c>
      <c r="H3857">
        <v>1</v>
      </c>
      <c r="I3857">
        <v>2022</v>
      </c>
      <c r="J3857">
        <v>1</v>
      </c>
      <c r="K3857">
        <v>1</v>
      </c>
      <c r="L3857">
        <v>1</v>
      </c>
      <c r="M3857">
        <v>10</v>
      </c>
      <c r="N3857" t="s">
        <v>41</v>
      </c>
      <c r="O3857" t="s">
        <v>27</v>
      </c>
      <c r="P3857">
        <v>14.710849796989301</v>
      </c>
      <c r="Q3857">
        <v>2.1290366379043002</v>
      </c>
      <c r="R3857">
        <v>1.37092999892984</v>
      </c>
      <c r="S3857">
        <v>49</v>
      </c>
      <c r="T3857">
        <v>64</v>
      </c>
      <c r="U3857">
        <v>335.16532419649502</v>
      </c>
      <c r="V3857">
        <v>7.1326676176890098E-3</v>
      </c>
      <c r="W3857">
        <v>872555.02143699001</v>
      </c>
      <c r="X3857" t="s">
        <v>36</v>
      </c>
      <c r="Y3857">
        <f>1-208-259-5330</f>
        <v>-5796</v>
      </c>
    </row>
    <row r="3858" spans="1:25" x14ac:dyDescent="0.35">
      <c r="A3858">
        <v>35.660675287322903</v>
      </c>
      <c r="B3858">
        <v>-119.524134241751</v>
      </c>
      <c r="C3858" t="s">
        <v>34</v>
      </c>
      <c r="D3858">
        <v>2.1653524840521201</v>
      </c>
      <c r="E3858">
        <v>2</v>
      </c>
      <c r="F3858">
        <v>915</v>
      </c>
      <c r="G3858">
        <v>2</v>
      </c>
      <c r="H3858">
        <v>1</v>
      </c>
      <c r="I3858">
        <v>1988</v>
      </c>
      <c r="J3858">
        <v>0</v>
      </c>
      <c r="K3858">
        <v>1</v>
      </c>
      <c r="L3858">
        <v>1</v>
      </c>
      <c r="M3858">
        <v>9</v>
      </c>
      <c r="N3858" t="s">
        <v>26</v>
      </c>
      <c r="O3858" t="s">
        <v>32</v>
      </c>
      <c r="P3858">
        <v>13.867207829379501</v>
      </c>
      <c r="Q3858">
        <v>0.55066830238052999</v>
      </c>
      <c r="R3858">
        <v>0.57772098609142597</v>
      </c>
      <c r="S3858">
        <v>138</v>
      </c>
      <c r="T3858">
        <v>42</v>
      </c>
      <c r="U3858">
        <v>802.32115919702699</v>
      </c>
      <c r="V3858">
        <v>9.8360655737704892E-3</v>
      </c>
      <c r="W3858">
        <v>1012192.15562222</v>
      </c>
      <c r="X3858" t="s">
        <v>36</v>
      </c>
      <c r="Y3858">
        <f>1-535-467-8664</f>
        <v>-9665</v>
      </c>
    </row>
    <row r="3859" spans="1:25" x14ac:dyDescent="0.35">
      <c r="A3859">
        <v>33.288534195559102</v>
      </c>
      <c r="B3859">
        <v>-121.418168240819</v>
      </c>
      <c r="C3859" t="s">
        <v>29</v>
      </c>
      <c r="D3859">
        <v>28.3930312364079</v>
      </c>
      <c r="E3859">
        <v>1</v>
      </c>
      <c r="F3859">
        <v>1447</v>
      </c>
      <c r="G3859">
        <v>4</v>
      </c>
      <c r="H3859">
        <v>3</v>
      </c>
      <c r="I3859">
        <v>1969</v>
      </c>
      <c r="J3859">
        <v>1</v>
      </c>
      <c r="K3859">
        <v>0</v>
      </c>
      <c r="L3859">
        <v>0</v>
      </c>
      <c r="M3859">
        <v>7</v>
      </c>
      <c r="N3859" t="s">
        <v>37</v>
      </c>
      <c r="O3859" t="s">
        <v>32</v>
      </c>
      <c r="P3859">
        <v>9.3357899767911494</v>
      </c>
      <c r="Q3859">
        <v>0.95337639485047798</v>
      </c>
      <c r="R3859">
        <v>2.8525287243825002</v>
      </c>
      <c r="S3859">
        <v>32</v>
      </c>
      <c r="T3859">
        <v>20</v>
      </c>
      <c r="U3859">
        <v>358.573756943251</v>
      </c>
      <c r="V3859">
        <v>4.8375950241879703E-3</v>
      </c>
      <c r="W3859">
        <v>701152.01672912296</v>
      </c>
      <c r="X3859" t="s">
        <v>42</v>
      </c>
      <c r="Y3859">
        <f>1-926-837-9677</f>
        <v>-11439</v>
      </c>
    </row>
    <row r="3860" spans="1:25" x14ac:dyDescent="0.35">
      <c r="A3860">
        <v>35.000916828478097</v>
      </c>
      <c r="B3860">
        <v>-117.863870356242</v>
      </c>
      <c r="C3860" t="s">
        <v>34</v>
      </c>
      <c r="D3860">
        <v>44.018299033375897</v>
      </c>
      <c r="E3860">
        <v>1</v>
      </c>
      <c r="F3860">
        <v>4746</v>
      </c>
      <c r="G3860">
        <v>1</v>
      </c>
      <c r="H3860">
        <v>2</v>
      </c>
      <c r="I3860">
        <v>2011</v>
      </c>
      <c r="J3860">
        <v>1</v>
      </c>
      <c r="K3860">
        <v>0</v>
      </c>
      <c r="L3860">
        <v>0</v>
      </c>
      <c r="M3860">
        <v>6</v>
      </c>
      <c r="N3860" t="s">
        <v>41</v>
      </c>
      <c r="O3860" t="s">
        <v>27</v>
      </c>
      <c r="P3860">
        <v>6.4916522402387802</v>
      </c>
      <c r="Q3860">
        <v>1.9688046244397499</v>
      </c>
      <c r="R3860">
        <v>7.7178648858427996</v>
      </c>
      <c r="S3860">
        <v>99</v>
      </c>
      <c r="T3860">
        <v>49</v>
      </c>
      <c r="U3860">
        <v>318.81101963201399</v>
      </c>
      <c r="V3860">
        <v>1.2642225031605501E-3</v>
      </c>
      <c r="W3860">
        <v>1684946.05810394</v>
      </c>
      <c r="X3860" t="s">
        <v>33</v>
      </c>
      <c r="Y3860">
        <f>1-690-972-3334</f>
        <v>-4995</v>
      </c>
    </row>
    <row r="3861" spans="1:25" x14ac:dyDescent="0.35">
      <c r="A3861">
        <v>38.819397997879101</v>
      </c>
      <c r="B3861">
        <v>-117.58999130911999</v>
      </c>
      <c r="C3861" t="s">
        <v>29</v>
      </c>
      <c r="D3861">
        <v>22.0905318445744</v>
      </c>
      <c r="E3861">
        <v>6</v>
      </c>
      <c r="F3861">
        <v>521</v>
      </c>
      <c r="G3861">
        <v>5</v>
      </c>
      <c r="H3861">
        <v>1</v>
      </c>
      <c r="I3861">
        <v>2011</v>
      </c>
      <c r="J3861">
        <v>1</v>
      </c>
      <c r="K3861">
        <v>0</v>
      </c>
      <c r="L3861">
        <v>1</v>
      </c>
      <c r="M3861">
        <v>2</v>
      </c>
      <c r="N3861" t="s">
        <v>26</v>
      </c>
      <c r="O3861" t="s">
        <v>27</v>
      </c>
      <c r="P3861">
        <v>10.242729794833799</v>
      </c>
      <c r="Q3861">
        <v>0.76886897463575798</v>
      </c>
      <c r="R3861">
        <v>8.2107174060011001</v>
      </c>
      <c r="S3861">
        <v>79</v>
      </c>
      <c r="T3861">
        <v>58</v>
      </c>
      <c r="U3861">
        <v>445.260559844596</v>
      </c>
      <c r="V3861">
        <v>3.8387715930902101E-3</v>
      </c>
      <c r="W3861">
        <v>711343.44855943404</v>
      </c>
      <c r="X3861" t="s">
        <v>36</v>
      </c>
      <c r="Y3861">
        <f>1-312-648-9299</f>
        <v>-10258</v>
      </c>
    </row>
    <row r="3862" spans="1:25" x14ac:dyDescent="0.35">
      <c r="A3862">
        <v>41.178841572586698</v>
      </c>
      <c r="B3862">
        <v>-124.16691390739</v>
      </c>
      <c r="C3862" t="s">
        <v>25</v>
      </c>
      <c r="D3862">
        <v>31.735891890774901</v>
      </c>
      <c r="E3862">
        <v>9</v>
      </c>
      <c r="F3862">
        <v>4720</v>
      </c>
      <c r="G3862">
        <v>5</v>
      </c>
      <c r="H3862">
        <v>3</v>
      </c>
      <c r="I3862">
        <v>2017</v>
      </c>
      <c r="J3862">
        <v>0</v>
      </c>
      <c r="K3862">
        <v>1</v>
      </c>
      <c r="L3862">
        <v>0</v>
      </c>
      <c r="M3862">
        <v>4</v>
      </c>
      <c r="N3862" t="s">
        <v>41</v>
      </c>
      <c r="O3862" t="s">
        <v>32</v>
      </c>
      <c r="P3862">
        <v>9.6625964170185501</v>
      </c>
      <c r="Q3862">
        <v>1.5607356720091601</v>
      </c>
      <c r="R3862">
        <v>3.3771205483900699</v>
      </c>
      <c r="S3862">
        <v>182</v>
      </c>
      <c r="T3862">
        <v>35</v>
      </c>
      <c r="U3862">
        <v>462.63500079981497</v>
      </c>
      <c r="V3862">
        <v>8.4745762711864404E-4</v>
      </c>
      <c r="W3862">
        <v>2649118.2411074</v>
      </c>
      <c r="X3862" t="s">
        <v>44</v>
      </c>
      <c r="Y3862">
        <f>1-827-490-9587</f>
        <v>-10903</v>
      </c>
    </row>
    <row r="3863" spans="1:25" x14ac:dyDescent="0.35">
      <c r="A3863">
        <v>38.105849775135397</v>
      </c>
      <c r="B3863">
        <v>-122.035544227461</v>
      </c>
      <c r="C3863" t="s">
        <v>25</v>
      </c>
      <c r="D3863">
        <v>29.061459139881599</v>
      </c>
      <c r="E3863">
        <v>7</v>
      </c>
      <c r="F3863">
        <v>737</v>
      </c>
      <c r="G3863">
        <v>2</v>
      </c>
      <c r="H3863">
        <v>3</v>
      </c>
      <c r="I3863">
        <v>1975</v>
      </c>
      <c r="J3863">
        <v>1</v>
      </c>
      <c r="K3863">
        <v>0</v>
      </c>
      <c r="L3863">
        <v>1</v>
      </c>
      <c r="M3863">
        <v>14</v>
      </c>
      <c r="N3863" t="s">
        <v>41</v>
      </c>
      <c r="O3863" t="s">
        <v>30</v>
      </c>
      <c r="P3863">
        <v>9.4695653488544096</v>
      </c>
      <c r="Q3863">
        <v>0.549641770313267</v>
      </c>
      <c r="R3863">
        <v>4.7690950758911201</v>
      </c>
      <c r="S3863">
        <v>186</v>
      </c>
      <c r="T3863">
        <v>37</v>
      </c>
      <c r="U3863">
        <v>699.72274468071498</v>
      </c>
      <c r="V3863">
        <v>1.89959294436906E-2</v>
      </c>
      <c r="W3863">
        <v>782271.09205182001</v>
      </c>
      <c r="X3863" t="s">
        <v>42</v>
      </c>
      <c r="Y3863">
        <f>1-630-347-6277</f>
        <v>-7253</v>
      </c>
    </row>
    <row r="3864" spans="1:25" x14ac:dyDescent="0.35">
      <c r="A3864">
        <v>40.301105069212902</v>
      </c>
      <c r="B3864">
        <v>-117.20197346349499</v>
      </c>
      <c r="C3864" t="s">
        <v>34</v>
      </c>
      <c r="D3864">
        <v>35.101065847695303</v>
      </c>
      <c r="E3864">
        <v>5</v>
      </c>
      <c r="F3864">
        <v>3782</v>
      </c>
      <c r="G3864">
        <v>2</v>
      </c>
      <c r="H3864">
        <v>1</v>
      </c>
      <c r="I3864">
        <v>1984</v>
      </c>
      <c r="J3864">
        <v>1</v>
      </c>
      <c r="K3864">
        <v>0</v>
      </c>
      <c r="L3864">
        <v>1</v>
      </c>
      <c r="M3864">
        <v>6</v>
      </c>
      <c r="N3864" t="s">
        <v>26</v>
      </c>
      <c r="O3864" t="s">
        <v>30</v>
      </c>
      <c r="P3864">
        <v>8.1763827727360496</v>
      </c>
      <c r="Q3864">
        <v>1.1767542260489201</v>
      </c>
      <c r="R3864">
        <v>4.5696457166762103</v>
      </c>
      <c r="S3864">
        <v>154</v>
      </c>
      <c r="T3864">
        <v>67</v>
      </c>
      <c r="U3864">
        <v>777.30916333671701</v>
      </c>
      <c r="V3864">
        <v>1.58646218931782E-3</v>
      </c>
      <c r="W3864">
        <v>3147910.5279811202</v>
      </c>
      <c r="X3864" t="s">
        <v>31</v>
      </c>
      <c r="Y3864">
        <f>1-402-632-2068</f>
        <v>-3101</v>
      </c>
    </row>
    <row r="3865" spans="1:25" x14ac:dyDescent="0.35">
      <c r="A3865">
        <v>36.994576243522701</v>
      </c>
      <c r="B3865">
        <v>-114.986711833957</v>
      </c>
      <c r="C3865" t="s">
        <v>25</v>
      </c>
      <c r="D3865">
        <v>10.7060702904166</v>
      </c>
      <c r="E3865">
        <v>4</v>
      </c>
      <c r="F3865">
        <v>1933</v>
      </c>
      <c r="G3865">
        <v>3</v>
      </c>
      <c r="H3865">
        <v>2</v>
      </c>
      <c r="I3865">
        <v>1969</v>
      </c>
      <c r="J3865">
        <v>0</v>
      </c>
      <c r="K3865">
        <v>1</v>
      </c>
      <c r="L3865">
        <v>0</v>
      </c>
      <c r="M3865">
        <v>5</v>
      </c>
      <c r="N3865" t="s">
        <v>26</v>
      </c>
      <c r="O3865" t="s">
        <v>30</v>
      </c>
      <c r="P3865">
        <v>14.7189802463652</v>
      </c>
      <c r="Q3865">
        <v>2.45368295769602</v>
      </c>
      <c r="R3865">
        <v>5.7253319878632301</v>
      </c>
      <c r="S3865">
        <v>91</v>
      </c>
      <c r="T3865">
        <v>63</v>
      </c>
      <c r="U3865">
        <v>441.42207326021997</v>
      </c>
      <c r="V3865">
        <v>2.58665287118468E-3</v>
      </c>
      <c r="W3865">
        <v>1199151.79981058</v>
      </c>
      <c r="X3865" t="s">
        <v>43</v>
      </c>
      <c r="Y3865">
        <f>1-804-296-3280</f>
        <v>-4379</v>
      </c>
    </row>
    <row r="3866" spans="1:25" x14ac:dyDescent="0.35">
      <c r="A3866">
        <v>35.081529834017999</v>
      </c>
      <c r="B3866">
        <v>-115.520787566371</v>
      </c>
      <c r="C3866" t="s">
        <v>25</v>
      </c>
      <c r="D3866">
        <v>39.987313080049397</v>
      </c>
      <c r="E3866">
        <v>9</v>
      </c>
      <c r="F3866">
        <v>2689</v>
      </c>
      <c r="G3866">
        <v>5</v>
      </c>
      <c r="H3866">
        <v>3</v>
      </c>
      <c r="I3866">
        <v>1954</v>
      </c>
      <c r="J3866">
        <v>1</v>
      </c>
      <c r="K3866">
        <v>1</v>
      </c>
      <c r="L3866">
        <v>0</v>
      </c>
      <c r="M3866">
        <v>8</v>
      </c>
      <c r="N3866" t="s">
        <v>35</v>
      </c>
      <c r="O3866" t="s">
        <v>27</v>
      </c>
      <c r="P3866">
        <v>3.48701315084101</v>
      </c>
      <c r="Q3866">
        <v>1.4975817575380801</v>
      </c>
      <c r="R3866">
        <v>4.6095629336371404</v>
      </c>
      <c r="S3866">
        <v>55</v>
      </c>
      <c r="T3866">
        <v>26</v>
      </c>
      <c r="U3866">
        <v>881.591402720514</v>
      </c>
      <c r="V3866">
        <v>2.9750836742283302E-3</v>
      </c>
      <c r="W3866">
        <v>2778345.051002</v>
      </c>
      <c r="X3866" t="s">
        <v>39</v>
      </c>
      <c r="Y3866">
        <f>1-721-868-3909</f>
        <v>-5497</v>
      </c>
    </row>
    <row r="3867" spans="1:25" x14ac:dyDescent="0.35">
      <c r="A3867">
        <v>39.482896244864797</v>
      </c>
      <c r="B3867">
        <v>-120.089047869363</v>
      </c>
      <c r="C3867" t="s">
        <v>34</v>
      </c>
      <c r="D3867">
        <v>29.548721302791101</v>
      </c>
      <c r="E3867">
        <v>5</v>
      </c>
      <c r="F3867">
        <v>2491</v>
      </c>
      <c r="G3867">
        <v>3</v>
      </c>
      <c r="H3867">
        <v>3</v>
      </c>
      <c r="I3867">
        <v>1999</v>
      </c>
      <c r="J3867">
        <v>0</v>
      </c>
      <c r="K3867">
        <v>0</v>
      </c>
      <c r="L3867">
        <v>1</v>
      </c>
      <c r="M3867">
        <v>4</v>
      </c>
      <c r="N3867" t="s">
        <v>37</v>
      </c>
      <c r="O3867" t="s">
        <v>30</v>
      </c>
      <c r="P3867">
        <v>11.3823241854854</v>
      </c>
      <c r="Q3867">
        <v>1.0403814264862601</v>
      </c>
      <c r="R3867">
        <v>8.8275401841223999</v>
      </c>
      <c r="S3867">
        <v>155</v>
      </c>
      <c r="T3867">
        <v>24</v>
      </c>
      <c r="U3867">
        <v>783.56086170481296</v>
      </c>
      <c r="V3867">
        <v>1.6057808109193E-3</v>
      </c>
      <c r="W3867">
        <v>2239587.3122593202</v>
      </c>
      <c r="X3867" t="s">
        <v>39</v>
      </c>
      <c r="Y3867">
        <f>1-345-360-1819</f>
        <v>-2523</v>
      </c>
    </row>
    <row r="3868" spans="1:25" x14ac:dyDescent="0.35">
      <c r="A3868">
        <v>37.209007622269198</v>
      </c>
      <c r="B3868">
        <v>-115.32474330209401</v>
      </c>
      <c r="C3868" t="s">
        <v>25</v>
      </c>
      <c r="D3868">
        <v>45.131956879064603</v>
      </c>
      <c r="E3868">
        <v>1</v>
      </c>
      <c r="F3868">
        <v>3644</v>
      </c>
      <c r="G3868">
        <v>5</v>
      </c>
      <c r="H3868">
        <v>1</v>
      </c>
      <c r="I3868">
        <v>1981</v>
      </c>
      <c r="J3868">
        <v>0</v>
      </c>
      <c r="K3868">
        <v>0</v>
      </c>
      <c r="L3868">
        <v>0</v>
      </c>
      <c r="M3868">
        <v>9</v>
      </c>
      <c r="N3868" t="s">
        <v>37</v>
      </c>
      <c r="O3868" t="s">
        <v>30</v>
      </c>
      <c r="P3868">
        <v>7.0164420521996602</v>
      </c>
      <c r="Q3868">
        <v>1.41109592655482</v>
      </c>
      <c r="R3868">
        <v>2.0138743753966399</v>
      </c>
      <c r="S3868">
        <v>152</v>
      </c>
      <c r="T3868">
        <v>36</v>
      </c>
      <c r="U3868">
        <v>369.67728491904199</v>
      </c>
      <c r="V3868">
        <v>2.4698133918770499E-3</v>
      </c>
      <c r="W3868">
        <v>1588315.8939112001</v>
      </c>
      <c r="X3868" t="s">
        <v>44</v>
      </c>
      <c r="Y3868">
        <f>1-942-369-5444</f>
        <v>-6754</v>
      </c>
    </row>
    <row r="3869" spans="1:25" x14ac:dyDescent="0.35">
      <c r="A3869">
        <v>40.557431578500498</v>
      </c>
      <c r="B3869">
        <v>-120.58083266430199</v>
      </c>
      <c r="C3869" t="s">
        <v>25</v>
      </c>
      <c r="D3869">
        <v>45.663823639052701</v>
      </c>
      <c r="E3869">
        <v>4</v>
      </c>
      <c r="F3869">
        <v>4075</v>
      </c>
      <c r="G3869">
        <v>5</v>
      </c>
      <c r="H3869">
        <v>3</v>
      </c>
      <c r="I3869">
        <v>1954</v>
      </c>
      <c r="J3869">
        <v>0</v>
      </c>
      <c r="K3869">
        <v>1</v>
      </c>
      <c r="L3869">
        <v>0</v>
      </c>
      <c r="M3869">
        <v>11</v>
      </c>
      <c r="N3869" t="s">
        <v>37</v>
      </c>
      <c r="O3869" t="s">
        <v>30</v>
      </c>
      <c r="P3869">
        <v>9.3991089003802699</v>
      </c>
      <c r="Q3869">
        <v>0.95584673671661702</v>
      </c>
      <c r="R3869">
        <v>3.1212224951983698</v>
      </c>
      <c r="S3869">
        <v>76</v>
      </c>
      <c r="T3869">
        <v>52</v>
      </c>
      <c r="U3869">
        <v>632.41455686516201</v>
      </c>
      <c r="V3869">
        <v>2.6993865030674798E-3</v>
      </c>
      <c r="W3869">
        <v>2958209.3195086098</v>
      </c>
      <c r="X3869" t="s">
        <v>42</v>
      </c>
      <c r="Y3869">
        <f>1-324-964-1235</f>
        <v>-2522</v>
      </c>
    </row>
    <row r="3870" spans="1:25" x14ac:dyDescent="0.35">
      <c r="A3870">
        <v>35.2125726922037</v>
      </c>
      <c r="B3870">
        <v>-121.42776007566199</v>
      </c>
      <c r="C3870" t="s">
        <v>34</v>
      </c>
      <c r="D3870">
        <v>34.954757743572003</v>
      </c>
      <c r="E3870">
        <v>4</v>
      </c>
      <c r="F3870">
        <v>1508</v>
      </c>
      <c r="G3870">
        <v>2</v>
      </c>
      <c r="H3870">
        <v>2</v>
      </c>
      <c r="I3870">
        <v>1964</v>
      </c>
      <c r="J3870">
        <v>1</v>
      </c>
      <c r="K3870">
        <v>0</v>
      </c>
      <c r="L3870">
        <v>1</v>
      </c>
      <c r="M3870">
        <v>14</v>
      </c>
      <c r="N3870" t="s">
        <v>37</v>
      </c>
      <c r="O3870" t="s">
        <v>27</v>
      </c>
      <c r="P3870">
        <v>2.20012526563489</v>
      </c>
      <c r="Q3870">
        <v>1.9223386579172099</v>
      </c>
      <c r="R3870">
        <v>1.22231210848302</v>
      </c>
      <c r="S3870">
        <v>41</v>
      </c>
      <c r="T3870">
        <v>65</v>
      </c>
      <c r="U3870">
        <v>208.128490384419</v>
      </c>
      <c r="V3870">
        <v>9.2838196286472094E-3</v>
      </c>
      <c r="W3870">
        <v>457901.58685325203</v>
      </c>
      <c r="X3870" t="s">
        <v>38</v>
      </c>
      <c r="Y3870">
        <f>1-722-955-2880</f>
        <v>-4556</v>
      </c>
    </row>
    <row r="3871" spans="1:25" x14ac:dyDescent="0.35">
      <c r="A3871">
        <v>37.727522446787603</v>
      </c>
      <c r="B3871">
        <v>-119.830482628879</v>
      </c>
      <c r="C3871" t="s">
        <v>25</v>
      </c>
      <c r="D3871">
        <v>36.163236897941999</v>
      </c>
      <c r="E3871">
        <v>8</v>
      </c>
      <c r="F3871">
        <v>4673</v>
      </c>
      <c r="G3871">
        <v>4</v>
      </c>
      <c r="H3871">
        <v>1</v>
      </c>
      <c r="I3871">
        <v>2005</v>
      </c>
      <c r="J3871">
        <v>1</v>
      </c>
      <c r="K3871">
        <v>1</v>
      </c>
      <c r="L3871">
        <v>1</v>
      </c>
      <c r="M3871">
        <v>9</v>
      </c>
      <c r="N3871" t="s">
        <v>37</v>
      </c>
      <c r="O3871" t="s">
        <v>32</v>
      </c>
      <c r="P3871">
        <v>7.6913486411408396</v>
      </c>
      <c r="Q3871">
        <v>0.81808802850975204</v>
      </c>
      <c r="R3871">
        <v>5.11152392941593</v>
      </c>
      <c r="S3871">
        <v>173</v>
      </c>
      <c r="T3871">
        <v>54</v>
      </c>
      <c r="U3871">
        <v>821.13022935995002</v>
      </c>
      <c r="V3871">
        <v>1.9259576289321601E-3</v>
      </c>
      <c r="W3871">
        <v>4239567.3444171501</v>
      </c>
      <c r="X3871" t="s">
        <v>43</v>
      </c>
      <c r="Y3871">
        <f>1-883-711-5352</f>
        <v>-6945</v>
      </c>
    </row>
    <row r="3872" spans="1:25" x14ac:dyDescent="0.35">
      <c r="A3872">
        <v>41.039255517952597</v>
      </c>
      <c r="B3872">
        <v>-119.19501708098799</v>
      </c>
      <c r="C3872" t="s">
        <v>34</v>
      </c>
      <c r="D3872">
        <v>30.2557056852269</v>
      </c>
      <c r="E3872">
        <v>3</v>
      </c>
      <c r="F3872">
        <v>2926</v>
      </c>
      <c r="G3872">
        <v>2</v>
      </c>
      <c r="H3872">
        <v>2</v>
      </c>
      <c r="I3872">
        <v>2004</v>
      </c>
      <c r="J3872">
        <v>1</v>
      </c>
      <c r="K3872">
        <v>0</v>
      </c>
      <c r="L3872">
        <v>0</v>
      </c>
      <c r="M3872">
        <v>4</v>
      </c>
      <c r="N3872" t="s">
        <v>26</v>
      </c>
      <c r="O3872" t="s">
        <v>30</v>
      </c>
      <c r="P3872">
        <v>4.3948641999905904</v>
      </c>
      <c r="Q3872">
        <v>1.3322280769581201</v>
      </c>
      <c r="R3872">
        <v>7.3668984753056002</v>
      </c>
      <c r="S3872">
        <v>66</v>
      </c>
      <c r="T3872">
        <v>26</v>
      </c>
      <c r="U3872">
        <v>391.83602751156099</v>
      </c>
      <c r="V3872">
        <v>1.36705399863294E-3</v>
      </c>
      <c r="W3872">
        <v>1388613.5099251</v>
      </c>
      <c r="X3872" t="s">
        <v>36</v>
      </c>
      <c r="Y3872">
        <f>1-201-785-2396</f>
        <v>-3381</v>
      </c>
    </row>
    <row r="3873" spans="1:25" x14ac:dyDescent="0.35">
      <c r="A3873">
        <v>40.380752431722001</v>
      </c>
      <c r="B3873">
        <v>-115.087739019452</v>
      </c>
      <c r="C3873" t="s">
        <v>29</v>
      </c>
      <c r="D3873">
        <v>27.2618029018276</v>
      </c>
      <c r="E3873">
        <v>9</v>
      </c>
      <c r="F3873">
        <v>2820</v>
      </c>
      <c r="G3873">
        <v>2</v>
      </c>
      <c r="H3873">
        <v>1</v>
      </c>
      <c r="I3873">
        <v>2003</v>
      </c>
      <c r="J3873">
        <v>0</v>
      </c>
      <c r="K3873">
        <v>1</v>
      </c>
      <c r="L3873">
        <v>0</v>
      </c>
      <c r="M3873">
        <v>11</v>
      </c>
      <c r="N3873" t="s">
        <v>41</v>
      </c>
      <c r="O3873" t="s">
        <v>27</v>
      </c>
      <c r="P3873">
        <v>10.0734575798087</v>
      </c>
      <c r="Q3873">
        <v>0.54354056000268902</v>
      </c>
      <c r="R3873">
        <v>1.5496692159688801</v>
      </c>
      <c r="S3873">
        <v>133</v>
      </c>
      <c r="T3873">
        <v>23</v>
      </c>
      <c r="U3873">
        <v>326.27822669944999</v>
      </c>
      <c r="V3873">
        <v>3.9007092198581499E-3</v>
      </c>
      <c r="W3873">
        <v>1088985.3425926401</v>
      </c>
      <c r="X3873" t="s">
        <v>40</v>
      </c>
      <c r="Y3873">
        <f>1-579-148-6097</f>
        <v>-6823</v>
      </c>
    </row>
    <row r="3874" spans="1:25" x14ac:dyDescent="0.35">
      <c r="A3874">
        <v>35.8777640166483</v>
      </c>
      <c r="B3874">
        <v>-114.15055828896899</v>
      </c>
      <c r="C3874" t="s">
        <v>34</v>
      </c>
      <c r="D3874">
        <v>7.0819928039972799</v>
      </c>
      <c r="E3874">
        <v>4</v>
      </c>
      <c r="F3874">
        <v>3518</v>
      </c>
      <c r="G3874">
        <v>4</v>
      </c>
      <c r="H3874">
        <v>2</v>
      </c>
      <c r="I3874">
        <v>1975</v>
      </c>
      <c r="J3874">
        <v>0</v>
      </c>
      <c r="K3874">
        <v>1</v>
      </c>
      <c r="L3874">
        <v>1</v>
      </c>
      <c r="M3874">
        <v>10</v>
      </c>
      <c r="N3874" t="s">
        <v>26</v>
      </c>
      <c r="O3874" t="s">
        <v>27</v>
      </c>
      <c r="P3874">
        <v>8.9168458547216307</v>
      </c>
      <c r="Q3874">
        <v>0.76632435050011805</v>
      </c>
      <c r="R3874">
        <v>9.3039151691442807</v>
      </c>
      <c r="S3874">
        <v>7</v>
      </c>
      <c r="T3874">
        <v>79</v>
      </c>
      <c r="U3874">
        <v>913.098704145694</v>
      </c>
      <c r="V3874">
        <v>2.8425241614553698E-3</v>
      </c>
      <c r="W3874">
        <v>3555709.7244201899</v>
      </c>
      <c r="X3874" t="s">
        <v>39</v>
      </c>
      <c r="Y3874">
        <f>1-858-299-4467</f>
        <v>-5623</v>
      </c>
    </row>
    <row r="3875" spans="1:25" x14ac:dyDescent="0.35">
      <c r="A3875">
        <v>41.872077978893003</v>
      </c>
      <c r="B3875">
        <v>-117.336993073714</v>
      </c>
      <c r="C3875" t="s">
        <v>29</v>
      </c>
      <c r="D3875">
        <v>8.7249381385066602</v>
      </c>
      <c r="E3875">
        <v>9</v>
      </c>
      <c r="F3875">
        <v>4876</v>
      </c>
      <c r="G3875">
        <v>4</v>
      </c>
      <c r="H3875">
        <v>3</v>
      </c>
      <c r="I3875">
        <v>1955</v>
      </c>
      <c r="J3875">
        <v>1</v>
      </c>
      <c r="K3875">
        <v>1</v>
      </c>
      <c r="L3875">
        <v>1</v>
      </c>
      <c r="M3875">
        <v>14</v>
      </c>
      <c r="N3875" t="s">
        <v>37</v>
      </c>
      <c r="O3875" t="s">
        <v>30</v>
      </c>
      <c r="P3875">
        <v>12.273067196024201</v>
      </c>
      <c r="Q3875">
        <v>1.69260416037137</v>
      </c>
      <c r="R3875">
        <v>3.5104582945308702</v>
      </c>
      <c r="S3875">
        <v>152</v>
      </c>
      <c r="T3875">
        <v>57</v>
      </c>
      <c r="U3875">
        <v>864.36409905323706</v>
      </c>
      <c r="V3875">
        <v>2.8712059064807199E-3</v>
      </c>
      <c r="W3875">
        <v>4674031.0391856097</v>
      </c>
      <c r="X3875" t="s">
        <v>43</v>
      </c>
      <c r="Y3875">
        <f>1-416-350-7458</f>
        <v>-8223</v>
      </c>
    </row>
    <row r="3876" spans="1:25" x14ac:dyDescent="0.35">
      <c r="A3876">
        <v>32.503891643523701</v>
      </c>
      <c r="B3876">
        <v>-121.405695199443</v>
      </c>
      <c r="C3876" t="s">
        <v>29</v>
      </c>
      <c r="D3876">
        <v>42.022386449621997</v>
      </c>
      <c r="E3876">
        <v>5</v>
      </c>
      <c r="F3876">
        <v>2601</v>
      </c>
      <c r="G3876">
        <v>3</v>
      </c>
      <c r="H3876">
        <v>3</v>
      </c>
      <c r="I3876">
        <v>1955</v>
      </c>
      <c r="J3876">
        <v>0</v>
      </c>
      <c r="K3876">
        <v>0</v>
      </c>
      <c r="L3876">
        <v>1</v>
      </c>
      <c r="M3876">
        <v>8</v>
      </c>
      <c r="N3876" t="s">
        <v>37</v>
      </c>
      <c r="O3876" t="s">
        <v>30</v>
      </c>
      <c r="P3876">
        <v>2.3827517381910202</v>
      </c>
      <c r="Q3876">
        <v>2.3541175901280398</v>
      </c>
      <c r="R3876">
        <v>6.6124756632106401</v>
      </c>
      <c r="S3876">
        <v>24</v>
      </c>
      <c r="T3876">
        <v>47</v>
      </c>
      <c r="U3876">
        <v>705.668343385659</v>
      </c>
      <c r="V3876">
        <v>3.0757400999615499E-3</v>
      </c>
      <c r="W3876">
        <v>1963126.7924138401</v>
      </c>
      <c r="X3876" t="s">
        <v>31</v>
      </c>
      <c r="Y3876">
        <f>1-524-351-4355</f>
        <v>-5229</v>
      </c>
    </row>
    <row r="3877" spans="1:25" x14ac:dyDescent="0.35">
      <c r="A3877">
        <v>34.320900474752797</v>
      </c>
      <c r="B3877">
        <v>-121.03430387044</v>
      </c>
      <c r="C3877" t="s">
        <v>34</v>
      </c>
      <c r="D3877">
        <v>31.291845830639801</v>
      </c>
      <c r="E3877">
        <v>4</v>
      </c>
      <c r="F3877">
        <v>2089</v>
      </c>
      <c r="G3877">
        <v>1</v>
      </c>
      <c r="H3877">
        <v>3</v>
      </c>
      <c r="I3877">
        <v>1971</v>
      </c>
      <c r="J3877">
        <v>0</v>
      </c>
      <c r="K3877">
        <v>1</v>
      </c>
      <c r="L3877">
        <v>0</v>
      </c>
      <c r="M3877">
        <v>3</v>
      </c>
      <c r="N3877" t="s">
        <v>35</v>
      </c>
      <c r="O3877" t="s">
        <v>32</v>
      </c>
      <c r="P3877">
        <v>6.1833882722217499</v>
      </c>
      <c r="Q3877">
        <v>1.72070681623896</v>
      </c>
      <c r="R3877">
        <v>7.0039460304786001</v>
      </c>
      <c r="S3877">
        <v>119</v>
      </c>
      <c r="T3877">
        <v>25</v>
      </c>
      <c r="U3877">
        <v>916.37629463043004</v>
      </c>
      <c r="V3877">
        <v>1.4360938247965499E-3</v>
      </c>
      <c r="W3877">
        <v>2065575.6775841599</v>
      </c>
      <c r="X3877" t="s">
        <v>38</v>
      </c>
      <c r="Y3877">
        <f>1-765-618-7340</f>
        <v>-8722</v>
      </c>
    </row>
    <row r="3878" spans="1:25" x14ac:dyDescent="0.35">
      <c r="A3878">
        <v>35.198914239122999</v>
      </c>
      <c r="B3878">
        <v>-117.06608928875799</v>
      </c>
      <c r="C3878" t="s">
        <v>29</v>
      </c>
      <c r="D3878">
        <v>18.391822612832101</v>
      </c>
      <c r="E3878">
        <v>8</v>
      </c>
      <c r="F3878">
        <v>2557</v>
      </c>
      <c r="G3878">
        <v>4</v>
      </c>
      <c r="H3878">
        <v>2</v>
      </c>
      <c r="I3878">
        <v>1994</v>
      </c>
      <c r="J3878">
        <v>0</v>
      </c>
      <c r="K3878">
        <v>0</v>
      </c>
      <c r="L3878">
        <v>1</v>
      </c>
      <c r="M3878">
        <v>8</v>
      </c>
      <c r="N3878" t="s">
        <v>41</v>
      </c>
      <c r="O3878" t="s">
        <v>30</v>
      </c>
      <c r="P3878">
        <v>11.1001786724879</v>
      </c>
      <c r="Q3878">
        <v>2.3588001198770998</v>
      </c>
      <c r="R3878">
        <v>9.9175429435166098</v>
      </c>
      <c r="S3878">
        <v>127</v>
      </c>
      <c r="T3878">
        <v>64</v>
      </c>
      <c r="U3878">
        <v>724.87038749005103</v>
      </c>
      <c r="V3878">
        <v>3.1286664059444599E-3</v>
      </c>
      <c r="W3878">
        <v>2179267.3483134801</v>
      </c>
      <c r="X3878" t="s">
        <v>38</v>
      </c>
      <c r="Y3878">
        <f>1-708-868-1238</f>
        <v>-2813</v>
      </c>
    </row>
    <row r="3879" spans="1:25" x14ac:dyDescent="0.35">
      <c r="A3879">
        <v>41.900942098201298</v>
      </c>
      <c r="B3879">
        <v>-117.450087432831</v>
      </c>
      <c r="C3879" t="s">
        <v>34</v>
      </c>
      <c r="D3879">
        <v>18.7201496203182</v>
      </c>
      <c r="E3879">
        <v>7</v>
      </c>
      <c r="F3879">
        <v>2916</v>
      </c>
      <c r="G3879">
        <v>1</v>
      </c>
      <c r="H3879">
        <v>2</v>
      </c>
      <c r="I3879">
        <v>1985</v>
      </c>
      <c r="J3879">
        <v>1</v>
      </c>
      <c r="K3879">
        <v>0</v>
      </c>
      <c r="L3879">
        <v>1</v>
      </c>
      <c r="M3879">
        <v>3</v>
      </c>
      <c r="N3879" t="s">
        <v>37</v>
      </c>
      <c r="O3879" t="s">
        <v>32</v>
      </c>
      <c r="P3879">
        <v>13.861611067636201</v>
      </c>
      <c r="Q3879">
        <v>2.0000579255108399</v>
      </c>
      <c r="R3879">
        <v>3.8505256879202499</v>
      </c>
      <c r="S3879">
        <v>29</v>
      </c>
      <c r="T3879">
        <v>66</v>
      </c>
      <c r="U3879">
        <v>442.072007367173</v>
      </c>
      <c r="V3879">
        <v>1.02880658436214E-3</v>
      </c>
      <c r="W3879">
        <v>1662731.91931037</v>
      </c>
      <c r="X3879" t="s">
        <v>33</v>
      </c>
      <c r="Y3879">
        <f>1-809-545-7036</f>
        <v>-8389</v>
      </c>
    </row>
    <row r="3880" spans="1:25" x14ac:dyDescent="0.35">
      <c r="A3880">
        <v>39.680989648738603</v>
      </c>
      <c r="B3880">
        <v>-117.638141984387</v>
      </c>
      <c r="C3880" t="s">
        <v>29</v>
      </c>
      <c r="D3880">
        <v>45.978528645650798</v>
      </c>
      <c r="E3880">
        <v>0</v>
      </c>
      <c r="F3880">
        <v>803</v>
      </c>
      <c r="G3880">
        <v>3</v>
      </c>
      <c r="H3880">
        <v>2</v>
      </c>
      <c r="I3880">
        <v>1968</v>
      </c>
      <c r="J3880">
        <v>0</v>
      </c>
      <c r="K3880">
        <v>0</v>
      </c>
      <c r="L3880">
        <v>0</v>
      </c>
      <c r="M3880">
        <v>14</v>
      </c>
      <c r="N3880" t="s">
        <v>26</v>
      </c>
      <c r="O3880" t="s">
        <v>30</v>
      </c>
      <c r="P3880">
        <v>10.629658404852499</v>
      </c>
      <c r="Q3880">
        <v>2.37737912431581</v>
      </c>
      <c r="R3880">
        <v>4.8295817280716804</v>
      </c>
      <c r="S3880">
        <v>40</v>
      </c>
      <c r="T3880">
        <v>73</v>
      </c>
      <c r="U3880">
        <v>715.52252770963605</v>
      </c>
      <c r="V3880">
        <v>1.7434620174346199E-2</v>
      </c>
      <c r="W3880">
        <v>749772.97591645201</v>
      </c>
      <c r="X3880" t="s">
        <v>39</v>
      </c>
      <c r="Y3880">
        <f>1-810-491-4284</f>
        <v>-5584</v>
      </c>
    </row>
    <row r="3881" spans="1:25" x14ac:dyDescent="0.35">
      <c r="A3881">
        <v>36.518691891184098</v>
      </c>
      <c r="B3881">
        <v>-115.788394499216</v>
      </c>
      <c r="C3881" t="s">
        <v>29</v>
      </c>
      <c r="D3881">
        <v>40.487962018401099</v>
      </c>
      <c r="E3881">
        <v>1</v>
      </c>
      <c r="F3881">
        <v>3842</v>
      </c>
      <c r="G3881">
        <v>3</v>
      </c>
      <c r="H3881">
        <v>2</v>
      </c>
      <c r="I3881">
        <v>1979</v>
      </c>
      <c r="J3881">
        <v>0</v>
      </c>
      <c r="K3881">
        <v>1</v>
      </c>
      <c r="L3881">
        <v>0</v>
      </c>
      <c r="M3881">
        <v>8</v>
      </c>
      <c r="N3881" t="s">
        <v>26</v>
      </c>
      <c r="O3881" t="s">
        <v>30</v>
      </c>
      <c r="P3881">
        <v>3.7553955442019999</v>
      </c>
      <c r="Q3881">
        <v>1.6495854521240001</v>
      </c>
      <c r="R3881">
        <v>1.64528217887763</v>
      </c>
      <c r="S3881">
        <v>128</v>
      </c>
      <c r="T3881">
        <v>52</v>
      </c>
      <c r="U3881">
        <v>941.77730764210901</v>
      </c>
      <c r="V3881">
        <v>2.0822488287350299E-3</v>
      </c>
      <c r="W3881">
        <v>3909832.9940766799</v>
      </c>
      <c r="X3881" t="s">
        <v>39</v>
      </c>
      <c r="Y3881">
        <f>1-634-546-9430</f>
        <v>-10609</v>
      </c>
    </row>
    <row r="3882" spans="1:25" x14ac:dyDescent="0.35">
      <c r="A3882">
        <v>39.854343873402001</v>
      </c>
      <c r="B3882">
        <v>-121.719083941089</v>
      </c>
      <c r="C3882" t="s">
        <v>29</v>
      </c>
      <c r="D3882">
        <v>17.5089340507005</v>
      </c>
      <c r="E3882">
        <v>7</v>
      </c>
      <c r="F3882">
        <v>2451</v>
      </c>
      <c r="G3882">
        <v>2</v>
      </c>
      <c r="H3882">
        <v>2</v>
      </c>
      <c r="I3882">
        <v>2009</v>
      </c>
      <c r="J3882">
        <v>0</v>
      </c>
      <c r="K3882">
        <v>1</v>
      </c>
      <c r="L3882">
        <v>1</v>
      </c>
      <c r="M3882">
        <v>4</v>
      </c>
      <c r="N3882" t="s">
        <v>41</v>
      </c>
      <c r="O3882" t="s">
        <v>32</v>
      </c>
      <c r="P3882">
        <v>2.89412730556319</v>
      </c>
      <c r="Q3882">
        <v>1.7942633503722301</v>
      </c>
      <c r="R3882">
        <v>1.01138059396664</v>
      </c>
      <c r="S3882">
        <v>35</v>
      </c>
      <c r="T3882">
        <v>46</v>
      </c>
      <c r="U3882">
        <v>662.68681327771401</v>
      </c>
      <c r="V3882">
        <v>1.63198694410444E-3</v>
      </c>
      <c r="W3882">
        <v>1882447.52474181</v>
      </c>
      <c r="X3882" t="s">
        <v>44</v>
      </c>
      <c r="Y3882">
        <f>1-918-763-7826</f>
        <v>-9506</v>
      </c>
    </row>
    <row r="3883" spans="1:25" x14ac:dyDescent="0.35">
      <c r="A3883">
        <v>34.3263733262919</v>
      </c>
      <c r="B3883">
        <v>-117.88887958766</v>
      </c>
      <c r="C3883" t="s">
        <v>25</v>
      </c>
      <c r="D3883">
        <v>20.455916897797898</v>
      </c>
      <c r="E3883">
        <v>0</v>
      </c>
      <c r="F3883">
        <v>3838</v>
      </c>
      <c r="G3883">
        <v>3</v>
      </c>
      <c r="H3883">
        <v>1</v>
      </c>
      <c r="I3883">
        <v>2002</v>
      </c>
      <c r="J3883">
        <v>1</v>
      </c>
      <c r="K3883">
        <v>0</v>
      </c>
      <c r="L3883">
        <v>1</v>
      </c>
      <c r="M3883">
        <v>9</v>
      </c>
      <c r="N3883" t="s">
        <v>37</v>
      </c>
      <c r="O3883" t="s">
        <v>30</v>
      </c>
      <c r="P3883">
        <v>9.80760376135472</v>
      </c>
      <c r="Q3883">
        <v>2.3112402367343301</v>
      </c>
      <c r="R3883">
        <v>3.1781405021520701</v>
      </c>
      <c r="S3883">
        <v>154</v>
      </c>
      <c r="T3883">
        <v>35</v>
      </c>
      <c r="U3883">
        <v>601.65146279473299</v>
      </c>
      <c r="V3883">
        <v>2.3449713392391801E-3</v>
      </c>
      <c r="W3883">
        <v>2539987.0771393799</v>
      </c>
      <c r="X3883" t="s">
        <v>36</v>
      </c>
      <c r="Y3883">
        <f>1-764-907-5796</f>
        <v>-7466</v>
      </c>
    </row>
    <row r="3884" spans="1:25" x14ac:dyDescent="0.35">
      <c r="A3884">
        <v>35.478094267854502</v>
      </c>
      <c r="B3884">
        <v>-116.53770570249699</v>
      </c>
      <c r="C3884" t="s">
        <v>29</v>
      </c>
      <c r="D3884">
        <v>26.582486548063599</v>
      </c>
      <c r="E3884">
        <v>1</v>
      </c>
      <c r="F3884">
        <v>4270</v>
      </c>
      <c r="G3884">
        <v>2</v>
      </c>
      <c r="H3884">
        <v>3</v>
      </c>
      <c r="I3884">
        <v>1971</v>
      </c>
      <c r="J3884">
        <v>1</v>
      </c>
      <c r="K3884">
        <v>1</v>
      </c>
      <c r="L3884">
        <v>0</v>
      </c>
      <c r="M3884">
        <v>12</v>
      </c>
      <c r="N3884" t="s">
        <v>37</v>
      </c>
      <c r="O3884" t="s">
        <v>27</v>
      </c>
      <c r="P3884">
        <v>12.724251402822</v>
      </c>
      <c r="Q3884">
        <v>1.3938191600613301</v>
      </c>
      <c r="R3884">
        <v>9.17530236578075</v>
      </c>
      <c r="S3884">
        <v>82</v>
      </c>
      <c r="T3884">
        <v>43</v>
      </c>
      <c r="U3884">
        <v>336.97504307708402</v>
      </c>
      <c r="V3884">
        <v>2.8103044496487102E-3</v>
      </c>
      <c r="W3884">
        <v>1789569.3947403999</v>
      </c>
      <c r="X3884" t="s">
        <v>44</v>
      </c>
      <c r="Y3884">
        <f>1-881-250-2639</f>
        <v>-3769</v>
      </c>
    </row>
    <row r="3885" spans="1:25" x14ac:dyDescent="0.35">
      <c r="A3885">
        <v>33.395181686818603</v>
      </c>
      <c r="B3885">
        <v>-117.466853321158</v>
      </c>
      <c r="C3885" t="s">
        <v>25</v>
      </c>
      <c r="D3885">
        <v>31.8726900768362</v>
      </c>
      <c r="E3885">
        <v>9</v>
      </c>
      <c r="F3885">
        <v>969</v>
      </c>
      <c r="G3885">
        <v>5</v>
      </c>
      <c r="H3885">
        <v>3</v>
      </c>
      <c r="I3885">
        <v>1960</v>
      </c>
      <c r="J3885">
        <v>0</v>
      </c>
      <c r="K3885">
        <v>0</v>
      </c>
      <c r="L3885">
        <v>0</v>
      </c>
      <c r="M3885">
        <v>6</v>
      </c>
      <c r="N3885" t="s">
        <v>37</v>
      </c>
      <c r="O3885" t="s">
        <v>30</v>
      </c>
      <c r="P3885">
        <v>13.381747017656799</v>
      </c>
      <c r="Q3885">
        <v>1.6537163990851</v>
      </c>
      <c r="R3885">
        <v>5.3900660966659899</v>
      </c>
      <c r="S3885">
        <v>33</v>
      </c>
      <c r="T3885">
        <v>41</v>
      </c>
      <c r="U3885">
        <v>826.820384649522</v>
      </c>
      <c r="V3885">
        <v>6.19195046439628E-3</v>
      </c>
      <c r="W3885">
        <v>1050921.3860998901</v>
      </c>
      <c r="X3885" t="s">
        <v>44</v>
      </c>
      <c r="Y3885">
        <f>1-486-101-9886</f>
        <v>-10472</v>
      </c>
    </row>
    <row r="3886" spans="1:25" x14ac:dyDescent="0.35">
      <c r="A3886">
        <v>41.987534933170203</v>
      </c>
      <c r="B3886">
        <v>-116.272472399866</v>
      </c>
      <c r="C3886" t="s">
        <v>34</v>
      </c>
      <c r="D3886">
        <v>46.669140689422399</v>
      </c>
      <c r="E3886">
        <v>2</v>
      </c>
      <c r="F3886">
        <v>854</v>
      </c>
      <c r="G3886">
        <v>3</v>
      </c>
      <c r="H3886">
        <v>1</v>
      </c>
      <c r="I3886">
        <v>1963</v>
      </c>
      <c r="J3886">
        <v>1</v>
      </c>
      <c r="K3886">
        <v>0</v>
      </c>
      <c r="L3886">
        <v>0</v>
      </c>
      <c r="M3886">
        <v>4</v>
      </c>
      <c r="N3886" t="s">
        <v>41</v>
      </c>
      <c r="O3886" t="s">
        <v>32</v>
      </c>
      <c r="P3886">
        <v>13.2486572548917</v>
      </c>
      <c r="Q3886">
        <v>1.2827312567295299</v>
      </c>
      <c r="R3886">
        <v>2.5955293129560899</v>
      </c>
      <c r="S3886">
        <v>123</v>
      </c>
      <c r="T3886">
        <v>55</v>
      </c>
      <c r="U3886">
        <v>929.36109930982104</v>
      </c>
      <c r="V3886">
        <v>4.6838407494145199E-3</v>
      </c>
      <c r="W3886">
        <v>1018123.97484629</v>
      </c>
      <c r="X3886" t="s">
        <v>44</v>
      </c>
      <c r="Y3886">
        <f>1-470-131-5962</f>
        <v>-6562</v>
      </c>
    </row>
    <row r="3887" spans="1:25" x14ac:dyDescent="0.35">
      <c r="A3887">
        <v>35.310725581646999</v>
      </c>
      <c r="B3887">
        <v>-115.659233983984</v>
      </c>
      <c r="C3887" t="s">
        <v>29</v>
      </c>
      <c r="D3887">
        <v>27.563246616538802</v>
      </c>
      <c r="E3887">
        <v>4</v>
      </c>
      <c r="F3887">
        <v>1562</v>
      </c>
      <c r="G3887">
        <v>3</v>
      </c>
      <c r="H3887">
        <v>2</v>
      </c>
      <c r="I3887">
        <v>2003</v>
      </c>
      <c r="J3887">
        <v>1</v>
      </c>
      <c r="K3887">
        <v>1</v>
      </c>
      <c r="L3887">
        <v>1</v>
      </c>
      <c r="M3887">
        <v>7</v>
      </c>
      <c r="N3887" t="s">
        <v>41</v>
      </c>
      <c r="O3887" t="s">
        <v>27</v>
      </c>
      <c r="P3887">
        <v>13.508007683598001</v>
      </c>
      <c r="Q3887">
        <v>0.901614637442397</v>
      </c>
      <c r="R3887">
        <v>1.4577535890793401</v>
      </c>
      <c r="S3887">
        <v>94</v>
      </c>
      <c r="T3887">
        <v>24</v>
      </c>
      <c r="U3887">
        <v>992.59584196006006</v>
      </c>
      <c r="V3887">
        <v>4.4814340588988401E-3</v>
      </c>
      <c r="W3887">
        <v>1922698.4020881699</v>
      </c>
      <c r="X3887" t="s">
        <v>39</v>
      </c>
      <c r="Y3887">
        <f>1-875-661-8654</f>
        <v>-10189</v>
      </c>
    </row>
    <row r="3888" spans="1:25" x14ac:dyDescent="0.35">
      <c r="A3888">
        <v>32.530294062851297</v>
      </c>
      <c r="B3888">
        <v>-120.871419564155</v>
      </c>
      <c r="C3888" t="s">
        <v>34</v>
      </c>
      <c r="D3888">
        <v>7.19988914451163</v>
      </c>
      <c r="E3888">
        <v>1</v>
      </c>
      <c r="F3888">
        <v>1261</v>
      </c>
      <c r="G3888">
        <v>2</v>
      </c>
      <c r="H3888">
        <v>3</v>
      </c>
      <c r="I3888">
        <v>1983</v>
      </c>
      <c r="J3888">
        <v>0</v>
      </c>
      <c r="K3888">
        <v>0</v>
      </c>
      <c r="L3888">
        <v>1</v>
      </c>
      <c r="M3888">
        <v>7</v>
      </c>
      <c r="N3888" t="s">
        <v>26</v>
      </c>
      <c r="O3888" t="s">
        <v>27</v>
      </c>
      <c r="P3888">
        <v>9.4295876042060396</v>
      </c>
      <c r="Q3888">
        <v>0.73828282079521901</v>
      </c>
      <c r="R3888">
        <v>7.2425447561093401</v>
      </c>
      <c r="S3888">
        <v>145</v>
      </c>
      <c r="T3888">
        <v>49</v>
      </c>
      <c r="U3888">
        <v>369.011838246747</v>
      </c>
      <c r="V3888">
        <v>5.5511498810467798E-3</v>
      </c>
      <c r="W3888">
        <v>602337.43766235397</v>
      </c>
      <c r="X3888" t="s">
        <v>33</v>
      </c>
      <c r="Y3888">
        <f>1-956-617-1704</f>
        <v>-3276</v>
      </c>
    </row>
    <row r="3889" spans="1:25" x14ac:dyDescent="0.35">
      <c r="A3889">
        <v>39.315981607616997</v>
      </c>
      <c r="B3889">
        <v>-115.640359563155</v>
      </c>
      <c r="C3889" t="s">
        <v>29</v>
      </c>
      <c r="D3889">
        <v>1.74345897527452</v>
      </c>
      <c r="E3889">
        <v>2</v>
      </c>
      <c r="F3889">
        <v>2337</v>
      </c>
      <c r="G3889">
        <v>2</v>
      </c>
      <c r="H3889">
        <v>3</v>
      </c>
      <c r="I3889">
        <v>1987</v>
      </c>
      <c r="J3889">
        <v>1</v>
      </c>
      <c r="K3889">
        <v>0</v>
      </c>
      <c r="L3889">
        <v>1</v>
      </c>
      <c r="M3889">
        <v>14</v>
      </c>
      <c r="N3889" t="s">
        <v>26</v>
      </c>
      <c r="O3889" t="s">
        <v>27</v>
      </c>
      <c r="P3889">
        <v>8.8939129324171802</v>
      </c>
      <c r="Q3889">
        <v>2.0168190449918901</v>
      </c>
      <c r="R3889">
        <v>6.5657664457948801</v>
      </c>
      <c r="S3889">
        <v>29</v>
      </c>
      <c r="T3889">
        <v>59</v>
      </c>
      <c r="U3889">
        <v>460.81743161017499</v>
      </c>
      <c r="V3889">
        <v>5.9905862216516901E-3</v>
      </c>
      <c r="W3889">
        <v>1323345.51333263</v>
      </c>
      <c r="X3889" t="s">
        <v>40</v>
      </c>
      <c r="Y3889">
        <f>1-384-512-5268</f>
        <v>-6163</v>
      </c>
    </row>
    <row r="3890" spans="1:25" x14ac:dyDescent="0.35">
      <c r="A3890">
        <v>34.132875038910797</v>
      </c>
      <c r="B3890">
        <v>-116.524403231356</v>
      </c>
      <c r="C3890" t="s">
        <v>25</v>
      </c>
      <c r="D3890">
        <v>30.918810929389799</v>
      </c>
      <c r="E3890">
        <v>2</v>
      </c>
      <c r="F3890">
        <v>1868</v>
      </c>
      <c r="G3890">
        <v>4</v>
      </c>
      <c r="H3890">
        <v>1</v>
      </c>
      <c r="I3890">
        <v>1965</v>
      </c>
      <c r="J3890">
        <v>1</v>
      </c>
      <c r="K3890">
        <v>1</v>
      </c>
      <c r="L3890">
        <v>1</v>
      </c>
      <c r="M3890">
        <v>7</v>
      </c>
      <c r="N3890" t="s">
        <v>26</v>
      </c>
      <c r="O3890" t="s">
        <v>32</v>
      </c>
      <c r="P3890">
        <v>14.056529820993701</v>
      </c>
      <c r="Q3890">
        <v>1.82271579619368</v>
      </c>
      <c r="R3890">
        <v>9.8921227567627703</v>
      </c>
      <c r="S3890">
        <v>127</v>
      </c>
      <c r="T3890">
        <v>69</v>
      </c>
      <c r="U3890">
        <v>873.48119718943894</v>
      </c>
      <c r="V3890">
        <v>3.74732334047109E-3</v>
      </c>
      <c r="W3890">
        <v>2038829.4944420501</v>
      </c>
      <c r="X3890" t="s">
        <v>28</v>
      </c>
      <c r="Y3890">
        <f>1-448-739-3080</f>
        <v>-4266</v>
      </c>
    </row>
    <row r="3891" spans="1:25" x14ac:dyDescent="0.35">
      <c r="A3891">
        <v>39.748104089917497</v>
      </c>
      <c r="B3891">
        <v>-119.025021456624</v>
      </c>
      <c r="C3891" t="s">
        <v>34</v>
      </c>
      <c r="D3891">
        <v>30.565244833670601</v>
      </c>
      <c r="E3891">
        <v>5</v>
      </c>
      <c r="F3891">
        <v>1652</v>
      </c>
      <c r="G3891">
        <v>3</v>
      </c>
      <c r="H3891">
        <v>2</v>
      </c>
      <c r="I3891">
        <v>1978</v>
      </c>
      <c r="J3891">
        <v>1</v>
      </c>
      <c r="K3891">
        <v>1</v>
      </c>
      <c r="L3891">
        <v>1</v>
      </c>
      <c r="M3891">
        <v>11</v>
      </c>
      <c r="N3891" t="s">
        <v>26</v>
      </c>
      <c r="O3891" t="s">
        <v>32</v>
      </c>
      <c r="P3891">
        <v>9.8846986767932101</v>
      </c>
      <c r="Q3891">
        <v>1.25148548914887</v>
      </c>
      <c r="R3891">
        <v>0.178689699826518</v>
      </c>
      <c r="S3891">
        <v>52</v>
      </c>
      <c r="T3891">
        <v>27</v>
      </c>
      <c r="U3891">
        <v>840.97269262300495</v>
      </c>
      <c r="V3891">
        <v>6.6585956416464797E-3</v>
      </c>
      <c r="W3891">
        <v>1743791.3100817499</v>
      </c>
      <c r="X3891" t="s">
        <v>43</v>
      </c>
      <c r="Y3891">
        <f>1-708-780-1285</f>
        <v>-2772</v>
      </c>
    </row>
    <row r="3892" spans="1:25" x14ac:dyDescent="0.35">
      <c r="A3892">
        <v>39.847677132423001</v>
      </c>
      <c r="B3892">
        <v>-122.54494132188201</v>
      </c>
      <c r="C3892" t="s">
        <v>25</v>
      </c>
      <c r="D3892">
        <v>5.1195959565049503</v>
      </c>
      <c r="E3892">
        <v>5</v>
      </c>
      <c r="F3892">
        <v>3429</v>
      </c>
      <c r="G3892">
        <v>2</v>
      </c>
      <c r="H3892">
        <v>2</v>
      </c>
      <c r="I3892">
        <v>1990</v>
      </c>
      <c r="J3892">
        <v>0</v>
      </c>
      <c r="K3892">
        <v>1</v>
      </c>
      <c r="L3892">
        <v>1</v>
      </c>
      <c r="M3892">
        <v>8</v>
      </c>
      <c r="N3892" t="s">
        <v>37</v>
      </c>
      <c r="O3892" t="s">
        <v>27</v>
      </c>
      <c r="P3892">
        <v>11.4611421377786</v>
      </c>
      <c r="Q3892">
        <v>0.97441981789219201</v>
      </c>
      <c r="R3892">
        <v>3.3579624770587402</v>
      </c>
      <c r="S3892">
        <v>9</v>
      </c>
      <c r="T3892">
        <v>42</v>
      </c>
      <c r="U3892">
        <v>968.05914199625397</v>
      </c>
      <c r="V3892">
        <v>2.33304170312044E-3</v>
      </c>
      <c r="W3892">
        <v>3666563.3093082998</v>
      </c>
      <c r="X3892" t="s">
        <v>39</v>
      </c>
      <c r="Y3892">
        <f>1-791-172-2329</f>
        <v>-3291</v>
      </c>
    </row>
    <row r="3893" spans="1:25" x14ac:dyDescent="0.35">
      <c r="A3893">
        <v>36.444327419513101</v>
      </c>
      <c r="B3893">
        <v>-115.223335231523</v>
      </c>
      <c r="C3893" t="s">
        <v>25</v>
      </c>
      <c r="D3893">
        <v>46.965049634768597</v>
      </c>
      <c r="E3893">
        <v>5</v>
      </c>
      <c r="F3893">
        <v>687</v>
      </c>
      <c r="G3893">
        <v>3</v>
      </c>
      <c r="H3893">
        <v>3</v>
      </c>
      <c r="I3893">
        <v>2015</v>
      </c>
      <c r="J3893">
        <v>0</v>
      </c>
      <c r="K3893">
        <v>0</v>
      </c>
      <c r="L3893">
        <v>1</v>
      </c>
      <c r="M3893">
        <v>8</v>
      </c>
      <c r="N3893" t="s">
        <v>41</v>
      </c>
      <c r="O3893" t="s">
        <v>27</v>
      </c>
      <c r="P3893">
        <v>4.7236764676403702</v>
      </c>
      <c r="Q3893">
        <v>1.2902139913317201</v>
      </c>
      <c r="R3893">
        <v>9.6412816774838603</v>
      </c>
      <c r="S3893">
        <v>123</v>
      </c>
      <c r="T3893">
        <v>62</v>
      </c>
      <c r="U3893">
        <v>917.31055481810904</v>
      </c>
      <c r="V3893">
        <v>1.1644832605531201E-2</v>
      </c>
      <c r="W3893">
        <v>861529.48503559304</v>
      </c>
      <c r="X3893" t="s">
        <v>31</v>
      </c>
      <c r="Y3893">
        <f>1-554-415-9230</f>
        <v>-10198</v>
      </c>
    </row>
    <row r="3894" spans="1:25" x14ac:dyDescent="0.35">
      <c r="A3894">
        <v>40.679240324684599</v>
      </c>
      <c r="B3894">
        <v>-122.032701302181</v>
      </c>
      <c r="C3894" t="s">
        <v>25</v>
      </c>
      <c r="D3894">
        <v>49.548551719935901</v>
      </c>
      <c r="E3894">
        <v>1</v>
      </c>
      <c r="F3894">
        <v>4561</v>
      </c>
      <c r="G3894">
        <v>1</v>
      </c>
      <c r="H3894">
        <v>3</v>
      </c>
      <c r="I3894">
        <v>1980</v>
      </c>
      <c r="J3894">
        <v>1</v>
      </c>
      <c r="K3894">
        <v>0</v>
      </c>
      <c r="L3894">
        <v>1</v>
      </c>
      <c r="M3894">
        <v>5</v>
      </c>
      <c r="N3894" t="s">
        <v>26</v>
      </c>
      <c r="O3894" t="s">
        <v>32</v>
      </c>
      <c r="P3894">
        <v>11.179952963182201</v>
      </c>
      <c r="Q3894">
        <v>0.63079929332557105</v>
      </c>
      <c r="R3894">
        <v>1.0472205953276601</v>
      </c>
      <c r="S3894">
        <v>155</v>
      </c>
      <c r="T3894">
        <v>27</v>
      </c>
      <c r="U3894">
        <v>214.082126028684</v>
      </c>
      <c r="V3894">
        <v>1.0962508221881099E-3</v>
      </c>
      <c r="W3894">
        <v>1192269.6464488399</v>
      </c>
      <c r="X3894" t="s">
        <v>36</v>
      </c>
      <c r="Y3894">
        <f>1-908-761-5071</f>
        <v>-6739</v>
      </c>
    </row>
    <row r="3895" spans="1:25" x14ac:dyDescent="0.35">
      <c r="A3895">
        <v>33.309478739740698</v>
      </c>
      <c r="B3895">
        <v>-124.283724605355</v>
      </c>
      <c r="C3895" t="s">
        <v>25</v>
      </c>
      <c r="D3895">
        <v>32.0710791180786</v>
      </c>
      <c r="E3895">
        <v>9</v>
      </c>
      <c r="F3895">
        <v>1851</v>
      </c>
      <c r="G3895">
        <v>3</v>
      </c>
      <c r="H3895">
        <v>1</v>
      </c>
      <c r="I3895">
        <v>1972</v>
      </c>
      <c r="J3895">
        <v>1</v>
      </c>
      <c r="K3895">
        <v>0</v>
      </c>
      <c r="L3895">
        <v>1</v>
      </c>
      <c r="M3895">
        <v>12</v>
      </c>
      <c r="N3895" t="s">
        <v>26</v>
      </c>
      <c r="O3895" t="s">
        <v>30</v>
      </c>
      <c r="P3895">
        <v>3.5772928278190701</v>
      </c>
      <c r="Q3895">
        <v>1.3727994753645301</v>
      </c>
      <c r="R3895">
        <v>5.1951505410771901</v>
      </c>
      <c r="S3895">
        <v>178</v>
      </c>
      <c r="T3895">
        <v>37</v>
      </c>
      <c r="U3895">
        <v>416.57588110928202</v>
      </c>
      <c r="V3895">
        <v>6.4829821717990203E-3</v>
      </c>
      <c r="W3895">
        <v>949529.74924011296</v>
      </c>
      <c r="X3895" t="s">
        <v>43</v>
      </c>
      <c r="Y3895">
        <f>1-380-585-1646</f>
        <v>-2610</v>
      </c>
    </row>
    <row r="3896" spans="1:25" x14ac:dyDescent="0.35">
      <c r="A3896">
        <v>34.875452901217301</v>
      </c>
      <c r="B3896">
        <v>-124.07742575389901</v>
      </c>
      <c r="C3896" t="s">
        <v>34</v>
      </c>
      <c r="D3896">
        <v>39.004150445376297</v>
      </c>
      <c r="E3896">
        <v>1</v>
      </c>
      <c r="F3896">
        <v>3521</v>
      </c>
      <c r="G3896">
        <v>4</v>
      </c>
      <c r="H3896">
        <v>1</v>
      </c>
      <c r="I3896">
        <v>1962</v>
      </c>
      <c r="J3896">
        <v>1</v>
      </c>
      <c r="K3896">
        <v>1</v>
      </c>
      <c r="L3896">
        <v>0</v>
      </c>
      <c r="M3896">
        <v>3</v>
      </c>
      <c r="N3896" t="s">
        <v>37</v>
      </c>
      <c r="O3896" t="s">
        <v>27</v>
      </c>
      <c r="P3896">
        <v>2.7346170364040998</v>
      </c>
      <c r="Q3896">
        <v>0.90409778711701005</v>
      </c>
      <c r="R3896">
        <v>3.8522438109153398</v>
      </c>
      <c r="S3896">
        <v>14</v>
      </c>
      <c r="T3896">
        <v>79</v>
      </c>
      <c r="U3896">
        <v>817.56477159556198</v>
      </c>
      <c r="V3896">
        <v>8.5203067310423103E-4</v>
      </c>
      <c r="W3896">
        <v>3183019.9367472199</v>
      </c>
      <c r="X3896" t="s">
        <v>31</v>
      </c>
      <c r="Y3896">
        <f>1-218-500-4534</f>
        <v>-5251</v>
      </c>
    </row>
    <row r="3897" spans="1:25" x14ac:dyDescent="0.35">
      <c r="A3897">
        <v>35.299198638919997</v>
      </c>
      <c r="B3897">
        <v>-114.108486666083</v>
      </c>
      <c r="C3897" t="s">
        <v>25</v>
      </c>
      <c r="D3897">
        <v>23.897206294626798</v>
      </c>
      <c r="E3897">
        <v>0</v>
      </c>
      <c r="F3897">
        <v>516</v>
      </c>
      <c r="G3897">
        <v>3</v>
      </c>
      <c r="H3897">
        <v>2</v>
      </c>
      <c r="I3897">
        <v>1971</v>
      </c>
      <c r="J3897">
        <v>1</v>
      </c>
      <c r="K3897">
        <v>1</v>
      </c>
      <c r="L3897">
        <v>0</v>
      </c>
      <c r="M3897">
        <v>5</v>
      </c>
      <c r="N3897" t="s">
        <v>37</v>
      </c>
      <c r="O3897" t="s">
        <v>27</v>
      </c>
      <c r="P3897">
        <v>12.6366330153277</v>
      </c>
      <c r="Q3897">
        <v>1.4761113640793899</v>
      </c>
      <c r="R3897">
        <v>9.9495856030599104</v>
      </c>
      <c r="S3897">
        <v>77</v>
      </c>
      <c r="T3897">
        <v>73</v>
      </c>
      <c r="U3897">
        <v>422.39735503275398</v>
      </c>
      <c r="V3897">
        <v>9.6899224806201497E-3</v>
      </c>
      <c r="W3897">
        <v>496458.072794654</v>
      </c>
      <c r="X3897" t="s">
        <v>42</v>
      </c>
      <c r="Y3897">
        <f>1-854-729-8733</f>
        <v>-10315</v>
      </c>
    </row>
    <row r="3898" spans="1:25" x14ac:dyDescent="0.35">
      <c r="A3898">
        <v>35.749600396921501</v>
      </c>
      <c r="B3898">
        <v>-118.910698413269</v>
      </c>
      <c r="C3898" t="s">
        <v>25</v>
      </c>
      <c r="D3898">
        <v>14.212578733757599</v>
      </c>
      <c r="E3898">
        <v>2</v>
      </c>
      <c r="F3898">
        <v>2051</v>
      </c>
      <c r="G3898">
        <v>1</v>
      </c>
      <c r="H3898">
        <v>3</v>
      </c>
      <c r="I3898">
        <v>1980</v>
      </c>
      <c r="J3898">
        <v>1</v>
      </c>
      <c r="K3898">
        <v>1</v>
      </c>
      <c r="L3898">
        <v>0</v>
      </c>
      <c r="M3898">
        <v>6</v>
      </c>
      <c r="N3898" t="s">
        <v>35</v>
      </c>
      <c r="O3898" t="s">
        <v>32</v>
      </c>
      <c r="P3898">
        <v>11.472473235186101</v>
      </c>
      <c r="Q3898">
        <v>1.6022529569530899</v>
      </c>
      <c r="R3898">
        <v>1.9947156508266</v>
      </c>
      <c r="S3898">
        <v>107</v>
      </c>
      <c r="T3898">
        <v>66</v>
      </c>
      <c r="U3898">
        <v>860.13736493998101</v>
      </c>
      <c r="V3898">
        <v>2.9254022428083799E-3</v>
      </c>
      <c r="W3898">
        <v>1953880.1400567701</v>
      </c>
      <c r="X3898" t="s">
        <v>43</v>
      </c>
      <c r="Y3898">
        <f>1-633-206-4317</f>
        <v>-5155</v>
      </c>
    </row>
    <row r="3899" spans="1:25" x14ac:dyDescent="0.35">
      <c r="A3899">
        <v>33.8904481695062</v>
      </c>
      <c r="B3899">
        <v>-119.422706893853</v>
      </c>
      <c r="C3899" t="s">
        <v>25</v>
      </c>
      <c r="D3899">
        <v>21.771382068155098</v>
      </c>
      <c r="E3899">
        <v>6</v>
      </c>
      <c r="F3899">
        <v>4616</v>
      </c>
      <c r="G3899">
        <v>4</v>
      </c>
      <c r="H3899">
        <v>1</v>
      </c>
      <c r="I3899">
        <v>2012</v>
      </c>
      <c r="J3899">
        <v>0</v>
      </c>
      <c r="K3899">
        <v>1</v>
      </c>
      <c r="L3899">
        <v>0</v>
      </c>
      <c r="M3899">
        <v>11</v>
      </c>
      <c r="N3899" t="s">
        <v>41</v>
      </c>
      <c r="O3899" t="s">
        <v>30</v>
      </c>
      <c r="P3899">
        <v>11.2206954761433</v>
      </c>
      <c r="Q3899">
        <v>1.19475533136263</v>
      </c>
      <c r="R3899">
        <v>9.5049627804977295</v>
      </c>
      <c r="S3899">
        <v>82</v>
      </c>
      <c r="T3899">
        <v>74</v>
      </c>
      <c r="U3899">
        <v>926.19874188138704</v>
      </c>
      <c r="V3899">
        <v>2.3830155979202702E-3</v>
      </c>
      <c r="W3899">
        <v>4589350.7357385</v>
      </c>
      <c r="X3899" t="s">
        <v>36</v>
      </c>
      <c r="Y3899">
        <f>1-274-915-7453</f>
        <v>-8641</v>
      </c>
    </row>
    <row r="3900" spans="1:25" x14ac:dyDescent="0.35">
      <c r="A3900">
        <v>41.819012903949201</v>
      </c>
      <c r="B3900">
        <v>-123.086437036337</v>
      </c>
      <c r="C3900" t="s">
        <v>29</v>
      </c>
      <c r="D3900">
        <v>28.298322691360902</v>
      </c>
      <c r="E3900">
        <v>9</v>
      </c>
      <c r="F3900">
        <v>995</v>
      </c>
      <c r="G3900">
        <v>5</v>
      </c>
      <c r="H3900">
        <v>2</v>
      </c>
      <c r="I3900">
        <v>1955</v>
      </c>
      <c r="J3900">
        <v>1</v>
      </c>
      <c r="K3900">
        <v>1</v>
      </c>
      <c r="L3900">
        <v>1</v>
      </c>
      <c r="M3900">
        <v>8</v>
      </c>
      <c r="N3900" t="s">
        <v>37</v>
      </c>
      <c r="O3900" t="s">
        <v>27</v>
      </c>
      <c r="P3900">
        <v>7.3783655068468601</v>
      </c>
      <c r="Q3900">
        <v>0.88781402344225302</v>
      </c>
      <c r="R3900">
        <v>0.249929827133857</v>
      </c>
      <c r="S3900">
        <v>185</v>
      </c>
      <c r="T3900">
        <v>47</v>
      </c>
      <c r="U3900">
        <v>986.334607521934</v>
      </c>
      <c r="V3900">
        <v>8.0402010050251195E-3</v>
      </c>
      <c r="W3900">
        <v>1381639.4282058901</v>
      </c>
      <c r="X3900" t="s">
        <v>31</v>
      </c>
      <c r="Y3900">
        <f>1-405-553-5753</f>
        <v>-6710</v>
      </c>
    </row>
    <row r="3901" spans="1:25" x14ac:dyDescent="0.35">
      <c r="A3901">
        <v>38.8629630837112</v>
      </c>
      <c r="B3901">
        <v>-123.804002776884</v>
      </c>
      <c r="C3901" t="s">
        <v>34</v>
      </c>
      <c r="D3901">
        <v>16.395498850271998</v>
      </c>
      <c r="E3901">
        <v>2</v>
      </c>
      <c r="F3901">
        <v>4386</v>
      </c>
      <c r="G3901">
        <v>4</v>
      </c>
      <c r="H3901">
        <v>2</v>
      </c>
      <c r="I3901">
        <v>1955</v>
      </c>
      <c r="J3901">
        <v>1</v>
      </c>
      <c r="K3901">
        <v>1</v>
      </c>
      <c r="L3901">
        <v>1</v>
      </c>
      <c r="M3901">
        <v>3</v>
      </c>
      <c r="N3901" t="s">
        <v>41</v>
      </c>
      <c r="O3901" t="s">
        <v>30</v>
      </c>
      <c r="P3901">
        <v>10.467339334948401</v>
      </c>
      <c r="Q3901">
        <v>0.91441474256051403</v>
      </c>
      <c r="R3901">
        <v>3.75004991292951</v>
      </c>
      <c r="S3901">
        <v>29</v>
      </c>
      <c r="T3901">
        <v>70</v>
      </c>
      <c r="U3901">
        <v>475.38557235679701</v>
      </c>
      <c r="V3901">
        <v>6.8399452804377499E-4</v>
      </c>
      <c r="W3901">
        <v>2496789.0973038902</v>
      </c>
      <c r="X3901" t="s">
        <v>38</v>
      </c>
      <c r="Y3901">
        <f>1-545-841-7096</f>
        <v>-8481</v>
      </c>
    </row>
    <row r="3902" spans="1:25" x14ac:dyDescent="0.35">
      <c r="A3902">
        <v>34.3048251367332</v>
      </c>
      <c r="B3902">
        <v>-119.49090460841001</v>
      </c>
      <c r="C3902" t="s">
        <v>34</v>
      </c>
      <c r="D3902">
        <v>12.487449662834599</v>
      </c>
      <c r="E3902">
        <v>8</v>
      </c>
      <c r="F3902">
        <v>3049</v>
      </c>
      <c r="G3902">
        <v>1</v>
      </c>
      <c r="H3902">
        <v>3</v>
      </c>
      <c r="I3902">
        <v>1965</v>
      </c>
      <c r="J3902">
        <v>0</v>
      </c>
      <c r="K3902">
        <v>0</v>
      </c>
      <c r="L3902">
        <v>0</v>
      </c>
      <c r="M3902">
        <v>2</v>
      </c>
      <c r="N3902" t="s">
        <v>37</v>
      </c>
      <c r="O3902" t="s">
        <v>30</v>
      </c>
      <c r="P3902">
        <v>6.1612939633341197</v>
      </c>
      <c r="Q3902">
        <v>2.4599760755726598</v>
      </c>
      <c r="R3902">
        <v>4.3282608796237696</v>
      </c>
      <c r="S3902">
        <v>170</v>
      </c>
      <c r="T3902">
        <v>20</v>
      </c>
      <c r="U3902">
        <v>401.542330328795</v>
      </c>
      <c r="V3902">
        <v>6.5595277140045904E-4</v>
      </c>
      <c r="W3902">
        <v>1284671.5843030801</v>
      </c>
      <c r="X3902" t="s">
        <v>33</v>
      </c>
      <c r="Y3902">
        <f>1-482-192-8801</f>
        <v>-9474</v>
      </c>
    </row>
    <row r="3903" spans="1:25" x14ac:dyDescent="0.35">
      <c r="A3903">
        <v>35.205070930707002</v>
      </c>
      <c r="B3903">
        <v>-122.32587157461001</v>
      </c>
      <c r="C3903" t="s">
        <v>34</v>
      </c>
      <c r="D3903">
        <v>35.346067726947602</v>
      </c>
      <c r="E3903">
        <v>1</v>
      </c>
      <c r="F3903">
        <v>4412</v>
      </c>
      <c r="G3903">
        <v>4</v>
      </c>
      <c r="H3903">
        <v>2</v>
      </c>
      <c r="I3903">
        <v>2000</v>
      </c>
      <c r="J3903">
        <v>0</v>
      </c>
      <c r="K3903">
        <v>0</v>
      </c>
      <c r="L3903">
        <v>1</v>
      </c>
      <c r="M3903">
        <v>8</v>
      </c>
      <c r="N3903" t="s">
        <v>26</v>
      </c>
      <c r="O3903" t="s">
        <v>30</v>
      </c>
      <c r="P3903">
        <v>6.95387690740721</v>
      </c>
      <c r="Q3903">
        <v>2.2424595399120202</v>
      </c>
      <c r="R3903">
        <v>9.7571882158083501</v>
      </c>
      <c r="S3903">
        <v>32</v>
      </c>
      <c r="T3903">
        <v>31</v>
      </c>
      <c r="U3903">
        <v>701.91535928077701</v>
      </c>
      <c r="V3903">
        <v>1.81323662737987E-3</v>
      </c>
      <c r="W3903">
        <v>3465697.1849715798</v>
      </c>
      <c r="X3903" t="s">
        <v>28</v>
      </c>
      <c r="Y3903">
        <f>1-552-270-6336</f>
        <v>-7157</v>
      </c>
    </row>
    <row r="3904" spans="1:25" x14ac:dyDescent="0.35">
      <c r="A3904">
        <v>41.307529050950201</v>
      </c>
      <c r="B3904">
        <v>-119.77426763328801</v>
      </c>
      <c r="C3904" t="s">
        <v>25</v>
      </c>
      <c r="D3904">
        <v>49.011824791772703</v>
      </c>
      <c r="E3904">
        <v>8</v>
      </c>
      <c r="F3904">
        <v>2773</v>
      </c>
      <c r="G3904">
        <v>5</v>
      </c>
      <c r="H3904">
        <v>3</v>
      </c>
      <c r="I3904">
        <v>2019</v>
      </c>
      <c r="J3904">
        <v>0</v>
      </c>
      <c r="K3904">
        <v>0</v>
      </c>
      <c r="L3904">
        <v>0</v>
      </c>
      <c r="M3904">
        <v>8</v>
      </c>
      <c r="N3904" t="s">
        <v>41</v>
      </c>
      <c r="O3904" t="s">
        <v>30</v>
      </c>
      <c r="P3904">
        <v>5.1265210132960197</v>
      </c>
      <c r="Q3904">
        <v>1.75861772858162</v>
      </c>
      <c r="R3904">
        <v>8.5871777993398997</v>
      </c>
      <c r="S3904">
        <v>117</v>
      </c>
      <c r="T3904">
        <v>65</v>
      </c>
      <c r="U3904">
        <v>349.16262900560298</v>
      </c>
      <c r="V3904">
        <v>2.8849621348719799E-3</v>
      </c>
      <c r="W3904">
        <v>1238868.5365712</v>
      </c>
      <c r="X3904" t="s">
        <v>39</v>
      </c>
      <c r="Y3904">
        <f>1-755-417-6491</f>
        <v>-7662</v>
      </c>
    </row>
    <row r="3905" spans="1:25" x14ac:dyDescent="0.35">
      <c r="A3905">
        <v>41.139409717104698</v>
      </c>
      <c r="B3905">
        <v>-120.89909542938101</v>
      </c>
      <c r="C3905" t="s">
        <v>29</v>
      </c>
      <c r="D3905">
        <v>49.587985682043403</v>
      </c>
      <c r="E3905">
        <v>6</v>
      </c>
      <c r="F3905">
        <v>4393</v>
      </c>
      <c r="G3905">
        <v>2</v>
      </c>
      <c r="H3905">
        <v>2</v>
      </c>
      <c r="I3905">
        <v>1968</v>
      </c>
      <c r="J3905">
        <v>0</v>
      </c>
      <c r="K3905">
        <v>0</v>
      </c>
      <c r="L3905">
        <v>1</v>
      </c>
      <c r="M3905">
        <v>3</v>
      </c>
      <c r="N3905" t="s">
        <v>37</v>
      </c>
      <c r="O3905" t="s">
        <v>32</v>
      </c>
      <c r="P3905">
        <v>10.5834520414669</v>
      </c>
      <c r="Q3905">
        <v>0.70431630413717605</v>
      </c>
      <c r="R3905">
        <v>9.8149805844626599</v>
      </c>
      <c r="S3905">
        <v>69</v>
      </c>
      <c r="T3905">
        <v>40</v>
      </c>
      <c r="U3905">
        <v>303.36922798371199</v>
      </c>
      <c r="V3905">
        <v>6.8290462098793503E-4</v>
      </c>
      <c r="W3905">
        <v>1420919.8450786599</v>
      </c>
      <c r="X3905" t="s">
        <v>38</v>
      </c>
      <c r="Y3905">
        <f>1-855-850-9618</f>
        <v>-11322</v>
      </c>
    </row>
    <row r="3906" spans="1:25" x14ac:dyDescent="0.35">
      <c r="A3906">
        <v>40.923316130397303</v>
      </c>
      <c r="B3906">
        <v>-118.554841692751</v>
      </c>
      <c r="C3906" t="s">
        <v>34</v>
      </c>
      <c r="D3906">
        <v>31.6059611404844</v>
      </c>
      <c r="E3906">
        <v>2</v>
      </c>
      <c r="F3906">
        <v>4399</v>
      </c>
      <c r="G3906">
        <v>5</v>
      </c>
      <c r="H3906">
        <v>2</v>
      </c>
      <c r="I3906">
        <v>2013</v>
      </c>
      <c r="J3906">
        <v>0</v>
      </c>
      <c r="K3906">
        <v>1</v>
      </c>
      <c r="L3906">
        <v>1</v>
      </c>
      <c r="M3906">
        <v>12</v>
      </c>
      <c r="N3906" t="s">
        <v>26</v>
      </c>
      <c r="O3906" t="s">
        <v>30</v>
      </c>
      <c r="P3906">
        <v>12.4738935120545</v>
      </c>
      <c r="Q3906">
        <v>0.85348397019566802</v>
      </c>
      <c r="R3906">
        <v>5.8123521074676496</v>
      </c>
      <c r="S3906">
        <v>90</v>
      </c>
      <c r="T3906">
        <v>21</v>
      </c>
      <c r="U3906">
        <v>689.16766181382195</v>
      </c>
      <c r="V3906">
        <v>2.7278927028870198E-3</v>
      </c>
      <c r="W3906">
        <v>3441525.6091560498</v>
      </c>
      <c r="X3906" t="s">
        <v>42</v>
      </c>
      <c r="Y3906">
        <f>1-537-309-1455</f>
        <v>-2300</v>
      </c>
    </row>
    <row r="3907" spans="1:25" x14ac:dyDescent="0.35">
      <c r="A3907">
        <v>38.354307346661997</v>
      </c>
      <c r="B3907">
        <v>-116.163565860576</v>
      </c>
      <c r="C3907" t="s">
        <v>29</v>
      </c>
      <c r="D3907">
        <v>14.0168333924648</v>
      </c>
      <c r="E3907">
        <v>3</v>
      </c>
      <c r="F3907">
        <v>1996</v>
      </c>
      <c r="G3907">
        <v>4</v>
      </c>
      <c r="H3907">
        <v>1</v>
      </c>
      <c r="I3907">
        <v>1988</v>
      </c>
      <c r="J3907">
        <v>1</v>
      </c>
      <c r="K3907">
        <v>1</v>
      </c>
      <c r="L3907">
        <v>1</v>
      </c>
      <c r="M3907">
        <v>7</v>
      </c>
      <c r="N3907" t="s">
        <v>41</v>
      </c>
      <c r="O3907" t="s">
        <v>27</v>
      </c>
      <c r="P3907">
        <v>5.4091251206581701</v>
      </c>
      <c r="Q3907">
        <v>2.1883405926038599</v>
      </c>
      <c r="R3907">
        <v>0.509315301174042</v>
      </c>
      <c r="S3907">
        <v>8</v>
      </c>
      <c r="T3907">
        <v>51</v>
      </c>
      <c r="U3907">
        <v>591.02318764248901</v>
      </c>
      <c r="V3907">
        <v>3.5070140280561101E-3</v>
      </c>
      <c r="W3907">
        <v>1554756.72044493</v>
      </c>
      <c r="X3907" t="s">
        <v>42</v>
      </c>
      <c r="Y3907">
        <f>1-322-798-5089</f>
        <v>-6208</v>
      </c>
    </row>
    <row r="3908" spans="1:25" x14ac:dyDescent="0.35">
      <c r="A3908">
        <v>40.808036795253898</v>
      </c>
      <c r="B3908">
        <v>-119.306416046506</v>
      </c>
      <c r="C3908" t="s">
        <v>34</v>
      </c>
      <c r="D3908">
        <v>3.8581333379879301</v>
      </c>
      <c r="E3908">
        <v>0</v>
      </c>
      <c r="F3908">
        <v>2265</v>
      </c>
      <c r="G3908">
        <v>2</v>
      </c>
      <c r="H3908">
        <v>3</v>
      </c>
      <c r="I3908">
        <v>1994</v>
      </c>
      <c r="J3908">
        <v>1</v>
      </c>
      <c r="K3908">
        <v>0</v>
      </c>
      <c r="L3908">
        <v>1</v>
      </c>
      <c r="M3908">
        <v>13</v>
      </c>
      <c r="N3908" t="s">
        <v>35</v>
      </c>
      <c r="O3908" t="s">
        <v>30</v>
      </c>
      <c r="P3908">
        <v>6.2197987539473898</v>
      </c>
      <c r="Q3908">
        <v>1.7870090712264199</v>
      </c>
      <c r="R3908">
        <v>1.51109555641569</v>
      </c>
      <c r="S3908">
        <v>191</v>
      </c>
      <c r="T3908">
        <v>20</v>
      </c>
      <c r="U3908">
        <v>690.21716824364501</v>
      </c>
      <c r="V3908">
        <v>5.7395143487858702E-3</v>
      </c>
      <c r="W3908">
        <v>1843123.6717421201</v>
      </c>
      <c r="X3908" t="s">
        <v>28</v>
      </c>
      <c r="Y3908">
        <f>1-779-504-9501</f>
        <v>-10783</v>
      </c>
    </row>
    <row r="3909" spans="1:25" x14ac:dyDescent="0.35">
      <c r="A3909">
        <v>39.548510105385098</v>
      </c>
      <c r="B3909">
        <v>-122.19040362211101</v>
      </c>
      <c r="C3909" t="s">
        <v>29</v>
      </c>
      <c r="D3909">
        <v>30.288930262785101</v>
      </c>
      <c r="E3909">
        <v>3</v>
      </c>
      <c r="F3909">
        <v>3032</v>
      </c>
      <c r="G3909">
        <v>5</v>
      </c>
      <c r="H3909">
        <v>1</v>
      </c>
      <c r="I3909">
        <v>1959</v>
      </c>
      <c r="J3909">
        <v>1</v>
      </c>
      <c r="K3909">
        <v>0</v>
      </c>
      <c r="L3909">
        <v>0</v>
      </c>
      <c r="M3909">
        <v>5</v>
      </c>
      <c r="N3909" t="s">
        <v>26</v>
      </c>
      <c r="O3909" t="s">
        <v>32</v>
      </c>
      <c r="P3909">
        <v>2.8161327849848798</v>
      </c>
      <c r="Q3909">
        <v>2.3463188554959</v>
      </c>
      <c r="R3909">
        <v>3.0212572121407999</v>
      </c>
      <c r="S3909">
        <v>45</v>
      </c>
      <c r="T3909">
        <v>42</v>
      </c>
      <c r="U3909">
        <v>776.05262889925802</v>
      </c>
      <c r="V3909">
        <v>1.64907651715039E-3</v>
      </c>
      <c r="W3909">
        <v>2541103.4607172702</v>
      </c>
      <c r="X3909" t="s">
        <v>44</v>
      </c>
      <c r="Y3909">
        <f>1-853-989-1031</f>
        <v>-2872</v>
      </c>
    </row>
    <row r="3910" spans="1:25" x14ac:dyDescent="0.35">
      <c r="A3910">
        <v>38.555937873586203</v>
      </c>
      <c r="B3910">
        <v>-115.940030587461</v>
      </c>
      <c r="C3910" t="s">
        <v>34</v>
      </c>
      <c r="D3910">
        <v>25.653756396708001</v>
      </c>
      <c r="E3910">
        <v>6</v>
      </c>
      <c r="F3910">
        <v>1011</v>
      </c>
      <c r="G3910">
        <v>1</v>
      </c>
      <c r="H3910">
        <v>1</v>
      </c>
      <c r="I3910">
        <v>1990</v>
      </c>
      <c r="J3910">
        <v>1</v>
      </c>
      <c r="K3910">
        <v>0</v>
      </c>
      <c r="L3910">
        <v>0</v>
      </c>
      <c r="M3910">
        <v>14</v>
      </c>
      <c r="N3910" t="s">
        <v>37</v>
      </c>
      <c r="O3910" t="s">
        <v>27</v>
      </c>
      <c r="P3910">
        <v>9.1019153307525507</v>
      </c>
      <c r="Q3910">
        <v>0.65927937354166499</v>
      </c>
      <c r="R3910">
        <v>1.3537739942436999</v>
      </c>
      <c r="S3910">
        <v>76</v>
      </c>
      <c r="T3910">
        <v>48</v>
      </c>
      <c r="U3910">
        <v>918.97919384228396</v>
      </c>
      <c r="V3910">
        <v>1.3847675568743801E-2</v>
      </c>
      <c r="W3910">
        <v>1102048.66249373</v>
      </c>
      <c r="X3910" t="s">
        <v>40</v>
      </c>
      <c r="Y3910">
        <f>1-661-786-3331</f>
        <v>-4777</v>
      </c>
    </row>
    <row r="3911" spans="1:25" x14ac:dyDescent="0.35">
      <c r="A3911">
        <v>37.003578406154297</v>
      </c>
      <c r="B3911">
        <v>-115.277047208417</v>
      </c>
      <c r="C3911" t="s">
        <v>25</v>
      </c>
      <c r="D3911">
        <v>46.036887689791698</v>
      </c>
      <c r="E3911">
        <v>5</v>
      </c>
      <c r="F3911">
        <v>3093</v>
      </c>
      <c r="G3911">
        <v>1</v>
      </c>
      <c r="H3911">
        <v>2</v>
      </c>
      <c r="I3911">
        <v>2005</v>
      </c>
      <c r="J3911">
        <v>1</v>
      </c>
      <c r="K3911">
        <v>0</v>
      </c>
      <c r="L3911">
        <v>0</v>
      </c>
      <c r="M3911">
        <v>10</v>
      </c>
      <c r="N3911" t="s">
        <v>37</v>
      </c>
      <c r="O3911" t="s">
        <v>30</v>
      </c>
      <c r="P3911">
        <v>7.8541069896464499</v>
      </c>
      <c r="Q3911">
        <v>0.59520028847460105</v>
      </c>
      <c r="R3911">
        <v>6.3654833446343497</v>
      </c>
      <c r="S3911">
        <v>82</v>
      </c>
      <c r="T3911">
        <v>45</v>
      </c>
      <c r="U3911">
        <v>768.63429734298097</v>
      </c>
      <c r="V3911">
        <v>3.2331070158422202E-3</v>
      </c>
      <c r="W3911">
        <v>2628830.1084063002</v>
      </c>
      <c r="X3911" t="s">
        <v>38</v>
      </c>
      <c r="Y3911">
        <f>1-406-299-1437</f>
        <v>-2141</v>
      </c>
    </row>
    <row r="3912" spans="1:25" x14ac:dyDescent="0.35">
      <c r="A3912">
        <v>38.071887762764298</v>
      </c>
      <c r="B3912">
        <v>-120.947656266628</v>
      </c>
      <c r="C3912" t="s">
        <v>25</v>
      </c>
      <c r="D3912">
        <v>25.688794619262499</v>
      </c>
      <c r="E3912">
        <v>8</v>
      </c>
      <c r="F3912">
        <v>1872</v>
      </c>
      <c r="G3912">
        <v>3</v>
      </c>
      <c r="H3912">
        <v>3</v>
      </c>
      <c r="I3912">
        <v>2021</v>
      </c>
      <c r="J3912">
        <v>1</v>
      </c>
      <c r="K3912">
        <v>1</v>
      </c>
      <c r="L3912">
        <v>1</v>
      </c>
      <c r="M3912">
        <v>8</v>
      </c>
      <c r="N3912" t="s">
        <v>37</v>
      </c>
      <c r="O3912" t="s">
        <v>30</v>
      </c>
      <c r="P3912">
        <v>4.1906094922392203</v>
      </c>
      <c r="Q3912">
        <v>2.0169075116602802</v>
      </c>
      <c r="R3912">
        <v>5.1690965642615101</v>
      </c>
      <c r="S3912">
        <v>59</v>
      </c>
      <c r="T3912">
        <v>20</v>
      </c>
      <c r="U3912">
        <v>370.75499123846799</v>
      </c>
      <c r="V3912">
        <v>4.2735042735042696E-3</v>
      </c>
      <c r="W3912">
        <v>1083896.8312218999</v>
      </c>
      <c r="X3912" t="s">
        <v>38</v>
      </c>
      <c r="Y3912">
        <f>1-901-491-3715</f>
        <v>-5106</v>
      </c>
    </row>
    <row r="3913" spans="1:25" x14ac:dyDescent="0.35">
      <c r="A3913">
        <v>32.595449651604397</v>
      </c>
      <c r="B3913">
        <v>-124.36508493289099</v>
      </c>
      <c r="C3913" t="s">
        <v>29</v>
      </c>
      <c r="D3913">
        <v>12.0453435609589</v>
      </c>
      <c r="E3913">
        <v>5</v>
      </c>
      <c r="F3913">
        <v>2528</v>
      </c>
      <c r="G3913">
        <v>3</v>
      </c>
      <c r="H3913">
        <v>3</v>
      </c>
      <c r="I3913">
        <v>1987</v>
      </c>
      <c r="J3913">
        <v>1</v>
      </c>
      <c r="K3913">
        <v>1</v>
      </c>
      <c r="L3913">
        <v>1</v>
      </c>
      <c r="M3913">
        <v>12</v>
      </c>
      <c r="N3913" t="s">
        <v>26</v>
      </c>
      <c r="O3913" t="s">
        <v>32</v>
      </c>
      <c r="P3913">
        <v>3.33192506301874</v>
      </c>
      <c r="Q3913">
        <v>1.3594361652361899</v>
      </c>
      <c r="R3913">
        <v>4.0545926236153997</v>
      </c>
      <c r="S3913">
        <v>28</v>
      </c>
      <c r="T3913">
        <v>31</v>
      </c>
      <c r="U3913">
        <v>751.78231410640694</v>
      </c>
      <c r="V3913">
        <v>4.7468354430379696E-3</v>
      </c>
      <c r="W3913">
        <v>2282971.7560086101</v>
      </c>
      <c r="X3913" t="s">
        <v>36</v>
      </c>
      <c r="Y3913">
        <f>1-758-600-4138</f>
        <v>-5495</v>
      </c>
    </row>
    <row r="3914" spans="1:25" x14ac:dyDescent="0.35">
      <c r="A3914">
        <v>40.451428509230396</v>
      </c>
      <c r="B3914">
        <v>-118.876453116655</v>
      </c>
      <c r="C3914" t="s">
        <v>25</v>
      </c>
      <c r="D3914">
        <v>31.554131206227201</v>
      </c>
      <c r="E3914">
        <v>8</v>
      </c>
      <c r="F3914">
        <v>1316</v>
      </c>
      <c r="G3914">
        <v>4</v>
      </c>
      <c r="H3914">
        <v>2</v>
      </c>
      <c r="I3914">
        <v>1979</v>
      </c>
      <c r="J3914">
        <v>1</v>
      </c>
      <c r="K3914">
        <v>0</v>
      </c>
      <c r="L3914">
        <v>0</v>
      </c>
      <c r="M3914">
        <v>10</v>
      </c>
      <c r="N3914" t="s">
        <v>35</v>
      </c>
      <c r="O3914" t="s">
        <v>32</v>
      </c>
      <c r="P3914">
        <v>3.1151351059099901</v>
      </c>
      <c r="Q3914">
        <v>1.56704427104908</v>
      </c>
      <c r="R3914">
        <v>2.9081987855306899</v>
      </c>
      <c r="S3914">
        <v>91</v>
      </c>
      <c r="T3914">
        <v>79</v>
      </c>
      <c r="U3914">
        <v>272.98480014329402</v>
      </c>
      <c r="V3914">
        <v>7.5987841945288704E-3</v>
      </c>
      <c r="W3914">
        <v>590309.63510129205</v>
      </c>
      <c r="X3914" t="s">
        <v>31</v>
      </c>
      <c r="Y3914">
        <f>1-606-577-2728</f>
        <v>-3910</v>
      </c>
    </row>
    <row r="3915" spans="1:25" x14ac:dyDescent="0.35">
      <c r="A3915">
        <v>40.112110940630103</v>
      </c>
      <c r="B3915">
        <v>-117.327439134027</v>
      </c>
      <c r="C3915" t="s">
        <v>25</v>
      </c>
      <c r="D3915">
        <v>33.748841801558299</v>
      </c>
      <c r="E3915">
        <v>3</v>
      </c>
      <c r="F3915">
        <v>4420</v>
      </c>
      <c r="G3915">
        <v>5</v>
      </c>
      <c r="H3915">
        <v>1</v>
      </c>
      <c r="I3915">
        <v>2000</v>
      </c>
      <c r="J3915">
        <v>1</v>
      </c>
      <c r="K3915">
        <v>0</v>
      </c>
      <c r="L3915">
        <v>0</v>
      </c>
      <c r="M3915">
        <v>11</v>
      </c>
      <c r="N3915" t="s">
        <v>35</v>
      </c>
      <c r="O3915" t="s">
        <v>27</v>
      </c>
      <c r="P3915">
        <v>14.1667271714274</v>
      </c>
      <c r="Q3915">
        <v>1.1857184595632899</v>
      </c>
      <c r="R3915">
        <v>7.5482108726708903</v>
      </c>
      <c r="S3915">
        <v>55</v>
      </c>
      <c r="T3915">
        <v>21</v>
      </c>
      <c r="U3915">
        <v>685.10654931154397</v>
      </c>
      <c r="V3915">
        <v>2.4886877828054202E-3</v>
      </c>
      <c r="W3915">
        <v>3355836.6160182999</v>
      </c>
      <c r="X3915" t="s">
        <v>39</v>
      </c>
      <c r="Y3915">
        <f>1-675-741-9097</f>
        <v>-10512</v>
      </c>
    </row>
    <row r="3916" spans="1:25" x14ac:dyDescent="0.35">
      <c r="A3916">
        <v>37.231171732347597</v>
      </c>
      <c r="B3916">
        <v>-121.031419123508</v>
      </c>
      <c r="C3916" t="s">
        <v>34</v>
      </c>
      <c r="D3916">
        <v>29.858011519918701</v>
      </c>
      <c r="E3916">
        <v>5</v>
      </c>
      <c r="F3916">
        <v>2693</v>
      </c>
      <c r="G3916">
        <v>2</v>
      </c>
      <c r="H3916">
        <v>1</v>
      </c>
      <c r="I3916">
        <v>1970</v>
      </c>
      <c r="J3916">
        <v>0</v>
      </c>
      <c r="K3916">
        <v>1</v>
      </c>
      <c r="L3916">
        <v>0</v>
      </c>
      <c r="M3916">
        <v>3</v>
      </c>
      <c r="N3916" t="s">
        <v>26</v>
      </c>
      <c r="O3916" t="s">
        <v>27</v>
      </c>
      <c r="P3916">
        <v>12.6821243308726</v>
      </c>
      <c r="Q3916">
        <v>0.54801002274601696</v>
      </c>
      <c r="R3916">
        <v>9.0700268396622601</v>
      </c>
      <c r="S3916">
        <v>105</v>
      </c>
      <c r="T3916">
        <v>51</v>
      </c>
      <c r="U3916">
        <v>752.65783893805599</v>
      </c>
      <c r="V3916">
        <v>1.1139992573338199E-3</v>
      </c>
      <c r="W3916">
        <v>2252116.3124063099</v>
      </c>
      <c r="X3916" t="s">
        <v>39</v>
      </c>
      <c r="Y3916">
        <f>1-613-514-1077</f>
        <v>-2203</v>
      </c>
    </row>
    <row r="3917" spans="1:25" x14ac:dyDescent="0.35">
      <c r="A3917">
        <v>39.691434078342702</v>
      </c>
      <c r="B3917">
        <v>-119.860698298503</v>
      </c>
      <c r="C3917" t="s">
        <v>25</v>
      </c>
      <c r="D3917">
        <v>46.532550193287797</v>
      </c>
      <c r="E3917">
        <v>0</v>
      </c>
      <c r="F3917">
        <v>4998</v>
      </c>
      <c r="G3917">
        <v>2</v>
      </c>
      <c r="H3917">
        <v>1</v>
      </c>
      <c r="I3917">
        <v>1996</v>
      </c>
      <c r="J3917">
        <v>1</v>
      </c>
      <c r="K3917">
        <v>0</v>
      </c>
      <c r="L3917">
        <v>1</v>
      </c>
      <c r="M3917">
        <v>2</v>
      </c>
      <c r="N3917" t="s">
        <v>35</v>
      </c>
      <c r="O3917" t="s">
        <v>30</v>
      </c>
      <c r="P3917">
        <v>2.86450924658527</v>
      </c>
      <c r="Q3917">
        <v>2.26396295583453</v>
      </c>
      <c r="R3917">
        <v>1.98674792154882</v>
      </c>
      <c r="S3917">
        <v>184</v>
      </c>
      <c r="T3917">
        <v>25</v>
      </c>
      <c r="U3917">
        <v>858.632499006942</v>
      </c>
      <c r="V3917">
        <v>4.0016006402561E-4</v>
      </c>
      <c r="W3917">
        <v>4384907.6201888695</v>
      </c>
      <c r="X3917" t="s">
        <v>38</v>
      </c>
      <c r="Y3917">
        <f>1-792-427-6025</f>
        <v>-7243</v>
      </c>
    </row>
    <row r="3918" spans="1:25" x14ac:dyDescent="0.35">
      <c r="A3918">
        <v>39.942078033472903</v>
      </c>
      <c r="B3918">
        <v>-123.445630578174</v>
      </c>
      <c r="C3918" t="s">
        <v>25</v>
      </c>
      <c r="D3918">
        <v>42.635631385412701</v>
      </c>
      <c r="E3918">
        <v>2</v>
      </c>
      <c r="F3918">
        <v>2017</v>
      </c>
      <c r="G3918">
        <v>5</v>
      </c>
      <c r="H3918">
        <v>2</v>
      </c>
      <c r="I3918">
        <v>1965</v>
      </c>
      <c r="J3918">
        <v>0</v>
      </c>
      <c r="K3918">
        <v>0</v>
      </c>
      <c r="L3918">
        <v>1</v>
      </c>
      <c r="M3918">
        <v>5</v>
      </c>
      <c r="N3918" t="s">
        <v>41</v>
      </c>
      <c r="O3918" t="s">
        <v>32</v>
      </c>
      <c r="P3918">
        <v>6.1842148854801904</v>
      </c>
      <c r="Q3918">
        <v>2.4427763418845099</v>
      </c>
      <c r="R3918">
        <v>3.7483137813148901</v>
      </c>
      <c r="S3918">
        <v>181</v>
      </c>
      <c r="T3918">
        <v>46</v>
      </c>
      <c r="U3918">
        <v>459.79288860973799</v>
      </c>
      <c r="V3918">
        <v>2.4789291026276598E-3</v>
      </c>
      <c r="W3918">
        <v>1227524.0022348701</v>
      </c>
      <c r="X3918" t="s">
        <v>40</v>
      </c>
      <c r="Y3918">
        <f>1-212-138-9388</f>
        <v>-9737</v>
      </c>
    </row>
    <row r="3919" spans="1:25" x14ac:dyDescent="0.35">
      <c r="A3919">
        <v>39.568781881574999</v>
      </c>
      <c r="B3919">
        <v>-114.047135093376</v>
      </c>
      <c r="C3919" t="s">
        <v>29</v>
      </c>
      <c r="D3919">
        <v>48.670116820477602</v>
      </c>
      <c r="E3919">
        <v>2</v>
      </c>
      <c r="F3919">
        <v>3165</v>
      </c>
      <c r="G3919">
        <v>2</v>
      </c>
      <c r="H3919">
        <v>1</v>
      </c>
      <c r="I3919">
        <v>1975</v>
      </c>
      <c r="J3919">
        <v>1</v>
      </c>
      <c r="K3919">
        <v>1</v>
      </c>
      <c r="L3919">
        <v>0</v>
      </c>
      <c r="M3919">
        <v>13</v>
      </c>
      <c r="N3919" t="s">
        <v>26</v>
      </c>
      <c r="O3919" t="s">
        <v>32</v>
      </c>
      <c r="P3919">
        <v>13.7508522606851</v>
      </c>
      <c r="Q3919">
        <v>2.4666481616975502</v>
      </c>
      <c r="R3919">
        <v>5.4696373584004103</v>
      </c>
      <c r="S3919">
        <v>137</v>
      </c>
      <c r="T3919">
        <v>26</v>
      </c>
      <c r="U3919">
        <v>279.24811543819101</v>
      </c>
      <c r="V3919">
        <v>4.1074249605055199E-3</v>
      </c>
      <c r="W3919">
        <v>1155364.0720507801</v>
      </c>
      <c r="X3919" t="s">
        <v>28</v>
      </c>
      <c r="Y3919">
        <f>1-569-659-4788</f>
        <v>-6015</v>
      </c>
    </row>
    <row r="3920" spans="1:25" x14ac:dyDescent="0.35">
      <c r="A3920">
        <v>39.526552301503699</v>
      </c>
      <c r="B3920">
        <v>-115.86979214622799</v>
      </c>
      <c r="C3920" t="s">
        <v>29</v>
      </c>
      <c r="D3920">
        <v>25.873783197656099</v>
      </c>
      <c r="E3920">
        <v>6</v>
      </c>
      <c r="F3920">
        <v>2056</v>
      </c>
      <c r="G3920">
        <v>5</v>
      </c>
      <c r="H3920">
        <v>2</v>
      </c>
      <c r="I3920">
        <v>1990</v>
      </c>
      <c r="J3920">
        <v>1</v>
      </c>
      <c r="K3920">
        <v>1</v>
      </c>
      <c r="L3920">
        <v>1</v>
      </c>
      <c r="M3920">
        <v>2</v>
      </c>
      <c r="N3920" t="s">
        <v>37</v>
      </c>
      <c r="O3920" t="s">
        <v>30</v>
      </c>
      <c r="P3920">
        <v>3.08816626787603</v>
      </c>
      <c r="Q3920">
        <v>2.2160688373776098</v>
      </c>
      <c r="R3920">
        <v>0.55063826828599105</v>
      </c>
      <c r="S3920">
        <v>65</v>
      </c>
      <c r="T3920">
        <v>29</v>
      </c>
      <c r="U3920">
        <v>461.76076295663302</v>
      </c>
      <c r="V3920">
        <v>9.7276264591439603E-4</v>
      </c>
      <c r="W3920">
        <v>1354964.6005434799</v>
      </c>
      <c r="X3920" t="s">
        <v>38</v>
      </c>
      <c r="Y3920">
        <f>1-383-906-2097</f>
        <v>-3385</v>
      </c>
    </row>
    <row r="3921" spans="1:25" x14ac:dyDescent="0.35">
      <c r="A3921">
        <v>41.431368317583598</v>
      </c>
      <c r="B3921">
        <v>-114.20079768297801</v>
      </c>
      <c r="C3921" t="s">
        <v>25</v>
      </c>
      <c r="D3921">
        <v>24.527235657419901</v>
      </c>
      <c r="E3921">
        <v>7</v>
      </c>
      <c r="F3921">
        <v>2990</v>
      </c>
      <c r="G3921">
        <v>5</v>
      </c>
      <c r="H3921">
        <v>3</v>
      </c>
      <c r="I3921">
        <v>1983</v>
      </c>
      <c r="J3921">
        <v>0</v>
      </c>
      <c r="K3921">
        <v>1</v>
      </c>
      <c r="L3921">
        <v>1</v>
      </c>
      <c r="M3921">
        <v>5</v>
      </c>
      <c r="N3921" t="s">
        <v>35</v>
      </c>
      <c r="O3921" t="s">
        <v>32</v>
      </c>
      <c r="P3921">
        <v>6.9922107731879697</v>
      </c>
      <c r="Q3921">
        <v>1.8748738857440901</v>
      </c>
      <c r="R3921">
        <v>2.2992657126295302</v>
      </c>
      <c r="S3921">
        <v>161</v>
      </c>
      <c r="T3921">
        <v>72</v>
      </c>
      <c r="U3921">
        <v>264.78980901210599</v>
      </c>
      <c r="V3921">
        <v>1.6722408026755801E-3</v>
      </c>
      <c r="W3921">
        <v>1258312.1592687101</v>
      </c>
      <c r="X3921" t="s">
        <v>28</v>
      </c>
      <c r="Y3921">
        <f>1-228-134-1133</f>
        <v>-1494</v>
      </c>
    </row>
    <row r="3922" spans="1:25" x14ac:dyDescent="0.35">
      <c r="A3922">
        <v>34.828172568919499</v>
      </c>
      <c r="B3922">
        <v>-117.508007280135</v>
      </c>
      <c r="C3922" t="s">
        <v>29</v>
      </c>
      <c r="D3922">
        <v>42.510552714722003</v>
      </c>
      <c r="E3922">
        <v>7</v>
      </c>
      <c r="F3922">
        <v>1210</v>
      </c>
      <c r="G3922">
        <v>1</v>
      </c>
      <c r="H3922">
        <v>3</v>
      </c>
      <c r="I3922">
        <v>1986</v>
      </c>
      <c r="J3922">
        <v>0</v>
      </c>
      <c r="K3922">
        <v>1</v>
      </c>
      <c r="L3922">
        <v>0</v>
      </c>
      <c r="M3922">
        <v>3</v>
      </c>
      <c r="N3922" t="s">
        <v>35</v>
      </c>
      <c r="O3922" t="s">
        <v>27</v>
      </c>
      <c r="P3922">
        <v>8.5772542984308906</v>
      </c>
      <c r="Q3922">
        <v>1.76390156782317</v>
      </c>
      <c r="R3922">
        <v>7.3573427929176196</v>
      </c>
      <c r="S3922">
        <v>149</v>
      </c>
      <c r="T3922">
        <v>35</v>
      </c>
      <c r="U3922">
        <v>879.90029313277898</v>
      </c>
      <c r="V3922">
        <v>2.4793388429751998E-3</v>
      </c>
      <c r="W3922">
        <v>1263658.02352613</v>
      </c>
      <c r="X3922" t="s">
        <v>40</v>
      </c>
      <c r="Y3922">
        <f>1-819-268-2310</f>
        <v>-3396</v>
      </c>
    </row>
    <row r="3923" spans="1:25" x14ac:dyDescent="0.35">
      <c r="A3923">
        <v>35.095206679216901</v>
      </c>
      <c r="B3923">
        <v>-121.929761929869</v>
      </c>
      <c r="C3923" t="s">
        <v>34</v>
      </c>
      <c r="D3923">
        <v>30.239396593567101</v>
      </c>
      <c r="E3923">
        <v>7</v>
      </c>
      <c r="F3923">
        <v>1956</v>
      </c>
      <c r="G3923">
        <v>3</v>
      </c>
      <c r="H3923">
        <v>2</v>
      </c>
      <c r="I3923">
        <v>1990</v>
      </c>
      <c r="J3923">
        <v>1</v>
      </c>
      <c r="K3923">
        <v>1</v>
      </c>
      <c r="L3923">
        <v>1</v>
      </c>
      <c r="M3923">
        <v>13</v>
      </c>
      <c r="N3923" t="s">
        <v>37</v>
      </c>
      <c r="O3923" t="s">
        <v>32</v>
      </c>
      <c r="P3923">
        <v>7.8046486745561401</v>
      </c>
      <c r="Q3923">
        <v>1.93603818098114</v>
      </c>
      <c r="R3923">
        <v>3.91398688963486</v>
      </c>
      <c r="S3923">
        <v>124</v>
      </c>
      <c r="T3923">
        <v>63</v>
      </c>
      <c r="U3923">
        <v>473.07840610359</v>
      </c>
      <c r="V3923">
        <v>6.6462167689161503E-3</v>
      </c>
      <c r="W3923">
        <v>1280466.3137059801</v>
      </c>
      <c r="X3923" t="s">
        <v>28</v>
      </c>
      <c r="Y3923">
        <f>1-754-222-4377</f>
        <v>-5352</v>
      </c>
    </row>
    <row r="3924" spans="1:25" x14ac:dyDescent="0.35">
      <c r="A3924">
        <v>36.199224573771097</v>
      </c>
      <c r="B3924">
        <v>-114.44716271658</v>
      </c>
      <c r="C3924" t="s">
        <v>25</v>
      </c>
      <c r="D3924">
        <v>47.646971772350298</v>
      </c>
      <c r="E3924">
        <v>6</v>
      </c>
      <c r="F3924">
        <v>3108</v>
      </c>
      <c r="G3924">
        <v>5</v>
      </c>
      <c r="H3924">
        <v>3</v>
      </c>
      <c r="I3924">
        <v>2021</v>
      </c>
      <c r="J3924">
        <v>0</v>
      </c>
      <c r="K3924">
        <v>0</v>
      </c>
      <c r="L3924">
        <v>1</v>
      </c>
      <c r="M3924">
        <v>5</v>
      </c>
      <c r="N3924" t="s">
        <v>35</v>
      </c>
      <c r="O3924" t="s">
        <v>30</v>
      </c>
      <c r="P3924">
        <v>6.2076555442372898</v>
      </c>
      <c r="Q3924">
        <v>1.3209349933533401</v>
      </c>
      <c r="R3924">
        <v>5.54346084213969</v>
      </c>
      <c r="S3924">
        <v>114</v>
      </c>
      <c r="T3924">
        <v>22</v>
      </c>
      <c r="U3924">
        <v>202.32260723777401</v>
      </c>
      <c r="V3924">
        <v>1.6087516087516E-3</v>
      </c>
      <c r="W3924">
        <v>1136493.7001553799</v>
      </c>
      <c r="X3924" t="s">
        <v>39</v>
      </c>
      <c r="Y3924">
        <f>1-802-356-1570</f>
        <v>-2727</v>
      </c>
    </row>
    <row r="3925" spans="1:25" x14ac:dyDescent="0.35">
      <c r="A3925">
        <v>36.938467340494903</v>
      </c>
      <c r="B3925">
        <v>-115.742332576037</v>
      </c>
      <c r="C3925" t="s">
        <v>34</v>
      </c>
      <c r="D3925">
        <v>33.037139246513398</v>
      </c>
      <c r="E3925">
        <v>7</v>
      </c>
      <c r="F3925">
        <v>3920</v>
      </c>
      <c r="G3925">
        <v>2</v>
      </c>
      <c r="H3925">
        <v>3</v>
      </c>
      <c r="I3925">
        <v>1985</v>
      </c>
      <c r="J3925">
        <v>1</v>
      </c>
      <c r="K3925">
        <v>0</v>
      </c>
      <c r="L3925">
        <v>1</v>
      </c>
      <c r="M3925">
        <v>8</v>
      </c>
      <c r="N3925" t="s">
        <v>26</v>
      </c>
      <c r="O3925" t="s">
        <v>32</v>
      </c>
      <c r="P3925">
        <v>2.3445370886129702</v>
      </c>
      <c r="Q3925">
        <v>2.1954326763129202</v>
      </c>
      <c r="R3925">
        <v>6.3828331871785098</v>
      </c>
      <c r="S3925">
        <v>178</v>
      </c>
      <c r="T3925">
        <v>71</v>
      </c>
      <c r="U3925">
        <v>701.07154218461801</v>
      </c>
      <c r="V3925">
        <v>2.0408163265306098E-3</v>
      </c>
      <c r="W3925">
        <v>2916598.9355376898</v>
      </c>
      <c r="X3925" t="s">
        <v>36</v>
      </c>
      <c r="Y3925">
        <f>1-541-898-3052</f>
        <v>-4490</v>
      </c>
    </row>
    <row r="3926" spans="1:25" x14ac:dyDescent="0.35">
      <c r="A3926">
        <v>36.176248352947901</v>
      </c>
      <c r="B3926">
        <v>-117.73614298441601</v>
      </c>
      <c r="C3926" t="s">
        <v>25</v>
      </c>
      <c r="D3926">
        <v>40.662744075648803</v>
      </c>
      <c r="E3926">
        <v>3</v>
      </c>
      <c r="F3926">
        <v>2361</v>
      </c>
      <c r="G3926">
        <v>4</v>
      </c>
      <c r="H3926">
        <v>3</v>
      </c>
      <c r="I3926">
        <v>1997</v>
      </c>
      <c r="J3926">
        <v>0</v>
      </c>
      <c r="K3926">
        <v>0</v>
      </c>
      <c r="L3926">
        <v>0</v>
      </c>
      <c r="M3926">
        <v>10</v>
      </c>
      <c r="N3926" t="s">
        <v>35</v>
      </c>
      <c r="O3926" t="s">
        <v>27</v>
      </c>
      <c r="P3926">
        <v>9.3421027563250494</v>
      </c>
      <c r="Q3926">
        <v>1.07834105864914</v>
      </c>
      <c r="R3926">
        <v>3.7440969374354802</v>
      </c>
      <c r="S3926">
        <v>110</v>
      </c>
      <c r="T3926">
        <v>75</v>
      </c>
      <c r="U3926">
        <v>861.306571098566</v>
      </c>
      <c r="V3926">
        <v>4.2354934349851702E-3</v>
      </c>
      <c r="W3926">
        <v>2260772.8246984598</v>
      </c>
      <c r="X3926" t="s">
        <v>28</v>
      </c>
      <c r="Y3926">
        <f>1-555-867-7332</f>
        <v>-8753</v>
      </c>
    </row>
    <row r="3927" spans="1:25" x14ac:dyDescent="0.35">
      <c r="A3927">
        <v>38.961904404998002</v>
      </c>
      <c r="B3927">
        <v>-116.148322101209</v>
      </c>
      <c r="C3927" t="s">
        <v>29</v>
      </c>
      <c r="D3927">
        <v>12.7241531828706</v>
      </c>
      <c r="E3927">
        <v>8</v>
      </c>
      <c r="F3927">
        <v>1087</v>
      </c>
      <c r="G3927">
        <v>5</v>
      </c>
      <c r="H3927">
        <v>2</v>
      </c>
      <c r="I3927">
        <v>1991</v>
      </c>
      <c r="J3927">
        <v>0</v>
      </c>
      <c r="K3927">
        <v>1</v>
      </c>
      <c r="L3927">
        <v>0</v>
      </c>
      <c r="M3927">
        <v>13</v>
      </c>
      <c r="N3927" t="s">
        <v>41</v>
      </c>
      <c r="O3927" t="s">
        <v>32</v>
      </c>
      <c r="P3927">
        <v>3.09169393860132</v>
      </c>
      <c r="Q3927">
        <v>2.0943450253099298</v>
      </c>
      <c r="R3927">
        <v>3.8093841667339099</v>
      </c>
      <c r="S3927">
        <v>61</v>
      </c>
      <c r="T3927">
        <v>69</v>
      </c>
      <c r="U3927">
        <v>509.291122235415</v>
      </c>
      <c r="V3927">
        <v>1.19595216191352E-2</v>
      </c>
      <c r="W3927">
        <v>920635.96584925905</v>
      </c>
      <c r="X3927" t="s">
        <v>28</v>
      </c>
      <c r="Y3927">
        <f>1-948-711-8777</f>
        <v>-10435</v>
      </c>
    </row>
    <row r="3928" spans="1:25" x14ac:dyDescent="0.35">
      <c r="A3928">
        <v>37.781545315773201</v>
      </c>
      <c r="B3928">
        <v>-119.967223175462</v>
      </c>
      <c r="C3928" t="s">
        <v>34</v>
      </c>
      <c r="D3928">
        <v>24.572909739875701</v>
      </c>
      <c r="E3928">
        <v>9</v>
      </c>
      <c r="F3928">
        <v>3886</v>
      </c>
      <c r="G3928">
        <v>4</v>
      </c>
      <c r="H3928">
        <v>2</v>
      </c>
      <c r="I3928">
        <v>1957</v>
      </c>
      <c r="J3928">
        <v>0</v>
      </c>
      <c r="K3928">
        <v>0</v>
      </c>
      <c r="L3928">
        <v>0</v>
      </c>
      <c r="M3928">
        <v>9</v>
      </c>
      <c r="N3928" t="s">
        <v>26</v>
      </c>
      <c r="O3928" t="s">
        <v>30</v>
      </c>
      <c r="P3928">
        <v>4.8471938881511099</v>
      </c>
      <c r="Q3928">
        <v>0.544614387448773</v>
      </c>
      <c r="R3928">
        <v>9.7649257743871498</v>
      </c>
      <c r="S3928">
        <v>139</v>
      </c>
      <c r="T3928">
        <v>44</v>
      </c>
      <c r="U3928">
        <v>258.38143026862002</v>
      </c>
      <c r="V3928">
        <v>2.3160061760164599E-3</v>
      </c>
      <c r="W3928">
        <v>1188501.3783356301</v>
      </c>
      <c r="X3928" t="s">
        <v>39</v>
      </c>
      <c r="Y3928">
        <f>1-504-592-6484</f>
        <v>-7579</v>
      </c>
    </row>
    <row r="3929" spans="1:25" x14ac:dyDescent="0.35">
      <c r="A3929">
        <v>35.435080542010901</v>
      </c>
      <c r="B3929">
        <v>-119.61454821535099</v>
      </c>
      <c r="C3929" t="s">
        <v>34</v>
      </c>
      <c r="D3929">
        <v>14.567153227226299</v>
      </c>
      <c r="E3929">
        <v>5</v>
      </c>
      <c r="F3929">
        <v>4193</v>
      </c>
      <c r="G3929">
        <v>3</v>
      </c>
      <c r="H3929">
        <v>1</v>
      </c>
      <c r="I3929">
        <v>2007</v>
      </c>
      <c r="J3929">
        <v>1</v>
      </c>
      <c r="K3929">
        <v>0</v>
      </c>
      <c r="L3929">
        <v>1</v>
      </c>
      <c r="M3929">
        <v>14</v>
      </c>
      <c r="N3929" t="s">
        <v>41</v>
      </c>
      <c r="O3929" t="s">
        <v>32</v>
      </c>
      <c r="P3929">
        <v>7.8572351275659598</v>
      </c>
      <c r="Q3929">
        <v>1.2395100750672401</v>
      </c>
      <c r="R3929">
        <v>5.3628195733955604</v>
      </c>
      <c r="S3929">
        <v>98</v>
      </c>
      <c r="T3929">
        <v>69</v>
      </c>
      <c r="U3929">
        <v>517.87715787355</v>
      </c>
      <c r="V3929">
        <v>3.3388981636060101E-3</v>
      </c>
      <c r="W3929">
        <v>2502057.3550913902</v>
      </c>
      <c r="X3929" t="s">
        <v>44</v>
      </c>
      <c r="Y3929">
        <f>1-342-467-3350</f>
        <v>-4158</v>
      </c>
    </row>
    <row r="3930" spans="1:25" x14ac:dyDescent="0.35">
      <c r="A3930">
        <v>35.250887320209102</v>
      </c>
      <c r="B3930">
        <v>-118.31392881763701</v>
      </c>
      <c r="C3930" t="s">
        <v>34</v>
      </c>
      <c r="D3930">
        <v>9.3528269529819905</v>
      </c>
      <c r="E3930">
        <v>8</v>
      </c>
      <c r="F3930">
        <v>4256</v>
      </c>
      <c r="G3930">
        <v>3</v>
      </c>
      <c r="H3930">
        <v>3</v>
      </c>
      <c r="I3930">
        <v>2001</v>
      </c>
      <c r="J3930">
        <v>0</v>
      </c>
      <c r="K3930">
        <v>0</v>
      </c>
      <c r="L3930">
        <v>1</v>
      </c>
      <c r="M3930">
        <v>8</v>
      </c>
      <c r="N3930" t="s">
        <v>41</v>
      </c>
      <c r="O3930" t="s">
        <v>30</v>
      </c>
      <c r="P3930">
        <v>12.5852978545652</v>
      </c>
      <c r="Q3930">
        <v>1.92791802314959</v>
      </c>
      <c r="R3930">
        <v>9.2297007628017393</v>
      </c>
      <c r="S3930">
        <v>179</v>
      </c>
      <c r="T3930">
        <v>46</v>
      </c>
      <c r="U3930">
        <v>993.21217110324301</v>
      </c>
      <c r="V3930">
        <v>1.8796992481203E-3</v>
      </c>
      <c r="W3930">
        <v>4431904.9043525001</v>
      </c>
      <c r="X3930" t="s">
        <v>36</v>
      </c>
      <c r="Y3930">
        <f>1-619-928-4826</f>
        <v>-6372</v>
      </c>
    </row>
    <row r="3931" spans="1:25" x14ac:dyDescent="0.35">
      <c r="A3931">
        <v>37.742455456282897</v>
      </c>
      <c r="B3931">
        <v>-122.702403745796</v>
      </c>
      <c r="C3931" t="s">
        <v>29</v>
      </c>
      <c r="D3931">
        <v>30.118618294155901</v>
      </c>
      <c r="E3931">
        <v>4</v>
      </c>
      <c r="F3931">
        <v>4306</v>
      </c>
      <c r="G3931">
        <v>5</v>
      </c>
      <c r="H3931">
        <v>2</v>
      </c>
      <c r="I3931">
        <v>2019</v>
      </c>
      <c r="J3931">
        <v>1</v>
      </c>
      <c r="K3931">
        <v>1</v>
      </c>
      <c r="L3931">
        <v>1</v>
      </c>
      <c r="M3931">
        <v>3</v>
      </c>
      <c r="N3931" t="s">
        <v>35</v>
      </c>
      <c r="O3931" t="s">
        <v>30</v>
      </c>
      <c r="P3931">
        <v>14.239554291978401</v>
      </c>
      <c r="Q3931">
        <v>2.3468478139458102</v>
      </c>
      <c r="R3931">
        <v>7.1562130854615802</v>
      </c>
      <c r="S3931">
        <v>172</v>
      </c>
      <c r="T3931">
        <v>53</v>
      </c>
      <c r="U3931">
        <v>739.69583655117196</v>
      </c>
      <c r="V3931">
        <v>6.9670227589410097E-4</v>
      </c>
      <c r="W3931">
        <v>3663981.1013556402</v>
      </c>
      <c r="X3931" t="s">
        <v>36</v>
      </c>
      <c r="Y3931">
        <f>1-300-902-2322</f>
        <v>-3523</v>
      </c>
    </row>
    <row r="3932" spans="1:25" x14ac:dyDescent="0.35">
      <c r="A3932">
        <v>41.291458249914299</v>
      </c>
      <c r="B3932">
        <v>-123.748217632997</v>
      </c>
      <c r="C3932" t="s">
        <v>25</v>
      </c>
      <c r="D3932">
        <v>26.1510315342335</v>
      </c>
      <c r="E3932">
        <v>1</v>
      </c>
      <c r="F3932">
        <v>4052</v>
      </c>
      <c r="G3932">
        <v>4</v>
      </c>
      <c r="H3932">
        <v>3</v>
      </c>
      <c r="I3932">
        <v>1958</v>
      </c>
      <c r="J3932">
        <v>1</v>
      </c>
      <c r="K3932">
        <v>1</v>
      </c>
      <c r="L3932">
        <v>0</v>
      </c>
      <c r="M3932">
        <v>6</v>
      </c>
      <c r="N3932" t="s">
        <v>26</v>
      </c>
      <c r="O3932" t="s">
        <v>27</v>
      </c>
      <c r="P3932">
        <v>7.2945785195213597</v>
      </c>
      <c r="Q3932">
        <v>1.5920485086457501</v>
      </c>
      <c r="R3932">
        <v>4.2365996578434304</v>
      </c>
      <c r="S3932">
        <v>189</v>
      </c>
      <c r="T3932">
        <v>29</v>
      </c>
      <c r="U3932">
        <v>699.58753640135797</v>
      </c>
      <c r="V3932">
        <v>1.4807502467917E-3</v>
      </c>
      <c r="W3932">
        <v>3230741.3358292398</v>
      </c>
      <c r="X3932" t="s">
        <v>44</v>
      </c>
      <c r="Y3932">
        <f>1-610-498-3946</f>
        <v>-5053</v>
      </c>
    </row>
    <row r="3933" spans="1:25" x14ac:dyDescent="0.35">
      <c r="A3933">
        <v>39.9402252097196</v>
      </c>
      <c r="B3933">
        <v>-122.258773765374</v>
      </c>
      <c r="C3933" t="s">
        <v>29</v>
      </c>
      <c r="D3933">
        <v>33.813000549648301</v>
      </c>
      <c r="E3933">
        <v>5</v>
      </c>
      <c r="F3933">
        <v>4687</v>
      </c>
      <c r="G3933">
        <v>1</v>
      </c>
      <c r="H3933">
        <v>2</v>
      </c>
      <c r="I3933">
        <v>1968</v>
      </c>
      <c r="J3933">
        <v>0</v>
      </c>
      <c r="K3933">
        <v>0</v>
      </c>
      <c r="L3933">
        <v>0</v>
      </c>
      <c r="M3933">
        <v>8</v>
      </c>
      <c r="N3933" t="s">
        <v>37</v>
      </c>
      <c r="O3933" t="s">
        <v>32</v>
      </c>
      <c r="P3933">
        <v>8.7230764970988002</v>
      </c>
      <c r="Q3933">
        <v>1.27180257243248</v>
      </c>
      <c r="R3933">
        <v>5.0259764636111601</v>
      </c>
      <c r="S3933">
        <v>129</v>
      </c>
      <c r="T3933">
        <v>49</v>
      </c>
      <c r="U3933">
        <v>296.773832693141</v>
      </c>
      <c r="V3933">
        <v>1.70684873053125E-3</v>
      </c>
      <c r="W3933">
        <v>1417116.7893133301</v>
      </c>
      <c r="X3933" t="s">
        <v>43</v>
      </c>
      <c r="Y3933">
        <f>1-477-143-8870</f>
        <v>-9489</v>
      </c>
    </row>
    <row r="3934" spans="1:25" x14ac:dyDescent="0.35">
      <c r="A3934">
        <v>38.563152336224597</v>
      </c>
      <c r="B3934">
        <v>-120.47350994614099</v>
      </c>
      <c r="C3934" t="s">
        <v>34</v>
      </c>
      <c r="D3934">
        <v>9.7066270735137508</v>
      </c>
      <c r="E3934">
        <v>6</v>
      </c>
      <c r="F3934">
        <v>4322</v>
      </c>
      <c r="G3934">
        <v>5</v>
      </c>
      <c r="H3934">
        <v>2</v>
      </c>
      <c r="I3934">
        <v>1999</v>
      </c>
      <c r="J3934">
        <v>0</v>
      </c>
      <c r="K3934">
        <v>1</v>
      </c>
      <c r="L3934">
        <v>0</v>
      </c>
      <c r="M3934">
        <v>2</v>
      </c>
      <c r="N3934" t="s">
        <v>26</v>
      </c>
      <c r="O3934" t="s">
        <v>27</v>
      </c>
      <c r="P3934">
        <v>5.29178934226936</v>
      </c>
      <c r="Q3934">
        <v>1.0485496949437401</v>
      </c>
      <c r="R3934">
        <v>3.04110944883679</v>
      </c>
      <c r="S3934">
        <v>99</v>
      </c>
      <c r="T3934">
        <v>54</v>
      </c>
      <c r="U3934">
        <v>927.13105687582697</v>
      </c>
      <c r="V3934">
        <v>4.6274872744099901E-4</v>
      </c>
      <c r="W3934">
        <v>4411805.4801447904</v>
      </c>
      <c r="X3934" t="s">
        <v>36</v>
      </c>
      <c r="Y3934">
        <f>1-978-112-9105</f>
        <v>-10194</v>
      </c>
    </row>
    <row r="3935" spans="1:25" x14ac:dyDescent="0.35">
      <c r="A3935">
        <v>36.854668767029104</v>
      </c>
      <c r="B3935">
        <v>-117.25859859945101</v>
      </c>
      <c r="C3935" t="s">
        <v>34</v>
      </c>
      <c r="D3935">
        <v>41.757701068793097</v>
      </c>
      <c r="E3935">
        <v>3</v>
      </c>
      <c r="F3935">
        <v>1669</v>
      </c>
      <c r="G3935">
        <v>4</v>
      </c>
      <c r="H3935">
        <v>1</v>
      </c>
      <c r="I3935">
        <v>1998</v>
      </c>
      <c r="J3935">
        <v>0</v>
      </c>
      <c r="K3935">
        <v>1</v>
      </c>
      <c r="L3935">
        <v>0</v>
      </c>
      <c r="M3935">
        <v>11</v>
      </c>
      <c r="N3935" t="s">
        <v>41</v>
      </c>
      <c r="O3935" t="s">
        <v>32</v>
      </c>
      <c r="P3935">
        <v>12.2261101945544</v>
      </c>
      <c r="Q3935">
        <v>2.3622899605218</v>
      </c>
      <c r="R3935">
        <v>4.7306684608167302</v>
      </c>
      <c r="S3935">
        <v>97</v>
      </c>
      <c r="T3935">
        <v>74</v>
      </c>
      <c r="U3935">
        <v>356.59785582242699</v>
      </c>
      <c r="V3935">
        <v>6.5907729179149098E-3</v>
      </c>
      <c r="W3935">
        <v>938448.62998158799</v>
      </c>
      <c r="X3935" t="s">
        <v>38</v>
      </c>
      <c r="Y3935">
        <f>1-703-746-6417</f>
        <v>-7865</v>
      </c>
    </row>
    <row r="3936" spans="1:25" x14ac:dyDescent="0.35">
      <c r="A3936">
        <v>37.3621156673888</v>
      </c>
      <c r="B3936">
        <v>-123.416514325712</v>
      </c>
      <c r="C3936" t="s">
        <v>34</v>
      </c>
      <c r="D3936">
        <v>2.4059722740394598</v>
      </c>
      <c r="E3936">
        <v>6</v>
      </c>
      <c r="F3936">
        <v>3935</v>
      </c>
      <c r="G3936">
        <v>2</v>
      </c>
      <c r="H3936">
        <v>1</v>
      </c>
      <c r="I3936">
        <v>1951</v>
      </c>
      <c r="J3936">
        <v>1</v>
      </c>
      <c r="K3936">
        <v>0</v>
      </c>
      <c r="L3936">
        <v>1</v>
      </c>
      <c r="M3936">
        <v>8</v>
      </c>
      <c r="N3936" t="s">
        <v>37</v>
      </c>
      <c r="O3936" t="s">
        <v>32</v>
      </c>
      <c r="P3936">
        <v>8.6788602237754393</v>
      </c>
      <c r="Q3936">
        <v>0.87197617594194499</v>
      </c>
      <c r="R3936">
        <v>0.36224485637954201</v>
      </c>
      <c r="S3936">
        <v>168</v>
      </c>
      <c r="T3936">
        <v>36</v>
      </c>
      <c r="U3936">
        <v>674.91868545872603</v>
      </c>
      <c r="V3936">
        <v>2.0330368487928799E-3</v>
      </c>
      <c r="W3936">
        <v>2842341.8009077101</v>
      </c>
      <c r="X3936" t="s">
        <v>28</v>
      </c>
      <c r="Y3936">
        <f>1-873-781-1359</f>
        <v>-3012</v>
      </c>
    </row>
    <row r="3937" spans="1:25" x14ac:dyDescent="0.35">
      <c r="A3937">
        <v>36.180594036239597</v>
      </c>
      <c r="B3937">
        <v>-124.424894725152</v>
      </c>
      <c r="C3937" t="s">
        <v>34</v>
      </c>
      <c r="D3937">
        <v>33.962195863060302</v>
      </c>
      <c r="E3937">
        <v>1</v>
      </c>
      <c r="F3937">
        <v>3925</v>
      </c>
      <c r="G3937">
        <v>3</v>
      </c>
      <c r="H3937">
        <v>1</v>
      </c>
      <c r="I3937">
        <v>2016</v>
      </c>
      <c r="J3937">
        <v>0</v>
      </c>
      <c r="K3937">
        <v>1</v>
      </c>
      <c r="L3937">
        <v>1</v>
      </c>
      <c r="M3937">
        <v>6</v>
      </c>
      <c r="N3937" t="s">
        <v>26</v>
      </c>
      <c r="O3937" t="s">
        <v>27</v>
      </c>
      <c r="P3937">
        <v>4.84271220580791</v>
      </c>
      <c r="Q3937">
        <v>1.01492851978522</v>
      </c>
      <c r="R3937">
        <v>2.9281423507284798</v>
      </c>
      <c r="S3937">
        <v>131</v>
      </c>
      <c r="T3937">
        <v>61</v>
      </c>
      <c r="U3937">
        <v>862.606544974033</v>
      </c>
      <c r="V3937">
        <v>1.5286624203821599E-3</v>
      </c>
      <c r="W3937">
        <v>3704313.3841321501</v>
      </c>
      <c r="X3937" t="s">
        <v>38</v>
      </c>
      <c r="Y3937">
        <f>1-829-782-5298</f>
        <v>-6908</v>
      </c>
    </row>
    <row r="3938" spans="1:25" x14ac:dyDescent="0.35">
      <c r="A3938">
        <v>36.408656917955597</v>
      </c>
      <c r="B3938">
        <v>-122.640625903292</v>
      </c>
      <c r="C3938" t="s">
        <v>29</v>
      </c>
      <c r="D3938">
        <v>47.374869187016799</v>
      </c>
      <c r="E3938">
        <v>7</v>
      </c>
      <c r="F3938">
        <v>2044</v>
      </c>
      <c r="G3938">
        <v>2</v>
      </c>
      <c r="H3938">
        <v>3</v>
      </c>
      <c r="I3938">
        <v>2000</v>
      </c>
      <c r="J3938">
        <v>0</v>
      </c>
      <c r="K3938">
        <v>1</v>
      </c>
      <c r="L3938">
        <v>1</v>
      </c>
      <c r="M3938">
        <v>5</v>
      </c>
      <c r="N3938" t="s">
        <v>41</v>
      </c>
      <c r="O3938" t="s">
        <v>32</v>
      </c>
      <c r="P3938">
        <v>9.7372480154224892</v>
      </c>
      <c r="Q3938">
        <v>0.54447736610661301</v>
      </c>
      <c r="R3938">
        <v>5.1274221974744698</v>
      </c>
      <c r="S3938">
        <v>106</v>
      </c>
      <c r="T3938">
        <v>22</v>
      </c>
      <c r="U3938">
        <v>351.30820243775202</v>
      </c>
      <c r="V3938">
        <v>2.4461839530332602E-3</v>
      </c>
      <c r="W3938">
        <v>1031943.51194397</v>
      </c>
      <c r="X3938" t="s">
        <v>44</v>
      </c>
      <c r="Y3938">
        <f>1-418-186-3389</f>
        <v>-3992</v>
      </c>
    </row>
    <row r="3939" spans="1:25" x14ac:dyDescent="0.35">
      <c r="A3939">
        <v>33.732656023780997</v>
      </c>
      <c r="B3939">
        <v>-122.670731089618</v>
      </c>
      <c r="C3939" t="s">
        <v>29</v>
      </c>
      <c r="D3939">
        <v>46.175010360632399</v>
      </c>
      <c r="E3939">
        <v>4</v>
      </c>
      <c r="F3939">
        <v>4282</v>
      </c>
      <c r="G3939">
        <v>3</v>
      </c>
      <c r="H3939">
        <v>1</v>
      </c>
      <c r="I3939">
        <v>1998</v>
      </c>
      <c r="J3939">
        <v>1</v>
      </c>
      <c r="K3939">
        <v>1</v>
      </c>
      <c r="L3939">
        <v>1</v>
      </c>
      <c r="M3939">
        <v>8</v>
      </c>
      <c r="N3939" t="s">
        <v>41</v>
      </c>
      <c r="O3939" t="s">
        <v>27</v>
      </c>
      <c r="P3939">
        <v>12.4288056548745</v>
      </c>
      <c r="Q3939">
        <v>1.86883896397673</v>
      </c>
      <c r="R3939">
        <v>9.3382835702971398</v>
      </c>
      <c r="S3939">
        <v>102</v>
      </c>
      <c r="T3939">
        <v>36</v>
      </c>
      <c r="U3939">
        <v>251.11211668161999</v>
      </c>
      <c r="V3939">
        <v>1.8682858477347001E-3</v>
      </c>
      <c r="W3939">
        <v>1462839.1458346599</v>
      </c>
      <c r="X3939" t="s">
        <v>42</v>
      </c>
      <c r="Y3939">
        <f>1-440-370-5981</f>
        <v>-6790</v>
      </c>
    </row>
    <row r="3940" spans="1:25" x14ac:dyDescent="0.35">
      <c r="A3940">
        <v>37.364509510094599</v>
      </c>
      <c r="B3940">
        <v>-118.06569552119301</v>
      </c>
      <c r="C3940" t="s">
        <v>25</v>
      </c>
      <c r="D3940">
        <v>19.522124873968099</v>
      </c>
      <c r="E3940">
        <v>2</v>
      </c>
      <c r="F3940">
        <v>4997</v>
      </c>
      <c r="G3940">
        <v>3</v>
      </c>
      <c r="H3940">
        <v>2</v>
      </c>
      <c r="I3940">
        <v>1969</v>
      </c>
      <c r="J3940">
        <v>1</v>
      </c>
      <c r="K3940">
        <v>0</v>
      </c>
      <c r="L3940">
        <v>1</v>
      </c>
      <c r="M3940">
        <v>12</v>
      </c>
      <c r="N3940" t="s">
        <v>41</v>
      </c>
      <c r="O3940" t="s">
        <v>30</v>
      </c>
      <c r="P3940">
        <v>4.47058077546244</v>
      </c>
      <c r="Q3940">
        <v>2.14940021215773</v>
      </c>
      <c r="R3940">
        <v>3.0406126097077699</v>
      </c>
      <c r="S3940">
        <v>80</v>
      </c>
      <c r="T3940">
        <v>22</v>
      </c>
      <c r="U3940">
        <v>516.18097352444499</v>
      </c>
      <c r="V3940">
        <v>2.40144086451871E-3</v>
      </c>
      <c r="W3940">
        <v>2809543.3871933902</v>
      </c>
      <c r="X3940" t="s">
        <v>33</v>
      </c>
      <c r="Y3940">
        <f>1-913-360-9983</f>
        <v>-11255</v>
      </c>
    </row>
    <row r="3941" spans="1:25" x14ac:dyDescent="0.35">
      <c r="A3941">
        <v>38.317667873888198</v>
      </c>
      <c r="B3941">
        <v>-118.481931461778</v>
      </c>
      <c r="C3941" t="s">
        <v>25</v>
      </c>
      <c r="D3941">
        <v>39.920562837632303</v>
      </c>
      <c r="E3941">
        <v>6</v>
      </c>
      <c r="F3941">
        <v>844</v>
      </c>
      <c r="G3941">
        <v>2</v>
      </c>
      <c r="H3941">
        <v>3</v>
      </c>
      <c r="I3941">
        <v>1984</v>
      </c>
      <c r="J3941">
        <v>0</v>
      </c>
      <c r="K3941">
        <v>1</v>
      </c>
      <c r="L3941">
        <v>0</v>
      </c>
      <c r="M3941">
        <v>2</v>
      </c>
      <c r="N3941" t="s">
        <v>37</v>
      </c>
      <c r="O3941" t="s">
        <v>32</v>
      </c>
      <c r="P3941">
        <v>10.1457323336614</v>
      </c>
      <c r="Q3941">
        <v>0.88217514974133104</v>
      </c>
      <c r="R3941">
        <v>4.0975667691050104</v>
      </c>
      <c r="S3941">
        <v>102</v>
      </c>
      <c r="T3941">
        <v>38</v>
      </c>
      <c r="U3941">
        <v>570.61300522302599</v>
      </c>
      <c r="V3941">
        <v>2.36966824644549E-3</v>
      </c>
      <c r="W3941">
        <v>774015.30077875999</v>
      </c>
      <c r="X3941" t="s">
        <v>36</v>
      </c>
      <c r="Y3941">
        <f>1-575-595-4477</f>
        <v>-5646</v>
      </c>
    </row>
    <row r="3942" spans="1:25" x14ac:dyDescent="0.35">
      <c r="A3942">
        <v>41.089417743240404</v>
      </c>
      <c r="B3942">
        <v>-121.518947516601</v>
      </c>
      <c r="C3942" t="s">
        <v>34</v>
      </c>
      <c r="D3942">
        <v>29.9011318290753</v>
      </c>
      <c r="E3942">
        <v>1</v>
      </c>
      <c r="F3942">
        <v>4492</v>
      </c>
      <c r="G3942">
        <v>2</v>
      </c>
      <c r="H3942">
        <v>1</v>
      </c>
      <c r="I3942">
        <v>1989</v>
      </c>
      <c r="J3942">
        <v>1</v>
      </c>
      <c r="K3942">
        <v>1</v>
      </c>
      <c r="L3942">
        <v>0</v>
      </c>
      <c r="M3942">
        <v>14</v>
      </c>
      <c r="N3942" t="s">
        <v>35</v>
      </c>
      <c r="O3942" t="s">
        <v>32</v>
      </c>
      <c r="P3942">
        <v>3.99760220506553</v>
      </c>
      <c r="Q3942">
        <v>2.2448906027679101</v>
      </c>
      <c r="R3942">
        <v>1.2240556621679901</v>
      </c>
      <c r="S3942">
        <v>31</v>
      </c>
      <c r="T3942">
        <v>73</v>
      </c>
      <c r="U3942">
        <v>956.63812574277904</v>
      </c>
      <c r="V3942">
        <v>3.1166518254674902E-3</v>
      </c>
      <c r="W3942">
        <v>4519582.4064333998</v>
      </c>
      <c r="X3942" t="s">
        <v>40</v>
      </c>
      <c r="Y3942">
        <f>1-232-280-3063</f>
        <v>-3574</v>
      </c>
    </row>
    <row r="3943" spans="1:25" x14ac:dyDescent="0.35">
      <c r="A3943">
        <v>41.237229672032001</v>
      </c>
      <c r="B3943">
        <v>-122.965503461826</v>
      </c>
      <c r="C3943" t="s">
        <v>29</v>
      </c>
      <c r="D3943">
        <v>6.6143017042258503</v>
      </c>
      <c r="E3943">
        <v>5</v>
      </c>
      <c r="F3943">
        <v>2186</v>
      </c>
      <c r="G3943">
        <v>5</v>
      </c>
      <c r="H3943">
        <v>3</v>
      </c>
      <c r="I3943">
        <v>2022</v>
      </c>
      <c r="J3943">
        <v>0</v>
      </c>
      <c r="K3943">
        <v>1</v>
      </c>
      <c r="L3943">
        <v>1</v>
      </c>
      <c r="M3943">
        <v>4</v>
      </c>
      <c r="N3943" t="s">
        <v>41</v>
      </c>
      <c r="O3943" t="s">
        <v>32</v>
      </c>
      <c r="P3943">
        <v>13.479088135646</v>
      </c>
      <c r="Q3943">
        <v>1.29392682020201</v>
      </c>
      <c r="R3943">
        <v>2.1253436996116402</v>
      </c>
      <c r="S3943">
        <v>30</v>
      </c>
      <c r="T3943">
        <v>36</v>
      </c>
      <c r="U3943">
        <v>961.09025948774797</v>
      </c>
      <c r="V3943">
        <v>1.8298261665141799E-3</v>
      </c>
      <c r="W3943">
        <v>2699900.1445851498</v>
      </c>
      <c r="X3943" t="s">
        <v>33</v>
      </c>
      <c r="Y3943">
        <f>1-773-570-9028</f>
        <v>-10370</v>
      </c>
    </row>
    <row r="3944" spans="1:25" x14ac:dyDescent="0.35">
      <c r="A3944">
        <v>32.962811809698501</v>
      </c>
      <c r="B3944">
        <v>-115.95548905322499</v>
      </c>
      <c r="C3944" t="s">
        <v>25</v>
      </c>
      <c r="D3944">
        <v>30.460355324668399</v>
      </c>
      <c r="E3944">
        <v>2</v>
      </c>
      <c r="F3944">
        <v>4296</v>
      </c>
      <c r="G3944">
        <v>5</v>
      </c>
      <c r="H3944">
        <v>3</v>
      </c>
      <c r="I3944">
        <v>1987</v>
      </c>
      <c r="J3944">
        <v>1</v>
      </c>
      <c r="K3944">
        <v>1</v>
      </c>
      <c r="L3944">
        <v>0</v>
      </c>
      <c r="M3944">
        <v>11</v>
      </c>
      <c r="N3944" t="s">
        <v>37</v>
      </c>
      <c r="O3944" t="s">
        <v>30</v>
      </c>
      <c r="P3944">
        <v>6.4119541787322003</v>
      </c>
      <c r="Q3944">
        <v>1.7497111414836699</v>
      </c>
      <c r="R3944">
        <v>7.1619387935737704</v>
      </c>
      <c r="S3944">
        <v>175</v>
      </c>
      <c r="T3944">
        <v>46</v>
      </c>
      <c r="U3944">
        <v>511.46626416619603</v>
      </c>
      <c r="V3944">
        <v>2.5605214152700098E-3</v>
      </c>
      <c r="W3944">
        <v>2657782.6664983099</v>
      </c>
      <c r="X3944" t="s">
        <v>40</v>
      </c>
      <c r="Y3944">
        <f>1-708-885-8027</f>
        <v>-9619</v>
      </c>
    </row>
    <row r="3945" spans="1:25" x14ac:dyDescent="0.35">
      <c r="A3945">
        <v>34.575779860595297</v>
      </c>
      <c r="B3945">
        <v>-119.709379294985</v>
      </c>
      <c r="C3945" t="s">
        <v>34</v>
      </c>
      <c r="D3945">
        <v>37.551805784903102</v>
      </c>
      <c r="E3945">
        <v>1</v>
      </c>
      <c r="F3945">
        <v>1480</v>
      </c>
      <c r="G3945">
        <v>4</v>
      </c>
      <c r="H3945">
        <v>3</v>
      </c>
      <c r="I3945">
        <v>1974</v>
      </c>
      <c r="J3945">
        <v>1</v>
      </c>
      <c r="K3945">
        <v>0</v>
      </c>
      <c r="L3945">
        <v>0</v>
      </c>
      <c r="M3945">
        <v>14</v>
      </c>
      <c r="N3945" t="s">
        <v>35</v>
      </c>
      <c r="O3945" t="s">
        <v>27</v>
      </c>
      <c r="P3945">
        <v>5.3589342844993402</v>
      </c>
      <c r="Q3945">
        <v>1.6561255302662801</v>
      </c>
      <c r="R3945">
        <v>8.9618860572800507</v>
      </c>
      <c r="S3945">
        <v>85</v>
      </c>
      <c r="T3945">
        <v>50</v>
      </c>
      <c r="U3945">
        <v>812.22723014797202</v>
      </c>
      <c r="V3945">
        <v>9.45945945945946E-3</v>
      </c>
      <c r="W3945">
        <v>1553856.0618656101</v>
      </c>
      <c r="X3945" t="s">
        <v>31</v>
      </c>
      <c r="Y3945">
        <f>1-559-481-3430</f>
        <v>-4469</v>
      </c>
    </row>
    <row r="3946" spans="1:25" x14ac:dyDescent="0.35">
      <c r="A3946">
        <v>36.571082058060703</v>
      </c>
      <c r="B3946">
        <v>-114.269084222885</v>
      </c>
      <c r="C3946" t="s">
        <v>34</v>
      </c>
      <c r="D3946">
        <v>23.164456513827801</v>
      </c>
      <c r="E3946">
        <v>6</v>
      </c>
      <c r="F3946">
        <v>3299</v>
      </c>
      <c r="G3946">
        <v>2</v>
      </c>
      <c r="H3946">
        <v>1</v>
      </c>
      <c r="I3946">
        <v>1980</v>
      </c>
      <c r="J3946">
        <v>1</v>
      </c>
      <c r="K3946">
        <v>0</v>
      </c>
      <c r="L3946">
        <v>0</v>
      </c>
      <c r="M3946">
        <v>8</v>
      </c>
      <c r="N3946" t="s">
        <v>35</v>
      </c>
      <c r="O3946" t="s">
        <v>30</v>
      </c>
      <c r="P3946">
        <v>4.1696401736623603</v>
      </c>
      <c r="Q3946">
        <v>1.84406752947464</v>
      </c>
      <c r="R3946">
        <v>5.2594479567746504</v>
      </c>
      <c r="S3946">
        <v>112</v>
      </c>
      <c r="T3946">
        <v>35</v>
      </c>
      <c r="U3946">
        <v>889.47959346602397</v>
      </c>
      <c r="V3946">
        <v>2.4249772658381302E-3</v>
      </c>
      <c r="W3946">
        <v>3056681.3091314798</v>
      </c>
      <c r="X3946" t="s">
        <v>33</v>
      </c>
      <c r="Y3946">
        <f>1-482-321-6369</f>
        <v>-7171</v>
      </c>
    </row>
    <row r="3947" spans="1:25" x14ac:dyDescent="0.35">
      <c r="A3947">
        <v>33.829480558078103</v>
      </c>
      <c r="B3947">
        <v>-118.280060586611</v>
      </c>
      <c r="C3947" t="s">
        <v>29</v>
      </c>
      <c r="D3947">
        <v>40.556488133822</v>
      </c>
      <c r="E3947">
        <v>0</v>
      </c>
      <c r="F3947">
        <v>1981</v>
      </c>
      <c r="G3947">
        <v>4</v>
      </c>
      <c r="H3947">
        <v>3</v>
      </c>
      <c r="I3947">
        <v>2016</v>
      </c>
      <c r="J3947">
        <v>0</v>
      </c>
      <c r="K3947">
        <v>1</v>
      </c>
      <c r="L3947">
        <v>0</v>
      </c>
      <c r="M3947">
        <v>7</v>
      </c>
      <c r="N3947" t="s">
        <v>41</v>
      </c>
      <c r="O3947" t="s">
        <v>27</v>
      </c>
      <c r="P3947">
        <v>12.8752368977415</v>
      </c>
      <c r="Q3947">
        <v>1.99691656953159</v>
      </c>
      <c r="R3947">
        <v>1.9946205020821</v>
      </c>
      <c r="S3947">
        <v>151</v>
      </c>
      <c r="T3947">
        <v>46</v>
      </c>
      <c r="U3947">
        <v>794.16020410224598</v>
      </c>
      <c r="V3947">
        <v>3.53356890459363E-3</v>
      </c>
      <c r="W3947">
        <v>1985189.9719062101</v>
      </c>
      <c r="X3947" t="s">
        <v>44</v>
      </c>
      <c r="Y3947">
        <f>1-684-550-9279</f>
        <v>-10512</v>
      </c>
    </row>
    <row r="3948" spans="1:25" x14ac:dyDescent="0.35">
      <c r="A3948">
        <v>37.244627530617102</v>
      </c>
      <c r="B3948">
        <v>-121.900346262197</v>
      </c>
      <c r="C3948" t="s">
        <v>25</v>
      </c>
      <c r="D3948">
        <v>15.492966926251899</v>
      </c>
      <c r="E3948">
        <v>3</v>
      </c>
      <c r="F3948">
        <v>3667</v>
      </c>
      <c r="G3948">
        <v>4</v>
      </c>
      <c r="H3948">
        <v>2</v>
      </c>
      <c r="I3948">
        <v>1964</v>
      </c>
      <c r="J3948">
        <v>0</v>
      </c>
      <c r="K3948">
        <v>0</v>
      </c>
      <c r="L3948">
        <v>1</v>
      </c>
      <c r="M3948">
        <v>14</v>
      </c>
      <c r="N3948" t="s">
        <v>35</v>
      </c>
      <c r="O3948" t="s">
        <v>27</v>
      </c>
      <c r="P3948">
        <v>6.8235544542825197</v>
      </c>
      <c r="Q3948">
        <v>1.3417022101626199</v>
      </c>
      <c r="R3948">
        <v>5.2565875051929698</v>
      </c>
      <c r="S3948">
        <v>5</v>
      </c>
      <c r="T3948">
        <v>56</v>
      </c>
      <c r="U3948">
        <v>220.546991337208</v>
      </c>
      <c r="V3948">
        <v>3.8178347422961499E-3</v>
      </c>
      <c r="W3948">
        <v>1163230.81953476</v>
      </c>
      <c r="X3948" t="s">
        <v>40</v>
      </c>
      <c r="Y3948">
        <f>1-302-441-4499</f>
        <v>-5241</v>
      </c>
    </row>
    <row r="3949" spans="1:25" x14ac:dyDescent="0.35">
      <c r="A3949">
        <v>36.561713822191699</v>
      </c>
      <c r="B3949">
        <v>-123.81039723898201</v>
      </c>
      <c r="C3949" t="s">
        <v>34</v>
      </c>
      <c r="D3949">
        <v>6.19943740893489</v>
      </c>
      <c r="E3949">
        <v>0</v>
      </c>
      <c r="F3949">
        <v>3590</v>
      </c>
      <c r="G3949">
        <v>3</v>
      </c>
      <c r="H3949">
        <v>1</v>
      </c>
      <c r="I3949">
        <v>1994</v>
      </c>
      <c r="J3949">
        <v>0</v>
      </c>
      <c r="K3949">
        <v>0</v>
      </c>
      <c r="L3949">
        <v>1</v>
      </c>
      <c r="M3949">
        <v>6</v>
      </c>
      <c r="N3949" t="s">
        <v>37</v>
      </c>
      <c r="O3949" t="s">
        <v>27</v>
      </c>
      <c r="P3949">
        <v>2.63106559746566</v>
      </c>
      <c r="Q3949">
        <v>1.76815827901953</v>
      </c>
      <c r="R3949">
        <v>2.9475051169940998</v>
      </c>
      <c r="S3949">
        <v>130</v>
      </c>
      <c r="T3949">
        <v>62</v>
      </c>
      <c r="U3949">
        <v>995.85017603133497</v>
      </c>
      <c r="V3949">
        <v>1.6713091922005499E-3</v>
      </c>
      <c r="W3949">
        <v>3655930.4405273302</v>
      </c>
      <c r="X3949" t="s">
        <v>28</v>
      </c>
      <c r="Y3949">
        <f>1-261-438-7003</f>
        <v>-7701</v>
      </c>
    </row>
    <row r="3950" spans="1:25" x14ac:dyDescent="0.35">
      <c r="A3950">
        <v>41.417122434197303</v>
      </c>
      <c r="B3950">
        <v>-117.583766203945</v>
      </c>
      <c r="C3950" t="s">
        <v>34</v>
      </c>
      <c r="D3950">
        <v>34.843386559168501</v>
      </c>
      <c r="E3950">
        <v>4</v>
      </c>
      <c r="F3950">
        <v>988</v>
      </c>
      <c r="G3950">
        <v>1</v>
      </c>
      <c r="H3950">
        <v>1</v>
      </c>
      <c r="I3950">
        <v>2020</v>
      </c>
      <c r="J3950">
        <v>0</v>
      </c>
      <c r="K3950">
        <v>1</v>
      </c>
      <c r="L3950">
        <v>1</v>
      </c>
      <c r="M3950">
        <v>8</v>
      </c>
      <c r="N3950" t="s">
        <v>37</v>
      </c>
      <c r="O3950" t="s">
        <v>27</v>
      </c>
      <c r="P3950">
        <v>5.4644924184081001</v>
      </c>
      <c r="Q3950">
        <v>1.7995240887458701</v>
      </c>
      <c r="R3950">
        <v>6.5763701982486698</v>
      </c>
      <c r="S3950">
        <v>167</v>
      </c>
      <c r="T3950">
        <v>37</v>
      </c>
      <c r="U3950">
        <v>506.66539083571598</v>
      </c>
      <c r="V3950">
        <v>8.0971659919028306E-3</v>
      </c>
      <c r="W3950">
        <v>682305.96031704603</v>
      </c>
      <c r="X3950" t="s">
        <v>38</v>
      </c>
      <c r="Y3950">
        <f>1-784-351-9710</f>
        <v>-10844</v>
      </c>
    </row>
    <row r="3951" spans="1:25" x14ac:dyDescent="0.35">
      <c r="A3951">
        <v>36.267618743338502</v>
      </c>
      <c r="B3951">
        <v>-120.11290601404799</v>
      </c>
      <c r="C3951" t="s">
        <v>34</v>
      </c>
      <c r="D3951">
        <v>10.8648875897408</v>
      </c>
      <c r="E3951">
        <v>4</v>
      </c>
      <c r="F3951">
        <v>816</v>
      </c>
      <c r="G3951">
        <v>1</v>
      </c>
      <c r="H3951">
        <v>3</v>
      </c>
      <c r="I3951">
        <v>2016</v>
      </c>
      <c r="J3951">
        <v>1</v>
      </c>
      <c r="K3951">
        <v>0</v>
      </c>
      <c r="L3951">
        <v>0</v>
      </c>
      <c r="M3951">
        <v>14</v>
      </c>
      <c r="N3951" t="s">
        <v>26</v>
      </c>
      <c r="O3951" t="s">
        <v>30</v>
      </c>
      <c r="P3951">
        <v>11.4828042012543</v>
      </c>
      <c r="Q3951">
        <v>0.66275971968786795</v>
      </c>
      <c r="R3951">
        <v>3.48373720592474</v>
      </c>
      <c r="S3951">
        <v>189</v>
      </c>
      <c r="T3951">
        <v>48</v>
      </c>
      <c r="U3951">
        <v>288.60562152847098</v>
      </c>
      <c r="V3951">
        <v>1.7156862745097999E-2</v>
      </c>
      <c r="W3951">
        <v>403091.829756658</v>
      </c>
      <c r="X3951" t="s">
        <v>39</v>
      </c>
      <c r="Y3951">
        <f>1-371-635-7725</f>
        <v>-8730</v>
      </c>
    </row>
    <row r="3952" spans="1:25" x14ac:dyDescent="0.35">
      <c r="A3952">
        <v>40.918618716411601</v>
      </c>
      <c r="B3952">
        <v>-118.283929783113</v>
      </c>
      <c r="C3952" t="s">
        <v>34</v>
      </c>
      <c r="D3952">
        <v>49.470305271933199</v>
      </c>
      <c r="E3952">
        <v>2</v>
      </c>
      <c r="F3952">
        <v>977</v>
      </c>
      <c r="G3952">
        <v>1</v>
      </c>
      <c r="H3952">
        <v>3</v>
      </c>
      <c r="I3952">
        <v>1979</v>
      </c>
      <c r="J3952">
        <v>1</v>
      </c>
      <c r="K3952">
        <v>0</v>
      </c>
      <c r="L3952">
        <v>0</v>
      </c>
      <c r="M3952">
        <v>6</v>
      </c>
      <c r="N3952" t="s">
        <v>41</v>
      </c>
      <c r="O3952" t="s">
        <v>30</v>
      </c>
      <c r="P3952">
        <v>3.73979931074201</v>
      </c>
      <c r="Q3952">
        <v>1.37166010301327</v>
      </c>
      <c r="R3952">
        <v>2.6842991958535198</v>
      </c>
      <c r="S3952">
        <v>66</v>
      </c>
      <c r="T3952">
        <v>45</v>
      </c>
      <c r="U3952">
        <v>589.06808498196597</v>
      </c>
      <c r="V3952">
        <v>6.1412487205731803E-3</v>
      </c>
      <c r="W3952">
        <v>772684.64647346898</v>
      </c>
      <c r="X3952" t="s">
        <v>28</v>
      </c>
      <c r="Y3952">
        <f>1-868-379-9722</f>
        <v>-10968</v>
      </c>
    </row>
    <row r="3953" spans="1:25" x14ac:dyDescent="0.35">
      <c r="A3953">
        <v>38.181239341916502</v>
      </c>
      <c r="B3953">
        <v>-118.981460416628</v>
      </c>
      <c r="C3953" t="s">
        <v>34</v>
      </c>
      <c r="D3953">
        <v>30.241623815055299</v>
      </c>
      <c r="E3953">
        <v>5</v>
      </c>
      <c r="F3953">
        <v>3445</v>
      </c>
      <c r="G3953">
        <v>4</v>
      </c>
      <c r="H3953">
        <v>3</v>
      </c>
      <c r="I3953">
        <v>1966</v>
      </c>
      <c r="J3953">
        <v>1</v>
      </c>
      <c r="K3953">
        <v>0</v>
      </c>
      <c r="L3953">
        <v>1</v>
      </c>
      <c r="M3953">
        <v>13</v>
      </c>
      <c r="N3953" t="s">
        <v>26</v>
      </c>
      <c r="O3953" t="s">
        <v>27</v>
      </c>
      <c r="P3953">
        <v>2.5625149782816599</v>
      </c>
      <c r="Q3953">
        <v>2.3510598084634098</v>
      </c>
      <c r="R3953">
        <v>1.19452038313501</v>
      </c>
      <c r="S3953">
        <v>130</v>
      </c>
      <c r="T3953">
        <v>72</v>
      </c>
      <c r="U3953">
        <v>793.24294223060895</v>
      </c>
      <c r="V3953">
        <v>3.77358490566037E-3</v>
      </c>
      <c r="W3953">
        <v>2916650.27426147</v>
      </c>
      <c r="X3953" t="s">
        <v>33</v>
      </c>
      <c r="Y3953">
        <f>1-379-997-4107</f>
        <v>-5482</v>
      </c>
    </row>
    <row r="3954" spans="1:25" x14ac:dyDescent="0.35">
      <c r="A3954">
        <v>32.6235761538139</v>
      </c>
      <c r="B3954">
        <v>-116.18354639939599</v>
      </c>
      <c r="C3954" t="s">
        <v>34</v>
      </c>
      <c r="D3954">
        <v>10.9862515350965</v>
      </c>
      <c r="E3954">
        <v>1</v>
      </c>
      <c r="F3954">
        <v>1353</v>
      </c>
      <c r="G3954">
        <v>3</v>
      </c>
      <c r="H3954">
        <v>3</v>
      </c>
      <c r="I3954">
        <v>1995</v>
      </c>
      <c r="J3954">
        <v>0</v>
      </c>
      <c r="K3954">
        <v>1</v>
      </c>
      <c r="L3954">
        <v>0</v>
      </c>
      <c r="M3954">
        <v>9</v>
      </c>
      <c r="N3954" t="s">
        <v>41</v>
      </c>
      <c r="O3954" t="s">
        <v>27</v>
      </c>
      <c r="P3954">
        <v>4.92703856275942</v>
      </c>
      <c r="Q3954">
        <v>2.2672421768431898</v>
      </c>
      <c r="R3954">
        <v>8.4951541610292693</v>
      </c>
      <c r="S3954">
        <v>23</v>
      </c>
      <c r="T3954">
        <v>40</v>
      </c>
      <c r="U3954">
        <v>534.85903437527395</v>
      </c>
      <c r="V3954">
        <v>6.6518847006651798E-3</v>
      </c>
      <c r="W3954">
        <v>1078836.3937005401</v>
      </c>
      <c r="X3954" t="s">
        <v>33</v>
      </c>
      <c r="Y3954">
        <f>1-633-780-8397</f>
        <v>-9809</v>
      </c>
    </row>
    <row r="3955" spans="1:25" x14ac:dyDescent="0.35">
      <c r="A3955">
        <v>33.791686209546597</v>
      </c>
      <c r="B3955">
        <v>-115.399982848137</v>
      </c>
      <c r="C3955" t="s">
        <v>29</v>
      </c>
      <c r="D3955">
        <v>21.727818176324998</v>
      </c>
      <c r="E3955">
        <v>6</v>
      </c>
      <c r="F3955">
        <v>1998</v>
      </c>
      <c r="G3955">
        <v>5</v>
      </c>
      <c r="H3955">
        <v>3</v>
      </c>
      <c r="I3955">
        <v>1961</v>
      </c>
      <c r="J3955">
        <v>1</v>
      </c>
      <c r="K3955">
        <v>0</v>
      </c>
      <c r="L3955">
        <v>0</v>
      </c>
      <c r="M3955">
        <v>6</v>
      </c>
      <c r="N3955" t="s">
        <v>35</v>
      </c>
      <c r="O3955" t="s">
        <v>30</v>
      </c>
      <c r="P3955">
        <v>12.3411225407347</v>
      </c>
      <c r="Q3955">
        <v>0.88745515763617699</v>
      </c>
      <c r="R3955">
        <v>3.0171139720832598</v>
      </c>
      <c r="S3955">
        <v>163</v>
      </c>
      <c r="T3955">
        <v>69</v>
      </c>
      <c r="U3955">
        <v>367.15808967139998</v>
      </c>
      <c r="V3955">
        <v>3.0030030030029999E-3</v>
      </c>
      <c r="W3955">
        <v>1046762.44962048</v>
      </c>
      <c r="X3955" t="s">
        <v>38</v>
      </c>
      <c r="Y3955">
        <f>1-743-325-3292</f>
        <v>-4359</v>
      </c>
    </row>
    <row r="3956" spans="1:25" x14ac:dyDescent="0.35">
      <c r="A3956">
        <v>37.934615293158501</v>
      </c>
      <c r="B3956">
        <v>-123.348097604261</v>
      </c>
      <c r="C3956" t="s">
        <v>29</v>
      </c>
      <c r="D3956">
        <v>36.666353168318203</v>
      </c>
      <c r="E3956">
        <v>5</v>
      </c>
      <c r="F3956">
        <v>4444</v>
      </c>
      <c r="G3956">
        <v>1</v>
      </c>
      <c r="H3956">
        <v>1</v>
      </c>
      <c r="I3956">
        <v>1967</v>
      </c>
      <c r="J3956">
        <v>0</v>
      </c>
      <c r="K3956">
        <v>0</v>
      </c>
      <c r="L3956">
        <v>1</v>
      </c>
      <c r="M3956">
        <v>13</v>
      </c>
      <c r="N3956" t="s">
        <v>26</v>
      </c>
      <c r="O3956" t="s">
        <v>32</v>
      </c>
      <c r="P3956">
        <v>2.5543681980512298</v>
      </c>
      <c r="Q3956">
        <v>0.76169924774078102</v>
      </c>
      <c r="R3956">
        <v>7.1532485755209603</v>
      </c>
      <c r="S3956">
        <v>122</v>
      </c>
      <c r="T3956">
        <v>63</v>
      </c>
      <c r="U3956">
        <v>744.35253089715297</v>
      </c>
      <c r="V3956">
        <v>2.92529252925292E-3</v>
      </c>
      <c r="W3956">
        <v>3230696.05803556</v>
      </c>
      <c r="X3956" t="s">
        <v>44</v>
      </c>
      <c r="Y3956">
        <f>1-801-540-6155</f>
        <v>-7495</v>
      </c>
    </row>
    <row r="3957" spans="1:25" x14ac:dyDescent="0.35">
      <c r="A3957">
        <v>38.963917238008101</v>
      </c>
      <c r="B3957">
        <v>-118.671332181213</v>
      </c>
      <c r="C3957" t="s">
        <v>29</v>
      </c>
      <c r="D3957">
        <v>5.0521926668444799</v>
      </c>
      <c r="E3957">
        <v>4</v>
      </c>
      <c r="F3957">
        <v>567</v>
      </c>
      <c r="G3957">
        <v>2</v>
      </c>
      <c r="H3957">
        <v>1</v>
      </c>
      <c r="I3957">
        <v>1998</v>
      </c>
      <c r="J3957">
        <v>0</v>
      </c>
      <c r="K3957">
        <v>1</v>
      </c>
      <c r="L3957">
        <v>0</v>
      </c>
      <c r="M3957">
        <v>6</v>
      </c>
      <c r="N3957" t="s">
        <v>35</v>
      </c>
      <c r="O3957" t="s">
        <v>32</v>
      </c>
      <c r="P3957">
        <v>9.9970562395224007</v>
      </c>
      <c r="Q3957">
        <v>1.4117412367767299</v>
      </c>
      <c r="R3957">
        <v>0.30325494287669502</v>
      </c>
      <c r="S3957">
        <v>165</v>
      </c>
      <c r="T3957">
        <v>26</v>
      </c>
      <c r="U3957">
        <v>741.96307307307802</v>
      </c>
      <c r="V3957">
        <v>1.05820105820105E-2</v>
      </c>
      <c r="W3957">
        <v>627520.34074531496</v>
      </c>
      <c r="X3957" t="s">
        <v>28</v>
      </c>
      <c r="Y3957">
        <f>1-744-768-9570</f>
        <v>-11081</v>
      </c>
    </row>
    <row r="3958" spans="1:25" x14ac:dyDescent="0.35">
      <c r="A3958">
        <v>38.2741314756327</v>
      </c>
      <c r="B3958">
        <v>-120.13945392586299</v>
      </c>
      <c r="C3958" t="s">
        <v>34</v>
      </c>
      <c r="D3958">
        <v>18.4108056254857</v>
      </c>
      <c r="E3958">
        <v>7</v>
      </c>
      <c r="F3958">
        <v>2556</v>
      </c>
      <c r="G3958">
        <v>1</v>
      </c>
      <c r="H3958">
        <v>1</v>
      </c>
      <c r="I3958">
        <v>2021</v>
      </c>
      <c r="J3958">
        <v>0</v>
      </c>
      <c r="K3958">
        <v>0</v>
      </c>
      <c r="L3958">
        <v>0</v>
      </c>
      <c r="M3958">
        <v>8</v>
      </c>
      <c r="N3958" t="s">
        <v>41</v>
      </c>
      <c r="O3958" t="s">
        <v>27</v>
      </c>
      <c r="P3958">
        <v>5.4594066119591602</v>
      </c>
      <c r="Q3958">
        <v>1.6746333905273201</v>
      </c>
      <c r="R3958">
        <v>6.5110730971579303</v>
      </c>
      <c r="S3958">
        <v>101</v>
      </c>
      <c r="T3958">
        <v>62</v>
      </c>
      <c r="U3958">
        <v>207.39823734955999</v>
      </c>
      <c r="V3958">
        <v>3.1298904538341098E-3</v>
      </c>
      <c r="W3958">
        <v>641528.53487496998</v>
      </c>
      <c r="X3958" t="s">
        <v>39</v>
      </c>
      <c r="Y3958">
        <f>1-952-881-4840</f>
        <v>-6672</v>
      </c>
    </row>
    <row r="3959" spans="1:25" x14ac:dyDescent="0.35">
      <c r="A3959">
        <v>34.783713995662097</v>
      </c>
      <c r="B3959">
        <v>-118.923563166912</v>
      </c>
      <c r="C3959" t="s">
        <v>29</v>
      </c>
      <c r="D3959">
        <v>9.4812190294746905</v>
      </c>
      <c r="E3959">
        <v>4</v>
      </c>
      <c r="F3959">
        <v>870</v>
      </c>
      <c r="G3959">
        <v>1</v>
      </c>
      <c r="H3959">
        <v>2</v>
      </c>
      <c r="I3959">
        <v>1955</v>
      </c>
      <c r="J3959">
        <v>1</v>
      </c>
      <c r="K3959">
        <v>1</v>
      </c>
      <c r="L3959">
        <v>1</v>
      </c>
      <c r="M3959">
        <v>14</v>
      </c>
      <c r="N3959" t="s">
        <v>37</v>
      </c>
      <c r="O3959" t="s">
        <v>27</v>
      </c>
      <c r="P3959">
        <v>8.9235468538874407</v>
      </c>
      <c r="Q3959">
        <v>1.8569669374331199</v>
      </c>
      <c r="R3959">
        <v>6.1370795356405603</v>
      </c>
      <c r="S3959">
        <v>27</v>
      </c>
      <c r="T3959">
        <v>34</v>
      </c>
      <c r="U3959">
        <v>342.58011811411001</v>
      </c>
      <c r="V3959">
        <v>1.6091954022988499E-2</v>
      </c>
      <c r="W3959">
        <v>564468.01620187901</v>
      </c>
      <c r="X3959" t="s">
        <v>44</v>
      </c>
      <c r="Y3959">
        <f>1-356-773-8900</f>
        <v>-10028</v>
      </c>
    </row>
    <row r="3960" spans="1:25" x14ac:dyDescent="0.35">
      <c r="A3960">
        <v>33.703581051593801</v>
      </c>
      <c r="B3960">
        <v>-123.193894640743</v>
      </c>
      <c r="C3960" t="s">
        <v>25</v>
      </c>
      <c r="D3960">
        <v>34.0784741546316</v>
      </c>
      <c r="E3960">
        <v>9</v>
      </c>
      <c r="F3960">
        <v>3658</v>
      </c>
      <c r="G3960">
        <v>3</v>
      </c>
      <c r="H3960">
        <v>2</v>
      </c>
      <c r="I3960">
        <v>2008</v>
      </c>
      <c r="J3960">
        <v>0</v>
      </c>
      <c r="K3960">
        <v>0</v>
      </c>
      <c r="L3960">
        <v>1</v>
      </c>
      <c r="M3960">
        <v>2</v>
      </c>
      <c r="N3960" t="s">
        <v>26</v>
      </c>
      <c r="O3960" t="s">
        <v>30</v>
      </c>
      <c r="P3960">
        <v>4.9212852303443499</v>
      </c>
      <c r="Q3960">
        <v>1.14308332638137</v>
      </c>
      <c r="R3960">
        <v>1.21067848195594</v>
      </c>
      <c r="S3960">
        <v>142</v>
      </c>
      <c r="T3960">
        <v>37</v>
      </c>
      <c r="U3960">
        <v>910.02425121029205</v>
      </c>
      <c r="V3960">
        <v>5.4674685620557603E-4</v>
      </c>
      <c r="W3960">
        <v>3611851.46179289</v>
      </c>
      <c r="X3960" t="s">
        <v>39</v>
      </c>
      <c r="Y3960">
        <f>1-222-880-8278</f>
        <v>-9379</v>
      </c>
    </row>
    <row r="3961" spans="1:25" x14ac:dyDescent="0.35">
      <c r="A3961">
        <v>40.011429389653202</v>
      </c>
      <c r="B3961">
        <v>-120.844950861887</v>
      </c>
      <c r="C3961" t="s">
        <v>34</v>
      </c>
      <c r="D3961">
        <v>30.7294013592117</v>
      </c>
      <c r="E3961">
        <v>4</v>
      </c>
      <c r="F3961">
        <v>3182</v>
      </c>
      <c r="G3961">
        <v>4</v>
      </c>
      <c r="H3961">
        <v>1</v>
      </c>
      <c r="I3961">
        <v>2019</v>
      </c>
      <c r="J3961">
        <v>0</v>
      </c>
      <c r="K3961">
        <v>0</v>
      </c>
      <c r="L3961">
        <v>0</v>
      </c>
      <c r="M3961">
        <v>13</v>
      </c>
      <c r="N3961" t="s">
        <v>41</v>
      </c>
      <c r="O3961" t="s">
        <v>32</v>
      </c>
      <c r="P3961">
        <v>9.41824530595113</v>
      </c>
      <c r="Q3961">
        <v>1.60560616097815</v>
      </c>
      <c r="R3961">
        <v>6.9704148000258597</v>
      </c>
      <c r="S3961">
        <v>131</v>
      </c>
      <c r="T3961">
        <v>63</v>
      </c>
      <c r="U3961">
        <v>262.00214461181002</v>
      </c>
      <c r="V3961">
        <v>4.0854808296668698E-3</v>
      </c>
      <c r="W3961">
        <v>970194.67234472395</v>
      </c>
      <c r="X3961" t="s">
        <v>33</v>
      </c>
      <c r="Y3961">
        <f>1-283-601-9592</f>
        <v>-10475</v>
      </c>
    </row>
    <row r="3962" spans="1:25" x14ac:dyDescent="0.35">
      <c r="A3962">
        <v>39.425436491282902</v>
      </c>
      <c r="B3962">
        <v>-119.127597825064</v>
      </c>
      <c r="C3962" t="s">
        <v>34</v>
      </c>
      <c r="D3962">
        <v>34.185327670232297</v>
      </c>
      <c r="E3962">
        <v>2</v>
      </c>
      <c r="F3962">
        <v>3946</v>
      </c>
      <c r="G3962">
        <v>5</v>
      </c>
      <c r="H3962">
        <v>2</v>
      </c>
      <c r="I3962">
        <v>1951</v>
      </c>
      <c r="J3962">
        <v>0</v>
      </c>
      <c r="K3962">
        <v>1</v>
      </c>
      <c r="L3962">
        <v>0</v>
      </c>
      <c r="M3962">
        <v>13</v>
      </c>
      <c r="N3962" t="s">
        <v>37</v>
      </c>
      <c r="O3962" t="s">
        <v>32</v>
      </c>
      <c r="P3962">
        <v>12.1458989913762</v>
      </c>
      <c r="Q3962">
        <v>1.0584453133913201</v>
      </c>
      <c r="R3962">
        <v>9.8659618264453499</v>
      </c>
      <c r="S3962">
        <v>93</v>
      </c>
      <c r="T3962">
        <v>42</v>
      </c>
      <c r="U3962">
        <v>544.40727221328098</v>
      </c>
      <c r="V3962">
        <v>3.2944754181449499E-3</v>
      </c>
      <c r="W3962">
        <v>2468860.1392614902</v>
      </c>
      <c r="X3962" t="s">
        <v>40</v>
      </c>
      <c r="Y3962">
        <f>1-457-641-2087</f>
        <v>-3184</v>
      </c>
    </row>
    <row r="3963" spans="1:25" x14ac:dyDescent="0.35">
      <c r="A3963">
        <v>34.306491904986501</v>
      </c>
      <c r="B3963">
        <v>-119.47744446377</v>
      </c>
      <c r="C3963" t="s">
        <v>25</v>
      </c>
      <c r="D3963">
        <v>29.785584450898199</v>
      </c>
      <c r="E3963">
        <v>0</v>
      </c>
      <c r="F3963">
        <v>2166</v>
      </c>
      <c r="G3963">
        <v>1</v>
      </c>
      <c r="H3963">
        <v>2</v>
      </c>
      <c r="I3963">
        <v>2020</v>
      </c>
      <c r="J3963">
        <v>1</v>
      </c>
      <c r="K3963">
        <v>0</v>
      </c>
      <c r="L3963">
        <v>1</v>
      </c>
      <c r="M3963">
        <v>5</v>
      </c>
      <c r="N3963" t="s">
        <v>37</v>
      </c>
      <c r="O3963" t="s">
        <v>30</v>
      </c>
      <c r="P3963">
        <v>8.7868137609645593</v>
      </c>
      <c r="Q3963">
        <v>0.67599214599380397</v>
      </c>
      <c r="R3963">
        <v>8.8289102555046899</v>
      </c>
      <c r="S3963">
        <v>49</v>
      </c>
      <c r="T3963">
        <v>59</v>
      </c>
      <c r="U3963">
        <v>958.85472420343001</v>
      </c>
      <c r="V3963">
        <v>2.3084025854108901E-3</v>
      </c>
      <c r="W3963">
        <v>2296153.2689228798</v>
      </c>
      <c r="X3963" t="s">
        <v>43</v>
      </c>
      <c r="Y3963">
        <f>1-539-639-6507</f>
        <v>-7684</v>
      </c>
    </row>
    <row r="3964" spans="1:25" x14ac:dyDescent="0.35">
      <c r="A3964">
        <v>35.495083320801903</v>
      </c>
      <c r="B3964">
        <v>-117.313343629025</v>
      </c>
      <c r="C3964" t="s">
        <v>25</v>
      </c>
      <c r="D3964">
        <v>7.0645032894527997</v>
      </c>
      <c r="E3964">
        <v>5</v>
      </c>
      <c r="F3964">
        <v>4447</v>
      </c>
      <c r="G3964">
        <v>1</v>
      </c>
      <c r="H3964">
        <v>2</v>
      </c>
      <c r="I3964">
        <v>1977</v>
      </c>
      <c r="J3964">
        <v>0</v>
      </c>
      <c r="K3964">
        <v>0</v>
      </c>
      <c r="L3964">
        <v>0</v>
      </c>
      <c r="M3964">
        <v>5</v>
      </c>
      <c r="N3964" t="s">
        <v>37</v>
      </c>
      <c r="O3964" t="s">
        <v>27</v>
      </c>
      <c r="P3964">
        <v>13.803618007092</v>
      </c>
      <c r="Q3964">
        <v>1.0453037754772601</v>
      </c>
      <c r="R3964">
        <v>2.2551418609562002</v>
      </c>
      <c r="S3964">
        <v>38</v>
      </c>
      <c r="T3964">
        <v>47</v>
      </c>
      <c r="U3964">
        <v>466.56331299540602</v>
      </c>
      <c r="V3964">
        <v>1.1243534967393699E-3</v>
      </c>
      <c r="W3964">
        <v>2202736.4502024399</v>
      </c>
      <c r="X3964" t="s">
        <v>42</v>
      </c>
      <c r="Y3964">
        <f>1-303-518-9936</f>
        <v>-10756</v>
      </c>
    </row>
    <row r="3965" spans="1:25" x14ac:dyDescent="0.35">
      <c r="A3965">
        <v>41.709098691985901</v>
      </c>
      <c r="B3965">
        <v>-119.16504444287</v>
      </c>
      <c r="C3965" t="s">
        <v>29</v>
      </c>
      <c r="D3965">
        <v>15.940414965086401</v>
      </c>
      <c r="E3965">
        <v>7</v>
      </c>
      <c r="F3965">
        <v>2736</v>
      </c>
      <c r="G3965">
        <v>3</v>
      </c>
      <c r="H3965">
        <v>1</v>
      </c>
      <c r="I3965">
        <v>1975</v>
      </c>
      <c r="J3965">
        <v>0</v>
      </c>
      <c r="K3965">
        <v>0</v>
      </c>
      <c r="L3965">
        <v>0</v>
      </c>
      <c r="M3965">
        <v>9</v>
      </c>
      <c r="N3965" t="s">
        <v>37</v>
      </c>
      <c r="O3965" t="s">
        <v>30</v>
      </c>
      <c r="P3965">
        <v>5.9185394002278802</v>
      </c>
      <c r="Q3965">
        <v>2.17024464641703</v>
      </c>
      <c r="R3965">
        <v>0.196181344696743</v>
      </c>
      <c r="S3965">
        <v>151</v>
      </c>
      <c r="T3965">
        <v>21</v>
      </c>
      <c r="U3965">
        <v>702.35209581516301</v>
      </c>
      <c r="V3965">
        <v>3.2894736842105201E-3</v>
      </c>
      <c r="W3965">
        <v>2078251.0929826801</v>
      </c>
      <c r="X3965" t="s">
        <v>38</v>
      </c>
      <c r="Y3965">
        <f>1-611-156-5020</f>
        <v>-5786</v>
      </c>
    </row>
    <row r="3966" spans="1:25" x14ac:dyDescent="0.35">
      <c r="A3966">
        <v>41.726707816599102</v>
      </c>
      <c r="B3966">
        <v>-123.517669411726</v>
      </c>
      <c r="C3966" t="s">
        <v>29</v>
      </c>
      <c r="D3966">
        <v>30.5287392036679</v>
      </c>
      <c r="E3966">
        <v>5</v>
      </c>
      <c r="F3966">
        <v>4372</v>
      </c>
      <c r="G3966">
        <v>4</v>
      </c>
      <c r="H3966">
        <v>3</v>
      </c>
      <c r="I3966">
        <v>1975</v>
      </c>
      <c r="J3966">
        <v>1</v>
      </c>
      <c r="K3966">
        <v>1</v>
      </c>
      <c r="L3966">
        <v>1</v>
      </c>
      <c r="M3966">
        <v>11</v>
      </c>
      <c r="N3966" t="s">
        <v>26</v>
      </c>
      <c r="O3966" t="s">
        <v>30</v>
      </c>
      <c r="P3966">
        <v>5.0673511248880798</v>
      </c>
      <c r="Q3966">
        <v>1.57820081961212</v>
      </c>
      <c r="R3966">
        <v>4.7962831244370898</v>
      </c>
      <c r="S3966">
        <v>199</v>
      </c>
      <c r="T3966">
        <v>29</v>
      </c>
      <c r="U3966">
        <v>978.08166787624896</v>
      </c>
      <c r="V3966">
        <v>2.5160109789569901E-3</v>
      </c>
      <c r="W3966">
        <v>4690065.3282408305</v>
      </c>
      <c r="X3966" t="s">
        <v>40</v>
      </c>
      <c r="Y3966">
        <f>1-648-270-6410</f>
        <v>-7327</v>
      </c>
    </row>
    <row r="3967" spans="1:25" x14ac:dyDescent="0.35">
      <c r="A3967">
        <v>38.849454980398697</v>
      </c>
      <c r="B3967">
        <v>-116.92718195777201</v>
      </c>
      <c r="C3967" t="s">
        <v>34</v>
      </c>
      <c r="D3967">
        <v>1.94892156485394</v>
      </c>
      <c r="E3967">
        <v>2</v>
      </c>
      <c r="F3967">
        <v>4142</v>
      </c>
      <c r="G3967">
        <v>2</v>
      </c>
      <c r="H3967">
        <v>2</v>
      </c>
      <c r="I3967">
        <v>1965</v>
      </c>
      <c r="J3967">
        <v>1</v>
      </c>
      <c r="K3967">
        <v>0</v>
      </c>
      <c r="L3967">
        <v>0</v>
      </c>
      <c r="M3967">
        <v>13</v>
      </c>
      <c r="N3967" t="s">
        <v>37</v>
      </c>
      <c r="O3967" t="s">
        <v>32</v>
      </c>
      <c r="P3967">
        <v>8.72469602033234</v>
      </c>
      <c r="Q3967">
        <v>0.70703840750205804</v>
      </c>
      <c r="R3967">
        <v>1.7152640824560901</v>
      </c>
      <c r="S3967">
        <v>155</v>
      </c>
      <c r="T3967">
        <v>45</v>
      </c>
      <c r="U3967">
        <v>374.908475837087</v>
      </c>
      <c r="V3967">
        <v>3.13858039594398E-3</v>
      </c>
      <c r="W3967">
        <v>1742844.6970915301</v>
      </c>
      <c r="X3967" t="s">
        <v>36</v>
      </c>
      <c r="Y3967">
        <f>1-627-179-9976</f>
        <v>-10781</v>
      </c>
    </row>
    <row r="3968" spans="1:25" x14ac:dyDescent="0.35">
      <c r="A3968">
        <v>35.389657505234503</v>
      </c>
      <c r="B3968">
        <v>-117.691770591357</v>
      </c>
      <c r="C3968" t="s">
        <v>25</v>
      </c>
      <c r="D3968">
        <v>5.1281390785382799</v>
      </c>
      <c r="E3968">
        <v>2</v>
      </c>
      <c r="F3968">
        <v>785</v>
      </c>
      <c r="G3968">
        <v>3</v>
      </c>
      <c r="H3968">
        <v>3</v>
      </c>
      <c r="I3968">
        <v>2007</v>
      </c>
      <c r="J3968">
        <v>1</v>
      </c>
      <c r="K3968">
        <v>1</v>
      </c>
      <c r="L3968">
        <v>0</v>
      </c>
      <c r="M3968">
        <v>12</v>
      </c>
      <c r="N3968" t="s">
        <v>41</v>
      </c>
      <c r="O3968" t="s">
        <v>32</v>
      </c>
      <c r="P3968">
        <v>11.56980073654</v>
      </c>
      <c r="Q3968">
        <v>1.0485370729600001</v>
      </c>
      <c r="R3968">
        <v>6.7857400217227903</v>
      </c>
      <c r="S3968">
        <v>76</v>
      </c>
      <c r="T3968">
        <v>32</v>
      </c>
      <c r="U3968">
        <v>336.587460071485</v>
      </c>
      <c r="V3968">
        <v>1.5286624203821601E-2</v>
      </c>
      <c r="W3968">
        <v>674481.09928942705</v>
      </c>
      <c r="X3968" t="s">
        <v>43</v>
      </c>
      <c r="Y3968">
        <f>1-848-242-3276</f>
        <v>-4365</v>
      </c>
    </row>
    <row r="3969" spans="1:25" x14ac:dyDescent="0.35">
      <c r="A3969">
        <v>41.657188366662297</v>
      </c>
      <c r="B3969">
        <v>-117.786640904142</v>
      </c>
      <c r="C3969" t="s">
        <v>29</v>
      </c>
      <c r="D3969">
        <v>35.4738647327328</v>
      </c>
      <c r="E3969">
        <v>5</v>
      </c>
      <c r="F3969">
        <v>2693</v>
      </c>
      <c r="G3969">
        <v>1</v>
      </c>
      <c r="H3969">
        <v>2</v>
      </c>
      <c r="I3969">
        <v>1998</v>
      </c>
      <c r="J3969">
        <v>1</v>
      </c>
      <c r="K3969">
        <v>0</v>
      </c>
      <c r="L3969">
        <v>0</v>
      </c>
      <c r="M3969">
        <v>14</v>
      </c>
      <c r="N3969" t="s">
        <v>35</v>
      </c>
      <c r="O3969" t="s">
        <v>32</v>
      </c>
      <c r="P3969">
        <v>10.111842737510001</v>
      </c>
      <c r="Q3969">
        <v>1.22786362609084</v>
      </c>
      <c r="R3969">
        <v>1.4845861122394199</v>
      </c>
      <c r="S3969">
        <v>144</v>
      </c>
      <c r="T3969">
        <v>69</v>
      </c>
      <c r="U3969">
        <v>339.32131225132702</v>
      </c>
      <c r="V3969">
        <v>5.1986632008911996E-3</v>
      </c>
      <c r="W3969">
        <v>1065559.6390163701</v>
      </c>
      <c r="X3969" t="s">
        <v>38</v>
      </c>
      <c r="Y3969">
        <f>1-538-791-6729</f>
        <v>-8057</v>
      </c>
    </row>
    <row r="3970" spans="1:25" x14ac:dyDescent="0.35">
      <c r="A3970">
        <v>41.320738703918401</v>
      </c>
      <c r="B3970">
        <v>-116.985865505549</v>
      </c>
      <c r="C3970" t="s">
        <v>34</v>
      </c>
      <c r="D3970">
        <v>7.6039226507804001</v>
      </c>
      <c r="E3970">
        <v>4</v>
      </c>
      <c r="F3970">
        <v>4928</v>
      </c>
      <c r="G3970">
        <v>5</v>
      </c>
      <c r="H3970">
        <v>3</v>
      </c>
      <c r="I3970">
        <v>1976</v>
      </c>
      <c r="J3970">
        <v>1</v>
      </c>
      <c r="K3970">
        <v>0</v>
      </c>
      <c r="L3970">
        <v>1</v>
      </c>
      <c r="M3970">
        <v>11</v>
      </c>
      <c r="N3970" t="s">
        <v>41</v>
      </c>
      <c r="O3970" t="s">
        <v>27</v>
      </c>
      <c r="P3970">
        <v>9.5720098439314008</v>
      </c>
      <c r="Q3970">
        <v>1.52197613451841</v>
      </c>
      <c r="R3970">
        <v>3.1399992982093301</v>
      </c>
      <c r="S3970">
        <v>19</v>
      </c>
      <c r="T3970">
        <v>68</v>
      </c>
      <c r="U3970">
        <v>603.63369044134299</v>
      </c>
      <c r="V3970">
        <v>2.2321428571428501E-3</v>
      </c>
      <c r="W3970">
        <v>3384233.8374358802</v>
      </c>
      <c r="X3970" t="s">
        <v>38</v>
      </c>
      <c r="Y3970">
        <f>1-640-976-3875</f>
        <v>-5490</v>
      </c>
    </row>
    <row r="3971" spans="1:25" x14ac:dyDescent="0.35">
      <c r="A3971">
        <v>38.096004747315902</v>
      </c>
      <c r="B3971">
        <v>-120.96325923252201</v>
      </c>
      <c r="C3971" t="s">
        <v>25</v>
      </c>
      <c r="D3971">
        <v>11.8173501333197</v>
      </c>
      <c r="E3971">
        <v>7</v>
      </c>
      <c r="F3971">
        <v>3130</v>
      </c>
      <c r="G3971">
        <v>3</v>
      </c>
      <c r="H3971">
        <v>2</v>
      </c>
      <c r="I3971">
        <v>2011</v>
      </c>
      <c r="J3971">
        <v>0</v>
      </c>
      <c r="K3971">
        <v>1</v>
      </c>
      <c r="L3971">
        <v>0</v>
      </c>
      <c r="M3971">
        <v>12</v>
      </c>
      <c r="N3971" t="s">
        <v>37</v>
      </c>
      <c r="O3971" t="s">
        <v>30</v>
      </c>
      <c r="P3971">
        <v>11.071727649293299</v>
      </c>
      <c r="Q3971">
        <v>1.62080151832741</v>
      </c>
      <c r="R3971">
        <v>4.2177317163077799</v>
      </c>
      <c r="S3971">
        <v>104</v>
      </c>
      <c r="T3971">
        <v>54</v>
      </c>
      <c r="U3971">
        <v>574.93453625267398</v>
      </c>
      <c r="V3971">
        <v>3.8338658146964801E-3</v>
      </c>
      <c r="W3971">
        <v>2123144.1083654002</v>
      </c>
      <c r="X3971" t="s">
        <v>39</v>
      </c>
      <c r="Y3971">
        <f>1-309-988-2905</f>
        <v>-4201</v>
      </c>
    </row>
    <row r="3972" spans="1:25" x14ac:dyDescent="0.35">
      <c r="A3972">
        <v>36.138512936306597</v>
      </c>
      <c r="B3972">
        <v>-123.70620654371599</v>
      </c>
      <c r="C3972" t="s">
        <v>25</v>
      </c>
      <c r="D3972">
        <v>19.058509697941599</v>
      </c>
      <c r="E3972">
        <v>4</v>
      </c>
      <c r="F3972">
        <v>2573</v>
      </c>
      <c r="G3972">
        <v>5</v>
      </c>
      <c r="H3972">
        <v>1</v>
      </c>
      <c r="I3972">
        <v>1989</v>
      </c>
      <c r="J3972">
        <v>1</v>
      </c>
      <c r="K3972">
        <v>0</v>
      </c>
      <c r="L3972">
        <v>0</v>
      </c>
      <c r="M3972">
        <v>12</v>
      </c>
      <c r="N3972" t="s">
        <v>41</v>
      </c>
      <c r="O3972" t="s">
        <v>30</v>
      </c>
      <c r="P3972">
        <v>12.422009712325799</v>
      </c>
      <c r="Q3972">
        <v>2.1621837616325501</v>
      </c>
      <c r="R3972">
        <v>6.1994900041347796</v>
      </c>
      <c r="S3972">
        <v>182</v>
      </c>
      <c r="T3972">
        <v>58</v>
      </c>
      <c r="U3972">
        <v>390.517868194247</v>
      </c>
      <c r="V3972">
        <v>4.6638165565487701E-3</v>
      </c>
      <c r="W3972">
        <v>1352338.79317835</v>
      </c>
      <c r="X3972" t="s">
        <v>36</v>
      </c>
      <c r="Y3972">
        <f>1-578-430-3785</f>
        <v>-4792</v>
      </c>
    </row>
    <row r="3973" spans="1:25" x14ac:dyDescent="0.35">
      <c r="A3973">
        <v>40.775577588078697</v>
      </c>
      <c r="B3973">
        <v>-123.803911394126</v>
      </c>
      <c r="C3973" t="s">
        <v>34</v>
      </c>
      <c r="D3973">
        <v>12.182384726613501</v>
      </c>
      <c r="E3973">
        <v>6</v>
      </c>
      <c r="F3973">
        <v>3255</v>
      </c>
      <c r="G3973">
        <v>3</v>
      </c>
      <c r="H3973">
        <v>2</v>
      </c>
      <c r="I3973">
        <v>1974</v>
      </c>
      <c r="J3973">
        <v>1</v>
      </c>
      <c r="K3973">
        <v>0</v>
      </c>
      <c r="L3973">
        <v>1</v>
      </c>
      <c r="M3973">
        <v>3</v>
      </c>
      <c r="N3973" t="s">
        <v>26</v>
      </c>
      <c r="O3973" t="s">
        <v>32</v>
      </c>
      <c r="P3973">
        <v>2.1345786466623</v>
      </c>
      <c r="Q3973">
        <v>2.1156519713391901</v>
      </c>
      <c r="R3973">
        <v>9.5498983465906893</v>
      </c>
      <c r="S3973">
        <v>79</v>
      </c>
      <c r="T3973">
        <v>59</v>
      </c>
      <c r="U3973">
        <v>581.75436329685795</v>
      </c>
      <c r="V3973">
        <v>9.2165898617511499E-4</v>
      </c>
      <c r="W3973">
        <v>2009584.7064201499</v>
      </c>
      <c r="X3973" t="s">
        <v>40</v>
      </c>
      <c r="Y3973">
        <f>1-912-229-3641</f>
        <v>-4781</v>
      </c>
    </row>
    <row r="3974" spans="1:25" x14ac:dyDescent="0.35">
      <c r="A3974">
        <v>33.690232429631301</v>
      </c>
      <c r="B3974">
        <v>-116.268299797501</v>
      </c>
      <c r="C3974" t="s">
        <v>25</v>
      </c>
      <c r="D3974">
        <v>27.623137305297</v>
      </c>
      <c r="E3974">
        <v>8</v>
      </c>
      <c r="F3974">
        <v>2926</v>
      </c>
      <c r="G3974">
        <v>2</v>
      </c>
      <c r="H3974">
        <v>1</v>
      </c>
      <c r="I3974">
        <v>1989</v>
      </c>
      <c r="J3974">
        <v>1</v>
      </c>
      <c r="K3974">
        <v>0</v>
      </c>
      <c r="L3974">
        <v>0</v>
      </c>
      <c r="M3974">
        <v>13</v>
      </c>
      <c r="N3974" t="s">
        <v>37</v>
      </c>
      <c r="O3974" t="s">
        <v>30</v>
      </c>
      <c r="P3974">
        <v>6.3536619899012603</v>
      </c>
      <c r="Q3974">
        <v>0.92935358544294799</v>
      </c>
      <c r="R3974">
        <v>4.3308284805924702</v>
      </c>
      <c r="S3974">
        <v>80</v>
      </c>
      <c r="T3974">
        <v>20</v>
      </c>
      <c r="U3974">
        <v>378.97366424078803</v>
      </c>
      <c r="V3974">
        <v>4.4429254955570697E-3</v>
      </c>
      <c r="W3974">
        <v>1352720.0606434699</v>
      </c>
      <c r="X3974" t="s">
        <v>44</v>
      </c>
      <c r="Y3974">
        <f>1-624-361-7896</f>
        <v>-8880</v>
      </c>
    </row>
    <row r="3975" spans="1:25" x14ac:dyDescent="0.35">
      <c r="A3975">
        <v>39.115990467232301</v>
      </c>
      <c r="B3975">
        <v>-120.82148773492</v>
      </c>
      <c r="C3975" t="s">
        <v>29</v>
      </c>
      <c r="D3975">
        <v>17.2903005017792</v>
      </c>
      <c r="E3975">
        <v>8</v>
      </c>
      <c r="F3975">
        <v>3206</v>
      </c>
      <c r="G3975">
        <v>4</v>
      </c>
      <c r="H3975">
        <v>3</v>
      </c>
      <c r="I3975">
        <v>2010</v>
      </c>
      <c r="J3975">
        <v>0</v>
      </c>
      <c r="K3975">
        <v>1</v>
      </c>
      <c r="L3975">
        <v>1</v>
      </c>
      <c r="M3975">
        <v>5</v>
      </c>
      <c r="N3975" t="s">
        <v>41</v>
      </c>
      <c r="O3975" t="s">
        <v>30</v>
      </c>
      <c r="P3975">
        <v>14.7290157914908</v>
      </c>
      <c r="Q3975">
        <v>1.72176290827291</v>
      </c>
      <c r="R3975">
        <v>8.4219120504744502</v>
      </c>
      <c r="S3975">
        <v>193</v>
      </c>
      <c r="T3975">
        <v>71</v>
      </c>
      <c r="U3975">
        <v>571.26785862152497</v>
      </c>
      <c r="V3975">
        <v>1.5595757953836499E-3</v>
      </c>
      <c r="W3975">
        <v>2274653.6892496799</v>
      </c>
      <c r="X3975" t="s">
        <v>38</v>
      </c>
      <c r="Y3975">
        <f>1-703-719-6361</f>
        <v>-7782</v>
      </c>
    </row>
    <row r="3976" spans="1:25" x14ac:dyDescent="0.35">
      <c r="A3976">
        <v>33.121782527056901</v>
      </c>
      <c r="B3976">
        <v>-117.952522994381</v>
      </c>
      <c r="C3976" t="s">
        <v>29</v>
      </c>
      <c r="D3976">
        <v>17.452296480676701</v>
      </c>
      <c r="E3976">
        <v>5</v>
      </c>
      <c r="F3976">
        <v>1791</v>
      </c>
      <c r="G3976">
        <v>3</v>
      </c>
      <c r="H3976">
        <v>3</v>
      </c>
      <c r="I3976">
        <v>1984</v>
      </c>
      <c r="J3976">
        <v>1</v>
      </c>
      <c r="K3976">
        <v>1</v>
      </c>
      <c r="L3976">
        <v>0</v>
      </c>
      <c r="M3976">
        <v>9</v>
      </c>
      <c r="N3976" t="s">
        <v>35</v>
      </c>
      <c r="O3976" t="s">
        <v>32</v>
      </c>
      <c r="P3976">
        <v>9.6902928200417993</v>
      </c>
      <c r="Q3976">
        <v>2.4375878041896901</v>
      </c>
      <c r="R3976">
        <v>6.0613235569916197</v>
      </c>
      <c r="S3976">
        <v>183</v>
      </c>
      <c r="T3976">
        <v>28</v>
      </c>
      <c r="U3976">
        <v>740.30433502551296</v>
      </c>
      <c r="V3976">
        <v>5.0251256281407001E-3</v>
      </c>
      <c r="W3976">
        <v>1643776.0306965699</v>
      </c>
      <c r="X3976" t="s">
        <v>38</v>
      </c>
      <c r="Y3976">
        <f>1-818-189-1916</f>
        <v>-2922</v>
      </c>
    </row>
    <row r="3977" spans="1:25" x14ac:dyDescent="0.35">
      <c r="A3977">
        <v>34.339754509282699</v>
      </c>
      <c r="B3977">
        <v>-123.803450433297</v>
      </c>
      <c r="C3977" t="s">
        <v>29</v>
      </c>
      <c r="D3977">
        <v>43.033800968215402</v>
      </c>
      <c r="E3977">
        <v>5</v>
      </c>
      <c r="F3977">
        <v>2127</v>
      </c>
      <c r="G3977">
        <v>2</v>
      </c>
      <c r="H3977">
        <v>3</v>
      </c>
      <c r="I3977">
        <v>1985</v>
      </c>
      <c r="J3977">
        <v>1</v>
      </c>
      <c r="K3977">
        <v>1</v>
      </c>
      <c r="L3977">
        <v>0</v>
      </c>
      <c r="M3977">
        <v>5</v>
      </c>
      <c r="N3977" t="s">
        <v>26</v>
      </c>
      <c r="O3977" t="s">
        <v>32</v>
      </c>
      <c r="P3977">
        <v>4.8465359990507899</v>
      </c>
      <c r="Q3977">
        <v>1.6439466920861101</v>
      </c>
      <c r="R3977">
        <v>7.41492067819045</v>
      </c>
      <c r="S3977">
        <v>26</v>
      </c>
      <c r="T3977">
        <v>75</v>
      </c>
      <c r="U3977">
        <v>686.96901356085004</v>
      </c>
      <c r="V3977">
        <v>2.3507287259050299E-3</v>
      </c>
      <c r="W3977">
        <v>1664881.9020667099</v>
      </c>
      <c r="X3977" t="s">
        <v>33</v>
      </c>
      <c r="Y3977">
        <f>1-689-593-1848</f>
        <v>-3129</v>
      </c>
    </row>
    <row r="3978" spans="1:25" x14ac:dyDescent="0.35">
      <c r="A3978">
        <v>41.001046231642498</v>
      </c>
      <c r="B3978">
        <v>-123.93644914433899</v>
      </c>
      <c r="C3978" t="s">
        <v>34</v>
      </c>
      <c r="D3978">
        <v>25.4682692131375</v>
      </c>
      <c r="E3978">
        <v>6</v>
      </c>
      <c r="F3978">
        <v>3685</v>
      </c>
      <c r="G3978">
        <v>3</v>
      </c>
      <c r="H3978">
        <v>3</v>
      </c>
      <c r="I3978">
        <v>2015</v>
      </c>
      <c r="J3978">
        <v>0</v>
      </c>
      <c r="K3978">
        <v>1</v>
      </c>
      <c r="L3978">
        <v>0</v>
      </c>
      <c r="M3978">
        <v>2</v>
      </c>
      <c r="N3978" t="s">
        <v>35</v>
      </c>
      <c r="O3978" t="s">
        <v>27</v>
      </c>
      <c r="P3978">
        <v>10.780045007499201</v>
      </c>
      <c r="Q3978">
        <v>2.42703513353392</v>
      </c>
      <c r="R3978">
        <v>4.8725736137638602</v>
      </c>
      <c r="S3978">
        <v>24</v>
      </c>
      <c r="T3978">
        <v>52</v>
      </c>
      <c r="U3978">
        <v>890.17271537993895</v>
      </c>
      <c r="V3978">
        <v>5.4274084124830398E-4</v>
      </c>
      <c r="W3978">
        <v>3651393.04304804</v>
      </c>
      <c r="X3978" t="s">
        <v>39</v>
      </c>
      <c r="Y3978">
        <f>1-875-860-5226</f>
        <v>-6960</v>
      </c>
    </row>
    <row r="3979" spans="1:25" x14ac:dyDescent="0.35">
      <c r="A3979">
        <v>39.226775817839098</v>
      </c>
      <c r="B3979">
        <v>-122.280010139434</v>
      </c>
      <c r="C3979" t="s">
        <v>34</v>
      </c>
      <c r="D3979">
        <v>25.322268179131999</v>
      </c>
      <c r="E3979">
        <v>6</v>
      </c>
      <c r="F3979">
        <v>2063</v>
      </c>
      <c r="G3979">
        <v>3</v>
      </c>
      <c r="H3979">
        <v>3</v>
      </c>
      <c r="I3979">
        <v>1987</v>
      </c>
      <c r="J3979">
        <v>1</v>
      </c>
      <c r="K3979">
        <v>0</v>
      </c>
      <c r="L3979">
        <v>1</v>
      </c>
      <c r="M3979">
        <v>5</v>
      </c>
      <c r="N3979" t="s">
        <v>41</v>
      </c>
      <c r="O3979" t="s">
        <v>30</v>
      </c>
      <c r="P3979">
        <v>10.231475726654301</v>
      </c>
      <c r="Q3979">
        <v>2.4134220807379401</v>
      </c>
      <c r="R3979">
        <v>5.7505954387250497</v>
      </c>
      <c r="S3979">
        <v>174</v>
      </c>
      <c r="T3979">
        <v>21</v>
      </c>
      <c r="U3979">
        <v>545.23784698222005</v>
      </c>
      <c r="V3979">
        <v>2.4236548715462899E-3</v>
      </c>
      <c r="W3979">
        <v>1494010.26662622</v>
      </c>
      <c r="X3979" t="s">
        <v>36</v>
      </c>
      <c r="Y3979">
        <f>1-216-610-8273</f>
        <v>-9098</v>
      </c>
    </row>
    <row r="3980" spans="1:25" x14ac:dyDescent="0.35">
      <c r="A3980">
        <v>40.591344315610897</v>
      </c>
      <c r="B3980">
        <v>-118.343660286337</v>
      </c>
      <c r="C3980" t="s">
        <v>34</v>
      </c>
      <c r="D3980">
        <v>11.569805902169399</v>
      </c>
      <c r="E3980">
        <v>9</v>
      </c>
      <c r="F3980">
        <v>3266</v>
      </c>
      <c r="G3980">
        <v>2</v>
      </c>
      <c r="H3980">
        <v>1</v>
      </c>
      <c r="I3980">
        <v>1958</v>
      </c>
      <c r="J3980">
        <v>1</v>
      </c>
      <c r="K3980">
        <v>1</v>
      </c>
      <c r="L3980">
        <v>0</v>
      </c>
      <c r="M3980">
        <v>10</v>
      </c>
      <c r="N3980" t="s">
        <v>37</v>
      </c>
      <c r="O3980" t="s">
        <v>27</v>
      </c>
      <c r="P3980">
        <v>12.1305940879534</v>
      </c>
      <c r="Q3980">
        <v>2.20140671023352</v>
      </c>
      <c r="R3980">
        <v>7.3907925076221197</v>
      </c>
      <c r="S3980">
        <v>105</v>
      </c>
      <c r="T3980">
        <v>49</v>
      </c>
      <c r="U3980">
        <v>544.77815726385404</v>
      </c>
      <c r="V3980">
        <v>3.0618493570116301E-3</v>
      </c>
      <c r="W3980">
        <v>2025193.8545506201</v>
      </c>
      <c r="X3980" t="s">
        <v>39</v>
      </c>
      <c r="Y3980">
        <f>1-926-777-8030</f>
        <v>-9732</v>
      </c>
    </row>
    <row r="3981" spans="1:25" x14ac:dyDescent="0.35">
      <c r="A3981">
        <v>37.580268268103403</v>
      </c>
      <c r="B3981">
        <v>-123.04460793048101</v>
      </c>
      <c r="C3981" t="s">
        <v>25</v>
      </c>
      <c r="D3981">
        <v>16.349291570632399</v>
      </c>
      <c r="E3981">
        <v>7</v>
      </c>
      <c r="F3981">
        <v>4831</v>
      </c>
      <c r="G3981">
        <v>1</v>
      </c>
      <c r="H3981">
        <v>3</v>
      </c>
      <c r="I3981">
        <v>1964</v>
      </c>
      <c r="J3981">
        <v>1</v>
      </c>
      <c r="K3981">
        <v>0</v>
      </c>
      <c r="L3981">
        <v>1</v>
      </c>
      <c r="M3981">
        <v>10</v>
      </c>
      <c r="N3981" t="s">
        <v>41</v>
      </c>
      <c r="O3981" t="s">
        <v>30</v>
      </c>
      <c r="P3981">
        <v>2.1315105396748302</v>
      </c>
      <c r="Q3981">
        <v>1.2816679364992301</v>
      </c>
      <c r="R3981">
        <v>8.1173975364514703</v>
      </c>
      <c r="S3981">
        <v>32</v>
      </c>
      <c r="T3981">
        <v>65</v>
      </c>
      <c r="U3981">
        <v>798.53417966704603</v>
      </c>
      <c r="V3981">
        <v>2.0699648105982102E-3</v>
      </c>
      <c r="W3981">
        <v>3866150.3924191599</v>
      </c>
      <c r="X3981" t="s">
        <v>33</v>
      </c>
      <c r="Y3981">
        <f>1-623-191-4356</f>
        <v>-5169</v>
      </c>
    </row>
    <row r="3982" spans="1:25" x14ac:dyDescent="0.35">
      <c r="A3982">
        <v>34.653872809131599</v>
      </c>
      <c r="B3982">
        <v>-114.92274098532199</v>
      </c>
      <c r="C3982" t="s">
        <v>34</v>
      </c>
      <c r="D3982">
        <v>28.324088130875399</v>
      </c>
      <c r="E3982">
        <v>2</v>
      </c>
      <c r="F3982">
        <v>1460</v>
      </c>
      <c r="G3982">
        <v>4</v>
      </c>
      <c r="H3982">
        <v>1</v>
      </c>
      <c r="I3982">
        <v>2003</v>
      </c>
      <c r="J3982">
        <v>1</v>
      </c>
      <c r="K3982">
        <v>1</v>
      </c>
      <c r="L3982">
        <v>1</v>
      </c>
      <c r="M3982">
        <v>11</v>
      </c>
      <c r="N3982" t="s">
        <v>41</v>
      </c>
      <c r="O3982" t="s">
        <v>27</v>
      </c>
      <c r="P3982">
        <v>3.7302178288596801</v>
      </c>
      <c r="Q3982">
        <v>1.53685629237026</v>
      </c>
      <c r="R3982">
        <v>0.74933183730270403</v>
      </c>
      <c r="S3982">
        <v>156</v>
      </c>
      <c r="T3982">
        <v>30</v>
      </c>
      <c r="U3982">
        <v>548.71137322371101</v>
      </c>
      <c r="V3982">
        <v>7.53424657534246E-3</v>
      </c>
      <c r="W3982">
        <v>1293658.9836625799</v>
      </c>
      <c r="X3982" t="s">
        <v>42</v>
      </c>
      <c r="Y3982">
        <f>1-838-402-7642</f>
        <v>-8881</v>
      </c>
    </row>
    <row r="3983" spans="1:25" x14ac:dyDescent="0.35">
      <c r="A3983">
        <v>33.443889550822298</v>
      </c>
      <c r="B3983">
        <v>-118.386133891928</v>
      </c>
      <c r="C3983" t="s">
        <v>29</v>
      </c>
      <c r="D3983">
        <v>49.485676900920303</v>
      </c>
      <c r="E3983">
        <v>4</v>
      </c>
      <c r="F3983">
        <v>3700</v>
      </c>
      <c r="G3983">
        <v>3</v>
      </c>
      <c r="H3983">
        <v>1</v>
      </c>
      <c r="I3983">
        <v>2021</v>
      </c>
      <c r="J3983">
        <v>0</v>
      </c>
      <c r="K3983">
        <v>0</v>
      </c>
      <c r="L3983">
        <v>0</v>
      </c>
      <c r="M3983">
        <v>14</v>
      </c>
      <c r="N3983" t="s">
        <v>37</v>
      </c>
      <c r="O3983" t="s">
        <v>32</v>
      </c>
      <c r="P3983">
        <v>7.7772564737938499</v>
      </c>
      <c r="Q3983">
        <v>1.8069074532815801</v>
      </c>
      <c r="R3983">
        <v>2.1714846457758998</v>
      </c>
      <c r="S3983">
        <v>102</v>
      </c>
      <c r="T3983">
        <v>71</v>
      </c>
      <c r="U3983">
        <v>783.52855632087403</v>
      </c>
      <c r="V3983">
        <v>3.7837837837837798E-3</v>
      </c>
      <c r="W3983">
        <v>3026339.4642481301</v>
      </c>
      <c r="X3983" t="s">
        <v>43</v>
      </c>
      <c r="Y3983">
        <f>1-712-772-2068</f>
        <v>-3551</v>
      </c>
    </row>
    <row r="3984" spans="1:25" x14ac:dyDescent="0.35">
      <c r="A3984">
        <v>37.1850582033154</v>
      </c>
      <c r="B3984">
        <v>-121.86491730777701</v>
      </c>
      <c r="C3984" t="s">
        <v>29</v>
      </c>
      <c r="D3984">
        <v>35.9574056566275</v>
      </c>
      <c r="E3984">
        <v>6</v>
      </c>
      <c r="F3984">
        <v>3380</v>
      </c>
      <c r="G3984">
        <v>5</v>
      </c>
      <c r="H3984">
        <v>1</v>
      </c>
      <c r="I3984">
        <v>1958</v>
      </c>
      <c r="J3984">
        <v>1</v>
      </c>
      <c r="K3984">
        <v>0</v>
      </c>
      <c r="L3984">
        <v>1</v>
      </c>
      <c r="M3984">
        <v>9</v>
      </c>
      <c r="N3984" t="s">
        <v>41</v>
      </c>
      <c r="O3984" t="s">
        <v>27</v>
      </c>
      <c r="P3984">
        <v>11.3056664503527</v>
      </c>
      <c r="Q3984">
        <v>1.2886750380630601</v>
      </c>
      <c r="R3984">
        <v>9.9078486554513105</v>
      </c>
      <c r="S3984">
        <v>159</v>
      </c>
      <c r="T3984">
        <v>33</v>
      </c>
      <c r="U3984">
        <v>491.743432826598</v>
      </c>
      <c r="V3984">
        <v>2.6627218934911199E-3</v>
      </c>
      <c r="W3984">
        <v>1990595.25171296</v>
      </c>
      <c r="X3984" t="s">
        <v>36</v>
      </c>
      <c r="Y3984">
        <f>1-898-140-5044</f>
        <v>-6081</v>
      </c>
    </row>
    <row r="3985" spans="1:25" x14ac:dyDescent="0.35">
      <c r="A3985">
        <v>41.6799579459109</v>
      </c>
      <c r="B3985">
        <v>-124.124497521479</v>
      </c>
      <c r="C3985" t="s">
        <v>29</v>
      </c>
      <c r="D3985">
        <v>36.479608591583599</v>
      </c>
      <c r="E3985">
        <v>1</v>
      </c>
      <c r="F3985">
        <v>4470</v>
      </c>
      <c r="G3985">
        <v>3</v>
      </c>
      <c r="H3985">
        <v>1</v>
      </c>
      <c r="I3985">
        <v>2009</v>
      </c>
      <c r="J3985">
        <v>0</v>
      </c>
      <c r="K3985">
        <v>1</v>
      </c>
      <c r="L3985">
        <v>1</v>
      </c>
      <c r="M3985">
        <v>7</v>
      </c>
      <c r="N3985" t="s">
        <v>41</v>
      </c>
      <c r="O3985" t="s">
        <v>27</v>
      </c>
      <c r="P3985">
        <v>8.7098458677103707</v>
      </c>
      <c r="Q3985">
        <v>0.98572926973596198</v>
      </c>
      <c r="R3985">
        <v>9.6637397468826798</v>
      </c>
      <c r="S3985">
        <v>167</v>
      </c>
      <c r="T3985">
        <v>20</v>
      </c>
      <c r="U3985">
        <v>688.94852255101102</v>
      </c>
      <c r="V3985">
        <v>1.5659955257270599E-3</v>
      </c>
      <c r="W3985">
        <v>3359213.7807256002</v>
      </c>
      <c r="X3985" t="s">
        <v>33</v>
      </c>
      <c r="Y3985">
        <f>1-704-507-2570</f>
        <v>-3780</v>
      </c>
    </row>
    <row r="3986" spans="1:25" x14ac:dyDescent="0.35">
      <c r="A3986">
        <v>35.107690791871498</v>
      </c>
      <c r="B3986">
        <v>-115.46088774408</v>
      </c>
      <c r="C3986" t="s">
        <v>34</v>
      </c>
      <c r="D3986">
        <v>28.278376098918802</v>
      </c>
      <c r="E3986">
        <v>0</v>
      </c>
      <c r="F3986">
        <v>4753</v>
      </c>
      <c r="G3986">
        <v>4</v>
      </c>
      <c r="H3986">
        <v>2</v>
      </c>
      <c r="I3986">
        <v>1981</v>
      </c>
      <c r="J3986">
        <v>0</v>
      </c>
      <c r="K3986">
        <v>0</v>
      </c>
      <c r="L3986">
        <v>1</v>
      </c>
      <c r="M3986">
        <v>11</v>
      </c>
      <c r="N3986" t="s">
        <v>35</v>
      </c>
      <c r="O3986" t="s">
        <v>27</v>
      </c>
      <c r="P3986">
        <v>13.642482709553899</v>
      </c>
      <c r="Q3986">
        <v>2.1471206263206701</v>
      </c>
      <c r="R3986">
        <v>9.2524486000271899</v>
      </c>
      <c r="S3986">
        <v>58</v>
      </c>
      <c r="T3986">
        <v>24</v>
      </c>
      <c r="U3986">
        <v>386.21743459424601</v>
      </c>
      <c r="V3986">
        <v>2.3143277929728498E-3</v>
      </c>
      <c r="W3986">
        <v>2149041.3141113198</v>
      </c>
      <c r="X3986" t="s">
        <v>40</v>
      </c>
      <c r="Y3986">
        <f>1-536-148-6883</f>
        <v>-7566</v>
      </c>
    </row>
    <row r="3987" spans="1:25" x14ac:dyDescent="0.35">
      <c r="A3987">
        <v>38.266220670053102</v>
      </c>
      <c r="B3987">
        <v>-124.048031822919</v>
      </c>
      <c r="C3987" t="s">
        <v>34</v>
      </c>
      <c r="D3987">
        <v>6.9910948016034196</v>
      </c>
      <c r="E3987">
        <v>0</v>
      </c>
      <c r="F3987">
        <v>4838</v>
      </c>
      <c r="G3987">
        <v>1</v>
      </c>
      <c r="H3987">
        <v>1</v>
      </c>
      <c r="I3987">
        <v>1971</v>
      </c>
      <c r="J3987">
        <v>1</v>
      </c>
      <c r="K3987">
        <v>0</v>
      </c>
      <c r="L3987">
        <v>0</v>
      </c>
      <c r="M3987">
        <v>6</v>
      </c>
      <c r="N3987" t="s">
        <v>41</v>
      </c>
      <c r="O3987" t="s">
        <v>30</v>
      </c>
      <c r="P3987">
        <v>4.6834836523571202</v>
      </c>
      <c r="Q3987">
        <v>1.3623182249447601</v>
      </c>
      <c r="R3987">
        <v>9.7288932880901005</v>
      </c>
      <c r="S3987">
        <v>50</v>
      </c>
      <c r="T3987">
        <v>50</v>
      </c>
      <c r="U3987">
        <v>994.62899433148095</v>
      </c>
      <c r="V3987">
        <v>1.24018189334435E-3</v>
      </c>
      <c r="W3987">
        <v>4907875.9409321398</v>
      </c>
      <c r="X3987" t="s">
        <v>42</v>
      </c>
      <c r="Y3987">
        <f>1-710-941-8207</f>
        <v>-9857</v>
      </c>
    </row>
    <row r="3988" spans="1:25" x14ac:dyDescent="0.35">
      <c r="A3988">
        <v>34.557817384232798</v>
      </c>
      <c r="B3988">
        <v>-122.18052618137899</v>
      </c>
      <c r="C3988" t="s">
        <v>29</v>
      </c>
      <c r="D3988">
        <v>47.210690699201599</v>
      </c>
      <c r="E3988">
        <v>5</v>
      </c>
      <c r="F3988">
        <v>3023</v>
      </c>
      <c r="G3988">
        <v>5</v>
      </c>
      <c r="H3988">
        <v>3</v>
      </c>
      <c r="I3988">
        <v>2006</v>
      </c>
      <c r="J3988">
        <v>1</v>
      </c>
      <c r="K3988">
        <v>1</v>
      </c>
      <c r="L3988">
        <v>0</v>
      </c>
      <c r="M3988">
        <v>10</v>
      </c>
      <c r="N3988" t="s">
        <v>41</v>
      </c>
      <c r="O3988" t="s">
        <v>30</v>
      </c>
      <c r="P3988">
        <v>13.8620013444433</v>
      </c>
      <c r="Q3988">
        <v>2.4927787043304099</v>
      </c>
      <c r="R3988">
        <v>4.3889850217766604</v>
      </c>
      <c r="S3988">
        <v>15</v>
      </c>
      <c r="T3988">
        <v>41</v>
      </c>
      <c r="U3988">
        <v>447.19604205734697</v>
      </c>
      <c r="V3988">
        <v>3.3079722130334101E-3</v>
      </c>
      <c r="W3988">
        <v>1896382.47585371</v>
      </c>
      <c r="X3988" t="s">
        <v>43</v>
      </c>
      <c r="Y3988">
        <f>1-821-385-3448</f>
        <v>-4653</v>
      </c>
    </row>
    <row r="3989" spans="1:25" x14ac:dyDescent="0.35">
      <c r="A3989">
        <v>37.089947036166102</v>
      </c>
      <c r="B3989">
        <v>-122.759899762595</v>
      </c>
      <c r="C3989" t="s">
        <v>34</v>
      </c>
      <c r="D3989">
        <v>28.661686579512502</v>
      </c>
      <c r="E3989">
        <v>6</v>
      </c>
      <c r="F3989">
        <v>765</v>
      </c>
      <c r="G3989">
        <v>3</v>
      </c>
      <c r="H3989">
        <v>2</v>
      </c>
      <c r="I3989">
        <v>1992</v>
      </c>
      <c r="J3989">
        <v>0</v>
      </c>
      <c r="K3989">
        <v>0</v>
      </c>
      <c r="L3989">
        <v>1</v>
      </c>
      <c r="M3989">
        <v>7</v>
      </c>
      <c r="N3989" t="s">
        <v>41</v>
      </c>
      <c r="O3989" t="s">
        <v>32</v>
      </c>
      <c r="P3989">
        <v>8.0957958181851204</v>
      </c>
      <c r="Q3989">
        <v>1.4045671518823799</v>
      </c>
      <c r="R3989">
        <v>9.2936729597106904</v>
      </c>
      <c r="S3989">
        <v>59</v>
      </c>
      <c r="T3989">
        <v>46</v>
      </c>
      <c r="U3989">
        <v>244.809312646975</v>
      </c>
      <c r="V3989">
        <v>9.1503267973856196E-3</v>
      </c>
      <c r="W3989">
        <v>400653.03937294998</v>
      </c>
      <c r="X3989" t="s">
        <v>28</v>
      </c>
      <c r="Y3989">
        <f>1-979-117-4246</f>
        <v>-5341</v>
      </c>
    </row>
    <row r="3990" spans="1:25" x14ac:dyDescent="0.35">
      <c r="A3990">
        <v>35.000088594170101</v>
      </c>
      <c r="B3990">
        <v>-115.081203564852</v>
      </c>
      <c r="C3990" t="s">
        <v>34</v>
      </c>
      <c r="D3990">
        <v>44.024432621548499</v>
      </c>
      <c r="E3990">
        <v>3</v>
      </c>
      <c r="F3990">
        <v>4048</v>
      </c>
      <c r="G3990">
        <v>1</v>
      </c>
      <c r="H3990">
        <v>2</v>
      </c>
      <c r="I3990">
        <v>2018</v>
      </c>
      <c r="J3990">
        <v>1</v>
      </c>
      <c r="K3990">
        <v>0</v>
      </c>
      <c r="L3990">
        <v>1</v>
      </c>
      <c r="M3990">
        <v>3</v>
      </c>
      <c r="N3990" t="s">
        <v>35</v>
      </c>
      <c r="O3990" t="s">
        <v>27</v>
      </c>
      <c r="P3990">
        <v>8.6255965983968306</v>
      </c>
      <c r="Q3990">
        <v>0.51249137645002996</v>
      </c>
      <c r="R3990">
        <v>6.0360105049386998</v>
      </c>
      <c r="S3990">
        <v>155</v>
      </c>
      <c r="T3990">
        <v>46</v>
      </c>
      <c r="U3990">
        <v>717.45247433824898</v>
      </c>
      <c r="V3990">
        <v>7.4110671936758802E-4</v>
      </c>
      <c r="W3990">
        <v>3083285.4861331</v>
      </c>
      <c r="X3990" t="s">
        <v>42</v>
      </c>
      <c r="Y3990">
        <f>1-847-648-8561</f>
        <v>-10055</v>
      </c>
    </row>
    <row r="3991" spans="1:25" x14ac:dyDescent="0.35">
      <c r="A3991">
        <v>36.2089041925611</v>
      </c>
      <c r="B3991">
        <v>-121.850565843951</v>
      </c>
      <c r="C3991" t="s">
        <v>29</v>
      </c>
      <c r="D3991">
        <v>24.069765666917299</v>
      </c>
      <c r="E3991">
        <v>7</v>
      </c>
      <c r="F3991">
        <v>1256</v>
      </c>
      <c r="G3991">
        <v>2</v>
      </c>
      <c r="H3991">
        <v>2</v>
      </c>
      <c r="I3991">
        <v>2013</v>
      </c>
      <c r="J3991">
        <v>1</v>
      </c>
      <c r="K3991">
        <v>0</v>
      </c>
      <c r="L3991">
        <v>1</v>
      </c>
      <c r="M3991">
        <v>12</v>
      </c>
      <c r="N3991" t="s">
        <v>35</v>
      </c>
      <c r="O3991" t="s">
        <v>32</v>
      </c>
      <c r="P3991">
        <v>6.45705390276422</v>
      </c>
      <c r="Q3991">
        <v>0.61663446882785999</v>
      </c>
      <c r="R3991">
        <v>4.3082343378709496</v>
      </c>
      <c r="S3991">
        <v>36</v>
      </c>
      <c r="T3991">
        <v>49</v>
      </c>
      <c r="U3991">
        <v>492.93992984213202</v>
      </c>
      <c r="V3991">
        <v>9.5541401273885294E-3</v>
      </c>
      <c r="W3991">
        <v>878652.37027708697</v>
      </c>
      <c r="X3991" t="s">
        <v>42</v>
      </c>
      <c r="Y3991">
        <f>1-653-486-1609</f>
        <v>-2747</v>
      </c>
    </row>
    <row r="3992" spans="1:25" x14ac:dyDescent="0.35">
      <c r="A3992">
        <v>38.573985044435197</v>
      </c>
      <c r="B3992">
        <v>-114.66813339223501</v>
      </c>
      <c r="C3992" t="s">
        <v>25</v>
      </c>
      <c r="D3992">
        <v>5.7143416093488097</v>
      </c>
      <c r="E3992">
        <v>5</v>
      </c>
      <c r="F3992">
        <v>601</v>
      </c>
      <c r="G3992">
        <v>3</v>
      </c>
      <c r="H3992">
        <v>1</v>
      </c>
      <c r="I3992">
        <v>1988</v>
      </c>
      <c r="J3992">
        <v>1</v>
      </c>
      <c r="K3992">
        <v>0</v>
      </c>
      <c r="L3992">
        <v>1</v>
      </c>
      <c r="M3992">
        <v>2</v>
      </c>
      <c r="N3992" t="s">
        <v>26</v>
      </c>
      <c r="O3992" t="s">
        <v>32</v>
      </c>
      <c r="P3992">
        <v>13.503454094197201</v>
      </c>
      <c r="Q3992">
        <v>1.6900471929313301</v>
      </c>
      <c r="R3992">
        <v>1.38052239383021</v>
      </c>
      <c r="S3992">
        <v>105</v>
      </c>
      <c r="T3992">
        <v>77</v>
      </c>
      <c r="U3992">
        <v>371.55530224593798</v>
      </c>
      <c r="V3992">
        <v>3.3277870216306101E-3</v>
      </c>
      <c r="W3992">
        <v>557645.39649223501</v>
      </c>
      <c r="X3992" t="s">
        <v>40</v>
      </c>
      <c r="Y3992">
        <f>1-746-941-2266</f>
        <v>-3952</v>
      </c>
    </row>
    <row r="3993" spans="1:25" x14ac:dyDescent="0.35">
      <c r="A3993">
        <v>40.300999892398004</v>
      </c>
      <c r="B3993">
        <v>-124.284095948833</v>
      </c>
      <c r="C3993" t="s">
        <v>34</v>
      </c>
      <c r="D3993">
        <v>10.7232892598165</v>
      </c>
      <c r="E3993">
        <v>0</v>
      </c>
      <c r="F3993">
        <v>4650</v>
      </c>
      <c r="G3993">
        <v>3</v>
      </c>
      <c r="H3993">
        <v>3</v>
      </c>
      <c r="I3993">
        <v>2008</v>
      </c>
      <c r="J3993">
        <v>1</v>
      </c>
      <c r="K3993">
        <v>1</v>
      </c>
      <c r="L3993">
        <v>1</v>
      </c>
      <c r="M3993">
        <v>7</v>
      </c>
      <c r="N3993" t="s">
        <v>37</v>
      </c>
      <c r="O3993" t="s">
        <v>32</v>
      </c>
      <c r="P3993">
        <v>5.9924147291293499</v>
      </c>
      <c r="Q3993">
        <v>0.64589726830008698</v>
      </c>
      <c r="R3993">
        <v>5.0338622076248596</v>
      </c>
      <c r="S3993">
        <v>31</v>
      </c>
      <c r="T3993">
        <v>56</v>
      </c>
      <c r="U3993">
        <v>509.56800805124101</v>
      </c>
      <c r="V3993">
        <v>1.50537634408602E-3</v>
      </c>
      <c r="W3993">
        <v>2786631.4310334702</v>
      </c>
      <c r="X3993" t="s">
        <v>33</v>
      </c>
      <c r="Y3993">
        <f>1-852-332-9192</f>
        <v>-10375</v>
      </c>
    </row>
    <row r="3994" spans="1:25" x14ac:dyDescent="0.35">
      <c r="A3994">
        <v>39.375199742036003</v>
      </c>
      <c r="B3994">
        <v>-118.048407912505</v>
      </c>
      <c r="C3994" t="s">
        <v>29</v>
      </c>
      <c r="D3994">
        <v>17.036259285279399</v>
      </c>
      <c r="E3994">
        <v>0</v>
      </c>
      <c r="F3994">
        <v>1987</v>
      </c>
      <c r="G3994">
        <v>2</v>
      </c>
      <c r="H3994">
        <v>2</v>
      </c>
      <c r="I3994">
        <v>2007</v>
      </c>
      <c r="J3994">
        <v>0</v>
      </c>
      <c r="K3994">
        <v>0</v>
      </c>
      <c r="L3994">
        <v>1</v>
      </c>
      <c r="M3994">
        <v>4</v>
      </c>
      <c r="N3994" t="s">
        <v>26</v>
      </c>
      <c r="O3994" t="s">
        <v>32</v>
      </c>
      <c r="P3994">
        <v>14.1126742645378</v>
      </c>
      <c r="Q3994">
        <v>0.83215947990358696</v>
      </c>
      <c r="R3994">
        <v>6.25958052502392</v>
      </c>
      <c r="S3994">
        <v>132</v>
      </c>
      <c r="T3994">
        <v>77</v>
      </c>
      <c r="U3994">
        <v>455.50205384520802</v>
      </c>
      <c r="V3994">
        <v>2.01308505284348E-3</v>
      </c>
      <c r="W3994">
        <v>1206644.5314138101</v>
      </c>
      <c r="X3994" t="s">
        <v>38</v>
      </c>
      <c r="Y3994">
        <f>1-734-899-7217</f>
        <v>-8849</v>
      </c>
    </row>
    <row r="3995" spans="1:25" x14ac:dyDescent="0.35">
      <c r="A3995">
        <v>33.274227536148601</v>
      </c>
      <c r="B3995">
        <v>-116.378263478682</v>
      </c>
      <c r="C3995" t="s">
        <v>29</v>
      </c>
      <c r="D3995">
        <v>37.2600555729747</v>
      </c>
      <c r="E3995">
        <v>0</v>
      </c>
      <c r="F3995">
        <v>1709</v>
      </c>
      <c r="G3995">
        <v>3</v>
      </c>
      <c r="H3995">
        <v>2</v>
      </c>
      <c r="I3995">
        <v>1974</v>
      </c>
      <c r="J3995">
        <v>1</v>
      </c>
      <c r="K3995">
        <v>0</v>
      </c>
      <c r="L3995">
        <v>1</v>
      </c>
      <c r="M3995">
        <v>14</v>
      </c>
      <c r="N3995" t="s">
        <v>37</v>
      </c>
      <c r="O3995" t="s">
        <v>27</v>
      </c>
      <c r="P3995">
        <v>12.282647853161</v>
      </c>
      <c r="Q3995">
        <v>1.2411618149916701</v>
      </c>
      <c r="R3995">
        <v>2.52996542307489</v>
      </c>
      <c r="S3995">
        <v>87</v>
      </c>
      <c r="T3995">
        <v>57</v>
      </c>
      <c r="U3995">
        <v>982.01030817020603</v>
      </c>
      <c r="V3995">
        <v>8.1919251023990607E-3</v>
      </c>
      <c r="W3995">
        <v>1910832.1101127299</v>
      </c>
      <c r="X3995" t="s">
        <v>31</v>
      </c>
      <c r="Y3995">
        <f>1-614-771-9165</f>
        <v>-10549</v>
      </c>
    </row>
    <row r="3996" spans="1:25" x14ac:dyDescent="0.35">
      <c r="A3996">
        <v>36.7239082609698</v>
      </c>
      <c r="B3996">
        <v>-116.568548206421</v>
      </c>
      <c r="C3996" t="s">
        <v>29</v>
      </c>
      <c r="D3996">
        <v>7.8411805637935998</v>
      </c>
      <c r="E3996">
        <v>9</v>
      </c>
      <c r="F3996">
        <v>2567</v>
      </c>
      <c r="G3996">
        <v>1</v>
      </c>
      <c r="H3996">
        <v>1</v>
      </c>
      <c r="I3996">
        <v>1953</v>
      </c>
      <c r="J3996">
        <v>0</v>
      </c>
      <c r="K3996">
        <v>1</v>
      </c>
      <c r="L3996">
        <v>0</v>
      </c>
      <c r="M3996">
        <v>14</v>
      </c>
      <c r="N3996" t="s">
        <v>41</v>
      </c>
      <c r="O3996" t="s">
        <v>27</v>
      </c>
      <c r="P3996">
        <v>11.4501908217441</v>
      </c>
      <c r="Q3996">
        <v>1.4015031584822699</v>
      </c>
      <c r="R3996">
        <v>2.3517903956286998</v>
      </c>
      <c r="S3996">
        <v>97</v>
      </c>
      <c r="T3996">
        <v>39</v>
      </c>
      <c r="U3996">
        <v>459.74078536704502</v>
      </c>
      <c r="V3996">
        <v>5.4538371640046697E-3</v>
      </c>
      <c r="W3996">
        <v>1236429.6248774601</v>
      </c>
      <c r="X3996" t="s">
        <v>28</v>
      </c>
      <c r="Y3996">
        <f>1-867-320-1309</f>
        <v>-2495</v>
      </c>
    </row>
    <row r="3997" spans="1:25" x14ac:dyDescent="0.35">
      <c r="A3997">
        <v>35.909002050566997</v>
      </c>
      <c r="B3997">
        <v>-114.279758516642</v>
      </c>
      <c r="C3997" t="s">
        <v>25</v>
      </c>
      <c r="D3997">
        <v>39.075985441752998</v>
      </c>
      <c r="E3997">
        <v>3</v>
      </c>
      <c r="F3997">
        <v>1450</v>
      </c>
      <c r="G3997">
        <v>5</v>
      </c>
      <c r="H3997">
        <v>1</v>
      </c>
      <c r="I3997">
        <v>1953</v>
      </c>
      <c r="J3997">
        <v>0</v>
      </c>
      <c r="K3997">
        <v>1</v>
      </c>
      <c r="L3997">
        <v>1</v>
      </c>
      <c r="M3997">
        <v>2</v>
      </c>
      <c r="N3997" t="s">
        <v>35</v>
      </c>
      <c r="O3997" t="s">
        <v>30</v>
      </c>
      <c r="P3997">
        <v>12.285153220172599</v>
      </c>
      <c r="Q3997">
        <v>2.2492208282288599</v>
      </c>
      <c r="R3997">
        <v>0.315906017649979</v>
      </c>
      <c r="S3997">
        <v>174</v>
      </c>
      <c r="T3997">
        <v>37</v>
      </c>
      <c r="U3997">
        <v>403.149255757812</v>
      </c>
      <c r="V3997">
        <v>1.37931034482758E-3</v>
      </c>
      <c r="W3997">
        <v>1004974.92049643</v>
      </c>
      <c r="X3997" t="s">
        <v>44</v>
      </c>
      <c r="Y3997">
        <f>1-918-785-3352</f>
        <v>-5054</v>
      </c>
    </row>
    <row r="3998" spans="1:25" x14ac:dyDescent="0.35">
      <c r="A3998">
        <v>39.202941458179303</v>
      </c>
      <c r="B3998">
        <v>-121.268797815916</v>
      </c>
      <c r="C3998" t="s">
        <v>34</v>
      </c>
      <c r="D3998">
        <v>26.6027995889274</v>
      </c>
      <c r="E3998">
        <v>4</v>
      </c>
      <c r="F3998">
        <v>763</v>
      </c>
      <c r="G3998">
        <v>5</v>
      </c>
      <c r="H3998">
        <v>2</v>
      </c>
      <c r="I3998">
        <v>1977</v>
      </c>
      <c r="J3998">
        <v>1</v>
      </c>
      <c r="K3998">
        <v>0</v>
      </c>
      <c r="L3998">
        <v>0</v>
      </c>
      <c r="M3998">
        <v>2</v>
      </c>
      <c r="N3998" t="s">
        <v>41</v>
      </c>
      <c r="O3998" t="s">
        <v>27</v>
      </c>
      <c r="P3998">
        <v>3.1715884552326199</v>
      </c>
      <c r="Q3998">
        <v>2.3297151301158698</v>
      </c>
      <c r="R3998">
        <v>5.3035595227284098</v>
      </c>
      <c r="S3998">
        <v>51</v>
      </c>
      <c r="T3998">
        <v>21</v>
      </c>
      <c r="U3998">
        <v>917.98858220680404</v>
      </c>
      <c r="V3998">
        <v>2.6212319790301399E-3</v>
      </c>
      <c r="W3998">
        <v>998285.92088275997</v>
      </c>
      <c r="X3998" t="s">
        <v>36</v>
      </c>
      <c r="Y3998">
        <f>1-217-707-8938</f>
        <v>-9861</v>
      </c>
    </row>
    <row r="3999" spans="1:25" x14ac:dyDescent="0.35">
      <c r="A3999">
        <v>37.737305493194803</v>
      </c>
      <c r="B3999">
        <v>-121.52882649349201</v>
      </c>
      <c r="C3999" t="s">
        <v>34</v>
      </c>
      <c r="D3999">
        <v>40.881644431443199</v>
      </c>
      <c r="E3999">
        <v>2</v>
      </c>
      <c r="F3999">
        <v>924</v>
      </c>
      <c r="G3999">
        <v>4</v>
      </c>
      <c r="H3999">
        <v>1</v>
      </c>
      <c r="I3999">
        <v>1955</v>
      </c>
      <c r="J3999">
        <v>0</v>
      </c>
      <c r="K3999">
        <v>0</v>
      </c>
      <c r="L3999">
        <v>1</v>
      </c>
      <c r="M3999">
        <v>2</v>
      </c>
      <c r="N3999" t="s">
        <v>37</v>
      </c>
      <c r="O3999" t="s">
        <v>27</v>
      </c>
      <c r="P3999">
        <v>14.117350619688301</v>
      </c>
      <c r="Q3999">
        <v>1.9622901481677399</v>
      </c>
      <c r="R3999">
        <v>1.42095090309808</v>
      </c>
      <c r="S3999">
        <v>78</v>
      </c>
      <c r="T3999">
        <v>37</v>
      </c>
      <c r="U3999">
        <v>250.75442579178801</v>
      </c>
      <c r="V3999">
        <v>2.1645021645021602E-3</v>
      </c>
      <c r="W3999">
        <v>497470.78829000902</v>
      </c>
      <c r="X3999" t="s">
        <v>42</v>
      </c>
      <c r="Y3999">
        <f>1-357-696-9029</f>
        <v>-10081</v>
      </c>
    </row>
    <row r="4000" spans="1:25" x14ac:dyDescent="0.35">
      <c r="A4000">
        <v>37.880361563236299</v>
      </c>
      <c r="B4000">
        <v>-124.399554753899</v>
      </c>
      <c r="C4000" t="s">
        <v>29</v>
      </c>
      <c r="D4000">
        <v>47.906091095857199</v>
      </c>
      <c r="E4000">
        <v>0</v>
      </c>
      <c r="F4000">
        <v>637</v>
      </c>
      <c r="G4000">
        <v>3</v>
      </c>
      <c r="H4000">
        <v>1</v>
      </c>
      <c r="I4000">
        <v>2017</v>
      </c>
      <c r="J4000">
        <v>0</v>
      </c>
      <c r="K4000">
        <v>0</v>
      </c>
      <c r="L4000">
        <v>1</v>
      </c>
      <c r="M4000">
        <v>5</v>
      </c>
      <c r="N4000" t="s">
        <v>35</v>
      </c>
      <c r="O4000" t="s">
        <v>30</v>
      </c>
      <c r="P4000">
        <v>7.0773464883240997</v>
      </c>
      <c r="Q4000">
        <v>1.5021452746733901</v>
      </c>
      <c r="R4000">
        <v>0.64171644973467301</v>
      </c>
      <c r="S4000">
        <v>162</v>
      </c>
      <c r="T4000">
        <v>79</v>
      </c>
      <c r="U4000">
        <v>784.07428036576698</v>
      </c>
      <c r="V4000">
        <v>7.8492935635792703E-3</v>
      </c>
      <c r="W4000">
        <v>702166.86672492197</v>
      </c>
      <c r="X4000" t="s">
        <v>38</v>
      </c>
      <c r="Y4000">
        <f>1-460-689-6332</f>
        <v>-7480</v>
      </c>
    </row>
    <row r="4001" spans="1:25" x14ac:dyDescent="0.35">
      <c r="A4001">
        <v>41.987225907437796</v>
      </c>
      <c r="B4001">
        <v>-123.62017387375801</v>
      </c>
      <c r="C4001" t="s">
        <v>34</v>
      </c>
      <c r="D4001">
        <v>22.3819745593328</v>
      </c>
      <c r="E4001">
        <v>8</v>
      </c>
      <c r="F4001">
        <v>2741</v>
      </c>
      <c r="G4001">
        <v>1</v>
      </c>
      <c r="H4001">
        <v>2</v>
      </c>
      <c r="I4001">
        <v>1966</v>
      </c>
      <c r="J4001">
        <v>1</v>
      </c>
      <c r="K4001">
        <v>1</v>
      </c>
      <c r="L4001">
        <v>0</v>
      </c>
      <c r="M4001">
        <v>10</v>
      </c>
      <c r="N4001" t="s">
        <v>41</v>
      </c>
      <c r="O4001" t="s">
        <v>32</v>
      </c>
      <c r="P4001">
        <v>3.2663292692691601</v>
      </c>
      <c r="Q4001">
        <v>2.3193407256701799</v>
      </c>
      <c r="R4001">
        <v>7.55844003012343</v>
      </c>
      <c r="S4001">
        <v>121</v>
      </c>
      <c r="T4001">
        <v>23</v>
      </c>
      <c r="U4001">
        <v>247.73950555520099</v>
      </c>
      <c r="V4001">
        <v>3.6483035388544301E-3</v>
      </c>
      <c r="W4001">
        <v>822195.62914003595</v>
      </c>
      <c r="X4001" t="s">
        <v>40</v>
      </c>
      <c r="Y4001">
        <f>1-973-669-3048</f>
        <v>-4689</v>
      </c>
    </row>
    <row r="4002" spans="1:25" x14ac:dyDescent="0.35">
      <c r="A4002">
        <v>34.480165065734901</v>
      </c>
      <c r="B4002">
        <v>-117.23090139699499</v>
      </c>
      <c r="C4002" t="s">
        <v>34</v>
      </c>
      <c r="D4002">
        <v>37.802506428478601</v>
      </c>
      <c r="E4002">
        <v>0</v>
      </c>
      <c r="F4002">
        <v>4018</v>
      </c>
      <c r="G4002">
        <v>4</v>
      </c>
      <c r="H4002">
        <v>1</v>
      </c>
      <c r="I4002">
        <v>1950</v>
      </c>
      <c r="J4002">
        <v>0</v>
      </c>
      <c r="K4002">
        <v>1</v>
      </c>
      <c r="L4002">
        <v>1</v>
      </c>
      <c r="M4002">
        <v>10</v>
      </c>
      <c r="N4002" t="s">
        <v>37</v>
      </c>
      <c r="O4002" t="s">
        <v>27</v>
      </c>
      <c r="P4002">
        <v>14.223190705489101</v>
      </c>
      <c r="Q4002">
        <v>2.02959174837317</v>
      </c>
      <c r="R4002">
        <v>2.8488012580466999</v>
      </c>
      <c r="S4002">
        <v>153</v>
      </c>
      <c r="T4002">
        <v>38</v>
      </c>
      <c r="U4002">
        <v>822.54884370128298</v>
      </c>
      <c r="V4002">
        <v>2.4888003982080601E-3</v>
      </c>
      <c r="W4002">
        <v>3711043.7228175802</v>
      </c>
      <c r="X4002" t="s">
        <v>31</v>
      </c>
      <c r="Y4002">
        <f>1-720-705-6087</f>
        <v>-7511</v>
      </c>
    </row>
    <row r="4003" spans="1:25" x14ac:dyDescent="0.35">
      <c r="A4003">
        <v>34.855067272949</v>
      </c>
      <c r="B4003">
        <v>-115.98292802343801</v>
      </c>
      <c r="C4003" t="s">
        <v>25</v>
      </c>
      <c r="D4003">
        <v>47.931453326078099</v>
      </c>
      <c r="E4003">
        <v>0</v>
      </c>
      <c r="F4003">
        <v>932</v>
      </c>
      <c r="G4003">
        <v>5</v>
      </c>
      <c r="H4003">
        <v>1</v>
      </c>
      <c r="I4003">
        <v>1990</v>
      </c>
      <c r="J4003">
        <v>0</v>
      </c>
      <c r="K4003">
        <v>1</v>
      </c>
      <c r="L4003">
        <v>1</v>
      </c>
      <c r="M4003">
        <v>2</v>
      </c>
      <c r="N4003" t="s">
        <v>26</v>
      </c>
      <c r="O4003" t="s">
        <v>30</v>
      </c>
      <c r="P4003">
        <v>8.2668169110833603</v>
      </c>
      <c r="Q4003">
        <v>1.1032536945552001</v>
      </c>
      <c r="R4003">
        <v>5.9614816444007204</v>
      </c>
      <c r="S4003">
        <v>41</v>
      </c>
      <c r="T4003">
        <v>74</v>
      </c>
      <c r="U4003">
        <v>334.18277076460299</v>
      </c>
      <c r="V4003">
        <v>2.1459227467811098E-3</v>
      </c>
      <c r="W4003">
        <v>696276.339272424</v>
      </c>
      <c r="X4003" t="s">
        <v>43</v>
      </c>
      <c r="Y4003">
        <f>1-430-164-9658</f>
        <v>-10251</v>
      </c>
    </row>
    <row r="4004" spans="1:25" x14ac:dyDescent="0.35">
      <c r="A4004">
        <v>32.773063686146301</v>
      </c>
      <c r="B4004">
        <v>-122.540683993309</v>
      </c>
      <c r="C4004" t="s">
        <v>34</v>
      </c>
      <c r="D4004">
        <v>24.887215690418401</v>
      </c>
      <c r="E4004">
        <v>4</v>
      </c>
      <c r="F4004">
        <v>4568</v>
      </c>
      <c r="G4004">
        <v>1</v>
      </c>
      <c r="H4004">
        <v>2</v>
      </c>
      <c r="I4004">
        <v>2000</v>
      </c>
      <c r="J4004">
        <v>1</v>
      </c>
      <c r="K4004">
        <v>0</v>
      </c>
      <c r="L4004">
        <v>1</v>
      </c>
      <c r="M4004">
        <v>2</v>
      </c>
      <c r="N4004" t="s">
        <v>41</v>
      </c>
      <c r="O4004" t="s">
        <v>30</v>
      </c>
      <c r="P4004">
        <v>5.3185182894109797</v>
      </c>
      <c r="Q4004">
        <v>1.4123969797114799</v>
      </c>
      <c r="R4004">
        <v>0.52255060857233804</v>
      </c>
      <c r="S4004">
        <v>187</v>
      </c>
      <c r="T4004">
        <v>60</v>
      </c>
      <c r="U4004">
        <v>986.377692668235</v>
      </c>
      <c r="V4004">
        <v>4.3782837127845798E-4</v>
      </c>
      <c r="W4004">
        <v>4729943.1477274597</v>
      </c>
      <c r="X4004" t="s">
        <v>28</v>
      </c>
      <c r="Y4004">
        <f>1-908-675-2627</f>
        <v>-4209</v>
      </c>
    </row>
    <row r="4005" spans="1:25" x14ac:dyDescent="0.35">
      <c r="A4005">
        <v>40.055178023777103</v>
      </c>
      <c r="B4005">
        <v>-120.127383153403</v>
      </c>
      <c r="C4005" t="s">
        <v>25</v>
      </c>
      <c r="D4005">
        <v>22.855234559297401</v>
      </c>
      <c r="E4005">
        <v>8</v>
      </c>
      <c r="F4005">
        <v>2265</v>
      </c>
      <c r="G4005">
        <v>4</v>
      </c>
      <c r="H4005">
        <v>3</v>
      </c>
      <c r="I4005">
        <v>2014</v>
      </c>
      <c r="J4005">
        <v>0</v>
      </c>
      <c r="K4005">
        <v>0</v>
      </c>
      <c r="L4005">
        <v>1</v>
      </c>
      <c r="M4005">
        <v>12</v>
      </c>
      <c r="N4005" t="s">
        <v>37</v>
      </c>
      <c r="O4005" t="s">
        <v>30</v>
      </c>
      <c r="P4005">
        <v>3.7923624016423001</v>
      </c>
      <c r="Q4005">
        <v>2.2428024434932801</v>
      </c>
      <c r="R4005">
        <v>5.6934375893693803</v>
      </c>
      <c r="S4005">
        <v>166</v>
      </c>
      <c r="T4005">
        <v>23</v>
      </c>
      <c r="U4005">
        <v>649.93836651367405</v>
      </c>
      <c r="V4005">
        <v>5.29801324503311E-3</v>
      </c>
      <c r="W4005">
        <v>1749335.17719359</v>
      </c>
      <c r="X4005" t="s">
        <v>33</v>
      </c>
      <c r="Y4005">
        <f>1-793-681-7766</f>
        <v>-9239</v>
      </c>
    </row>
    <row r="4006" spans="1:25" x14ac:dyDescent="0.35">
      <c r="A4006">
        <v>40.7241503942356</v>
      </c>
      <c r="B4006">
        <v>-122.443713156283</v>
      </c>
      <c r="C4006" t="s">
        <v>25</v>
      </c>
      <c r="D4006">
        <v>32.620875438833203</v>
      </c>
      <c r="E4006">
        <v>7</v>
      </c>
      <c r="F4006">
        <v>541</v>
      </c>
      <c r="G4006">
        <v>2</v>
      </c>
      <c r="H4006">
        <v>3</v>
      </c>
      <c r="I4006">
        <v>1964</v>
      </c>
      <c r="J4006">
        <v>1</v>
      </c>
      <c r="K4006">
        <v>1</v>
      </c>
      <c r="L4006">
        <v>0</v>
      </c>
      <c r="M4006">
        <v>3</v>
      </c>
      <c r="N4006" t="s">
        <v>35</v>
      </c>
      <c r="O4006" t="s">
        <v>27</v>
      </c>
      <c r="P4006">
        <v>12.8235488714119</v>
      </c>
      <c r="Q4006">
        <v>1.82084985926941</v>
      </c>
      <c r="R4006">
        <v>3.5332331451792101</v>
      </c>
      <c r="S4006">
        <v>168</v>
      </c>
      <c r="T4006">
        <v>24</v>
      </c>
      <c r="U4006">
        <v>785.35184319612097</v>
      </c>
      <c r="V4006">
        <v>5.5452865064695E-3</v>
      </c>
      <c r="W4006">
        <v>674740.80106551596</v>
      </c>
      <c r="X4006" t="s">
        <v>43</v>
      </c>
      <c r="Y4006">
        <f>1-878-214-1789</f>
        <v>-2880</v>
      </c>
    </row>
    <row r="4007" spans="1:25" x14ac:dyDescent="0.35">
      <c r="A4007">
        <v>38.937570734311301</v>
      </c>
      <c r="B4007">
        <v>-115.059997284582</v>
      </c>
      <c r="C4007" t="s">
        <v>29</v>
      </c>
      <c r="D4007">
        <v>41.7349697988492</v>
      </c>
      <c r="E4007">
        <v>6</v>
      </c>
      <c r="F4007">
        <v>3105</v>
      </c>
      <c r="G4007">
        <v>5</v>
      </c>
      <c r="H4007">
        <v>2</v>
      </c>
      <c r="I4007">
        <v>2013</v>
      </c>
      <c r="J4007">
        <v>1</v>
      </c>
      <c r="K4007">
        <v>1</v>
      </c>
      <c r="L4007">
        <v>1</v>
      </c>
      <c r="M4007">
        <v>2</v>
      </c>
      <c r="N4007" t="s">
        <v>37</v>
      </c>
      <c r="O4007" t="s">
        <v>32</v>
      </c>
      <c r="P4007">
        <v>10.211124698504699</v>
      </c>
      <c r="Q4007">
        <v>1.5567828452685999</v>
      </c>
      <c r="R4007">
        <v>0.350851501853503</v>
      </c>
      <c r="S4007">
        <v>187</v>
      </c>
      <c r="T4007">
        <v>39</v>
      </c>
      <c r="U4007">
        <v>425.92956801611899</v>
      </c>
      <c r="V4007">
        <v>6.4412238325281795E-4</v>
      </c>
      <c r="W4007">
        <v>1922052.3128327101</v>
      </c>
      <c r="X4007" t="s">
        <v>36</v>
      </c>
      <c r="Y4007">
        <f>1-665-692-2690</f>
        <v>-4046</v>
      </c>
    </row>
    <row r="4008" spans="1:25" x14ac:dyDescent="0.35">
      <c r="A4008">
        <v>33.768195436633398</v>
      </c>
      <c r="B4008">
        <v>-116.193063577591</v>
      </c>
      <c r="C4008" t="s">
        <v>34</v>
      </c>
      <c r="D4008">
        <v>16.4373194202315</v>
      </c>
      <c r="E4008">
        <v>3</v>
      </c>
      <c r="F4008">
        <v>1126</v>
      </c>
      <c r="G4008">
        <v>1</v>
      </c>
      <c r="H4008">
        <v>2</v>
      </c>
      <c r="I4008">
        <v>1963</v>
      </c>
      <c r="J4008">
        <v>1</v>
      </c>
      <c r="K4008">
        <v>1</v>
      </c>
      <c r="L4008">
        <v>0</v>
      </c>
      <c r="M4008">
        <v>6</v>
      </c>
      <c r="N4008" t="s">
        <v>37</v>
      </c>
      <c r="O4008" t="s">
        <v>30</v>
      </c>
      <c r="P4008">
        <v>7.9508364735481001</v>
      </c>
      <c r="Q4008">
        <v>1.57855009813785</v>
      </c>
      <c r="R4008">
        <v>3.0978525412405999</v>
      </c>
      <c r="S4008">
        <v>96</v>
      </c>
      <c r="T4008">
        <v>78</v>
      </c>
      <c r="U4008">
        <v>659.61397362800903</v>
      </c>
      <c r="V4008">
        <v>5.3285968028419098E-3</v>
      </c>
      <c r="W4008">
        <v>894073.41906149103</v>
      </c>
      <c r="X4008" t="s">
        <v>28</v>
      </c>
      <c r="Y4008">
        <f>1-296-776-9519</f>
        <v>-10590</v>
      </c>
    </row>
    <row r="4009" spans="1:25" x14ac:dyDescent="0.35">
      <c r="A4009">
        <v>37.239208396620697</v>
      </c>
      <c r="B4009">
        <v>-119.503577092124</v>
      </c>
      <c r="C4009" t="s">
        <v>34</v>
      </c>
      <c r="D4009">
        <v>35.363745264473003</v>
      </c>
      <c r="E4009">
        <v>3</v>
      </c>
      <c r="F4009">
        <v>3220</v>
      </c>
      <c r="G4009">
        <v>2</v>
      </c>
      <c r="H4009">
        <v>3</v>
      </c>
      <c r="I4009">
        <v>1962</v>
      </c>
      <c r="J4009">
        <v>0</v>
      </c>
      <c r="K4009">
        <v>1</v>
      </c>
      <c r="L4009">
        <v>1</v>
      </c>
      <c r="M4009">
        <v>7</v>
      </c>
      <c r="N4009" t="s">
        <v>26</v>
      </c>
      <c r="O4009" t="s">
        <v>27</v>
      </c>
      <c r="P4009">
        <v>13.8060854578024</v>
      </c>
      <c r="Q4009">
        <v>2.2393609290935599</v>
      </c>
      <c r="R4009">
        <v>1.0267706881452501</v>
      </c>
      <c r="S4009">
        <v>33</v>
      </c>
      <c r="T4009">
        <v>26</v>
      </c>
      <c r="U4009">
        <v>553.07458130551902</v>
      </c>
      <c r="V4009">
        <v>2.17391304347826E-3</v>
      </c>
      <c r="W4009">
        <v>2147555.2944439398</v>
      </c>
      <c r="X4009" t="s">
        <v>28</v>
      </c>
      <c r="Y4009">
        <f>1-237-343-1095</f>
        <v>-1674</v>
      </c>
    </row>
    <row r="4010" spans="1:25" x14ac:dyDescent="0.35">
      <c r="A4010">
        <v>36.788266412640198</v>
      </c>
      <c r="B4010">
        <v>-121.324598414034</v>
      </c>
      <c r="C4010" t="s">
        <v>29</v>
      </c>
      <c r="D4010">
        <v>10.4224244044351</v>
      </c>
      <c r="E4010">
        <v>6</v>
      </c>
      <c r="F4010">
        <v>1300</v>
      </c>
      <c r="G4010">
        <v>4</v>
      </c>
      <c r="H4010">
        <v>3</v>
      </c>
      <c r="I4010">
        <v>1984</v>
      </c>
      <c r="J4010">
        <v>0</v>
      </c>
      <c r="K4010">
        <v>1</v>
      </c>
      <c r="L4010">
        <v>1</v>
      </c>
      <c r="M4010">
        <v>3</v>
      </c>
      <c r="N4010" t="s">
        <v>35</v>
      </c>
      <c r="O4010" t="s">
        <v>27</v>
      </c>
      <c r="P4010">
        <v>8.0663786218512605</v>
      </c>
      <c r="Q4010">
        <v>0.569374640527888</v>
      </c>
      <c r="R4010">
        <v>4.1381793332392798</v>
      </c>
      <c r="S4010">
        <v>162</v>
      </c>
      <c r="T4010">
        <v>22</v>
      </c>
      <c r="U4010">
        <v>698.93966912028702</v>
      </c>
      <c r="V4010">
        <v>2.3076923076923001E-3</v>
      </c>
      <c r="W4010">
        <v>1348743.01452297</v>
      </c>
      <c r="X4010" t="s">
        <v>42</v>
      </c>
      <c r="Y4010">
        <f>1-639-474-4839</f>
        <v>-5951</v>
      </c>
    </row>
    <row r="4011" spans="1:25" x14ac:dyDescent="0.35">
      <c r="A4011">
        <v>33.9504883242343</v>
      </c>
      <c r="B4011">
        <v>-119.72829465336601</v>
      </c>
      <c r="C4011" t="s">
        <v>29</v>
      </c>
      <c r="D4011">
        <v>41.168439187464202</v>
      </c>
      <c r="E4011">
        <v>5</v>
      </c>
      <c r="F4011">
        <v>1745</v>
      </c>
      <c r="G4011">
        <v>2</v>
      </c>
      <c r="H4011">
        <v>2</v>
      </c>
      <c r="I4011">
        <v>2006</v>
      </c>
      <c r="J4011">
        <v>0</v>
      </c>
      <c r="K4011">
        <v>1</v>
      </c>
      <c r="L4011">
        <v>1</v>
      </c>
      <c r="M4011">
        <v>11</v>
      </c>
      <c r="N4011" t="s">
        <v>35</v>
      </c>
      <c r="O4011" t="s">
        <v>27</v>
      </c>
      <c r="P4011">
        <v>14.586984925755401</v>
      </c>
      <c r="Q4011">
        <v>0.96012192875126801</v>
      </c>
      <c r="R4011">
        <v>5.5106719240713398</v>
      </c>
      <c r="S4011">
        <v>193</v>
      </c>
      <c r="T4011">
        <v>41</v>
      </c>
      <c r="U4011">
        <v>631.91311987908898</v>
      </c>
      <c r="V4011">
        <v>6.3037249283667603E-3</v>
      </c>
      <c r="W4011">
        <v>1465763.4682889101</v>
      </c>
      <c r="X4011" t="s">
        <v>33</v>
      </c>
      <c r="Y4011">
        <f>1-572-563-2359</f>
        <v>-3493</v>
      </c>
    </row>
    <row r="4012" spans="1:25" x14ac:dyDescent="0.35">
      <c r="A4012">
        <v>41.625055900891397</v>
      </c>
      <c r="B4012">
        <v>-120.19579208288501</v>
      </c>
      <c r="C4012" t="s">
        <v>34</v>
      </c>
      <c r="D4012">
        <v>10.9085544662523</v>
      </c>
      <c r="E4012">
        <v>2</v>
      </c>
      <c r="F4012">
        <v>2612</v>
      </c>
      <c r="G4012">
        <v>3</v>
      </c>
      <c r="H4012">
        <v>1</v>
      </c>
      <c r="I4012">
        <v>1997</v>
      </c>
      <c r="J4012">
        <v>1</v>
      </c>
      <c r="K4012">
        <v>0</v>
      </c>
      <c r="L4012">
        <v>1</v>
      </c>
      <c r="M4012">
        <v>7</v>
      </c>
      <c r="N4012" t="s">
        <v>26</v>
      </c>
      <c r="O4012" t="s">
        <v>32</v>
      </c>
      <c r="P4012">
        <v>13.598234848948501</v>
      </c>
      <c r="Q4012">
        <v>0.93057527412714003</v>
      </c>
      <c r="R4012">
        <v>6.6097709909647904</v>
      </c>
      <c r="S4012">
        <v>65</v>
      </c>
      <c r="T4012">
        <v>76</v>
      </c>
      <c r="U4012">
        <v>718.09013059072504</v>
      </c>
      <c r="V4012">
        <v>2.6799387442572702E-3</v>
      </c>
      <c r="W4012">
        <v>2197277.7248719898</v>
      </c>
      <c r="X4012" t="s">
        <v>31</v>
      </c>
      <c r="Y4012">
        <f>1-316-676-3648</f>
        <v>-4639</v>
      </c>
    </row>
    <row r="4013" spans="1:25" x14ac:dyDescent="0.35">
      <c r="A4013">
        <v>41.222082888692299</v>
      </c>
      <c r="B4013">
        <v>-120.257031126885</v>
      </c>
      <c r="C4013" t="s">
        <v>34</v>
      </c>
      <c r="D4013">
        <v>33.061921177410397</v>
      </c>
      <c r="E4013">
        <v>6</v>
      </c>
      <c r="F4013">
        <v>1947</v>
      </c>
      <c r="G4013">
        <v>3</v>
      </c>
      <c r="H4013">
        <v>1</v>
      </c>
      <c r="I4013">
        <v>1981</v>
      </c>
      <c r="J4013">
        <v>0</v>
      </c>
      <c r="K4013">
        <v>1</v>
      </c>
      <c r="L4013">
        <v>0</v>
      </c>
      <c r="M4013">
        <v>14</v>
      </c>
      <c r="N4013" t="s">
        <v>35</v>
      </c>
      <c r="O4013" t="s">
        <v>32</v>
      </c>
      <c r="P4013">
        <v>3.7447014009650998</v>
      </c>
      <c r="Q4013">
        <v>0.52704877568923603</v>
      </c>
      <c r="R4013">
        <v>1.8218705925664</v>
      </c>
      <c r="S4013">
        <v>136</v>
      </c>
      <c r="T4013">
        <v>49</v>
      </c>
      <c r="U4013">
        <v>761.57458803570796</v>
      </c>
      <c r="V4013">
        <v>7.1905495634309096E-3</v>
      </c>
      <c r="W4013">
        <v>1688727.4803093199</v>
      </c>
      <c r="X4013" t="s">
        <v>31</v>
      </c>
      <c r="Y4013">
        <f>1-262-581-3454</f>
        <v>-4296</v>
      </c>
    </row>
    <row r="4014" spans="1:25" x14ac:dyDescent="0.35">
      <c r="A4014">
        <v>34.013270860270502</v>
      </c>
      <c r="B4014">
        <v>-117.080533475652</v>
      </c>
      <c r="C4014" t="s">
        <v>29</v>
      </c>
      <c r="D4014">
        <v>6.2076736146641398</v>
      </c>
      <c r="E4014">
        <v>0</v>
      </c>
      <c r="F4014">
        <v>2242</v>
      </c>
      <c r="G4014">
        <v>3</v>
      </c>
      <c r="H4014">
        <v>1</v>
      </c>
      <c r="I4014">
        <v>1993</v>
      </c>
      <c r="J4014">
        <v>0</v>
      </c>
      <c r="K4014">
        <v>0</v>
      </c>
      <c r="L4014">
        <v>1</v>
      </c>
      <c r="M4014">
        <v>14</v>
      </c>
      <c r="N4014" t="s">
        <v>41</v>
      </c>
      <c r="O4014" t="s">
        <v>30</v>
      </c>
      <c r="P4014">
        <v>12.8437436097978</v>
      </c>
      <c r="Q4014">
        <v>1.9393969738685</v>
      </c>
      <c r="R4014">
        <v>6.8828807814679402</v>
      </c>
      <c r="S4014">
        <v>85</v>
      </c>
      <c r="T4014">
        <v>23</v>
      </c>
      <c r="U4014">
        <v>423.10036794095703</v>
      </c>
      <c r="V4014">
        <v>6.2444246208742098E-3</v>
      </c>
      <c r="W4014">
        <v>1150570.25842291</v>
      </c>
      <c r="X4014" t="s">
        <v>43</v>
      </c>
      <c r="Y4014">
        <f>1-444-568-8229</f>
        <v>-9240</v>
      </c>
    </row>
    <row r="4015" spans="1:25" x14ac:dyDescent="0.35">
      <c r="A4015">
        <v>40.664444792231102</v>
      </c>
      <c r="B4015">
        <v>-119.306815504452</v>
      </c>
      <c r="C4015" t="s">
        <v>29</v>
      </c>
      <c r="D4015">
        <v>31.4161888711679</v>
      </c>
      <c r="E4015">
        <v>0</v>
      </c>
      <c r="F4015">
        <v>2757</v>
      </c>
      <c r="G4015">
        <v>3</v>
      </c>
      <c r="H4015">
        <v>1</v>
      </c>
      <c r="I4015">
        <v>1996</v>
      </c>
      <c r="J4015">
        <v>0</v>
      </c>
      <c r="K4015">
        <v>0</v>
      </c>
      <c r="L4015">
        <v>1</v>
      </c>
      <c r="M4015">
        <v>11</v>
      </c>
      <c r="N4015" t="s">
        <v>37</v>
      </c>
      <c r="O4015" t="s">
        <v>27</v>
      </c>
      <c r="P4015">
        <v>4.3771069620693597</v>
      </c>
      <c r="Q4015">
        <v>1.9371750589668599</v>
      </c>
      <c r="R4015">
        <v>6.6933324425835004</v>
      </c>
      <c r="S4015">
        <v>55</v>
      </c>
      <c r="T4015">
        <v>23</v>
      </c>
      <c r="U4015">
        <v>937.10993686054803</v>
      </c>
      <c r="V4015">
        <v>3.9898440333695998E-3</v>
      </c>
      <c r="W4015">
        <v>2755367.0199122699</v>
      </c>
      <c r="X4015" t="s">
        <v>33</v>
      </c>
      <c r="Y4015">
        <f>1-972-885-2348</f>
        <v>-4204</v>
      </c>
    </row>
    <row r="4016" spans="1:25" x14ac:dyDescent="0.35">
      <c r="A4016">
        <v>36.1857346866366</v>
      </c>
      <c r="B4016">
        <v>-121.55742369574401</v>
      </c>
      <c r="C4016" t="s">
        <v>25</v>
      </c>
      <c r="D4016">
        <v>6.00660256786521</v>
      </c>
      <c r="E4016">
        <v>5</v>
      </c>
      <c r="F4016">
        <v>4066</v>
      </c>
      <c r="G4016">
        <v>2</v>
      </c>
      <c r="H4016">
        <v>3</v>
      </c>
      <c r="I4016">
        <v>1954</v>
      </c>
      <c r="J4016">
        <v>1</v>
      </c>
      <c r="K4016">
        <v>0</v>
      </c>
      <c r="L4016">
        <v>1</v>
      </c>
      <c r="M4016">
        <v>8</v>
      </c>
      <c r="N4016" t="s">
        <v>26</v>
      </c>
      <c r="O4016" t="s">
        <v>30</v>
      </c>
      <c r="P4016">
        <v>7.8127866239134596</v>
      </c>
      <c r="Q4016">
        <v>0.75712846318237004</v>
      </c>
      <c r="R4016">
        <v>2.8438257789266999</v>
      </c>
      <c r="S4016">
        <v>127</v>
      </c>
      <c r="T4016">
        <v>73</v>
      </c>
      <c r="U4016">
        <v>900.77948703073901</v>
      </c>
      <c r="V4016">
        <v>1.96753566158386E-3</v>
      </c>
      <c r="W4016">
        <v>3918681.7303708801</v>
      </c>
      <c r="X4016" t="s">
        <v>42</v>
      </c>
      <c r="Y4016">
        <f>1-262-369-9126</f>
        <v>-9756</v>
      </c>
    </row>
    <row r="4017" spans="1:25" x14ac:dyDescent="0.35">
      <c r="A4017">
        <v>36.7527633034343</v>
      </c>
      <c r="B4017">
        <v>-121.34001480023601</v>
      </c>
      <c r="C4017" t="s">
        <v>25</v>
      </c>
      <c r="D4017">
        <v>49.611466594981501</v>
      </c>
      <c r="E4017">
        <v>1</v>
      </c>
      <c r="F4017">
        <v>1859</v>
      </c>
      <c r="G4017">
        <v>2</v>
      </c>
      <c r="H4017">
        <v>3</v>
      </c>
      <c r="I4017">
        <v>1968</v>
      </c>
      <c r="J4017">
        <v>1</v>
      </c>
      <c r="K4017">
        <v>0</v>
      </c>
      <c r="L4017">
        <v>1</v>
      </c>
      <c r="M4017">
        <v>14</v>
      </c>
      <c r="N4017" t="s">
        <v>37</v>
      </c>
      <c r="O4017" t="s">
        <v>30</v>
      </c>
      <c r="P4017">
        <v>8.7843211568494493</v>
      </c>
      <c r="Q4017">
        <v>1.20804211654653</v>
      </c>
      <c r="R4017">
        <v>3.2805190442925798</v>
      </c>
      <c r="S4017">
        <v>32</v>
      </c>
      <c r="T4017">
        <v>24</v>
      </c>
      <c r="U4017">
        <v>601.70986282728802</v>
      </c>
      <c r="V4017">
        <v>7.5309306078536796E-3</v>
      </c>
      <c r="W4017">
        <v>1315864.2180038199</v>
      </c>
      <c r="X4017" t="s">
        <v>31</v>
      </c>
      <c r="Y4017">
        <f>1-260-887-2393</f>
        <v>-3539</v>
      </c>
    </row>
    <row r="4018" spans="1:25" x14ac:dyDescent="0.35">
      <c r="A4018">
        <v>37.5756469787448</v>
      </c>
      <c r="B4018">
        <v>-120.46179932275101</v>
      </c>
      <c r="C4018" t="s">
        <v>29</v>
      </c>
      <c r="D4018">
        <v>8.2977905807358798</v>
      </c>
      <c r="E4018">
        <v>4</v>
      </c>
      <c r="F4018">
        <v>4161</v>
      </c>
      <c r="G4018">
        <v>5</v>
      </c>
      <c r="H4018">
        <v>3</v>
      </c>
      <c r="I4018">
        <v>1990</v>
      </c>
      <c r="J4018">
        <v>0</v>
      </c>
      <c r="K4018">
        <v>1</v>
      </c>
      <c r="L4018">
        <v>0</v>
      </c>
      <c r="M4018">
        <v>12</v>
      </c>
      <c r="N4018" t="s">
        <v>35</v>
      </c>
      <c r="O4018" t="s">
        <v>27</v>
      </c>
      <c r="P4018">
        <v>4.6206318998057903</v>
      </c>
      <c r="Q4018">
        <v>2.4333052320937099</v>
      </c>
      <c r="R4018">
        <v>6.9886272776818696</v>
      </c>
      <c r="S4018">
        <v>38</v>
      </c>
      <c r="T4018">
        <v>65</v>
      </c>
      <c r="U4018">
        <v>586.16619342142701</v>
      </c>
      <c r="V4018">
        <v>2.88392213410237E-3</v>
      </c>
      <c r="W4018">
        <v>2839170.2378387498</v>
      </c>
      <c r="X4018" t="s">
        <v>40</v>
      </c>
      <c r="Y4018">
        <f>1-994-719-4454</f>
        <v>-6166</v>
      </c>
    </row>
    <row r="4019" spans="1:25" x14ac:dyDescent="0.35">
      <c r="A4019">
        <v>34.267127424260003</v>
      </c>
      <c r="B4019">
        <v>-119.822276007905</v>
      </c>
      <c r="C4019" t="s">
        <v>25</v>
      </c>
      <c r="D4019">
        <v>13.1822882550931</v>
      </c>
      <c r="E4019">
        <v>4</v>
      </c>
      <c r="F4019">
        <v>4201</v>
      </c>
      <c r="G4019">
        <v>5</v>
      </c>
      <c r="H4019">
        <v>1</v>
      </c>
      <c r="I4019">
        <v>1959</v>
      </c>
      <c r="J4019">
        <v>0</v>
      </c>
      <c r="K4019">
        <v>1</v>
      </c>
      <c r="L4019">
        <v>0</v>
      </c>
      <c r="M4019">
        <v>3</v>
      </c>
      <c r="N4019" t="s">
        <v>37</v>
      </c>
      <c r="O4019" t="s">
        <v>27</v>
      </c>
      <c r="P4019">
        <v>13.9141954663937</v>
      </c>
      <c r="Q4019">
        <v>1.0162703088469001</v>
      </c>
      <c r="R4019">
        <v>0.88101424971264197</v>
      </c>
      <c r="S4019">
        <v>102</v>
      </c>
      <c r="T4019">
        <v>51</v>
      </c>
      <c r="U4019">
        <v>559.88227204723296</v>
      </c>
      <c r="V4019">
        <v>7.1411568674125195E-4</v>
      </c>
      <c r="W4019">
        <v>2726517.5606040098</v>
      </c>
      <c r="X4019" t="s">
        <v>44</v>
      </c>
      <c r="Y4019">
        <f>1-785-681-7870</f>
        <v>-9335</v>
      </c>
    </row>
    <row r="4020" spans="1:25" x14ac:dyDescent="0.35">
      <c r="A4020">
        <v>38.703547356722602</v>
      </c>
      <c r="B4020">
        <v>-122.07868430869</v>
      </c>
      <c r="C4020" t="s">
        <v>25</v>
      </c>
      <c r="D4020">
        <v>15.372006884267099</v>
      </c>
      <c r="E4020">
        <v>9</v>
      </c>
      <c r="F4020">
        <v>2868</v>
      </c>
      <c r="G4020">
        <v>5</v>
      </c>
      <c r="H4020">
        <v>1</v>
      </c>
      <c r="I4020">
        <v>1981</v>
      </c>
      <c r="J4020">
        <v>1</v>
      </c>
      <c r="K4020">
        <v>1</v>
      </c>
      <c r="L4020">
        <v>1</v>
      </c>
      <c r="M4020">
        <v>11</v>
      </c>
      <c r="N4020" t="s">
        <v>41</v>
      </c>
      <c r="O4020" t="s">
        <v>27</v>
      </c>
      <c r="P4020">
        <v>7.6538514508066102</v>
      </c>
      <c r="Q4020">
        <v>0.57333870411417098</v>
      </c>
      <c r="R4020">
        <v>0.69422829080524595</v>
      </c>
      <c r="S4020">
        <v>65</v>
      </c>
      <c r="T4020">
        <v>60</v>
      </c>
      <c r="U4020">
        <v>359.43690332980202</v>
      </c>
      <c r="V4020">
        <v>3.8354253835425301E-3</v>
      </c>
      <c r="W4020">
        <v>1546704.53800801</v>
      </c>
      <c r="X4020" t="s">
        <v>38</v>
      </c>
      <c r="Y4020">
        <f>1-519-197-7855</f>
        <v>-8570</v>
      </c>
    </row>
    <row r="4021" spans="1:25" x14ac:dyDescent="0.35">
      <c r="A4021">
        <v>38.3131259567702</v>
      </c>
      <c r="B4021">
        <v>-119.397038099711</v>
      </c>
      <c r="C4021" t="s">
        <v>25</v>
      </c>
      <c r="D4021">
        <v>33.606159559787898</v>
      </c>
      <c r="E4021">
        <v>5</v>
      </c>
      <c r="F4021">
        <v>2650</v>
      </c>
      <c r="G4021">
        <v>4</v>
      </c>
      <c r="H4021">
        <v>1</v>
      </c>
      <c r="I4021">
        <v>1950</v>
      </c>
      <c r="J4021">
        <v>0</v>
      </c>
      <c r="K4021">
        <v>1</v>
      </c>
      <c r="L4021">
        <v>0</v>
      </c>
      <c r="M4021">
        <v>12</v>
      </c>
      <c r="N4021" t="s">
        <v>41</v>
      </c>
      <c r="O4021" t="s">
        <v>32</v>
      </c>
      <c r="P4021">
        <v>2.33649780758926</v>
      </c>
      <c r="Q4021">
        <v>1.8294122716060499</v>
      </c>
      <c r="R4021">
        <v>9.9865125131266694</v>
      </c>
      <c r="S4021">
        <v>139</v>
      </c>
      <c r="T4021">
        <v>28</v>
      </c>
      <c r="U4021">
        <v>672.79926562785204</v>
      </c>
      <c r="V4021">
        <v>4.5283018867924496E-3</v>
      </c>
      <c r="W4021">
        <v>1977369.6667442401</v>
      </c>
      <c r="X4021" t="s">
        <v>43</v>
      </c>
      <c r="Y4021">
        <f>1-906-869-4867</f>
        <v>-6641</v>
      </c>
    </row>
    <row r="4022" spans="1:25" x14ac:dyDescent="0.35">
      <c r="A4022">
        <v>37.976633210849201</v>
      </c>
      <c r="B4022">
        <v>-119.79573403300699</v>
      </c>
      <c r="C4022" t="s">
        <v>25</v>
      </c>
      <c r="D4022">
        <v>47.761756297204698</v>
      </c>
      <c r="E4022">
        <v>0</v>
      </c>
      <c r="F4022">
        <v>2431</v>
      </c>
      <c r="G4022">
        <v>2</v>
      </c>
      <c r="H4022">
        <v>1</v>
      </c>
      <c r="I4022">
        <v>2016</v>
      </c>
      <c r="J4022">
        <v>0</v>
      </c>
      <c r="K4022">
        <v>1</v>
      </c>
      <c r="L4022">
        <v>0</v>
      </c>
      <c r="M4022">
        <v>11</v>
      </c>
      <c r="N4022" t="s">
        <v>41</v>
      </c>
      <c r="O4022" t="s">
        <v>27</v>
      </c>
      <c r="P4022">
        <v>2.42444813212883</v>
      </c>
      <c r="Q4022">
        <v>0.99388680252543704</v>
      </c>
      <c r="R4022">
        <v>5.13088081748392</v>
      </c>
      <c r="S4022">
        <v>192</v>
      </c>
      <c r="T4022">
        <v>29</v>
      </c>
      <c r="U4022">
        <v>422.167169146807</v>
      </c>
      <c r="V4022">
        <v>4.5248868778280504E-3</v>
      </c>
      <c r="W4022">
        <v>1201911.24861151</v>
      </c>
      <c r="X4022" t="s">
        <v>33</v>
      </c>
      <c r="Y4022">
        <f>1-327-216-2615</f>
        <v>-3157</v>
      </c>
    </row>
    <row r="4023" spans="1:25" x14ac:dyDescent="0.35">
      <c r="A4023">
        <v>36.739888163242497</v>
      </c>
      <c r="B4023">
        <v>-114.52710097321901</v>
      </c>
      <c r="C4023" t="s">
        <v>34</v>
      </c>
      <c r="D4023">
        <v>12.086444385990999</v>
      </c>
      <c r="E4023">
        <v>9</v>
      </c>
      <c r="F4023">
        <v>2503</v>
      </c>
      <c r="G4023">
        <v>3</v>
      </c>
      <c r="H4023">
        <v>1</v>
      </c>
      <c r="I4023">
        <v>2018</v>
      </c>
      <c r="J4023">
        <v>1</v>
      </c>
      <c r="K4023">
        <v>0</v>
      </c>
      <c r="L4023">
        <v>0</v>
      </c>
      <c r="M4023">
        <v>11</v>
      </c>
      <c r="N4023" t="s">
        <v>26</v>
      </c>
      <c r="O4023" t="s">
        <v>27</v>
      </c>
      <c r="P4023">
        <v>12.803984211537101</v>
      </c>
      <c r="Q4023">
        <v>1.2820122457451799</v>
      </c>
      <c r="R4023">
        <v>3.06888803951023</v>
      </c>
      <c r="S4023">
        <v>90</v>
      </c>
      <c r="T4023">
        <v>23</v>
      </c>
      <c r="U4023">
        <v>317.54455081678901</v>
      </c>
      <c r="V4023">
        <v>4.3947263284059099E-3</v>
      </c>
      <c r="W4023">
        <v>1122279.7876168201</v>
      </c>
      <c r="X4023" t="s">
        <v>33</v>
      </c>
      <c r="Y4023">
        <f>1-658-708-9433</f>
        <v>-10798</v>
      </c>
    </row>
    <row r="4024" spans="1:25" x14ac:dyDescent="0.35">
      <c r="A4024">
        <v>34.720545662671597</v>
      </c>
      <c r="B4024">
        <v>-119.797091070178</v>
      </c>
      <c r="C4024" t="s">
        <v>25</v>
      </c>
      <c r="D4024">
        <v>38.664453410214499</v>
      </c>
      <c r="E4024">
        <v>9</v>
      </c>
      <c r="F4024">
        <v>571</v>
      </c>
      <c r="G4024">
        <v>2</v>
      </c>
      <c r="H4024">
        <v>2</v>
      </c>
      <c r="I4024">
        <v>1979</v>
      </c>
      <c r="J4024">
        <v>0</v>
      </c>
      <c r="K4024">
        <v>0</v>
      </c>
      <c r="L4024">
        <v>1</v>
      </c>
      <c r="M4024">
        <v>11</v>
      </c>
      <c r="N4024" t="s">
        <v>41</v>
      </c>
      <c r="O4024" t="s">
        <v>30</v>
      </c>
      <c r="P4024">
        <v>12.2503985466558</v>
      </c>
      <c r="Q4024">
        <v>2.1877512284370799</v>
      </c>
      <c r="R4024">
        <v>1.17321243387344</v>
      </c>
      <c r="S4024">
        <v>7</v>
      </c>
      <c r="T4024">
        <v>47</v>
      </c>
      <c r="U4024">
        <v>633.69975677064804</v>
      </c>
      <c r="V4024">
        <v>1.9264448336252099E-2</v>
      </c>
      <c r="W4024">
        <v>583079.99059615203</v>
      </c>
      <c r="X4024" t="s">
        <v>33</v>
      </c>
      <c r="Y4024">
        <f>1-929-717-2536</f>
        <v>-4181</v>
      </c>
    </row>
    <row r="4025" spans="1:25" x14ac:dyDescent="0.35">
      <c r="A4025">
        <v>33.4622738486893</v>
      </c>
      <c r="B4025">
        <v>-115.65657223199101</v>
      </c>
      <c r="C4025" t="s">
        <v>29</v>
      </c>
      <c r="D4025">
        <v>38.740047510931198</v>
      </c>
      <c r="E4025">
        <v>5</v>
      </c>
      <c r="F4025">
        <v>533</v>
      </c>
      <c r="G4025">
        <v>3</v>
      </c>
      <c r="H4025">
        <v>2</v>
      </c>
      <c r="I4025">
        <v>1979</v>
      </c>
      <c r="J4025">
        <v>0</v>
      </c>
      <c r="K4025">
        <v>0</v>
      </c>
      <c r="L4025">
        <v>1</v>
      </c>
      <c r="M4025">
        <v>7</v>
      </c>
      <c r="N4025" t="s">
        <v>37</v>
      </c>
      <c r="O4025" t="s">
        <v>27</v>
      </c>
      <c r="P4025">
        <v>8.3483467298308192</v>
      </c>
      <c r="Q4025">
        <v>1.2843073456931999</v>
      </c>
      <c r="R4025">
        <v>9.4967716047402604</v>
      </c>
      <c r="S4025">
        <v>142</v>
      </c>
      <c r="T4025">
        <v>55</v>
      </c>
      <c r="U4025">
        <v>600.70531204362101</v>
      </c>
      <c r="V4025">
        <v>1.3133208255159399E-2</v>
      </c>
      <c r="W4025">
        <v>493684.437448012</v>
      </c>
      <c r="X4025" t="s">
        <v>28</v>
      </c>
      <c r="Y4025">
        <f>1-988-612-9951</f>
        <v>-11550</v>
      </c>
    </row>
    <row r="4026" spans="1:25" x14ac:dyDescent="0.35">
      <c r="A4026">
        <v>36.476913236651399</v>
      </c>
      <c r="B4026">
        <v>-121.054375406171</v>
      </c>
      <c r="C4026" t="s">
        <v>25</v>
      </c>
      <c r="D4026">
        <v>34.807846838208597</v>
      </c>
      <c r="E4026">
        <v>0</v>
      </c>
      <c r="F4026">
        <v>527</v>
      </c>
      <c r="G4026">
        <v>5</v>
      </c>
      <c r="H4026">
        <v>2</v>
      </c>
      <c r="I4026">
        <v>1962</v>
      </c>
      <c r="J4026">
        <v>0</v>
      </c>
      <c r="K4026">
        <v>1</v>
      </c>
      <c r="L4026">
        <v>1</v>
      </c>
      <c r="M4026">
        <v>8</v>
      </c>
      <c r="N4026" t="s">
        <v>37</v>
      </c>
      <c r="O4026" t="s">
        <v>30</v>
      </c>
      <c r="P4026">
        <v>12.657506705430899</v>
      </c>
      <c r="Q4026">
        <v>0.69099951415610295</v>
      </c>
      <c r="R4026">
        <v>9.5746582639151097</v>
      </c>
      <c r="S4026">
        <v>154</v>
      </c>
      <c r="T4026">
        <v>45</v>
      </c>
      <c r="U4026">
        <v>488.06191312529899</v>
      </c>
      <c r="V4026">
        <v>1.5180265654648899E-2</v>
      </c>
      <c r="W4026">
        <v>739693.34695512301</v>
      </c>
      <c r="X4026" t="s">
        <v>38</v>
      </c>
      <c r="Y4026">
        <f>1-522-350-7304</f>
        <v>-8175</v>
      </c>
    </row>
    <row r="4027" spans="1:25" x14ac:dyDescent="0.35">
      <c r="A4027">
        <v>38.202219046863199</v>
      </c>
      <c r="B4027">
        <v>-118.09193593952401</v>
      </c>
      <c r="C4027" t="s">
        <v>29</v>
      </c>
      <c r="D4027">
        <v>33.8182824231192</v>
      </c>
      <c r="E4027">
        <v>0</v>
      </c>
      <c r="F4027">
        <v>1310</v>
      </c>
      <c r="G4027">
        <v>5</v>
      </c>
      <c r="H4027">
        <v>1</v>
      </c>
      <c r="I4027">
        <v>1973</v>
      </c>
      <c r="J4027">
        <v>1</v>
      </c>
      <c r="K4027">
        <v>0</v>
      </c>
      <c r="L4027">
        <v>1</v>
      </c>
      <c r="M4027">
        <v>13</v>
      </c>
      <c r="N4027" t="s">
        <v>41</v>
      </c>
      <c r="O4027" t="s">
        <v>30</v>
      </c>
      <c r="P4027">
        <v>7.7092093094329197</v>
      </c>
      <c r="Q4027">
        <v>1.97370268478904</v>
      </c>
      <c r="R4027">
        <v>9.3071459050227094</v>
      </c>
      <c r="S4027">
        <v>184</v>
      </c>
      <c r="T4027">
        <v>67</v>
      </c>
      <c r="U4027">
        <v>868.85851600020203</v>
      </c>
      <c r="V4027">
        <v>9.9236641221373996E-3</v>
      </c>
      <c r="W4027">
        <v>1442499.05376756</v>
      </c>
      <c r="X4027" t="s">
        <v>40</v>
      </c>
      <c r="Y4027">
        <f>1-947-683-2318</f>
        <v>-3947</v>
      </c>
    </row>
    <row r="4028" spans="1:25" x14ac:dyDescent="0.35">
      <c r="A4028">
        <v>34.1318950034075</v>
      </c>
      <c r="B4028">
        <v>-115.266992964924</v>
      </c>
      <c r="C4028" t="s">
        <v>34</v>
      </c>
      <c r="D4028">
        <v>43.2467207861216</v>
      </c>
      <c r="E4028">
        <v>7</v>
      </c>
      <c r="F4028">
        <v>3004</v>
      </c>
      <c r="G4028">
        <v>2</v>
      </c>
      <c r="H4028">
        <v>2</v>
      </c>
      <c r="I4028">
        <v>1994</v>
      </c>
      <c r="J4028">
        <v>0</v>
      </c>
      <c r="K4028">
        <v>0</v>
      </c>
      <c r="L4028">
        <v>0</v>
      </c>
      <c r="M4028">
        <v>6</v>
      </c>
      <c r="N4028" t="s">
        <v>26</v>
      </c>
      <c r="O4028" t="s">
        <v>30</v>
      </c>
      <c r="P4028">
        <v>9.5789042501388302</v>
      </c>
      <c r="Q4028">
        <v>2.3977342362804399</v>
      </c>
      <c r="R4028">
        <v>1.9931967591578299</v>
      </c>
      <c r="S4028">
        <v>98</v>
      </c>
      <c r="T4028">
        <v>47</v>
      </c>
      <c r="U4028">
        <v>941.38897554311097</v>
      </c>
      <c r="V4028">
        <v>1.9973368841544599E-3</v>
      </c>
      <c r="W4028">
        <v>2986044.07232669</v>
      </c>
      <c r="X4028" t="s">
        <v>33</v>
      </c>
      <c r="Y4028">
        <f>1-664-538-3180</f>
        <v>-4381</v>
      </c>
    </row>
    <row r="4029" spans="1:25" x14ac:dyDescent="0.35">
      <c r="A4029">
        <v>32.935735273473597</v>
      </c>
      <c r="B4029">
        <v>-120.419987711581</v>
      </c>
      <c r="C4029" t="s">
        <v>29</v>
      </c>
      <c r="D4029">
        <v>45.478715230467003</v>
      </c>
      <c r="E4029">
        <v>7</v>
      </c>
      <c r="F4029">
        <v>3496</v>
      </c>
      <c r="G4029">
        <v>2</v>
      </c>
      <c r="H4029">
        <v>3</v>
      </c>
      <c r="I4029">
        <v>1971</v>
      </c>
      <c r="J4029">
        <v>0</v>
      </c>
      <c r="K4029">
        <v>0</v>
      </c>
      <c r="L4029">
        <v>0</v>
      </c>
      <c r="M4029">
        <v>8</v>
      </c>
      <c r="N4029" t="s">
        <v>41</v>
      </c>
      <c r="O4029" t="s">
        <v>27</v>
      </c>
      <c r="P4029">
        <v>7.9852391502241096</v>
      </c>
      <c r="Q4029">
        <v>1.66200843269411</v>
      </c>
      <c r="R4029">
        <v>6.8189216702216697</v>
      </c>
      <c r="S4029">
        <v>192</v>
      </c>
      <c r="T4029">
        <v>67</v>
      </c>
      <c r="U4029">
        <v>974.46916404928595</v>
      </c>
      <c r="V4029">
        <v>2.2883295194508001E-3</v>
      </c>
      <c r="W4029">
        <v>3593330.1863155402</v>
      </c>
      <c r="X4029" t="s">
        <v>38</v>
      </c>
      <c r="Y4029">
        <f>1-712-563-3167</f>
        <v>-4441</v>
      </c>
    </row>
    <row r="4030" spans="1:25" x14ac:dyDescent="0.35">
      <c r="A4030">
        <v>37.704966790678597</v>
      </c>
      <c r="B4030">
        <v>-122.06644487190199</v>
      </c>
      <c r="C4030" t="s">
        <v>25</v>
      </c>
      <c r="D4030">
        <v>31.535735712925799</v>
      </c>
      <c r="E4030">
        <v>9</v>
      </c>
      <c r="F4030">
        <v>4658</v>
      </c>
      <c r="G4030">
        <v>5</v>
      </c>
      <c r="H4030">
        <v>3</v>
      </c>
      <c r="I4030">
        <v>1957</v>
      </c>
      <c r="J4030">
        <v>1</v>
      </c>
      <c r="K4030">
        <v>1</v>
      </c>
      <c r="L4030">
        <v>1</v>
      </c>
      <c r="M4030">
        <v>7</v>
      </c>
      <c r="N4030" t="s">
        <v>41</v>
      </c>
      <c r="O4030" t="s">
        <v>32</v>
      </c>
      <c r="P4030">
        <v>5.8707386365763901</v>
      </c>
      <c r="Q4030">
        <v>2.4948703439320998</v>
      </c>
      <c r="R4030">
        <v>8.3655720242407892</v>
      </c>
      <c r="S4030">
        <v>129</v>
      </c>
      <c r="T4030">
        <v>28</v>
      </c>
      <c r="U4030">
        <v>896.76106540985199</v>
      </c>
      <c r="V4030">
        <v>1.5027908973808499E-3</v>
      </c>
      <c r="W4030">
        <v>4535364.9647341203</v>
      </c>
      <c r="X4030" t="s">
        <v>39</v>
      </c>
      <c r="Y4030">
        <f>1-942-805-5157</f>
        <v>-6903</v>
      </c>
    </row>
    <row r="4031" spans="1:25" x14ac:dyDescent="0.35">
      <c r="A4031">
        <v>38.894912602796403</v>
      </c>
      <c r="B4031">
        <v>-117.72675317578</v>
      </c>
      <c r="C4031" t="s">
        <v>34</v>
      </c>
      <c r="D4031">
        <v>31.678399862298299</v>
      </c>
      <c r="E4031">
        <v>9</v>
      </c>
      <c r="F4031">
        <v>1523</v>
      </c>
      <c r="G4031">
        <v>3</v>
      </c>
      <c r="H4031">
        <v>3</v>
      </c>
      <c r="I4031">
        <v>2003</v>
      </c>
      <c r="J4031">
        <v>0</v>
      </c>
      <c r="K4031">
        <v>1</v>
      </c>
      <c r="L4031">
        <v>0</v>
      </c>
      <c r="M4031">
        <v>11</v>
      </c>
      <c r="N4031" t="s">
        <v>41</v>
      </c>
      <c r="O4031" t="s">
        <v>27</v>
      </c>
      <c r="P4031">
        <v>2.7751747467146202</v>
      </c>
      <c r="Q4031">
        <v>2.4422592714567202</v>
      </c>
      <c r="R4031">
        <v>6.4534424157909598</v>
      </c>
      <c r="S4031">
        <v>114</v>
      </c>
      <c r="T4031">
        <v>33</v>
      </c>
      <c r="U4031">
        <v>267.052497358815</v>
      </c>
      <c r="V4031">
        <v>7.2225869993434002E-3</v>
      </c>
      <c r="W4031">
        <v>666733.45029128704</v>
      </c>
      <c r="X4031" t="s">
        <v>33</v>
      </c>
      <c r="Y4031">
        <f>1-530-635-1794</f>
        <v>-2958</v>
      </c>
    </row>
    <row r="4032" spans="1:25" x14ac:dyDescent="0.35">
      <c r="A4032">
        <v>33.383069667016201</v>
      </c>
      <c r="B4032">
        <v>-120.25410999876399</v>
      </c>
      <c r="C4032" t="s">
        <v>34</v>
      </c>
      <c r="D4032">
        <v>27.753029944904299</v>
      </c>
      <c r="E4032">
        <v>4</v>
      </c>
      <c r="F4032">
        <v>4195</v>
      </c>
      <c r="G4032">
        <v>1</v>
      </c>
      <c r="H4032">
        <v>2</v>
      </c>
      <c r="I4032">
        <v>2018</v>
      </c>
      <c r="J4032">
        <v>1</v>
      </c>
      <c r="K4032">
        <v>1</v>
      </c>
      <c r="L4032">
        <v>0</v>
      </c>
      <c r="M4032">
        <v>9</v>
      </c>
      <c r="N4032" t="s">
        <v>41</v>
      </c>
      <c r="O4032" t="s">
        <v>30</v>
      </c>
      <c r="P4032">
        <v>3.0595887834362601</v>
      </c>
      <c r="Q4032">
        <v>1.52294241901009</v>
      </c>
      <c r="R4032">
        <v>3.40335528792804</v>
      </c>
      <c r="S4032">
        <v>168</v>
      </c>
      <c r="T4032">
        <v>40</v>
      </c>
      <c r="U4032">
        <v>440.77194233834399</v>
      </c>
      <c r="V4032">
        <v>2.1454112038140601E-3</v>
      </c>
      <c r="W4032">
        <v>2052527.0210591699</v>
      </c>
      <c r="X4032" t="s">
        <v>39</v>
      </c>
      <c r="Y4032">
        <f>1-225-826-7382</f>
        <v>-8432</v>
      </c>
    </row>
    <row r="4033" spans="1:25" x14ac:dyDescent="0.35">
      <c r="A4033">
        <v>40.072351714756401</v>
      </c>
      <c r="B4033">
        <v>-115.405453614596</v>
      </c>
      <c r="C4033" t="s">
        <v>25</v>
      </c>
      <c r="D4033">
        <v>26.937291739190101</v>
      </c>
      <c r="E4033">
        <v>0</v>
      </c>
      <c r="F4033">
        <v>1751</v>
      </c>
      <c r="G4033">
        <v>1</v>
      </c>
      <c r="H4033">
        <v>3</v>
      </c>
      <c r="I4033">
        <v>1979</v>
      </c>
      <c r="J4033">
        <v>0</v>
      </c>
      <c r="K4033">
        <v>1</v>
      </c>
      <c r="L4033">
        <v>1</v>
      </c>
      <c r="M4033">
        <v>14</v>
      </c>
      <c r="N4033" t="s">
        <v>41</v>
      </c>
      <c r="O4033" t="s">
        <v>32</v>
      </c>
      <c r="P4033">
        <v>7.2055657959152803</v>
      </c>
      <c r="Q4033">
        <v>1.99258363975487</v>
      </c>
      <c r="R4033">
        <v>6.0345314770315799</v>
      </c>
      <c r="S4033">
        <v>178</v>
      </c>
      <c r="T4033">
        <v>73</v>
      </c>
      <c r="U4033">
        <v>593.54337717743203</v>
      </c>
      <c r="V4033">
        <v>7.9954311821816108E-3</v>
      </c>
      <c r="W4033">
        <v>1296198.07561286</v>
      </c>
      <c r="X4033" t="s">
        <v>39</v>
      </c>
      <c r="Y4033">
        <f>1-822-459-2746</f>
        <v>-4026</v>
      </c>
    </row>
    <row r="4034" spans="1:25" x14ac:dyDescent="0.35">
      <c r="A4034">
        <v>37.487948926125803</v>
      </c>
      <c r="B4034">
        <v>-114.95568608654099</v>
      </c>
      <c r="C4034" t="s">
        <v>34</v>
      </c>
      <c r="D4034">
        <v>10.391918795932099</v>
      </c>
      <c r="E4034">
        <v>9</v>
      </c>
      <c r="F4034">
        <v>2902</v>
      </c>
      <c r="G4034">
        <v>5</v>
      </c>
      <c r="H4034">
        <v>2</v>
      </c>
      <c r="I4034">
        <v>1998</v>
      </c>
      <c r="J4034">
        <v>0</v>
      </c>
      <c r="K4034">
        <v>1</v>
      </c>
      <c r="L4034">
        <v>0</v>
      </c>
      <c r="M4034">
        <v>4</v>
      </c>
      <c r="N4034" t="s">
        <v>41</v>
      </c>
      <c r="O4034" t="s">
        <v>32</v>
      </c>
      <c r="P4034">
        <v>14.9741724930548</v>
      </c>
      <c r="Q4034">
        <v>1.1974065213199001</v>
      </c>
      <c r="R4034">
        <v>8.4858456025711906</v>
      </c>
      <c r="S4034">
        <v>137</v>
      </c>
      <c r="T4034">
        <v>76</v>
      </c>
      <c r="U4034">
        <v>973.822694279811</v>
      </c>
      <c r="V4034">
        <v>1.3783597518952401E-3</v>
      </c>
      <c r="W4034">
        <v>3309147.7559672901</v>
      </c>
      <c r="X4034" t="s">
        <v>36</v>
      </c>
      <c r="Y4034">
        <f>1-978-111-1763</f>
        <v>-2851</v>
      </c>
    </row>
    <row r="4035" spans="1:25" x14ac:dyDescent="0.35">
      <c r="A4035">
        <v>40.5790845925074</v>
      </c>
      <c r="B4035">
        <v>-123.483866239875</v>
      </c>
      <c r="C4035" t="s">
        <v>34</v>
      </c>
      <c r="D4035">
        <v>49.7308785370872</v>
      </c>
      <c r="E4035">
        <v>7</v>
      </c>
      <c r="F4035">
        <v>2096</v>
      </c>
      <c r="G4035">
        <v>3</v>
      </c>
      <c r="H4035">
        <v>2</v>
      </c>
      <c r="I4035">
        <v>2000</v>
      </c>
      <c r="J4035">
        <v>0</v>
      </c>
      <c r="K4035">
        <v>0</v>
      </c>
      <c r="L4035">
        <v>0</v>
      </c>
      <c r="M4035">
        <v>9</v>
      </c>
      <c r="N4035" t="s">
        <v>41</v>
      </c>
      <c r="O4035" t="s">
        <v>27</v>
      </c>
      <c r="P4035">
        <v>2.4028654232764102</v>
      </c>
      <c r="Q4035">
        <v>1.8359073948223099</v>
      </c>
      <c r="R4035">
        <v>9.2100379153148904</v>
      </c>
      <c r="S4035">
        <v>171</v>
      </c>
      <c r="T4035">
        <v>34</v>
      </c>
      <c r="U4035">
        <v>447.22226347105698</v>
      </c>
      <c r="V4035">
        <v>4.29389312977099E-3</v>
      </c>
      <c r="W4035">
        <v>1057790.7641193301</v>
      </c>
      <c r="X4035" t="s">
        <v>31</v>
      </c>
      <c r="Y4035">
        <f>1-579-502-9587</f>
        <v>-10667</v>
      </c>
    </row>
    <row r="4036" spans="1:25" x14ac:dyDescent="0.35">
      <c r="A4036">
        <v>41.680681050463001</v>
      </c>
      <c r="B4036">
        <v>-121.70202721737201</v>
      </c>
      <c r="C4036" t="s">
        <v>25</v>
      </c>
      <c r="D4036">
        <v>40.520490072951802</v>
      </c>
      <c r="E4036">
        <v>8</v>
      </c>
      <c r="F4036">
        <v>2513</v>
      </c>
      <c r="G4036">
        <v>2</v>
      </c>
      <c r="H4036">
        <v>1</v>
      </c>
      <c r="I4036">
        <v>2006</v>
      </c>
      <c r="J4036">
        <v>0</v>
      </c>
      <c r="K4036">
        <v>0</v>
      </c>
      <c r="L4036">
        <v>0</v>
      </c>
      <c r="M4036">
        <v>4</v>
      </c>
      <c r="N4036" t="s">
        <v>35</v>
      </c>
      <c r="O4036" t="s">
        <v>27</v>
      </c>
      <c r="P4036">
        <v>3.1440363237403699</v>
      </c>
      <c r="Q4036">
        <v>0.63199645700605001</v>
      </c>
      <c r="R4036">
        <v>2.7822833411666799</v>
      </c>
      <c r="S4036">
        <v>10</v>
      </c>
      <c r="T4036">
        <v>40</v>
      </c>
      <c r="U4036">
        <v>788.04707949878105</v>
      </c>
      <c r="V4036">
        <v>1.591723040191E-3</v>
      </c>
      <c r="W4036">
        <v>2054768.9392365301</v>
      </c>
      <c r="X4036" t="s">
        <v>33</v>
      </c>
      <c r="Y4036">
        <f>1-290-435-4198</f>
        <v>-4922</v>
      </c>
    </row>
    <row r="4037" spans="1:25" x14ac:dyDescent="0.35">
      <c r="A4037">
        <v>37.1072358834938</v>
      </c>
      <c r="B4037">
        <v>-119.343525027661</v>
      </c>
      <c r="C4037" t="s">
        <v>29</v>
      </c>
      <c r="D4037">
        <v>46.441042786948202</v>
      </c>
      <c r="E4037">
        <v>3</v>
      </c>
      <c r="F4037">
        <v>4823</v>
      </c>
      <c r="G4037">
        <v>1</v>
      </c>
      <c r="H4037">
        <v>3</v>
      </c>
      <c r="I4037">
        <v>2004</v>
      </c>
      <c r="J4037">
        <v>1</v>
      </c>
      <c r="K4037">
        <v>0</v>
      </c>
      <c r="L4037">
        <v>1</v>
      </c>
      <c r="M4037">
        <v>8</v>
      </c>
      <c r="N4037" t="s">
        <v>35</v>
      </c>
      <c r="O4037" t="s">
        <v>27</v>
      </c>
      <c r="P4037">
        <v>12.596524763666601</v>
      </c>
      <c r="Q4037">
        <v>0.65787966615033799</v>
      </c>
      <c r="R4037">
        <v>6.39928211005628</v>
      </c>
      <c r="S4037">
        <v>153</v>
      </c>
      <c r="T4037">
        <v>23</v>
      </c>
      <c r="U4037">
        <v>270.01765889546999</v>
      </c>
      <c r="V4037">
        <v>1.65871863985071E-3</v>
      </c>
      <c r="W4037">
        <v>1572218.33686624</v>
      </c>
      <c r="X4037" t="s">
        <v>33</v>
      </c>
      <c r="Y4037">
        <f>1-216-945-1408</f>
        <v>-2568</v>
      </c>
    </row>
    <row r="4038" spans="1:25" x14ac:dyDescent="0.35">
      <c r="A4038">
        <v>39.065300121307899</v>
      </c>
      <c r="B4038">
        <v>-124.15793853033</v>
      </c>
      <c r="C4038" t="s">
        <v>34</v>
      </c>
      <c r="D4038">
        <v>17.925258817516401</v>
      </c>
      <c r="E4038">
        <v>6</v>
      </c>
      <c r="F4038">
        <v>2682</v>
      </c>
      <c r="G4038">
        <v>4</v>
      </c>
      <c r="H4038">
        <v>2</v>
      </c>
      <c r="I4038">
        <v>2002</v>
      </c>
      <c r="J4038">
        <v>1</v>
      </c>
      <c r="K4038">
        <v>1</v>
      </c>
      <c r="L4038">
        <v>1</v>
      </c>
      <c r="M4038">
        <v>10</v>
      </c>
      <c r="N4038" t="s">
        <v>41</v>
      </c>
      <c r="O4038" t="s">
        <v>27</v>
      </c>
      <c r="P4038">
        <v>8.9293501834517297</v>
      </c>
      <c r="Q4038">
        <v>1.4241007435898001</v>
      </c>
      <c r="R4038">
        <v>0.17913866999715999</v>
      </c>
      <c r="S4038">
        <v>195</v>
      </c>
      <c r="T4038">
        <v>34</v>
      </c>
      <c r="U4038">
        <v>350.80681332519401</v>
      </c>
      <c r="V4038">
        <v>3.7285607755406401E-3</v>
      </c>
      <c r="W4038">
        <v>1325005.2824233901</v>
      </c>
      <c r="X4038" t="s">
        <v>28</v>
      </c>
      <c r="Y4038">
        <f>1-935-682-2188</f>
        <v>-3804</v>
      </c>
    </row>
    <row r="4039" spans="1:25" x14ac:dyDescent="0.35">
      <c r="A4039">
        <v>33.9051800931325</v>
      </c>
      <c r="B4039">
        <v>-120.49499705817099</v>
      </c>
      <c r="C4039" t="s">
        <v>29</v>
      </c>
      <c r="D4039">
        <v>11.1579255662473</v>
      </c>
      <c r="E4039">
        <v>8</v>
      </c>
      <c r="F4039">
        <v>1712</v>
      </c>
      <c r="G4039">
        <v>3</v>
      </c>
      <c r="H4039">
        <v>3</v>
      </c>
      <c r="I4039">
        <v>1967</v>
      </c>
      <c r="J4039">
        <v>0</v>
      </c>
      <c r="K4039">
        <v>0</v>
      </c>
      <c r="L4039">
        <v>0</v>
      </c>
      <c r="M4039">
        <v>12</v>
      </c>
      <c r="N4039" t="s">
        <v>41</v>
      </c>
      <c r="O4039" t="s">
        <v>30</v>
      </c>
      <c r="P4039">
        <v>14.8479855650101</v>
      </c>
      <c r="Q4039">
        <v>2.4781831267290801</v>
      </c>
      <c r="R4039">
        <v>7.7429331215105197</v>
      </c>
      <c r="S4039">
        <v>20</v>
      </c>
      <c r="T4039">
        <v>49</v>
      </c>
      <c r="U4039">
        <v>895.41185453453295</v>
      </c>
      <c r="V4039">
        <v>7.0093457943925198E-3</v>
      </c>
      <c r="W4039">
        <v>1824619.2185996501</v>
      </c>
      <c r="X4039" t="s">
        <v>31</v>
      </c>
      <c r="Y4039">
        <f>1-739-682-8571</f>
        <v>-9991</v>
      </c>
    </row>
    <row r="4040" spans="1:25" x14ac:dyDescent="0.35">
      <c r="A4040">
        <v>38.016547939255901</v>
      </c>
      <c r="B4040">
        <v>-123.362560793187</v>
      </c>
      <c r="C4040" t="s">
        <v>34</v>
      </c>
      <c r="D4040">
        <v>13.331291554019501</v>
      </c>
      <c r="E4040">
        <v>3</v>
      </c>
      <c r="F4040">
        <v>538</v>
      </c>
      <c r="G4040">
        <v>3</v>
      </c>
      <c r="H4040">
        <v>3</v>
      </c>
      <c r="I4040">
        <v>1952</v>
      </c>
      <c r="J4040">
        <v>1</v>
      </c>
      <c r="K4040">
        <v>1</v>
      </c>
      <c r="L4040">
        <v>1</v>
      </c>
      <c r="M4040">
        <v>12</v>
      </c>
      <c r="N4040" t="s">
        <v>41</v>
      </c>
      <c r="O4040" t="s">
        <v>30</v>
      </c>
      <c r="P4040">
        <v>8.2356888131534607</v>
      </c>
      <c r="Q4040">
        <v>1.98810707524699</v>
      </c>
      <c r="R4040">
        <v>6.4582515216220102</v>
      </c>
      <c r="S4040">
        <v>186</v>
      </c>
      <c r="T4040">
        <v>68</v>
      </c>
      <c r="U4040">
        <v>877.207463764777</v>
      </c>
      <c r="V4040">
        <v>2.2304832713754601E-2</v>
      </c>
      <c r="W4040">
        <v>862496.73685692495</v>
      </c>
      <c r="X4040" t="s">
        <v>36</v>
      </c>
      <c r="Y4040">
        <f>1-561-972-1974</f>
        <v>-3506</v>
      </c>
    </row>
    <row r="4041" spans="1:25" x14ac:dyDescent="0.35">
      <c r="A4041">
        <v>33.258855990730503</v>
      </c>
      <c r="B4041">
        <v>-119.739332323547</v>
      </c>
      <c r="C4041" t="s">
        <v>25</v>
      </c>
      <c r="D4041">
        <v>24.021359130297999</v>
      </c>
      <c r="E4041">
        <v>6</v>
      </c>
      <c r="F4041">
        <v>4839</v>
      </c>
      <c r="G4041">
        <v>4</v>
      </c>
      <c r="H4041">
        <v>2</v>
      </c>
      <c r="I4041">
        <v>2003</v>
      </c>
      <c r="J4041">
        <v>1</v>
      </c>
      <c r="K4041">
        <v>0</v>
      </c>
      <c r="L4041">
        <v>1</v>
      </c>
      <c r="M4041">
        <v>2</v>
      </c>
      <c r="N4041" t="s">
        <v>41</v>
      </c>
      <c r="O4041" t="s">
        <v>27</v>
      </c>
      <c r="P4041">
        <v>11.005840159685</v>
      </c>
      <c r="Q4041">
        <v>2.0854749501154699</v>
      </c>
      <c r="R4041">
        <v>5.72867156687016</v>
      </c>
      <c r="S4041">
        <v>55</v>
      </c>
      <c r="T4041">
        <v>70</v>
      </c>
      <c r="U4041">
        <v>924.42150102461801</v>
      </c>
      <c r="V4041">
        <v>4.1330853482124402E-4</v>
      </c>
      <c r="W4041">
        <v>4758692.9851218499</v>
      </c>
      <c r="X4041" t="s">
        <v>42</v>
      </c>
      <c r="Y4041">
        <f>1-752-746-3287</f>
        <v>-4784</v>
      </c>
    </row>
    <row r="4042" spans="1:25" x14ac:dyDescent="0.35">
      <c r="A4042">
        <v>35.732613328673402</v>
      </c>
      <c r="B4042">
        <v>-121.431318943303</v>
      </c>
      <c r="C4042" t="s">
        <v>25</v>
      </c>
      <c r="D4042">
        <v>14.568578801756299</v>
      </c>
      <c r="E4042">
        <v>5</v>
      </c>
      <c r="F4042">
        <v>2580</v>
      </c>
      <c r="G4042">
        <v>4</v>
      </c>
      <c r="H4042">
        <v>3</v>
      </c>
      <c r="I4042">
        <v>1991</v>
      </c>
      <c r="J4042">
        <v>1</v>
      </c>
      <c r="K4042">
        <v>0</v>
      </c>
      <c r="L4042">
        <v>1</v>
      </c>
      <c r="M4042">
        <v>8</v>
      </c>
      <c r="N4042" t="s">
        <v>35</v>
      </c>
      <c r="O4042" t="s">
        <v>32</v>
      </c>
      <c r="P4042">
        <v>7.1549719812385701</v>
      </c>
      <c r="Q4042">
        <v>1.63724978866717</v>
      </c>
      <c r="R4042">
        <v>0.96773595118829203</v>
      </c>
      <c r="S4042">
        <v>41</v>
      </c>
      <c r="T4042">
        <v>20</v>
      </c>
      <c r="U4042">
        <v>265.46494479249202</v>
      </c>
      <c r="V4042">
        <v>3.10077519379844E-3</v>
      </c>
      <c r="W4042">
        <v>1046154.73189881</v>
      </c>
      <c r="X4042" t="s">
        <v>28</v>
      </c>
      <c r="Y4042">
        <f>1-635-364-8494</f>
        <v>-9492</v>
      </c>
    </row>
    <row r="4043" spans="1:25" x14ac:dyDescent="0.35">
      <c r="A4043">
        <v>41.236351760688798</v>
      </c>
      <c r="B4043">
        <v>-119.171443908764</v>
      </c>
      <c r="C4043" t="s">
        <v>29</v>
      </c>
      <c r="D4043">
        <v>10.150425037397399</v>
      </c>
      <c r="E4043">
        <v>8</v>
      </c>
      <c r="F4043">
        <v>1264</v>
      </c>
      <c r="G4043">
        <v>4</v>
      </c>
      <c r="H4043">
        <v>1</v>
      </c>
      <c r="I4043">
        <v>1987</v>
      </c>
      <c r="J4043">
        <v>0</v>
      </c>
      <c r="K4043">
        <v>0</v>
      </c>
      <c r="L4043">
        <v>1</v>
      </c>
      <c r="M4043">
        <v>6</v>
      </c>
      <c r="N4043" t="s">
        <v>37</v>
      </c>
      <c r="O4043" t="s">
        <v>27</v>
      </c>
      <c r="P4043">
        <v>10.5970080256663</v>
      </c>
      <c r="Q4043">
        <v>2.1551877962983701</v>
      </c>
      <c r="R4043">
        <v>1.5293344601282099</v>
      </c>
      <c r="S4043">
        <v>190</v>
      </c>
      <c r="T4043">
        <v>29</v>
      </c>
      <c r="U4043">
        <v>778.61754757388906</v>
      </c>
      <c r="V4043">
        <v>4.7468354430379696E-3</v>
      </c>
      <c r="W4043">
        <v>1241388.9814454101</v>
      </c>
      <c r="X4043" t="s">
        <v>39</v>
      </c>
      <c r="Y4043">
        <f>1-823-230-7960</f>
        <v>-9012</v>
      </c>
    </row>
    <row r="4044" spans="1:25" x14ac:dyDescent="0.35">
      <c r="A4044">
        <v>34.690679304128203</v>
      </c>
      <c r="B4044">
        <v>-121.262278995023</v>
      </c>
      <c r="C4044" t="s">
        <v>29</v>
      </c>
      <c r="D4044">
        <v>6.8676872273504097</v>
      </c>
      <c r="E4044">
        <v>0</v>
      </c>
      <c r="F4044">
        <v>3218</v>
      </c>
      <c r="G4044">
        <v>5</v>
      </c>
      <c r="H4044">
        <v>1</v>
      </c>
      <c r="I4044">
        <v>2001</v>
      </c>
      <c r="J4044">
        <v>1</v>
      </c>
      <c r="K4044">
        <v>1</v>
      </c>
      <c r="L4044">
        <v>0</v>
      </c>
      <c r="M4044">
        <v>2</v>
      </c>
      <c r="N4044" t="s">
        <v>26</v>
      </c>
      <c r="O4044" t="s">
        <v>32</v>
      </c>
      <c r="P4044">
        <v>7.7185925200613603</v>
      </c>
      <c r="Q4044">
        <v>0.84717305093681605</v>
      </c>
      <c r="R4044">
        <v>3.3028732439922699</v>
      </c>
      <c r="S4044">
        <v>187</v>
      </c>
      <c r="T4044">
        <v>23</v>
      </c>
      <c r="U4044">
        <v>276.64779511290101</v>
      </c>
      <c r="V4044">
        <v>6.2150403977625796E-4</v>
      </c>
      <c r="W4044">
        <v>1314767.4732633601</v>
      </c>
      <c r="X4044" t="s">
        <v>38</v>
      </c>
      <c r="Y4044">
        <f>1-870-100-6993</f>
        <v>-7962</v>
      </c>
    </row>
    <row r="4045" spans="1:25" x14ac:dyDescent="0.35">
      <c r="A4045">
        <v>35.5653148837036</v>
      </c>
      <c r="B4045">
        <v>-115.238293650313</v>
      </c>
      <c r="C4045" t="s">
        <v>25</v>
      </c>
      <c r="D4045">
        <v>35.329358536479297</v>
      </c>
      <c r="E4045">
        <v>8</v>
      </c>
      <c r="F4045">
        <v>904</v>
      </c>
      <c r="G4045">
        <v>5</v>
      </c>
      <c r="H4045">
        <v>2</v>
      </c>
      <c r="I4045">
        <v>1975</v>
      </c>
      <c r="J4045">
        <v>0</v>
      </c>
      <c r="K4045">
        <v>0</v>
      </c>
      <c r="L4045">
        <v>1</v>
      </c>
      <c r="M4045">
        <v>6</v>
      </c>
      <c r="N4045" t="s">
        <v>26</v>
      </c>
      <c r="O4045" t="s">
        <v>30</v>
      </c>
      <c r="P4045">
        <v>9.7824170950469291</v>
      </c>
      <c r="Q4045">
        <v>0.99515191922464696</v>
      </c>
      <c r="R4045">
        <v>5.13101187288422</v>
      </c>
      <c r="S4045">
        <v>115</v>
      </c>
      <c r="T4045">
        <v>36</v>
      </c>
      <c r="U4045">
        <v>693.76171128077101</v>
      </c>
      <c r="V4045">
        <v>6.6371681415929203E-3</v>
      </c>
      <c r="W4045">
        <v>917140.34346569097</v>
      </c>
      <c r="X4045" t="s">
        <v>44</v>
      </c>
      <c r="Y4045">
        <f>1-606-877-4577</f>
        <v>-6059</v>
      </c>
    </row>
    <row r="4046" spans="1:25" x14ac:dyDescent="0.35">
      <c r="A4046">
        <v>35.273507070103904</v>
      </c>
      <c r="B4046">
        <v>-123.38862656718</v>
      </c>
      <c r="C4046" t="s">
        <v>25</v>
      </c>
      <c r="D4046">
        <v>28.443179741084901</v>
      </c>
      <c r="E4046">
        <v>0</v>
      </c>
      <c r="F4046">
        <v>3971</v>
      </c>
      <c r="G4046">
        <v>3</v>
      </c>
      <c r="H4046">
        <v>1</v>
      </c>
      <c r="I4046">
        <v>1991</v>
      </c>
      <c r="J4046">
        <v>1</v>
      </c>
      <c r="K4046">
        <v>0</v>
      </c>
      <c r="L4046">
        <v>0</v>
      </c>
      <c r="M4046">
        <v>10</v>
      </c>
      <c r="N4046" t="s">
        <v>37</v>
      </c>
      <c r="O4046" t="s">
        <v>27</v>
      </c>
      <c r="P4046">
        <v>7.8446959112574799</v>
      </c>
      <c r="Q4046">
        <v>0.82936113999101602</v>
      </c>
      <c r="R4046">
        <v>1.0773941991386</v>
      </c>
      <c r="S4046">
        <v>151</v>
      </c>
      <c r="T4046">
        <v>58</v>
      </c>
      <c r="U4046">
        <v>394.57096635736002</v>
      </c>
      <c r="V4046">
        <v>2.5182573659027901E-3</v>
      </c>
      <c r="W4046">
        <v>1762652.6368360301</v>
      </c>
      <c r="X4046" t="s">
        <v>40</v>
      </c>
      <c r="Y4046">
        <f>1-457-226-9564</f>
        <v>-10246</v>
      </c>
    </row>
    <row r="4047" spans="1:25" x14ac:dyDescent="0.35">
      <c r="A4047">
        <v>38.236787833763202</v>
      </c>
      <c r="B4047">
        <v>-122.62665891137</v>
      </c>
      <c r="C4047" t="s">
        <v>25</v>
      </c>
      <c r="D4047">
        <v>46.622450485769399</v>
      </c>
      <c r="E4047">
        <v>7</v>
      </c>
      <c r="F4047">
        <v>945</v>
      </c>
      <c r="G4047">
        <v>5</v>
      </c>
      <c r="H4047">
        <v>2</v>
      </c>
      <c r="I4047">
        <v>1984</v>
      </c>
      <c r="J4047">
        <v>0</v>
      </c>
      <c r="K4047">
        <v>1</v>
      </c>
      <c r="L4047">
        <v>1</v>
      </c>
      <c r="M4047">
        <v>9</v>
      </c>
      <c r="N4047" t="s">
        <v>37</v>
      </c>
      <c r="O4047" t="s">
        <v>30</v>
      </c>
      <c r="P4047">
        <v>7.5994107754820197</v>
      </c>
      <c r="Q4047">
        <v>2.2105936418276699</v>
      </c>
      <c r="R4047">
        <v>7.7443755377004804</v>
      </c>
      <c r="S4047">
        <v>73</v>
      </c>
      <c r="T4047">
        <v>44</v>
      </c>
      <c r="U4047">
        <v>695.33458191665295</v>
      </c>
      <c r="V4047">
        <v>9.5238095238095195E-3</v>
      </c>
      <c r="W4047">
        <v>1048468.171084</v>
      </c>
      <c r="X4047" t="s">
        <v>42</v>
      </c>
      <c r="Y4047">
        <f>1-974-352-7552</f>
        <v>-8877</v>
      </c>
    </row>
    <row r="4048" spans="1:25" x14ac:dyDescent="0.35">
      <c r="A4048">
        <v>38.251157806010902</v>
      </c>
      <c r="B4048">
        <v>-118.24450620735</v>
      </c>
      <c r="C4048" t="s">
        <v>34</v>
      </c>
      <c r="D4048">
        <v>16.7331662370636</v>
      </c>
      <c r="E4048">
        <v>9</v>
      </c>
      <c r="F4048">
        <v>4791</v>
      </c>
      <c r="G4048">
        <v>2</v>
      </c>
      <c r="H4048">
        <v>3</v>
      </c>
      <c r="I4048">
        <v>1981</v>
      </c>
      <c r="J4048">
        <v>1</v>
      </c>
      <c r="K4048">
        <v>0</v>
      </c>
      <c r="L4048">
        <v>0</v>
      </c>
      <c r="M4048">
        <v>10</v>
      </c>
      <c r="N4048" t="s">
        <v>41</v>
      </c>
      <c r="O4048" t="s">
        <v>30</v>
      </c>
      <c r="P4048">
        <v>6.1360100444661398</v>
      </c>
      <c r="Q4048">
        <v>1.6126164998338399</v>
      </c>
      <c r="R4048">
        <v>8.7584344115392501</v>
      </c>
      <c r="S4048">
        <v>144</v>
      </c>
      <c r="T4048">
        <v>35</v>
      </c>
      <c r="U4048">
        <v>313.418394956486</v>
      </c>
      <c r="V4048">
        <v>2.0872469213107899E-3</v>
      </c>
      <c r="W4048">
        <v>1696807.8114930701</v>
      </c>
      <c r="X4048" t="s">
        <v>31</v>
      </c>
      <c r="Y4048">
        <f>1-596-367-7174</f>
        <v>-8136</v>
      </c>
    </row>
    <row r="4049" spans="1:25" x14ac:dyDescent="0.35">
      <c r="A4049">
        <v>37.900026597358597</v>
      </c>
      <c r="B4049">
        <v>-119.653183931293</v>
      </c>
      <c r="C4049" t="s">
        <v>25</v>
      </c>
      <c r="D4049">
        <v>30.280152255022799</v>
      </c>
      <c r="E4049">
        <v>2</v>
      </c>
      <c r="F4049">
        <v>1086</v>
      </c>
      <c r="G4049">
        <v>4</v>
      </c>
      <c r="H4049">
        <v>2</v>
      </c>
      <c r="I4049">
        <v>1971</v>
      </c>
      <c r="J4049">
        <v>1</v>
      </c>
      <c r="K4049">
        <v>0</v>
      </c>
      <c r="L4049">
        <v>1</v>
      </c>
      <c r="M4049">
        <v>5</v>
      </c>
      <c r="N4049" t="s">
        <v>26</v>
      </c>
      <c r="O4049" t="s">
        <v>27</v>
      </c>
      <c r="P4049">
        <v>8.4909587084171907</v>
      </c>
      <c r="Q4049">
        <v>2.0681984997388598</v>
      </c>
      <c r="R4049">
        <v>8.1856902180402606</v>
      </c>
      <c r="S4049">
        <v>44</v>
      </c>
      <c r="T4049">
        <v>65</v>
      </c>
      <c r="U4049">
        <v>812.951840866422</v>
      </c>
      <c r="V4049">
        <v>4.60405156537753E-3</v>
      </c>
      <c r="W4049">
        <v>1230814.6529079799</v>
      </c>
      <c r="X4049" t="s">
        <v>39</v>
      </c>
      <c r="Y4049">
        <f>1-600-796-4185</f>
        <v>-5580</v>
      </c>
    </row>
    <row r="4050" spans="1:25" x14ac:dyDescent="0.35">
      <c r="A4050">
        <v>35.189911481261603</v>
      </c>
      <c r="B4050">
        <v>-114.339422240834</v>
      </c>
      <c r="C4050" t="s">
        <v>29</v>
      </c>
      <c r="D4050">
        <v>6.0911568513484298</v>
      </c>
      <c r="E4050">
        <v>0</v>
      </c>
      <c r="F4050">
        <v>3576</v>
      </c>
      <c r="G4050">
        <v>5</v>
      </c>
      <c r="H4050">
        <v>2</v>
      </c>
      <c r="I4050">
        <v>1988</v>
      </c>
      <c r="J4050">
        <v>1</v>
      </c>
      <c r="K4050">
        <v>1</v>
      </c>
      <c r="L4050">
        <v>1</v>
      </c>
      <c r="M4050">
        <v>3</v>
      </c>
      <c r="N4050" t="s">
        <v>35</v>
      </c>
      <c r="O4050" t="s">
        <v>30</v>
      </c>
      <c r="P4050">
        <v>14.422550301244399</v>
      </c>
      <c r="Q4050">
        <v>0.84681993608630601</v>
      </c>
      <c r="R4050">
        <v>8.7588343404152607</v>
      </c>
      <c r="S4050">
        <v>83</v>
      </c>
      <c r="T4050">
        <v>27</v>
      </c>
      <c r="U4050">
        <v>854.28438518227404</v>
      </c>
      <c r="V4050">
        <v>8.3892617449664395E-4</v>
      </c>
      <c r="W4050">
        <v>3622680.0373888598</v>
      </c>
      <c r="X4050" t="s">
        <v>39</v>
      </c>
      <c r="Y4050">
        <f>1-457-742-1987</f>
        <v>-3185</v>
      </c>
    </row>
    <row r="4051" spans="1:25" x14ac:dyDescent="0.35">
      <c r="A4051">
        <v>37.424597601224001</v>
      </c>
      <c r="B4051">
        <v>-117.710285666182</v>
      </c>
      <c r="C4051" t="s">
        <v>25</v>
      </c>
      <c r="D4051">
        <v>33.983884601161797</v>
      </c>
      <c r="E4051">
        <v>1</v>
      </c>
      <c r="F4051">
        <v>4146</v>
      </c>
      <c r="G4051">
        <v>4</v>
      </c>
      <c r="H4051">
        <v>3</v>
      </c>
      <c r="I4051">
        <v>1966</v>
      </c>
      <c r="J4051">
        <v>0</v>
      </c>
      <c r="K4051">
        <v>0</v>
      </c>
      <c r="L4051">
        <v>0</v>
      </c>
      <c r="M4051">
        <v>11</v>
      </c>
      <c r="N4051" t="s">
        <v>37</v>
      </c>
      <c r="O4051" t="s">
        <v>30</v>
      </c>
      <c r="P4051">
        <v>10.576278661458399</v>
      </c>
      <c r="Q4051">
        <v>0.57544963218730905</v>
      </c>
      <c r="R4051">
        <v>9.1767844576845601</v>
      </c>
      <c r="S4051">
        <v>102</v>
      </c>
      <c r="T4051">
        <v>45</v>
      </c>
      <c r="U4051">
        <v>898.04028224335104</v>
      </c>
      <c r="V4051">
        <v>2.6531596719729799E-3</v>
      </c>
      <c r="W4051">
        <v>3954390.1267188601</v>
      </c>
      <c r="X4051" t="s">
        <v>42</v>
      </c>
      <c r="Y4051">
        <f>1-220-379-4200</f>
        <v>-4798</v>
      </c>
    </row>
    <row r="4052" spans="1:25" x14ac:dyDescent="0.35">
      <c r="A4052">
        <v>37.749504182303497</v>
      </c>
      <c r="B4052">
        <v>-121.97748017152099</v>
      </c>
      <c r="C4052" t="s">
        <v>34</v>
      </c>
      <c r="D4052">
        <v>3.5178663184637502</v>
      </c>
      <c r="E4052">
        <v>6</v>
      </c>
      <c r="F4052">
        <v>2210</v>
      </c>
      <c r="G4052">
        <v>4</v>
      </c>
      <c r="H4052">
        <v>2</v>
      </c>
      <c r="I4052">
        <v>1964</v>
      </c>
      <c r="J4052">
        <v>1</v>
      </c>
      <c r="K4052">
        <v>0</v>
      </c>
      <c r="L4052">
        <v>0</v>
      </c>
      <c r="M4052">
        <v>12</v>
      </c>
      <c r="N4052" t="s">
        <v>37</v>
      </c>
      <c r="O4052" t="s">
        <v>30</v>
      </c>
      <c r="P4052">
        <v>9.2430279959892498</v>
      </c>
      <c r="Q4052">
        <v>2.4682831153610101</v>
      </c>
      <c r="R4052">
        <v>9.6641203835517793</v>
      </c>
      <c r="S4052">
        <v>172</v>
      </c>
      <c r="T4052">
        <v>30</v>
      </c>
      <c r="U4052">
        <v>427.597192711785</v>
      </c>
      <c r="V4052">
        <v>5.4298642533936597E-3</v>
      </c>
      <c r="W4052">
        <v>1171320.1812543699</v>
      </c>
      <c r="X4052" t="s">
        <v>43</v>
      </c>
      <c r="Y4052">
        <f>1-841-159-3282</f>
        <v>-4281</v>
      </c>
    </row>
    <row r="4053" spans="1:25" x14ac:dyDescent="0.35">
      <c r="A4053">
        <v>36.128318321253303</v>
      </c>
      <c r="B4053">
        <v>-115.479885801949</v>
      </c>
      <c r="C4053" t="s">
        <v>25</v>
      </c>
      <c r="D4053">
        <v>22.376442247871399</v>
      </c>
      <c r="E4053">
        <v>4</v>
      </c>
      <c r="F4053">
        <v>2506</v>
      </c>
      <c r="G4053">
        <v>4</v>
      </c>
      <c r="H4053">
        <v>3</v>
      </c>
      <c r="I4053">
        <v>1986</v>
      </c>
      <c r="J4053">
        <v>1</v>
      </c>
      <c r="K4053">
        <v>0</v>
      </c>
      <c r="L4053">
        <v>0</v>
      </c>
      <c r="M4053">
        <v>4</v>
      </c>
      <c r="N4053" t="s">
        <v>26</v>
      </c>
      <c r="O4053" t="s">
        <v>27</v>
      </c>
      <c r="P4053">
        <v>4.4544952437970098</v>
      </c>
      <c r="Q4053">
        <v>2.2417827443509299</v>
      </c>
      <c r="R4053">
        <v>3.0497045846185</v>
      </c>
      <c r="S4053">
        <v>116</v>
      </c>
      <c r="T4053">
        <v>25</v>
      </c>
      <c r="U4053">
        <v>936.96554378269002</v>
      </c>
      <c r="V4053">
        <v>1.59616919393455E-3</v>
      </c>
      <c r="W4053">
        <v>2585453.91941908</v>
      </c>
      <c r="X4053" t="s">
        <v>33</v>
      </c>
      <c r="Y4053">
        <f>1-765-779-7916</f>
        <v>-9459</v>
      </c>
    </row>
    <row r="4054" spans="1:25" x14ac:dyDescent="0.35">
      <c r="A4054">
        <v>41.072702144489199</v>
      </c>
      <c r="B4054">
        <v>-118.213089079578</v>
      </c>
      <c r="C4054" t="s">
        <v>34</v>
      </c>
      <c r="D4054">
        <v>44.006824531355797</v>
      </c>
      <c r="E4054">
        <v>5</v>
      </c>
      <c r="F4054">
        <v>1613</v>
      </c>
      <c r="G4054">
        <v>2</v>
      </c>
      <c r="H4054">
        <v>2</v>
      </c>
      <c r="I4054">
        <v>2020</v>
      </c>
      <c r="J4054">
        <v>0</v>
      </c>
      <c r="K4054">
        <v>0</v>
      </c>
      <c r="L4054">
        <v>1</v>
      </c>
      <c r="M4054">
        <v>13</v>
      </c>
      <c r="N4054" t="s">
        <v>37</v>
      </c>
      <c r="O4054" t="s">
        <v>30</v>
      </c>
      <c r="P4054">
        <v>10.6185064989133</v>
      </c>
      <c r="Q4054">
        <v>0.54231253571114302</v>
      </c>
      <c r="R4054">
        <v>5.8468827859239596</v>
      </c>
      <c r="S4054">
        <v>153</v>
      </c>
      <c r="T4054">
        <v>35</v>
      </c>
      <c r="U4054">
        <v>722.90202195095901</v>
      </c>
      <c r="V4054">
        <v>8.0595164290142504E-3</v>
      </c>
      <c r="W4054">
        <v>1422496.99227395</v>
      </c>
      <c r="X4054" t="s">
        <v>42</v>
      </c>
      <c r="Y4054">
        <f>1-671-129-3438</f>
        <v>-4237</v>
      </c>
    </row>
    <row r="4055" spans="1:25" x14ac:dyDescent="0.35">
      <c r="A4055">
        <v>32.840173028793103</v>
      </c>
      <c r="B4055">
        <v>-115.967941007327</v>
      </c>
      <c r="C4055" t="s">
        <v>29</v>
      </c>
      <c r="D4055">
        <v>31.6784116193007</v>
      </c>
      <c r="E4055">
        <v>4</v>
      </c>
      <c r="F4055">
        <v>1713</v>
      </c>
      <c r="G4055">
        <v>2</v>
      </c>
      <c r="H4055">
        <v>3</v>
      </c>
      <c r="I4055">
        <v>2017</v>
      </c>
      <c r="J4055">
        <v>1</v>
      </c>
      <c r="K4055">
        <v>1</v>
      </c>
      <c r="L4055">
        <v>1</v>
      </c>
      <c r="M4055">
        <v>5</v>
      </c>
      <c r="N4055" t="s">
        <v>37</v>
      </c>
      <c r="O4055" t="s">
        <v>32</v>
      </c>
      <c r="P4055">
        <v>13.538781497332</v>
      </c>
      <c r="Q4055">
        <v>1.1828026394590201</v>
      </c>
      <c r="R4055">
        <v>7.1506233937027996</v>
      </c>
      <c r="S4055">
        <v>35</v>
      </c>
      <c r="T4055">
        <v>45</v>
      </c>
      <c r="U4055">
        <v>483.78107009122903</v>
      </c>
      <c r="V4055">
        <v>2.9188558085230499E-3</v>
      </c>
      <c r="W4055">
        <v>1278816.2264355901</v>
      </c>
      <c r="X4055" t="s">
        <v>40</v>
      </c>
      <c r="Y4055">
        <f>1-276-211-4658</f>
        <v>-5144</v>
      </c>
    </row>
    <row r="4056" spans="1:25" x14ac:dyDescent="0.35">
      <c r="A4056">
        <v>35.547691255321702</v>
      </c>
      <c r="B4056">
        <v>-115.298702607815</v>
      </c>
      <c r="C4056" t="s">
        <v>34</v>
      </c>
      <c r="D4056">
        <v>36.1596669641714</v>
      </c>
      <c r="E4056">
        <v>0</v>
      </c>
      <c r="F4056">
        <v>686</v>
      </c>
      <c r="G4056">
        <v>1</v>
      </c>
      <c r="H4056">
        <v>2</v>
      </c>
      <c r="I4056">
        <v>2020</v>
      </c>
      <c r="J4056">
        <v>0</v>
      </c>
      <c r="K4056">
        <v>0</v>
      </c>
      <c r="L4056">
        <v>1</v>
      </c>
      <c r="M4056">
        <v>7</v>
      </c>
      <c r="N4056" t="s">
        <v>35</v>
      </c>
      <c r="O4056" t="s">
        <v>27</v>
      </c>
      <c r="P4056">
        <v>11.877521211501</v>
      </c>
      <c r="Q4056">
        <v>2.2596759709043299</v>
      </c>
      <c r="R4056">
        <v>1.5832125163061901</v>
      </c>
      <c r="S4056">
        <v>75</v>
      </c>
      <c r="T4056">
        <v>28</v>
      </c>
      <c r="U4056">
        <v>277.44038160447298</v>
      </c>
      <c r="V4056">
        <v>1.0204081632653E-2</v>
      </c>
      <c r="W4056">
        <v>415117.88812319899</v>
      </c>
      <c r="X4056" t="s">
        <v>38</v>
      </c>
      <c r="Y4056">
        <f>1-384-405-5196</f>
        <v>-5984</v>
      </c>
    </row>
    <row r="4057" spans="1:25" x14ac:dyDescent="0.35">
      <c r="A4057">
        <v>38.553226093846597</v>
      </c>
      <c r="B4057">
        <v>-121.99366726174399</v>
      </c>
      <c r="C4057" t="s">
        <v>29</v>
      </c>
      <c r="D4057">
        <v>25.037229557969901</v>
      </c>
      <c r="E4057">
        <v>1</v>
      </c>
      <c r="F4057">
        <v>4715</v>
      </c>
      <c r="G4057">
        <v>5</v>
      </c>
      <c r="H4057">
        <v>1</v>
      </c>
      <c r="I4057">
        <v>2005</v>
      </c>
      <c r="J4057">
        <v>1</v>
      </c>
      <c r="K4057">
        <v>1</v>
      </c>
      <c r="L4057">
        <v>0</v>
      </c>
      <c r="M4057">
        <v>2</v>
      </c>
      <c r="N4057" t="s">
        <v>37</v>
      </c>
      <c r="O4057" t="s">
        <v>30</v>
      </c>
      <c r="P4057">
        <v>9.9336755232681302</v>
      </c>
      <c r="Q4057">
        <v>0.80435707617097396</v>
      </c>
      <c r="R4057">
        <v>0.38613247033134501</v>
      </c>
      <c r="S4057">
        <v>72</v>
      </c>
      <c r="T4057">
        <v>44</v>
      </c>
      <c r="U4057">
        <v>927.01591167069898</v>
      </c>
      <c r="V4057">
        <v>4.24178154825026E-4</v>
      </c>
      <c r="W4057">
        <v>4828419.2351837698</v>
      </c>
      <c r="X4057" t="s">
        <v>33</v>
      </c>
      <c r="Y4057">
        <f>1-526-606-3711</f>
        <v>-4842</v>
      </c>
    </row>
    <row r="4058" spans="1:25" x14ac:dyDescent="0.35">
      <c r="A4058">
        <v>33.594635694347701</v>
      </c>
      <c r="B4058">
        <v>-116.876053863202</v>
      </c>
      <c r="C4058" t="s">
        <v>25</v>
      </c>
      <c r="D4058">
        <v>19.9148368643427</v>
      </c>
      <c r="E4058">
        <v>7</v>
      </c>
      <c r="F4058">
        <v>3945</v>
      </c>
      <c r="G4058">
        <v>3</v>
      </c>
      <c r="H4058">
        <v>1</v>
      </c>
      <c r="I4058">
        <v>2003</v>
      </c>
      <c r="J4058">
        <v>1</v>
      </c>
      <c r="K4058">
        <v>0</v>
      </c>
      <c r="L4058">
        <v>0</v>
      </c>
      <c r="M4058">
        <v>10</v>
      </c>
      <c r="N4058" t="s">
        <v>26</v>
      </c>
      <c r="O4058" t="s">
        <v>32</v>
      </c>
      <c r="P4058">
        <v>10.9346299919742</v>
      </c>
      <c r="Q4058">
        <v>0.73916702471163698</v>
      </c>
      <c r="R4058">
        <v>8.3598420594619096</v>
      </c>
      <c r="S4058">
        <v>89</v>
      </c>
      <c r="T4058">
        <v>71</v>
      </c>
      <c r="U4058">
        <v>302.66250420316698</v>
      </c>
      <c r="V4058">
        <v>2.53485424588086E-3</v>
      </c>
      <c r="W4058">
        <v>1441221.5601228101</v>
      </c>
      <c r="X4058" t="s">
        <v>33</v>
      </c>
      <c r="Y4058">
        <f>1-260-800-5924</f>
        <v>-6983</v>
      </c>
    </row>
    <row r="4059" spans="1:25" x14ac:dyDescent="0.35">
      <c r="A4059">
        <v>37.288831280258101</v>
      </c>
      <c r="B4059">
        <v>-115.250955006225</v>
      </c>
      <c r="C4059" t="s">
        <v>29</v>
      </c>
      <c r="D4059">
        <v>13.157138660688499</v>
      </c>
      <c r="E4059">
        <v>0</v>
      </c>
      <c r="F4059">
        <v>3485</v>
      </c>
      <c r="G4059">
        <v>2</v>
      </c>
      <c r="H4059">
        <v>2</v>
      </c>
      <c r="I4059">
        <v>2016</v>
      </c>
      <c r="J4059">
        <v>0</v>
      </c>
      <c r="K4059">
        <v>0</v>
      </c>
      <c r="L4059">
        <v>0</v>
      </c>
      <c r="M4059">
        <v>8</v>
      </c>
      <c r="N4059" t="s">
        <v>41</v>
      </c>
      <c r="O4059" t="s">
        <v>27</v>
      </c>
      <c r="P4059">
        <v>12.7921025774385</v>
      </c>
      <c r="Q4059">
        <v>1.42250080317461</v>
      </c>
      <c r="R4059">
        <v>8.0041822142190799</v>
      </c>
      <c r="S4059">
        <v>144</v>
      </c>
      <c r="T4059">
        <v>78</v>
      </c>
      <c r="U4059">
        <v>564.16182293105805</v>
      </c>
      <c r="V4059">
        <v>2.29555236728837E-3</v>
      </c>
      <c r="W4059">
        <v>2077796.9443067701</v>
      </c>
      <c r="X4059" t="s">
        <v>44</v>
      </c>
      <c r="Y4059">
        <f>1-246-299-1227</f>
        <v>-1771</v>
      </c>
    </row>
    <row r="4060" spans="1:25" x14ac:dyDescent="0.35">
      <c r="A4060">
        <v>35.219950124483603</v>
      </c>
      <c r="B4060">
        <v>-115.24838520264299</v>
      </c>
      <c r="C4060" t="s">
        <v>25</v>
      </c>
      <c r="D4060">
        <v>17.744004942405802</v>
      </c>
      <c r="E4060">
        <v>5</v>
      </c>
      <c r="F4060">
        <v>1121</v>
      </c>
      <c r="G4060">
        <v>5</v>
      </c>
      <c r="H4060">
        <v>1</v>
      </c>
      <c r="I4060">
        <v>1957</v>
      </c>
      <c r="J4060">
        <v>0</v>
      </c>
      <c r="K4060">
        <v>0</v>
      </c>
      <c r="L4060">
        <v>1</v>
      </c>
      <c r="M4060">
        <v>5</v>
      </c>
      <c r="N4060" t="s">
        <v>35</v>
      </c>
      <c r="O4060" t="s">
        <v>32</v>
      </c>
      <c r="P4060">
        <v>5.7378263892049901</v>
      </c>
      <c r="Q4060">
        <v>0.828719878039611</v>
      </c>
      <c r="R4060">
        <v>9.5912798504090002</v>
      </c>
      <c r="S4060">
        <v>174</v>
      </c>
      <c r="T4060">
        <v>25</v>
      </c>
      <c r="U4060">
        <v>406.47827350771098</v>
      </c>
      <c r="V4060">
        <v>4.4603033006244399E-3</v>
      </c>
      <c r="W4060">
        <v>590570.36808312905</v>
      </c>
      <c r="X4060" t="s">
        <v>33</v>
      </c>
      <c r="Y4060">
        <f>1-475-834-7299</f>
        <v>-8607</v>
      </c>
    </row>
    <row r="4061" spans="1:25" x14ac:dyDescent="0.35">
      <c r="A4061">
        <v>36.380172425858802</v>
      </c>
      <c r="B4061">
        <v>-123.460677660648</v>
      </c>
      <c r="C4061" t="s">
        <v>29</v>
      </c>
      <c r="D4061">
        <v>48.8867616922428</v>
      </c>
      <c r="E4061">
        <v>9</v>
      </c>
      <c r="F4061">
        <v>3835</v>
      </c>
      <c r="G4061">
        <v>4</v>
      </c>
      <c r="H4061">
        <v>3</v>
      </c>
      <c r="I4061">
        <v>2006</v>
      </c>
      <c r="J4061">
        <v>0</v>
      </c>
      <c r="K4061">
        <v>0</v>
      </c>
      <c r="L4061">
        <v>0</v>
      </c>
      <c r="M4061">
        <v>7</v>
      </c>
      <c r="N4061" t="s">
        <v>37</v>
      </c>
      <c r="O4061" t="s">
        <v>30</v>
      </c>
      <c r="P4061">
        <v>3.1149980880100201</v>
      </c>
      <c r="Q4061">
        <v>1.6581886863870301</v>
      </c>
      <c r="R4061">
        <v>1.08411872986263</v>
      </c>
      <c r="S4061">
        <v>102</v>
      </c>
      <c r="T4061">
        <v>49</v>
      </c>
      <c r="U4061">
        <v>978.59198832213497</v>
      </c>
      <c r="V4061">
        <v>1.8252933507170699E-3</v>
      </c>
      <c r="W4061">
        <v>3880646.9487318601</v>
      </c>
      <c r="X4061" t="s">
        <v>38</v>
      </c>
      <c r="Y4061">
        <f>1-521-812-7499</f>
        <v>-8831</v>
      </c>
    </row>
    <row r="4062" spans="1:25" x14ac:dyDescent="0.35">
      <c r="A4062">
        <v>41.747933051731103</v>
      </c>
      <c r="B4062">
        <v>-123.29239864313</v>
      </c>
      <c r="C4062" t="s">
        <v>29</v>
      </c>
      <c r="D4062">
        <v>37.1272517180644</v>
      </c>
      <c r="E4062">
        <v>2</v>
      </c>
      <c r="F4062">
        <v>3404</v>
      </c>
      <c r="G4062">
        <v>4</v>
      </c>
      <c r="H4062">
        <v>1</v>
      </c>
      <c r="I4062">
        <v>2016</v>
      </c>
      <c r="J4062">
        <v>1</v>
      </c>
      <c r="K4062">
        <v>1</v>
      </c>
      <c r="L4062">
        <v>1</v>
      </c>
      <c r="M4062">
        <v>14</v>
      </c>
      <c r="N4062" t="s">
        <v>35</v>
      </c>
      <c r="O4062" t="s">
        <v>30</v>
      </c>
      <c r="P4062">
        <v>8.4060100634606201</v>
      </c>
      <c r="Q4062">
        <v>2.0800591138279998</v>
      </c>
      <c r="R4062">
        <v>3.2668136701269601</v>
      </c>
      <c r="S4062">
        <v>166</v>
      </c>
      <c r="T4062">
        <v>24</v>
      </c>
      <c r="U4062">
        <v>483.25389833448702</v>
      </c>
      <c r="V4062">
        <v>4.11280846063454E-3</v>
      </c>
      <c r="W4062">
        <v>2022513.38754113</v>
      </c>
      <c r="X4062" t="s">
        <v>44</v>
      </c>
      <c r="Y4062">
        <f>1-931-110-6120</f>
        <v>-7160</v>
      </c>
    </row>
    <row r="4063" spans="1:25" x14ac:dyDescent="0.35">
      <c r="A4063">
        <v>39.371822830534597</v>
      </c>
      <c r="B4063">
        <v>-119.112466424095</v>
      </c>
      <c r="C4063" t="s">
        <v>25</v>
      </c>
      <c r="D4063">
        <v>49.673574998822403</v>
      </c>
      <c r="E4063">
        <v>3</v>
      </c>
      <c r="F4063">
        <v>1304</v>
      </c>
      <c r="G4063">
        <v>5</v>
      </c>
      <c r="H4063">
        <v>1</v>
      </c>
      <c r="I4063">
        <v>1970</v>
      </c>
      <c r="J4063">
        <v>0</v>
      </c>
      <c r="K4063">
        <v>0</v>
      </c>
      <c r="L4063">
        <v>0</v>
      </c>
      <c r="M4063">
        <v>4</v>
      </c>
      <c r="N4063" t="s">
        <v>26</v>
      </c>
      <c r="O4063" t="s">
        <v>27</v>
      </c>
      <c r="P4063">
        <v>14.185931276121099</v>
      </c>
      <c r="Q4063">
        <v>1.4277758055743801</v>
      </c>
      <c r="R4063">
        <v>3.5282285430712301</v>
      </c>
      <c r="S4063">
        <v>144</v>
      </c>
      <c r="T4063">
        <v>77</v>
      </c>
      <c r="U4063">
        <v>764.091191484148</v>
      </c>
      <c r="V4063">
        <v>3.0674846625766798E-3</v>
      </c>
      <c r="W4063">
        <v>1288780.8500270401</v>
      </c>
      <c r="X4063" t="s">
        <v>33</v>
      </c>
      <c r="Y4063">
        <f>1-581-933-7345</f>
        <v>-8858</v>
      </c>
    </row>
    <row r="4064" spans="1:25" x14ac:dyDescent="0.35">
      <c r="A4064">
        <v>35.230284402878397</v>
      </c>
      <c r="B4064">
        <v>-123.38466058687899</v>
      </c>
      <c r="C4064" t="s">
        <v>29</v>
      </c>
      <c r="D4064">
        <v>20.750597464246901</v>
      </c>
      <c r="E4064">
        <v>5</v>
      </c>
      <c r="F4064">
        <v>3674</v>
      </c>
      <c r="G4064">
        <v>3</v>
      </c>
      <c r="H4064">
        <v>3</v>
      </c>
      <c r="I4064">
        <v>2015</v>
      </c>
      <c r="J4064">
        <v>1</v>
      </c>
      <c r="K4064">
        <v>1</v>
      </c>
      <c r="L4064">
        <v>0</v>
      </c>
      <c r="M4064">
        <v>5</v>
      </c>
      <c r="N4064" t="s">
        <v>26</v>
      </c>
      <c r="O4064" t="s">
        <v>32</v>
      </c>
      <c r="P4064">
        <v>14.2511355007932</v>
      </c>
      <c r="Q4064">
        <v>2.0797638463598398</v>
      </c>
      <c r="R4064">
        <v>3.4152432147406802</v>
      </c>
      <c r="S4064">
        <v>17</v>
      </c>
      <c r="T4064">
        <v>36</v>
      </c>
      <c r="U4064">
        <v>697.98511695580203</v>
      </c>
      <c r="V4064">
        <v>1.3609145345672201E-3</v>
      </c>
      <c r="W4064">
        <v>3131060.5618897299</v>
      </c>
      <c r="X4064" t="s">
        <v>31</v>
      </c>
      <c r="Y4064">
        <f>1-361-450-7882</f>
        <v>-8692</v>
      </c>
    </row>
    <row r="4065" spans="1:25" x14ac:dyDescent="0.35">
      <c r="A4065">
        <v>38.526702596245201</v>
      </c>
      <c r="B4065">
        <v>-117.444576328134</v>
      </c>
      <c r="C4065" t="s">
        <v>34</v>
      </c>
      <c r="D4065">
        <v>23.8415623879389</v>
      </c>
      <c r="E4065">
        <v>2</v>
      </c>
      <c r="F4065">
        <v>1013</v>
      </c>
      <c r="G4065">
        <v>3</v>
      </c>
      <c r="H4065">
        <v>3</v>
      </c>
      <c r="I4065">
        <v>1972</v>
      </c>
      <c r="J4065">
        <v>0</v>
      </c>
      <c r="K4065">
        <v>1</v>
      </c>
      <c r="L4065">
        <v>1</v>
      </c>
      <c r="M4065">
        <v>2</v>
      </c>
      <c r="N4065" t="s">
        <v>41</v>
      </c>
      <c r="O4065" t="s">
        <v>30</v>
      </c>
      <c r="P4065">
        <v>8.5827214452853298</v>
      </c>
      <c r="Q4065">
        <v>2.2923817768254202</v>
      </c>
      <c r="R4065">
        <v>7.8085203894432196</v>
      </c>
      <c r="S4065">
        <v>90</v>
      </c>
      <c r="T4065">
        <v>72</v>
      </c>
      <c r="U4065">
        <v>815.77695913525804</v>
      </c>
      <c r="V4065">
        <v>1.9743336623889401E-3</v>
      </c>
      <c r="W4065">
        <v>1188345.23495421</v>
      </c>
      <c r="X4065" t="s">
        <v>38</v>
      </c>
      <c r="Y4065">
        <f>1-372-622-7160</f>
        <v>-8153</v>
      </c>
    </row>
    <row r="4066" spans="1:25" x14ac:dyDescent="0.35">
      <c r="A4066">
        <v>38.746532074906298</v>
      </c>
      <c r="B4066">
        <v>-116.349394226852</v>
      </c>
      <c r="C4066" t="s">
        <v>25</v>
      </c>
      <c r="D4066">
        <v>23.440432428680001</v>
      </c>
      <c r="E4066">
        <v>7</v>
      </c>
      <c r="F4066">
        <v>3760</v>
      </c>
      <c r="G4066">
        <v>2</v>
      </c>
      <c r="H4066">
        <v>1</v>
      </c>
      <c r="I4066">
        <v>1950</v>
      </c>
      <c r="J4066">
        <v>0</v>
      </c>
      <c r="K4066">
        <v>1</v>
      </c>
      <c r="L4066">
        <v>0</v>
      </c>
      <c r="M4066">
        <v>6</v>
      </c>
      <c r="N4066" t="s">
        <v>37</v>
      </c>
      <c r="O4066" t="s">
        <v>27</v>
      </c>
      <c r="P4066">
        <v>3.0960493685144401</v>
      </c>
      <c r="Q4066">
        <v>0.94937429413412999</v>
      </c>
      <c r="R4066">
        <v>0.36386252334193397</v>
      </c>
      <c r="S4066">
        <v>20</v>
      </c>
      <c r="T4066">
        <v>61</v>
      </c>
      <c r="U4066">
        <v>459.74173444673897</v>
      </c>
      <c r="V4066">
        <v>1.5957446808510601E-3</v>
      </c>
      <c r="W4066">
        <v>1921476.2161188901</v>
      </c>
      <c r="X4066" t="s">
        <v>36</v>
      </c>
      <c r="Y4066">
        <f>1-458-356-6348</f>
        <v>-7161</v>
      </c>
    </row>
    <row r="4067" spans="1:25" x14ac:dyDescent="0.35">
      <c r="A4067">
        <v>40.361743850049301</v>
      </c>
      <c r="B4067">
        <v>-120.530408741534</v>
      </c>
      <c r="C4067" t="s">
        <v>25</v>
      </c>
      <c r="D4067">
        <v>15.065710587917099</v>
      </c>
      <c r="E4067">
        <v>0</v>
      </c>
      <c r="F4067">
        <v>1635</v>
      </c>
      <c r="G4067">
        <v>3</v>
      </c>
      <c r="H4067">
        <v>1</v>
      </c>
      <c r="I4067">
        <v>1950</v>
      </c>
      <c r="J4067">
        <v>1</v>
      </c>
      <c r="K4067">
        <v>0</v>
      </c>
      <c r="L4067">
        <v>1</v>
      </c>
      <c r="M4067">
        <v>5</v>
      </c>
      <c r="N4067" t="s">
        <v>26</v>
      </c>
      <c r="O4067" t="s">
        <v>30</v>
      </c>
      <c r="P4067">
        <v>13.077986125584101</v>
      </c>
      <c r="Q4067">
        <v>2.0111028274123699</v>
      </c>
      <c r="R4067">
        <v>4.21022831488858</v>
      </c>
      <c r="S4067">
        <v>52</v>
      </c>
      <c r="T4067">
        <v>29</v>
      </c>
      <c r="U4067">
        <v>285.13707004008</v>
      </c>
      <c r="V4067">
        <v>3.05810397553516E-3</v>
      </c>
      <c r="W4067">
        <v>783245.02568915405</v>
      </c>
      <c r="X4067" t="s">
        <v>31</v>
      </c>
      <c r="Y4067">
        <f>1-600-982-7559</f>
        <v>-9140</v>
      </c>
    </row>
    <row r="4068" spans="1:25" x14ac:dyDescent="0.35">
      <c r="A4068">
        <v>36.533121960929797</v>
      </c>
      <c r="B4068">
        <v>-115.052408670953</v>
      </c>
      <c r="C4068" t="s">
        <v>29</v>
      </c>
      <c r="D4068">
        <v>39.838346469555901</v>
      </c>
      <c r="E4068">
        <v>8</v>
      </c>
      <c r="F4068">
        <v>4814</v>
      </c>
      <c r="G4068">
        <v>1</v>
      </c>
      <c r="H4068">
        <v>1</v>
      </c>
      <c r="I4068">
        <v>2007</v>
      </c>
      <c r="J4068">
        <v>0</v>
      </c>
      <c r="K4068">
        <v>0</v>
      </c>
      <c r="L4068">
        <v>1</v>
      </c>
      <c r="M4068">
        <v>14</v>
      </c>
      <c r="N4068" t="s">
        <v>26</v>
      </c>
      <c r="O4068" t="s">
        <v>30</v>
      </c>
      <c r="P4068">
        <v>14.5964235643062</v>
      </c>
      <c r="Q4068">
        <v>1.73018284370435</v>
      </c>
      <c r="R4068">
        <v>7.3008218281893198</v>
      </c>
      <c r="S4068">
        <v>80</v>
      </c>
      <c r="T4068">
        <v>33</v>
      </c>
      <c r="U4068">
        <v>430.710773480299</v>
      </c>
      <c r="V4068">
        <v>2.90818446198587E-3</v>
      </c>
      <c r="W4068">
        <v>2246998.2862119898</v>
      </c>
      <c r="X4068" t="s">
        <v>44</v>
      </c>
      <c r="Y4068">
        <f>1-925-567-5519</f>
        <v>-7010</v>
      </c>
    </row>
    <row r="4069" spans="1:25" x14ac:dyDescent="0.35">
      <c r="A4069">
        <v>33.1466243888637</v>
      </c>
      <c r="B4069">
        <v>-115.443419886283</v>
      </c>
      <c r="C4069" t="s">
        <v>34</v>
      </c>
      <c r="D4069">
        <v>32.556026228727497</v>
      </c>
      <c r="E4069">
        <v>0</v>
      </c>
      <c r="F4069">
        <v>3504</v>
      </c>
      <c r="G4069">
        <v>1</v>
      </c>
      <c r="H4069">
        <v>1</v>
      </c>
      <c r="I4069">
        <v>1994</v>
      </c>
      <c r="J4069">
        <v>1</v>
      </c>
      <c r="K4069">
        <v>1</v>
      </c>
      <c r="L4069">
        <v>1</v>
      </c>
      <c r="M4069">
        <v>3</v>
      </c>
      <c r="N4069" t="s">
        <v>41</v>
      </c>
      <c r="O4069" t="s">
        <v>32</v>
      </c>
      <c r="P4069">
        <v>9.3855986298488094</v>
      </c>
      <c r="Q4069">
        <v>2.37667268878065</v>
      </c>
      <c r="R4069">
        <v>3.5556602425191102</v>
      </c>
      <c r="S4069">
        <v>19</v>
      </c>
      <c r="T4069">
        <v>70</v>
      </c>
      <c r="U4069">
        <v>891.06732191276205</v>
      </c>
      <c r="V4069">
        <v>8.5616438356164303E-4</v>
      </c>
      <c r="W4069">
        <v>3410309.4825135302</v>
      </c>
      <c r="X4069" t="s">
        <v>42</v>
      </c>
      <c r="Y4069">
        <f>1-927-758-2739</f>
        <v>-4423</v>
      </c>
    </row>
    <row r="4070" spans="1:25" x14ac:dyDescent="0.35">
      <c r="A4070">
        <v>38.156498710338603</v>
      </c>
      <c r="B4070">
        <v>-120.776190180043</v>
      </c>
      <c r="C4070" t="s">
        <v>29</v>
      </c>
      <c r="D4070">
        <v>13.632497245124799</v>
      </c>
      <c r="E4070">
        <v>3</v>
      </c>
      <c r="F4070">
        <v>3751</v>
      </c>
      <c r="G4070">
        <v>5</v>
      </c>
      <c r="H4070">
        <v>1</v>
      </c>
      <c r="I4070">
        <v>2019</v>
      </c>
      <c r="J4070">
        <v>1</v>
      </c>
      <c r="K4070">
        <v>1</v>
      </c>
      <c r="L4070">
        <v>0</v>
      </c>
      <c r="M4070">
        <v>12</v>
      </c>
      <c r="N4070" t="s">
        <v>37</v>
      </c>
      <c r="O4070" t="s">
        <v>27</v>
      </c>
      <c r="P4070">
        <v>14.738337787518899</v>
      </c>
      <c r="Q4070">
        <v>2.3133397043170598</v>
      </c>
      <c r="R4070">
        <v>4.9207172325827804</v>
      </c>
      <c r="S4070">
        <v>172</v>
      </c>
      <c r="T4070">
        <v>55</v>
      </c>
      <c r="U4070">
        <v>340.01145788553799</v>
      </c>
      <c r="V4070">
        <v>3.1991468941615499E-3</v>
      </c>
      <c r="W4070">
        <v>1805278.74796031</v>
      </c>
      <c r="X4070" t="s">
        <v>28</v>
      </c>
      <c r="Y4070">
        <f>1-522-306-5494</f>
        <v>-6321</v>
      </c>
    </row>
    <row r="4071" spans="1:25" x14ac:dyDescent="0.35">
      <c r="A4071">
        <v>38.571259292172499</v>
      </c>
      <c r="B4071">
        <v>-114.173693642312</v>
      </c>
      <c r="C4071" t="s">
        <v>25</v>
      </c>
      <c r="D4071">
        <v>6.4251006715715899</v>
      </c>
      <c r="E4071">
        <v>4</v>
      </c>
      <c r="F4071">
        <v>2492</v>
      </c>
      <c r="G4071">
        <v>4</v>
      </c>
      <c r="H4071">
        <v>2</v>
      </c>
      <c r="I4071">
        <v>2022</v>
      </c>
      <c r="J4071">
        <v>1</v>
      </c>
      <c r="K4071">
        <v>1</v>
      </c>
      <c r="L4071">
        <v>0</v>
      </c>
      <c r="M4071">
        <v>10</v>
      </c>
      <c r="N4071" t="s">
        <v>41</v>
      </c>
      <c r="O4071" t="s">
        <v>27</v>
      </c>
      <c r="P4071">
        <v>6.3319332831922397</v>
      </c>
      <c r="Q4071">
        <v>1.92510651347978</v>
      </c>
      <c r="R4071">
        <v>9.0435597513829702</v>
      </c>
      <c r="S4071">
        <v>16</v>
      </c>
      <c r="T4071">
        <v>51</v>
      </c>
      <c r="U4071">
        <v>568.253604871775</v>
      </c>
      <c r="V4071">
        <v>4.0128410914927696E-3</v>
      </c>
      <c r="W4071">
        <v>1875105.63328081</v>
      </c>
      <c r="X4071" t="s">
        <v>43</v>
      </c>
      <c r="Y4071">
        <f>1-531-756-7104</f>
        <v>-8390</v>
      </c>
    </row>
    <row r="4072" spans="1:25" x14ac:dyDescent="0.35">
      <c r="A4072">
        <v>35.251074072250098</v>
      </c>
      <c r="B4072">
        <v>-123.954389834601</v>
      </c>
      <c r="C4072" t="s">
        <v>34</v>
      </c>
      <c r="D4072">
        <v>19.5699106835159</v>
      </c>
      <c r="E4072">
        <v>9</v>
      </c>
      <c r="F4072">
        <v>1643</v>
      </c>
      <c r="G4072">
        <v>5</v>
      </c>
      <c r="H4072">
        <v>2</v>
      </c>
      <c r="I4072">
        <v>2002</v>
      </c>
      <c r="J4072">
        <v>1</v>
      </c>
      <c r="K4072">
        <v>1</v>
      </c>
      <c r="L4072">
        <v>0</v>
      </c>
      <c r="M4072">
        <v>4</v>
      </c>
      <c r="N4072" t="s">
        <v>35</v>
      </c>
      <c r="O4072" t="s">
        <v>27</v>
      </c>
      <c r="P4072">
        <v>11.9719796232056</v>
      </c>
      <c r="Q4072">
        <v>2.1909004078847398</v>
      </c>
      <c r="R4072">
        <v>6.6447069015736098</v>
      </c>
      <c r="S4072">
        <v>185</v>
      </c>
      <c r="T4072">
        <v>21</v>
      </c>
      <c r="U4072">
        <v>317.40510511664201</v>
      </c>
      <c r="V4072">
        <v>2.4345709068776598E-3</v>
      </c>
      <c r="W4072">
        <v>974419.88558940298</v>
      </c>
      <c r="X4072" t="s">
        <v>44</v>
      </c>
      <c r="Y4072">
        <f>1-210-232-7076</f>
        <v>-7517</v>
      </c>
    </row>
    <row r="4073" spans="1:25" x14ac:dyDescent="0.35">
      <c r="A4073">
        <v>33.696496577992697</v>
      </c>
      <c r="B4073">
        <v>-117.632283270106</v>
      </c>
      <c r="C4073" t="s">
        <v>25</v>
      </c>
      <c r="D4073">
        <v>21.426449510797401</v>
      </c>
      <c r="E4073">
        <v>1</v>
      </c>
      <c r="F4073">
        <v>2031</v>
      </c>
      <c r="G4073">
        <v>1</v>
      </c>
      <c r="H4073">
        <v>1</v>
      </c>
      <c r="I4073">
        <v>2012</v>
      </c>
      <c r="J4073">
        <v>1</v>
      </c>
      <c r="K4073">
        <v>1</v>
      </c>
      <c r="L4073">
        <v>0</v>
      </c>
      <c r="M4073">
        <v>3</v>
      </c>
      <c r="N4073" t="s">
        <v>35</v>
      </c>
      <c r="O4073" t="s">
        <v>30</v>
      </c>
      <c r="P4073">
        <v>8.2567090018274101</v>
      </c>
      <c r="Q4073">
        <v>1.61428048784542</v>
      </c>
      <c r="R4073">
        <v>1.71741661156727</v>
      </c>
      <c r="S4073">
        <v>116</v>
      </c>
      <c r="T4073">
        <v>37</v>
      </c>
      <c r="U4073">
        <v>550.89473162752495</v>
      </c>
      <c r="V4073">
        <v>1.4771048744460799E-3</v>
      </c>
      <c r="W4073">
        <v>1367702.3970063699</v>
      </c>
      <c r="X4073" t="s">
        <v>38</v>
      </c>
      <c r="Y4073">
        <f>1-291-632-7911</f>
        <v>-8833</v>
      </c>
    </row>
    <row r="4074" spans="1:25" x14ac:dyDescent="0.35">
      <c r="A4074">
        <v>39.374635966532303</v>
      </c>
      <c r="B4074">
        <v>-124.074863784401</v>
      </c>
      <c r="C4074" t="s">
        <v>29</v>
      </c>
      <c r="D4074">
        <v>23.415667395090999</v>
      </c>
      <c r="E4074">
        <v>2</v>
      </c>
      <c r="F4074">
        <v>4531</v>
      </c>
      <c r="G4074">
        <v>5</v>
      </c>
      <c r="H4074">
        <v>1</v>
      </c>
      <c r="I4074">
        <v>1960</v>
      </c>
      <c r="J4074">
        <v>1</v>
      </c>
      <c r="K4074">
        <v>0</v>
      </c>
      <c r="L4074">
        <v>0</v>
      </c>
      <c r="M4074">
        <v>7</v>
      </c>
      <c r="N4074" t="s">
        <v>35</v>
      </c>
      <c r="O4074" t="s">
        <v>30</v>
      </c>
      <c r="P4074">
        <v>4.5513374974860401</v>
      </c>
      <c r="Q4074">
        <v>1.55598754853735</v>
      </c>
      <c r="R4074">
        <v>1.80584337149017</v>
      </c>
      <c r="S4074">
        <v>38</v>
      </c>
      <c r="T4074">
        <v>61</v>
      </c>
      <c r="U4074">
        <v>921.34008049582906</v>
      </c>
      <c r="V4074">
        <v>1.54491282277642E-3</v>
      </c>
      <c r="W4074">
        <v>4478680.0270211799</v>
      </c>
      <c r="X4074" t="s">
        <v>33</v>
      </c>
      <c r="Y4074">
        <f>1-471-667-4215</f>
        <v>-5352</v>
      </c>
    </row>
    <row r="4075" spans="1:25" x14ac:dyDescent="0.35">
      <c r="A4075">
        <v>35.411012041743703</v>
      </c>
      <c r="B4075">
        <v>-123.77345795548</v>
      </c>
      <c r="C4075" t="s">
        <v>29</v>
      </c>
      <c r="D4075">
        <v>12.605610401245199</v>
      </c>
      <c r="E4075">
        <v>0</v>
      </c>
      <c r="F4075">
        <v>2893</v>
      </c>
      <c r="G4075">
        <v>2</v>
      </c>
      <c r="H4075">
        <v>1</v>
      </c>
      <c r="I4075">
        <v>1975</v>
      </c>
      <c r="J4075">
        <v>1</v>
      </c>
      <c r="K4075">
        <v>1</v>
      </c>
      <c r="L4075">
        <v>1</v>
      </c>
      <c r="M4075">
        <v>8</v>
      </c>
      <c r="N4075" t="s">
        <v>26</v>
      </c>
      <c r="O4075" t="s">
        <v>32</v>
      </c>
      <c r="P4075">
        <v>9.3129093296583108</v>
      </c>
      <c r="Q4075">
        <v>1.8034138611338599</v>
      </c>
      <c r="R4075">
        <v>3.1090575453331399</v>
      </c>
      <c r="S4075">
        <v>102</v>
      </c>
      <c r="T4075">
        <v>55</v>
      </c>
      <c r="U4075">
        <v>800.20847709549503</v>
      </c>
      <c r="V4075">
        <v>2.7652955409609402E-3</v>
      </c>
      <c r="W4075">
        <v>2656045.5748813902</v>
      </c>
      <c r="X4075" t="s">
        <v>36</v>
      </c>
      <c r="Y4075">
        <f>1-534-203-9285</f>
        <v>-10021</v>
      </c>
    </row>
    <row r="4076" spans="1:25" x14ac:dyDescent="0.35">
      <c r="A4076">
        <v>39.568215784124703</v>
      </c>
      <c r="B4076">
        <v>-114.395051738265</v>
      </c>
      <c r="C4076" t="s">
        <v>34</v>
      </c>
      <c r="D4076">
        <v>8.4319572329695802</v>
      </c>
      <c r="E4076">
        <v>2</v>
      </c>
      <c r="F4076">
        <v>1467</v>
      </c>
      <c r="G4076">
        <v>5</v>
      </c>
      <c r="H4076">
        <v>1</v>
      </c>
      <c r="I4076">
        <v>2007</v>
      </c>
      <c r="J4076">
        <v>0</v>
      </c>
      <c r="K4076">
        <v>1</v>
      </c>
      <c r="L4076">
        <v>0</v>
      </c>
      <c r="M4076">
        <v>8</v>
      </c>
      <c r="N4076" t="s">
        <v>37</v>
      </c>
      <c r="O4076" t="s">
        <v>27</v>
      </c>
      <c r="P4076">
        <v>6.3078068344761604</v>
      </c>
      <c r="Q4076">
        <v>1.0485557089792701</v>
      </c>
      <c r="R4076">
        <v>7.1812377915029701</v>
      </c>
      <c r="S4076">
        <v>59</v>
      </c>
      <c r="T4076">
        <v>51</v>
      </c>
      <c r="U4076">
        <v>737.68021847702698</v>
      </c>
      <c r="V4076">
        <v>5.45330606680299E-3</v>
      </c>
      <c r="W4076">
        <v>1424206.02663038</v>
      </c>
      <c r="X4076" t="s">
        <v>42</v>
      </c>
      <c r="Y4076">
        <f>1-676-884-1890</f>
        <v>-3449</v>
      </c>
    </row>
    <row r="4077" spans="1:25" x14ac:dyDescent="0.35">
      <c r="A4077">
        <v>39.191708503342397</v>
      </c>
      <c r="B4077">
        <v>-119.861570952215</v>
      </c>
      <c r="C4077" t="s">
        <v>34</v>
      </c>
      <c r="D4077">
        <v>37.283699339543801</v>
      </c>
      <c r="E4077">
        <v>9</v>
      </c>
      <c r="F4077">
        <v>4038</v>
      </c>
      <c r="G4077">
        <v>2</v>
      </c>
      <c r="H4077">
        <v>3</v>
      </c>
      <c r="I4077">
        <v>1951</v>
      </c>
      <c r="J4077">
        <v>0</v>
      </c>
      <c r="K4077">
        <v>0</v>
      </c>
      <c r="L4077">
        <v>0</v>
      </c>
      <c r="M4077">
        <v>6</v>
      </c>
      <c r="N4077" t="s">
        <v>41</v>
      </c>
      <c r="O4077" t="s">
        <v>30</v>
      </c>
      <c r="P4077">
        <v>14.763132646784101</v>
      </c>
      <c r="Q4077">
        <v>1.31506142394859</v>
      </c>
      <c r="R4077">
        <v>9.5711790943375306</v>
      </c>
      <c r="S4077">
        <v>31</v>
      </c>
      <c r="T4077">
        <v>75</v>
      </c>
      <c r="U4077">
        <v>309.511180253492</v>
      </c>
      <c r="V4077">
        <v>1.4858841010401099E-3</v>
      </c>
      <c r="W4077">
        <v>1414511.45424584</v>
      </c>
      <c r="X4077" t="s">
        <v>44</v>
      </c>
      <c r="Y4077">
        <f>1-773-294-6960</f>
        <v>-8026</v>
      </c>
    </row>
    <row r="4078" spans="1:25" x14ac:dyDescent="0.35">
      <c r="A4078">
        <v>41.519499563763702</v>
      </c>
      <c r="B4078">
        <v>-122.23412279084801</v>
      </c>
      <c r="C4078" t="s">
        <v>29</v>
      </c>
      <c r="D4078">
        <v>23.0212559561562</v>
      </c>
      <c r="E4078">
        <v>8</v>
      </c>
      <c r="F4078">
        <v>3659</v>
      </c>
      <c r="G4078">
        <v>2</v>
      </c>
      <c r="H4078">
        <v>3</v>
      </c>
      <c r="I4078">
        <v>1961</v>
      </c>
      <c r="J4078">
        <v>1</v>
      </c>
      <c r="K4078">
        <v>0</v>
      </c>
      <c r="L4078">
        <v>0</v>
      </c>
      <c r="M4078">
        <v>13</v>
      </c>
      <c r="N4078" t="s">
        <v>26</v>
      </c>
      <c r="O4078" t="s">
        <v>30</v>
      </c>
      <c r="P4078">
        <v>8.2654010586123601</v>
      </c>
      <c r="Q4078">
        <v>1.7266837008117299</v>
      </c>
      <c r="R4078">
        <v>7.8254048297180301</v>
      </c>
      <c r="S4078">
        <v>188</v>
      </c>
      <c r="T4078">
        <v>43</v>
      </c>
      <c r="U4078">
        <v>880.95247883156901</v>
      </c>
      <c r="V4078">
        <v>3.5528833014484801E-3</v>
      </c>
      <c r="W4078">
        <v>3355950.1125628799</v>
      </c>
      <c r="X4078" t="s">
        <v>39</v>
      </c>
      <c r="Y4078">
        <f>1-951-910-4500</f>
        <v>-6360</v>
      </c>
    </row>
    <row r="4079" spans="1:25" x14ac:dyDescent="0.35">
      <c r="A4079">
        <v>38.262279593809801</v>
      </c>
      <c r="B4079">
        <v>-118.359204044492</v>
      </c>
      <c r="C4079" t="s">
        <v>25</v>
      </c>
      <c r="D4079">
        <v>16.131061839531601</v>
      </c>
      <c r="E4079">
        <v>8</v>
      </c>
      <c r="F4079">
        <v>560</v>
      </c>
      <c r="G4079">
        <v>1</v>
      </c>
      <c r="H4079">
        <v>3</v>
      </c>
      <c r="I4079">
        <v>1977</v>
      </c>
      <c r="J4079">
        <v>1</v>
      </c>
      <c r="K4079">
        <v>1</v>
      </c>
      <c r="L4079">
        <v>1</v>
      </c>
      <c r="M4079">
        <v>5</v>
      </c>
      <c r="N4079" t="s">
        <v>37</v>
      </c>
      <c r="O4079" t="s">
        <v>30</v>
      </c>
      <c r="P4079">
        <v>6.9844457976694203</v>
      </c>
      <c r="Q4079">
        <v>0.73613686340554996</v>
      </c>
      <c r="R4079">
        <v>6.0163986749821499</v>
      </c>
      <c r="S4079">
        <v>111</v>
      </c>
      <c r="T4079">
        <v>36</v>
      </c>
      <c r="U4079">
        <v>837.99824920297499</v>
      </c>
      <c r="V4079">
        <v>8.9285714285714194E-3</v>
      </c>
      <c r="W4079">
        <v>711221.41233109997</v>
      </c>
      <c r="X4079" t="s">
        <v>42</v>
      </c>
      <c r="Y4079">
        <f>1-879-902-3786</f>
        <v>-5566</v>
      </c>
    </row>
    <row r="4080" spans="1:25" x14ac:dyDescent="0.35">
      <c r="A4080">
        <v>39.332119144950099</v>
      </c>
      <c r="B4080">
        <v>-115.817442781606</v>
      </c>
      <c r="C4080" t="s">
        <v>34</v>
      </c>
      <c r="D4080">
        <v>32.779851292884302</v>
      </c>
      <c r="E4080">
        <v>0</v>
      </c>
      <c r="F4080">
        <v>3812</v>
      </c>
      <c r="G4080">
        <v>5</v>
      </c>
      <c r="H4080">
        <v>3</v>
      </c>
      <c r="I4080">
        <v>1980</v>
      </c>
      <c r="J4080">
        <v>0</v>
      </c>
      <c r="K4080">
        <v>1</v>
      </c>
      <c r="L4080">
        <v>0</v>
      </c>
      <c r="M4080">
        <v>9</v>
      </c>
      <c r="N4080" t="s">
        <v>35</v>
      </c>
      <c r="O4080" t="s">
        <v>27</v>
      </c>
      <c r="P4080">
        <v>10.1172823744916</v>
      </c>
      <c r="Q4080">
        <v>1.5633420482028599</v>
      </c>
      <c r="R4080">
        <v>8.0651789418033104</v>
      </c>
      <c r="S4080">
        <v>77</v>
      </c>
      <c r="T4080">
        <v>36</v>
      </c>
      <c r="U4080">
        <v>372.55089897654602</v>
      </c>
      <c r="V4080">
        <v>2.3609653725078701E-3</v>
      </c>
      <c r="W4080">
        <v>1912843.49923504</v>
      </c>
      <c r="X4080" t="s">
        <v>33</v>
      </c>
      <c r="Y4080">
        <f>1-685-490-3419</f>
        <v>-4593</v>
      </c>
    </row>
    <row r="4081" spans="1:25" x14ac:dyDescent="0.35">
      <c r="A4081">
        <v>40.055486789486103</v>
      </c>
      <c r="B4081">
        <v>-120.473609144802</v>
      </c>
      <c r="C4081" t="s">
        <v>34</v>
      </c>
      <c r="D4081">
        <v>36.599970014791602</v>
      </c>
      <c r="E4081">
        <v>3</v>
      </c>
      <c r="F4081">
        <v>4851</v>
      </c>
      <c r="G4081">
        <v>1</v>
      </c>
      <c r="H4081">
        <v>3</v>
      </c>
      <c r="I4081">
        <v>1959</v>
      </c>
      <c r="J4081">
        <v>0</v>
      </c>
      <c r="K4081">
        <v>0</v>
      </c>
      <c r="L4081">
        <v>0</v>
      </c>
      <c r="M4081">
        <v>10</v>
      </c>
      <c r="N4081" t="s">
        <v>26</v>
      </c>
      <c r="O4081" t="s">
        <v>30</v>
      </c>
      <c r="P4081">
        <v>3.90909039358066</v>
      </c>
      <c r="Q4081">
        <v>0.92171042394423297</v>
      </c>
      <c r="R4081">
        <v>6.8675441159089301</v>
      </c>
      <c r="S4081">
        <v>159</v>
      </c>
      <c r="T4081">
        <v>69</v>
      </c>
      <c r="U4081">
        <v>435.75442213208498</v>
      </c>
      <c r="V4081">
        <v>2.0614306328591999E-3</v>
      </c>
      <c r="W4081">
        <v>2145382.92335688</v>
      </c>
      <c r="X4081" t="s">
        <v>39</v>
      </c>
      <c r="Y4081">
        <f>1-930-144-4589</f>
        <v>-5662</v>
      </c>
    </row>
    <row r="4082" spans="1:25" x14ac:dyDescent="0.35">
      <c r="A4082">
        <v>35.451951014928298</v>
      </c>
      <c r="B4082">
        <v>-114.77928851820499</v>
      </c>
      <c r="C4082" t="s">
        <v>25</v>
      </c>
      <c r="D4082">
        <v>8.1356569120499493</v>
      </c>
      <c r="E4082">
        <v>0</v>
      </c>
      <c r="F4082">
        <v>2692</v>
      </c>
      <c r="G4082">
        <v>5</v>
      </c>
      <c r="H4082">
        <v>2</v>
      </c>
      <c r="I4082">
        <v>1979</v>
      </c>
      <c r="J4082">
        <v>0</v>
      </c>
      <c r="K4082">
        <v>0</v>
      </c>
      <c r="L4082">
        <v>1</v>
      </c>
      <c r="M4082">
        <v>8</v>
      </c>
      <c r="N4082" t="s">
        <v>41</v>
      </c>
      <c r="O4082" t="s">
        <v>32</v>
      </c>
      <c r="P4082">
        <v>7.9847018089674497</v>
      </c>
      <c r="Q4082">
        <v>1.62328505780004</v>
      </c>
      <c r="R4082">
        <v>8.1620070649458096</v>
      </c>
      <c r="S4082">
        <v>60</v>
      </c>
      <c r="T4082">
        <v>26</v>
      </c>
      <c r="U4082">
        <v>415.449004820781</v>
      </c>
      <c r="V4082">
        <v>2.9717682020802298E-3</v>
      </c>
      <c r="W4082">
        <v>1354485.4468968499</v>
      </c>
      <c r="X4082" t="s">
        <v>39</v>
      </c>
      <c r="Y4082">
        <f>1-852-785-8956</f>
        <v>-10592</v>
      </c>
    </row>
    <row r="4083" spans="1:25" x14ac:dyDescent="0.35">
      <c r="A4083">
        <v>33.4898516062825</v>
      </c>
      <c r="B4083">
        <v>-114.642788642941</v>
      </c>
      <c r="C4083" t="s">
        <v>29</v>
      </c>
      <c r="D4083">
        <v>31.350662737392</v>
      </c>
      <c r="E4083">
        <v>1</v>
      </c>
      <c r="F4083">
        <v>3534</v>
      </c>
      <c r="G4083">
        <v>5</v>
      </c>
      <c r="H4083">
        <v>1</v>
      </c>
      <c r="I4083">
        <v>1960</v>
      </c>
      <c r="J4083">
        <v>1</v>
      </c>
      <c r="K4083">
        <v>0</v>
      </c>
      <c r="L4083">
        <v>0</v>
      </c>
      <c r="M4083">
        <v>10</v>
      </c>
      <c r="N4083" t="s">
        <v>41</v>
      </c>
      <c r="O4083" t="s">
        <v>32</v>
      </c>
      <c r="P4083">
        <v>5.9830380856731296</v>
      </c>
      <c r="Q4083">
        <v>1.64196351639356</v>
      </c>
      <c r="R4083">
        <v>7.9366243711006303</v>
      </c>
      <c r="S4083">
        <v>90</v>
      </c>
      <c r="T4083">
        <v>68</v>
      </c>
      <c r="U4083">
        <v>246.18065118591099</v>
      </c>
      <c r="V4083">
        <v>2.8296547821165799E-3</v>
      </c>
      <c r="W4083">
        <v>1105694.8522044001</v>
      </c>
      <c r="X4083" t="s">
        <v>28</v>
      </c>
      <c r="Y4083">
        <f>1-378-941-3750</f>
        <v>-5068</v>
      </c>
    </row>
    <row r="4084" spans="1:25" x14ac:dyDescent="0.35">
      <c r="A4084">
        <v>41.549043168469503</v>
      </c>
      <c r="B4084">
        <v>-123.205630455486</v>
      </c>
      <c r="C4084" t="s">
        <v>29</v>
      </c>
      <c r="D4084">
        <v>6.2045376318213297</v>
      </c>
      <c r="E4084">
        <v>0</v>
      </c>
      <c r="F4084">
        <v>1986</v>
      </c>
      <c r="G4084">
        <v>4</v>
      </c>
      <c r="H4084">
        <v>2</v>
      </c>
      <c r="I4084">
        <v>1953</v>
      </c>
      <c r="J4084">
        <v>0</v>
      </c>
      <c r="K4084">
        <v>1</v>
      </c>
      <c r="L4084">
        <v>0</v>
      </c>
      <c r="M4084">
        <v>12</v>
      </c>
      <c r="N4084" t="s">
        <v>41</v>
      </c>
      <c r="O4084" t="s">
        <v>32</v>
      </c>
      <c r="P4084">
        <v>7.6439111814249099</v>
      </c>
      <c r="Q4084">
        <v>1.6421542769514299</v>
      </c>
      <c r="R4084">
        <v>4.3866319774495599</v>
      </c>
      <c r="S4084">
        <v>71</v>
      </c>
      <c r="T4084">
        <v>68</v>
      </c>
      <c r="U4084">
        <v>409.85335267814997</v>
      </c>
      <c r="V4084">
        <v>6.0422960725075503E-3</v>
      </c>
      <c r="W4084">
        <v>1086795.1263834201</v>
      </c>
      <c r="X4084" t="s">
        <v>33</v>
      </c>
      <c r="Y4084">
        <f>1-519-816-6966</f>
        <v>-8300</v>
      </c>
    </row>
    <row r="4085" spans="1:25" x14ac:dyDescent="0.35">
      <c r="A4085">
        <v>35.3378316218596</v>
      </c>
      <c r="B4085">
        <v>-122.642108679513</v>
      </c>
      <c r="C4085" t="s">
        <v>34</v>
      </c>
      <c r="D4085">
        <v>43.151003613812598</v>
      </c>
      <c r="E4085">
        <v>3</v>
      </c>
      <c r="F4085">
        <v>1089</v>
      </c>
      <c r="G4085">
        <v>5</v>
      </c>
      <c r="H4085">
        <v>1</v>
      </c>
      <c r="I4085">
        <v>2004</v>
      </c>
      <c r="J4085">
        <v>1</v>
      </c>
      <c r="K4085">
        <v>0</v>
      </c>
      <c r="L4085">
        <v>1</v>
      </c>
      <c r="M4085">
        <v>13</v>
      </c>
      <c r="N4085" t="s">
        <v>41</v>
      </c>
      <c r="O4085" t="s">
        <v>30</v>
      </c>
      <c r="P4085">
        <v>7.5889089539400398</v>
      </c>
      <c r="Q4085">
        <v>1.71271976376644</v>
      </c>
      <c r="R4085">
        <v>9.1175114928525591</v>
      </c>
      <c r="S4085">
        <v>151</v>
      </c>
      <c r="T4085">
        <v>79</v>
      </c>
      <c r="U4085">
        <v>338.83985083176299</v>
      </c>
      <c r="V4085">
        <v>1.19375573921028E-2</v>
      </c>
      <c r="W4085">
        <v>708050.88047878898</v>
      </c>
      <c r="X4085" t="s">
        <v>28</v>
      </c>
      <c r="Y4085">
        <f>1-969-416-7822</f>
        <v>-9206</v>
      </c>
    </row>
    <row r="4086" spans="1:25" x14ac:dyDescent="0.35">
      <c r="A4086">
        <v>36.821059323409798</v>
      </c>
      <c r="B4086">
        <v>-121.23440998005699</v>
      </c>
      <c r="C4086" t="s">
        <v>34</v>
      </c>
      <c r="D4086">
        <v>37.648866014583703</v>
      </c>
      <c r="E4086">
        <v>5</v>
      </c>
      <c r="F4086">
        <v>3443</v>
      </c>
      <c r="G4086">
        <v>2</v>
      </c>
      <c r="H4086">
        <v>3</v>
      </c>
      <c r="I4086">
        <v>2009</v>
      </c>
      <c r="J4086">
        <v>0</v>
      </c>
      <c r="K4086">
        <v>0</v>
      </c>
      <c r="L4086">
        <v>0</v>
      </c>
      <c r="M4086">
        <v>5</v>
      </c>
      <c r="N4086" t="s">
        <v>26</v>
      </c>
      <c r="O4086" t="s">
        <v>30</v>
      </c>
      <c r="P4086">
        <v>14.1832812023006</v>
      </c>
      <c r="Q4086">
        <v>1.56420561197727</v>
      </c>
      <c r="R4086">
        <v>0.54242364350869998</v>
      </c>
      <c r="S4086">
        <v>129</v>
      </c>
      <c r="T4086">
        <v>67</v>
      </c>
      <c r="U4086">
        <v>203.14802313180499</v>
      </c>
      <c r="V4086">
        <v>1.45222189950624E-3</v>
      </c>
      <c r="W4086">
        <v>1095477.7747716899</v>
      </c>
      <c r="X4086" t="s">
        <v>39</v>
      </c>
      <c r="Y4086">
        <f>1-658-194-7736</f>
        <v>-8587</v>
      </c>
    </row>
    <row r="4087" spans="1:25" x14ac:dyDescent="0.35">
      <c r="A4087">
        <v>35.429538509466802</v>
      </c>
      <c r="B4087">
        <v>-121.382872265158</v>
      </c>
      <c r="C4087" t="s">
        <v>34</v>
      </c>
      <c r="D4087">
        <v>36.770015998568901</v>
      </c>
      <c r="E4087">
        <v>3</v>
      </c>
      <c r="F4087">
        <v>2237</v>
      </c>
      <c r="G4087">
        <v>5</v>
      </c>
      <c r="H4087">
        <v>3</v>
      </c>
      <c r="I4087">
        <v>1994</v>
      </c>
      <c r="J4087">
        <v>1</v>
      </c>
      <c r="K4087">
        <v>1</v>
      </c>
      <c r="L4087">
        <v>0</v>
      </c>
      <c r="M4087">
        <v>8</v>
      </c>
      <c r="N4087" t="s">
        <v>41</v>
      </c>
      <c r="O4087" t="s">
        <v>27</v>
      </c>
      <c r="P4087">
        <v>4.6523200251700096</v>
      </c>
      <c r="Q4087">
        <v>1.0392680814675499</v>
      </c>
      <c r="R4087">
        <v>9.1250220237882598</v>
      </c>
      <c r="S4087">
        <v>174</v>
      </c>
      <c r="T4087">
        <v>69</v>
      </c>
      <c r="U4087">
        <v>692.80781690053698</v>
      </c>
      <c r="V4087">
        <v>3.5762181493071E-3</v>
      </c>
      <c r="W4087">
        <v>2075167.1740665999</v>
      </c>
      <c r="X4087" t="s">
        <v>44</v>
      </c>
      <c r="Y4087">
        <f>1-843-600-6497</f>
        <v>-7939</v>
      </c>
    </row>
    <row r="4088" spans="1:25" x14ac:dyDescent="0.35">
      <c r="A4088">
        <v>40.9158304922817</v>
      </c>
      <c r="B4088">
        <v>-120.06231205067201</v>
      </c>
      <c r="C4088" t="s">
        <v>25</v>
      </c>
      <c r="D4088">
        <v>22.731520360447501</v>
      </c>
      <c r="E4088">
        <v>5</v>
      </c>
      <c r="F4088">
        <v>3935</v>
      </c>
      <c r="G4088">
        <v>2</v>
      </c>
      <c r="H4088">
        <v>1</v>
      </c>
      <c r="I4088">
        <v>1995</v>
      </c>
      <c r="J4088">
        <v>0</v>
      </c>
      <c r="K4088">
        <v>0</v>
      </c>
      <c r="L4088">
        <v>0</v>
      </c>
      <c r="M4088">
        <v>14</v>
      </c>
      <c r="N4088" t="s">
        <v>35</v>
      </c>
      <c r="O4088" t="s">
        <v>27</v>
      </c>
      <c r="P4088">
        <v>9.8262843313715695</v>
      </c>
      <c r="Q4088">
        <v>1.41696221753233</v>
      </c>
      <c r="R4088">
        <v>9.5844763995106099</v>
      </c>
      <c r="S4088">
        <v>69</v>
      </c>
      <c r="T4088">
        <v>59</v>
      </c>
      <c r="U4088">
        <v>601.72384458664806</v>
      </c>
      <c r="V4088">
        <v>3.5578144853875399E-3</v>
      </c>
      <c r="W4088">
        <v>2619485.6341374898</v>
      </c>
      <c r="X4088" t="s">
        <v>28</v>
      </c>
      <c r="Y4088">
        <f>1-493-720-6355</f>
        <v>-7567</v>
      </c>
    </row>
    <row r="4089" spans="1:25" x14ac:dyDescent="0.35">
      <c r="A4089">
        <v>38.368912073494997</v>
      </c>
      <c r="B4089">
        <v>-117.478572430271</v>
      </c>
      <c r="C4089" t="s">
        <v>25</v>
      </c>
      <c r="D4089">
        <v>28.121115353196998</v>
      </c>
      <c r="E4089">
        <v>1</v>
      </c>
      <c r="F4089">
        <v>1621</v>
      </c>
      <c r="G4089">
        <v>2</v>
      </c>
      <c r="H4089">
        <v>1</v>
      </c>
      <c r="I4089">
        <v>1984</v>
      </c>
      <c r="J4089">
        <v>1</v>
      </c>
      <c r="K4089">
        <v>0</v>
      </c>
      <c r="L4089">
        <v>1</v>
      </c>
      <c r="M4089">
        <v>12</v>
      </c>
      <c r="N4089" t="s">
        <v>37</v>
      </c>
      <c r="O4089" t="s">
        <v>30</v>
      </c>
      <c r="P4089">
        <v>10.797131126657501</v>
      </c>
      <c r="Q4089">
        <v>0.77759193584258002</v>
      </c>
      <c r="R4089">
        <v>1.21377586077939</v>
      </c>
      <c r="S4089">
        <v>180</v>
      </c>
      <c r="T4089">
        <v>20</v>
      </c>
      <c r="U4089">
        <v>341.87162959133502</v>
      </c>
      <c r="V4089">
        <v>7.4028377544725398E-3</v>
      </c>
      <c r="W4089">
        <v>823785.27040865005</v>
      </c>
      <c r="X4089" t="s">
        <v>39</v>
      </c>
      <c r="Y4089">
        <f>1-394-176-8507</f>
        <v>-9076</v>
      </c>
    </row>
    <row r="4090" spans="1:25" x14ac:dyDescent="0.35">
      <c r="A4090">
        <v>35.157244042820501</v>
      </c>
      <c r="B4090">
        <v>-116.937434694655</v>
      </c>
      <c r="C4090" t="s">
        <v>25</v>
      </c>
      <c r="D4090">
        <v>42.295923088405701</v>
      </c>
      <c r="E4090">
        <v>9</v>
      </c>
      <c r="F4090">
        <v>2274</v>
      </c>
      <c r="G4090">
        <v>1</v>
      </c>
      <c r="H4090">
        <v>3</v>
      </c>
      <c r="I4090">
        <v>1966</v>
      </c>
      <c r="J4090">
        <v>0</v>
      </c>
      <c r="K4090">
        <v>1</v>
      </c>
      <c r="L4090">
        <v>0</v>
      </c>
      <c r="M4090">
        <v>3</v>
      </c>
      <c r="N4090" t="s">
        <v>26</v>
      </c>
      <c r="O4090" t="s">
        <v>30</v>
      </c>
      <c r="P4090">
        <v>13.562631596792</v>
      </c>
      <c r="Q4090">
        <v>1.0968486006411899</v>
      </c>
      <c r="R4090">
        <v>6.3058841481692101</v>
      </c>
      <c r="S4090">
        <v>17</v>
      </c>
      <c r="T4090">
        <v>44</v>
      </c>
      <c r="U4090">
        <v>601.61472214977505</v>
      </c>
      <c r="V4090">
        <v>1.3192612137203101E-3</v>
      </c>
      <c r="W4090">
        <v>1613127.0223320399</v>
      </c>
      <c r="X4090" t="s">
        <v>36</v>
      </c>
      <c r="Y4090">
        <f>1-330-450-5763</f>
        <v>-6542</v>
      </c>
    </row>
    <row r="4091" spans="1:25" x14ac:dyDescent="0.35">
      <c r="A4091">
        <v>41.881720205665303</v>
      </c>
      <c r="B4091">
        <v>-122.481164278061</v>
      </c>
      <c r="C4091" t="s">
        <v>25</v>
      </c>
      <c r="D4091">
        <v>44.648222190946903</v>
      </c>
      <c r="E4091">
        <v>7</v>
      </c>
      <c r="F4091">
        <v>3014</v>
      </c>
      <c r="G4091">
        <v>2</v>
      </c>
      <c r="H4091">
        <v>2</v>
      </c>
      <c r="I4091">
        <v>1951</v>
      </c>
      <c r="J4091">
        <v>1</v>
      </c>
      <c r="K4091">
        <v>1</v>
      </c>
      <c r="L4091">
        <v>0</v>
      </c>
      <c r="M4091">
        <v>7</v>
      </c>
      <c r="N4091" t="s">
        <v>37</v>
      </c>
      <c r="O4091" t="s">
        <v>27</v>
      </c>
      <c r="P4091">
        <v>12.7598717905186</v>
      </c>
      <c r="Q4091">
        <v>1.19987487796042</v>
      </c>
      <c r="R4091">
        <v>1.9779345446041401</v>
      </c>
      <c r="S4091">
        <v>20</v>
      </c>
      <c r="T4091">
        <v>40</v>
      </c>
      <c r="U4091">
        <v>404.63553698095399</v>
      </c>
      <c r="V4091">
        <v>2.3224950232249501E-3</v>
      </c>
      <c r="W4091">
        <v>1545098.7962772199</v>
      </c>
      <c r="X4091" t="s">
        <v>39</v>
      </c>
      <c r="Y4091">
        <f>1-898-626-9366</f>
        <v>-10889</v>
      </c>
    </row>
    <row r="4092" spans="1:25" x14ac:dyDescent="0.35">
      <c r="A4092">
        <v>34.151228523810303</v>
      </c>
      <c r="B4092">
        <v>-116.16997581312501</v>
      </c>
      <c r="C4092" t="s">
        <v>34</v>
      </c>
      <c r="D4092">
        <v>2.16357347556663</v>
      </c>
      <c r="E4092">
        <v>2</v>
      </c>
      <c r="F4092">
        <v>2514</v>
      </c>
      <c r="G4092">
        <v>1</v>
      </c>
      <c r="H4092">
        <v>2</v>
      </c>
      <c r="I4092">
        <v>2008</v>
      </c>
      <c r="J4092">
        <v>1</v>
      </c>
      <c r="K4092">
        <v>0</v>
      </c>
      <c r="L4092">
        <v>1</v>
      </c>
      <c r="M4092">
        <v>12</v>
      </c>
      <c r="N4092" t="s">
        <v>41</v>
      </c>
      <c r="O4092" t="s">
        <v>30</v>
      </c>
      <c r="P4092">
        <v>10.7603137852582</v>
      </c>
      <c r="Q4092">
        <v>1.9553734466691901</v>
      </c>
      <c r="R4092">
        <v>2.5366434875994299</v>
      </c>
      <c r="S4092">
        <v>104</v>
      </c>
      <c r="T4092">
        <v>30</v>
      </c>
      <c r="U4092">
        <v>281.26123244013598</v>
      </c>
      <c r="V4092">
        <v>4.7732696897374704E-3</v>
      </c>
      <c r="W4092">
        <v>903022.21631409996</v>
      </c>
      <c r="X4092" t="s">
        <v>39</v>
      </c>
      <c r="Y4092">
        <f>1-265-534-5449</f>
        <v>-6247</v>
      </c>
    </row>
    <row r="4093" spans="1:25" x14ac:dyDescent="0.35">
      <c r="A4093">
        <v>33.893914112080402</v>
      </c>
      <c r="B4093">
        <v>-123.783822117299</v>
      </c>
      <c r="C4093" t="s">
        <v>25</v>
      </c>
      <c r="D4093">
        <v>8.5508648850959101</v>
      </c>
      <c r="E4093">
        <v>3</v>
      </c>
      <c r="F4093">
        <v>2516</v>
      </c>
      <c r="G4093">
        <v>2</v>
      </c>
      <c r="H4093">
        <v>3</v>
      </c>
      <c r="I4093">
        <v>2002</v>
      </c>
      <c r="J4093">
        <v>1</v>
      </c>
      <c r="K4093">
        <v>0</v>
      </c>
      <c r="L4093">
        <v>0</v>
      </c>
      <c r="M4093">
        <v>13</v>
      </c>
      <c r="N4093" t="s">
        <v>26</v>
      </c>
      <c r="O4093" t="s">
        <v>27</v>
      </c>
      <c r="P4093">
        <v>5.98817236529365</v>
      </c>
      <c r="Q4093">
        <v>0.60518926141962703</v>
      </c>
      <c r="R4093">
        <v>6.4118221358223302</v>
      </c>
      <c r="S4093">
        <v>164</v>
      </c>
      <c r="T4093">
        <v>63</v>
      </c>
      <c r="U4093">
        <v>259.49670836181798</v>
      </c>
      <c r="V4093">
        <v>5.1669316375198698E-3</v>
      </c>
      <c r="W4093">
        <v>832029.97784612805</v>
      </c>
      <c r="X4093" t="s">
        <v>31</v>
      </c>
      <c r="Y4093">
        <f>1-626-259-2820</f>
        <v>-3704</v>
      </c>
    </row>
    <row r="4094" spans="1:25" x14ac:dyDescent="0.35">
      <c r="A4094">
        <v>37.951711529402999</v>
      </c>
      <c r="B4094">
        <v>-114.465159568198</v>
      </c>
      <c r="C4094" t="s">
        <v>25</v>
      </c>
      <c r="D4094">
        <v>43.589608040856596</v>
      </c>
      <c r="E4094">
        <v>9</v>
      </c>
      <c r="F4094">
        <v>812</v>
      </c>
      <c r="G4094">
        <v>5</v>
      </c>
      <c r="H4094">
        <v>3</v>
      </c>
      <c r="I4094">
        <v>2021</v>
      </c>
      <c r="J4094">
        <v>1</v>
      </c>
      <c r="K4094">
        <v>1</v>
      </c>
      <c r="L4094">
        <v>1</v>
      </c>
      <c r="M4094">
        <v>12</v>
      </c>
      <c r="N4094" t="s">
        <v>26</v>
      </c>
      <c r="O4094" t="s">
        <v>27</v>
      </c>
      <c r="P4094">
        <v>3.7824402643358299</v>
      </c>
      <c r="Q4094">
        <v>2.24759035731896</v>
      </c>
      <c r="R4094">
        <v>2.6193731394005599</v>
      </c>
      <c r="S4094">
        <v>101</v>
      </c>
      <c r="T4094">
        <v>22</v>
      </c>
      <c r="U4094">
        <v>300.77761895313398</v>
      </c>
      <c r="V4094">
        <v>1.47783251231527E-2</v>
      </c>
      <c r="W4094">
        <v>727439.75182592904</v>
      </c>
      <c r="X4094" t="s">
        <v>39</v>
      </c>
      <c r="Y4094">
        <f>1-700-326-7311</f>
        <v>-8336</v>
      </c>
    </row>
    <row r="4095" spans="1:25" x14ac:dyDescent="0.35">
      <c r="A4095">
        <v>35.038424156726101</v>
      </c>
      <c r="B4095">
        <v>-116.615977585523</v>
      </c>
      <c r="C4095" t="s">
        <v>25</v>
      </c>
      <c r="D4095">
        <v>45.700380484169401</v>
      </c>
      <c r="E4095">
        <v>1</v>
      </c>
      <c r="F4095">
        <v>1032</v>
      </c>
      <c r="G4095">
        <v>4</v>
      </c>
      <c r="H4095">
        <v>1</v>
      </c>
      <c r="I4095">
        <v>1964</v>
      </c>
      <c r="J4095">
        <v>1</v>
      </c>
      <c r="K4095">
        <v>1</v>
      </c>
      <c r="L4095">
        <v>1</v>
      </c>
      <c r="M4095">
        <v>9</v>
      </c>
      <c r="N4095" t="s">
        <v>41</v>
      </c>
      <c r="O4095" t="s">
        <v>27</v>
      </c>
      <c r="P4095">
        <v>2.1786768551125202</v>
      </c>
      <c r="Q4095">
        <v>2.0860208911873901</v>
      </c>
      <c r="R4095">
        <v>7.63993979876407</v>
      </c>
      <c r="S4095">
        <v>140</v>
      </c>
      <c r="T4095">
        <v>74</v>
      </c>
      <c r="U4095">
        <v>535.12530564202302</v>
      </c>
      <c r="V4095">
        <v>8.7209302325581394E-3</v>
      </c>
      <c r="W4095">
        <v>794443.41071365296</v>
      </c>
      <c r="X4095" t="s">
        <v>42</v>
      </c>
      <c r="Y4095">
        <f>1-485-188-6499</f>
        <v>-7171</v>
      </c>
    </row>
    <row r="4096" spans="1:25" x14ac:dyDescent="0.35">
      <c r="A4096">
        <v>33.665502768026101</v>
      </c>
      <c r="B4096">
        <v>-122.972020913354</v>
      </c>
      <c r="C4096" t="s">
        <v>34</v>
      </c>
      <c r="D4096">
        <v>34.618942457659102</v>
      </c>
      <c r="E4096">
        <v>4</v>
      </c>
      <c r="F4096">
        <v>3102</v>
      </c>
      <c r="G4096">
        <v>4</v>
      </c>
      <c r="H4096">
        <v>1</v>
      </c>
      <c r="I4096">
        <v>2005</v>
      </c>
      <c r="J4096">
        <v>1</v>
      </c>
      <c r="K4096">
        <v>0</v>
      </c>
      <c r="L4096">
        <v>0</v>
      </c>
      <c r="M4096">
        <v>14</v>
      </c>
      <c r="N4096" t="s">
        <v>35</v>
      </c>
      <c r="O4096" t="s">
        <v>27</v>
      </c>
      <c r="P4096">
        <v>6.1447837278607498</v>
      </c>
      <c r="Q4096">
        <v>2.4363532083428101</v>
      </c>
      <c r="R4096">
        <v>7.0830055568125596</v>
      </c>
      <c r="S4096">
        <v>149</v>
      </c>
      <c r="T4096">
        <v>79</v>
      </c>
      <c r="U4096">
        <v>485.95670634377097</v>
      </c>
      <c r="V4096">
        <v>4.5132172791747197E-3</v>
      </c>
      <c r="W4096">
        <v>1813576.6697507999</v>
      </c>
      <c r="X4096" t="s">
        <v>38</v>
      </c>
      <c r="Y4096">
        <f>1-705-994-9922</f>
        <v>-11620</v>
      </c>
    </row>
    <row r="4097" spans="1:25" x14ac:dyDescent="0.35">
      <c r="A4097">
        <v>39.746198698735697</v>
      </c>
      <c r="B4097">
        <v>-123.13454994627</v>
      </c>
      <c r="C4097" t="s">
        <v>25</v>
      </c>
      <c r="D4097">
        <v>46.778955622006599</v>
      </c>
      <c r="E4097">
        <v>4</v>
      </c>
      <c r="F4097">
        <v>845</v>
      </c>
      <c r="G4097">
        <v>4</v>
      </c>
      <c r="H4097">
        <v>3</v>
      </c>
      <c r="I4097">
        <v>1997</v>
      </c>
      <c r="J4097">
        <v>1</v>
      </c>
      <c r="K4097">
        <v>0</v>
      </c>
      <c r="L4097">
        <v>0</v>
      </c>
      <c r="M4097">
        <v>2</v>
      </c>
      <c r="N4097" t="s">
        <v>26</v>
      </c>
      <c r="O4097" t="s">
        <v>27</v>
      </c>
      <c r="P4097">
        <v>3.9428979050692101</v>
      </c>
      <c r="Q4097">
        <v>1.1893526484608801</v>
      </c>
      <c r="R4097">
        <v>4.3827610470223002</v>
      </c>
      <c r="S4097">
        <v>75</v>
      </c>
      <c r="T4097">
        <v>75</v>
      </c>
      <c r="U4097">
        <v>765.03020882973499</v>
      </c>
      <c r="V4097">
        <v>2.3668639053254399E-3</v>
      </c>
      <c r="W4097">
        <v>853231.05487657897</v>
      </c>
      <c r="X4097" t="s">
        <v>38</v>
      </c>
      <c r="Y4097">
        <f>1-611-341-7387</f>
        <v>-8338</v>
      </c>
    </row>
    <row r="4098" spans="1:25" x14ac:dyDescent="0.35">
      <c r="A4098">
        <v>40.523499377365901</v>
      </c>
      <c r="B4098">
        <v>-114.815855133502</v>
      </c>
      <c r="C4098" t="s">
        <v>29</v>
      </c>
      <c r="D4098">
        <v>8.3930132823288695</v>
      </c>
      <c r="E4098">
        <v>8</v>
      </c>
      <c r="F4098">
        <v>2756</v>
      </c>
      <c r="G4098">
        <v>1</v>
      </c>
      <c r="H4098">
        <v>3</v>
      </c>
      <c r="I4098">
        <v>1986</v>
      </c>
      <c r="J4098">
        <v>1</v>
      </c>
      <c r="K4098">
        <v>1</v>
      </c>
      <c r="L4098">
        <v>0</v>
      </c>
      <c r="M4098">
        <v>4</v>
      </c>
      <c r="N4098" t="s">
        <v>37</v>
      </c>
      <c r="O4098" t="s">
        <v>32</v>
      </c>
      <c r="P4098">
        <v>12.001780942738201</v>
      </c>
      <c r="Q4098">
        <v>1.5200506744603599</v>
      </c>
      <c r="R4098">
        <v>8.9733327747740592</v>
      </c>
      <c r="S4098">
        <v>164</v>
      </c>
      <c r="T4098">
        <v>34</v>
      </c>
      <c r="U4098">
        <v>997.74695125726498</v>
      </c>
      <c r="V4098">
        <v>1.45137880986937E-3</v>
      </c>
      <c r="W4098">
        <v>3090735.2879454298</v>
      </c>
      <c r="X4098" t="s">
        <v>28</v>
      </c>
      <c r="Y4098">
        <f>1-732-171-2753</f>
        <v>-3655</v>
      </c>
    </row>
    <row r="4099" spans="1:25" x14ac:dyDescent="0.35">
      <c r="A4099">
        <v>33.350521077125499</v>
      </c>
      <c r="B4099">
        <v>-121.973757310298</v>
      </c>
      <c r="C4099" t="s">
        <v>25</v>
      </c>
      <c r="D4099">
        <v>20.519097886304401</v>
      </c>
      <c r="E4099">
        <v>2</v>
      </c>
      <c r="F4099">
        <v>1634</v>
      </c>
      <c r="G4099">
        <v>3</v>
      </c>
      <c r="H4099">
        <v>3</v>
      </c>
      <c r="I4099">
        <v>2012</v>
      </c>
      <c r="J4099">
        <v>1</v>
      </c>
      <c r="K4099">
        <v>1</v>
      </c>
      <c r="L4099">
        <v>1</v>
      </c>
      <c r="M4099">
        <v>5</v>
      </c>
      <c r="N4099" t="s">
        <v>35</v>
      </c>
      <c r="O4099" t="s">
        <v>30</v>
      </c>
      <c r="P4099">
        <v>2.6869841832503001</v>
      </c>
      <c r="Q4099">
        <v>1.4401323042884999</v>
      </c>
      <c r="R4099">
        <v>0.35536920439375302</v>
      </c>
      <c r="S4099">
        <v>95</v>
      </c>
      <c r="T4099">
        <v>36</v>
      </c>
      <c r="U4099">
        <v>869.04311641690799</v>
      </c>
      <c r="V4099">
        <v>3.0599755201958299E-3</v>
      </c>
      <c r="W4099">
        <v>1781348.2991474101</v>
      </c>
      <c r="X4099" t="s">
        <v>28</v>
      </c>
      <c r="Y4099">
        <f>1-342-888-2747</f>
        <v>-3976</v>
      </c>
    </row>
    <row r="4100" spans="1:25" x14ac:dyDescent="0.35">
      <c r="A4100">
        <v>34.118843408325297</v>
      </c>
      <c r="B4100">
        <v>-118.33376924625399</v>
      </c>
      <c r="C4100" t="s">
        <v>34</v>
      </c>
      <c r="D4100">
        <v>33.612272914132497</v>
      </c>
      <c r="E4100">
        <v>1</v>
      </c>
      <c r="F4100">
        <v>3250</v>
      </c>
      <c r="G4100">
        <v>4</v>
      </c>
      <c r="H4100">
        <v>3</v>
      </c>
      <c r="I4100">
        <v>2002</v>
      </c>
      <c r="J4100">
        <v>0</v>
      </c>
      <c r="K4100">
        <v>0</v>
      </c>
      <c r="L4100">
        <v>1</v>
      </c>
      <c r="M4100">
        <v>6</v>
      </c>
      <c r="N4100" t="s">
        <v>37</v>
      </c>
      <c r="O4100" t="s">
        <v>32</v>
      </c>
      <c r="P4100">
        <v>6.3884894129028398</v>
      </c>
      <c r="Q4100">
        <v>0.746511136210811</v>
      </c>
      <c r="R4100">
        <v>6.2098079703196998</v>
      </c>
      <c r="S4100">
        <v>182</v>
      </c>
      <c r="T4100">
        <v>52</v>
      </c>
      <c r="U4100">
        <v>281.126947728022</v>
      </c>
      <c r="V4100">
        <v>1.84615384615384E-3</v>
      </c>
      <c r="W4100">
        <v>1166622.10899612</v>
      </c>
      <c r="X4100" t="s">
        <v>33</v>
      </c>
      <c r="Y4100">
        <f>1-279-959-7384</f>
        <v>-8621</v>
      </c>
    </row>
    <row r="4101" spans="1:25" x14ac:dyDescent="0.35">
      <c r="A4101">
        <v>33.546354025690697</v>
      </c>
      <c r="B4101">
        <v>-120.795203582105</v>
      </c>
      <c r="C4101" t="s">
        <v>34</v>
      </c>
      <c r="D4101">
        <v>28.9541332102369</v>
      </c>
      <c r="E4101">
        <v>0</v>
      </c>
      <c r="F4101">
        <v>1440</v>
      </c>
      <c r="G4101">
        <v>1</v>
      </c>
      <c r="H4101">
        <v>2</v>
      </c>
      <c r="I4101">
        <v>1957</v>
      </c>
      <c r="J4101">
        <v>0</v>
      </c>
      <c r="K4101">
        <v>1</v>
      </c>
      <c r="L4101">
        <v>0</v>
      </c>
      <c r="M4101">
        <v>13</v>
      </c>
      <c r="N4101" t="s">
        <v>37</v>
      </c>
      <c r="O4101" t="s">
        <v>30</v>
      </c>
      <c r="P4101">
        <v>6.3518097165875904</v>
      </c>
      <c r="Q4101">
        <v>1.7747578823132499</v>
      </c>
      <c r="R4101">
        <v>8.4002416997919802</v>
      </c>
      <c r="S4101">
        <v>43</v>
      </c>
      <c r="T4101">
        <v>45</v>
      </c>
      <c r="U4101">
        <v>765.44022178774799</v>
      </c>
      <c r="V4101">
        <v>9.02777777777777E-3</v>
      </c>
      <c r="W4101">
        <v>1193434.4982137801</v>
      </c>
      <c r="X4101" t="s">
        <v>40</v>
      </c>
      <c r="Y4101">
        <f>1-756-520-9673</f>
        <v>-10948</v>
      </c>
    </row>
    <row r="4102" spans="1:25" x14ac:dyDescent="0.35">
      <c r="A4102">
        <v>40.888945043962799</v>
      </c>
      <c r="B4102">
        <v>-117.513244200203</v>
      </c>
      <c r="C4102" t="s">
        <v>29</v>
      </c>
      <c r="D4102">
        <v>42.205193919143703</v>
      </c>
      <c r="E4102">
        <v>9</v>
      </c>
      <c r="F4102">
        <v>1000</v>
      </c>
      <c r="G4102">
        <v>5</v>
      </c>
      <c r="H4102">
        <v>2</v>
      </c>
      <c r="I4102">
        <v>1953</v>
      </c>
      <c r="J4102">
        <v>0</v>
      </c>
      <c r="K4102">
        <v>1</v>
      </c>
      <c r="L4102">
        <v>1</v>
      </c>
      <c r="M4102">
        <v>7</v>
      </c>
      <c r="N4102" t="s">
        <v>37</v>
      </c>
      <c r="O4102" t="s">
        <v>30</v>
      </c>
      <c r="P4102">
        <v>13.8387385108021</v>
      </c>
      <c r="Q4102">
        <v>0.856922797027862</v>
      </c>
      <c r="R4102">
        <v>1.85349944569785</v>
      </c>
      <c r="S4102">
        <v>118</v>
      </c>
      <c r="T4102">
        <v>38</v>
      </c>
      <c r="U4102">
        <v>775.66870658199298</v>
      </c>
      <c r="V4102">
        <v>7.0000000000000001E-3</v>
      </c>
      <c r="W4102">
        <v>1173044.3734418901</v>
      </c>
      <c r="X4102" t="s">
        <v>44</v>
      </c>
      <c r="Y4102">
        <f>1-661-800-6341</f>
        <v>-7801</v>
      </c>
    </row>
    <row r="4103" spans="1:25" x14ac:dyDescent="0.35">
      <c r="A4103">
        <v>40.9900464243809</v>
      </c>
      <c r="B4103">
        <v>-120.08554706016</v>
      </c>
      <c r="C4103" t="s">
        <v>25</v>
      </c>
      <c r="D4103">
        <v>15.3799130576017</v>
      </c>
      <c r="E4103">
        <v>8</v>
      </c>
      <c r="F4103">
        <v>1372</v>
      </c>
      <c r="G4103">
        <v>1</v>
      </c>
      <c r="H4103">
        <v>3</v>
      </c>
      <c r="I4103">
        <v>1954</v>
      </c>
      <c r="J4103">
        <v>0</v>
      </c>
      <c r="K4103">
        <v>1</v>
      </c>
      <c r="L4103">
        <v>1</v>
      </c>
      <c r="M4103">
        <v>9</v>
      </c>
      <c r="N4103" t="s">
        <v>26</v>
      </c>
      <c r="O4103" t="s">
        <v>27</v>
      </c>
      <c r="P4103">
        <v>6.2807021814129103</v>
      </c>
      <c r="Q4103">
        <v>1.4986954407987501</v>
      </c>
      <c r="R4103">
        <v>8.0940939642771603</v>
      </c>
      <c r="S4103">
        <v>50</v>
      </c>
      <c r="T4103">
        <v>28</v>
      </c>
      <c r="U4103">
        <v>606.22149884990404</v>
      </c>
      <c r="V4103">
        <v>6.5597667638483898E-3</v>
      </c>
      <c r="W4103">
        <v>1009105.27312944</v>
      </c>
      <c r="X4103" t="s">
        <v>31</v>
      </c>
      <c r="Y4103">
        <f>1-666-930-8768</f>
        <v>-10363</v>
      </c>
    </row>
    <row r="4104" spans="1:25" x14ac:dyDescent="0.35">
      <c r="A4104">
        <v>34.518142247713698</v>
      </c>
      <c r="B4104">
        <v>-116.25774924778</v>
      </c>
      <c r="C4104" t="s">
        <v>25</v>
      </c>
      <c r="D4104">
        <v>46.122464444808102</v>
      </c>
      <c r="E4104">
        <v>8</v>
      </c>
      <c r="F4104">
        <v>2217</v>
      </c>
      <c r="G4104">
        <v>1</v>
      </c>
      <c r="H4104">
        <v>1</v>
      </c>
      <c r="I4104">
        <v>1977</v>
      </c>
      <c r="J4104">
        <v>1</v>
      </c>
      <c r="K4104">
        <v>0</v>
      </c>
      <c r="L4104">
        <v>0</v>
      </c>
      <c r="M4104">
        <v>5</v>
      </c>
      <c r="N4104" t="s">
        <v>35</v>
      </c>
      <c r="O4104" t="s">
        <v>27</v>
      </c>
      <c r="P4104">
        <v>10.3796215589611</v>
      </c>
      <c r="Q4104">
        <v>2.0231136669393499</v>
      </c>
      <c r="R4104">
        <v>0.44783294487022102</v>
      </c>
      <c r="S4104">
        <v>35</v>
      </c>
      <c r="T4104">
        <v>57</v>
      </c>
      <c r="U4104">
        <v>368.032662894917</v>
      </c>
      <c r="V4104">
        <v>2.2552999548939999E-3</v>
      </c>
      <c r="W4104">
        <v>882853.14915992797</v>
      </c>
      <c r="X4104" t="s">
        <v>39</v>
      </c>
      <c r="Y4104">
        <f>1-870-555-5047</f>
        <v>-6471</v>
      </c>
    </row>
    <row r="4105" spans="1:25" x14ac:dyDescent="0.35">
      <c r="A4105">
        <v>41.024380626625302</v>
      </c>
      <c r="B4105">
        <v>-118.906902568433</v>
      </c>
      <c r="C4105" t="s">
        <v>29</v>
      </c>
      <c r="D4105">
        <v>34.873388244807899</v>
      </c>
      <c r="E4105">
        <v>5</v>
      </c>
      <c r="F4105">
        <v>4332</v>
      </c>
      <c r="G4105">
        <v>4</v>
      </c>
      <c r="H4105">
        <v>3</v>
      </c>
      <c r="I4105">
        <v>1956</v>
      </c>
      <c r="J4105">
        <v>1</v>
      </c>
      <c r="K4105">
        <v>1</v>
      </c>
      <c r="L4105">
        <v>0</v>
      </c>
      <c r="M4105">
        <v>3</v>
      </c>
      <c r="N4105" t="s">
        <v>37</v>
      </c>
      <c r="O4105" t="s">
        <v>32</v>
      </c>
      <c r="P4105">
        <v>12.89039385844</v>
      </c>
      <c r="Q4105">
        <v>1.1480972153589899</v>
      </c>
      <c r="R4105">
        <v>9.4344549794676098</v>
      </c>
      <c r="S4105">
        <v>25</v>
      </c>
      <c r="T4105">
        <v>61</v>
      </c>
      <c r="U4105">
        <v>607.57138346171496</v>
      </c>
      <c r="V4105">
        <v>6.9252077562326805E-4</v>
      </c>
      <c r="W4105">
        <v>3062585.27515485</v>
      </c>
      <c r="X4105" t="s">
        <v>33</v>
      </c>
      <c r="Y4105">
        <f>1-818-934-4127</f>
        <v>-5878</v>
      </c>
    </row>
    <row r="4106" spans="1:25" x14ac:dyDescent="0.35">
      <c r="A4106">
        <v>36.9755844316958</v>
      </c>
      <c r="B4106">
        <v>-122.31334991815</v>
      </c>
      <c r="C4106" t="s">
        <v>25</v>
      </c>
      <c r="D4106">
        <v>3.4492113633934798</v>
      </c>
      <c r="E4106">
        <v>0</v>
      </c>
      <c r="F4106">
        <v>895</v>
      </c>
      <c r="G4106">
        <v>5</v>
      </c>
      <c r="H4106">
        <v>2</v>
      </c>
      <c r="I4106">
        <v>2019</v>
      </c>
      <c r="J4106">
        <v>1</v>
      </c>
      <c r="K4106">
        <v>1</v>
      </c>
      <c r="L4106">
        <v>0</v>
      </c>
      <c r="M4106">
        <v>13</v>
      </c>
      <c r="N4106" t="s">
        <v>37</v>
      </c>
      <c r="O4106" t="s">
        <v>32</v>
      </c>
      <c r="P4106">
        <v>7.9508814428158496</v>
      </c>
      <c r="Q4106">
        <v>1.7662722716761701</v>
      </c>
      <c r="R4106">
        <v>5.8550347941855101</v>
      </c>
      <c r="S4106">
        <v>118</v>
      </c>
      <c r="T4106">
        <v>76</v>
      </c>
      <c r="U4106">
        <v>947.83242324920298</v>
      </c>
      <c r="V4106">
        <v>1.45251396648044E-2</v>
      </c>
      <c r="W4106">
        <v>1379428.97110065</v>
      </c>
      <c r="X4106" t="s">
        <v>28</v>
      </c>
      <c r="Y4106">
        <f>1-861-832-2236</f>
        <v>-3928</v>
      </c>
    </row>
    <row r="4107" spans="1:25" x14ac:dyDescent="0.35">
      <c r="A4107">
        <v>39.052257922377201</v>
      </c>
      <c r="B4107">
        <v>-124.47724878665601</v>
      </c>
      <c r="C4107" t="s">
        <v>34</v>
      </c>
      <c r="D4107">
        <v>38.530165050978702</v>
      </c>
      <c r="E4107">
        <v>4</v>
      </c>
      <c r="F4107">
        <v>940</v>
      </c>
      <c r="G4107">
        <v>1</v>
      </c>
      <c r="H4107">
        <v>3</v>
      </c>
      <c r="I4107">
        <v>2005</v>
      </c>
      <c r="J4107">
        <v>1</v>
      </c>
      <c r="K4107">
        <v>1</v>
      </c>
      <c r="L4107">
        <v>0</v>
      </c>
      <c r="M4107">
        <v>12</v>
      </c>
      <c r="N4107" t="s">
        <v>37</v>
      </c>
      <c r="O4107" t="s">
        <v>27</v>
      </c>
      <c r="P4107">
        <v>11.592837312128299</v>
      </c>
      <c r="Q4107">
        <v>1.87291480197792</v>
      </c>
      <c r="R4107">
        <v>3.7854397568275397E-2</v>
      </c>
      <c r="S4107">
        <v>142</v>
      </c>
      <c r="T4107">
        <v>75</v>
      </c>
      <c r="U4107">
        <v>364.77201817071102</v>
      </c>
      <c r="V4107">
        <v>1.27659574468085E-2</v>
      </c>
      <c r="W4107">
        <v>735455.05369080196</v>
      </c>
      <c r="X4107" t="s">
        <v>28</v>
      </c>
      <c r="Y4107">
        <f>1-628-974-1007</f>
        <v>-2608</v>
      </c>
    </row>
    <row r="4108" spans="1:25" x14ac:dyDescent="0.35">
      <c r="A4108">
        <v>41.699155969591502</v>
      </c>
      <c r="B4108">
        <v>-121.33872978490599</v>
      </c>
      <c r="C4108" t="s">
        <v>34</v>
      </c>
      <c r="D4108">
        <v>1.43098781599477</v>
      </c>
      <c r="E4108">
        <v>5</v>
      </c>
      <c r="F4108">
        <v>1880</v>
      </c>
      <c r="G4108">
        <v>3</v>
      </c>
      <c r="H4108">
        <v>3</v>
      </c>
      <c r="I4108">
        <v>1990</v>
      </c>
      <c r="J4108">
        <v>1</v>
      </c>
      <c r="K4108">
        <v>1</v>
      </c>
      <c r="L4108">
        <v>1</v>
      </c>
      <c r="M4108">
        <v>13</v>
      </c>
      <c r="N4108" t="s">
        <v>37</v>
      </c>
      <c r="O4108" t="s">
        <v>30</v>
      </c>
      <c r="P4108">
        <v>11.784017420364799</v>
      </c>
      <c r="Q4108">
        <v>0.79294075923357399</v>
      </c>
      <c r="R4108">
        <v>2.8059342888487202</v>
      </c>
      <c r="S4108">
        <v>39</v>
      </c>
      <c r="T4108">
        <v>20</v>
      </c>
      <c r="U4108">
        <v>571.57765928891899</v>
      </c>
      <c r="V4108">
        <v>6.9148936170212701E-3</v>
      </c>
      <c r="W4108">
        <v>1461568.9963893101</v>
      </c>
      <c r="X4108" t="s">
        <v>42</v>
      </c>
      <c r="Y4108">
        <f>1-464-679-5184</f>
        <v>-6326</v>
      </c>
    </row>
    <row r="4109" spans="1:25" x14ac:dyDescent="0.35">
      <c r="A4109">
        <v>36.754899875615898</v>
      </c>
      <c r="B4109">
        <v>-121.10599863733999</v>
      </c>
      <c r="C4109" t="s">
        <v>34</v>
      </c>
      <c r="D4109">
        <v>20.011472052933499</v>
      </c>
      <c r="E4109">
        <v>5</v>
      </c>
      <c r="F4109">
        <v>4345</v>
      </c>
      <c r="G4109">
        <v>1</v>
      </c>
      <c r="H4109">
        <v>2</v>
      </c>
      <c r="I4109">
        <v>1961</v>
      </c>
      <c r="J4109">
        <v>0</v>
      </c>
      <c r="K4109">
        <v>1</v>
      </c>
      <c r="L4109">
        <v>0</v>
      </c>
      <c r="M4109">
        <v>10</v>
      </c>
      <c r="N4109" t="s">
        <v>37</v>
      </c>
      <c r="O4109" t="s">
        <v>32</v>
      </c>
      <c r="P4109">
        <v>10.176040710233901</v>
      </c>
      <c r="Q4109">
        <v>1.7140284595358</v>
      </c>
      <c r="R4109">
        <v>5.6117630926437299</v>
      </c>
      <c r="S4109">
        <v>177</v>
      </c>
      <c r="T4109">
        <v>27</v>
      </c>
      <c r="U4109">
        <v>558.19954367102798</v>
      </c>
      <c r="V4109">
        <v>2.3014959723820401E-3</v>
      </c>
      <c r="W4109">
        <v>2629457.3999439101</v>
      </c>
      <c r="X4109" t="s">
        <v>43</v>
      </c>
      <c r="Y4109">
        <f>1-356-830-7480</f>
        <v>-8665</v>
      </c>
    </row>
    <row r="4110" spans="1:25" x14ac:dyDescent="0.35">
      <c r="A4110">
        <v>32.767133358372597</v>
      </c>
      <c r="B4110">
        <v>-115.704461923428</v>
      </c>
      <c r="C4110" t="s">
        <v>29</v>
      </c>
      <c r="D4110">
        <v>2.0943068175901498</v>
      </c>
      <c r="E4110">
        <v>6</v>
      </c>
      <c r="F4110">
        <v>2101</v>
      </c>
      <c r="G4110">
        <v>4</v>
      </c>
      <c r="H4110">
        <v>2</v>
      </c>
      <c r="I4110">
        <v>1985</v>
      </c>
      <c r="J4110">
        <v>1</v>
      </c>
      <c r="K4110">
        <v>1</v>
      </c>
      <c r="L4110">
        <v>0</v>
      </c>
      <c r="M4110">
        <v>10</v>
      </c>
      <c r="N4110" t="s">
        <v>37</v>
      </c>
      <c r="O4110" t="s">
        <v>30</v>
      </c>
      <c r="P4110">
        <v>4.5990526784667898</v>
      </c>
      <c r="Q4110">
        <v>0.99902636801389499</v>
      </c>
      <c r="R4110">
        <v>9.2483380809154401</v>
      </c>
      <c r="S4110">
        <v>36</v>
      </c>
      <c r="T4110">
        <v>29</v>
      </c>
      <c r="U4110">
        <v>421.79420718543901</v>
      </c>
      <c r="V4110">
        <v>4.7596382674916704E-3</v>
      </c>
      <c r="W4110">
        <v>1157945.50741214</v>
      </c>
      <c r="X4110" t="s">
        <v>36</v>
      </c>
      <c r="Y4110">
        <f>1-982-564-4914</f>
        <v>-6459</v>
      </c>
    </row>
    <row r="4111" spans="1:25" x14ac:dyDescent="0.35">
      <c r="A4111">
        <v>33.403356482295997</v>
      </c>
      <c r="B4111">
        <v>-117.945769252999</v>
      </c>
      <c r="C4111" t="s">
        <v>29</v>
      </c>
      <c r="D4111">
        <v>13.716910822884699</v>
      </c>
      <c r="E4111">
        <v>3</v>
      </c>
      <c r="F4111">
        <v>2840</v>
      </c>
      <c r="G4111">
        <v>4</v>
      </c>
      <c r="H4111">
        <v>3</v>
      </c>
      <c r="I4111">
        <v>1962</v>
      </c>
      <c r="J4111">
        <v>1</v>
      </c>
      <c r="K4111">
        <v>1</v>
      </c>
      <c r="L4111">
        <v>0</v>
      </c>
      <c r="M4111">
        <v>7</v>
      </c>
      <c r="N4111" t="s">
        <v>35</v>
      </c>
      <c r="O4111" t="s">
        <v>32</v>
      </c>
      <c r="P4111">
        <v>9.9065032415540397</v>
      </c>
      <c r="Q4111">
        <v>2.3201645522379999</v>
      </c>
      <c r="R4111">
        <v>6.8797507802843203</v>
      </c>
      <c r="S4111">
        <v>23</v>
      </c>
      <c r="T4111">
        <v>51</v>
      </c>
      <c r="U4111">
        <v>472.20570592161101</v>
      </c>
      <c r="V4111">
        <v>2.4647887323943599E-3</v>
      </c>
      <c r="W4111">
        <v>1794541.1963482799</v>
      </c>
      <c r="X4111" t="s">
        <v>42</v>
      </c>
      <c r="Y4111">
        <f>1-599-173-3801</f>
        <v>-4572</v>
      </c>
    </row>
    <row r="4112" spans="1:25" x14ac:dyDescent="0.35">
      <c r="A4112">
        <v>41.588296882106803</v>
      </c>
      <c r="B4112">
        <v>-122.638650603087</v>
      </c>
      <c r="C4112" t="s">
        <v>25</v>
      </c>
      <c r="D4112">
        <v>43.329352426093998</v>
      </c>
      <c r="E4112">
        <v>4</v>
      </c>
      <c r="F4112">
        <v>3997</v>
      </c>
      <c r="G4112">
        <v>3</v>
      </c>
      <c r="H4112">
        <v>2</v>
      </c>
      <c r="I4112">
        <v>1951</v>
      </c>
      <c r="J4112">
        <v>0</v>
      </c>
      <c r="K4112">
        <v>0</v>
      </c>
      <c r="L4112">
        <v>1</v>
      </c>
      <c r="M4112">
        <v>14</v>
      </c>
      <c r="N4112" t="s">
        <v>26</v>
      </c>
      <c r="O4112" t="s">
        <v>30</v>
      </c>
      <c r="P4112">
        <v>11.723150323014099</v>
      </c>
      <c r="Q4112">
        <v>1.57532191890698</v>
      </c>
      <c r="R4112">
        <v>8.4403031160958708</v>
      </c>
      <c r="S4112">
        <v>144</v>
      </c>
      <c r="T4112">
        <v>50</v>
      </c>
      <c r="U4112">
        <v>744.83208815670002</v>
      </c>
      <c r="V4112">
        <v>3.5026269702276699E-3</v>
      </c>
      <c r="W4112">
        <v>3170648.4021639102</v>
      </c>
      <c r="X4112" t="s">
        <v>36</v>
      </c>
      <c r="Y4112">
        <f>1-408-428-7526</f>
        <v>-8361</v>
      </c>
    </row>
    <row r="4113" spans="1:25" x14ac:dyDescent="0.35">
      <c r="A4113">
        <v>40.140996659782097</v>
      </c>
      <c r="B4113">
        <v>-122.25222815183101</v>
      </c>
      <c r="C4113" t="s">
        <v>25</v>
      </c>
      <c r="D4113">
        <v>3.93692894557452</v>
      </c>
      <c r="E4113">
        <v>9</v>
      </c>
      <c r="F4113">
        <v>3991</v>
      </c>
      <c r="G4113">
        <v>1</v>
      </c>
      <c r="H4113">
        <v>3</v>
      </c>
      <c r="I4113">
        <v>1992</v>
      </c>
      <c r="J4113">
        <v>1</v>
      </c>
      <c r="K4113">
        <v>0</v>
      </c>
      <c r="L4113">
        <v>0</v>
      </c>
      <c r="M4113">
        <v>13</v>
      </c>
      <c r="N4113" t="s">
        <v>41</v>
      </c>
      <c r="O4113" t="s">
        <v>27</v>
      </c>
      <c r="P4113">
        <v>9.7180682282611706</v>
      </c>
      <c r="Q4113">
        <v>2.2508032519252499</v>
      </c>
      <c r="R4113">
        <v>7.2126783754480002</v>
      </c>
      <c r="S4113">
        <v>114</v>
      </c>
      <c r="T4113">
        <v>23</v>
      </c>
      <c r="U4113">
        <v>995.42429391051803</v>
      </c>
      <c r="V4113">
        <v>3.2573289902280101E-3</v>
      </c>
      <c r="W4113">
        <v>4118254.0494565102</v>
      </c>
      <c r="X4113" t="s">
        <v>36</v>
      </c>
      <c r="Y4113">
        <f>1-596-208-6543</f>
        <v>-7346</v>
      </c>
    </row>
    <row r="4114" spans="1:25" x14ac:dyDescent="0.35">
      <c r="A4114">
        <v>33.129296292695102</v>
      </c>
      <c r="B4114">
        <v>-117.373063413569</v>
      </c>
      <c r="C4114" t="s">
        <v>29</v>
      </c>
      <c r="D4114">
        <v>32.054114986518599</v>
      </c>
      <c r="E4114">
        <v>3</v>
      </c>
      <c r="F4114">
        <v>1674</v>
      </c>
      <c r="G4114">
        <v>2</v>
      </c>
      <c r="H4114">
        <v>2</v>
      </c>
      <c r="I4114">
        <v>1952</v>
      </c>
      <c r="J4114">
        <v>0</v>
      </c>
      <c r="K4114">
        <v>1</v>
      </c>
      <c r="L4114">
        <v>0</v>
      </c>
      <c r="M4114">
        <v>12</v>
      </c>
      <c r="N4114" t="s">
        <v>41</v>
      </c>
      <c r="O4114" t="s">
        <v>27</v>
      </c>
      <c r="P4114">
        <v>4.1354803453434599</v>
      </c>
      <c r="Q4114">
        <v>2.2912348282795501</v>
      </c>
      <c r="R4114">
        <v>0.79917949320522397</v>
      </c>
      <c r="S4114">
        <v>13</v>
      </c>
      <c r="T4114">
        <v>52</v>
      </c>
      <c r="U4114">
        <v>726.78810800600399</v>
      </c>
      <c r="V4114">
        <v>7.1684587813620002E-3</v>
      </c>
      <c r="W4114">
        <v>1325709.4469476801</v>
      </c>
      <c r="X4114" t="s">
        <v>31</v>
      </c>
      <c r="Y4114">
        <f>1-822-986-2158</f>
        <v>-3965</v>
      </c>
    </row>
    <row r="4115" spans="1:25" x14ac:dyDescent="0.35">
      <c r="A4115">
        <v>32.661272432603504</v>
      </c>
      <c r="B4115">
        <v>-114.167727611375</v>
      </c>
      <c r="C4115" t="s">
        <v>34</v>
      </c>
      <c r="D4115">
        <v>37.428064380322503</v>
      </c>
      <c r="E4115">
        <v>1</v>
      </c>
      <c r="F4115">
        <v>3703</v>
      </c>
      <c r="G4115">
        <v>1</v>
      </c>
      <c r="H4115">
        <v>3</v>
      </c>
      <c r="I4115">
        <v>1992</v>
      </c>
      <c r="J4115">
        <v>0</v>
      </c>
      <c r="K4115">
        <v>1</v>
      </c>
      <c r="L4115">
        <v>1</v>
      </c>
      <c r="M4115">
        <v>10</v>
      </c>
      <c r="N4115" t="s">
        <v>41</v>
      </c>
      <c r="O4115" t="s">
        <v>27</v>
      </c>
      <c r="P4115">
        <v>9.2970388631038698</v>
      </c>
      <c r="Q4115">
        <v>2.35041469313762</v>
      </c>
      <c r="R4115">
        <v>7.9452136732155498</v>
      </c>
      <c r="S4115">
        <v>21</v>
      </c>
      <c r="T4115">
        <v>44</v>
      </c>
      <c r="U4115">
        <v>955.19821806084803</v>
      </c>
      <c r="V4115">
        <v>2.7005130974885202E-3</v>
      </c>
      <c r="W4115">
        <v>3879981.3119310802</v>
      </c>
      <c r="X4115" t="s">
        <v>33</v>
      </c>
      <c r="Y4115">
        <f>1-297-403-7956</f>
        <v>-8655</v>
      </c>
    </row>
    <row r="4116" spans="1:25" x14ac:dyDescent="0.35">
      <c r="A4116">
        <v>37.447586724022997</v>
      </c>
      <c r="B4116">
        <v>-123.22312026838399</v>
      </c>
      <c r="C4116" t="s">
        <v>29</v>
      </c>
      <c r="D4116">
        <v>5.2304404295579499</v>
      </c>
      <c r="E4116">
        <v>5</v>
      </c>
      <c r="F4116">
        <v>4994</v>
      </c>
      <c r="G4116">
        <v>3</v>
      </c>
      <c r="H4116">
        <v>3</v>
      </c>
      <c r="I4116">
        <v>1954</v>
      </c>
      <c r="J4116">
        <v>0</v>
      </c>
      <c r="K4116">
        <v>0</v>
      </c>
      <c r="L4116">
        <v>0</v>
      </c>
      <c r="M4116">
        <v>12</v>
      </c>
      <c r="N4116" t="s">
        <v>26</v>
      </c>
      <c r="O4116" t="s">
        <v>30</v>
      </c>
      <c r="P4116">
        <v>14.1506746015482</v>
      </c>
      <c r="Q4116">
        <v>1.62259852365192</v>
      </c>
      <c r="R4116">
        <v>5.8680202296861097</v>
      </c>
      <c r="S4116">
        <v>100</v>
      </c>
      <c r="T4116">
        <v>39</v>
      </c>
      <c r="U4116">
        <v>342.61903831889902</v>
      </c>
      <c r="V4116">
        <v>2.40288346015218E-3</v>
      </c>
      <c r="W4116">
        <v>1965688.61017737</v>
      </c>
      <c r="X4116" t="s">
        <v>42</v>
      </c>
      <c r="Y4116">
        <f>1-292-872-5562</f>
        <v>-6725</v>
      </c>
    </row>
    <row r="4117" spans="1:25" x14ac:dyDescent="0.35">
      <c r="A4117">
        <v>37.108267112273602</v>
      </c>
      <c r="B4117">
        <v>-118.91005393439499</v>
      </c>
      <c r="C4117" t="s">
        <v>25</v>
      </c>
      <c r="D4117">
        <v>40.6860063250395</v>
      </c>
      <c r="E4117">
        <v>9</v>
      </c>
      <c r="F4117">
        <v>1455</v>
      </c>
      <c r="G4117">
        <v>1</v>
      </c>
      <c r="H4117">
        <v>3</v>
      </c>
      <c r="I4117">
        <v>1967</v>
      </c>
      <c r="J4117">
        <v>1</v>
      </c>
      <c r="K4117">
        <v>0</v>
      </c>
      <c r="L4117">
        <v>0</v>
      </c>
      <c r="M4117">
        <v>11</v>
      </c>
      <c r="N4117" t="s">
        <v>41</v>
      </c>
      <c r="O4117" t="s">
        <v>30</v>
      </c>
      <c r="P4117">
        <v>8.0573216964741494</v>
      </c>
      <c r="Q4117">
        <v>1.14972347877654</v>
      </c>
      <c r="R4117">
        <v>9.0480475920483201</v>
      </c>
      <c r="S4117">
        <v>156</v>
      </c>
      <c r="T4117">
        <v>55</v>
      </c>
      <c r="U4117">
        <v>491.990237385829</v>
      </c>
      <c r="V4117">
        <v>7.5601374570446701E-3</v>
      </c>
      <c r="W4117">
        <v>824379.70102434198</v>
      </c>
      <c r="X4117" t="s">
        <v>43</v>
      </c>
      <c r="Y4117">
        <f>1-593-794-4814</f>
        <v>-6200</v>
      </c>
    </row>
    <row r="4118" spans="1:25" x14ac:dyDescent="0.35">
      <c r="A4118">
        <v>41.084999908828202</v>
      </c>
      <c r="B4118">
        <v>-118.630468230673</v>
      </c>
      <c r="C4118" t="s">
        <v>29</v>
      </c>
      <c r="D4118">
        <v>23.342174934023699</v>
      </c>
      <c r="E4118">
        <v>5</v>
      </c>
      <c r="F4118">
        <v>1035</v>
      </c>
      <c r="G4118">
        <v>2</v>
      </c>
      <c r="H4118">
        <v>1</v>
      </c>
      <c r="I4118">
        <v>1968</v>
      </c>
      <c r="J4118">
        <v>1</v>
      </c>
      <c r="K4118">
        <v>0</v>
      </c>
      <c r="L4118">
        <v>1</v>
      </c>
      <c r="M4118">
        <v>11</v>
      </c>
      <c r="N4118" t="s">
        <v>35</v>
      </c>
      <c r="O4118" t="s">
        <v>27</v>
      </c>
      <c r="P4118">
        <v>9.2700024839339594</v>
      </c>
      <c r="Q4118">
        <v>2.2892491697281798</v>
      </c>
      <c r="R4118">
        <v>4.3529331803999698</v>
      </c>
      <c r="S4118">
        <v>145</v>
      </c>
      <c r="T4118">
        <v>31</v>
      </c>
      <c r="U4118">
        <v>426.64394718811297</v>
      </c>
      <c r="V4118">
        <v>1.0628019323671399E-2</v>
      </c>
      <c r="W4118">
        <v>663994.56668138504</v>
      </c>
      <c r="X4118" t="s">
        <v>43</v>
      </c>
      <c r="Y4118">
        <f>1-844-444-6071</f>
        <v>-7358</v>
      </c>
    </row>
    <row r="4119" spans="1:25" x14ac:dyDescent="0.35">
      <c r="A4119">
        <v>38.959651273600002</v>
      </c>
      <c r="B4119">
        <v>-115.40856006004201</v>
      </c>
      <c r="C4119" t="s">
        <v>34</v>
      </c>
      <c r="D4119">
        <v>4.4888941470195496</v>
      </c>
      <c r="E4119">
        <v>1</v>
      </c>
      <c r="F4119">
        <v>1386</v>
      </c>
      <c r="G4119">
        <v>1</v>
      </c>
      <c r="H4119">
        <v>1</v>
      </c>
      <c r="I4119">
        <v>2004</v>
      </c>
      <c r="J4119">
        <v>1</v>
      </c>
      <c r="K4119">
        <v>0</v>
      </c>
      <c r="L4119">
        <v>1</v>
      </c>
      <c r="M4119">
        <v>14</v>
      </c>
      <c r="N4119" t="s">
        <v>35</v>
      </c>
      <c r="O4119" t="s">
        <v>30</v>
      </c>
      <c r="P4119">
        <v>4.8618168794135004</v>
      </c>
      <c r="Q4119">
        <v>1.13397354863086</v>
      </c>
      <c r="R4119">
        <v>7.5206462268458596</v>
      </c>
      <c r="S4119">
        <v>22</v>
      </c>
      <c r="T4119">
        <v>69</v>
      </c>
      <c r="U4119">
        <v>259.29447819138397</v>
      </c>
      <c r="V4119">
        <v>1.01010101010101E-2</v>
      </c>
      <c r="W4119">
        <v>538140.76779093395</v>
      </c>
      <c r="X4119" t="s">
        <v>36</v>
      </c>
      <c r="Y4119">
        <f>1-615-401-4918</f>
        <v>-5933</v>
      </c>
    </row>
    <row r="4120" spans="1:25" x14ac:dyDescent="0.35">
      <c r="A4120">
        <v>40.9735328222866</v>
      </c>
      <c r="B4120">
        <v>-124.363475471074</v>
      </c>
      <c r="C4120" t="s">
        <v>34</v>
      </c>
      <c r="D4120">
        <v>32.8407098522433</v>
      </c>
      <c r="E4120">
        <v>5</v>
      </c>
      <c r="F4120">
        <v>640</v>
      </c>
      <c r="G4120">
        <v>5</v>
      </c>
      <c r="H4120">
        <v>1</v>
      </c>
      <c r="I4120">
        <v>2001</v>
      </c>
      <c r="J4120">
        <v>0</v>
      </c>
      <c r="K4120">
        <v>0</v>
      </c>
      <c r="L4120">
        <v>1</v>
      </c>
      <c r="M4120">
        <v>14</v>
      </c>
      <c r="N4120" t="s">
        <v>26</v>
      </c>
      <c r="O4120" t="s">
        <v>32</v>
      </c>
      <c r="P4120">
        <v>11.276061172959899</v>
      </c>
      <c r="Q4120">
        <v>0.95090132874174105</v>
      </c>
      <c r="R4120">
        <v>8.2550171255504701</v>
      </c>
      <c r="S4120">
        <v>77</v>
      </c>
      <c r="T4120">
        <v>25</v>
      </c>
      <c r="U4120">
        <v>231.48400505036599</v>
      </c>
      <c r="V4120">
        <v>2.1874999999999999E-2</v>
      </c>
      <c r="W4120">
        <v>511332.507010923</v>
      </c>
      <c r="X4120" t="s">
        <v>43</v>
      </c>
      <c r="Y4120">
        <f>1-963-691-6543</f>
        <v>-8196</v>
      </c>
    </row>
    <row r="4121" spans="1:25" x14ac:dyDescent="0.35">
      <c r="A4121">
        <v>37.6849769441042</v>
      </c>
      <c r="B4121">
        <v>-117.77218512459</v>
      </c>
      <c r="C4121" t="s">
        <v>25</v>
      </c>
      <c r="D4121">
        <v>25.9296370926508</v>
      </c>
      <c r="E4121">
        <v>3</v>
      </c>
      <c r="F4121">
        <v>1916</v>
      </c>
      <c r="G4121">
        <v>1</v>
      </c>
      <c r="H4121">
        <v>3</v>
      </c>
      <c r="I4121">
        <v>1973</v>
      </c>
      <c r="J4121">
        <v>0</v>
      </c>
      <c r="K4121">
        <v>0</v>
      </c>
      <c r="L4121">
        <v>1</v>
      </c>
      <c r="M4121">
        <v>5</v>
      </c>
      <c r="N4121" t="s">
        <v>41</v>
      </c>
      <c r="O4121" t="s">
        <v>30</v>
      </c>
      <c r="P4121">
        <v>14.690016016525201</v>
      </c>
      <c r="Q4121">
        <v>1.8009599389995901</v>
      </c>
      <c r="R4121">
        <v>2.4273538932154599</v>
      </c>
      <c r="S4121">
        <v>189</v>
      </c>
      <c r="T4121">
        <v>21</v>
      </c>
      <c r="U4121">
        <v>336.71738443949999</v>
      </c>
      <c r="V4121">
        <v>2.6096033402922699E-3</v>
      </c>
      <c r="W4121">
        <v>914093.54468200495</v>
      </c>
      <c r="X4121" t="s">
        <v>36</v>
      </c>
      <c r="Y4121">
        <f>1-749-619-6124</f>
        <v>-7491</v>
      </c>
    </row>
    <row r="4122" spans="1:25" x14ac:dyDescent="0.35">
      <c r="A4122">
        <v>41.810628531202902</v>
      </c>
      <c r="B4122">
        <v>-121.87367743982</v>
      </c>
      <c r="C4122" t="s">
        <v>34</v>
      </c>
      <c r="D4122">
        <v>23.078747241699201</v>
      </c>
      <c r="E4122">
        <v>1</v>
      </c>
      <c r="F4122">
        <v>2490</v>
      </c>
      <c r="G4122">
        <v>5</v>
      </c>
      <c r="H4122">
        <v>1</v>
      </c>
      <c r="I4122">
        <v>1960</v>
      </c>
      <c r="J4122">
        <v>1</v>
      </c>
      <c r="K4122">
        <v>1</v>
      </c>
      <c r="L4122">
        <v>0</v>
      </c>
      <c r="M4122">
        <v>4</v>
      </c>
      <c r="N4122" t="s">
        <v>37</v>
      </c>
      <c r="O4122" t="s">
        <v>30</v>
      </c>
      <c r="P4122">
        <v>13.783058332137401</v>
      </c>
      <c r="Q4122">
        <v>1.6529176986424701</v>
      </c>
      <c r="R4122">
        <v>6.6725579351611204</v>
      </c>
      <c r="S4122">
        <v>178</v>
      </c>
      <c r="T4122">
        <v>48</v>
      </c>
      <c r="U4122">
        <v>387.66751779123098</v>
      </c>
      <c r="V4122">
        <v>1.6064257028112401E-3</v>
      </c>
      <c r="W4122">
        <v>1350425.0075437999</v>
      </c>
      <c r="X4122" t="s">
        <v>36</v>
      </c>
      <c r="Y4122">
        <f>1-968-705-3461</f>
        <v>-5133</v>
      </c>
    </row>
    <row r="4123" spans="1:25" x14ac:dyDescent="0.35">
      <c r="A4123">
        <v>34.807078896924899</v>
      </c>
      <c r="B4123">
        <v>-121.44636770287499</v>
      </c>
      <c r="C4123" t="s">
        <v>34</v>
      </c>
      <c r="D4123">
        <v>5.6293262527457699</v>
      </c>
      <c r="E4123">
        <v>2</v>
      </c>
      <c r="F4123">
        <v>4739</v>
      </c>
      <c r="G4123">
        <v>5</v>
      </c>
      <c r="H4123">
        <v>3</v>
      </c>
      <c r="I4123">
        <v>1983</v>
      </c>
      <c r="J4123">
        <v>1</v>
      </c>
      <c r="K4123">
        <v>1</v>
      </c>
      <c r="L4123">
        <v>1</v>
      </c>
      <c r="M4123">
        <v>5</v>
      </c>
      <c r="N4123" t="s">
        <v>26</v>
      </c>
      <c r="O4123" t="s">
        <v>27</v>
      </c>
      <c r="P4123">
        <v>7.7097210638669704</v>
      </c>
      <c r="Q4123">
        <v>1.68762731345934</v>
      </c>
      <c r="R4123">
        <v>2.0744352057595701</v>
      </c>
      <c r="S4123">
        <v>119</v>
      </c>
      <c r="T4123">
        <v>54</v>
      </c>
      <c r="U4123">
        <v>696.46744261345702</v>
      </c>
      <c r="V4123">
        <v>1.05507491031863E-3</v>
      </c>
      <c r="W4123">
        <v>3838990.5236843801</v>
      </c>
      <c r="X4123" t="s">
        <v>33</v>
      </c>
      <c r="Y4123">
        <f>1-595-478-3527</f>
        <v>-4599</v>
      </c>
    </row>
    <row r="4124" spans="1:25" x14ac:dyDescent="0.35">
      <c r="A4124">
        <v>41.322396943931203</v>
      </c>
      <c r="B4124">
        <v>-114.05152607321899</v>
      </c>
      <c r="C4124" t="s">
        <v>34</v>
      </c>
      <c r="D4124">
        <v>44.782956888248499</v>
      </c>
      <c r="E4124">
        <v>3</v>
      </c>
      <c r="F4124">
        <v>3195</v>
      </c>
      <c r="G4124">
        <v>3</v>
      </c>
      <c r="H4124">
        <v>1</v>
      </c>
      <c r="I4124">
        <v>1989</v>
      </c>
      <c r="J4124">
        <v>1</v>
      </c>
      <c r="K4124">
        <v>1</v>
      </c>
      <c r="L4124">
        <v>0</v>
      </c>
      <c r="M4124">
        <v>13</v>
      </c>
      <c r="N4124" t="s">
        <v>26</v>
      </c>
      <c r="O4124" t="s">
        <v>30</v>
      </c>
      <c r="P4124">
        <v>9.1586525026575298</v>
      </c>
      <c r="Q4124">
        <v>0.86626159666907199</v>
      </c>
      <c r="R4124">
        <v>6.7570308345117001</v>
      </c>
      <c r="S4124">
        <v>101</v>
      </c>
      <c r="T4124">
        <v>77</v>
      </c>
      <c r="U4124">
        <v>873.05937631622203</v>
      </c>
      <c r="V4124">
        <v>4.0688575899843499E-3</v>
      </c>
      <c r="W4124">
        <v>3050709.4844863801</v>
      </c>
      <c r="X4124" t="s">
        <v>33</v>
      </c>
      <c r="Y4124">
        <f>1-205-199-8644</f>
        <v>-9047</v>
      </c>
    </row>
    <row r="4125" spans="1:25" x14ac:dyDescent="0.35">
      <c r="A4125">
        <v>33.845248652014298</v>
      </c>
      <c r="B4125">
        <v>-118.417143913057</v>
      </c>
      <c r="C4125" t="s">
        <v>25</v>
      </c>
      <c r="D4125">
        <v>7.6890860198951696</v>
      </c>
      <c r="E4125">
        <v>5</v>
      </c>
      <c r="F4125">
        <v>3021</v>
      </c>
      <c r="G4125">
        <v>3</v>
      </c>
      <c r="H4125">
        <v>1</v>
      </c>
      <c r="I4125">
        <v>2000</v>
      </c>
      <c r="J4125">
        <v>0</v>
      </c>
      <c r="K4125">
        <v>0</v>
      </c>
      <c r="L4125">
        <v>0</v>
      </c>
      <c r="M4125">
        <v>11</v>
      </c>
      <c r="N4125" t="s">
        <v>37</v>
      </c>
      <c r="O4125" t="s">
        <v>30</v>
      </c>
      <c r="P4125">
        <v>4.5239881559224102</v>
      </c>
      <c r="Q4125">
        <v>1.9785043858684399</v>
      </c>
      <c r="R4125">
        <v>1.6771025585085999</v>
      </c>
      <c r="S4125">
        <v>4</v>
      </c>
      <c r="T4125">
        <v>59</v>
      </c>
      <c r="U4125">
        <v>842.75973379754703</v>
      </c>
      <c r="V4125">
        <v>3.6411784177424601E-3</v>
      </c>
      <c r="W4125">
        <v>2614254.4914927101</v>
      </c>
      <c r="X4125" t="s">
        <v>43</v>
      </c>
      <c r="Y4125">
        <f>1-279-737-4856</f>
        <v>-5871</v>
      </c>
    </row>
    <row r="4126" spans="1:25" x14ac:dyDescent="0.35">
      <c r="A4126">
        <v>38.557434243934203</v>
      </c>
      <c r="B4126">
        <v>-115.059960867702</v>
      </c>
      <c r="C4126" t="s">
        <v>34</v>
      </c>
      <c r="D4126">
        <v>19.839517843889102</v>
      </c>
      <c r="E4126">
        <v>2</v>
      </c>
      <c r="F4126">
        <v>1477</v>
      </c>
      <c r="G4126">
        <v>3</v>
      </c>
      <c r="H4126">
        <v>3</v>
      </c>
      <c r="I4126">
        <v>2002</v>
      </c>
      <c r="J4126">
        <v>0</v>
      </c>
      <c r="K4126">
        <v>1</v>
      </c>
      <c r="L4126">
        <v>1</v>
      </c>
      <c r="M4126">
        <v>11</v>
      </c>
      <c r="N4126" t="s">
        <v>26</v>
      </c>
      <c r="O4126" t="s">
        <v>30</v>
      </c>
      <c r="P4126">
        <v>14.252938402915399</v>
      </c>
      <c r="Q4126">
        <v>1.37850600169269</v>
      </c>
      <c r="R4126">
        <v>5.7979600031266303</v>
      </c>
      <c r="S4126">
        <v>28</v>
      </c>
      <c r="T4126">
        <v>29</v>
      </c>
      <c r="U4126">
        <v>795.30195942262003</v>
      </c>
      <c r="V4126">
        <v>7.4475287745429898E-3</v>
      </c>
      <c r="W4126">
        <v>1627127.7785988401</v>
      </c>
      <c r="X4126" t="s">
        <v>44</v>
      </c>
      <c r="Y4126">
        <f>1-774-355-6343</f>
        <v>-7471</v>
      </c>
    </row>
    <row r="4127" spans="1:25" x14ac:dyDescent="0.35">
      <c r="A4127">
        <v>34.1088206200426</v>
      </c>
      <c r="B4127">
        <v>-117.097736837371</v>
      </c>
      <c r="C4127" t="s">
        <v>34</v>
      </c>
      <c r="D4127">
        <v>6.71635495875549</v>
      </c>
      <c r="E4127">
        <v>1</v>
      </c>
      <c r="F4127">
        <v>876</v>
      </c>
      <c r="G4127">
        <v>4</v>
      </c>
      <c r="H4127">
        <v>1</v>
      </c>
      <c r="I4127">
        <v>1998</v>
      </c>
      <c r="J4127">
        <v>1</v>
      </c>
      <c r="K4127">
        <v>0</v>
      </c>
      <c r="L4127">
        <v>1</v>
      </c>
      <c r="M4127">
        <v>5</v>
      </c>
      <c r="N4127" t="s">
        <v>35</v>
      </c>
      <c r="O4127" t="s">
        <v>32</v>
      </c>
      <c r="P4127">
        <v>12.597042545373199</v>
      </c>
      <c r="Q4127">
        <v>1.5153776855329</v>
      </c>
      <c r="R4127">
        <v>8.2664230689174794</v>
      </c>
      <c r="S4127">
        <v>143</v>
      </c>
      <c r="T4127">
        <v>59</v>
      </c>
      <c r="U4127">
        <v>295.36241433504102</v>
      </c>
      <c r="V4127">
        <v>5.70776255707762E-3</v>
      </c>
      <c r="W4127">
        <v>588948.39286818402</v>
      </c>
      <c r="X4127" t="s">
        <v>28</v>
      </c>
      <c r="Y4127">
        <f>1-404-107-9332</f>
        <v>-9842</v>
      </c>
    </row>
    <row r="4128" spans="1:25" x14ac:dyDescent="0.35">
      <c r="A4128">
        <v>35.576882428026998</v>
      </c>
      <c r="B4128">
        <v>-122.87568123999</v>
      </c>
      <c r="C4128" t="s">
        <v>34</v>
      </c>
      <c r="D4128">
        <v>8.1592785200311599</v>
      </c>
      <c r="E4128">
        <v>4</v>
      </c>
      <c r="F4128">
        <v>3150</v>
      </c>
      <c r="G4128">
        <v>1</v>
      </c>
      <c r="H4128">
        <v>3</v>
      </c>
      <c r="I4128">
        <v>1973</v>
      </c>
      <c r="J4128">
        <v>1</v>
      </c>
      <c r="K4128">
        <v>0</v>
      </c>
      <c r="L4128">
        <v>0</v>
      </c>
      <c r="M4128">
        <v>9</v>
      </c>
      <c r="N4128" t="s">
        <v>41</v>
      </c>
      <c r="O4128" t="s">
        <v>27</v>
      </c>
      <c r="P4128">
        <v>14.0688950269681</v>
      </c>
      <c r="Q4128">
        <v>1.32626391420488</v>
      </c>
      <c r="R4128">
        <v>4.1623822643103097</v>
      </c>
      <c r="S4128">
        <v>165</v>
      </c>
      <c r="T4128">
        <v>39</v>
      </c>
      <c r="U4128">
        <v>766.17975313416503</v>
      </c>
      <c r="V4128">
        <v>2.8571428571428502E-3</v>
      </c>
      <c r="W4128">
        <v>2696227.40505525</v>
      </c>
      <c r="X4128" t="s">
        <v>39</v>
      </c>
      <c r="Y4128">
        <f>1-952-702-2482</f>
        <v>-4135</v>
      </c>
    </row>
    <row r="4129" spans="1:25" x14ac:dyDescent="0.35">
      <c r="A4129">
        <v>35.830235089997998</v>
      </c>
      <c r="B4129">
        <v>-120.28919615700499</v>
      </c>
      <c r="C4129" t="s">
        <v>29</v>
      </c>
      <c r="D4129">
        <v>2.6124296968702798</v>
      </c>
      <c r="E4129">
        <v>4</v>
      </c>
      <c r="F4129">
        <v>1544</v>
      </c>
      <c r="G4129">
        <v>3</v>
      </c>
      <c r="H4129">
        <v>2</v>
      </c>
      <c r="I4129">
        <v>1992</v>
      </c>
      <c r="J4129">
        <v>1</v>
      </c>
      <c r="K4129">
        <v>0</v>
      </c>
      <c r="L4129">
        <v>0</v>
      </c>
      <c r="M4129">
        <v>2</v>
      </c>
      <c r="N4129" t="s">
        <v>26</v>
      </c>
      <c r="O4129" t="s">
        <v>32</v>
      </c>
      <c r="P4129">
        <v>7.2656682361330303</v>
      </c>
      <c r="Q4129">
        <v>1.63454127057742</v>
      </c>
      <c r="R4129">
        <v>4.0970856683718102</v>
      </c>
      <c r="S4129">
        <v>38</v>
      </c>
      <c r="T4129">
        <v>22</v>
      </c>
      <c r="U4129">
        <v>725.27807810039803</v>
      </c>
      <c r="V4129">
        <v>1.2953367875647599E-3</v>
      </c>
      <c r="W4129">
        <v>1258107.67318745</v>
      </c>
      <c r="X4129" t="s">
        <v>31</v>
      </c>
      <c r="Y4129">
        <f>1-698-330-7208</f>
        <v>-8235</v>
      </c>
    </row>
    <row r="4130" spans="1:25" x14ac:dyDescent="0.35">
      <c r="A4130">
        <v>34.056366815732403</v>
      </c>
      <c r="B4130">
        <v>-121.62479959196</v>
      </c>
      <c r="C4130" t="s">
        <v>25</v>
      </c>
      <c r="D4130">
        <v>36.537566020874202</v>
      </c>
      <c r="E4130">
        <v>2</v>
      </c>
      <c r="F4130">
        <v>2102</v>
      </c>
      <c r="G4130">
        <v>3</v>
      </c>
      <c r="H4130">
        <v>1</v>
      </c>
      <c r="I4130">
        <v>1974</v>
      </c>
      <c r="J4130">
        <v>0</v>
      </c>
      <c r="K4130">
        <v>1</v>
      </c>
      <c r="L4130">
        <v>1</v>
      </c>
      <c r="M4130">
        <v>13</v>
      </c>
      <c r="N4130" t="s">
        <v>35</v>
      </c>
      <c r="O4130" t="s">
        <v>27</v>
      </c>
      <c r="P4130">
        <v>14.6563707119328</v>
      </c>
      <c r="Q4130">
        <v>2.4382404111398999</v>
      </c>
      <c r="R4130">
        <v>0.89726383436812196</v>
      </c>
      <c r="S4130">
        <v>193</v>
      </c>
      <c r="T4130">
        <v>76</v>
      </c>
      <c r="U4130">
        <v>826.31677733743504</v>
      </c>
      <c r="V4130">
        <v>6.1845861084681196E-3</v>
      </c>
      <c r="W4130">
        <v>2069242.2407335101</v>
      </c>
      <c r="X4130" t="s">
        <v>39</v>
      </c>
      <c r="Y4130">
        <f>1-256-565-8909</f>
        <v>-9729</v>
      </c>
    </row>
    <row r="4131" spans="1:25" x14ac:dyDescent="0.35">
      <c r="A4131">
        <v>36.857991121910302</v>
      </c>
      <c r="B4131">
        <v>-115.75105084977599</v>
      </c>
      <c r="C4131" t="s">
        <v>25</v>
      </c>
      <c r="D4131">
        <v>33.408823437333503</v>
      </c>
      <c r="E4131">
        <v>9</v>
      </c>
      <c r="F4131">
        <v>2600</v>
      </c>
      <c r="G4131">
        <v>3</v>
      </c>
      <c r="H4131">
        <v>3</v>
      </c>
      <c r="I4131">
        <v>1979</v>
      </c>
      <c r="J4131">
        <v>0</v>
      </c>
      <c r="K4131">
        <v>0</v>
      </c>
      <c r="L4131">
        <v>0</v>
      </c>
      <c r="M4131">
        <v>3</v>
      </c>
      <c r="N4131" t="s">
        <v>37</v>
      </c>
      <c r="O4131" t="s">
        <v>32</v>
      </c>
      <c r="P4131">
        <v>4.5389106484216102</v>
      </c>
      <c r="Q4131">
        <v>1.81918887573268</v>
      </c>
      <c r="R4131">
        <v>5.7619919705329803</v>
      </c>
      <c r="S4131">
        <v>103</v>
      </c>
      <c r="T4131">
        <v>34</v>
      </c>
      <c r="U4131">
        <v>798.93600456279205</v>
      </c>
      <c r="V4131">
        <v>1.1538461538461501E-3</v>
      </c>
      <c r="W4131">
        <v>2246462.29462469</v>
      </c>
      <c r="X4131" t="s">
        <v>31</v>
      </c>
      <c r="Y4131">
        <f>1-417-469-3696</f>
        <v>-4581</v>
      </c>
    </row>
    <row r="4132" spans="1:25" x14ac:dyDescent="0.35">
      <c r="A4132">
        <v>34.507093040803603</v>
      </c>
      <c r="B4132">
        <v>-124.076388475372</v>
      </c>
      <c r="C4132" t="s">
        <v>29</v>
      </c>
      <c r="D4132">
        <v>16.602831524952599</v>
      </c>
      <c r="E4132">
        <v>5</v>
      </c>
      <c r="F4132">
        <v>3837</v>
      </c>
      <c r="G4132">
        <v>5</v>
      </c>
      <c r="H4132">
        <v>2</v>
      </c>
      <c r="I4132">
        <v>1950</v>
      </c>
      <c r="J4132">
        <v>1</v>
      </c>
      <c r="K4132">
        <v>1</v>
      </c>
      <c r="L4132">
        <v>0</v>
      </c>
      <c r="M4132">
        <v>3</v>
      </c>
      <c r="N4132" t="s">
        <v>26</v>
      </c>
      <c r="O4132" t="s">
        <v>27</v>
      </c>
      <c r="P4132">
        <v>2.0767898771111701</v>
      </c>
      <c r="Q4132">
        <v>1.30253712135183</v>
      </c>
      <c r="R4132">
        <v>2.6033424389318398</v>
      </c>
      <c r="S4132">
        <v>33</v>
      </c>
      <c r="T4132">
        <v>72</v>
      </c>
      <c r="U4132">
        <v>837.76986317056605</v>
      </c>
      <c r="V4132">
        <v>7.8186082877247805E-4</v>
      </c>
      <c r="W4132">
        <v>3551110.9322337401</v>
      </c>
      <c r="X4132" t="s">
        <v>31</v>
      </c>
      <c r="Y4132">
        <f>1-201-783-5094</f>
        <v>-6077</v>
      </c>
    </row>
    <row r="4133" spans="1:25" x14ac:dyDescent="0.35">
      <c r="A4133">
        <v>40.424535815353998</v>
      </c>
      <c r="B4133">
        <v>-118.165915761646</v>
      </c>
      <c r="C4133" t="s">
        <v>25</v>
      </c>
      <c r="D4133">
        <v>39.308132278817801</v>
      </c>
      <c r="E4133">
        <v>7</v>
      </c>
      <c r="F4133">
        <v>4309</v>
      </c>
      <c r="G4133">
        <v>4</v>
      </c>
      <c r="H4133">
        <v>3</v>
      </c>
      <c r="I4133">
        <v>2021</v>
      </c>
      <c r="J4133">
        <v>1</v>
      </c>
      <c r="K4133">
        <v>1</v>
      </c>
      <c r="L4133">
        <v>0</v>
      </c>
      <c r="M4133">
        <v>8</v>
      </c>
      <c r="N4133" t="s">
        <v>26</v>
      </c>
      <c r="O4133" t="s">
        <v>32</v>
      </c>
      <c r="P4133">
        <v>3.9676042109018099</v>
      </c>
      <c r="Q4133">
        <v>2.11537847519471</v>
      </c>
      <c r="R4133">
        <v>1.9574606036106901</v>
      </c>
      <c r="S4133">
        <v>190</v>
      </c>
      <c r="T4133">
        <v>25</v>
      </c>
      <c r="U4133">
        <v>672.66207880235402</v>
      </c>
      <c r="V4133">
        <v>1.85657925272685E-3</v>
      </c>
      <c r="W4133">
        <v>3252296.5289563802</v>
      </c>
      <c r="X4133" t="s">
        <v>40</v>
      </c>
      <c r="Y4133">
        <f>1-399-936-6446</f>
        <v>-7780</v>
      </c>
    </row>
    <row r="4134" spans="1:25" x14ac:dyDescent="0.35">
      <c r="A4134">
        <v>36.592040356151401</v>
      </c>
      <c r="B4134">
        <v>-123.404738034901</v>
      </c>
      <c r="C4134" t="s">
        <v>34</v>
      </c>
      <c r="D4134">
        <v>18.454804178824901</v>
      </c>
      <c r="E4134">
        <v>5</v>
      </c>
      <c r="F4134">
        <v>1030</v>
      </c>
      <c r="G4134">
        <v>3</v>
      </c>
      <c r="H4134">
        <v>2</v>
      </c>
      <c r="I4134">
        <v>1973</v>
      </c>
      <c r="J4134">
        <v>1</v>
      </c>
      <c r="K4134">
        <v>0</v>
      </c>
      <c r="L4134">
        <v>0</v>
      </c>
      <c r="M4134">
        <v>9</v>
      </c>
      <c r="N4134" t="s">
        <v>41</v>
      </c>
      <c r="O4134" t="s">
        <v>27</v>
      </c>
      <c r="P4134">
        <v>6.1393362710006398</v>
      </c>
      <c r="Q4134">
        <v>1.5383170072083301</v>
      </c>
      <c r="R4134">
        <v>1.2031215688185499</v>
      </c>
      <c r="S4134">
        <v>194</v>
      </c>
      <c r="T4134">
        <v>43</v>
      </c>
      <c r="U4134">
        <v>268.25213565070402</v>
      </c>
      <c r="V4134">
        <v>8.7378640776698997E-3</v>
      </c>
      <c r="W4134">
        <v>469841.315127009</v>
      </c>
      <c r="X4134" t="s">
        <v>39</v>
      </c>
      <c r="Y4134">
        <f>1-814-782-7257</f>
        <v>-8852</v>
      </c>
    </row>
    <row r="4135" spans="1:25" x14ac:dyDescent="0.35">
      <c r="A4135">
        <v>37.499685662183502</v>
      </c>
      <c r="B4135">
        <v>-117.194520259925</v>
      </c>
      <c r="C4135" t="s">
        <v>34</v>
      </c>
      <c r="D4135">
        <v>29.110552010142001</v>
      </c>
      <c r="E4135">
        <v>2</v>
      </c>
      <c r="F4135">
        <v>970</v>
      </c>
      <c r="G4135">
        <v>4</v>
      </c>
      <c r="H4135">
        <v>2</v>
      </c>
      <c r="I4135">
        <v>1971</v>
      </c>
      <c r="J4135">
        <v>1</v>
      </c>
      <c r="K4135">
        <v>1</v>
      </c>
      <c r="L4135">
        <v>0</v>
      </c>
      <c r="M4135">
        <v>2</v>
      </c>
      <c r="N4135" t="s">
        <v>35</v>
      </c>
      <c r="O4135" t="s">
        <v>32</v>
      </c>
      <c r="P4135">
        <v>2.5970807775444</v>
      </c>
      <c r="Q4135">
        <v>1.5883821073276301</v>
      </c>
      <c r="R4135">
        <v>0.94160454469908805</v>
      </c>
      <c r="S4135">
        <v>152</v>
      </c>
      <c r="T4135">
        <v>25</v>
      </c>
      <c r="U4135">
        <v>380.10843001226499</v>
      </c>
      <c r="V4135">
        <v>2.0618556701030898E-3</v>
      </c>
      <c r="W4135">
        <v>675915.33104520303</v>
      </c>
      <c r="X4135" t="s">
        <v>33</v>
      </c>
      <c r="Y4135">
        <f>1-231-556-1766</f>
        <v>-2552</v>
      </c>
    </row>
    <row r="4136" spans="1:25" x14ac:dyDescent="0.35">
      <c r="A4136">
        <v>35.284150757746502</v>
      </c>
      <c r="B4136">
        <v>-121.046996993311</v>
      </c>
      <c r="C4136" t="s">
        <v>34</v>
      </c>
      <c r="D4136">
        <v>26.720759974030599</v>
      </c>
      <c r="E4136">
        <v>1</v>
      </c>
      <c r="F4136">
        <v>1215</v>
      </c>
      <c r="G4136">
        <v>1</v>
      </c>
      <c r="H4136">
        <v>3</v>
      </c>
      <c r="I4136">
        <v>2019</v>
      </c>
      <c r="J4136">
        <v>0</v>
      </c>
      <c r="K4136">
        <v>1</v>
      </c>
      <c r="L4136">
        <v>1</v>
      </c>
      <c r="M4136">
        <v>14</v>
      </c>
      <c r="N4136" t="s">
        <v>35</v>
      </c>
      <c r="O4136" t="s">
        <v>32</v>
      </c>
      <c r="P4136">
        <v>8.4571363662130103</v>
      </c>
      <c r="Q4136">
        <v>0.78965583000991002</v>
      </c>
      <c r="R4136">
        <v>1.4972521565700201</v>
      </c>
      <c r="S4136">
        <v>129</v>
      </c>
      <c r="T4136">
        <v>68</v>
      </c>
      <c r="U4136">
        <v>979.749627378235</v>
      </c>
      <c r="V4136">
        <v>1.15226337448559E-2</v>
      </c>
      <c r="W4136">
        <v>1420655.2808517099</v>
      </c>
      <c r="X4136" t="s">
        <v>39</v>
      </c>
      <c r="Y4136">
        <f>1-904-578-4125</f>
        <v>-5606</v>
      </c>
    </row>
    <row r="4137" spans="1:25" x14ac:dyDescent="0.35">
      <c r="A4137">
        <v>38.993545835347</v>
      </c>
      <c r="B4137">
        <v>-118.848287028919</v>
      </c>
      <c r="C4137" t="s">
        <v>29</v>
      </c>
      <c r="D4137">
        <v>11.8424068085955</v>
      </c>
      <c r="E4137">
        <v>0</v>
      </c>
      <c r="F4137">
        <v>630</v>
      </c>
      <c r="G4137">
        <v>4</v>
      </c>
      <c r="H4137">
        <v>2</v>
      </c>
      <c r="I4137">
        <v>1988</v>
      </c>
      <c r="J4137">
        <v>1</v>
      </c>
      <c r="K4137">
        <v>1</v>
      </c>
      <c r="L4137">
        <v>1</v>
      </c>
      <c r="M4137">
        <v>4</v>
      </c>
      <c r="N4137" t="s">
        <v>41</v>
      </c>
      <c r="O4137" t="s">
        <v>32</v>
      </c>
      <c r="P4137">
        <v>7.43748772533226</v>
      </c>
      <c r="Q4137">
        <v>0.92124896251574595</v>
      </c>
      <c r="R4137">
        <v>0.46739142833573299</v>
      </c>
      <c r="S4137">
        <v>48</v>
      </c>
      <c r="T4137">
        <v>69</v>
      </c>
      <c r="U4137">
        <v>668.13442012924895</v>
      </c>
      <c r="V4137">
        <v>6.3492063492063397E-3</v>
      </c>
      <c r="W4137">
        <v>872968.00868746499</v>
      </c>
      <c r="X4137" t="s">
        <v>33</v>
      </c>
      <c r="Y4137">
        <f>1-935-767-7666</f>
        <v>-9367</v>
      </c>
    </row>
    <row r="4138" spans="1:25" x14ac:dyDescent="0.35">
      <c r="A4138">
        <v>38.0249865072714</v>
      </c>
      <c r="B4138">
        <v>-122.62196148988301</v>
      </c>
      <c r="C4138" t="s">
        <v>25</v>
      </c>
      <c r="D4138">
        <v>16.5441851069641</v>
      </c>
      <c r="E4138">
        <v>6</v>
      </c>
      <c r="F4138">
        <v>3983</v>
      </c>
      <c r="G4138">
        <v>5</v>
      </c>
      <c r="H4138">
        <v>1</v>
      </c>
      <c r="I4138">
        <v>1965</v>
      </c>
      <c r="J4138">
        <v>0</v>
      </c>
      <c r="K4138">
        <v>0</v>
      </c>
      <c r="L4138">
        <v>1</v>
      </c>
      <c r="M4138">
        <v>5</v>
      </c>
      <c r="N4138" t="s">
        <v>41</v>
      </c>
      <c r="O4138" t="s">
        <v>32</v>
      </c>
      <c r="P4138">
        <v>10.806731042877701</v>
      </c>
      <c r="Q4138">
        <v>1.70880948991185</v>
      </c>
      <c r="R4138">
        <v>9.0774083747116006</v>
      </c>
      <c r="S4138">
        <v>191</v>
      </c>
      <c r="T4138">
        <v>79</v>
      </c>
      <c r="U4138">
        <v>793.44625252853302</v>
      </c>
      <c r="V4138">
        <v>1.25533517449158E-3</v>
      </c>
      <c r="W4138">
        <v>3381636.3162072999</v>
      </c>
      <c r="X4138" t="s">
        <v>33</v>
      </c>
      <c r="Y4138">
        <f>1-784-866-7437</f>
        <v>-9086</v>
      </c>
    </row>
    <row r="4139" spans="1:25" x14ac:dyDescent="0.35">
      <c r="A4139">
        <v>35.7021559382558</v>
      </c>
      <c r="B4139">
        <v>-119.318446003194</v>
      </c>
      <c r="C4139" t="s">
        <v>34</v>
      </c>
      <c r="D4139">
        <v>8.0634508887321807</v>
      </c>
      <c r="E4139">
        <v>1</v>
      </c>
      <c r="F4139">
        <v>2971</v>
      </c>
      <c r="G4139">
        <v>4</v>
      </c>
      <c r="H4139">
        <v>1</v>
      </c>
      <c r="I4139">
        <v>1951</v>
      </c>
      <c r="J4139">
        <v>0</v>
      </c>
      <c r="K4139">
        <v>1</v>
      </c>
      <c r="L4139">
        <v>1</v>
      </c>
      <c r="M4139">
        <v>10</v>
      </c>
      <c r="N4139" t="s">
        <v>41</v>
      </c>
      <c r="O4139" t="s">
        <v>32</v>
      </c>
      <c r="P4139">
        <v>4.2967785232392099</v>
      </c>
      <c r="Q4139">
        <v>1.28105568026883</v>
      </c>
      <c r="R4139">
        <v>9.7010538811685798</v>
      </c>
      <c r="S4139">
        <v>190</v>
      </c>
      <c r="T4139">
        <v>30</v>
      </c>
      <c r="U4139">
        <v>720.81274510165395</v>
      </c>
      <c r="V4139">
        <v>3.3658700774150101E-3</v>
      </c>
      <c r="W4139">
        <v>2353536.7204567501</v>
      </c>
      <c r="X4139" t="s">
        <v>43</v>
      </c>
      <c r="Y4139">
        <f>1-702-791-3570</f>
        <v>-5062</v>
      </c>
    </row>
    <row r="4140" spans="1:25" x14ac:dyDescent="0.35">
      <c r="A4140">
        <v>34.177102193004799</v>
      </c>
      <c r="B4140">
        <v>-117.495127537494</v>
      </c>
      <c r="C4140" t="s">
        <v>34</v>
      </c>
      <c r="D4140">
        <v>19.414127455004</v>
      </c>
      <c r="E4140">
        <v>9</v>
      </c>
      <c r="F4140">
        <v>3293</v>
      </c>
      <c r="G4140">
        <v>1</v>
      </c>
      <c r="H4140">
        <v>3</v>
      </c>
      <c r="I4140">
        <v>2010</v>
      </c>
      <c r="J4140">
        <v>0</v>
      </c>
      <c r="K4140">
        <v>0</v>
      </c>
      <c r="L4140">
        <v>0</v>
      </c>
      <c r="M4140">
        <v>11</v>
      </c>
      <c r="N4140" t="s">
        <v>26</v>
      </c>
      <c r="O4140" t="s">
        <v>32</v>
      </c>
      <c r="P4140">
        <v>5.3845606142564302</v>
      </c>
      <c r="Q4140">
        <v>1.2975245707956</v>
      </c>
      <c r="R4140">
        <v>0.86612245196530702</v>
      </c>
      <c r="S4140">
        <v>17</v>
      </c>
      <c r="T4140">
        <v>30</v>
      </c>
      <c r="U4140">
        <v>940.46217418348499</v>
      </c>
      <c r="V4140">
        <v>3.3404190707561399E-3</v>
      </c>
      <c r="W4140">
        <v>3298760.9592872402</v>
      </c>
      <c r="X4140" t="s">
        <v>40</v>
      </c>
      <c r="Y4140">
        <f>1-899-446-4039</f>
        <v>-5383</v>
      </c>
    </row>
    <row r="4141" spans="1:25" x14ac:dyDescent="0.35">
      <c r="A4141">
        <v>34.5365737393046</v>
      </c>
      <c r="B4141">
        <v>-122.339976448519</v>
      </c>
      <c r="C4141" t="s">
        <v>29</v>
      </c>
      <c r="D4141">
        <v>12.171638810562699</v>
      </c>
      <c r="E4141">
        <v>7</v>
      </c>
      <c r="F4141">
        <v>1128</v>
      </c>
      <c r="G4141">
        <v>4</v>
      </c>
      <c r="H4141">
        <v>2</v>
      </c>
      <c r="I4141">
        <v>1984</v>
      </c>
      <c r="J4141">
        <v>0</v>
      </c>
      <c r="K4141">
        <v>1</v>
      </c>
      <c r="L4141">
        <v>0</v>
      </c>
      <c r="M4141">
        <v>11</v>
      </c>
      <c r="N4141" t="s">
        <v>41</v>
      </c>
      <c r="O4141" t="s">
        <v>32</v>
      </c>
      <c r="P4141">
        <v>5.77099928126081</v>
      </c>
      <c r="Q4141">
        <v>1.1023318304254</v>
      </c>
      <c r="R4141">
        <v>1.8032057198524301</v>
      </c>
      <c r="S4141">
        <v>18</v>
      </c>
      <c r="T4141">
        <v>49</v>
      </c>
      <c r="U4141">
        <v>539.42908703536204</v>
      </c>
      <c r="V4141">
        <v>9.7517730496453903E-3</v>
      </c>
      <c r="W4141">
        <v>975562.29853280203</v>
      </c>
      <c r="X4141" t="s">
        <v>39</v>
      </c>
      <c r="Y4141">
        <f>1-414-132-7312</f>
        <v>-7857</v>
      </c>
    </row>
    <row r="4142" spans="1:25" x14ac:dyDescent="0.35">
      <c r="A4142">
        <v>36.818190073543299</v>
      </c>
      <c r="B4142">
        <v>-115.190915527128</v>
      </c>
      <c r="C4142" t="s">
        <v>34</v>
      </c>
      <c r="D4142">
        <v>38.205420042052303</v>
      </c>
      <c r="E4142">
        <v>1</v>
      </c>
      <c r="F4142">
        <v>1107</v>
      </c>
      <c r="G4142">
        <v>3</v>
      </c>
      <c r="H4142">
        <v>3</v>
      </c>
      <c r="I4142">
        <v>1959</v>
      </c>
      <c r="J4142">
        <v>0</v>
      </c>
      <c r="K4142">
        <v>1</v>
      </c>
      <c r="L4142">
        <v>0</v>
      </c>
      <c r="M4142">
        <v>13</v>
      </c>
      <c r="N4142" t="s">
        <v>37</v>
      </c>
      <c r="O4142" t="s">
        <v>27</v>
      </c>
      <c r="P4142">
        <v>6.1277444456593502</v>
      </c>
      <c r="Q4142">
        <v>1.2036402922526901</v>
      </c>
      <c r="R4142">
        <v>5.0796228774732599</v>
      </c>
      <c r="S4142">
        <v>183</v>
      </c>
      <c r="T4142">
        <v>50</v>
      </c>
      <c r="U4142">
        <v>331.12672406868597</v>
      </c>
      <c r="V4142">
        <v>1.1743450767841E-2</v>
      </c>
      <c r="W4142">
        <v>655172.57972305</v>
      </c>
      <c r="X4142" t="s">
        <v>38</v>
      </c>
      <c r="Y4142">
        <f>1-584-287-8945</f>
        <v>-9815</v>
      </c>
    </row>
    <row r="4143" spans="1:25" x14ac:dyDescent="0.35">
      <c r="A4143">
        <v>35.186257309210902</v>
      </c>
      <c r="B4143">
        <v>-118.992741800264</v>
      </c>
      <c r="C4143" t="s">
        <v>29</v>
      </c>
      <c r="D4143">
        <v>8.1349565839542901</v>
      </c>
      <c r="E4143">
        <v>3</v>
      </c>
      <c r="F4143">
        <v>3534</v>
      </c>
      <c r="G4143">
        <v>4</v>
      </c>
      <c r="H4143">
        <v>3</v>
      </c>
      <c r="I4143">
        <v>1950</v>
      </c>
      <c r="J4143">
        <v>1</v>
      </c>
      <c r="K4143">
        <v>1</v>
      </c>
      <c r="L4143">
        <v>1</v>
      </c>
      <c r="M4143">
        <v>13</v>
      </c>
      <c r="N4143" t="s">
        <v>26</v>
      </c>
      <c r="O4143" t="s">
        <v>32</v>
      </c>
      <c r="P4143">
        <v>8.0883203126620096</v>
      </c>
      <c r="Q4143">
        <v>1.51680095804435</v>
      </c>
      <c r="R4143">
        <v>3.8706776464968802</v>
      </c>
      <c r="S4143">
        <v>193</v>
      </c>
      <c r="T4143">
        <v>46</v>
      </c>
      <c r="U4143">
        <v>447.87234912965198</v>
      </c>
      <c r="V4143">
        <v>3.6785512167515498E-3</v>
      </c>
      <c r="W4143">
        <v>1885281.18361478</v>
      </c>
      <c r="X4143" t="s">
        <v>38</v>
      </c>
      <c r="Y4143">
        <f>1-411-760-6907</f>
        <v>-8077</v>
      </c>
    </row>
    <row r="4144" spans="1:25" x14ac:dyDescent="0.35">
      <c r="A4144">
        <v>34.776960959688203</v>
      </c>
      <c r="B4144">
        <v>-124.168974611168</v>
      </c>
      <c r="C4144" t="s">
        <v>29</v>
      </c>
      <c r="D4144">
        <v>38.329697072380597</v>
      </c>
      <c r="E4144">
        <v>2</v>
      </c>
      <c r="F4144">
        <v>4450</v>
      </c>
      <c r="G4144">
        <v>2</v>
      </c>
      <c r="H4144">
        <v>1</v>
      </c>
      <c r="I4144">
        <v>1987</v>
      </c>
      <c r="J4144">
        <v>0</v>
      </c>
      <c r="K4144">
        <v>0</v>
      </c>
      <c r="L4144">
        <v>1</v>
      </c>
      <c r="M4144">
        <v>14</v>
      </c>
      <c r="N4144" t="s">
        <v>26</v>
      </c>
      <c r="O4144" t="s">
        <v>27</v>
      </c>
      <c r="P4144">
        <v>5.9243646675630597</v>
      </c>
      <c r="Q4144">
        <v>1.5814654061626501</v>
      </c>
      <c r="R4144">
        <v>0.17541224219334101</v>
      </c>
      <c r="S4144">
        <v>76</v>
      </c>
      <c r="T4144">
        <v>72</v>
      </c>
      <c r="U4144">
        <v>918.98815853643703</v>
      </c>
      <c r="V4144">
        <v>3.1460674157303302E-3</v>
      </c>
      <c r="W4144">
        <v>4190821.7131133499</v>
      </c>
      <c r="X4144" t="s">
        <v>40</v>
      </c>
      <c r="Y4144">
        <f>1-641-384-9770</f>
        <v>-10794</v>
      </c>
    </row>
    <row r="4145" spans="1:25" x14ac:dyDescent="0.35">
      <c r="A4145">
        <v>36.602188380596701</v>
      </c>
      <c r="B4145">
        <v>-118.382171759901</v>
      </c>
      <c r="C4145" t="s">
        <v>34</v>
      </c>
      <c r="D4145">
        <v>28.199338315069799</v>
      </c>
      <c r="E4145">
        <v>0</v>
      </c>
      <c r="F4145">
        <v>4498</v>
      </c>
      <c r="G4145">
        <v>1</v>
      </c>
      <c r="H4145">
        <v>1</v>
      </c>
      <c r="I4145">
        <v>1969</v>
      </c>
      <c r="J4145">
        <v>0</v>
      </c>
      <c r="K4145">
        <v>0</v>
      </c>
      <c r="L4145">
        <v>1</v>
      </c>
      <c r="M4145">
        <v>14</v>
      </c>
      <c r="N4145" t="s">
        <v>41</v>
      </c>
      <c r="O4145" t="s">
        <v>32</v>
      </c>
      <c r="P4145">
        <v>4.4430031497539799</v>
      </c>
      <c r="Q4145">
        <v>0.93865084373081697</v>
      </c>
      <c r="R4145">
        <v>6.3803826059699302</v>
      </c>
      <c r="S4145">
        <v>37</v>
      </c>
      <c r="T4145">
        <v>20</v>
      </c>
      <c r="U4145">
        <v>388.38373519531598</v>
      </c>
      <c r="V4145">
        <v>3.1124944419742102E-3</v>
      </c>
      <c r="W4145">
        <v>1721445.7284194899</v>
      </c>
      <c r="X4145" t="s">
        <v>40</v>
      </c>
      <c r="Y4145">
        <f>1-363-137-5449</f>
        <v>-5948</v>
      </c>
    </row>
    <row r="4146" spans="1:25" x14ac:dyDescent="0.35">
      <c r="A4146">
        <v>40.173217166901999</v>
      </c>
      <c r="B4146">
        <v>-118.588744887741</v>
      </c>
      <c r="C4146" t="s">
        <v>34</v>
      </c>
      <c r="D4146">
        <v>20.405575342820001</v>
      </c>
      <c r="E4146">
        <v>7</v>
      </c>
      <c r="F4146">
        <v>2164</v>
      </c>
      <c r="G4146">
        <v>1</v>
      </c>
      <c r="H4146">
        <v>3</v>
      </c>
      <c r="I4146">
        <v>2012</v>
      </c>
      <c r="J4146">
        <v>1</v>
      </c>
      <c r="K4146">
        <v>0</v>
      </c>
      <c r="L4146">
        <v>1</v>
      </c>
      <c r="M4146">
        <v>8</v>
      </c>
      <c r="N4146" t="s">
        <v>37</v>
      </c>
      <c r="O4146" t="s">
        <v>30</v>
      </c>
      <c r="P4146">
        <v>3.71495239305243</v>
      </c>
      <c r="Q4146">
        <v>1.7884199777146501</v>
      </c>
      <c r="R4146">
        <v>2.32022187060221</v>
      </c>
      <c r="S4146">
        <v>62</v>
      </c>
      <c r="T4146">
        <v>41</v>
      </c>
      <c r="U4146">
        <v>214.155937929712</v>
      </c>
      <c r="V4146">
        <v>3.6968576709796599E-3</v>
      </c>
      <c r="W4146">
        <v>659700.18190602504</v>
      </c>
      <c r="X4146" t="s">
        <v>33</v>
      </c>
      <c r="Y4146">
        <f>1-337-827-3076</f>
        <v>-4239</v>
      </c>
    </row>
    <row r="4147" spans="1:25" x14ac:dyDescent="0.35">
      <c r="A4147">
        <v>39.081078329673403</v>
      </c>
      <c r="B4147">
        <v>-117.62468361207399</v>
      </c>
      <c r="C4147" t="s">
        <v>25</v>
      </c>
      <c r="D4147">
        <v>36.789662860018304</v>
      </c>
      <c r="E4147">
        <v>3</v>
      </c>
      <c r="F4147">
        <v>4668</v>
      </c>
      <c r="G4147">
        <v>4</v>
      </c>
      <c r="H4147">
        <v>3</v>
      </c>
      <c r="I4147">
        <v>2002</v>
      </c>
      <c r="J4147">
        <v>0</v>
      </c>
      <c r="K4147">
        <v>0</v>
      </c>
      <c r="L4147">
        <v>1</v>
      </c>
      <c r="M4147">
        <v>2</v>
      </c>
      <c r="N4147" t="s">
        <v>37</v>
      </c>
      <c r="O4147" t="s">
        <v>32</v>
      </c>
      <c r="P4147">
        <v>6.3722667641803197</v>
      </c>
      <c r="Q4147">
        <v>0.78432478854311005</v>
      </c>
      <c r="R4147">
        <v>6.6980795793767101</v>
      </c>
      <c r="S4147">
        <v>16</v>
      </c>
      <c r="T4147">
        <v>60</v>
      </c>
      <c r="U4147">
        <v>261.53145565545901</v>
      </c>
      <c r="V4147">
        <v>4.2844901456726598E-4</v>
      </c>
      <c r="W4147">
        <v>1564578.7423609199</v>
      </c>
      <c r="X4147" t="s">
        <v>39</v>
      </c>
      <c r="Y4147">
        <f>1-703-280-9435</f>
        <v>-10417</v>
      </c>
    </row>
    <row r="4148" spans="1:25" x14ac:dyDescent="0.35">
      <c r="A4148">
        <v>38.406542570181998</v>
      </c>
      <c r="B4148">
        <v>-118.16048598951799</v>
      </c>
      <c r="C4148" t="s">
        <v>29</v>
      </c>
      <c r="D4148">
        <v>41.679844869638004</v>
      </c>
      <c r="E4148">
        <v>8</v>
      </c>
      <c r="F4148">
        <v>3574</v>
      </c>
      <c r="G4148">
        <v>4</v>
      </c>
      <c r="H4148">
        <v>3</v>
      </c>
      <c r="I4148">
        <v>2007</v>
      </c>
      <c r="J4148">
        <v>0</v>
      </c>
      <c r="K4148">
        <v>0</v>
      </c>
      <c r="L4148">
        <v>0</v>
      </c>
      <c r="M4148">
        <v>9</v>
      </c>
      <c r="N4148" t="s">
        <v>41</v>
      </c>
      <c r="O4148" t="s">
        <v>30</v>
      </c>
      <c r="P4148">
        <v>10.7821712374732</v>
      </c>
      <c r="Q4148">
        <v>1.90623512803865</v>
      </c>
      <c r="R4148">
        <v>3.8143511777990602</v>
      </c>
      <c r="S4148">
        <v>105</v>
      </c>
      <c r="T4148">
        <v>56</v>
      </c>
      <c r="U4148">
        <v>221.71023634735201</v>
      </c>
      <c r="V4148">
        <v>2.5181869054280901E-3</v>
      </c>
      <c r="W4148">
        <v>1071780.86428307</v>
      </c>
      <c r="X4148" t="s">
        <v>31</v>
      </c>
      <c r="Y4148">
        <f>1-804-147-4397</f>
        <v>-5347</v>
      </c>
    </row>
    <row r="4149" spans="1:25" x14ac:dyDescent="0.35">
      <c r="A4149">
        <v>39.411812162308003</v>
      </c>
      <c r="B4149">
        <v>-118.983661145951</v>
      </c>
      <c r="C4149" t="s">
        <v>34</v>
      </c>
      <c r="D4149">
        <v>4.4040969921206603</v>
      </c>
      <c r="E4149">
        <v>4</v>
      </c>
      <c r="F4149">
        <v>1556</v>
      </c>
      <c r="G4149">
        <v>5</v>
      </c>
      <c r="H4149">
        <v>1</v>
      </c>
      <c r="I4149">
        <v>1959</v>
      </c>
      <c r="J4149">
        <v>1</v>
      </c>
      <c r="K4149">
        <v>0</v>
      </c>
      <c r="L4149">
        <v>1</v>
      </c>
      <c r="M4149">
        <v>6</v>
      </c>
      <c r="N4149" t="s">
        <v>37</v>
      </c>
      <c r="O4149" t="s">
        <v>27</v>
      </c>
      <c r="P4149">
        <v>11.6930711373154</v>
      </c>
      <c r="Q4149">
        <v>1.13747175699051</v>
      </c>
      <c r="R4149">
        <v>8.4356492954056499</v>
      </c>
      <c r="S4149">
        <v>100</v>
      </c>
      <c r="T4149">
        <v>32</v>
      </c>
      <c r="U4149">
        <v>334.27504349407502</v>
      </c>
      <c r="V4149">
        <v>3.8560411311053902E-3</v>
      </c>
      <c r="W4149">
        <v>887878.94586732495</v>
      </c>
      <c r="X4149" t="s">
        <v>28</v>
      </c>
      <c r="Y4149">
        <f>1-609-860-4673</f>
        <v>-6141</v>
      </c>
    </row>
    <row r="4150" spans="1:25" x14ac:dyDescent="0.35">
      <c r="A4150">
        <v>39.667493612273901</v>
      </c>
      <c r="B4150">
        <v>-118.72167510660699</v>
      </c>
      <c r="C4150" t="s">
        <v>25</v>
      </c>
      <c r="D4150">
        <v>31.541230144290001</v>
      </c>
      <c r="E4150">
        <v>3</v>
      </c>
      <c r="F4150">
        <v>2255</v>
      </c>
      <c r="G4150">
        <v>4</v>
      </c>
      <c r="H4150">
        <v>3</v>
      </c>
      <c r="I4150">
        <v>1992</v>
      </c>
      <c r="J4150">
        <v>0</v>
      </c>
      <c r="K4150">
        <v>1</v>
      </c>
      <c r="L4150">
        <v>1</v>
      </c>
      <c r="M4150">
        <v>13</v>
      </c>
      <c r="N4150" t="s">
        <v>41</v>
      </c>
      <c r="O4150" t="s">
        <v>32</v>
      </c>
      <c r="P4150">
        <v>12.5114789215515</v>
      </c>
      <c r="Q4150">
        <v>1.7077588956549199</v>
      </c>
      <c r="R4150">
        <v>8.1287292169191296</v>
      </c>
      <c r="S4150">
        <v>10</v>
      </c>
      <c r="T4150">
        <v>36</v>
      </c>
      <c r="U4150">
        <v>768.27680143598695</v>
      </c>
      <c r="V4150">
        <v>5.7649667405764897E-3</v>
      </c>
      <c r="W4150">
        <v>2123732.89606142</v>
      </c>
      <c r="X4150" t="s">
        <v>42</v>
      </c>
      <c r="Y4150">
        <f>1-378-908-3286</f>
        <v>-4571</v>
      </c>
    </row>
    <row r="4151" spans="1:25" x14ac:dyDescent="0.35">
      <c r="A4151">
        <v>32.833340368847303</v>
      </c>
      <c r="B4151">
        <v>-115.246220867359</v>
      </c>
      <c r="C4151" t="s">
        <v>29</v>
      </c>
      <c r="D4151">
        <v>21.349605868164801</v>
      </c>
      <c r="E4151">
        <v>0</v>
      </c>
      <c r="F4151">
        <v>551</v>
      </c>
      <c r="G4151">
        <v>1</v>
      </c>
      <c r="H4151">
        <v>1</v>
      </c>
      <c r="I4151">
        <v>1950</v>
      </c>
      <c r="J4151">
        <v>1</v>
      </c>
      <c r="K4151">
        <v>0</v>
      </c>
      <c r="L4151">
        <v>1</v>
      </c>
      <c r="M4151">
        <v>8</v>
      </c>
      <c r="N4151" t="s">
        <v>37</v>
      </c>
      <c r="O4151" t="s">
        <v>27</v>
      </c>
      <c r="P4151">
        <v>4.2810944874326999</v>
      </c>
      <c r="Q4151">
        <v>1.4524768988401999</v>
      </c>
      <c r="R4151">
        <v>9.4034511402853607</v>
      </c>
      <c r="S4151">
        <v>96</v>
      </c>
      <c r="T4151">
        <v>59</v>
      </c>
      <c r="U4151">
        <v>975.68255079569803</v>
      </c>
      <c r="V4151">
        <v>1.4519056261343E-2</v>
      </c>
      <c r="W4151">
        <v>673200.94118568697</v>
      </c>
      <c r="X4151" t="s">
        <v>44</v>
      </c>
      <c r="Y4151">
        <f>1-420-753-1680</f>
        <v>-2852</v>
      </c>
    </row>
    <row r="4152" spans="1:25" x14ac:dyDescent="0.35">
      <c r="A4152">
        <v>34.617434561013702</v>
      </c>
      <c r="B4152">
        <v>-117.63199920040501</v>
      </c>
      <c r="C4152" t="s">
        <v>34</v>
      </c>
      <c r="D4152">
        <v>48.864873602543</v>
      </c>
      <c r="E4152">
        <v>7</v>
      </c>
      <c r="F4152">
        <v>2911</v>
      </c>
      <c r="G4152">
        <v>5</v>
      </c>
      <c r="H4152">
        <v>2</v>
      </c>
      <c r="I4152">
        <v>2011</v>
      </c>
      <c r="J4152">
        <v>1</v>
      </c>
      <c r="K4152">
        <v>0</v>
      </c>
      <c r="L4152">
        <v>1</v>
      </c>
      <c r="M4152">
        <v>4</v>
      </c>
      <c r="N4152" t="s">
        <v>41</v>
      </c>
      <c r="O4152" t="s">
        <v>30</v>
      </c>
      <c r="P4152">
        <v>13.336497856855299</v>
      </c>
      <c r="Q4152">
        <v>0.87336525792709896</v>
      </c>
      <c r="R4152">
        <v>3.00598787022588</v>
      </c>
      <c r="S4152">
        <v>67</v>
      </c>
      <c r="T4152">
        <v>29</v>
      </c>
      <c r="U4152">
        <v>259.96852810314198</v>
      </c>
      <c r="V4152">
        <v>1.3740982480247299E-3</v>
      </c>
      <c r="W4152">
        <v>1222584.19323809</v>
      </c>
      <c r="X4152" t="s">
        <v>44</v>
      </c>
      <c r="Y4152">
        <f>1-756-578-7256</f>
        <v>-8589</v>
      </c>
    </row>
    <row r="4153" spans="1:25" x14ac:dyDescent="0.35">
      <c r="A4153">
        <v>41.187330432777102</v>
      </c>
      <c r="B4153">
        <v>-118.121905093367</v>
      </c>
      <c r="C4153" t="s">
        <v>34</v>
      </c>
      <c r="D4153">
        <v>46.321416171810199</v>
      </c>
      <c r="E4153">
        <v>0</v>
      </c>
      <c r="F4153">
        <v>512</v>
      </c>
      <c r="G4153">
        <v>1</v>
      </c>
      <c r="H4153">
        <v>3</v>
      </c>
      <c r="I4153">
        <v>1998</v>
      </c>
      <c r="J4153">
        <v>0</v>
      </c>
      <c r="K4153">
        <v>0</v>
      </c>
      <c r="L4153">
        <v>1</v>
      </c>
      <c r="M4153">
        <v>10</v>
      </c>
      <c r="N4153" t="s">
        <v>26</v>
      </c>
      <c r="O4153" t="s">
        <v>30</v>
      </c>
      <c r="P4153">
        <v>11.1792700295057</v>
      </c>
      <c r="Q4153">
        <v>0.71727585199970101</v>
      </c>
      <c r="R4153">
        <v>2.9569453224941702</v>
      </c>
      <c r="S4153">
        <v>45</v>
      </c>
      <c r="T4153">
        <v>78</v>
      </c>
      <c r="U4153">
        <v>954.84268488790804</v>
      </c>
      <c r="V4153">
        <v>1.953125E-2</v>
      </c>
      <c r="W4153">
        <v>678294.50892891397</v>
      </c>
      <c r="X4153" t="s">
        <v>40</v>
      </c>
      <c r="Y4153">
        <f>1-695-271-9233</f>
        <v>-10198</v>
      </c>
    </row>
    <row r="4154" spans="1:25" x14ac:dyDescent="0.35">
      <c r="A4154">
        <v>36.713525284565797</v>
      </c>
      <c r="B4154">
        <v>-122.44879830934001</v>
      </c>
      <c r="C4154" t="s">
        <v>25</v>
      </c>
      <c r="D4154">
        <v>20.220620497533599</v>
      </c>
      <c r="E4154">
        <v>6</v>
      </c>
      <c r="F4154">
        <v>2289</v>
      </c>
      <c r="G4154">
        <v>4</v>
      </c>
      <c r="H4154">
        <v>3</v>
      </c>
      <c r="I4154">
        <v>1967</v>
      </c>
      <c r="J4154">
        <v>1</v>
      </c>
      <c r="K4154">
        <v>0</v>
      </c>
      <c r="L4154">
        <v>0</v>
      </c>
      <c r="M4154">
        <v>2</v>
      </c>
      <c r="N4154" t="s">
        <v>35</v>
      </c>
      <c r="O4154" t="s">
        <v>32</v>
      </c>
      <c r="P4154">
        <v>2.9353787885879101</v>
      </c>
      <c r="Q4154">
        <v>0.77246151738551305</v>
      </c>
      <c r="R4154">
        <v>1.82080663463974</v>
      </c>
      <c r="S4154">
        <v>102</v>
      </c>
      <c r="T4154">
        <v>77</v>
      </c>
      <c r="U4154">
        <v>800.51698296209497</v>
      </c>
      <c r="V4154">
        <v>8.7374399301004795E-4</v>
      </c>
      <c r="W4154">
        <v>2070024.44279935</v>
      </c>
      <c r="X4154" t="s">
        <v>31</v>
      </c>
      <c r="Y4154">
        <f>1-801-213-5217</f>
        <v>-6230</v>
      </c>
    </row>
    <row r="4155" spans="1:25" x14ac:dyDescent="0.35">
      <c r="A4155">
        <v>37.236535394816102</v>
      </c>
      <c r="B4155">
        <v>-117.350633024902</v>
      </c>
      <c r="C4155" t="s">
        <v>29</v>
      </c>
      <c r="D4155">
        <v>10.272773546765</v>
      </c>
      <c r="E4155">
        <v>0</v>
      </c>
      <c r="F4155">
        <v>573</v>
      </c>
      <c r="G4155">
        <v>4</v>
      </c>
      <c r="H4155">
        <v>2</v>
      </c>
      <c r="I4155">
        <v>2011</v>
      </c>
      <c r="J4155">
        <v>0</v>
      </c>
      <c r="K4155">
        <v>0</v>
      </c>
      <c r="L4155">
        <v>0</v>
      </c>
      <c r="M4155">
        <v>8</v>
      </c>
      <c r="N4155" t="s">
        <v>41</v>
      </c>
      <c r="O4155" t="s">
        <v>32</v>
      </c>
      <c r="P4155">
        <v>9.7571222456184099</v>
      </c>
      <c r="Q4155">
        <v>1.09618648710188</v>
      </c>
      <c r="R4155">
        <v>7.2183226026821803</v>
      </c>
      <c r="S4155">
        <v>99</v>
      </c>
      <c r="T4155">
        <v>41</v>
      </c>
      <c r="U4155">
        <v>263.836750193348</v>
      </c>
      <c r="V4155">
        <v>1.3961605584642199E-2</v>
      </c>
      <c r="W4155">
        <v>467936.740042285</v>
      </c>
      <c r="X4155" t="s">
        <v>33</v>
      </c>
      <c r="Y4155">
        <f>1-247-303-2134</f>
        <v>-2683</v>
      </c>
    </row>
    <row r="4156" spans="1:25" x14ac:dyDescent="0.35">
      <c r="A4156">
        <v>41.930067446646703</v>
      </c>
      <c r="B4156">
        <v>-121.878033346987</v>
      </c>
      <c r="C4156" t="s">
        <v>34</v>
      </c>
      <c r="D4156">
        <v>7.3506354722719696</v>
      </c>
      <c r="E4156">
        <v>3</v>
      </c>
      <c r="F4156">
        <v>2425</v>
      </c>
      <c r="G4156">
        <v>1</v>
      </c>
      <c r="H4156">
        <v>2</v>
      </c>
      <c r="I4156">
        <v>2003</v>
      </c>
      <c r="J4156">
        <v>1</v>
      </c>
      <c r="K4156">
        <v>1</v>
      </c>
      <c r="L4156">
        <v>0</v>
      </c>
      <c r="M4156">
        <v>6</v>
      </c>
      <c r="N4156" t="s">
        <v>37</v>
      </c>
      <c r="O4156" t="s">
        <v>27</v>
      </c>
      <c r="P4156">
        <v>10.3364498137678</v>
      </c>
      <c r="Q4156">
        <v>2.0051510218170101</v>
      </c>
      <c r="R4156">
        <v>5.7314430091752397</v>
      </c>
      <c r="S4156">
        <v>79</v>
      </c>
      <c r="T4156">
        <v>37</v>
      </c>
      <c r="U4156">
        <v>365.83530082078801</v>
      </c>
      <c r="V4156">
        <v>2.4742268041237098E-3</v>
      </c>
      <c r="W4156">
        <v>1158350.82740254</v>
      </c>
      <c r="X4156" t="s">
        <v>28</v>
      </c>
      <c r="Y4156">
        <f>1-967-230-4568</f>
        <v>-5764</v>
      </c>
    </row>
    <row r="4157" spans="1:25" x14ac:dyDescent="0.35">
      <c r="A4157">
        <v>34.255021736874703</v>
      </c>
      <c r="B4157">
        <v>-118.303370951696</v>
      </c>
      <c r="C4157" t="s">
        <v>29</v>
      </c>
      <c r="D4157">
        <v>34.394750220224402</v>
      </c>
      <c r="E4157">
        <v>8</v>
      </c>
      <c r="F4157">
        <v>1873</v>
      </c>
      <c r="G4157">
        <v>3</v>
      </c>
      <c r="H4157">
        <v>1</v>
      </c>
      <c r="I4157">
        <v>2009</v>
      </c>
      <c r="J4157">
        <v>0</v>
      </c>
      <c r="K4157">
        <v>1</v>
      </c>
      <c r="L4157">
        <v>0</v>
      </c>
      <c r="M4157">
        <v>10</v>
      </c>
      <c r="N4157" t="s">
        <v>37</v>
      </c>
      <c r="O4157" t="s">
        <v>32</v>
      </c>
      <c r="P4157">
        <v>4.7082223297962802</v>
      </c>
      <c r="Q4157">
        <v>1.3139607609400401</v>
      </c>
      <c r="R4157">
        <v>8.8107789542942001</v>
      </c>
      <c r="S4157">
        <v>2</v>
      </c>
      <c r="T4157">
        <v>60</v>
      </c>
      <c r="U4157">
        <v>752.92903562446895</v>
      </c>
      <c r="V4157">
        <v>5.33902829684997E-3</v>
      </c>
      <c r="W4157">
        <v>1713722.6599611</v>
      </c>
      <c r="X4157" t="s">
        <v>39</v>
      </c>
      <c r="Y4157">
        <f>1-642-503-3318</f>
        <v>-4462</v>
      </c>
    </row>
    <row r="4158" spans="1:25" x14ac:dyDescent="0.35">
      <c r="A4158">
        <v>38.3894670051912</v>
      </c>
      <c r="B4158">
        <v>-116.69164073251901</v>
      </c>
      <c r="C4158" t="s">
        <v>25</v>
      </c>
      <c r="D4158">
        <v>28.8342514933906</v>
      </c>
      <c r="E4158">
        <v>5</v>
      </c>
      <c r="F4158">
        <v>4659</v>
      </c>
      <c r="G4158">
        <v>2</v>
      </c>
      <c r="H4158">
        <v>1</v>
      </c>
      <c r="I4158">
        <v>2014</v>
      </c>
      <c r="J4158">
        <v>0</v>
      </c>
      <c r="K4158">
        <v>0</v>
      </c>
      <c r="L4158">
        <v>1</v>
      </c>
      <c r="M4158">
        <v>10</v>
      </c>
      <c r="N4158" t="s">
        <v>26</v>
      </c>
      <c r="O4158" t="s">
        <v>27</v>
      </c>
      <c r="P4158">
        <v>10.4125529495525</v>
      </c>
      <c r="Q4158">
        <v>1.06886822094137</v>
      </c>
      <c r="R4158">
        <v>3.0453138509921001</v>
      </c>
      <c r="S4158">
        <v>123</v>
      </c>
      <c r="T4158">
        <v>72</v>
      </c>
      <c r="U4158">
        <v>839.63057994336805</v>
      </c>
      <c r="V4158">
        <v>2.1463833440652498E-3</v>
      </c>
      <c r="W4158">
        <v>4132729.6379858302</v>
      </c>
      <c r="X4158" t="s">
        <v>38</v>
      </c>
      <c r="Y4158">
        <f>1-260-560-9197</f>
        <v>-10016</v>
      </c>
    </row>
    <row r="4159" spans="1:25" x14ac:dyDescent="0.35">
      <c r="A4159">
        <v>38.257900603909</v>
      </c>
      <c r="B4159">
        <v>-114.22649244984299</v>
      </c>
      <c r="C4159" t="s">
        <v>29</v>
      </c>
      <c r="D4159">
        <v>1.93512557694193</v>
      </c>
      <c r="E4159">
        <v>1</v>
      </c>
      <c r="F4159">
        <v>3435</v>
      </c>
      <c r="G4159">
        <v>5</v>
      </c>
      <c r="H4159">
        <v>2</v>
      </c>
      <c r="I4159">
        <v>1979</v>
      </c>
      <c r="J4159">
        <v>1</v>
      </c>
      <c r="K4159">
        <v>1</v>
      </c>
      <c r="L4159">
        <v>1</v>
      </c>
      <c r="M4159">
        <v>5</v>
      </c>
      <c r="N4159" t="s">
        <v>41</v>
      </c>
      <c r="O4159" t="s">
        <v>27</v>
      </c>
      <c r="P4159">
        <v>9.7297138103827194</v>
      </c>
      <c r="Q4159">
        <v>1.0830386396562</v>
      </c>
      <c r="R4159">
        <v>4.7583474217258601</v>
      </c>
      <c r="S4159">
        <v>28</v>
      </c>
      <c r="T4159">
        <v>23</v>
      </c>
      <c r="U4159">
        <v>488.45728228742598</v>
      </c>
      <c r="V4159">
        <v>1.4556040756914101E-3</v>
      </c>
      <c r="W4159">
        <v>2235575.3891724902</v>
      </c>
      <c r="X4159" t="s">
        <v>42</v>
      </c>
      <c r="Y4159">
        <f>1-893-893-6975</f>
        <v>-8760</v>
      </c>
    </row>
    <row r="4160" spans="1:25" x14ac:dyDescent="0.35">
      <c r="A4160">
        <v>33.712314359075002</v>
      </c>
      <c r="B4160">
        <v>-124.273444808237</v>
      </c>
      <c r="C4160" t="s">
        <v>34</v>
      </c>
      <c r="D4160">
        <v>43.611519073055803</v>
      </c>
      <c r="E4160">
        <v>8</v>
      </c>
      <c r="F4160">
        <v>1095</v>
      </c>
      <c r="G4160">
        <v>4</v>
      </c>
      <c r="H4160">
        <v>3</v>
      </c>
      <c r="I4160">
        <v>2017</v>
      </c>
      <c r="J4160">
        <v>0</v>
      </c>
      <c r="K4160">
        <v>1</v>
      </c>
      <c r="L4160">
        <v>1</v>
      </c>
      <c r="M4160">
        <v>14</v>
      </c>
      <c r="N4160" t="s">
        <v>37</v>
      </c>
      <c r="O4160" t="s">
        <v>32</v>
      </c>
      <c r="P4160">
        <v>14.9615533062357</v>
      </c>
      <c r="Q4160">
        <v>1.2286026271894299</v>
      </c>
      <c r="R4160">
        <v>0.36462382546965699</v>
      </c>
      <c r="S4160">
        <v>146</v>
      </c>
      <c r="T4160">
        <v>25</v>
      </c>
      <c r="U4160">
        <v>877.95714988853399</v>
      </c>
      <c r="V4160">
        <v>1.27853881278538E-2</v>
      </c>
      <c r="W4160">
        <v>1439690.3992077899</v>
      </c>
      <c r="X4160" t="s">
        <v>31</v>
      </c>
      <c r="Y4160">
        <f>1-424-153-4189</f>
        <v>-4765</v>
      </c>
    </row>
    <row r="4161" spans="1:25" x14ac:dyDescent="0.35">
      <c r="A4161">
        <v>41.810565769168697</v>
      </c>
      <c r="B4161">
        <v>-123.017174439293</v>
      </c>
      <c r="C4161" t="s">
        <v>34</v>
      </c>
      <c r="D4161">
        <v>44.3514348969981</v>
      </c>
      <c r="E4161">
        <v>1</v>
      </c>
      <c r="F4161">
        <v>2557</v>
      </c>
      <c r="G4161">
        <v>1</v>
      </c>
      <c r="H4161">
        <v>2</v>
      </c>
      <c r="I4161">
        <v>1959</v>
      </c>
      <c r="J4161">
        <v>1</v>
      </c>
      <c r="K4161">
        <v>1</v>
      </c>
      <c r="L4161">
        <v>1</v>
      </c>
      <c r="M4161">
        <v>13</v>
      </c>
      <c r="N4161" t="s">
        <v>26</v>
      </c>
      <c r="O4161" t="s">
        <v>32</v>
      </c>
      <c r="P4161">
        <v>9.0964553530690395</v>
      </c>
      <c r="Q4161">
        <v>0.98891360071546197</v>
      </c>
      <c r="R4161">
        <v>5.4765805538338004</v>
      </c>
      <c r="S4161">
        <v>63</v>
      </c>
      <c r="T4161">
        <v>75</v>
      </c>
      <c r="U4161">
        <v>624.94559386739797</v>
      </c>
      <c r="V4161">
        <v>5.0840829096597496E-3</v>
      </c>
      <c r="W4161">
        <v>1837618.0143905999</v>
      </c>
      <c r="X4161" t="s">
        <v>43</v>
      </c>
      <c r="Y4161">
        <f>1-542-955-6680</f>
        <v>-8176</v>
      </c>
    </row>
    <row r="4162" spans="1:25" x14ac:dyDescent="0.35">
      <c r="A4162">
        <v>32.935265917846301</v>
      </c>
      <c r="B4162">
        <v>-122.481086127578</v>
      </c>
      <c r="C4162" t="s">
        <v>25</v>
      </c>
      <c r="D4162">
        <v>14.044193765851601</v>
      </c>
      <c r="E4162">
        <v>1</v>
      </c>
      <c r="F4162">
        <v>4599</v>
      </c>
      <c r="G4162">
        <v>1</v>
      </c>
      <c r="H4162">
        <v>3</v>
      </c>
      <c r="I4162">
        <v>1975</v>
      </c>
      <c r="J4162">
        <v>0</v>
      </c>
      <c r="K4162">
        <v>1</v>
      </c>
      <c r="L4162">
        <v>0</v>
      </c>
      <c r="M4162">
        <v>6</v>
      </c>
      <c r="N4162" t="s">
        <v>37</v>
      </c>
      <c r="O4162" t="s">
        <v>30</v>
      </c>
      <c r="P4162">
        <v>10.320557786001901</v>
      </c>
      <c r="Q4162">
        <v>1.77269125829732</v>
      </c>
      <c r="R4162">
        <v>7.8721462266681099</v>
      </c>
      <c r="S4162">
        <v>130</v>
      </c>
      <c r="T4162">
        <v>79</v>
      </c>
      <c r="U4162">
        <v>330.25679924613797</v>
      </c>
      <c r="V4162">
        <v>1.3046314416177401E-3</v>
      </c>
      <c r="W4162">
        <v>1720940.58059249</v>
      </c>
      <c r="X4162" t="s">
        <v>44</v>
      </c>
      <c r="Y4162">
        <f>1-361-178-5776</f>
        <v>-6314</v>
      </c>
    </row>
    <row r="4163" spans="1:25" x14ac:dyDescent="0.35">
      <c r="A4163">
        <v>39.836211968843898</v>
      </c>
      <c r="B4163">
        <v>-119.95173343637001</v>
      </c>
      <c r="C4163" t="s">
        <v>29</v>
      </c>
      <c r="D4163">
        <v>16.334782493768799</v>
      </c>
      <c r="E4163">
        <v>5</v>
      </c>
      <c r="F4163">
        <v>615</v>
      </c>
      <c r="G4163">
        <v>5</v>
      </c>
      <c r="H4163">
        <v>3</v>
      </c>
      <c r="I4163">
        <v>1964</v>
      </c>
      <c r="J4163">
        <v>0</v>
      </c>
      <c r="K4163">
        <v>0</v>
      </c>
      <c r="L4163">
        <v>1</v>
      </c>
      <c r="M4163">
        <v>10</v>
      </c>
      <c r="N4163" t="s">
        <v>41</v>
      </c>
      <c r="O4163" t="s">
        <v>30</v>
      </c>
      <c r="P4163">
        <v>3.2485151301805999</v>
      </c>
      <c r="Q4163">
        <v>2.30033363532216</v>
      </c>
      <c r="R4163">
        <v>8.6940536194760707</v>
      </c>
      <c r="S4163">
        <v>115</v>
      </c>
      <c r="T4163">
        <v>45</v>
      </c>
      <c r="U4163">
        <v>795.97925143861801</v>
      </c>
      <c r="V4163">
        <v>1.6260162601626001E-2</v>
      </c>
      <c r="W4163">
        <v>748503.62661361403</v>
      </c>
      <c r="X4163" t="s">
        <v>44</v>
      </c>
      <c r="Y4163">
        <f>1-779-925-7838</f>
        <v>-9541</v>
      </c>
    </row>
    <row r="4164" spans="1:25" x14ac:dyDescent="0.35">
      <c r="A4164">
        <v>37.583894450851702</v>
      </c>
      <c r="B4164">
        <v>-115.84752249347601</v>
      </c>
      <c r="C4164" t="s">
        <v>25</v>
      </c>
      <c r="D4164">
        <v>15.601942301970499</v>
      </c>
      <c r="E4164">
        <v>7</v>
      </c>
      <c r="F4164">
        <v>1139</v>
      </c>
      <c r="G4164">
        <v>2</v>
      </c>
      <c r="H4164">
        <v>2</v>
      </c>
      <c r="I4164">
        <v>2006</v>
      </c>
      <c r="J4164">
        <v>1</v>
      </c>
      <c r="K4164">
        <v>1</v>
      </c>
      <c r="L4164">
        <v>0</v>
      </c>
      <c r="M4164">
        <v>13</v>
      </c>
      <c r="N4164" t="s">
        <v>35</v>
      </c>
      <c r="O4164" t="s">
        <v>32</v>
      </c>
      <c r="P4164">
        <v>14.163922946981</v>
      </c>
      <c r="Q4164">
        <v>2.27563057184117</v>
      </c>
      <c r="R4164">
        <v>2.72716525968199</v>
      </c>
      <c r="S4164">
        <v>145</v>
      </c>
      <c r="T4164">
        <v>20</v>
      </c>
      <c r="U4164">
        <v>359.69018444391202</v>
      </c>
      <c r="V4164">
        <v>1.1413520632133399E-2</v>
      </c>
      <c r="W4164">
        <v>703835.73411380395</v>
      </c>
      <c r="X4164" t="s">
        <v>42</v>
      </c>
      <c r="Y4164">
        <f>1-514-928-8808</f>
        <v>-10249</v>
      </c>
    </row>
    <row r="4165" spans="1:25" x14ac:dyDescent="0.35">
      <c r="A4165">
        <v>34.794266045393101</v>
      </c>
      <c r="B4165">
        <v>-120.732831568056</v>
      </c>
      <c r="C4165" t="s">
        <v>34</v>
      </c>
      <c r="D4165">
        <v>47.968624590246101</v>
      </c>
      <c r="E4165">
        <v>8</v>
      </c>
      <c r="F4165">
        <v>543</v>
      </c>
      <c r="G4165">
        <v>5</v>
      </c>
      <c r="H4165">
        <v>3</v>
      </c>
      <c r="I4165">
        <v>1960</v>
      </c>
      <c r="J4165">
        <v>1</v>
      </c>
      <c r="K4165">
        <v>1</v>
      </c>
      <c r="L4165">
        <v>0</v>
      </c>
      <c r="M4165">
        <v>10</v>
      </c>
      <c r="N4165" t="s">
        <v>37</v>
      </c>
      <c r="O4165" t="s">
        <v>27</v>
      </c>
      <c r="P4165">
        <v>5.0660342995737198</v>
      </c>
      <c r="Q4165">
        <v>0.67194616711279498</v>
      </c>
      <c r="R4165">
        <v>2.6559695369130401</v>
      </c>
      <c r="S4165">
        <v>12</v>
      </c>
      <c r="T4165">
        <v>57</v>
      </c>
      <c r="U4165">
        <v>893.73751991849997</v>
      </c>
      <c r="V4165">
        <v>1.8416206261510099E-2</v>
      </c>
      <c r="W4165">
        <v>903534.56505399896</v>
      </c>
      <c r="X4165" t="s">
        <v>28</v>
      </c>
      <c r="Y4165">
        <f>1-276-906-4149</f>
        <v>-5330</v>
      </c>
    </row>
    <row r="4166" spans="1:25" x14ac:dyDescent="0.35">
      <c r="A4166">
        <v>38.9182222828641</v>
      </c>
      <c r="B4166">
        <v>-120.784797940346</v>
      </c>
      <c r="C4166" t="s">
        <v>34</v>
      </c>
      <c r="D4166">
        <v>36.257239889169298</v>
      </c>
      <c r="E4166">
        <v>4</v>
      </c>
      <c r="F4166">
        <v>3588</v>
      </c>
      <c r="G4166">
        <v>1</v>
      </c>
      <c r="H4166">
        <v>2</v>
      </c>
      <c r="I4166">
        <v>1965</v>
      </c>
      <c r="J4166">
        <v>1</v>
      </c>
      <c r="K4166">
        <v>1</v>
      </c>
      <c r="L4166">
        <v>1</v>
      </c>
      <c r="M4166">
        <v>12</v>
      </c>
      <c r="N4166" t="s">
        <v>26</v>
      </c>
      <c r="O4166" t="s">
        <v>30</v>
      </c>
      <c r="P4166">
        <v>3.84492161707586</v>
      </c>
      <c r="Q4166">
        <v>1.6912297777732801</v>
      </c>
      <c r="R4166">
        <v>6.9458475601424903</v>
      </c>
      <c r="S4166">
        <v>123</v>
      </c>
      <c r="T4166">
        <v>22</v>
      </c>
      <c r="U4166">
        <v>267.953284826855</v>
      </c>
      <c r="V4166">
        <v>3.3444816053511701E-3</v>
      </c>
      <c r="W4166">
        <v>1074769.67107088</v>
      </c>
      <c r="X4166" t="s">
        <v>43</v>
      </c>
      <c r="Y4166">
        <f>1-864-780-3392</f>
        <v>-5035</v>
      </c>
    </row>
    <row r="4167" spans="1:25" x14ac:dyDescent="0.35">
      <c r="A4167">
        <v>36.4300166875625</v>
      </c>
      <c r="B4167">
        <v>-117.345118434483</v>
      </c>
      <c r="C4167" t="s">
        <v>34</v>
      </c>
      <c r="D4167">
        <v>17.758515481291901</v>
      </c>
      <c r="E4167">
        <v>4</v>
      </c>
      <c r="F4167">
        <v>3503</v>
      </c>
      <c r="G4167">
        <v>1</v>
      </c>
      <c r="H4167">
        <v>1</v>
      </c>
      <c r="I4167">
        <v>1950</v>
      </c>
      <c r="J4167">
        <v>1</v>
      </c>
      <c r="K4167">
        <v>1</v>
      </c>
      <c r="L4167">
        <v>0</v>
      </c>
      <c r="M4167">
        <v>14</v>
      </c>
      <c r="N4167" t="s">
        <v>35</v>
      </c>
      <c r="O4167" t="s">
        <v>32</v>
      </c>
      <c r="P4167">
        <v>13.353521196741299</v>
      </c>
      <c r="Q4167">
        <v>1.40638244495031</v>
      </c>
      <c r="R4167">
        <v>5.1708992267635496</v>
      </c>
      <c r="S4167">
        <v>31</v>
      </c>
      <c r="T4167">
        <v>33</v>
      </c>
      <c r="U4167">
        <v>202.35287031864701</v>
      </c>
      <c r="V4167">
        <v>3.9965743648301402E-3</v>
      </c>
      <c r="W4167">
        <v>871639.44724422297</v>
      </c>
      <c r="X4167" t="s">
        <v>44</v>
      </c>
      <c r="Y4167">
        <f>1-278-945-1069</f>
        <v>-2291</v>
      </c>
    </row>
    <row r="4168" spans="1:25" x14ac:dyDescent="0.35">
      <c r="A4168">
        <v>41.869957159402297</v>
      </c>
      <c r="B4168">
        <v>-118.50826143282001</v>
      </c>
      <c r="C4168" t="s">
        <v>34</v>
      </c>
      <c r="D4168">
        <v>1.10141053258323</v>
      </c>
      <c r="E4168">
        <v>4</v>
      </c>
      <c r="F4168">
        <v>510</v>
      </c>
      <c r="G4168">
        <v>2</v>
      </c>
      <c r="H4168">
        <v>1</v>
      </c>
      <c r="I4168">
        <v>2008</v>
      </c>
      <c r="J4168">
        <v>1</v>
      </c>
      <c r="K4168">
        <v>1</v>
      </c>
      <c r="L4168">
        <v>0</v>
      </c>
      <c r="M4168">
        <v>14</v>
      </c>
      <c r="N4168" t="s">
        <v>35</v>
      </c>
      <c r="O4168" t="s">
        <v>27</v>
      </c>
      <c r="P4168">
        <v>6.6455563393294401</v>
      </c>
      <c r="Q4168">
        <v>0.586368458745397</v>
      </c>
      <c r="R4168">
        <v>6.4636755468929898</v>
      </c>
      <c r="S4168">
        <v>97</v>
      </c>
      <c r="T4168">
        <v>71</v>
      </c>
      <c r="U4168">
        <v>815.17260365052198</v>
      </c>
      <c r="V4168">
        <v>2.74509803921568E-2</v>
      </c>
      <c r="W4168">
        <v>714396.75823592499</v>
      </c>
      <c r="X4168" t="s">
        <v>36</v>
      </c>
      <c r="Y4168">
        <f>1-725-650-7411</f>
        <v>-8785</v>
      </c>
    </row>
    <row r="4169" spans="1:25" x14ac:dyDescent="0.35">
      <c r="A4169">
        <v>41.165939539335298</v>
      </c>
      <c r="B4169">
        <v>-120.32532260860199</v>
      </c>
      <c r="C4169" t="s">
        <v>29</v>
      </c>
      <c r="D4169">
        <v>11.8260899838829</v>
      </c>
      <c r="E4169">
        <v>8</v>
      </c>
      <c r="F4169">
        <v>780</v>
      </c>
      <c r="G4169">
        <v>3</v>
      </c>
      <c r="H4169">
        <v>1</v>
      </c>
      <c r="I4169">
        <v>1977</v>
      </c>
      <c r="J4169">
        <v>1</v>
      </c>
      <c r="K4169">
        <v>0</v>
      </c>
      <c r="L4169">
        <v>0</v>
      </c>
      <c r="M4169">
        <v>6</v>
      </c>
      <c r="N4169" t="s">
        <v>35</v>
      </c>
      <c r="O4169" t="s">
        <v>30</v>
      </c>
      <c r="P4169">
        <v>5.9454425970126596</v>
      </c>
      <c r="Q4169">
        <v>1.4653988439157599</v>
      </c>
      <c r="R4169">
        <v>7.4503327265087496</v>
      </c>
      <c r="S4169">
        <v>138</v>
      </c>
      <c r="T4169">
        <v>24</v>
      </c>
      <c r="U4169">
        <v>943.75931613775197</v>
      </c>
      <c r="V4169">
        <v>7.6923076923076901E-3</v>
      </c>
      <c r="W4169">
        <v>824599.11228595197</v>
      </c>
      <c r="X4169" t="s">
        <v>38</v>
      </c>
      <c r="Y4169">
        <f>1-585-547-9275</f>
        <v>-10406</v>
      </c>
    </row>
    <row r="4170" spans="1:25" x14ac:dyDescent="0.35">
      <c r="A4170">
        <v>39.885058999995799</v>
      </c>
      <c r="B4170">
        <v>-117.843901665392</v>
      </c>
      <c r="C4170" t="s">
        <v>29</v>
      </c>
      <c r="D4170">
        <v>30.138553338782799</v>
      </c>
      <c r="E4170">
        <v>9</v>
      </c>
      <c r="F4170">
        <v>4068</v>
      </c>
      <c r="G4170">
        <v>5</v>
      </c>
      <c r="H4170">
        <v>3</v>
      </c>
      <c r="I4170">
        <v>1984</v>
      </c>
      <c r="J4170">
        <v>0</v>
      </c>
      <c r="K4170">
        <v>0</v>
      </c>
      <c r="L4170">
        <v>0</v>
      </c>
      <c r="M4170">
        <v>6</v>
      </c>
      <c r="N4170" t="s">
        <v>35</v>
      </c>
      <c r="O4170" t="s">
        <v>27</v>
      </c>
      <c r="P4170">
        <v>10.250564506507001</v>
      </c>
      <c r="Q4170">
        <v>1.23863761865873</v>
      </c>
      <c r="R4170">
        <v>9.8156758887331996</v>
      </c>
      <c r="S4170">
        <v>70</v>
      </c>
      <c r="T4170">
        <v>71</v>
      </c>
      <c r="U4170">
        <v>965.48571360007304</v>
      </c>
      <c r="V4170">
        <v>1.47492625368731E-3</v>
      </c>
      <c r="W4170">
        <v>4195182.6822688496</v>
      </c>
      <c r="X4170" t="s">
        <v>39</v>
      </c>
      <c r="Y4170">
        <f>1-510-775-5394</f>
        <v>-6678</v>
      </c>
    </row>
    <row r="4171" spans="1:25" x14ac:dyDescent="0.35">
      <c r="A4171">
        <v>37.436625232532201</v>
      </c>
      <c r="B4171">
        <v>-120.923685074689</v>
      </c>
      <c r="C4171" t="s">
        <v>29</v>
      </c>
      <c r="D4171">
        <v>18.3165614120383</v>
      </c>
      <c r="E4171">
        <v>0</v>
      </c>
      <c r="F4171">
        <v>4091</v>
      </c>
      <c r="G4171">
        <v>3</v>
      </c>
      <c r="H4171">
        <v>3</v>
      </c>
      <c r="I4171">
        <v>1985</v>
      </c>
      <c r="J4171">
        <v>1</v>
      </c>
      <c r="K4171">
        <v>1</v>
      </c>
      <c r="L4171">
        <v>0</v>
      </c>
      <c r="M4171">
        <v>8</v>
      </c>
      <c r="N4171" t="s">
        <v>35</v>
      </c>
      <c r="O4171" t="s">
        <v>32</v>
      </c>
      <c r="P4171">
        <v>10.9396715554492</v>
      </c>
      <c r="Q4171">
        <v>2.1384951620506198</v>
      </c>
      <c r="R4171">
        <v>4.4197222652402601</v>
      </c>
      <c r="S4171">
        <v>128</v>
      </c>
      <c r="T4171">
        <v>58</v>
      </c>
      <c r="U4171">
        <v>772.21621613495802</v>
      </c>
      <c r="V4171">
        <v>1.9555120997311101E-3</v>
      </c>
      <c r="W4171">
        <v>3561250.6716249902</v>
      </c>
      <c r="X4171" t="s">
        <v>28</v>
      </c>
      <c r="Y4171">
        <f>1-647-607-2586</f>
        <v>-3839</v>
      </c>
    </row>
    <row r="4172" spans="1:25" x14ac:dyDescent="0.35">
      <c r="A4172">
        <v>34.003722698455</v>
      </c>
      <c r="B4172">
        <v>-117.806961633646</v>
      </c>
      <c r="C4172" t="s">
        <v>25</v>
      </c>
      <c r="D4172">
        <v>21.376091005575098</v>
      </c>
      <c r="E4172">
        <v>4</v>
      </c>
      <c r="F4172">
        <v>2394</v>
      </c>
      <c r="G4172">
        <v>4</v>
      </c>
      <c r="H4172">
        <v>1</v>
      </c>
      <c r="I4172">
        <v>2003</v>
      </c>
      <c r="J4172">
        <v>0</v>
      </c>
      <c r="K4172">
        <v>1</v>
      </c>
      <c r="L4172">
        <v>1</v>
      </c>
      <c r="M4172">
        <v>2</v>
      </c>
      <c r="N4172" t="s">
        <v>26</v>
      </c>
      <c r="O4172" t="s">
        <v>32</v>
      </c>
      <c r="P4172">
        <v>9.4406977530068197</v>
      </c>
      <c r="Q4172">
        <v>1.0564010702253701</v>
      </c>
      <c r="R4172">
        <v>6.4467118614293497</v>
      </c>
      <c r="S4172">
        <v>24</v>
      </c>
      <c r="T4172">
        <v>30</v>
      </c>
      <c r="U4172">
        <v>593.30983947950199</v>
      </c>
      <c r="V4172">
        <v>8.3542188805346695E-4</v>
      </c>
      <c r="W4172">
        <v>1766848.88125727</v>
      </c>
      <c r="X4172" t="s">
        <v>28</v>
      </c>
      <c r="Y4172">
        <f>1-488-325-9500</f>
        <v>-10312</v>
      </c>
    </row>
    <row r="4173" spans="1:25" x14ac:dyDescent="0.35">
      <c r="A4173">
        <v>39.429794987124097</v>
      </c>
      <c r="B4173">
        <v>-120.646462529061</v>
      </c>
      <c r="C4173" t="s">
        <v>34</v>
      </c>
      <c r="D4173">
        <v>27.266018694988901</v>
      </c>
      <c r="E4173">
        <v>7</v>
      </c>
      <c r="F4173">
        <v>2454</v>
      </c>
      <c r="G4173">
        <v>4</v>
      </c>
      <c r="H4173">
        <v>3</v>
      </c>
      <c r="I4173">
        <v>2006</v>
      </c>
      <c r="J4173">
        <v>1</v>
      </c>
      <c r="K4173">
        <v>0</v>
      </c>
      <c r="L4173">
        <v>0</v>
      </c>
      <c r="M4173">
        <v>5</v>
      </c>
      <c r="N4173" t="s">
        <v>41</v>
      </c>
      <c r="O4173" t="s">
        <v>32</v>
      </c>
      <c r="P4173">
        <v>6.3835501152004896</v>
      </c>
      <c r="Q4173">
        <v>0.87192782704331595</v>
      </c>
      <c r="R4173">
        <v>5.8901688397009204</v>
      </c>
      <c r="S4173">
        <v>104</v>
      </c>
      <c r="T4173">
        <v>50</v>
      </c>
      <c r="U4173">
        <v>407.50307241807297</v>
      </c>
      <c r="V4173">
        <v>2.0374898125509302E-3</v>
      </c>
      <c r="W4173">
        <v>1292866.6441357599</v>
      </c>
      <c r="X4173" t="s">
        <v>38</v>
      </c>
      <c r="Y4173">
        <f>1-717-476-6580</f>
        <v>-7772</v>
      </c>
    </row>
    <row r="4174" spans="1:25" x14ac:dyDescent="0.35">
      <c r="A4174">
        <v>38.682353191956601</v>
      </c>
      <c r="B4174">
        <v>-119.377405653132</v>
      </c>
      <c r="C4174" t="s">
        <v>25</v>
      </c>
      <c r="D4174">
        <v>20.221980886278399</v>
      </c>
      <c r="E4174">
        <v>1</v>
      </c>
      <c r="F4174">
        <v>4249</v>
      </c>
      <c r="G4174">
        <v>2</v>
      </c>
      <c r="H4174">
        <v>1</v>
      </c>
      <c r="I4174">
        <v>1988</v>
      </c>
      <c r="J4174">
        <v>0</v>
      </c>
      <c r="K4174">
        <v>1</v>
      </c>
      <c r="L4174">
        <v>1</v>
      </c>
      <c r="M4174">
        <v>3</v>
      </c>
      <c r="N4174" t="s">
        <v>37</v>
      </c>
      <c r="O4174" t="s">
        <v>32</v>
      </c>
      <c r="P4174">
        <v>11.2528041570179</v>
      </c>
      <c r="Q4174">
        <v>2.4761426385277399</v>
      </c>
      <c r="R4174">
        <v>6.9267618082461597</v>
      </c>
      <c r="S4174">
        <v>184</v>
      </c>
      <c r="T4174">
        <v>49</v>
      </c>
      <c r="U4174">
        <v>938.98923130018602</v>
      </c>
      <c r="V4174">
        <v>7.0604848199576299E-4</v>
      </c>
      <c r="W4174">
        <v>4266163.9484938998</v>
      </c>
      <c r="X4174" t="s">
        <v>40</v>
      </c>
      <c r="Y4174">
        <f>1-674-651-4082</f>
        <v>-5406</v>
      </c>
    </row>
    <row r="4175" spans="1:25" x14ac:dyDescent="0.35">
      <c r="A4175">
        <v>41.993382684293799</v>
      </c>
      <c r="B4175">
        <v>-124.021970662295</v>
      </c>
      <c r="C4175" t="s">
        <v>34</v>
      </c>
      <c r="D4175">
        <v>45.937416876328001</v>
      </c>
      <c r="E4175">
        <v>8</v>
      </c>
      <c r="F4175">
        <v>2671</v>
      </c>
      <c r="G4175">
        <v>5</v>
      </c>
      <c r="H4175">
        <v>2</v>
      </c>
      <c r="I4175">
        <v>1988</v>
      </c>
      <c r="J4175">
        <v>1</v>
      </c>
      <c r="K4175">
        <v>1</v>
      </c>
      <c r="L4175">
        <v>1</v>
      </c>
      <c r="M4175">
        <v>12</v>
      </c>
      <c r="N4175" t="s">
        <v>41</v>
      </c>
      <c r="O4175" t="s">
        <v>32</v>
      </c>
      <c r="P4175">
        <v>4.6654394480216697</v>
      </c>
      <c r="Q4175">
        <v>0.88290899708579096</v>
      </c>
      <c r="R4175">
        <v>0.15485156196369401</v>
      </c>
      <c r="S4175">
        <v>46</v>
      </c>
      <c r="T4175">
        <v>23</v>
      </c>
      <c r="U4175">
        <v>264.33048209477801</v>
      </c>
      <c r="V4175">
        <v>4.4926993635342497E-3</v>
      </c>
      <c r="W4175">
        <v>1157939.5324716601</v>
      </c>
      <c r="X4175" t="s">
        <v>31</v>
      </c>
      <c r="Y4175">
        <f>1-801-908-6567</f>
        <v>-8275</v>
      </c>
    </row>
    <row r="4176" spans="1:25" x14ac:dyDescent="0.35">
      <c r="A4176">
        <v>33.342449538504297</v>
      </c>
      <c r="B4176">
        <v>-114.96008650879</v>
      </c>
      <c r="C4176" t="s">
        <v>34</v>
      </c>
      <c r="D4176">
        <v>19.250529974569499</v>
      </c>
      <c r="E4176">
        <v>8</v>
      </c>
      <c r="F4176">
        <v>4797</v>
      </c>
      <c r="G4176">
        <v>1</v>
      </c>
      <c r="H4176">
        <v>3</v>
      </c>
      <c r="I4176">
        <v>1960</v>
      </c>
      <c r="J4176">
        <v>1</v>
      </c>
      <c r="K4176">
        <v>0</v>
      </c>
      <c r="L4176">
        <v>1</v>
      </c>
      <c r="M4176">
        <v>8</v>
      </c>
      <c r="N4176" t="s">
        <v>26</v>
      </c>
      <c r="O4176" t="s">
        <v>30</v>
      </c>
      <c r="P4176">
        <v>14.798882749747699</v>
      </c>
      <c r="Q4176">
        <v>1.6697501533778101</v>
      </c>
      <c r="R4176">
        <v>6.15684222948392</v>
      </c>
      <c r="S4176">
        <v>116</v>
      </c>
      <c r="T4176">
        <v>34</v>
      </c>
      <c r="U4176">
        <v>524.33608315360698</v>
      </c>
      <c r="V4176">
        <v>1.6677089847821501E-3</v>
      </c>
      <c r="W4176">
        <v>2722529.0056048399</v>
      </c>
      <c r="X4176" t="s">
        <v>33</v>
      </c>
      <c r="Y4176">
        <f>1-605-742-3435</f>
        <v>-4781</v>
      </c>
    </row>
    <row r="4177" spans="1:25" x14ac:dyDescent="0.35">
      <c r="A4177">
        <v>38.5897537991642</v>
      </c>
      <c r="B4177">
        <v>-116.787187308138</v>
      </c>
      <c r="C4177" t="s">
        <v>25</v>
      </c>
      <c r="D4177">
        <v>41.234443415067098</v>
      </c>
      <c r="E4177">
        <v>7</v>
      </c>
      <c r="F4177">
        <v>3425</v>
      </c>
      <c r="G4177">
        <v>1</v>
      </c>
      <c r="H4177">
        <v>1</v>
      </c>
      <c r="I4177">
        <v>1967</v>
      </c>
      <c r="J4177">
        <v>1</v>
      </c>
      <c r="K4177">
        <v>1</v>
      </c>
      <c r="L4177">
        <v>1</v>
      </c>
      <c r="M4177">
        <v>11</v>
      </c>
      <c r="N4177" t="s">
        <v>35</v>
      </c>
      <c r="O4177" t="s">
        <v>27</v>
      </c>
      <c r="P4177">
        <v>11.106098327448001</v>
      </c>
      <c r="Q4177">
        <v>2.3777179543921401</v>
      </c>
      <c r="R4177">
        <v>7.21092322790666</v>
      </c>
      <c r="S4177">
        <v>153</v>
      </c>
      <c r="T4177">
        <v>41</v>
      </c>
      <c r="U4177">
        <v>224.207659023205</v>
      </c>
      <c r="V4177">
        <v>3.2116788321167799E-3</v>
      </c>
      <c r="W4177">
        <v>940145.45218557899</v>
      </c>
      <c r="X4177" t="s">
        <v>31</v>
      </c>
      <c r="Y4177">
        <f>1-730-913-2891</f>
        <v>-4533</v>
      </c>
    </row>
    <row r="4178" spans="1:25" x14ac:dyDescent="0.35">
      <c r="A4178">
        <v>38.0423413825445</v>
      </c>
      <c r="B4178">
        <v>-119.330299136837</v>
      </c>
      <c r="C4178" t="s">
        <v>25</v>
      </c>
      <c r="D4178">
        <v>14.602141385942801</v>
      </c>
      <c r="E4178">
        <v>2</v>
      </c>
      <c r="F4178">
        <v>1544</v>
      </c>
      <c r="G4178">
        <v>2</v>
      </c>
      <c r="H4178">
        <v>2</v>
      </c>
      <c r="I4178">
        <v>1997</v>
      </c>
      <c r="J4178">
        <v>0</v>
      </c>
      <c r="K4178">
        <v>0</v>
      </c>
      <c r="L4178">
        <v>0</v>
      </c>
      <c r="M4178">
        <v>2</v>
      </c>
      <c r="N4178" t="s">
        <v>26</v>
      </c>
      <c r="O4178" t="s">
        <v>27</v>
      </c>
      <c r="P4178">
        <v>14.3478391619229</v>
      </c>
      <c r="Q4178">
        <v>1.38031641234341</v>
      </c>
      <c r="R4178">
        <v>9.1304057317485103</v>
      </c>
      <c r="S4178">
        <v>92</v>
      </c>
      <c r="T4178">
        <v>23</v>
      </c>
      <c r="U4178">
        <v>237.36729411477401</v>
      </c>
      <c r="V4178">
        <v>1.2953367875647599E-3</v>
      </c>
      <c r="W4178">
        <v>584806.90125346603</v>
      </c>
      <c r="X4178" t="s">
        <v>31</v>
      </c>
      <c r="Y4178">
        <f>1-992-513-1209</f>
        <v>-2713</v>
      </c>
    </row>
    <row r="4179" spans="1:25" x14ac:dyDescent="0.35">
      <c r="A4179">
        <v>41.850601560531103</v>
      </c>
      <c r="B4179">
        <v>-114.424046197287</v>
      </c>
      <c r="C4179" t="s">
        <v>25</v>
      </c>
      <c r="D4179">
        <v>28.9987407114372</v>
      </c>
      <c r="E4179">
        <v>4</v>
      </c>
      <c r="F4179">
        <v>853</v>
      </c>
      <c r="G4179">
        <v>1</v>
      </c>
      <c r="H4179">
        <v>2</v>
      </c>
      <c r="I4179">
        <v>1999</v>
      </c>
      <c r="J4179">
        <v>1</v>
      </c>
      <c r="K4179">
        <v>0</v>
      </c>
      <c r="L4179">
        <v>0</v>
      </c>
      <c r="M4179">
        <v>9</v>
      </c>
      <c r="N4179" t="s">
        <v>26</v>
      </c>
      <c r="O4179" t="s">
        <v>32</v>
      </c>
      <c r="P4179">
        <v>10.997752080198101</v>
      </c>
      <c r="Q4179">
        <v>2.3555725791297699</v>
      </c>
      <c r="R4179">
        <v>5.3081998728287401</v>
      </c>
      <c r="S4179">
        <v>142</v>
      </c>
      <c r="T4179">
        <v>35</v>
      </c>
      <c r="U4179">
        <v>351.935295033084</v>
      </c>
      <c r="V4179">
        <v>1.0550996483001099E-2</v>
      </c>
      <c r="W4179">
        <v>468567.70661560103</v>
      </c>
      <c r="X4179" t="s">
        <v>39</v>
      </c>
      <c r="Y4179">
        <f>1-667-138-1918</f>
        <v>-2722</v>
      </c>
    </row>
    <row r="4180" spans="1:25" x14ac:dyDescent="0.35">
      <c r="A4180">
        <v>40.289577622961701</v>
      </c>
      <c r="B4180">
        <v>-121.98990814396301</v>
      </c>
      <c r="C4180" t="s">
        <v>34</v>
      </c>
      <c r="D4180">
        <v>22.547451920263899</v>
      </c>
      <c r="E4180">
        <v>6</v>
      </c>
      <c r="F4180">
        <v>3600</v>
      </c>
      <c r="G4180">
        <v>4</v>
      </c>
      <c r="H4180">
        <v>2</v>
      </c>
      <c r="I4180">
        <v>2012</v>
      </c>
      <c r="J4180">
        <v>0</v>
      </c>
      <c r="K4180">
        <v>1</v>
      </c>
      <c r="L4180">
        <v>1</v>
      </c>
      <c r="M4180">
        <v>5</v>
      </c>
      <c r="N4180" t="s">
        <v>26</v>
      </c>
      <c r="O4180" t="s">
        <v>32</v>
      </c>
      <c r="P4180">
        <v>10.1540888260381</v>
      </c>
      <c r="Q4180">
        <v>0.85076692183025004</v>
      </c>
      <c r="R4180">
        <v>7.42414799631407</v>
      </c>
      <c r="S4180">
        <v>193</v>
      </c>
      <c r="T4180">
        <v>34</v>
      </c>
      <c r="U4180">
        <v>583.66331393727899</v>
      </c>
      <c r="V4180">
        <v>1.3888888888888801E-3</v>
      </c>
      <c r="W4180">
        <v>2551974.8443371998</v>
      </c>
      <c r="X4180" t="s">
        <v>43</v>
      </c>
      <c r="Y4180">
        <f>1-864-127-9974</f>
        <v>-10964</v>
      </c>
    </row>
    <row r="4181" spans="1:25" x14ac:dyDescent="0.35">
      <c r="A4181">
        <v>36.906106100670598</v>
      </c>
      <c r="B4181">
        <v>-124.07705461174299</v>
      </c>
      <c r="C4181" t="s">
        <v>25</v>
      </c>
      <c r="D4181">
        <v>14.5464957113598</v>
      </c>
      <c r="E4181">
        <v>2</v>
      </c>
      <c r="F4181">
        <v>3550</v>
      </c>
      <c r="G4181">
        <v>1</v>
      </c>
      <c r="H4181">
        <v>3</v>
      </c>
      <c r="I4181">
        <v>1968</v>
      </c>
      <c r="J4181">
        <v>1</v>
      </c>
      <c r="K4181">
        <v>1</v>
      </c>
      <c r="L4181">
        <v>1</v>
      </c>
      <c r="M4181">
        <v>5</v>
      </c>
      <c r="N4181" t="s">
        <v>37</v>
      </c>
      <c r="O4181" t="s">
        <v>32</v>
      </c>
      <c r="P4181">
        <v>14.886655769688501</v>
      </c>
      <c r="Q4181">
        <v>2.4130167905843498</v>
      </c>
      <c r="R4181">
        <v>0.98269967799529701</v>
      </c>
      <c r="S4181">
        <v>122</v>
      </c>
      <c r="T4181">
        <v>64</v>
      </c>
      <c r="U4181">
        <v>578.59655834383705</v>
      </c>
      <c r="V4181">
        <v>1.40845070422535E-3</v>
      </c>
      <c r="W4181">
        <v>2359328.82087701</v>
      </c>
      <c r="X4181" t="s">
        <v>31</v>
      </c>
      <c r="Y4181">
        <f>1-668-705-1745</f>
        <v>-3117</v>
      </c>
    </row>
    <row r="4182" spans="1:25" x14ac:dyDescent="0.35">
      <c r="A4182">
        <v>34.311080045098798</v>
      </c>
      <c r="B4182">
        <v>-120.886554737037</v>
      </c>
      <c r="C4182" t="s">
        <v>34</v>
      </c>
      <c r="D4182">
        <v>24.507645140247298</v>
      </c>
      <c r="E4182">
        <v>5</v>
      </c>
      <c r="F4182">
        <v>1429</v>
      </c>
      <c r="G4182">
        <v>4</v>
      </c>
      <c r="H4182">
        <v>3</v>
      </c>
      <c r="I4182">
        <v>1984</v>
      </c>
      <c r="J4182">
        <v>0</v>
      </c>
      <c r="K4182">
        <v>1</v>
      </c>
      <c r="L4182">
        <v>1</v>
      </c>
      <c r="M4182">
        <v>9</v>
      </c>
      <c r="N4182" t="s">
        <v>41</v>
      </c>
      <c r="O4182" t="s">
        <v>27</v>
      </c>
      <c r="P4182">
        <v>11.9113202819797</v>
      </c>
      <c r="Q4182">
        <v>0.97901803795075504</v>
      </c>
      <c r="R4182">
        <v>1.18372654284128</v>
      </c>
      <c r="S4182">
        <v>97</v>
      </c>
      <c r="T4182">
        <v>41</v>
      </c>
      <c r="U4182">
        <v>575.72472942588104</v>
      </c>
      <c r="V4182">
        <v>6.2981105668299502E-3</v>
      </c>
      <c r="W4182">
        <v>1345255.82897687</v>
      </c>
      <c r="X4182" t="s">
        <v>40</v>
      </c>
      <c r="Y4182">
        <f>1-969-406-1418</f>
        <v>-2792</v>
      </c>
    </row>
    <row r="4183" spans="1:25" x14ac:dyDescent="0.35">
      <c r="A4183">
        <v>33.814135679205599</v>
      </c>
      <c r="B4183">
        <v>-117.97095795993501</v>
      </c>
      <c r="C4183" t="s">
        <v>25</v>
      </c>
      <c r="D4183">
        <v>28.330079503607202</v>
      </c>
      <c r="E4183">
        <v>1</v>
      </c>
      <c r="F4183">
        <v>4058</v>
      </c>
      <c r="G4183">
        <v>3</v>
      </c>
      <c r="H4183">
        <v>1</v>
      </c>
      <c r="I4183">
        <v>1964</v>
      </c>
      <c r="J4183">
        <v>1</v>
      </c>
      <c r="K4183">
        <v>0</v>
      </c>
      <c r="L4183">
        <v>0</v>
      </c>
      <c r="M4183">
        <v>10</v>
      </c>
      <c r="N4183" t="s">
        <v>35</v>
      </c>
      <c r="O4183" t="s">
        <v>27</v>
      </c>
      <c r="P4183">
        <v>2.7035087275376402</v>
      </c>
      <c r="Q4183">
        <v>2.0751078941366199</v>
      </c>
      <c r="R4183">
        <v>0.80541698907599701</v>
      </c>
      <c r="S4183">
        <v>28</v>
      </c>
      <c r="T4183">
        <v>30</v>
      </c>
      <c r="U4183">
        <v>525.62664227945697</v>
      </c>
      <c r="V4183">
        <v>2.4642681123706201E-3</v>
      </c>
      <c r="W4183">
        <v>2237083.8659225702</v>
      </c>
      <c r="X4183" t="s">
        <v>42</v>
      </c>
      <c r="Y4183">
        <f>1-798-748-9995</f>
        <v>-11540</v>
      </c>
    </row>
    <row r="4184" spans="1:25" x14ac:dyDescent="0.35">
      <c r="A4184">
        <v>38.852854448271003</v>
      </c>
      <c r="B4184">
        <v>-119.132316381802</v>
      </c>
      <c r="C4184" t="s">
        <v>25</v>
      </c>
      <c r="D4184">
        <v>3.7845948005487098</v>
      </c>
      <c r="E4184">
        <v>0</v>
      </c>
      <c r="F4184">
        <v>4797</v>
      </c>
      <c r="G4184">
        <v>2</v>
      </c>
      <c r="H4184">
        <v>2</v>
      </c>
      <c r="I4184">
        <v>1988</v>
      </c>
      <c r="J4184">
        <v>1</v>
      </c>
      <c r="K4184">
        <v>1</v>
      </c>
      <c r="L4184">
        <v>0</v>
      </c>
      <c r="M4184">
        <v>3</v>
      </c>
      <c r="N4184" t="s">
        <v>41</v>
      </c>
      <c r="O4184" t="s">
        <v>27</v>
      </c>
      <c r="P4184">
        <v>14.524480683908401</v>
      </c>
      <c r="Q4184">
        <v>0.61615959930141495</v>
      </c>
      <c r="R4184">
        <v>8.9173326540694493</v>
      </c>
      <c r="S4184">
        <v>188</v>
      </c>
      <c r="T4184">
        <v>26</v>
      </c>
      <c r="U4184">
        <v>468.10731412370399</v>
      </c>
      <c r="V4184">
        <v>6.2539086929330799E-4</v>
      </c>
      <c r="W4184">
        <v>2570469.27460344</v>
      </c>
      <c r="X4184" t="s">
        <v>44</v>
      </c>
      <c r="Y4184">
        <f>1-553-764-8511</f>
        <v>-9827</v>
      </c>
    </row>
    <row r="4185" spans="1:25" x14ac:dyDescent="0.35">
      <c r="A4185">
        <v>36.315110722099803</v>
      </c>
      <c r="B4185">
        <v>-122.58672735199499</v>
      </c>
      <c r="C4185" t="s">
        <v>34</v>
      </c>
      <c r="D4185">
        <v>45.940234113283402</v>
      </c>
      <c r="E4185">
        <v>3</v>
      </c>
      <c r="F4185">
        <v>2552</v>
      </c>
      <c r="G4185">
        <v>4</v>
      </c>
      <c r="H4185">
        <v>2</v>
      </c>
      <c r="I4185">
        <v>1984</v>
      </c>
      <c r="J4185">
        <v>1</v>
      </c>
      <c r="K4185">
        <v>0</v>
      </c>
      <c r="L4185">
        <v>0</v>
      </c>
      <c r="M4185">
        <v>2</v>
      </c>
      <c r="N4185" t="s">
        <v>41</v>
      </c>
      <c r="O4185" t="s">
        <v>27</v>
      </c>
      <c r="P4185">
        <v>4.5788116281636304</v>
      </c>
      <c r="Q4185">
        <v>1.61081403597863</v>
      </c>
      <c r="R4185">
        <v>9.7991140384679092</v>
      </c>
      <c r="S4185">
        <v>187</v>
      </c>
      <c r="T4185">
        <v>27</v>
      </c>
      <c r="U4185">
        <v>795.43443737007499</v>
      </c>
      <c r="V4185">
        <v>7.8369905956112795E-4</v>
      </c>
      <c r="W4185">
        <v>2207046.35918548</v>
      </c>
      <c r="X4185" t="s">
        <v>43</v>
      </c>
      <c r="Y4185">
        <f>1-887-832-6769</f>
        <v>-8487</v>
      </c>
    </row>
    <row r="4186" spans="1:25" x14ac:dyDescent="0.35">
      <c r="A4186">
        <v>38.134935048523701</v>
      </c>
      <c r="B4186">
        <v>-120.027356231612</v>
      </c>
      <c r="C4186" t="s">
        <v>34</v>
      </c>
      <c r="D4186">
        <v>23.405730649233899</v>
      </c>
      <c r="E4186">
        <v>5</v>
      </c>
      <c r="F4186">
        <v>2307</v>
      </c>
      <c r="G4186">
        <v>1</v>
      </c>
      <c r="H4186">
        <v>2</v>
      </c>
      <c r="I4186">
        <v>1982</v>
      </c>
      <c r="J4186">
        <v>1</v>
      </c>
      <c r="K4186">
        <v>1</v>
      </c>
      <c r="L4186">
        <v>1</v>
      </c>
      <c r="M4186">
        <v>13</v>
      </c>
      <c r="N4186" t="s">
        <v>26</v>
      </c>
      <c r="O4186" t="s">
        <v>27</v>
      </c>
      <c r="P4186">
        <v>6.5925846200624303</v>
      </c>
      <c r="Q4186">
        <v>1.6898302992781</v>
      </c>
      <c r="R4186">
        <v>1.9198258300125699</v>
      </c>
      <c r="S4186">
        <v>134</v>
      </c>
      <c r="T4186">
        <v>65</v>
      </c>
      <c r="U4186">
        <v>637.53119940059696</v>
      </c>
      <c r="V4186">
        <v>5.6350238404854697E-3</v>
      </c>
      <c r="W4186">
        <v>1741369.76260531</v>
      </c>
      <c r="X4186" t="s">
        <v>31</v>
      </c>
      <c r="Y4186">
        <f>1-838-758-2312</f>
        <v>-3907</v>
      </c>
    </row>
    <row r="4187" spans="1:25" x14ac:dyDescent="0.35">
      <c r="A4187">
        <v>35.955151048741598</v>
      </c>
      <c r="B4187">
        <v>-118.902531539555</v>
      </c>
      <c r="C4187" t="s">
        <v>25</v>
      </c>
      <c r="D4187">
        <v>2.4584123054721001</v>
      </c>
      <c r="E4187">
        <v>5</v>
      </c>
      <c r="F4187">
        <v>3072</v>
      </c>
      <c r="G4187">
        <v>1</v>
      </c>
      <c r="H4187">
        <v>3</v>
      </c>
      <c r="I4187">
        <v>1996</v>
      </c>
      <c r="J4187">
        <v>0</v>
      </c>
      <c r="K4187">
        <v>1</v>
      </c>
      <c r="L4187">
        <v>1</v>
      </c>
      <c r="M4187">
        <v>14</v>
      </c>
      <c r="N4187" t="s">
        <v>26</v>
      </c>
      <c r="O4187" t="s">
        <v>32</v>
      </c>
      <c r="P4187">
        <v>5.5787271030209098</v>
      </c>
      <c r="Q4187">
        <v>1.9117794226544</v>
      </c>
      <c r="R4187">
        <v>0.87812087010030904</v>
      </c>
      <c r="S4187">
        <v>0</v>
      </c>
      <c r="T4187">
        <v>73</v>
      </c>
      <c r="U4187">
        <v>353.794578849429</v>
      </c>
      <c r="V4187">
        <v>4.55729166666666E-3</v>
      </c>
      <c r="W4187">
        <v>1325678.5344714101</v>
      </c>
      <c r="X4187" t="s">
        <v>33</v>
      </c>
      <c r="Y4187">
        <f>1-308-198-6608</f>
        <v>-7113</v>
      </c>
    </row>
    <row r="4188" spans="1:25" x14ac:dyDescent="0.35">
      <c r="A4188">
        <v>40.705742550972502</v>
      </c>
      <c r="B4188">
        <v>-114.36287094760399</v>
      </c>
      <c r="C4188" t="s">
        <v>25</v>
      </c>
      <c r="D4188">
        <v>42.042169587100901</v>
      </c>
      <c r="E4188">
        <v>3</v>
      </c>
      <c r="F4188">
        <v>1448</v>
      </c>
      <c r="G4188">
        <v>1</v>
      </c>
      <c r="H4188">
        <v>1</v>
      </c>
      <c r="I4188">
        <v>1956</v>
      </c>
      <c r="J4188">
        <v>1</v>
      </c>
      <c r="K4188">
        <v>1</v>
      </c>
      <c r="L4188">
        <v>1</v>
      </c>
      <c r="M4188">
        <v>5</v>
      </c>
      <c r="N4188" t="s">
        <v>41</v>
      </c>
      <c r="O4188" t="s">
        <v>32</v>
      </c>
      <c r="P4188">
        <v>14.751481621705199</v>
      </c>
      <c r="Q4188">
        <v>2.2872214982243699</v>
      </c>
      <c r="R4188">
        <v>6.28313722894584</v>
      </c>
      <c r="S4188">
        <v>23</v>
      </c>
      <c r="T4188">
        <v>22</v>
      </c>
      <c r="U4188">
        <v>968.03671521555202</v>
      </c>
      <c r="V4188">
        <v>3.4530386740331399E-3</v>
      </c>
      <c r="W4188">
        <v>1625194.31418323</v>
      </c>
      <c r="X4188" t="s">
        <v>44</v>
      </c>
      <c r="Y4188">
        <f>1-242-772-4493</f>
        <v>-5506</v>
      </c>
    </row>
    <row r="4189" spans="1:25" x14ac:dyDescent="0.35">
      <c r="A4189">
        <v>38.871140165865</v>
      </c>
      <c r="B4189">
        <v>-123.72518235346099</v>
      </c>
      <c r="C4189" t="s">
        <v>29</v>
      </c>
      <c r="D4189">
        <v>35.782515463446899</v>
      </c>
      <c r="E4189">
        <v>7</v>
      </c>
      <c r="F4189">
        <v>2187</v>
      </c>
      <c r="G4189">
        <v>2</v>
      </c>
      <c r="H4189">
        <v>3</v>
      </c>
      <c r="I4189">
        <v>2014</v>
      </c>
      <c r="J4189">
        <v>1</v>
      </c>
      <c r="K4189">
        <v>0</v>
      </c>
      <c r="L4189">
        <v>0</v>
      </c>
      <c r="M4189">
        <v>14</v>
      </c>
      <c r="N4189" t="s">
        <v>26</v>
      </c>
      <c r="O4189" t="s">
        <v>27</v>
      </c>
      <c r="P4189">
        <v>13.0745764009014</v>
      </c>
      <c r="Q4189">
        <v>2.3530963061322199</v>
      </c>
      <c r="R4189">
        <v>1.6842917713341099</v>
      </c>
      <c r="S4189">
        <v>35</v>
      </c>
      <c r="T4189">
        <v>47</v>
      </c>
      <c r="U4189">
        <v>470.80950746646602</v>
      </c>
      <c r="V4189">
        <v>6.4014631915866402E-3</v>
      </c>
      <c r="W4189">
        <v>1297706.98409201</v>
      </c>
      <c r="X4189" t="s">
        <v>38</v>
      </c>
      <c r="Y4189">
        <f>1-378-935-9294</f>
        <v>-10606</v>
      </c>
    </row>
    <row r="4190" spans="1:25" x14ac:dyDescent="0.35">
      <c r="A4190">
        <v>34.715505813605503</v>
      </c>
      <c r="B4190">
        <v>-117.45025043548701</v>
      </c>
      <c r="C4190" t="s">
        <v>29</v>
      </c>
      <c r="D4190">
        <v>29.0442669934205</v>
      </c>
      <c r="E4190">
        <v>0</v>
      </c>
      <c r="F4190">
        <v>3498</v>
      </c>
      <c r="G4190">
        <v>2</v>
      </c>
      <c r="H4190">
        <v>3</v>
      </c>
      <c r="I4190">
        <v>2008</v>
      </c>
      <c r="J4190">
        <v>0</v>
      </c>
      <c r="K4190">
        <v>1</v>
      </c>
      <c r="L4190">
        <v>0</v>
      </c>
      <c r="M4190">
        <v>6</v>
      </c>
      <c r="N4190" t="s">
        <v>26</v>
      </c>
      <c r="O4190" t="s">
        <v>27</v>
      </c>
      <c r="P4190">
        <v>5.4206122447938698</v>
      </c>
      <c r="Q4190">
        <v>1.02675916454206</v>
      </c>
      <c r="R4190">
        <v>3.3010115310955501</v>
      </c>
      <c r="S4190">
        <v>152</v>
      </c>
      <c r="T4190">
        <v>57</v>
      </c>
      <c r="U4190">
        <v>885.45667692664995</v>
      </c>
      <c r="V4190">
        <v>1.71526586620926E-3</v>
      </c>
      <c r="W4190">
        <v>3378056.22503492</v>
      </c>
      <c r="X4190" t="s">
        <v>38</v>
      </c>
      <c r="Y4190">
        <f>1-277-690-6567</f>
        <v>-7533</v>
      </c>
    </row>
    <row r="4191" spans="1:25" x14ac:dyDescent="0.35">
      <c r="A4191">
        <v>39.263929285684597</v>
      </c>
      <c r="B4191">
        <v>-123.283172681087</v>
      </c>
      <c r="C4191" t="s">
        <v>29</v>
      </c>
      <c r="D4191">
        <v>5.0655915097000896</v>
      </c>
      <c r="E4191">
        <v>1</v>
      </c>
      <c r="F4191">
        <v>3062</v>
      </c>
      <c r="G4191">
        <v>1</v>
      </c>
      <c r="H4191">
        <v>2</v>
      </c>
      <c r="I4191">
        <v>1958</v>
      </c>
      <c r="J4191">
        <v>1</v>
      </c>
      <c r="K4191">
        <v>1</v>
      </c>
      <c r="L4191">
        <v>1</v>
      </c>
      <c r="M4191">
        <v>8</v>
      </c>
      <c r="N4191" t="s">
        <v>35</v>
      </c>
      <c r="O4191" t="s">
        <v>30</v>
      </c>
      <c r="P4191">
        <v>10.377779223426799</v>
      </c>
      <c r="Q4191">
        <v>1.8654749678648099</v>
      </c>
      <c r="R4191">
        <v>1.2372378501758301</v>
      </c>
      <c r="S4191">
        <v>85</v>
      </c>
      <c r="T4191">
        <v>31</v>
      </c>
      <c r="U4191">
        <v>672.70810791309998</v>
      </c>
      <c r="V4191">
        <v>2.6126714565643302E-3</v>
      </c>
      <c r="W4191">
        <v>2303087.6920004999</v>
      </c>
      <c r="X4191" t="s">
        <v>28</v>
      </c>
      <c r="Y4191">
        <f>1-653-482-9828</f>
        <v>-10962</v>
      </c>
    </row>
    <row r="4192" spans="1:25" x14ac:dyDescent="0.35">
      <c r="A4192">
        <v>36.016140527526296</v>
      </c>
      <c r="B4192">
        <v>-119.947652838461</v>
      </c>
      <c r="C4192" t="s">
        <v>34</v>
      </c>
      <c r="D4192">
        <v>7.1206951903223201</v>
      </c>
      <c r="E4192">
        <v>5</v>
      </c>
      <c r="F4192">
        <v>1405</v>
      </c>
      <c r="G4192">
        <v>4</v>
      </c>
      <c r="H4192">
        <v>2</v>
      </c>
      <c r="I4192">
        <v>1961</v>
      </c>
      <c r="J4192">
        <v>0</v>
      </c>
      <c r="K4192">
        <v>1</v>
      </c>
      <c r="L4192">
        <v>1</v>
      </c>
      <c r="M4192">
        <v>13</v>
      </c>
      <c r="N4192" t="s">
        <v>35</v>
      </c>
      <c r="O4192" t="s">
        <v>27</v>
      </c>
      <c r="P4192">
        <v>11.343264489045801</v>
      </c>
      <c r="Q4192">
        <v>1.8087366366301301</v>
      </c>
      <c r="R4192">
        <v>3.1423887754817899</v>
      </c>
      <c r="S4192">
        <v>31</v>
      </c>
      <c r="T4192">
        <v>39</v>
      </c>
      <c r="U4192">
        <v>600.44504942942694</v>
      </c>
      <c r="V4192">
        <v>9.2526690391458999E-3</v>
      </c>
      <c r="W4192">
        <v>1209646.9839309601</v>
      </c>
      <c r="X4192" t="s">
        <v>42</v>
      </c>
      <c r="Y4192">
        <f>1-872-327-6402</f>
        <v>-7600</v>
      </c>
    </row>
    <row r="4193" spans="1:25" x14ac:dyDescent="0.35">
      <c r="A4193">
        <v>39.505751881920503</v>
      </c>
      <c r="B4193">
        <v>-122.966337045343</v>
      </c>
      <c r="C4193" t="s">
        <v>34</v>
      </c>
      <c r="D4193">
        <v>37.920503285500203</v>
      </c>
      <c r="E4193">
        <v>6</v>
      </c>
      <c r="F4193">
        <v>1766</v>
      </c>
      <c r="G4193">
        <v>1</v>
      </c>
      <c r="H4193">
        <v>2</v>
      </c>
      <c r="I4193">
        <v>1986</v>
      </c>
      <c r="J4193">
        <v>0</v>
      </c>
      <c r="K4193">
        <v>1</v>
      </c>
      <c r="L4193">
        <v>1</v>
      </c>
      <c r="M4193">
        <v>7</v>
      </c>
      <c r="N4193" t="s">
        <v>41</v>
      </c>
      <c r="O4193" t="s">
        <v>32</v>
      </c>
      <c r="P4193">
        <v>9.0570549682183508</v>
      </c>
      <c r="Q4193">
        <v>2.0389915054514098</v>
      </c>
      <c r="R4193">
        <v>4.0622888159275004</v>
      </c>
      <c r="S4193">
        <v>141</v>
      </c>
      <c r="T4193">
        <v>36</v>
      </c>
      <c r="U4193">
        <v>252.951584747185</v>
      </c>
      <c r="V4193">
        <v>3.9637599093997698E-3</v>
      </c>
      <c r="W4193">
        <v>683247.84022314602</v>
      </c>
      <c r="X4193" t="s">
        <v>39</v>
      </c>
      <c r="Y4193">
        <f>1-332-109-5997</f>
        <v>-6437</v>
      </c>
    </row>
    <row r="4194" spans="1:25" x14ac:dyDescent="0.35">
      <c r="A4194">
        <v>41.7612744444002</v>
      </c>
      <c r="B4194">
        <v>-119.845747617748</v>
      </c>
      <c r="C4194" t="s">
        <v>29</v>
      </c>
      <c r="D4194">
        <v>1.5996083958040701</v>
      </c>
      <c r="E4194">
        <v>2</v>
      </c>
      <c r="F4194">
        <v>4161</v>
      </c>
      <c r="G4194">
        <v>3</v>
      </c>
      <c r="H4194">
        <v>2</v>
      </c>
      <c r="I4194">
        <v>2000</v>
      </c>
      <c r="J4194">
        <v>1</v>
      </c>
      <c r="K4194">
        <v>1</v>
      </c>
      <c r="L4194">
        <v>0</v>
      </c>
      <c r="M4194">
        <v>11</v>
      </c>
      <c r="N4194" t="s">
        <v>37</v>
      </c>
      <c r="O4194" t="s">
        <v>32</v>
      </c>
      <c r="P4194">
        <v>12.440314023224399</v>
      </c>
      <c r="Q4194">
        <v>2.4030695579444199</v>
      </c>
      <c r="R4194">
        <v>6.8684509339831799</v>
      </c>
      <c r="S4194">
        <v>162</v>
      </c>
      <c r="T4194">
        <v>28</v>
      </c>
      <c r="U4194">
        <v>762.53329580933496</v>
      </c>
      <c r="V4194">
        <v>2.6435952895938401E-3</v>
      </c>
      <c r="W4194">
        <v>3564167.7529057199</v>
      </c>
      <c r="X4194" t="s">
        <v>33</v>
      </c>
      <c r="Y4194">
        <f>1-886-658-5834</f>
        <v>-7377</v>
      </c>
    </row>
    <row r="4195" spans="1:25" x14ac:dyDescent="0.35">
      <c r="A4195">
        <v>38.772617593225498</v>
      </c>
      <c r="B4195">
        <v>-121.780398993566</v>
      </c>
      <c r="C4195" t="s">
        <v>25</v>
      </c>
      <c r="D4195">
        <v>12.868220508156099</v>
      </c>
      <c r="E4195">
        <v>3</v>
      </c>
      <c r="F4195">
        <v>1242</v>
      </c>
      <c r="G4195">
        <v>1</v>
      </c>
      <c r="H4195">
        <v>2</v>
      </c>
      <c r="I4195">
        <v>1975</v>
      </c>
      <c r="J4195">
        <v>0</v>
      </c>
      <c r="K4195">
        <v>1</v>
      </c>
      <c r="L4195">
        <v>1</v>
      </c>
      <c r="M4195">
        <v>12</v>
      </c>
      <c r="N4195" t="s">
        <v>35</v>
      </c>
      <c r="O4195" t="s">
        <v>27</v>
      </c>
      <c r="P4195">
        <v>12.0828082194278</v>
      </c>
      <c r="Q4195">
        <v>2.3967571767576699</v>
      </c>
      <c r="R4195">
        <v>8.4137608775530808</v>
      </c>
      <c r="S4195">
        <v>127</v>
      </c>
      <c r="T4195">
        <v>22</v>
      </c>
      <c r="U4195">
        <v>789.569366739413</v>
      </c>
      <c r="V4195">
        <v>9.6618357487922701E-3</v>
      </c>
      <c r="W4195">
        <v>1149635.4286098499</v>
      </c>
      <c r="X4195" t="s">
        <v>36</v>
      </c>
      <c r="Y4195">
        <f>1-797-118-6707</f>
        <v>-7621</v>
      </c>
    </row>
    <row r="4196" spans="1:25" x14ac:dyDescent="0.35">
      <c r="A4196">
        <v>35.108561027511001</v>
      </c>
      <c r="B4196">
        <v>-115.722087564948</v>
      </c>
      <c r="C4196" t="s">
        <v>34</v>
      </c>
      <c r="D4196">
        <v>28.614022494268301</v>
      </c>
      <c r="E4196">
        <v>6</v>
      </c>
      <c r="F4196">
        <v>3007</v>
      </c>
      <c r="G4196">
        <v>5</v>
      </c>
      <c r="H4196">
        <v>1</v>
      </c>
      <c r="I4196">
        <v>1950</v>
      </c>
      <c r="J4196">
        <v>0</v>
      </c>
      <c r="K4196">
        <v>1</v>
      </c>
      <c r="L4196">
        <v>0</v>
      </c>
      <c r="M4196">
        <v>2</v>
      </c>
      <c r="N4196" t="s">
        <v>26</v>
      </c>
      <c r="O4196" t="s">
        <v>27</v>
      </c>
      <c r="P4196">
        <v>9.5952933243352998</v>
      </c>
      <c r="Q4196">
        <v>2.06468045682991</v>
      </c>
      <c r="R4196">
        <v>2.4176168067398698</v>
      </c>
      <c r="S4196">
        <v>90</v>
      </c>
      <c r="T4196">
        <v>21</v>
      </c>
      <c r="U4196">
        <v>692.49137540594404</v>
      </c>
      <c r="V4196">
        <v>6.6511473229131999E-4</v>
      </c>
      <c r="W4196">
        <v>2345583.5833308599</v>
      </c>
      <c r="X4196" t="s">
        <v>40</v>
      </c>
      <c r="Y4196">
        <f>1-410-913-3733</f>
        <v>-5055</v>
      </c>
    </row>
    <row r="4197" spans="1:25" x14ac:dyDescent="0.35">
      <c r="A4197">
        <v>33.867062255482203</v>
      </c>
      <c r="B4197">
        <v>-116.489003531389</v>
      </c>
      <c r="C4197" t="s">
        <v>34</v>
      </c>
      <c r="D4197">
        <v>17.778780939566602</v>
      </c>
      <c r="E4197">
        <v>5</v>
      </c>
      <c r="F4197">
        <v>3670</v>
      </c>
      <c r="G4197">
        <v>2</v>
      </c>
      <c r="H4197">
        <v>2</v>
      </c>
      <c r="I4197">
        <v>1992</v>
      </c>
      <c r="J4197">
        <v>1</v>
      </c>
      <c r="K4197">
        <v>0</v>
      </c>
      <c r="L4197">
        <v>1</v>
      </c>
      <c r="M4197">
        <v>13</v>
      </c>
      <c r="N4197" t="s">
        <v>37</v>
      </c>
      <c r="O4197" t="s">
        <v>27</v>
      </c>
      <c r="P4197">
        <v>14.900742290333501</v>
      </c>
      <c r="Q4197">
        <v>0.84906551149521503</v>
      </c>
      <c r="R4197">
        <v>0.24031969521336499</v>
      </c>
      <c r="S4197">
        <v>167</v>
      </c>
      <c r="T4197">
        <v>40</v>
      </c>
      <c r="U4197">
        <v>655.19176762040604</v>
      </c>
      <c r="V4197">
        <v>3.5422343324250601E-3</v>
      </c>
      <c r="W4197">
        <v>2757271.3779041599</v>
      </c>
      <c r="X4197" t="s">
        <v>40</v>
      </c>
      <c r="Y4197">
        <f>1-319-336-3018</f>
        <v>-3672</v>
      </c>
    </row>
    <row r="4198" spans="1:25" x14ac:dyDescent="0.35">
      <c r="A4198">
        <v>34.677400304324301</v>
      </c>
      <c r="B4198">
        <v>-114.209566508086</v>
      </c>
      <c r="C4198" t="s">
        <v>25</v>
      </c>
      <c r="D4198">
        <v>1.8153231271627901</v>
      </c>
      <c r="E4198">
        <v>1</v>
      </c>
      <c r="F4198">
        <v>616</v>
      </c>
      <c r="G4198">
        <v>2</v>
      </c>
      <c r="H4198">
        <v>1</v>
      </c>
      <c r="I4198">
        <v>1988</v>
      </c>
      <c r="J4198">
        <v>0</v>
      </c>
      <c r="K4198">
        <v>0</v>
      </c>
      <c r="L4198">
        <v>0</v>
      </c>
      <c r="M4198">
        <v>12</v>
      </c>
      <c r="N4198" t="s">
        <v>41</v>
      </c>
      <c r="O4198" t="s">
        <v>32</v>
      </c>
      <c r="P4198">
        <v>7.9205368419659399</v>
      </c>
      <c r="Q4198">
        <v>1.1125833274316199</v>
      </c>
      <c r="R4198">
        <v>7.7349292437779402</v>
      </c>
      <c r="S4198">
        <v>73</v>
      </c>
      <c r="T4198">
        <v>31</v>
      </c>
      <c r="U4198">
        <v>866.47989518527902</v>
      </c>
      <c r="V4198">
        <v>1.94805194805194E-2</v>
      </c>
      <c r="W4198">
        <v>624188.85014467896</v>
      </c>
      <c r="X4198" t="s">
        <v>38</v>
      </c>
      <c r="Y4198">
        <f>1-293-118-3037</f>
        <v>-3447</v>
      </c>
    </row>
    <row r="4199" spans="1:25" x14ac:dyDescent="0.35">
      <c r="A4199">
        <v>35.018438095965898</v>
      </c>
      <c r="B4199">
        <v>-118.19725401264</v>
      </c>
      <c r="C4199" t="s">
        <v>34</v>
      </c>
      <c r="D4199">
        <v>7.0536838951744203</v>
      </c>
      <c r="E4199">
        <v>7</v>
      </c>
      <c r="F4199">
        <v>3712</v>
      </c>
      <c r="G4199">
        <v>3</v>
      </c>
      <c r="H4199">
        <v>3</v>
      </c>
      <c r="I4199">
        <v>1984</v>
      </c>
      <c r="J4199">
        <v>0</v>
      </c>
      <c r="K4199">
        <v>0</v>
      </c>
      <c r="L4199">
        <v>1</v>
      </c>
      <c r="M4199">
        <v>12</v>
      </c>
      <c r="N4199" t="s">
        <v>26</v>
      </c>
      <c r="O4199" t="s">
        <v>27</v>
      </c>
      <c r="P4199">
        <v>12.9495382091685</v>
      </c>
      <c r="Q4199">
        <v>1.45094570014094</v>
      </c>
      <c r="R4199">
        <v>5.40383008151867E-2</v>
      </c>
      <c r="S4199">
        <v>58</v>
      </c>
      <c r="T4199">
        <v>78</v>
      </c>
      <c r="U4199">
        <v>929.95804794260096</v>
      </c>
      <c r="V4199">
        <v>3.2327586206896499E-3</v>
      </c>
      <c r="W4199">
        <v>3785918.50426867</v>
      </c>
      <c r="X4199" t="s">
        <v>44</v>
      </c>
      <c r="Y4199">
        <f>1-395-338-2442</f>
        <v>-3174</v>
      </c>
    </row>
    <row r="4200" spans="1:25" x14ac:dyDescent="0.35">
      <c r="A4200">
        <v>32.605805306276402</v>
      </c>
      <c r="B4200">
        <v>-119.55092114501301</v>
      </c>
      <c r="C4200" t="s">
        <v>29</v>
      </c>
      <c r="D4200">
        <v>20.134565348063798</v>
      </c>
      <c r="E4200">
        <v>6</v>
      </c>
      <c r="F4200">
        <v>646</v>
      </c>
      <c r="G4200">
        <v>4</v>
      </c>
      <c r="H4200">
        <v>2</v>
      </c>
      <c r="I4200">
        <v>2005</v>
      </c>
      <c r="J4200">
        <v>0</v>
      </c>
      <c r="K4200">
        <v>0</v>
      </c>
      <c r="L4200">
        <v>1</v>
      </c>
      <c r="M4200">
        <v>14</v>
      </c>
      <c r="N4200" t="s">
        <v>35</v>
      </c>
      <c r="O4200" t="s">
        <v>27</v>
      </c>
      <c r="P4200">
        <v>14.5581161357045</v>
      </c>
      <c r="Q4200">
        <v>1.1191080659772901</v>
      </c>
      <c r="R4200">
        <v>3.1143451600725398</v>
      </c>
      <c r="S4200">
        <v>40</v>
      </c>
      <c r="T4200">
        <v>45</v>
      </c>
      <c r="U4200">
        <v>337.33612271029602</v>
      </c>
      <c r="V4200">
        <v>2.16718266253869E-2</v>
      </c>
      <c r="W4200">
        <v>585698.35977733298</v>
      </c>
      <c r="X4200" t="s">
        <v>31</v>
      </c>
      <c r="Y4200">
        <f>1-587-171-5065</f>
        <v>-5822</v>
      </c>
    </row>
    <row r="4201" spans="1:25" x14ac:dyDescent="0.35">
      <c r="A4201">
        <v>34.483228306515599</v>
      </c>
      <c r="B4201">
        <v>-123.54322817256801</v>
      </c>
      <c r="C4201" t="s">
        <v>29</v>
      </c>
      <c r="D4201">
        <v>40.339927190065502</v>
      </c>
      <c r="E4201">
        <v>0</v>
      </c>
      <c r="F4201">
        <v>4323</v>
      </c>
      <c r="G4201">
        <v>4</v>
      </c>
      <c r="H4201">
        <v>1</v>
      </c>
      <c r="I4201">
        <v>2006</v>
      </c>
      <c r="J4201">
        <v>0</v>
      </c>
      <c r="K4201">
        <v>1</v>
      </c>
      <c r="L4201">
        <v>1</v>
      </c>
      <c r="M4201">
        <v>11</v>
      </c>
      <c r="N4201" t="s">
        <v>26</v>
      </c>
      <c r="O4201" t="s">
        <v>27</v>
      </c>
      <c r="P4201">
        <v>11.7402738962796</v>
      </c>
      <c r="Q4201">
        <v>1.8715366375568601</v>
      </c>
      <c r="R4201">
        <v>1.85684682236234</v>
      </c>
      <c r="S4201">
        <v>57</v>
      </c>
      <c r="T4201">
        <v>39</v>
      </c>
      <c r="U4201">
        <v>300.35314359832802</v>
      </c>
      <c r="V4201">
        <v>2.5445292620865098E-3</v>
      </c>
      <c r="W4201">
        <v>1634978.2508906799</v>
      </c>
      <c r="X4201" t="s">
        <v>36</v>
      </c>
      <c r="Y4201">
        <f>1-254-752-9008</f>
        <v>-10013</v>
      </c>
    </row>
    <row r="4202" spans="1:25" x14ac:dyDescent="0.35">
      <c r="A4202">
        <v>34.8040245268798</v>
      </c>
      <c r="B4202">
        <v>-117.32345399260799</v>
      </c>
      <c r="C4202" t="s">
        <v>29</v>
      </c>
      <c r="D4202">
        <v>21.790116075214801</v>
      </c>
      <c r="E4202">
        <v>5</v>
      </c>
      <c r="F4202">
        <v>2747</v>
      </c>
      <c r="G4202">
        <v>2</v>
      </c>
      <c r="H4202">
        <v>1</v>
      </c>
      <c r="I4202">
        <v>1993</v>
      </c>
      <c r="J4202">
        <v>0</v>
      </c>
      <c r="K4202">
        <v>0</v>
      </c>
      <c r="L4202">
        <v>1</v>
      </c>
      <c r="M4202">
        <v>5</v>
      </c>
      <c r="N4202" t="s">
        <v>35</v>
      </c>
      <c r="O4202" t="s">
        <v>32</v>
      </c>
      <c r="P4202">
        <v>11.260512546955001</v>
      </c>
      <c r="Q4202">
        <v>1.04243795231536</v>
      </c>
      <c r="R4202">
        <v>3.1963306700085901</v>
      </c>
      <c r="S4202">
        <v>80</v>
      </c>
      <c r="T4202">
        <v>47</v>
      </c>
      <c r="U4202">
        <v>687.07603346674102</v>
      </c>
      <c r="V4202">
        <v>1.82016745540589E-3</v>
      </c>
      <c r="W4202">
        <v>2081350.7139462901</v>
      </c>
      <c r="X4202" t="s">
        <v>42</v>
      </c>
      <c r="Y4202">
        <f>1-464-888-9456</f>
        <v>-10807</v>
      </c>
    </row>
    <row r="4203" spans="1:25" x14ac:dyDescent="0.35">
      <c r="A4203">
        <v>41.963188324626699</v>
      </c>
      <c r="B4203">
        <v>-120.713689914428</v>
      </c>
      <c r="C4203" t="s">
        <v>34</v>
      </c>
      <c r="D4203">
        <v>28.086218094240198</v>
      </c>
      <c r="E4203">
        <v>2</v>
      </c>
      <c r="F4203">
        <v>527</v>
      </c>
      <c r="G4203">
        <v>3</v>
      </c>
      <c r="H4203">
        <v>1</v>
      </c>
      <c r="I4203">
        <v>1991</v>
      </c>
      <c r="J4203">
        <v>0</v>
      </c>
      <c r="K4203">
        <v>1</v>
      </c>
      <c r="L4203">
        <v>0</v>
      </c>
      <c r="M4203">
        <v>6</v>
      </c>
      <c r="N4203" t="s">
        <v>26</v>
      </c>
      <c r="O4203" t="s">
        <v>32</v>
      </c>
      <c r="P4203">
        <v>2.5256355744608601</v>
      </c>
      <c r="Q4203">
        <v>0.69943432699859998</v>
      </c>
      <c r="R4203">
        <v>7.96173788722386</v>
      </c>
      <c r="S4203">
        <v>19</v>
      </c>
      <c r="T4203">
        <v>68</v>
      </c>
      <c r="U4203">
        <v>971.06069113623903</v>
      </c>
      <c r="V4203">
        <v>1.13851992409867E-2</v>
      </c>
      <c r="W4203">
        <v>850750.08893838897</v>
      </c>
      <c r="X4203" t="s">
        <v>31</v>
      </c>
      <c r="Y4203">
        <f>1-277-496-1767</f>
        <v>-2539</v>
      </c>
    </row>
    <row r="4204" spans="1:25" x14ac:dyDescent="0.35">
      <c r="A4204">
        <v>39.983388643684499</v>
      </c>
      <c r="B4204">
        <v>-116.89093936706099</v>
      </c>
      <c r="C4204" t="s">
        <v>29</v>
      </c>
      <c r="D4204">
        <v>20.330828275909301</v>
      </c>
      <c r="E4204">
        <v>1</v>
      </c>
      <c r="F4204">
        <v>4410</v>
      </c>
      <c r="G4204">
        <v>2</v>
      </c>
      <c r="H4204">
        <v>1</v>
      </c>
      <c r="I4204">
        <v>2014</v>
      </c>
      <c r="J4204">
        <v>0</v>
      </c>
      <c r="K4204">
        <v>0</v>
      </c>
      <c r="L4204">
        <v>1</v>
      </c>
      <c r="M4204">
        <v>11</v>
      </c>
      <c r="N4204" t="s">
        <v>41</v>
      </c>
      <c r="O4204" t="s">
        <v>30</v>
      </c>
      <c r="P4204">
        <v>13.6356878174212</v>
      </c>
      <c r="Q4204">
        <v>2.1074149258443802</v>
      </c>
      <c r="R4204">
        <v>1.42560931332868</v>
      </c>
      <c r="S4204">
        <v>58</v>
      </c>
      <c r="T4204">
        <v>63</v>
      </c>
      <c r="U4204">
        <v>200.53268509319199</v>
      </c>
      <c r="V4204">
        <v>2.4943310657596302E-3</v>
      </c>
      <c r="W4204">
        <v>1141600.1143554</v>
      </c>
      <c r="X4204" t="s">
        <v>28</v>
      </c>
      <c r="Y4204">
        <f>1-574-617-7647</f>
        <v>-8837</v>
      </c>
    </row>
    <row r="4205" spans="1:25" x14ac:dyDescent="0.35">
      <c r="A4205">
        <v>35.951365709089103</v>
      </c>
      <c r="B4205">
        <v>-119.203224358504</v>
      </c>
      <c r="C4205" t="s">
        <v>29</v>
      </c>
      <c r="D4205">
        <v>15.2467781851296</v>
      </c>
      <c r="E4205">
        <v>3</v>
      </c>
      <c r="F4205">
        <v>814</v>
      </c>
      <c r="G4205">
        <v>4</v>
      </c>
      <c r="H4205">
        <v>3</v>
      </c>
      <c r="I4205">
        <v>1974</v>
      </c>
      <c r="J4205">
        <v>0</v>
      </c>
      <c r="K4205">
        <v>0</v>
      </c>
      <c r="L4205">
        <v>0</v>
      </c>
      <c r="M4205">
        <v>14</v>
      </c>
      <c r="N4205" t="s">
        <v>35</v>
      </c>
      <c r="O4205" t="s">
        <v>30</v>
      </c>
      <c r="P4205">
        <v>10.5934129784882</v>
      </c>
      <c r="Q4205">
        <v>2.17583708150593</v>
      </c>
      <c r="R4205">
        <v>8.8136411181145498</v>
      </c>
      <c r="S4205">
        <v>154</v>
      </c>
      <c r="T4205">
        <v>79</v>
      </c>
      <c r="U4205">
        <v>949.20991536630402</v>
      </c>
      <c r="V4205">
        <v>1.7199017199017199E-2</v>
      </c>
      <c r="W4205">
        <v>1100028.9404341199</v>
      </c>
      <c r="X4205" t="s">
        <v>39</v>
      </c>
      <c r="Y4205">
        <f>1-716-749-3304</f>
        <v>-4768</v>
      </c>
    </row>
    <row r="4206" spans="1:25" x14ac:dyDescent="0.35">
      <c r="A4206">
        <v>37.6466653421204</v>
      </c>
      <c r="B4206">
        <v>-122.799882058168</v>
      </c>
      <c r="C4206" t="s">
        <v>29</v>
      </c>
      <c r="D4206">
        <v>4.1842206198814402</v>
      </c>
      <c r="E4206">
        <v>3</v>
      </c>
      <c r="F4206">
        <v>4722</v>
      </c>
      <c r="G4206">
        <v>1</v>
      </c>
      <c r="H4206">
        <v>3</v>
      </c>
      <c r="I4206">
        <v>2015</v>
      </c>
      <c r="J4206">
        <v>1</v>
      </c>
      <c r="K4206">
        <v>1</v>
      </c>
      <c r="L4206">
        <v>0</v>
      </c>
      <c r="M4206">
        <v>5</v>
      </c>
      <c r="N4206" t="s">
        <v>35</v>
      </c>
      <c r="O4206" t="s">
        <v>32</v>
      </c>
      <c r="P4206">
        <v>13.5133168205162</v>
      </c>
      <c r="Q4206">
        <v>1.14312241516325</v>
      </c>
      <c r="R4206">
        <v>7.4053167704474196</v>
      </c>
      <c r="S4206">
        <v>43</v>
      </c>
      <c r="T4206">
        <v>20</v>
      </c>
      <c r="U4206">
        <v>650.89415908449598</v>
      </c>
      <c r="V4206">
        <v>1.0588733587462899E-3</v>
      </c>
      <c r="W4206">
        <v>3368578.8395702299</v>
      </c>
      <c r="X4206" t="s">
        <v>31</v>
      </c>
      <c r="Y4206">
        <f>1-739-191-5452</f>
        <v>-6381</v>
      </c>
    </row>
    <row r="4207" spans="1:25" x14ac:dyDescent="0.35">
      <c r="A4207">
        <v>32.919077786148399</v>
      </c>
      <c r="B4207">
        <v>-119.483029660852</v>
      </c>
      <c r="C4207" t="s">
        <v>29</v>
      </c>
      <c r="D4207">
        <v>46.101889018094603</v>
      </c>
      <c r="E4207">
        <v>1</v>
      </c>
      <c r="F4207">
        <v>626</v>
      </c>
      <c r="G4207">
        <v>3</v>
      </c>
      <c r="H4207">
        <v>3</v>
      </c>
      <c r="I4207">
        <v>1992</v>
      </c>
      <c r="J4207">
        <v>1</v>
      </c>
      <c r="K4207">
        <v>1</v>
      </c>
      <c r="L4207">
        <v>0</v>
      </c>
      <c r="M4207">
        <v>9</v>
      </c>
      <c r="N4207" t="s">
        <v>37</v>
      </c>
      <c r="O4207" t="s">
        <v>32</v>
      </c>
      <c r="P4207">
        <v>3.6980656150390598</v>
      </c>
      <c r="Q4207">
        <v>1.30772737050986</v>
      </c>
      <c r="R4207">
        <v>8.6609210670765595</v>
      </c>
      <c r="S4207">
        <v>39</v>
      </c>
      <c r="T4207">
        <v>54</v>
      </c>
      <c r="U4207">
        <v>391.14716052746297</v>
      </c>
      <c r="V4207">
        <v>1.43769968051118E-2</v>
      </c>
      <c r="W4207">
        <v>604133.37959519005</v>
      </c>
      <c r="X4207" t="s">
        <v>44</v>
      </c>
      <c r="Y4207">
        <f>1-310-481-8850</f>
        <v>-9640</v>
      </c>
    </row>
    <row r="4208" spans="1:25" x14ac:dyDescent="0.35">
      <c r="A4208">
        <v>32.882034811592398</v>
      </c>
      <c r="B4208">
        <v>-117.171902485571</v>
      </c>
      <c r="C4208" t="s">
        <v>34</v>
      </c>
      <c r="D4208">
        <v>15.2788068342117</v>
      </c>
      <c r="E4208">
        <v>3</v>
      </c>
      <c r="F4208">
        <v>2111</v>
      </c>
      <c r="G4208">
        <v>3</v>
      </c>
      <c r="H4208">
        <v>3</v>
      </c>
      <c r="I4208">
        <v>2007</v>
      </c>
      <c r="J4208">
        <v>1</v>
      </c>
      <c r="K4208">
        <v>1</v>
      </c>
      <c r="L4208">
        <v>0</v>
      </c>
      <c r="M4208">
        <v>13</v>
      </c>
      <c r="N4208" t="s">
        <v>37</v>
      </c>
      <c r="O4208" t="s">
        <v>27</v>
      </c>
      <c r="P4208">
        <v>3.8131245869065098</v>
      </c>
      <c r="Q4208">
        <v>1.84670971299423</v>
      </c>
      <c r="R4208">
        <v>2.7513342293758001</v>
      </c>
      <c r="S4208">
        <v>95</v>
      </c>
      <c r="T4208">
        <v>69</v>
      </c>
      <c r="U4208">
        <v>603.76445086517401</v>
      </c>
      <c r="V4208">
        <v>6.1582188536238704E-3</v>
      </c>
      <c r="W4208">
        <v>1673131.70916807</v>
      </c>
      <c r="X4208" t="s">
        <v>44</v>
      </c>
      <c r="Y4208">
        <f>1-784-172-3897</f>
        <v>-4852</v>
      </c>
    </row>
    <row r="4209" spans="1:25" x14ac:dyDescent="0.35">
      <c r="A4209">
        <v>35.152820199652503</v>
      </c>
      <c r="B4209">
        <v>-117.365974873452</v>
      </c>
      <c r="C4209" t="s">
        <v>25</v>
      </c>
      <c r="D4209">
        <v>30.646708289803701</v>
      </c>
      <c r="E4209">
        <v>1</v>
      </c>
      <c r="F4209">
        <v>2671</v>
      </c>
      <c r="G4209">
        <v>1</v>
      </c>
      <c r="H4209">
        <v>3</v>
      </c>
      <c r="I4209">
        <v>1995</v>
      </c>
      <c r="J4209">
        <v>1</v>
      </c>
      <c r="K4209">
        <v>0</v>
      </c>
      <c r="L4209">
        <v>1</v>
      </c>
      <c r="M4209">
        <v>9</v>
      </c>
      <c r="N4209" t="s">
        <v>35</v>
      </c>
      <c r="O4209" t="s">
        <v>27</v>
      </c>
      <c r="P4209">
        <v>11.8533971503267</v>
      </c>
      <c r="Q4209">
        <v>1.10543957818498</v>
      </c>
      <c r="R4209">
        <v>7.13780436748619</v>
      </c>
      <c r="S4209">
        <v>91</v>
      </c>
      <c r="T4209">
        <v>28</v>
      </c>
      <c r="U4209">
        <v>438.66720644329502</v>
      </c>
      <c r="V4209">
        <v>3.3695245226506901E-3</v>
      </c>
      <c r="W4209">
        <v>1431488.18427195</v>
      </c>
      <c r="X4209" t="s">
        <v>38</v>
      </c>
      <c r="Y4209">
        <f>1-527-624-2409</f>
        <v>-3559</v>
      </c>
    </row>
    <row r="4210" spans="1:25" x14ac:dyDescent="0.35">
      <c r="A4210">
        <v>39.628130111447099</v>
      </c>
      <c r="B4210">
        <v>-118.427445308023</v>
      </c>
      <c r="C4210" t="s">
        <v>25</v>
      </c>
      <c r="D4210">
        <v>1.6066795908521401</v>
      </c>
      <c r="E4210">
        <v>8</v>
      </c>
      <c r="F4210">
        <v>2526</v>
      </c>
      <c r="G4210">
        <v>3</v>
      </c>
      <c r="H4210">
        <v>2</v>
      </c>
      <c r="I4210">
        <v>2011</v>
      </c>
      <c r="J4210">
        <v>1</v>
      </c>
      <c r="K4210">
        <v>0</v>
      </c>
      <c r="L4210">
        <v>1</v>
      </c>
      <c r="M4210">
        <v>6</v>
      </c>
      <c r="N4210" t="s">
        <v>35</v>
      </c>
      <c r="O4210" t="s">
        <v>27</v>
      </c>
      <c r="P4210">
        <v>4.5983705342143697</v>
      </c>
      <c r="Q4210">
        <v>1.16024864723416</v>
      </c>
      <c r="R4210">
        <v>6.8407963909787197</v>
      </c>
      <c r="S4210">
        <v>112</v>
      </c>
      <c r="T4210">
        <v>70</v>
      </c>
      <c r="U4210">
        <v>371.62404516711399</v>
      </c>
      <c r="V4210">
        <v>2.37529691211401E-3</v>
      </c>
      <c r="W4210">
        <v>1232620.20653768</v>
      </c>
      <c r="X4210" t="s">
        <v>36</v>
      </c>
      <c r="Y4210">
        <f>1-298-109-7865</f>
        <v>-8271</v>
      </c>
    </row>
    <row r="4211" spans="1:25" x14ac:dyDescent="0.35">
      <c r="A4211">
        <v>33.786473950431997</v>
      </c>
      <c r="B4211">
        <v>-120.20044038623</v>
      </c>
      <c r="C4211" t="s">
        <v>34</v>
      </c>
      <c r="D4211">
        <v>26.456186948933802</v>
      </c>
      <c r="E4211">
        <v>2</v>
      </c>
      <c r="F4211">
        <v>3669</v>
      </c>
      <c r="G4211">
        <v>4</v>
      </c>
      <c r="H4211">
        <v>3</v>
      </c>
      <c r="I4211">
        <v>2011</v>
      </c>
      <c r="J4211">
        <v>0</v>
      </c>
      <c r="K4211">
        <v>0</v>
      </c>
      <c r="L4211">
        <v>1</v>
      </c>
      <c r="M4211">
        <v>9</v>
      </c>
      <c r="N4211" t="s">
        <v>37</v>
      </c>
      <c r="O4211" t="s">
        <v>30</v>
      </c>
      <c r="P4211">
        <v>4.1485775154661297</v>
      </c>
      <c r="Q4211">
        <v>0.54781442827118398</v>
      </c>
      <c r="R4211">
        <v>2.9197693578757602</v>
      </c>
      <c r="S4211">
        <v>125</v>
      </c>
      <c r="T4211">
        <v>40</v>
      </c>
      <c r="U4211">
        <v>583.36685786840906</v>
      </c>
      <c r="V4211">
        <v>2.4529844644317201E-3</v>
      </c>
      <c r="W4211">
        <v>2390236.2756396602</v>
      </c>
      <c r="X4211" t="s">
        <v>43</v>
      </c>
      <c r="Y4211">
        <f>1-511-558-1127</f>
        <v>-2195</v>
      </c>
    </row>
    <row r="4212" spans="1:25" x14ac:dyDescent="0.35">
      <c r="A4212">
        <v>35.4713849698148</v>
      </c>
      <c r="B4212">
        <v>-115.690669788542</v>
      </c>
      <c r="C4212" t="s">
        <v>34</v>
      </c>
      <c r="D4212">
        <v>26.762128817164101</v>
      </c>
      <c r="E4212">
        <v>4</v>
      </c>
      <c r="F4212">
        <v>3196</v>
      </c>
      <c r="G4212">
        <v>1</v>
      </c>
      <c r="H4212">
        <v>2</v>
      </c>
      <c r="I4212">
        <v>2011</v>
      </c>
      <c r="J4212">
        <v>0</v>
      </c>
      <c r="K4212">
        <v>0</v>
      </c>
      <c r="L4212">
        <v>0</v>
      </c>
      <c r="M4212">
        <v>9</v>
      </c>
      <c r="N4212" t="s">
        <v>26</v>
      </c>
      <c r="O4212" t="s">
        <v>27</v>
      </c>
      <c r="P4212">
        <v>5.6055719230204604</v>
      </c>
      <c r="Q4212">
        <v>1.3119392106500101</v>
      </c>
      <c r="R4212">
        <v>5.4828391153403802</v>
      </c>
      <c r="S4212">
        <v>29</v>
      </c>
      <c r="T4212">
        <v>56</v>
      </c>
      <c r="U4212">
        <v>563.92375521244605</v>
      </c>
      <c r="V4212">
        <v>2.8160200250312798E-3</v>
      </c>
      <c r="W4212">
        <v>1934579.7671804701</v>
      </c>
      <c r="X4212" t="s">
        <v>31</v>
      </c>
      <c r="Y4212">
        <f>1-456-180-2947</f>
        <v>-3582</v>
      </c>
    </row>
    <row r="4213" spans="1:25" x14ac:dyDescent="0.35">
      <c r="A4213">
        <v>37.585638500089203</v>
      </c>
      <c r="B4213">
        <v>-120.622705578862</v>
      </c>
      <c r="C4213" t="s">
        <v>34</v>
      </c>
      <c r="D4213">
        <v>41.725383317475099</v>
      </c>
      <c r="E4213">
        <v>0</v>
      </c>
      <c r="F4213">
        <v>3164</v>
      </c>
      <c r="G4213">
        <v>2</v>
      </c>
      <c r="H4213">
        <v>3</v>
      </c>
      <c r="I4213">
        <v>1984</v>
      </c>
      <c r="J4213">
        <v>1</v>
      </c>
      <c r="K4213">
        <v>0</v>
      </c>
      <c r="L4213">
        <v>1</v>
      </c>
      <c r="M4213">
        <v>3</v>
      </c>
      <c r="N4213" t="s">
        <v>37</v>
      </c>
      <c r="O4213" t="s">
        <v>32</v>
      </c>
      <c r="P4213">
        <v>5.6275850325097601</v>
      </c>
      <c r="Q4213">
        <v>0.831467888183542</v>
      </c>
      <c r="R4213">
        <v>6.8774974621739204</v>
      </c>
      <c r="S4213">
        <v>34</v>
      </c>
      <c r="T4213">
        <v>53</v>
      </c>
      <c r="U4213">
        <v>518.85959131337802</v>
      </c>
      <c r="V4213">
        <v>9.4816687737041695E-4</v>
      </c>
      <c r="W4213">
        <v>1911756.87158795</v>
      </c>
      <c r="X4213" t="s">
        <v>42</v>
      </c>
      <c r="Y4213">
        <f>1-887-769-9654</f>
        <v>-11309</v>
      </c>
    </row>
    <row r="4214" spans="1:25" x14ac:dyDescent="0.35">
      <c r="A4214">
        <v>39.149414369923598</v>
      </c>
      <c r="B4214">
        <v>-118.13212736868</v>
      </c>
      <c r="C4214" t="s">
        <v>34</v>
      </c>
      <c r="D4214">
        <v>41.233085860014398</v>
      </c>
      <c r="E4214">
        <v>4</v>
      </c>
      <c r="F4214">
        <v>691</v>
      </c>
      <c r="G4214">
        <v>3</v>
      </c>
      <c r="H4214">
        <v>3</v>
      </c>
      <c r="I4214">
        <v>1972</v>
      </c>
      <c r="J4214">
        <v>0</v>
      </c>
      <c r="K4214">
        <v>0</v>
      </c>
      <c r="L4214">
        <v>0</v>
      </c>
      <c r="M4214">
        <v>11</v>
      </c>
      <c r="N4214" t="s">
        <v>37</v>
      </c>
      <c r="O4214" t="s">
        <v>30</v>
      </c>
      <c r="P4214">
        <v>3.4392082371941299</v>
      </c>
      <c r="Q4214">
        <v>2.48359355917919</v>
      </c>
      <c r="R4214">
        <v>1.0319984620618701</v>
      </c>
      <c r="S4214">
        <v>163</v>
      </c>
      <c r="T4214">
        <v>42</v>
      </c>
      <c r="U4214">
        <v>868.50795858718902</v>
      </c>
      <c r="V4214">
        <v>1.5918958031837901E-2</v>
      </c>
      <c r="W4214">
        <v>670757.20746790699</v>
      </c>
      <c r="X4214" t="s">
        <v>38</v>
      </c>
      <c r="Y4214">
        <f>1-208-462-2972</f>
        <v>-3641</v>
      </c>
    </row>
    <row r="4215" spans="1:25" x14ac:dyDescent="0.35">
      <c r="A4215">
        <v>34.915687123512903</v>
      </c>
      <c r="B4215">
        <v>-119.584949181631</v>
      </c>
      <c r="C4215" t="s">
        <v>29</v>
      </c>
      <c r="D4215">
        <v>7.5544657358652803</v>
      </c>
      <c r="E4215">
        <v>7</v>
      </c>
      <c r="F4215">
        <v>3912</v>
      </c>
      <c r="G4215">
        <v>5</v>
      </c>
      <c r="H4215">
        <v>1</v>
      </c>
      <c r="I4215">
        <v>1966</v>
      </c>
      <c r="J4215">
        <v>1</v>
      </c>
      <c r="K4215">
        <v>1</v>
      </c>
      <c r="L4215">
        <v>1</v>
      </c>
      <c r="M4215">
        <v>6</v>
      </c>
      <c r="N4215" t="s">
        <v>41</v>
      </c>
      <c r="O4215" t="s">
        <v>30</v>
      </c>
      <c r="P4215">
        <v>12.7585265705202</v>
      </c>
      <c r="Q4215">
        <v>2.0631910608661501</v>
      </c>
      <c r="R4215">
        <v>6.7631658792901499</v>
      </c>
      <c r="S4215">
        <v>117</v>
      </c>
      <c r="T4215">
        <v>22</v>
      </c>
      <c r="U4215">
        <v>535.73495197993702</v>
      </c>
      <c r="V4215">
        <v>1.5337423312883399E-3</v>
      </c>
      <c r="W4215">
        <v>2657784.0817593001</v>
      </c>
      <c r="X4215" t="s">
        <v>40</v>
      </c>
      <c r="Y4215">
        <f>1-906-521-4631</f>
        <v>-6057</v>
      </c>
    </row>
    <row r="4216" spans="1:25" x14ac:dyDescent="0.35">
      <c r="A4216">
        <v>32.575265434367601</v>
      </c>
      <c r="B4216">
        <v>-120.495826798338</v>
      </c>
      <c r="C4216" t="s">
        <v>34</v>
      </c>
      <c r="D4216">
        <v>25.559098748333099</v>
      </c>
      <c r="E4216">
        <v>5</v>
      </c>
      <c r="F4216">
        <v>2601</v>
      </c>
      <c r="G4216">
        <v>1</v>
      </c>
      <c r="H4216">
        <v>3</v>
      </c>
      <c r="I4216">
        <v>2019</v>
      </c>
      <c r="J4216">
        <v>1</v>
      </c>
      <c r="K4216">
        <v>0</v>
      </c>
      <c r="L4216">
        <v>0</v>
      </c>
      <c r="M4216">
        <v>2</v>
      </c>
      <c r="N4216" t="s">
        <v>26</v>
      </c>
      <c r="O4216" t="s">
        <v>27</v>
      </c>
      <c r="P4216">
        <v>8.0324444249613904</v>
      </c>
      <c r="Q4216">
        <v>1.57233446399879</v>
      </c>
      <c r="R4216">
        <v>3.3053460564408002</v>
      </c>
      <c r="S4216">
        <v>111</v>
      </c>
      <c r="T4216">
        <v>53</v>
      </c>
      <c r="U4216">
        <v>293.85034234817402</v>
      </c>
      <c r="V4216">
        <v>7.6893502499038801E-4</v>
      </c>
      <c r="W4216">
        <v>981637.92758347897</v>
      </c>
      <c r="X4216" t="s">
        <v>31</v>
      </c>
      <c r="Y4216">
        <f>1-657-633-2094</f>
        <v>-3383</v>
      </c>
    </row>
    <row r="4217" spans="1:25" x14ac:dyDescent="0.35">
      <c r="A4217">
        <v>32.505395539556901</v>
      </c>
      <c r="B4217">
        <v>-115.82403731102301</v>
      </c>
      <c r="C4217" t="s">
        <v>29</v>
      </c>
      <c r="D4217">
        <v>39.313373743715999</v>
      </c>
      <c r="E4217">
        <v>6</v>
      </c>
      <c r="F4217">
        <v>4009</v>
      </c>
      <c r="G4217">
        <v>5</v>
      </c>
      <c r="H4217">
        <v>3</v>
      </c>
      <c r="I4217">
        <v>1980</v>
      </c>
      <c r="J4217">
        <v>1</v>
      </c>
      <c r="K4217">
        <v>1</v>
      </c>
      <c r="L4217">
        <v>0</v>
      </c>
      <c r="M4217">
        <v>13</v>
      </c>
      <c r="N4217" t="s">
        <v>37</v>
      </c>
      <c r="O4217" t="s">
        <v>27</v>
      </c>
      <c r="P4217">
        <v>13.0693516533762</v>
      </c>
      <c r="Q4217">
        <v>1.5711747007625501</v>
      </c>
      <c r="R4217">
        <v>4.5296907775928297</v>
      </c>
      <c r="S4217">
        <v>139</v>
      </c>
      <c r="T4217">
        <v>60</v>
      </c>
      <c r="U4217">
        <v>761.227734223879</v>
      </c>
      <c r="V4217">
        <v>3.2427039161885699E-3</v>
      </c>
      <c r="W4217">
        <v>3602862.8669786602</v>
      </c>
      <c r="X4217" t="s">
        <v>40</v>
      </c>
      <c r="Y4217">
        <f>1-804-307-6865</f>
        <v>-7975</v>
      </c>
    </row>
    <row r="4218" spans="1:25" x14ac:dyDescent="0.35">
      <c r="A4218">
        <v>36.695006037906403</v>
      </c>
      <c r="B4218">
        <v>-122.09937427714701</v>
      </c>
      <c r="C4218" t="s">
        <v>25</v>
      </c>
      <c r="D4218">
        <v>40.182336912136002</v>
      </c>
      <c r="E4218">
        <v>0</v>
      </c>
      <c r="F4218">
        <v>4310</v>
      </c>
      <c r="G4218">
        <v>3</v>
      </c>
      <c r="H4218">
        <v>3</v>
      </c>
      <c r="I4218">
        <v>1966</v>
      </c>
      <c r="J4218">
        <v>1</v>
      </c>
      <c r="K4218">
        <v>1</v>
      </c>
      <c r="L4218">
        <v>1</v>
      </c>
      <c r="M4218">
        <v>4</v>
      </c>
      <c r="N4218" t="s">
        <v>35</v>
      </c>
      <c r="O4218" t="s">
        <v>27</v>
      </c>
      <c r="P4218">
        <v>11.074896168533201</v>
      </c>
      <c r="Q4218">
        <v>2.2406688014330798</v>
      </c>
      <c r="R4218">
        <v>6.7993063948773296</v>
      </c>
      <c r="S4218">
        <v>99</v>
      </c>
      <c r="T4218">
        <v>62</v>
      </c>
      <c r="U4218">
        <v>316.831263863777</v>
      </c>
      <c r="V4218">
        <v>9.2807424593967496E-4</v>
      </c>
      <c r="W4218">
        <v>1785835.7615193401</v>
      </c>
      <c r="X4218" t="s">
        <v>39</v>
      </c>
      <c r="Y4218">
        <f>1-234-131-7104</f>
        <v>-7468</v>
      </c>
    </row>
    <row r="4219" spans="1:25" x14ac:dyDescent="0.35">
      <c r="A4219">
        <v>32.869389335824799</v>
      </c>
      <c r="B4219">
        <v>-116.174873993395</v>
      </c>
      <c r="C4219" t="s">
        <v>34</v>
      </c>
      <c r="D4219">
        <v>39.049607938852802</v>
      </c>
      <c r="E4219">
        <v>7</v>
      </c>
      <c r="F4219">
        <v>3438</v>
      </c>
      <c r="G4219">
        <v>2</v>
      </c>
      <c r="H4219">
        <v>2</v>
      </c>
      <c r="I4219">
        <v>1966</v>
      </c>
      <c r="J4219">
        <v>0</v>
      </c>
      <c r="K4219">
        <v>1</v>
      </c>
      <c r="L4219">
        <v>0</v>
      </c>
      <c r="M4219">
        <v>13</v>
      </c>
      <c r="N4219" t="s">
        <v>26</v>
      </c>
      <c r="O4219" t="s">
        <v>32</v>
      </c>
      <c r="P4219">
        <v>12.3326079040277</v>
      </c>
      <c r="Q4219">
        <v>1.70264920549355</v>
      </c>
      <c r="R4219">
        <v>6.0752120410188297</v>
      </c>
      <c r="S4219">
        <v>136</v>
      </c>
      <c r="T4219">
        <v>33</v>
      </c>
      <c r="U4219">
        <v>807.33087657900705</v>
      </c>
      <c r="V4219">
        <v>3.78126817917393E-3</v>
      </c>
      <c r="W4219">
        <v>3129053.5533769801</v>
      </c>
      <c r="X4219" t="s">
        <v>40</v>
      </c>
      <c r="Y4219">
        <f>1-813-413-2934</f>
        <v>-4159</v>
      </c>
    </row>
    <row r="4220" spans="1:25" x14ac:dyDescent="0.35">
      <c r="A4220">
        <v>33.025244164380801</v>
      </c>
      <c r="B4220">
        <v>-117.21033773347401</v>
      </c>
      <c r="C4220" t="s">
        <v>29</v>
      </c>
      <c r="D4220">
        <v>13.4407178764459</v>
      </c>
      <c r="E4220">
        <v>9</v>
      </c>
      <c r="F4220">
        <v>4331</v>
      </c>
      <c r="G4220">
        <v>2</v>
      </c>
      <c r="H4220">
        <v>3</v>
      </c>
      <c r="I4220">
        <v>2005</v>
      </c>
      <c r="J4220">
        <v>0</v>
      </c>
      <c r="K4220">
        <v>1</v>
      </c>
      <c r="L4220">
        <v>1</v>
      </c>
      <c r="M4220">
        <v>13</v>
      </c>
      <c r="N4220" t="s">
        <v>26</v>
      </c>
      <c r="O4220" t="s">
        <v>30</v>
      </c>
      <c r="P4220">
        <v>4.6102315790828703</v>
      </c>
      <c r="Q4220">
        <v>1.8296909178030401</v>
      </c>
      <c r="R4220">
        <v>4.98365572395236</v>
      </c>
      <c r="S4220">
        <v>167</v>
      </c>
      <c r="T4220">
        <v>62</v>
      </c>
      <c r="U4220">
        <v>384.99974542707901</v>
      </c>
      <c r="V4220">
        <v>3.00161625490648E-3</v>
      </c>
      <c r="W4220">
        <v>1883421.3270888</v>
      </c>
      <c r="X4220" t="s">
        <v>39</v>
      </c>
      <c r="Y4220">
        <f>1-303-333-3339</f>
        <v>-3974</v>
      </c>
    </row>
    <row r="4221" spans="1:25" x14ac:dyDescent="0.35">
      <c r="A4221">
        <v>41.337187454474098</v>
      </c>
      <c r="B4221">
        <v>-120.955546098358</v>
      </c>
      <c r="C4221" t="s">
        <v>25</v>
      </c>
      <c r="D4221">
        <v>43.136311297921999</v>
      </c>
      <c r="E4221">
        <v>6</v>
      </c>
      <c r="F4221">
        <v>3827</v>
      </c>
      <c r="G4221">
        <v>3</v>
      </c>
      <c r="H4221">
        <v>2</v>
      </c>
      <c r="I4221">
        <v>1998</v>
      </c>
      <c r="J4221">
        <v>1</v>
      </c>
      <c r="K4221">
        <v>0</v>
      </c>
      <c r="L4221">
        <v>0</v>
      </c>
      <c r="M4221">
        <v>11</v>
      </c>
      <c r="N4221" t="s">
        <v>37</v>
      </c>
      <c r="O4221" t="s">
        <v>32</v>
      </c>
      <c r="P4221">
        <v>7.29914862360088</v>
      </c>
      <c r="Q4221">
        <v>0.657410430972313</v>
      </c>
      <c r="R4221">
        <v>1.84165209374401</v>
      </c>
      <c r="S4221">
        <v>85</v>
      </c>
      <c r="T4221">
        <v>20</v>
      </c>
      <c r="U4221">
        <v>819.12032381072402</v>
      </c>
      <c r="V4221">
        <v>2.8743140841390102E-3</v>
      </c>
      <c r="W4221">
        <v>3464717.6644337499</v>
      </c>
      <c r="X4221" t="s">
        <v>44</v>
      </c>
      <c r="Y4221">
        <f>1-559-528-9753</f>
        <v>-10839</v>
      </c>
    </row>
    <row r="4222" spans="1:25" x14ac:dyDescent="0.35">
      <c r="A4222">
        <v>40.4125472531165</v>
      </c>
      <c r="B4222">
        <v>-119.84428822384</v>
      </c>
      <c r="C4222" t="s">
        <v>29</v>
      </c>
      <c r="D4222">
        <v>49.999929778086198</v>
      </c>
      <c r="E4222">
        <v>7</v>
      </c>
      <c r="F4222">
        <v>3778</v>
      </c>
      <c r="G4222">
        <v>1</v>
      </c>
      <c r="H4222">
        <v>2</v>
      </c>
      <c r="I4222">
        <v>1962</v>
      </c>
      <c r="J4222">
        <v>0</v>
      </c>
      <c r="K4222">
        <v>1</v>
      </c>
      <c r="L4222">
        <v>0</v>
      </c>
      <c r="M4222">
        <v>4</v>
      </c>
      <c r="N4222" t="s">
        <v>41</v>
      </c>
      <c r="O4222" t="s">
        <v>27</v>
      </c>
      <c r="P4222">
        <v>4.32043781121995</v>
      </c>
      <c r="Q4222">
        <v>1.90375407085223</v>
      </c>
      <c r="R4222">
        <v>5.5636450732436504</v>
      </c>
      <c r="S4222">
        <v>138</v>
      </c>
      <c r="T4222">
        <v>32</v>
      </c>
      <c r="U4222">
        <v>966.68156726338395</v>
      </c>
      <c r="V4222">
        <v>1.0587612493382699E-3</v>
      </c>
      <c r="W4222">
        <v>3699642.1486949101</v>
      </c>
      <c r="X4222" t="s">
        <v>33</v>
      </c>
      <c r="Y4222">
        <f>1-946-984-9346</f>
        <v>-11275</v>
      </c>
    </row>
    <row r="4223" spans="1:25" x14ac:dyDescent="0.35">
      <c r="A4223">
        <v>38.193445997534603</v>
      </c>
      <c r="B4223">
        <v>-115.28784439381801</v>
      </c>
      <c r="C4223" t="s">
        <v>29</v>
      </c>
      <c r="D4223">
        <v>38.881556237726599</v>
      </c>
      <c r="E4223">
        <v>3</v>
      </c>
      <c r="F4223">
        <v>1222</v>
      </c>
      <c r="G4223">
        <v>3</v>
      </c>
      <c r="H4223">
        <v>1</v>
      </c>
      <c r="I4223">
        <v>2007</v>
      </c>
      <c r="J4223">
        <v>1</v>
      </c>
      <c r="K4223">
        <v>1</v>
      </c>
      <c r="L4223">
        <v>0</v>
      </c>
      <c r="M4223">
        <v>3</v>
      </c>
      <c r="N4223" t="s">
        <v>35</v>
      </c>
      <c r="O4223" t="s">
        <v>32</v>
      </c>
      <c r="P4223">
        <v>10.200774655013699</v>
      </c>
      <c r="Q4223">
        <v>1.44340062584252</v>
      </c>
      <c r="R4223">
        <v>7.0194274765749096</v>
      </c>
      <c r="S4223">
        <v>3</v>
      </c>
      <c r="T4223">
        <v>56</v>
      </c>
      <c r="U4223">
        <v>228.680694566939</v>
      </c>
      <c r="V4223">
        <v>2.45499181669394E-3</v>
      </c>
      <c r="W4223">
        <v>571352.50443385204</v>
      </c>
      <c r="X4223" t="s">
        <v>44</v>
      </c>
      <c r="Y4223">
        <f>1-825-238-2527</f>
        <v>-3589</v>
      </c>
    </row>
    <row r="4224" spans="1:25" x14ac:dyDescent="0.35">
      <c r="A4224">
        <v>34.256209987590999</v>
      </c>
      <c r="B4224">
        <v>-122.233472347546</v>
      </c>
      <c r="C4224" t="s">
        <v>29</v>
      </c>
      <c r="D4224">
        <v>27.977902582847101</v>
      </c>
      <c r="E4224">
        <v>3</v>
      </c>
      <c r="F4224">
        <v>2856</v>
      </c>
      <c r="G4224">
        <v>1</v>
      </c>
      <c r="H4224">
        <v>1</v>
      </c>
      <c r="I4224">
        <v>2017</v>
      </c>
      <c r="J4224">
        <v>0</v>
      </c>
      <c r="K4224">
        <v>1</v>
      </c>
      <c r="L4224">
        <v>0</v>
      </c>
      <c r="M4224">
        <v>9</v>
      </c>
      <c r="N4224" t="s">
        <v>37</v>
      </c>
      <c r="O4224" t="s">
        <v>27</v>
      </c>
      <c r="P4224">
        <v>11.7270906408674</v>
      </c>
      <c r="Q4224">
        <v>2.2041534342600202</v>
      </c>
      <c r="R4224">
        <v>2.1196289299858599</v>
      </c>
      <c r="S4224">
        <v>164</v>
      </c>
      <c r="T4224">
        <v>38</v>
      </c>
      <c r="U4224">
        <v>304.161022682789</v>
      </c>
      <c r="V4224">
        <v>3.1512605042016799E-3</v>
      </c>
      <c r="W4224">
        <v>1113773.6452711101</v>
      </c>
      <c r="X4224" t="s">
        <v>28</v>
      </c>
      <c r="Y4224">
        <f>1-750-877-3531</f>
        <v>-5157</v>
      </c>
    </row>
    <row r="4225" spans="1:25" x14ac:dyDescent="0.35">
      <c r="A4225">
        <v>38.443615061948897</v>
      </c>
      <c r="B4225">
        <v>-116.084597433897</v>
      </c>
      <c r="C4225" t="s">
        <v>34</v>
      </c>
      <c r="D4225">
        <v>31.250443002000999</v>
      </c>
      <c r="E4225">
        <v>0</v>
      </c>
      <c r="F4225">
        <v>2532</v>
      </c>
      <c r="G4225">
        <v>4</v>
      </c>
      <c r="H4225">
        <v>1</v>
      </c>
      <c r="I4225">
        <v>1965</v>
      </c>
      <c r="J4225">
        <v>1</v>
      </c>
      <c r="K4225">
        <v>0</v>
      </c>
      <c r="L4225">
        <v>1</v>
      </c>
      <c r="M4225">
        <v>14</v>
      </c>
      <c r="N4225" t="s">
        <v>26</v>
      </c>
      <c r="O4225" t="s">
        <v>30</v>
      </c>
      <c r="P4225">
        <v>7.42391267748242</v>
      </c>
      <c r="Q4225">
        <v>2.0900307089642398</v>
      </c>
      <c r="R4225">
        <v>2.17807943259771</v>
      </c>
      <c r="S4225">
        <v>27</v>
      </c>
      <c r="T4225">
        <v>27</v>
      </c>
      <c r="U4225">
        <v>913.37105083290498</v>
      </c>
      <c r="V4225">
        <v>5.5292259083728201E-3</v>
      </c>
      <c r="W4225">
        <v>2617317.0474911602</v>
      </c>
      <c r="X4225" t="s">
        <v>40</v>
      </c>
      <c r="Y4225">
        <f>1-899-234-2716</f>
        <v>-3848</v>
      </c>
    </row>
    <row r="4226" spans="1:25" x14ac:dyDescent="0.35">
      <c r="A4226">
        <v>38.648503387334301</v>
      </c>
      <c r="B4226">
        <v>-116.007972055327</v>
      </c>
      <c r="C4226" t="s">
        <v>25</v>
      </c>
      <c r="D4226">
        <v>5.3238453721041097</v>
      </c>
      <c r="E4226">
        <v>9</v>
      </c>
      <c r="F4226">
        <v>4375</v>
      </c>
      <c r="G4226">
        <v>2</v>
      </c>
      <c r="H4226">
        <v>3</v>
      </c>
      <c r="I4226">
        <v>2013</v>
      </c>
      <c r="J4226">
        <v>1</v>
      </c>
      <c r="K4226">
        <v>0</v>
      </c>
      <c r="L4226">
        <v>1</v>
      </c>
      <c r="M4226">
        <v>14</v>
      </c>
      <c r="N4226" t="s">
        <v>35</v>
      </c>
      <c r="O4226" t="s">
        <v>32</v>
      </c>
      <c r="P4226">
        <v>5.1176891552820001</v>
      </c>
      <c r="Q4226">
        <v>1.8932516790364999</v>
      </c>
      <c r="R4226">
        <v>9.9909582688383605</v>
      </c>
      <c r="S4226">
        <v>88</v>
      </c>
      <c r="T4226">
        <v>64</v>
      </c>
      <c r="U4226">
        <v>677.31826032965296</v>
      </c>
      <c r="V4226">
        <v>3.2000000000000002E-3</v>
      </c>
      <c r="W4226">
        <v>3265793.9895518301</v>
      </c>
      <c r="X4226" t="s">
        <v>28</v>
      </c>
      <c r="Y4226">
        <f>1-473-658-6010</f>
        <v>-7140</v>
      </c>
    </row>
    <row r="4227" spans="1:25" x14ac:dyDescent="0.35">
      <c r="A4227">
        <v>40.488000312352703</v>
      </c>
      <c r="B4227">
        <v>-121.66430338009199</v>
      </c>
      <c r="C4227" t="s">
        <v>34</v>
      </c>
      <c r="D4227">
        <v>48.1498011949475</v>
      </c>
      <c r="E4227">
        <v>0</v>
      </c>
      <c r="F4227">
        <v>1659</v>
      </c>
      <c r="G4227">
        <v>2</v>
      </c>
      <c r="H4227">
        <v>3</v>
      </c>
      <c r="I4227">
        <v>2014</v>
      </c>
      <c r="J4227">
        <v>0</v>
      </c>
      <c r="K4227">
        <v>1</v>
      </c>
      <c r="L4227">
        <v>1</v>
      </c>
      <c r="M4227">
        <v>11</v>
      </c>
      <c r="N4227" t="s">
        <v>41</v>
      </c>
      <c r="O4227" t="s">
        <v>32</v>
      </c>
      <c r="P4227">
        <v>7.60694977099525</v>
      </c>
      <c r="Q4227">
        <v>0.79493821092171102</v>
      </c>
      <c r="R4227">
        <v>4.7610908925818096</v>
      </c>
      <c r="S4227">
        <v>146</v>
      </c>
      <c r="T4227">
        <v>71</v>
      </c>
      <c r="U4227">
        <v>908.86046273368095</v>
      </c>
      <c r="V4227">
        <v>6.63050030138637E-3</v>
      </c>
      <c r="W4227">
        <v>1786359.79627888</v>
      </c>
      <c r="X4227" t="s">
        <v>43</v>
      </c>
      <c r="Y4227">
        <f>1-714-829-1971</f>
        <v>-3513</v>
      </c>
    </row>
    <row r="4228" spans="1:25" x14ac:dyDescent="0.35">
      <c r="A4228">
        <v>33.611070271612803</v>
      </c>
      <c r="B4228">
        <v>-124.12581162036</v>
      </c>
      <c r="C4228" t="s">
        <v>34</v>
      </c>
      <c r="D4228">
        <v>31.916171569002302</v>
      </c>
      <c r="E4228">
        <v>2</v>
      </c>
      <c r="F4228">
        <v>2687</v>
      </c>
      <c r="G4228">
        <v>3</v>
      </c>
      <c r="H4228">
        <v>3</v>
      </c>
      <c r="I4228">
        <v>1977</v>
      </c>
      <c r="J4228">
        <v>0</v>
      </c>
      <c r="K4228">
        <v>0</v>
      </c>
      <c r="L4228">
        <v>1</v>
      </c>
      <c r="M4228">
        <v>14</v>
      </c>
      <c r="N4228" t="s">
        <v>37</v>
      </c>
      <c r="O4228" t="s">
        <v>30</v>
      </c>
      <c r="P4228">
        <v>13.8585580736623</v>
      </c>
      <c r="Q4228">
        <v>2.0532418012517502</v>
      </c>
      <c r="R4228">
        <v>2.7206981738021598</v>
      </c>
      <c r="S4228">
        <v>175</v>
      </c>
      <c r="T4228">
        <v>77</v>
      </c>
      <c r="U4228">
        <v>491.01163764274798</v>
      </c>
      <c r="V4228">
        <v>5.2102716784517998E-3</v>
      </c>
      <c r="W4228">
        <v>1569552.5193805001</v>
      </c>
      <c r="X4228" t="s">
        <v>38</v>
      </c>
      <c r="Y4228">
        <f>1-577-479-8343</f>
        <v>-9398</v>
      </c>
    </row>
    <row r="4229" spans="1:25" x14ac:dyDescent="0.35">
      <c r="A4229">
        <v>36.9091682542076</v>
      </c>
      <c r="B4229">
        <v>-115.332146748917</v>
      </c>
      <c r="C4229" t="s">
        <v>25</v>
      </c>
      <c r="D4229">
        <v>7.0133154281126098</v>
      </c>
      <c r="E4229">
        <v>1</v>
      </c>
      <c r="F4229">
        <v>2928</v>
      </c>
      <c r="G4229">
        <v>2</v>
      </c>
      <c r="H4229">
        <v>2</v>
      </c>
      <c r="I4229">
        <v>2018</v>
      </c>
      <c r="J4229">
        <v>0</v>
      </c>
      <c r="K4229">
        <v>1</v>
      </c>
      <c r="L4229">
        <v>1</v>
      </c>
      <c r="M4229">
        <v>6</v>
      </c>
      <c r="N4229" t="s">
        <v>37</v>
      </c>
      <c r="O4229" t="s">
        <v>27</v>
      </c>
      <c r="P4229">
        <v>9.8029771532818994</v>
      </c>
      <c r="Q4229">
        <v>1.40850148711064</v>
      </c>
      <c r="R4229">
        <v>1.5104191440726999</v>
      </c>
      <c r="S4229">
        <v>37</v>
      </c>
      <c r="T4229">
        <v>75</v>
      </c>
      <c r="U4229">
        <v>453.24000231750301</v>
      </c>
      <c r="V4229">
        <v>2.04918032786885E-3</v>
      </c>
      <c r="W4229">
        <v>1634449.09692082</v>
      </c>
      <c r="X4229" t="s">
        <v>40</v>
      </c>
      <c r="Y4229">
        <f>1-802-517-6218</f>
        <v>-7536</v>
      </c>
    </row>
    <row r="4230" spans="1:25" x14ac:dyDescent="0.35">
      <c r="A4230">
        <v>38.6998286544558</v>
      </c>
      <c r="B4230">
        <v>-114.96840981640401</v>
      </c>
      <c r="C4230" t="s">
        <v>25</v>
      </c>
      <c r="D4230">
        <v>9.6471106724290792</v>
      </c>
      <c r="E4230">
        <v>0</v>
      </c>
      <c r="F4230">
        <v>1329</v>
      </c>
      <c r="G4230">
        <v>4</v>
      </c>
      <c r="H4230">
        <v>1</v>
      </c>
      <c r="I4230">
        <v>1964</v>
      </c>
      <c r="J4230">
        <v>1</v>
      </c>
      <c r="K4230">
        <v>1</v>
      </c>
      <c r="L4230">
        <v>0</v>
      </c>
      <c r="M4230">
        <v>4</v>
      </c>
      <c r="N4230" t="s">
        <v>35</v>
      </c>
      <c r="O4230" t="s">
        <v>32</v>
      </c>
      <c r="P4230">
        <v>9.1364507470061795</v>
      </c>
      <c r="Q4230">
        <v>1.4218729455107</v>
      </c>
      <c r="R4230">
        <v>1.4570130811533699</v>
      </c>
      <c r="S4230">
        <v>180</v>
      </c>
      <c r="T4230">
        <v>24</v>
      </c>
      <c r="U4230">
        <v>791.67386507854599</v>
      </c>
      <c r="V4230">
        <v>3.0097817908201598E-3</v>
      </c>
      <c r="W4230">
        <v>1395040.7848281499</v>
      </c>
      <c r="X4230" t="s">
        <v>28</v>
      </c>
      <c r="Y4230">
        <f>1-239-115-9118</f>
        <v>-9471</v>
      </c>
    </row>
    <row r="4231" spans="1:25" x14ac:dyDescent="0.35">
      <c r="A4231">
        <v>36.897792404138102</v>
      </c>
      <c r="B4231">
        <v>-121.875338378568</v>
      </c>
      <c r="C4231" t="s">
        <v>25</v>
      </c>
      <c r="D4231">
        <v>16.178018957589099</v>
      </c>
      <c r="E4231">
        <v>8</v>
      </c>
      <c r="F4231">
        <v>4602</v>
      </c>
      <c r="G4231">
        <v>4</v>
      </c>
      <c r="H4231">
        <v>1</v>
      </c>
      <c r="I4231">
        <v>2013</v>
      </c>
      <c r="J4231">
        <v>0</v>
      </c>
      <c r="K4231">
        <v>1</v>
      </c>
      <c r="L4231">
        <v>1</v>
      </c>
      <c r="M4231">
        <v>11</v>
      </c>
      <c r="N4231" t="s">
        <v>26</v>
      </c>
      <c r="O4231" t="s">
        <v>30</v>
      </c>
      <c r="P4231">
        <v>11.810775771889301</v>
      </c>
      <c r="Q4231">
        <v>1.44468069884783</v>
      </c>
      <c r="R4231">
        <v>8.4418485217154</v>
      </c>
      <c r="S4231">
        <v>193</v>
      </c>
      <c r="T4231">
        <v>53</v>
      </c>
      <c r="U4231">
        <v>730.06613447272503</v>
      </c>
      <c r="V4231">
        <v>2.3902651021295001E-3</v>
      </c>
      <c r="W4231">
        <v>3657895.12770866</v>
      </c>
      <c r="X4231" t="s">
        <v>43</v>
      </c>
      <c r="Y4231">
        <f>1-634-706-3977</f>
        <v>-5316</v>
      </c>
    </row>
    <row r="4232" spans="1:25" x14ac:dyDescent="0.35">
      <c r="A4232">
        <v>34.310921031300303</v>
      </c>
      <c r="B4232">
        <v>-114.91875263031</v>
      </c>
      <c r="C4232" t="s">
        <v>25</v>
      </c>
      <c r="D4232">
        <v>6.0822296463413004</v>
      </c>
      <c r="E4232">
        <v>8</v>
      </c>
      <c r="F4232">
        <v>1769</v>
      </c>
      <c r="G4232">
        <v>1</v>
      </c>
      <c r="H4232">
        <v>2</v>
      </c>
      <c r="I4232">
        <v>1978</v>
      </c>
      <c r="J4232">
        <v>0</v>
      </c>
      <c r="K4232">
        <v>0</v>
      </c>
      <c r="L4232">
        <v>0</v>
      </c>
      <c r="M4232">
        <v>6</v>
      </c>
      <c r="N4232" t="s">
        <v>41</v>
      </c>
      <c r="O4232" t="s">
        <v>32</v>
      </c>
      <c r="P4232">
        <v>14.739541292555201</v>
      </c>
      <c r="Q4232">
        <v>1.9157330625942599</v>
      </c>
      <c r="R4232">
        <v>5.1045310702306503</v>
      </c>
      <c r="S4232">
        <v>187</v>
      </c>
      <c r="T4232">
        <v>22</v>
      </c>
      <c r="U4232">
        <v>704.40323437524</v>
      </c>
      <c r="V4232">
        <v>3.3917467495760299E-3</v>
      </c>
      <c r="W4232">
        <v>1380538.39426</v>
      </c>
      <c r="X4232" t="s">
        <v>31</v>
      </c>
      <c r="Y4232">
        <f>1-812-144-9290</f>
        <v>-10245</v>
      </c>
    </row>
    <row r="4233" spans="1:25" x14ac:dyDescent="0.35">
      <c r="A4233">
        <v>34.392510450916603</v>
      </c>
      <c r="B4233">
        <v>-121.65349368554401</v>
      </c>
      <c r="C4233" t="s">
        <v>34</v>
      </c>
      <c r="D4233">
        <v>43.736545032469998</v>
      </c>
      <c r="E4233">
        <v>8</v>
      </c>
      <c r="F4233">
        <v>2782</v>
      </c>
      <c r="G4233">
        <v>4</v>
      </c>
      <c r="H4233">
        <v>3</v>
      </c>
      <c r="I4233">
        <v>2012</v>
      </c>
      <c r="J4233">
        <v>1</v>
      </c>
      <c r="K4233">
        <v>1</v>
      </c>
      <c r="L4233">
        <v>0</v>
      </c>
      <c r="M4233">
        <v>11</v>
      </c>
      <c r="N4233" t="s">
        <v>26</v>
      </c>
      <c r="O4233" t="s">
        <v>30</v>
      </c>
      <c r="P4233">
        <v>8.2088669422040805</v>
      </c>
      <c r="Q4233">
        <v>2.14389290464625</v>
      </c>
      <c r="R4233">
        <v>9.5731760687566805</v>
      </c>
      <c r="S4233">
        <v>92</v>
      </c>
      <c r="T4233">
        <v>29</v>
      </c>
      <c r="U4233">
        <v>837.96900915227297</v>
      </c>
      <c r="V4233">
        <v>3.9539899352983403E-3</v>
      </c>
      <c r="W4233">
        <v>2816898.2420884101</v>
      </c>
      <c r="X4233" t="s">
        <v>44</v>
      </c>
      <c r="Y4233">
        <f>1-248-454-4833</f>
        <v>-5534</v>
      </c>
    </row>
    <row r="4234" spans="1:25" x14ac:dyDescent="0.35">
      <c r="A4234">
        <v>32.661485256501201</v>
      </c>
      <c r="B4234">
        <v>-118.82580786390901</v>
      </c>
      <c r="C4234" t="s">
        <v>25</v>
      </c>
      <c r="D4234">
        <v>34.753496760298901</v>
      </c>
      <c r="E4234">
        <v>1</v>
      </c>
      <c r="F4234">
        <v>2404</v>
      </c>
      <c r="G4234">
        <v>5</v>
      </c>
      <c r="H4234">
        <v>3</v>
      </c>
      <c r="I4234">
        <v>2008</v>
      </c>
      <c r="J4234">
        <v>0</v>
      </c>
      <c r="K4234">
        <v>0</v>
      </c>
      <c r="L4234">
        <v>1</v>
      </c>
      <c r="M4234">
        <v>7</v>
      </c>
      <c r="N4234" t="s">
        <v>41</v>
      </c>
      <c r="O4234" t="s">
        <v>30</v>
      </c>
      <c r="P4234">
        <v>3.7030511895743499</v>
      </c>
      <c r="Q4234">
        <v>1.1763166271755501</v>
      </c>
      <c r="R4234">
        <v>0.33610731953809297</v>
      </c>
      <c r="S4234">
        <v>113</v>
      </c>
      <c r="T4234">
        <v>69</v>
      </c>
      <c r="U4234">
        <v>929.88029287249503</v>
      </c>
      <c r="V4234">
        <v>2.91181364392678E-3</v>
      </c>
      <c r="W4234">
        <v>2532350.59377148</v>
      </c>
      <c r="X4234" t="s">
        <v>42</v>
      </c>
      <c r="Y4234">
        <f>1-392-909-2287</f>
        <v>-3587</v>
      </c>
    </row>
    <row r="4235" spans="1:25" x14ac:dyDescent="0.35">
      <c r="A4235">
        <v>33.162706410592001</v>
      </c>
      <c r="B4235">
        <v>-119.335426411979</v>
      </c>
      <c r="C4235" t="s">
        <v>29</v>
      </c>
      <c r="D4235">
        <v>46.032817824339404</v>
      </c>
      <c r="E4235">
        <v>9</v>
      </c>
      <c r="F4235">
        <v>2982</v>
      </c>
      <c r="G4235">
        <v>3</v>
      </c>
      <c r="H4235">
        <v>3</v>
      </c>
      <c r="I4235">
        <v>1952</v>
      </c>
      <c r="J4235">
        <v>1</v>
      </c>
      <c r="K4235">
        <v>1</v>
      </c>
      <c r="L4235">
        <v>1</v>
      </c>
      <c r="M4235">
        <v>14</v>
      </c>
      <c r="N4235" t="s">
        <v>37</v>
      </c>
      <c r="O4235" t="s">
        <v>30</v>
      </c>
      <c r="P4235">
        <v>4.6642879811450397</v>
      </c>
      <c r="Q4235">
        <v>2.2327019005134101</v>
      </c>
      <c r="R4235">
        <v>1.90136809764725</v>
      </c>
      <c r="S4235">
        <v>90</v>
      </c>
      <c r="T4235">
        <v>51</v>
      </c>
      <c r="U4235">
        <v>922.491763389889</v>
      </c>
      <c r="V4235">
        <v>4.6948356807511703E-3</v>
      </c>
      <c r="W4235">
        <v>3068806.9382840702</v>
      </c>
      <c r="X4235" t="s">
        <v>28</v>
      </c>
      <c r="Y4235">
        <f>1-845-996-7870</f>
        <v>-9710</v>
      </c>
    </row>
    <row r="4236" spans="1:25" x14ac:dyDescent="0.35">
      <c r="A4236">
        <v>33.595474597155999</v>
      </c>
      <c r="B4236">
        <v>-123.75104395164099</v>
      </c>
      <c r="C4236" t="s">
        <v>29</v>
      </c>
      <c r="D4236">
        <v>4.8071194646155204</v>
      </c>
      <c r="E4236">
        <v>8</v>
      </c>
      <c r="F4236">
        <v>3567</v>
      </c>
      <c r="G4236">
        <v>5</v>
      </c>
      <c r="H4236">
        <v>3</v>
      </c>
      <c r="I4236">
        <v>1971</v>
      </c>
      <c r="J4236">
        <v>1</v>
      </c>
      <c r="K4236">
        <v>1</v>
      </c>
      <c r="L4236">
        <v>1</v>
      </c>
      <c r="M4236">
        <v>2</v>
      </c>
      <c r="N4236" t="s">
        <v>41</v>
      </c>
      <c r="O4236" t="s">
        <v>30</v>
      </c>
      <c r="P4236">
        <v>4.3639106920375799</v>
      </c>
      <c r="Q4236">
        <v>1.2401041026294399</v>
      </c>
      <c r="R4236">
        <v>0.62001224729219295</v>
      </c>
      <c r="S4236">
        <v>170</v>
      </c>
      <c r="T4236">
        <v>55</v>
      </c>
      <c r="U4236">
        <v>242.39160254103001</v>
      </c>
      <c r="V4236">
        <v>5.6069526212503495E-4</v>
      </c>
      <c r="W4236">
        <v>1297774.5267510901</v>
      </c>
      <c r="X4236" t="s">
        <v>33</v>
      </c>
      <c r="Y4236">
        <f>1-322-655-2444</f>
        <v>-3420</v>
      </c>
    </row>
    <row r="4237" spans="1:25" x14ac:dyDescent="0.35">
      <c r="A4237">
        <v>37.805844240912599</v>
      </c>
      <c r="B4237">
        <v>-115.04465968393301</v>
      </c>
      <c r="C4237" t="s">
        <v>34</v>
      </c>
      <c r="D4237">
        <v>19.4979448831923</v>
      </c>
      <c r="E4237">
        <v>5</v>
      </c>
      <c r="F4237">
        <v>1545</v>
      </c>
      <c r="G4237">
        <v>1</v>
      </c>
      <c r="H4237">
        <v>1</v>
      </c>
      <c r="I4237">
        <v>1971</v>
      </c>
      <c r="J4237">
        <v>0</v>
      </c>
      <c r="K4237">
        <v>0</v>
      </c>
      <c r="L4237">
        <v>1</v>
      </c>
      <c r="M4237">
        <v>14</v>
      </c>
      <c r="N4237" t="s">
        <v>26</v>
      </c>
      <c r="O4237" t="s">
        <v>32</v>
      </c>
      <c r="P4237">
        <v>6.5145704706952401</v>
      </c>
      <c r="Q4237">
        <v>2.0699341198358399</v>
      </c>
      <c r="R4237">
        <v>7.2050659954320198</v>
      </c>
      <c r="S4237">
        <v>151</v>
      </c>
      <c r="T4237">
        <v>58</v>
      </c>
      <c r="U4237">
        <v>476.30062480453</v>
      </c>
      <c r="V4237">
        <v>9.0614886731391498E-3</v>
      </c>
      <c r="W4237">
        <v>674746.55658138997</v>
      </c>
      <c r="X4237" t="s">
        <v>33</v>
      </c>
      <c r="Y4237">
        <f>1-224-740-5229</f>
        <v>-6192</v>
      </c>
    </row>
    <row r="4238" spans="1:25" x14ac:dyDescent="0.35">
      <c r="A4238">
        <v>37.631806172943897</v>
      </c>
      <c r="B4238">
        <v>-116.31389653006001</v>
      </c>
      <c r="C4238" t="s">
        <v>25</v>
      </c>
      <c r="D4238">
        <v>8.7796765609371104</v>
      </c>
      <c r="E4238">
        <v>2</v>
      </c>
      <c r="F4238">
        <v>2984</v>
      </c>
      <c r="G4238">
        <v>1</v>
      </c>
      <c r="H4238">
        <v>2</v>
      </c>
      <c r="I4238">
        <v>1969</v>
      </c>
      <c r="J4238">
        <v>0</v>
      </c>
      <c r="K4238">
        <v>0</v>
      </c>
      <c r="L4238">
        <v>1</v>
      </c>
      <c r="M4238">
        <v>14</v>
      </c>
      <c r="N4238" t="s">
        <v>35</v>
      </c>
      <c r="O4238" t="s">
        <v>30</v>
      </c>
      <c r="P4238">
        <v>12.2956473081504</v>
      </c>
      <c r="Q4238">
        <v>1.68862371924937</v>
      </c>
      <c r="R4238">
        <v>0.43289664154663599</v>
      </c>
      <c r="S4238">
        <v>104</v>
      </c>
      <c r="T4238">
        <v>30</v>
      </c>
      <c r="U4238">
        <v>746.87498616635401</v>
      </c>
      <c r="V4238">
        <v>4.6916890080428899E-3</v>
      </c>
      <c r="W4238">
        <v>2441421.9645547899</v>
      </c>
      <c r="X4238" t="s">
        <v>44</v>
      </c>
      <c r="Y4238">
        <f>1-979-829-5845</f>
        <v>-7652</v>
      </c>
    </row>
    <row r="4239" spans="1:25" x14ac:dyDescent="0.35">
      <c r="A4239">
        <v>36.904222938945203</v>
      </c>
      <c r="B4239">
        <v>-118.846066065644</v>
      </c>
      <c r="C4239" t="s">
        <v>25</v>
      </c>
      <c r="D4239">
        <v>6.7740502909504299</v>
      </c>
      <c r="E4239">
        <v>7</v>
      </c>
      <c r="F4239">
        <v>1650</v>
      </c>
      <c r="G4239">
        <v>3</v>
      </c>
      <c r="H4239">
        <v>1</v>
      </c>
      <c r="I4239">
        <v>1971</v>
      </c>
      <c r="J4239">
        <v>0</v>
      </c>
      <c r="K4239">
        <v>1</v>
      </c>
      <c r="L4239">
        <v>1</v>
      </c>
      <c r="M4239">
        <v>2</v>
      </c>
      <c r="N4239" t="s">
        <v>41</v>
      </c>
      <c r="O4239" t="s">
        <v>30</v>
      </c>
      <c r="P4239">
        <v>12.185208342198299</v>
      </c>
      <c r="Q4239">
        <v>0.92274934936138298</v>
      </c>
      <c r="R4239">
        <v>0.16913490398542</v>
      </c>
      <c r="S4239">
        <v>170</v>
      </c>
      <c r="T4239">
        <v>73</v>
      </c>
      <c r="U4239">
        <v>295.51792479970601</v>
      </c>
      <c r="V4239">
        <v>1.21212121212121E-3</v>
      </c>
      <c r="W4239">
        <v>822633.86551127199</v>
      </c>
      <c r="X4239" t="s">
        <v>40</v>
      </c>
      <c r="Y4239">
        <f>1-774-366-4244</f>
        <v>-5383</v>
      </c>
    </row>
    <row r="4240" spans="1:25" x14ac:dyDescent="0.35">
      <c r="A4240">
        <v>36.892154160089298</v>
      </c>
      <c r="B4240">
        <v>-117.972375325432</v>
      </c>
      <c r="C4240" t="s">
        <v>29</v>
      </c>
      <c r="D4240">
        <v>25.168753812881</v>
      </c>
      <c r="E4240">
        <v>2</v>
      </c>
      <c r="F4240">
        <v>3872</v>
      </c>
      <c r="G4240">
        <v>1</v>
      </c>
      <c r="H4240">
        <v>3</v>
      </c>
      <c r="I4240">
        <v>1970</v>
      </c>
      <c r="J4240">
        <v>1</v>
      </c>
      <c r="K4240">
        <v>0</v>
      </c>
      <c r="L4240">
        <v>0</v>
      </c>
      <c r="M4240">
        <v>11</v>
      </c>
      <c r="N4240" t="s">
        <v>26</v>
      </c>
      <c r="O4240" t="s">
        <v>30</v>
      </c>
      <c r="P4240">
        <v>10.5805856757664</v>
      </c>
      <c r="Q4240">
        <v>2.2846182837566702</v>
      </c>
      <c r="R4240">
        <v>5.5877179527659502</v>
      </c>
      <c r="S4240">
        <v>38</v>
      </c>
      <c r="T4240">
        <v>65</v>
      </c>
      <c r="U4240">
        <v>289.79104743412302</v>
      </c>
      <c r="V4240">
        <v>2.8409090909090901E-3</v>
      </c>
      <c r="W4240">
        <v>1326388.2150216401</v>
      </c>
      <c r="X4240" t="s">
        <v>42</v>
      </c>
      <c r="Y4240">
        <f>1-583-142-7822</f>
        <v>-8546</v>
      </c>
    </row>
    <row r="4241" spans="1:25" x14ac:dyDescent="0.35">
      <c r="A4241">
        <v>33.277150248756797</v>
      </c>
      <c r="B4241">
        <v>-114.98867289388301</v>
      </c>
      <c r="C4241" t="s">
        <v>34</v>
      </c>
      <c r="D4241">
        <v>47.684561002469003</v>
      </c>
      <c r="E4241">
        <v>0</v>
      </c>
      <c r="F4241">
        <v>1876</v>
      </c>
      <c r="G4241">
        <v>4</v>
      </c>
      <c r="H4241">
        <v>3</v>
      </c>
      <c r="I4241">
        <v>2017</v>
      </c>
      <c r="J4241">
        <v>0</v>
      </c>
      <c r="K4241">
        <v>1</v>
      </c>
      <c r="L4241">
        <v>0</v>
      </c>
      <c r="M4241">
        <v>3</v>
      </c>
      <c r="N4241" t="s">
        <v>35</v>
      </c>
      <c r="O4241" t="s">
        <v>32</v>
      </c>
      <c r="P4241">
        <v>2.9593502798195002</v>
      </c>
      <c r="Q4241">
        <v>1.16502855669512</v>
      </c>
      <c r="R4241">
        <v>7.2449599943707801</v>
      </c>
      <c r="S4241">
        <v>139</v>
      </c>
      <c r="T4241">
        <v>74</v>
      </c>
      <c r="U4241">
        <v>634.50718087998303</v>
      </c>
      <c r="V4241">
        <v>1.5991471215351799E-3</v>
      </c>
      <c r="W4241">
        <v>1584115.6911838399</v>
      </c>
      <c r="X4241" t="s">
        <v>39</v>
      </c>
      <c r="Y4241">
        <f>1-424-181-2697</f>
        <v>-3301</v>
      </c>
    </row>
    <row r="4242" spans="1:25" x14ac:dyDescent="0.35">
      <c r="A4242">
        <v>41.978644662607898</v>
      </c>
      <c r="B4242">
        <v>-123.262199206795</v>
      </c>
      <c r="C4242" t="s">
        <v>34</v>
      </c>
      <c r="D4242">
        <v>46.876677916845601</v>
      </c>
      <c r="E4242">
        <v>2</v>
      </c>
      <c r="F4242">
        <v>1045</v>
      </c>
      <c r="G4242">
        <v>1</v>
      </c>
      <c r="H4242">
        <v>1</v>
      </c>
      <c r="I4242">
        <v>1990</v>
      </c>
      <c r="J4242">
        <v>0</v>
      </c>
      <c r="K4242">
        <v>1</v>
      </c>
      <c r="L4242">
        <v>0</v>
      </c>
      <c r="M4242">
        <v>3</v>
      </c>
      <c r="N4242" t="s">
        <v>35</v>
      </c>
      <c r="O4242" t="s">
        <v>32</v>
      </c>
      <c r="P4242">
        <v>8.1855577959996602</v>
      </c>
      <c r="Q4242">
        <v>1.0663522158502501</v>
      </c>
      <c r="R4242">
        <v>7.2973044429671896</v>
      </c>
      <c r="S4242">
        <v>122</v>
      </c>
      <c r="T4242">
        <v>66</v>
      </c>
      <c r="U4242">
        <v>389.39219898615698</v>
      </c>
      <c r="V4242">
        <v>2.8708133971291801E-3</v>
      </c>
      <c r="W4242">
        <v>522045.17501602799</v>
      </c>
      <c r="X4242" t="s">
        <v>33</v>
      </c>
      <c r="Y4242">
        <f>1-315-510-8605</f>
        <v>-9429</v>
      </c>
    </row>
    <row r="4243" spans="1:25" x14ac:dyDescent="0.35">
      <c r="A4243">
        <v>32.519101061339697</v>
      </c>
      <c r="B4243">
        <v>-117.08998714697699</v>
      </c>
      <c r="C4243" t="s">
        <v>25</v>
      </c>
      <c r="D4243">
        <v>4.5808046836036098</v>
      </c>
      <c r="E4243">
        <v>7</v>
      </c>
      <c r="F4243">
        <v>4148</v>
      </c>
      <c r="G4243">
        <v>2</v>
      </c>
      <c r="H4243">
        <v>3</v>
      </c>
      <c r="I4243">
        <v>1956</v>
      </c>
      <c r="J4243">
        <v>0</v>
      </c>
      <c r="K4243">
        <v>0</v>
      </c>
      <c r="L4243">
        <v>0</v>
      </c>
      <c r="M4243">
        <v>6</v>
      </c>
      <c r="N4243" t="s">
        <v>26</v>
      </c>
      <c r="O4243" t="s">
        <v>32</v>
      </c>
      <c r="P4243">
        <v>6.3509796184832901</v>
      </c>
      <c r="Q4243">
        <v>2.3283913385208299</v>
      </c>
      <c r="R4243">
        <v>5.8977804470631598</v>
      </c>
      <c r="S4243">
        <v>141</v>
      </c>
      <c r="T4243">
        <v>57</v>
      </c>
      <c r="U4243">
        <v>377.67732984989601</v>
      </c>
      <c r="V4243">
        <v>1.44648023143683E-3</v>
      </c>
      <c r="W4243">
        <v>1652390.4419647299</v>
      </c>
      <c r="X4243" t="s">
        <v>28</v>
      </c>
      <c r="Y4243">
        <f>1-773-912-3315</f>
        <v>-4999</v>
      </c>
    </row>
    <row r="4244" spans="1:25" x14ac:dyDescent="0.35">
      <c r="A4244">
        <v>40.121838067374902</v>
      </c>
      <c r="B4244">
        <v>-122.293253941689</v>
      </c>
      <c r="C4244" t="s">
        <v>34</v>
      </c>
      <c r="D4244">
        <v>42.652186485516197</v>
      </c>
      <c r="E4244">
        <v>1</v>
      </c>
      <c r="F4244">
        <v>2119</v>
      </c>
      <c r="G4244">
        <v>1</v>
      </c>
      <c r="H4244">
        <v>2</v>
      </c>
      <c r="I4244">
        <v>1988</v>
      </c>
      <c r="J4244">
        <v>1</v>
      </c>
      <c r="K4244">
        <v>0</v>
      </c>
      <c r="L4244">
        <v>0</v>
      </c>
      <c r="M4244">
        <v>7</v>
      </c>
      <c r="N4244" t="s">
        <v>37</v>
      </c>
      <c r="O4244" t="s">
        <v>30</v>
      </c>
      <c r="P4244">
        <v>5.6571348760212503</v>
      </c>
      <c r="Q4244">
        <v>1.6628398171374801</v>
      </c>
      <c r="R4244">
        <v>0.91656956771147402</v>
      </c>
      <c r="S4244">
        <v>111</v>
      </c>
      <c r="T4244">
        <v>58</v>
      </c>
      <c r="U4244">
        <v>240.17691418425801</v>
      </c>
      <c r="V4244">
        <v>3.3034450212364301E-3</v>
      </c>
      <c r="W4244">
        <v>624666.02497226</v>
      </c>
      <c r="X4244" t="s">
        <v>33</v>
      </c>
      <c r="Y4244">
        <f>1-892-690-8242</f>
        <v>-9823</v>
      </c>
    </row>
    <row r="4245" spans="1:25" x14ac:dyDescent="0.35">
      <c r="A4245">
        <v>38.711616557825202</v>
      </c>
      <c r="B4245">
        <v>-123.733694703298</v>
      </c>
      <c r="C4245" t="s">
        <v>29</v>
      </c>
      <c r="D4245">
        <v>18.656659213763099</v>
      </c>
      <c r="E4245">
        <v>2</v>
      </c>
      <c r="F4245">
        <v>1076</v>
      </c>
      <c r="G4245">
        <v>5</v>
      </c>
      <c r="H4245">
        <v>2</v>
      </c>
      <c r="I4245">
        <v>1956</v>
      </c>
      <c r="J4245">
        <v>1</v>
      </c>
      <c r="K4245">
        <v>0</v>
      </c>
      <c r="L4245">
        <v>0</v>
      </c>
      <c r="M4245">
        <v>13</v>
      </c>
      <c r="N4245" t="s">
        <v>37</v>
      </c>
      <c r="O4245" t="s">
        <v>32</v>
      </c>
      <c r="P4245">
        <v>6.2965827224646702</v>
      </c>
      <c r="Q4245">
        <v>1.0622545424815599</v>
      </c>
      <c r="R4245">
        <v>4.65912383401208</v>
      </c>
      <c r="S4245">
        <v>62</v>
      </c>
      <c r="T4245">
        <v>65</v>
      </c>
      <c r="U4245">
        <v>593.66213963639802</v>
      </c>
      <c r="V4245">
        <v>1.2081784386617099E-2</v>
      </c>
      <c r="W4245">
        <v>884536.59095779201</v>
      </c>
      <c r="X4245" t="s">
        <v>28</v>
      </c>
      <c r="Y4245">
        <f>1-549-306-5899</f>
        <v>-6753</v>
      </c>
    </row>
    <row r="4246" spans="1:25" x14ac:dyDescent="0.35">
      <c r="A4246">
        <v>32.794322955020597</v>
      </c>
      <c r="B4246">
        <v>-116.058497265716</v>
      </c>
      <c r="C4246" t="s">
        <v>34</v>
      </c>
      <c r="D4246">
        <v>22.755597131595</v>
      </c>
      <c r="E4246">
        <v>2</v>
      </c>
      <c r="F4246">
        <v>1407</v>
      </c>
      <c r="G4246">
        <v>5</v>
      </c>
      <c r="H4246">
        <v>1</v>
      </c>
      <c r="I4246">
        <v>1971</v>
      </c>
      <c r="J4246">
        <v>1</v>
      </c>
      <c r="K4246">
        <v>1</v>
      </c>
      <c r="L4246">
        <v>1</v>
      </c>
      <c r="M4246">
        <v>2</v>
      </c>
      <c r="N4246" t="s">
        <v>26</v>
      </c>
      <c r="O4246" t="s">
        <v>32</v>
      </c>
      <c r="P4246">
        <v>3.40526786948785</v>
      </c>
      <c r="Q4246">
        <v>1.4911110679032</v>
      </c>
      <c r="R4246">
        <v>7.0232668173504704</v>
      </c>
      <c r="S4246">
        <v>48</v>
      </c>
      <c r="T4246">
        <v>61</v>
      </c>
      <c r="U4246">
        <v>264.73315883150502</v>
      </c>
      <c r="V4246">
        <v>1.42146410803127E-3</v>
      </c>
      <c r="W4246">
        <v>767443.13144439401</v>
      </c>
      <c r="X4246" t="s">
        <v>44</v>
      </c>
      <c r="Y4246">
        <f>1-956-967-4776</f>
        <v>-6698</v>
      </c>
    </row>
    <row r="4247" spans="1:25" x14ac:dyDescent="0.35">
      <c r="A4247">
        <v>37.941161170371799</v>
      </c>
      <c r="B4247">
        <v>-115.707129054069</v>
      </c>
      <c r="C4247" t="s">
        <v>34</v>
      </c>
      <c r="D4247">
        <v>39.642901971698201</v>
      </c>
      <c r="E4247">
        <v>6</v>
      </c>
      <c r="F4247">
        <v>1009</v>
      </c>
      <c r="G4247">
        <v>1</v>
      </c>
      <c r="H4247">
        <v>1</v>
      </c>
      <c r="I4247">
        <v>1983</v>
      </c>
      <c r="J4247">
        <v>1</v>
      </c>
      <c r="K4247">
        <v>1</v>
      </c>
      <c r="L4247">
        <v>1</v>
      </c>
      <c r="M4247">
        <v>7</v>
      </c>
      <c r="N4247" t="s">
        <v>26</v>
      </c>
      <c r="O4247" t="s">
        <v>27</v>
      </c>
      <c r="P4247">
        <v>10.3984428129415</v>
      </c>
      <c r="Q4247">
        <v>0.60972773702685401</v>
      </c>
      <c r="R4247">
        <v>3.1744233896413601</v>
      </c>
      <c r="S4247">
        <v>72</v>
      </c>
      <c r="T4247">
        <v>42</v>
      </c>
      <c r="U4247">
        <v>549.823430073856</v>
      </c>
      <c r="V4247">
        <v>6.9375619425173403E-3</v>
      </c>
      <c r="W4247">
        <v>823443.36751423997</v>
      </c>
      <c r="X4247" t="s">
        <v>28</v>
      </c>
      <c r="Y4247">
        <f>1-618-245-5666</f>
        <v>-6528</v>
      </c>
    </row>
    <row r="4248" spans="1:25" x14ac:dyDescent="0.35">
      <c r="A4248">
        <v>33.8252807863987</v>
      </c>
      <c r="B4248">
        <v>-116.430842766401</v>
      </c>
      <c r="C4248" t="s">
        <v>29</v>
      </c>
      <c r="D4248">
        <v>43.867668941065801</v>
      </c>
      <c r="E4248">
        <v>9</v>
      </c>
      <c r="F4248">
        <v>3436</v>
      </c>
      <c r="G4248">
        <v>1</v>
      </c>
      <c r="H4248">
        <v>1</v>
      </c>
      <c r="I4248">
        <v>1993</v>
      </c>
      <c r="J4248">
        <v>1</v>
      </c>
      <c r="K4248">
        <v>1</v>
      </c>
      <c r="L4248">
        <v>1</v>
      </c>
      <c r="M4248">
        <v>4</v>
      </c>
      <c r="N4248" t="s">
        <v>41</v>
      </c>
      <c r="O4248" t="s">
        <v>32</v>
      </c>
      <c r="P4248">
        <v>11.0970124693077</v>
      </c>
      <c r="Q4248">
        <v>0.72939155157929902</v>
      </c>
      <c r="R4248">
        <v>6.7739255811673598</v>
      </c>
      <c r="S4248">
        <v>181</v>
      </c>
      <c r="T4248">
        <v>32</v>
      </c>
      <c r="U4248">
        <v>788.65026098451904</v>
      </c>
      <c r="V4248">
        <v>1.1641443538998801E-3</v>
      </c>
      <c r="W4248">
        <v>2968478.6031059101</v>
      </c>
      <c r="X4248" t="s">
        <v>33</v>
      </c>
      <c r="Y4248">
        <f>1-802-245-9937</f>
        <v>-10983</v>
      </c>
    </row>
    <row r="4249" spans="1:25" x14ac:dyDescent="0.35">
      <c r="A4249">
        <v>41.251741453450599</v>
      </c>
      <c r="B4249">
        <v>-119.38219917552701</v>
      </c>
      <c r="C4249" t="s">
        <v>25</v>
      </c>
      <c r="D4249">
        <v>11.276811429718499</v>
      </c>
      <c r="E4249">
        <v>1</v>
      </c>
      <c r="F4249">
        <v>4481</v>
      </c>
      <c r="G4249">
        <v>1</v>
      </c>
      <c r="H4249">
        <v>1</v>
      </c>
      <c r="I4249">
        <v>1988</v>
      </c>
      <c r="J4249">
        <v>1</v>
      </c>
      <c r="K4249">
        <v>1</v>
      </c>
      <c r="L4249">
        <v>1</v>
      </c>
      <c r="M4249">
        <v>9</v>
      </c>
      <c r="N4249" t="s">
        <v>37</v>
      </c>
      <c r="O4249" t="s">
        <v>32</v>
      </c>
      <c r="P4249">
        <v>8.2403163508621091</v>
      </c>
      <c r="Q4249">
        <v>0.63376701947750502</v>
      </c>
      <c r="R4249">
        <v>6.43166962957112</v>
      </c>
      <c r="S4249">
        <v>171</v>
      </c>
      <c r="T4249">
        <v>26</v>
      </c>
      <c r="U4249">
        <v>353.705731768269</v>
      </c>
      <c r="V4249">
        <v>2.0084802499441999E-3</v>
      </c>
      <c r="W4249">
        <v>1701588.66282517</v>
      </c>
      <c r="X4249" t="s">
        <v>39</v>
      </c>
      <c r="Y4249">
        <f>1-337-604-2102</f>
        <v>-3042</v>
      </c>
    </row>
    <row r="4250" spans="1:25" x14ac:dyDescent="0.35">
      <c r="A4250">
        <v>38.5325855260228</v>
      </c>
      <c r="B4250">
        <v>-120.40109195735801</v>
      </c>
      <c r="C4250" t="s">
        <v>29</v>
      </c>
      <c r="D4250">
        <v>10.1338967707209</v>
      </c>
      <c r="E4250">
        <v>1</v>
      </c>
      <c r="F4250">
        <v>3797</v>
      </c>
      <c r="G4250">
        <v>5</v>
      </c>
      <c r="H4250">
        <v>2</v>
      </c>
      <c r="I4250">
        <v>1975</v>
      </c>
      <c r="J4250">
        <v>0</v>
      </c>
      <c r="K4250">
        <v>1</v>
      </c>
      <c r="L4250">
        <v>0</v>
      </c>
      <c r="M4250">
        <v>7</v>
      </c>
      <c r="N4250" t="s">
        <v>26</v>
      </c>
      <c r="O4250" t="s">
        <v>27</v>
      </c>
      <c r="P4250">
        <v>12.286665250708101</v>
      </c>
      <c r="Q4250">
        <v>0.90535468599989199</v>
      </c>
      <c r="R4250">
        <v>7.2688743594565297</v>
      </c>
      <c r="S4250">
        <v>88</v>
      </c>
      <c r="T4250">
        <v>49</v>
      </c>
      <c r="U4250">
        <v>852.03097705978098</v>
      </c>
      <c r="V4250">
        <v>1.84356070582038E-3</v>
      </c>
      <c r="W4250">
        <v>3682656.0570176202</v>
      </c>
      <c r="X4250" t="s">
        <v>33</v>
      </c>
      <c r="Y4250">
        <f>1-960-685-6397</f>
        <v>-8041</v>
      </c>
    </row>
    <row r="4251" spans="1:25" x14ac:dyDescent="0.35">
      <c r="A4251">
        <v>40.603793161985799</v>
      </c>
      <c r="B4251">
        <v>-116.611940187237</v>
      </c>
      <c r="C4251" t="s">
        <v>34</v>
      </c>
      <c r="D4251">
        <v>38.4890581755336</v>
      </c>
      <c r="E4251">
        <v>7</v>
      </c>
      <c r="F4251">
        <v>1881</v>
      </c>
      <c r="G4251">
        <v>5</v>
      </c>
      <c r="H4251">
        <v>2</v>
      </c>
      <c r="I4251">
        <v>1962</v>
      </c>
      <c r="J4251">
        <v>0</v>
      </c>
      <c r="K4251">
        <v>1</v>
      </c>
      <c r="L4251">
        <v>0</v>
      </c>
      <c r="M4251">
        <v>10</v>
      </c>
      <c r="N4251" t="s">
        <v>35</v>
      </c>
      <c r="O4251" t="s">
        <v>32</v>
      </c>
      <c r="P4251">
        <v>7.62426468853835</v>
      </c>
      <c r="Q4251">
        <v>0.757492420760839</v>
      </c>
      <c r="R4251">
        <v>6.2455962589366303</v>
      </c>
      <c r="S4251">
        <v>178</v>
      </c>
      <c r="T4251">
        <v>71</v>
      </c>
      <c r="U4251">
        <v>871.46201091228602</v>
      </c>
      <c r="V4251">
        <v>5.3163211057947902E-3</v>
      </c>
      <c r="W4251">
        <v>1969177.85876717</v>
      </c>
      <c r="X4251" t="s">
        <v>40</v>
      </c>
      <c r="Y4251">
        <f>1-941-710-8218</f>
        <v>-9868</v>
      </c>
    </row>
    <row r="4252" spans="1:25" x14ac:dyDescent="0.35">
      <c r="A4252">
        <v>39.872219955900199</v>
      </c>
      <c r="B4252">
        <v>-118.096925729859</v>
      </c>
      <c r="C4252" t="s">
        <v>25</v>
      </c>
      <c r="D4252">
        <v>37.974710370787299</v>
      </c>
      <c r="E4252">
        <v>8</v>
      </c>
      <c r="F4252">
        <v>1621</v>
      </c>
      <c r="G4252">
        <v>3</v>
      </c>
      <c r="H4252">
        <v>1</v>
      </c>
      <c r="I4252">
        <v>2012</v>
      </c>
      <c r="J4252">
        <v>1</v>
      </c>
      <c r="K4252">
        <v>0</v>
      </c>
      <c r="L4252">
        <v>0</v>
      </c>
      <c r="M4252">
        <v>10</v>
      </c>
      <c r="N4252" t="s">
        <v>26</v>
      </c>
      <c r="O4252" t="s">
        <v>30</v>
      </c>
      <c r="P4252">
        <v>4.8505128736338596</v>
      </c>
      <c r="Q4252">
        <v>1.90497578466247</v>
      </c>
      <c r="R4252">
        <v>0.96931474323016598</v>
      </c>
      <c r="S4252">
        <v>141</v>
      </c>
      <c r="T4252">
        <v>59</v>
      </c>
      <c r="U4252">
        <v>348.94093030916702</v>
      </c>
      <c r="V4252">
        <v>6.16903146206045E-3</v>
      </c>
      <c r="W4252">
        <v>782059.29769997997</v>
      </c>
      <c r="X4252" t="s">
        <v>44</v>
      </c>
      <c r="Y4252">
        <f>1-805-850-1441</f>
        <v>-3095</v>
      </c>
    </row>
    <row r="4253" spans="1:25" x14ac:dyDescent="0.35">
      <c r="A4253">
        <v>40.643628929668502</v>
      </c>
      <c r="B4253">
        <v>-115.989033039551</v>
      </c>
      <c r="C4253" t="s">
        <v>25</v>
      </c>
      <c r="D4253">
        <v>44.044907513359597</v>
      </c>
      <c r="E4253">
        <v>9</v>
      </c>
      <c r="F4253">
        <v>2989</v>
      </c>
      <c r="G4253">
        <v>5</v>
      </c>
      <c r="H4253">
        <v>1</v>
      </c>
      <c r="I4253">
        <v>2000</v>
      </c>
      <c r="J4253">
        <v>1</v>
      </c>
      <c r="K4253">
        <v>0</v>
      </c>
      <c r="L4253">
        <v>0</v>
      </c>
      <c r="M4253">
        <v>6</v>
      </c>
      <c r="N4253" t="s">
        <v>41</v>
      </c>
      <c r="O4253" t="s">
        <v>32</v>
      </c>
      <c r="P4253">
        <v>6.5114402399056504</v>
      </c>
      <c r="Q4253">
        <v>1.4083253775706599</v>
      </c>
      <c r="R4253">
        <v>8.2783894998219694</v>
      </c>
      <c r="S4253">
        <v>182</v>
      </c>
      <c r="T4253">
        <v>76</v>
      </c>
      <c r="U4253">
        <v>728.94171578856299</v>
      </c>
      <c r="V4253">
        <v>2.0073603211776501E-3</v>
      </c>
      <c r="W4253">
        <v>2468817.4804741899</v>
      </c>
      <c r="X4253" t="s">
        <v>43</v>
      </c>
      <c r="Y4253">
        <f>1-909-653-3217</f>
        <v>-4778</v>
      </c>
    </row>
    <row r="4254" spans="1:25" x14ac:dyDescent="0.35">
      <c r="A4254">
        <v>41.634627418398701</v>
      </c>
      <c r="B4254">
        <v>-119.823639600608</v>
      </c>
      <c r="C4254" t="s">
        <v>29</v>
      </c>
      <c r="D4254">
        <v>39.774951175332298</v>
      </c>
      <c r="E4254">
        <v>4</v>
      </c>
      <c r="F4254">
        <v>643</v>
      </c>
      <c r="G4254">
        <v>2</v>
      </c>
      <c r="H4254">
        <v>3</v>
      </c>
      <c r="I4254">
        <v>2017</v>
      </c>
      <c r="J4254">
        <v>0</v>
      </c>
      <c r="K4254">
        <v>0</v>
      </c>
      <c r="L4254">
        <v>0</v>
      </c>
      <c r="M4254">
        <v>9</v>
      </c>
      <c r="N4254" t="s">
        <v>35</v>
      </c>
      <c r="O4254" t="s">
        <v>30</v>
      </c>
      <c r="P4254">
        <v>12.818266955684299</v>
      </c>
      <c r="Q4254">
        <v>0.74567785599851999</v>
      </c>
      <c r="R4254">
        <v>8.3431310962860401</v>
      </c>
      <c r="S4254">
        <v>177</v>
      </c>
      <c r="T4254">
        <v>34</v>
      </c>
      <c r="U4254">
        <v>904.98066817946199</v>
      </c>
      <c r="V4254">
        <v>1.39968895800933E-2</v>
      </c>
      <c r="W4254">
        <v>887845.59815535205</v>
      </c>
      <c r="X4254" t="s">
        <v>33</v>
      </c>
      <c r="Y4254">
        <f>1-267-460-6613</f>
        <v>-7339</v>
      </c>
    </row>
    <row r="4255" spans="1:25" x14ac:dyDescent="0.35">
      <c r="A4255">
        <v>38.435651439037997</v>
      </c>
      <c r="B4255">
        <v>-120.70504371228</v>
      </c>
      <c r="C4255" t="s">
        <v>34</v>
      </c>
      <c r="D4255">
        <v>24.0814340769771</v>
      </c>
      <c r="E4255">
        <v>7</v>
      </c>
      <c r="F4255">
        <v>3535</v>
      </c>
      <c r="G4255">
        <v>3</v>
      </c>
      <c r="H4255">
        <v>1</v>
      </c>
      <c r="I4255">
        <v>1984</v>
      </c>
      <c r="J4255">
        <v>1</v>
      </c>
      <c r="K4255">
        <v>1</v>
      </c>
      <c r="L4255">
        <v>0</v>
      </c>
      <c r="M4255">
        <v>10</v>
      </c>
      <c r="N4255" t="s">
        <v>35</v>
      </c>
      <c r="O4255" t="s">
        <v>27</v>
      </c>
      <c r="P4255">
        <v>4.0083880022219898</v>
      </c>
      <c r="Q4255">
        <v>2.0746500054815602</v>
      </c>
      <c r="R4255">
        <v>5.94034798843603</v>
      </c>
      <c r="S4255">
        <v>161</v>
      </c>
      <c r="T4255">
        <v>44</v>
      </c>
      <c r="U4255">
        <v>514.30205574500803</v>
      </c>
      <c r="V4255">
        <v>2.8288543140028198E-3</v>
      </c>
      <c r="W4255">
        <v>2150813.3418254498</v>
      </c>
      <c r="X4255" t="s">
        <v>43</v>
      </c>
      <c r="Y4255">
        <f>1-843-426-9828</f>
        <v>-11096</v>
      </c>
    </row>
    <row r="4256" spans="1:25" x14ac:dyDescent="0.35">
      <c r="A4256">
        <v>34.881154269420101</v>
      </c>
      <c r="B4256">
        <v>-123.155958091854</v>
      </c>
      <c r="C4256" t="s">
        <v>34</v>
      </c>
      <c r="D4256">
        <v>21.4549849820093</v>
      </c>
      <c r="E4256">
        <v>4</v>
      </c>
      <c r="F4256">
        <v>2875</v>
      </c>
      <c r="G4256">
        <v>1</v>
      </c>
      <c r="H4256">
        <v>2</v>
      </c>
      <c r="I4256">
        <v>2013</v>
      </c>
      <c r="J4256">
        <v>0</v>
      </c>
      <c r="K4256">
        <v>1</v>
      </c>
      <c r="L4256">
        <v>0</v>
      </c>
      <c r="M4256">
        <v>8</v>
      </c>
      <c r="N4256" t="s">
        <v>26</v>
      </c>
      <c r="O4256" t="s">
        <v>30</v>
      </c>
      <c r="P4256">
        <v>3.0202590552340101</v>
      </c>
      <c r="Q4256">
        <v>0.60712893204805296</v>
      </c>
      <c r="R4256">
        <v>6.9203409842013501</v>
      </c>
      <c r="S4256">
        <v>150</v>
      </c>
      <c r="T4256">
        <v>53</v>
      </c>
      <c r="U4256">
        <v>355.93123923937497</v>
      </c>
      <c r="V4256">
        <v>2.7826086956521702E-3</v>
      </c>
      <c r="W4256">
        <v>1102904.5097220601</v>
      </c>
      <c r="X4256" t="s">
        <v>39</v>
      </c>
      <c r="Y4256">
        <f>1-610-995-2682</f>
        <v>-4286</v>
      </c>
    </row>
    <row r="4257" spans="1:25" x14ac:dyDescent="0.35">
      <c r="A4257">
        <v>38.492048124391303</v>
      </c>
      <c r="B4257">
        <v>-114.20929751864099</v>
      </c>
      <c r="C4257" t="s">
        <v>29</v>
      </c>
      <c r="D4257">
        <v>4.3439595567688798</v>
      </c>
      <c r="E4257">
        <v>1</v>
      </c>
      <c r="F4257">
        <v>2448</v>
      </c>
      <c r="G4257">
        <v>5</v>
      </c>
      <c r="H4257">
        <v>2</v>
      </c>
      <c r="I4257">
        <v>1971</v>
      </c>
      <c r="J4257">
        <v>1</v>
      </c>
      <c r="K4257">
        <v>0</v>
      </c>
      <c r="L4257">
        <v>1</v>
      </c>
      <c r="M4257">
        <v>5</v>
      </c>
      <c r="N4257" t="s">
        <v>41</v>
      </c>
      <c r="O4257" t="s">
        <v>30</v>
      </c>
      <c r="P4257">
        <v>7.6333514032765999</v>
      </c>
      <c r="Q4257">
        <v>1.6289783735414001</v>
      </c>
      <c r="R4257">
        <v>5.2229639903347698</v>
      </c>
      <c r="S4257">
        <v>155</v>
      </c>
      <c r="T4257">
        <v>52</v>
      </c>
      <c r="U4257">
        <v>438.78137643019102</v>
      </c>
      <c r="V4257">
        <v>2.04248366013071E-3</v>
      </c>
      <c r="W4257">
        <v>1383810.80019708</v>
      </c>
      <c r="X4257" t="s">
        <v>44</v>
      </c>
      <c r="Y4257">
        <f>1-381-524-8722</f>
        <v>-9626</v>
      </c>
    </row>
    <row r="4258" spans="1:25" x14ac:dyDescent="0.35">
      <c r="A4258">
        <v>34.8194695498117</v>
      </c>
      <c r="B4258">
        <v>-117.774784579154</v>
      </c>
      <c r="C4258" t="s">
        <v>25</v>
      </c>
      <c r="D4258">
        <v>4.4457666930941899</v>
      </c>
      <c r="E4258">
        <v>9</v>
      </c>
      <c r="F4258">
        <v>1658</v>
      </c>
      <c r="G4258">
        <v>1</v>
      </c>
      <c r="H4258">
        <v>2</v>
      </c>
      <c r="I4258">
        <v>1969</v>
      </c>
      <c r="J4258">
        <v>0</v>
      </c>
      <c r="K4258">
        <v>0</v>
      </c>
      <c r="L4258">
        <v>0</v>
      </c>
      <c r="M4258">
        <v>11</v>
      </c>
      <c r="N4258" t="s">
        <v>35</v>
      </c>
      <c r="O4258" t="s">
        <v>30</v>
      </c>
      <c r="P4258">
        <v>12.059048837905699</v>
      </c>
      <c r="Q4258">
        <v>1.2439980020665999</v>
      </c>
      <c r="R4258">
        <v>9.71785802429042</v>
      </c>
      <c r="S4258">
        <v>199</v>
      </c>
      <c r="T4258">
        <v>25</v>
      </c>
      <c r="U4258">
        <v>531.06908627588905</v>
      </c>
      <c r="V4258">
        <v>6.6344993968636898E-3</v>
      </c>
      <c r="W4258">
        <v>994331.65258814697</v>
      </c>
      <c r="X4258" t="s">
        <v>33</v>
      </c>
      <c r="Y4258">
        <f>1-807-855-9505</f>
        <v>-11166</v>
      </c>
    </row>
    <row r="4259" spans="1:25" x14ac:dyDescent="0.35">
      <c r="A4259">
        <v>36.076189658280001</v>
      </c>
      <c r="B4259">
        <v>-121.602632839243</v>
      </c>
      <c r="C4259" t="s">
        <v>29</v>
      </c>
      <c r="D4259">
        <v>28.4985367738275</v>
      </c>
      <c r="E4259">
        <v>8</v>
      </c>
      <c r="F4259">
        <v>4048</v>
      </c>
      <c r="G4259">
        <v>1</v>
      </c>
      <c r="H4259">
        <v>2</v>
      </c>
      <c r="I4259">
        <v>1967</v>
      </c>
      <c r="J4259">
        <v>1</v>
      </c>
      <c r="K4259">
        <v>1</v>
      </c>
      <c r="L4259">
        <v>1</v>
      </c>
      <c r="M4259">
        <v>4</v>
      </c>
      <c r="N4259" t="s">
        <v>26</v>
      </c>
      <c r="O4259" t="s">
        <v>30</v>
      </c>
      <c r="P4259">
        <v>2.9889278116131899</v>
      </c>
      <c r="Q4259">
        <v>0.56775876615211396</v>
      </c>
      <c r="R4259">
        <v>7.0427975848500504</v>
      </c>
      <c r="S4259">
        <v>68</v>
      </c>
      <c r="T4259">
        <v>36</v>
      </c>
      <c r="U4259">
        <v>325.44402364310702</v>
      </c>
      <c r="V4259">
        <v>9.8814229249011808E-4</v>
      </c>
      <c r="W4259">
        <v>1557982.4010502901</v>
      </c>
      <c r="X4259" t="s">
        <v>38</v>
      </c>
      <c r="Y4259">
        <f>1-595-195-5471</f>
        <v>-6260</v>
      </c>
    </row>
    <row r="4260" spans="1:25" x14ac:dyDescent="0.35">
      <c r="A4260">
        <v>38.783243102320299</v>
      </c>
      <c r="B4260">
        <v>-117.16193539781599</v>
      </c>
      <c r="C4260" t="s">
        <v>25</v>
      </c>
      <c r="D4260">
        <v>8.5893370451549593</v>
      </c>
      <c r="E4260">
        <v>5</v>
      </c>
      <c r="F4260">
        <v>3699</v>
      </c>
      <c r="G4260">
        <v>2</v>
      </c>
      <c r="H4260">
        <v>1</v>
      </c>
      <c r="I4260">
        <v>2022</v>
      </c>
      <c r="J4260">
        <v>1</v>
      </c>
      <c r="K4260">
        <v>1</v>
      </c>
      <c r="L4260">
        <v>0</v>
      </c>
      <c r="M4260">
        <v>2</v>
      </c>
      <c r="N4260" t="s">
        <v>26</v>
      </c>
      <c r="O4260" t="s">
        <v>27</v>
      </c>
      <c r="P4260">
        <v>3.1930788423656198</v>
      </c>
      <c r="Q4260">
        <v>0.75959035652668505</v>
      </c>
      <c r="R4260">
        <v>7.9343851057816304</v>
      </c>
      <c r="S4260">
        <v>148</v>
      </c>
      <c r="T4260">
        <v>44</v>
      </c>
      <c r="U4260">
        <v>717.99697088859295</v>
      </c>
      <c r="V4260">
        <v>5.4068667207353297E-4</v>
      </c>
      <c r="W4260">
        <v>2977004.6183278901</v>
      </c>
      <c r="X4260" t="s">
        <v>42</v>
      </c>
      <c r="Y4260">
        <f>1-263-660-3468</f>
        <v>-4390</v>
      </c>
    </row>
    <row r="4261" spans="1:25" x14ac:dyDescent="0.35">
      <c r="A4261">
        <v>33.649665382021603</v>
      </c>
      <c r="B4261">
        <v>-117.513414686007</v>
      </c>
      <c r="C4261" t="s">
        <v>29</v>
      </c>
      <c r="D4261">
        <v>38.070576673575303</v>
      </c>
      <c r="E4261">
        <v>6</v>
      </c>
      <c r="F4261">
        <v>3024</v>
      </c>
      <c r="G4261">
        <v>3</v>
      </c>
      <c r="H4261">
        <v>2</v>
      </c>
      <c r="I4261">
        <v>1961</v>
      </c>
      <c r="J4261">
        <v>0</v>
      </c>
      <c r="K4261">
        <v>0</v>
      </c>
      <c r="L4261">
        <v>1</v>
      </c>
      <c r="M4261">
        <v>12</v>
      </c>
      <c r="N4261" t="s">
        <v>41</v>
      </c>
      <c r="O4261" t="s">
        <v>27</v>
      </c>
      <c r="P4261">
        <v>4.1699603529985696</v>
      </c>
      <c r="Q4261">
        <v>1.2059440520157101</v>
      </c>
      <c r="R4261">
        <v>2.1953786890571001</v>
      </c>
      <c r="S4261">
        <v>39</v>
      </c>
      <c r="T4261">
        <v>53</v>
      </c>
      <c r="U4261">
        <v>758.15114650377996</v>
      </c>
      <c r="V4261">
        <v>3.9682539682539602E-3</v>
      </c>
      <c r="W4261">
        <v>2409005.7506359201</v>
      </c>
      <c r="X4261" t="s">
        <v>39</v>
      </c>
      <c r="Y4261">
        <f>1-374-471-1455</f>
        <v>-2299</v>
      </c>
    </row>
    <row r="4262" spans="1:25" x14ac:dyDescent="0.35">
      <c r="A4262">
        <v>37.606356508926602</v>
      </c>
      <c r="B4262">
        <v>-114.537576607151</v>
      </c>
      <c r="C4262" t="s">
        <v>34</v>
      </c>
      <c r="D4262">
        <v>42.307604424627897</v>
      </c>
      <c r="E4262">
        <v>0</v>
      </c>
      <c r="F4262">
        <v>3889</v>
      </c>
      <c r="G4262">
        <v>2</v>
      </c>
      <c r="H4262">
        <v>3</v>
      </c>
      <c r="I4262">
        <v>1997</v>
      </c>
      <c r="J4262">
        <v>0</v>
      </c>
      <c r="K4262">
        <v>1</v>
      </c>
      <c r="L4262">
        <v>1</v>
      </c>
      <c r="M4262">
        <v>10</v>
      </c>
      <c r="N4262" t="s">
        <v>41</v>
      </c>
      <c r="O4262" t="s">
        <v>32</v>
      </c>
      <c r="P4262">
        <v>3.3249733219960498</v>
      </c>
      <c r="Q4262">
        <v>1.09312194317436</v>
      </c>
      <c r="R4262">
        <v>1.0729261427012999</v>
      </c>
      <c r="S4262">
        <v>194</v>
      </c>
      <c r="T4262">
        <v>26</v>
      </c>
      <c r="U4262">
        <v>836.80654019152496</v>
      </c>
      <c r="V4262">
        <v>2.5713551041398799E-3</v>
      </c>
      <c r="W4262">
        <v>3531308.3694481798</v>
      </c>
      <c r="X4262" t="s">
        <v>36</v>
      </c>
      <c r="Y4262">
        <f>1-207-467-4300</f>
        <v>-4973</v>
      </c>
    </row>
    <row r="4263" spans="1:25" x14ac:dyDescent="0.35">
      <c r="A4263">
        <v>32.998071711106903</v>
      </c>
      <c r="B4263">
        <v>-124.47959526705699</v>
      </c>
      <c r="C4263" t="s">
        <v>25</v>
      </c>
      <c r="D4263">
        <v>11.646606816768999</v>
      </c>
      <c r="E4263">
        <v>0</v>
      </c>
      <c r="F4263">
        <v>4293</v>
      </c>
      <c r="G4263">
        <v>5</v>
      </c>
      <c r="H4263">
        <v>2</v>
      </c>
      <c r="I4263">
        <v>1980</v>
      </c>
      <c r="J4263">
        <v>1</v>
      </c>
      <c r="K4263">
        <v>0</v>
      </c>
      <c r="L4263">
        <v>0</v>
      </c>
      <c r="M4263">
        <v>2</v>
      </c>
      <c r="N4263" t="s">
        <v>26</v>
      </c>
      <c r="O4263" t="s">
        <v>27</v>
      </c>
      <c r="P4263">
        <v>7.5539806804691398</v>
      </c>
      <c r="Q4263">
        <v>0.65968010885652295</v>
      </c>
      <c r="R4263">
        <v>9.6789639207602693</v>
      </c>
      <c r="S4263">
        <v>133</v>
      </c>
      <c r="T4263">
        <v>48</v>
      </c>
      <c r="U4263">
        <v>275.693592909296</v>
      </c>
      <c r="V4263">
        <v>4.6587467971115701E-4</v>
      </c>
      <c r="W4263">
        <v>1528107.1918301401</v>
      </c>
      <c r="X4263" t="s">
        <v>36</v>
      </c>
      <c r="Y4263">
        <f>1-929-317-2301</f>
        <v>-3546</v>
      </c>
    </row>
    <row r="4264" spans="1:25" x14ac:dyDescent="0.35">
      <c r="A4264">
        <v>41.485152363991098</v>
      </c>
      <c r="B4264">
        <v>-114.479360276718</v>
      </c>
      <c r="C4264" t="s">
        <v>29</v>
      </c>
      <c r="D4264">
        <v>15.811753122429399</v>
      </c>
      <c r="E4264">
        <v>3</v>
      </c>
      <c r="F4264">
        <v>3929</v>
      </c>
      <c r="G4264">
        <v>4</v>
      </c>
      <c r="H4264">
        <v>1</v>
      </c>
      <c r="I4264">
        <v>1960</v>
      </c>
      <c r="J4264">
        <v>1</v>
      </c>
      <c r="K4264">
        <v>1</v>
      </c>
      <c r="L4264">
        <v>1</v>
      </c>
      <c r="M4264">
        <v>9</v>
      </c>
      <c r="N4264" t="s">
        <v>41</v>
      </c>
      <c r="O4264" t="s">
        <v>30</v>
      </c>
      <c r="P4264">
        <v>3.6627039589890198</v>
      </c>
      <c r="Q4264">
        <v>0.61902666730517797</v>
      </c>
      <c r="R4264">
        <v>1.9416344161263801</v>
      </c>
      <c r="S4264">
        <v>172</v>
      </c>
      <c r="T4264">
        <v>22</v>
      </c>
      <c r="U4264">
        <v>378.85996817570299</v>
      </c>
      <c r="V4264">
        <v>2.2906592008144501E-3</v>
      </c>
      <c r="W4264">
        <v>1774601.4339900101</v>
      </c>
      <c r="X4264" t="s">
        <v>31</v>
      </c>
      <c r="Y4264">
        <f>1-784-585-3630</f>
        <v>-4998</v>
      </c>
    </row>
    <row r="4265" spans="1:25" x14ac:dyDescent="0.35">
      <c r="A4265">
        <v>33.180495848857497</v>
      </c>
      <c r="B4265">
        <v>-115.408121507353</v>
      </c>
      <c r="C4265" t="s">
        <v>29</v>
      </c>
      <c r="D4265">
        <v>18.7595993489984</v>
      </c>
      <c r="E4265">
        <v>2</v>
      </c>
      <c r="F4265">
        <v>3565</v>
      </c>
      <c r="G4265">
        <v>5</v>
      </c>
      <c r="H4265">
        <v>3</v>
      </c>
      <c r="I4265">
        <v>1961</v>
      </c>
      <c r="J4265">
        <v>0</v>
      </c>
      <c r="K4265">
        <v>1</v>
      </c>
      <c r="L4265">
        <v>1</v>
      </c>
      <c r="M4265">
        <v>13</v>
      </c>
      <c r="N4265" t="s">
        <v>26</v>
      </c>
      <c r="O4265" t="s">
        <v>27</v>
      </c>
      <c r="P4265">
        <v>2.5794484005982201</v>
      </c>
      <c r="Q4265">
        <v>2.3699859099102998</v>
      </c>
      <c r="R4265">
        <v>3.7983895226471001</v>
      </c>
      <c r="S4265">
        <v>161</v>
      </c>
      <c r="T4265">
        <v>77</v>
      </c>
      <c r="U4265">
        <v>298.44280586297702</v>
      </c>
      <c r="V4265">
        <v>3.6465638148667598E-3</v>
      </c>
      <c r="W4265">
        <v>1462873.3551183599</v>
      </c>
      <c r="X4265" t="s">
        <v>39</v>
      </c>
      <c r="Y4265">
        <f>1-419-222-5418</f>
        <v>-6058</v>
      </c>
    </row>
    <row r="4266" spans="1:25" x14ac:dyDescent="0.35">
      <c r="A4266">
        <v>33.903026481843597</v>
      </c>
      <c r="B4266">
        <v>-120.882509224534</v>
      </c>
      <c r="C4266" t="s">
        <v>34</v>
      </c>
      <c r="D4266">
        <v>38.710892350685</v>
      </c>
      <c r="E4266">
        <v>5</v>
      </c>
      <c r="F4266">
        <v>3142</v>
      </c>
      <c r="G4266">
        <v>5</v>
      </c>
      <c r="H4266">
        <v>1</v>
      </c>
      <c r="I4266">
        <v>1959</v>
      </c>
      <c r="J4266">
        <v>1</v>
      </c>
      <c r="K4266">
        <v>1</v>
      </c>
      <c r="L4266">
        <v>0</v>
      </c>
      <c r="M4266">
        <v>4</v>
      </c>
      <c r="N4266" t="s">
        <v>37</v>
      </c>
      <c r="O4266" t="s">
        <v>30</v>
      </c>
      <c r="P4266">
        <v>13.6047238167204</v>
      </c>
      <c r="Q4266">
        <v>1.1689144498448001</v>
      </c>
      <c r="R4266">
        <v>5.1214488825270603</v>
      </c>
      <c r="S4266">
        <v>115</v>
      </c>
      <c r="T4266">
        <v>47</v>
      </c>
      <c r="U4266">
        <v>557.66661886749</v>
      </c>
      <c r="V4266">
        <v>1.2730744748567699E-3</v>
      </c>
      <c r="W4266">
        <v>2148460.7675733701</v>
      </c>
      <c r="X4266" t="s">
        <v>31</v>
      </c>
      <c r="Y4266">
        <f>1-790-298-9703</f>
        <v>-10790</v>
      </c>
    </row>
    <row r="4267" spans="1:25" x14ac:dyDescent="0.35">
      <c r="A4267">
        <v>38.567442682026297</v>
      </c>
      <c r="B4267">
        <v>-115.619566707008</v>
      </c>
      <c r="C4267" t="s">
        <v>29</v>
      </c>
      <c r="D4267">
        <v>5.0349326329062603</v>
      </c>
      <c r="E4267">
        <v>8</v>
      </c>
      <c r="F4267">
        <v>4257</v>
      </c>
      <c r="G4267">
        <v>5</v>
      </c>
      <c r="H4267">
        <v>2</v>
      </c>
      <c r="I4267">
        <v>2022</v>
      </c>
      <c r="J4267">
        <v>1</v>
      </c>
      <c r="K4267">
        <v>0</v>
      </c>
      <c r="L4267">
        <v>1</v>
      </c>
      <c r="M4267">
        <v>8</v>
      </c>
      <c r="N4267" t="s">
        <v>37</v>
      </c>
      <c r="O4267" t="s">
        <v>30</v>
      </c>
      <c r="P4267">
        <v>12.4390835743956</v>
      </c>
      <c r="Q4267">
        <v>0.68863262542424997</v>
      </c>
      <c r="R4267">
        <v>2.79545663307879</v>
      </c>
      <c r="S4267">
        <v>50</v>
      </c>
      <c r="T4267">
        <v>31</v>
      </c>
      <c r="U4267">
        <v>221.16775516031299</v>
      </c>
      <c r="V4267">
        <v>1.8792576932111799E-3</v>
      </c>
      <c r="W4267">
        <v>1420573.49292686</v>
      </c>
      <c r="X4267" t="s">
        <v>36</v>
      </c>
      <c r="Y4267">
        <f>1-880-859-8923</f>
        <v>-10661</v>
      </c>
    </row>
    <row r="4268" spans="1:25" x14ac:dyDescent="0.35">
      <c r="A4268">
        <v>33.205901995634498</v>
      </c>
      <c r="B4268">
        <v>-118.703511835421</v>
      </c>
      <c r="C4268" t="s">
        <v>29</v>
      </c>
      <c r="D4268">
        <v>2.4585918037565602</v>
      </c>
      <c r="E4268">
        <v>6</v>
      </c>
      <c r="F4268">
        <v>3465</v>
      </c>
      <c r="G4268">
        <v>2</v>
      </c>
      <c r="H4268">
        <v>2</v>
      </c>
      <c r="I4268">
        <v>1950</v>
      </c>
      <c r="J4268">
        <v>1</v>
      </c>
      <c r="K4268">
        <v>1</v>
      </c>
      <c r="L4268">
        <v>0</v>
      </c>
      <c r="M4268">
        <v>6</v>
      </c>
      <c r="N4268" t="s">
        <v>37</v>
      </c>
      <c r="O4268" t="s">
        <v>27</v>
      </c>
      <c r="P4268">
        <v>2.8852054339009801</v>
      </c>
      <c r="Q4268">
        <v>1.8664008336795701</v>
      </c>
      <c r="R4268">
        <v>5.4796563177269704</v>
      </c>
      <c r="S4268">
        <v>141</v>
      </c>
      <c r="T4268">
        <v>29</v>
      </c>
      <c r="U4268">
        <v>460.115297718801</v>
      </c>
      <c r="V4268">
        <v>1.7316017316017301E-3</v>
      </c>
      <c r="W4268">
        <v>1797776.27591572</v>
      </c>
      <c r="X4268" t="s">
        <v>38</v>
      </c>
      <c r="Y4268">
        <f>1-620-271-3219</f>
        <v>-4109</v>
      </c>
    </row>
    <row r="4269" spans="1:25" x14ac:dyDescent="0.35">
      <c r="A4269">
        <v>40.495119448827197</v>
      </c>
      <c r="B4269">
        <v>-115.686047824201</v>
      </c>
      <c r="C4269" t="s">
        <v>29</v>
      </c>
      <c r="D4269">
        <v>11.344837834024601</v>
      </c>
      <c r="E4269">
        <v>9</v>
      </c>
      <c r="F4269">
        <v>2467</v>
      </c>
      <c r="G4269">
        <v>5</v>
      </c>
      <c r="H4269">
        <v>1</v>
      </c>
      <c r="I4269">
        <v>1965</v>
      </c>
      <c r="J4269">
        <v>1</v>
      </c>
      <c r="K4269">
        <v>0</v>
      </c>
      <c r="L4269">
        <v>1</v>
      </c>
      <c r="M4269">
        <v>14</v>
      </c>
      <c r="N4269" t="s">
        <v>41</v>
      </c>
      <c r="O4269" t="s">
        <v>27</v>
      </c>
      <c r="P4269">
        <v>11.803432430530901</v>
      </c>
      <c r="Q4269">
        <v>1.0830189083895001</v>
      </c>
      <c r="R4269">
        <v>2.47295425222651</v>
      </c>
      <c r="S4269">
        <v>110</v>
      </c>
      <c r="T4269">
        <v>26</v>
      </c>
      <c r="U4269">
        <v>528.12022581356098</v>
      </c>
      <c r="V4269">
        <v>5.6749087961086297E-3</v>
      </c>
      <c r="W4269">
        <v>1714771.80140063</v>
      </c>
      <c r="X4269" t="s">
        <v>44</v>
      </c>
      <c r="Y4269">
        <f>1-497-286-9736</f>
        <v>-10518</v>
      </c>
    </row>
    <row r="4270" spans="1:25" x14ac:dyDescent="0.35">
      <c r="A4270">
        <v>32.994751056623301</v>
      </c>
      <c r="B4270">
        <v>-121.393405518067</v>
      </c>
      <c r="C4270" t="s">
        <v>25</v>
      </c>
      <c r="D4270">
        <v>25.760023027969801</v>
      </c>
      <c r="E4270">
        <v>9</v>
      </c>
      <c r="F4270">
        <v>3975</v>
      </c>
      <c r="G4270">
        <v>3</v>
      </c>
      <c r="H4270">
        <v>1</v>
      </c>
      <c r="I4270">
        <v>2016</v>
      </c>
      <c r="J4270">
        <v>0</v>
      </c>
      <c r="K4270">
        <v>1</v>
      </c>
      <c r="L4270">
        <v>1</v>
      </c>
      <c r="M4270">
        <v>9</v>
      </c>
      <c r="N4270" t="s">
        <v>37</v>
      </c>
      <c r="O4270" t="s">
        <v>27</v>
      </c>
      <c r="P4270">
        <v>12.297801731271599</v>
      </c>
      <c r="Q4270">
        <v>2.44793531908463</v>
      </c>
      <c r="R4270">
        <v>6.6877593127944497</v>
      </c>
      <c r="S4270">
        <v>56</v>
      </c>
      <c r="T4270">
        <v>63</v>
      </c>
      <c r="U4270">
        <v>971.43741248546405</v>
      </c>
      <c r="V4270">
        <v>2.26415094339622E-3</v>
      </c>
      <c r="W4270">
        <v>4272013.5759576401</v>
      </c>
      <c r="X4270" t="s">
        <v>39</v>
      </c>
      <c r="Y4270">
        <f>1-599-636-2960</f>
        <v>-4194</v>
      </c>
    </row>
    <row r="4271" spans="1:25" x14ac:dyDescent="0.35">
      <c r="A4271">
        <v>36.657063201634799</v>
      </c>
      <c r="B4271">
        <v>-123.04118489511301</v>
      </c>
      <c r="C4271" t="s">
        <v>25</v>
      </c>
      <c r="D4271">
        <v>14.5302526095152</v>
      </c>
      <c r="E4271">
        <v>8</v>
      </c>
      <c r="F4271">
        <v>2230</v>
      </c>
      <c r="G4271">
        <v>3</v>
      </c>
      <c r="H4271">
        <v>2</v>
      </c>
      <c r="I4271">
        <v>1956</v>
      </c>
      <c r="J4271">
        <v>1</v>
      </c>
      <c r="K4271">
        <v>1</v>
      </c>
      <c r="L4271">
        <v>1</v>
      </c>
      <c r="M4271">
        <v>3</v>
      </c>
      <c r="N4271" t="s">
        <v>35</v>
      </c>
      <c r="O4271" t="s">
        <v>27</v>
      </c>
      <c r="P4271">
        <v>12.8558157250331</v>
      </c>
      <c r="Q4271">
        <v>1.98695960820615</v>
      </c>
      <c r="R4271">
        <v>2.01149542328415E-2</v>
      </c>
      <c r="S4271">
        <v>29</v>
      </c>
      <c r="T4271">
        <v>73</v>
      </c>
      <c r="U4271">
        <v>558.78013602265003</v>
      </c>
      <c r="V4271">
        <v>1.3452914798206201E-3</v>
      </c>
      <c r="W4271">
        <v>1658668.6131424401</v>
      </c>
      <c r="X4271" t="s">
        <v>33</v>
      </c>
      <c r="Y4271">
        <f>1-916-897-1218</f>
        <v>-3030</v>
      </c>
    </row>
    <row r="4272" spans="1:25" x14ac:dyDescent="0.35">
      <c r="A4272">
        <v>34.664013546806501</v>
      </c>
      <c r="B4272">
        <v>-114.598961608829</v>
      </c>
      <c r="C4272" t="s">
        <v>34</v>
      </c>
      <c r="D4272">
        <v>42.2801785269193</v>
      </c>
      <c r="E4272">
        <v>2</v>
      </c>
      <c r="F4272">
        <v>1957</v>
      </c>
      <c r="G4272">
        <v>3</v>
      </c>
      <c r="H4272">
        <v>3</v>
      </c>
      <c r="I4272">
        <v>1979</v>
      </c>
      <c r="J4272">
        <v>1</v>
      </c>
      <c r="K4272">
        <v>1</v>
      </c>
      <c r="L4272">
        <v>0</v>
      </c>
      <c r="M4272">
        <v>2</v>
      </c>
      <c r="N4272" t="s">
        <v>35</v>
      </c>
      <c r="O4272" t="s">
        <v>27</v>
      </c>
      <c r="P4272">
        <v>12.643488628608299</v>
      </c>
      <c r="Q4272">
        <v>1.62315783304119</v>
      </c>
      <c r="R4272">
        <v>9.5325643325648706</v>
      </c>
      <c r="S4272">
        <v>133</v>
      </c>
      <c r="T4272">
        <v>60</v>
      </c>
      <c r="U4272">
        <v>787.70546138591396</v>
      </c>
      <c r="V4272">
        <v>1.02197240674501E-3</v>
      </c>
      <c r="W4272">
        <v>1931112.1517979901</v>
      </c>
      <c r="X4272" t="s">
        <v>42</v>
      </c>
      <c r="Y4272">
        <f>1-362-435-1362</f>
        <v>-2158</v>
      </c>
    </row>
    <row r="4273" spans="1:25" x14ac:dyDescent="0.35">
      <c r="A4273">
        <v>33.057157569961099</v>
      </c>
      <c r="B4273">
        <v>-117.100790685533</v>
      </c>
      <c r="C4273" t="s">
        <v>25</v>
      </c>
      <c r="D4273">
        <v>25.7955138205045</v>
      </c>
      <c r="E4273">
        <v>9</v>
      </c>
      <c r="F4273">
        <v>3425</v>
      </c>
      <c r="G4273">
        <v>5</v>
      </c>
      <c r="H4273">
        <v>2</v>
      </c>
      <c r="I4273">
        <v>1965</v>
      </c>
      <c r="J4273">
        <v>1</v>
      </c>
      <c r="K4273">
        <v>1</v>
      </c>
      <c r="L4273">
        <v>1</v>
      </c>
      <c r="M4273">
        <v>6</v>
      </c>
      <c r="N4273" t="s">
        <v>37</v>
      </c>
      <c r="O4273" t="s">
        <v>32</v>
      </c>
      <c r="P4273">
        <v>3.1556088552333601</v>
      </c>
      <c r="Q4273">
        <v>1.54489167409591</v>
      </c>
      <c r="R4273">
        <v>0.85905354102854403</v>
      </c>
      <c r="S4273">
        <v>71</v>
      </c>
      <c r="T4273">
        <v>66</v>
      </c>
      <c r="U4273">
        <v>310.85890358108099</v>
      </c>
      <c r="V4273">
        <v>1.7518248175182401E-3</v>
      </c>
      <c r="W4273">
        <v>1425552.2021194701</v>
      </c>
      <c r="X4273" t="s">
        <v>33</v>
      </c>
      <c r="Y4273">
        <f>1-466-478-3785</f>
        <v>-4728</v>
      </c>
    </row>
    <row r="4274" spans="1:25" x14ac:dyDescent="0.35">
      <c r="A4274">
        <v>35.551933839642203</v>
      </c>
      <c r="B4274">
        <v>-116.914106247981</v>
      </c>
      <c r="C4274" t="s">
        <v>25</v>
      </c>
      <c r="D4274">
        <v>47.4727948065078</v>
      </c>
      <c r="E4274">
        <v>6</v>
      </c>
      <c r="F4274">
        <v>2671</v>
      </c>
      <c r="G4274">
        <v>1</v>
      </c>
      <c r="H4274">
        <v>2</v>
      </c>
      <c r="I4274">
        <v>2012</v>
      </c>
      <c r="J4274">
        <v>0</v>
      </c>
      <c r="K4274">
        <v>0</v>
      </c>
      <c r="L4274">
        <v>0</v>
      </c>
      <c r="M4274">
        <v>4</v>
      </c>
      <c r="N4274" t="s">
        <v>41</v>
      </c>
      <c r="O4274" t="s">
        <v>32</v>
      </c>
      <c r="P4274">
        <v>4.6250378281433804</v>
      </c>
      <c r="Q4274">
        <v>0.89877169985883698</v>
      </c>
      <c r="R4274">
        <v>6.64033802343803</v>
      </c>
      <c r="S4274">
        <v>70</v>
      </c>
      <c r="T4274">
        <v>35</v>
      </c>
      <c r="U4274">
        <v>503.85694978499401</v>
      </c>
      <c r="V4274">
        <v>1.4975664545114099E-3</v>
      </c>
      <c r="W4274">
        <v>1509705.69984408</v>
      </c>
      <c r="X4274" t="s">
        <v>38</v>
      </c>
      <c r="Y4274">
        <f>1-695-929-5372</f>
        <v>-6995</v>
      </c>
    </row>
    <row r="4275" spans="1:25" x14ac:dyDescent="0.35">
      <c r="A4275">
        <v>39.949900134690303</v>
      </c>
      <c r="B4275">
        <v>-115.22634721543101</v>
      </c>
      <c r="C4275" t="s">
        <v>25</v>
      </c>
      <c r="D4275">
        <v>14.8483885544112</v>
      </c>
      <c r="E4275">
        <v>1</v>
      </c>
      <c r="F4275">
        <v>1456</v>
      </c>
      <c r="G4275">
        <v>1</v>
      </c>
      <c r="H4275">
        <v>2</v>
      </c>
      <c r="I4275">
        <v>1994</v>
      </c>
      <c r="J4275">
        <v>0</v>
      </c>
      <c r="K4275">
        <v>0</v>
      </c>
      <c r="L4275">
        <v>1</v>
      </c>
      <c r="M4275">
        <v>8</v>
      </c>
      <c r="N4275" t="s">
        <v>26</v>
      </c>
      <c r="O4275" t="s">
        <v>30</v>
      </c>
      <c r="P4275">
        <v>7.8677919227927502</v>
      </c>
      <c r="Q4275">
        <v>0.85437725802197695</v>
      </c>
      <c r="R4275">
        <v>6.2244938098600899</v>
      </c>
      <c r="S4275">
        <v>193</v>
      </c>
      <c r="T4275">
        <v>79</v>
      </c>
      <c r="U4275">
        <v>675.60583014529902</v>
      </c>
      <c r="V4275">
        <v>5.4945054945054897E-3</v>
      </c>
      <c r="W4275">
        <v>1123010.5448660599</v>
      </c>
      <c r="X4275" t="s">
        <v>38</v>
      </c>
      <c r="Y4275">
        <f>1-766-955-4359</f>
        <v>-6079</v>
      </c>
    </row>
    <row r="4276" spans="1:25" x14ac:dyDescent="0.35">
      <c r="A4276">
        <v>41.066941376599999</v>
      </c>
      <c r="B4276">
        <v>-122.91476921066</v>
      </c>
      <c r="C4276" t="s">
        <v>34</v>
      </c>
      <c r="D4276">
        <v>5.2673759993821401</v>
      </c>
      <c r="E4276">
        <v>3</v>
      </c>
      <c r="F4276">
        <v>1818</v>
      </c>
      <c r="G4276">
        <v>5</v>
      </c>
      <c r="H4276">
        <v>3</v>
      </c>
      <c r="I4276">
        <v>1987</v>
      </c>
      <c r="J4276">
        <v>0</v>
      </c>
      <c r="K4276">
        <v>1</v>
      </c>
      <c r="L4276">
        <v>0</v>
      </c>
      <c r="M4276">
        <v>11</v>
      </c>
      <c r="N4276" t="s">
        <v>41</v>
      </c>
      <c r="O4276" t="s">
        <v>27</v>
      </c>
      <c r="P4276">
        <v>8.8603075461218896</v>
      </c>
      <c r="Q4276">
        <v>1.0493668621804699</v>
      </c>
      <c r="R4276">
        <v>1.2958792064759299</v>
      </c>
      <c r="S4276">
        <v>142</v>
      </c>
      <c r="T4276">
        <v>23</v>
      </c>
      <c r="U4276">
        <v>796.49937520004903</v>
      </c>
      <c r="V4276">
        <v>6.0506050605060504E-3</v>
      </c>
      <c r="W4276">
        <v>1925367.9764598701</v>
      </c>
      <c r="X4276" t="s">
        <v>44</v>
      </c>
      <c r="Y4276">
        <f>1-748-251-1161</f>
        <v>-2159</v>
      </c>
    </row>
    <row r="4277" spans="1:25" x14ac:dyDescent="0.35">
      <c r="A4277">
        <v>33.930631180860303</v>
      </c>
      <c r="B4277">
        <v>-117.5172257577</v>
      </c>
      <c r="C4277" t="s">
        <v>34</v>
      </c>
      <c r="D4277">
        <v>7.8892335977485004</v>
      </c>
      <c r="E4277">
        <v>5</v>
      </c>
      <c r="F4277">
        <v>1057</v>
      </c>
      <c r="G4277">
        <v>4</v>
      </c>
      <c r="H4277">
        <v>3</v>
      </c>
      <c r="I4277">
        <v>2001</v>
      </c>
      <c r="J4277">
        <v>0</v>
      </c>
      <c r="K4277">
        <v>1</v>
      </c>
      <c r="L4277">
        <v>0</v>
      </c>
      <c r="M4277">
        <v>14</v>
      </c>
      <c r="N4277" t="s">
        <v>37</v>
      </c>
      <c r="O4277" t="s">
        <v>30</v>
      </c>
      <c r="P4277">
        <v>10.8761259499361</v>
      </c>
      <c r="Q4277">
        <v>2.3837785436858399</v>
      </c>
      <c r="R4277">
        <v>0.785931824096052</v>
      </c>
      <c r="S4277">
        <v>152</v>
      </c>
      <c r="T4277">
        <v>34</v>
      </c>
      <c r="U4277">
        <v>555.8855004367</v>
      </c>
      <c r="V4277">
        <v>1.32450331125827E-2</v>
      </c>
      <c r="W4277">
        <v>1003430.45666804</v>
      </c>
      <c r="X4277" t="s">
        <v>31</v>
      </c>
      <c r="Y4277">
        <f>1-229-304-7666</f>
        <v>-8198</v>
      </c>
    </row>
    <row r="4278" spans="1:25" x14ac:dyDescent="0.35">
      <c r="A4278">
        <v>33.460129898289303</v>
      </c>
      <c r="B4278">
        <v>-114.777127174095</v>
      </c>
      <c r="C4278" t="s">
        <v>29</v>
      </c>
      <c r="D4278">
        <v>16.160207761696601</v>
      </c>
      <c r="E4278">
        <v>6</v>
      </c>
      <c r="F4278">
        <v>2382</v>
      </c>
      <c r="G4278">
        <v>1</v>
      </c>
      <c r="H4278">
        <v>1</v>
      </c>
      <c r="I4278">
        <v>1977</v>
      </c>
      <c r="J4278">
        <v>1</v>
      </c>
      <c r="K4278">
        <v>0</v>
      </c>
      <c r="L4278">
        <v>1</v>
      </c>
      <c r="M4278">
        <v>12</v>
      </c>
      <c r="N4278" t="s">
        <v>35</v>
      </c>
      <c r="O4278" t="s">
        <v>32</v>
      </c>
      <c r="P4278">
        <v>3.5774559838079898</v>
      </c>
      <c r="Q4278">
        <v>0.61589989108174203</v>
      </c>
      <c r="R4278">
        <v>0.65828085775821699</v>
      </c>
      <c r="S4278">
        <v>149</v>
      </c>
      <c r="T4278">
        <v>41</v>
      </c>
      <c r="U4278">
        <v>428.24616120504197</v>
      </c>
      <c r="V4278">
        <v>5.0377833753148596E-3</v>
      </c>
      <c r="W4278">
        <v>1059670.55880875</v>
      </c>
      <c r="X4278" t="s">
        <v>43</v>
      </c>
      <c r="Y4278">
        <f>1-385-900-8289</f>
        <v>-9573</v>
      </c>
    </row>
    <row r="4279" spans="1:25" x14ac:dyDescent="0.35">
      <c r="A4279">
        <v>38.6050911362302</v>
      </c>
      <c r="B4279">
        <v>-119.75907854882099</v>
      </c>
      <c r="C4279" t="s">
        <v>29</v>
      </c>
      <c r="D4279">
        <v>13.8989574388359</v>
      </c>
      <c r="E4279">
        <v>0</v>
      </c>
      <c r="F4279">
        <v>3365</v>
      </c>
      <c r="G4279">
        <v>3</v>
      </c>
      <c r="H4279">
        <v>3</v>
      </c>
      <c r="I4279">
        <v>1963</v>
      </c>
      <c r="J4279">
        <v>0</v>
      </c>
      <c r="K4279">
        <v>0</v>
      </c>
      <c r="L4279">
        <v>0</v>
      </c>
      <c r="M4279">
        <v>10</v>
      </c>
      <c r="N4279" t="s">
        <v>35</v>
      </c>
      <c r="O4279" t="s">
        <v>27</v>
      </c>
      <c r="P4279">
        <v>8.2693404711716791</v>
      </c>
      <c r="Q4279">
        <v>0.707274066144575</v>
      </c>
      <c r="R4279">
        <v>2.3186292361625802</v>
      </c>
      <c r="S4279">
        <v>55</v>
      </c>
      <c r="T4279">
        <v>44</v>
      </c>
      <c r="U4279">
        <v>293.63704932331399</v>
      </c>
      <c r="V4279">
        <v>2.9717682020802298E-3</v>
      </c>
      <c r="W4279">
        <v>1152074.36188582</v>
      </c>
      <c r="X4279" t="s">
        <v>38</v>
      </c>
      <c r="Y4279">
        <f>1-475-812-2498</f>
        <v>-3784</v>
      </c>
    </row>
    <row r="4280" spans="1:25" x14ac:dyDescent="0.35">
      <c r="A4280">
        <v>33.991482576463902</v>
      </c>
      <c r="B4280">
        <v>-117.510779883808</v>
      </c>
      <c r="C4280" t="s">
        <v>34</v>
      </c>
      <c r="D4280">
        <v>18.236578169750398</v>
      </c>
      <c r="E4280">
        <v>0</v>
      </c>
      <c r="F4280">
        <v>2349</v>
      </c>
      <c r="G4280">
        <v>4</v>
      </c>
      <c r="H4280">
        <v>3</v>
      </c>
      <c r="I4280">
        <v>1968</v>
      </c>
      <c r="J4280">
        <v>0</v>
      </c>
      <c r="K4280">
        <v>0</v>
      </c>
      <c r="L4280">
        <v>1</v>
      </c>
      <c r="M4280">
        <v>6</v>
      </c>
      <c r="N4280" t="s">
        <v>26</v>
      </c>
      <c r="O4280" t="s">
        <v>30</v>
      </c>
      <c r="P4280">
        <v>14.788467102264301</v>
      </c>
      <c r="Q4280">
        <v>2.0945168124936702</v>
      </c>
      <c r="R4280">
        <v>5.7113890533298202</v>
      </c>
      <c r="S4280">
        <v>23</v>
      </c>
      <c r="T4280">
        <v>47</v>
      </c>
      <c r="U4280">
        <v>223.642783191571</v>
      </c>
      <c r="V4280">
        <v>2.5542784163473799E-3</v>
      </c>
      <c r="W4280">
        <v>987920.37028801697</v>
      </c>
      <c r="X4280" t="s">
        <v>33</v>
      </c>
      <c r="Y4280">
        <f>1-308-371-2867</f>
        <v>-3545</v>
      </c>
    </row>
    <row r="4281" spans="1:25" x14ac:dyDescent="0.35">
      <c r="A4281">
        <v>40.198275971812201</v>
      </c>
      <c r="B4281">
        <v>-114.93808929538</v>
      </c>
      <c r="C4281" t="s">
        <v>29</v>
      </c>
      <c r="D4281">
        <v>6.7887097477229696</v>
      </c>
      <c r="E4281">
        <v>2</v>
      </c>
      <c r="F4281">
        <v>1812</v>
      </c>
      <c r="G4281">
        <v>4</v>
      </c>
      <c r="H4281">
        <v>2</v>
      </c>
      <c r="I4281">
        <v>1974</v>
      </c>
      <c r="J4281">
        <v>0</v>
      </c>
      <c r="K4281">
        <v>0</v>
      </c>
      <c r="L4281">
        <v>0</v>
      </c>
      <c r="M4281">
        <v>5</v>
      </c>
      <c r="N4281" t="s">
        <v>37</v>
      </c>
      <c r="O4281" t="s">
        <v>27</v>
      </c>
      <c r="P4281">
        <v>5.6776254400230002</v>
      </c>
      <c r="Q4281">
        <v>2.1702223512573999</v>
      </c>
      <c r="R4281">
        <v>9.94142693678047</v>
      </c>
      <c r="S4281">
        <v>150</v>
      </c>
      <c r="T4281">
        <v>65</v>
      </c>
      <c r="U4281">
        <v>358.53831790010997</v>
      </c>
      <c r="V4281">
        <v>2.7593818984547398E-3</v>
      </c>
      <c r="W4281">
        <v>770969.83828634105</v>
      </c>
      <c r="X4281" t="s">
        <v>28</v>
      </c>
      <c r="Y4281">
        <f>1-469-894-9833</f>
        <v>-11195</v>
      </c>
    </row>
    <row r="4282" spans="1:25" x14ac:dyDescent="0.35">
      <c r="A4282">
        <v>34.421739535680601</v>
      </c>
      <c r="B4282">
        <v>-117.06832082428301</v>
      </c>
      <c r="C4282" t="s">
        <v>29</v>
      </c>
      <c r="D4282">
        <v>27.8032923691196</v>
      </c>
      <c r="E4282">
        <v>5</v>
      </c>
      <c r="F4282">
        <v>2280</v>
      </c>
      <c r="G4282">
        <v>5</v>
      </c>
      <c r="H4282">
        <v>3</v>
      </c>
      <c r="I4282">
        <v>2004</v>
      </c>
      <c r="J4282">
        <v>0</v>
      </c>
      <c r="K4282">
        <v>1</v>
      </c>
      <c r="L4282">
        <v>0</v>
      </c>
      <c r="M4282">
        <v>13</v>
      </c>
      <c r="N4282" t="s">
        <v>41</v>
      </c>
      <c r="O4282" t="s">
        <v>32</v>
      </c>
      <c r="P4282">
        <v>13.9921075018853</v>
      </c>
      <c r="Q4282">
        <v>1.87922102689897</v>
      </c>
      <c r="R4282">
        <v>8.5142882655298795</v>
      </c>
      <c r="S4282">
        <v>174</v>
      </c>
      <c r="T4282">
        <v>75</v>
      </c>
      <c r="U4282">
        <v>934.54626850904901</v>
      </c>
      <c r="V4282">
        <v>5.7017543859649101E-3</v>
      </c>
      <c r="W4282">
        <v>2672971.3332579699</v>
      </c>
      <c r="X4282" t="s">
        <v>42</v>
      </c>
      <c r="Y4282">
        <f>1-390-837-4168</f>
        <v>-5394</v>
      </c>
    </row>
    <row r="4283" spans="1:25" x14ac:dyDescent="0.35">
      <c r="A4283">
        <v>35.402740875897301</v>
      </c>
      <c r="B4283">
        <v>-123.42120091731699</v>
      </c>
      <c r="C4283" t="s">
        <v>34</v>
      </c>
      <c r="D4283">
        <v>8.2868845796764106</v>
      </c>
      <c r="E4283">
        <v>9</v>
      </c>
      <c r="F4283">
        <v>2395</v>
      </c>
      <c r="G4283">
        <v>1</v>
      </c>
      <c r="H4283">
        <v>3</v>
      </c>
      <c r="I4283">
        <v>2005</v>
      </c>
      <c r="J4283">
        <v>1</v>
      </c>
      <c r="K4283">
        <v>0</v>
      </c>
      <c r="L4283">
        <v>0</v>
      </c>
      <c r="M4283">
        <v>6</v>
      </c>
      <c r="N4283" t="s">
        <v>37</v>
      </c>
      <c r="O4283" t="s">
        <v>30</v>
      </c>
      <c r="P4283">
        <v>4.2773127242615399</v>
      </c>
      <c r="Q4283">
        <v>0.94724728422444104</v>
      </c>
      <c r="R4283">
        <v>8.4505081086114</v>
      </c>
      <c r="S4283">
        <v>115</v>
      </c>
      <c r="T4283">
        <v>77</v>
      </c>
      <c r="U4283">
        <v>567.71604867697499</v>
      </c>
      <c r="V4283">
        <v>2.5052192066805801E-3</v>
      </c>
      <c r="W4283">
        <v>1562003.1274498501</v>
      </c>
      <c r="X4283" t="s">
        <v>40</v>
      </c>
      <c r="Y4283">
        <f>1-731-972-5337</f>
        <v>-7039</v>
      </c>
    </row>
    <row r="4284" spans="1:25" x14ac:dyDescent="0.35">
      <c r="A4284">
        <v>38.733720390804798</v>
      </c>
      <c r="B4284">
        <v>-119.24175617012099</v>
      </c>
      <c r="C4284" t="s">
        <v>34</v>
      </c>
      <c r="D4284">
        <v>24.365630030258998</v>
      </c>
      <c r="E4284">
        <v>8</v>
      </c>
      <c r="F4284">
        <v>2779</v>
      </c>
      <c r="G4284">
        <v>3</v>
      </c>
      <c r="H4284">
        <v>1</v>
      </c>
      <c r="I4284">
        <v>2021</v>
      </c>
      <c r="J4284">
        <v>1</v>
      </c>
      <c r="K4284">
        <v>0</v>
      </c>
      <c r="L4284">
        <v>1</v>
      </c>
      <c r="M4284">
        <v>9</v>
      </c>
      <c r="N4284" t="s">
        <v>26</v>
      </c>
      <c r="O4284" t="s">
        <v>32</v>
      </c>
      <c r="P4284">
        <v>14.925249255709</v>
      </c>
      <c r="Q4284">
        <v>1.8468406899407701</v>
      </c>
      <c r="R4284">
        <v>8.0843831477074097</v>
      </c>
      <c r="S4284">
        <v>99</v>
      </c>
      <c r="T4284">
        <v>30</v>
      </c>
      <c r="U4284">
        <v>306.02665906516</v>
      </c>
      <c r="V4284">
        <v>3.2385750269881201E-3</v>
      </c>
      <c r="W4284">
        <v>1255910.4882278801</v>
      </c>
      <c r="X4284" t="s">
        <v>40</v>
      </c>
      <c r="Y4284">
        <f>1-399-266-1595</f>
        <v>-2259</v>
      </c>
    </row>
    <row r="4285" spans="1:25" x14ac:dyDescent="0.35">
      <c r="A4285">
        <v>36.053599731104804</v>
      </c>
      <c r="B4285">
        <v>-124.024384363344</v>
      </c>
      <c r="C4285" t="s">
        <v>34</v>
      </c>
      <c r="D4285">
        <v>39.030499973669997</v>
      </c>
      <c r="E4285">
        <v>4</v>
      </c>
      <c r="F4285">
        <v>4392</v>
      </c>
      <c r="G4285">
        <v>2</v>
      </c>
      <c r="H4285">
        <v>1</v>
      </c>
      <c r="I4285">
        <v>1988</v>
      </c>
      <c r="J4285">
        <v>1</v>
      </c>
      <c r="K4285">
        <v>1</v>
      </c>
      <c r="L4285">
        <v>1</v>
      </c>
      <c r="M4285">
        <v>9</v>
      </c>
      <c r="N4285" t="s">
        <v>35</v>
      </c>
      <c r="O4285" t="s">
        <v>30</v>
      </c>
      <c r="P4285">
        <v>12.003520861299901</v>
      </c>
      <c r="Q4285">
        <v>2.4333369264986602</v>
      </c>
      <c r="R4285">
        <v>0.82073530092340596</v>
      </c>
      <c r="S4285">
        <v>192</v>
      </c>
      <c r="T4285">
        <v>60</v>
      </c>
      <c r="U4285">
        <v>997.26329902644898</v>
      </c>
      <c r="V4285">
        <v>2.04918032786885E-3</v>
      </c>
      <c r="W4285">
        <v>4689066.1972460197</v>
      </c>
      <c r="X4285" t="s">
        <v>38</v>
      </c>
      <c r="Y4285">
        <f>1-824-684-6429</f>
        <v>-7936</v>
      </c>
    </row>
    <row r="4286" spans="1:25" x14ac:dyDescent="0.35">
      <c r="A4286">
        <v>35.366702942384698</v>
      </c>
      <c r="B4286">
        <v>-120.14106935435601</v>
      </c>
      <c r="C4286" t="s">
        <v>29</v>
      </c>
      <c r="D4286">
        <v>5.8962616597855897</v>
      </c>
      <c r="E4286">
        <v>9</v>
      </c>
      <c r="F4286">
        <v>4650</v>
      </c>
      <c r="G4286">
        <v>1</v>
      </c>
      <c r="H4286">
        <v>3</v>
      </c>
      <c r="I4286">
        <v>1991</v>
      </c>
      <c r="J4286">
        <v>1</v>
      </c>
      <c r="K4286">
        <v>0</v>
      </c>
      <c r="L4286">
        <v>0</v>
      </c>
      <c r="M4286">
        <v>9</v>
      </c>
      <c r="N4286" t="s">
        <v>37</v>
      </c>
      <c r="O4286" t="s">
        <v>32</v>
      </c>
      <c r="P4286">
        <v>12.9773650829926</v>
      </c>
      <c r="Q4286">
        <v>0.84791125982945403</v>
      </c>
      <c r="R4286">
        <v>4.1527978819314498E-2</v>
      </c>
      <c r="S4286">
        <v>6</v>
      </c>
      <c r="T4286">
        <v>47</v>
      </c>
      <c r="U4286">
        <v>759.24752892348897</v>
      </c>
      <c r="V4286">
        <v>1.93548387096774E-3</v>
      </c>
      <c r="W4286">
        <v>3835263.5097791599</v>
      </c>
      <c r="X4286" t="s">
        <v>39</v>
      </c>
      <c r="Y4286">
        <f>1-613-565-3058</f>
        <v>-4235</v>
      </c>
    </row>
    <row r="4287" spans="1:25" x14ac:dyDescent="0.35">
      <c r="A4287">
        <v>33.937334879549198</v>
      </c>
      <c r="B4287">
        <v>-114.509500416965</v>
      </c>
      <c r="C4287" t="s">
        <v>29</v>
      </c>
      <c r="D4287">
        <v>34.124903985352198</v>
      </c>
      <c r="E4287">
        <v>2</v>
      </c>
      <c r="F4287">
        <v>2826</v>
      </c>
      <c r="G4287">
        <v>5</v>
      </c>
      <c r="H4287">
        <v>3</v>
      </c>
      <c r="I4287">
        <v>2002</v>
      </c>
      <c r="J4287">
        <v>0</v>
      </c>
      <c r="K4287">
        <v>1</v>
      </c>
      <c r="L4287">
        <v>0</v>
      </c>
      <c r="M4287">
        <v>2</v>
      </c>
      <c r="N4287" t="s">
        <v>37</v>
      </c>
      <c r="O4287" t="s">
        <v>27</v>
      </c>
      <c r="P4287">
        <v>12.726568970523401</v>
      </c>
      <c r="Q4287">
        <v>2.1639295854948499</v>
      </c>
      <c r="R4287">
        <v>8.9645021851549096</v>
      </c>
      <c r="S4287">
        <v>189</v>
      </c>
      <c r="T4287">
        <v>79</v>
      </c>
      <c r="U4287">
        <v>552.19503530987799</v>
      </c>
      <c r="V4287">
        <v>7.0771408351026101E-4</v>
      </c>
      <c r="W4287">
        <v>2073399.7411783</v>
      </c>
      <c r="X4287" t="s">
        <v>28</v>
      </c>
      <c r="Y4287">
        <f>1-930-203-2815</f>
        <v>-3947</v>
      </c>
    </row>
    <row r="4288" spans="1:25" x14ac:dyDescent="0.35">
      <c r="A4288">
        <v>37.0527858522454</v>
      </c>
      <c r="B4288">
        <v>-118.33731947202</v>
      </c>
      <c r="C4288" t="s">
        <v>34</v>
      </c>
      <c r="D4288">
        <v>26.438092552693799</v>
      </c>
      <c r="E4288">
        <v>9</v>
      </c>
      <c r="F4288">
        <v>1821</v>
      </c>
      <c r="G4288">
        <v>3</v>
      </c>
      <c r="H4288">
        <v>1</v>
      </c>
      <c r="I4288">
        <v>1983</v>
      </c>
      <c r="J4288">
        <v>0</v>
      </c>
      <c r="K4288">
        <v>1</v>
      </c>
      <c r="L4288">
        <v>0</v>
      </c>
      <c r="M4288">
        <v>8</v>
      </c>
      <c r="N4288" t="s">
        <v>26</v>
      </c>
      <c r="O4288" t="s">
        <v>32</v>
      </c>
      <c r="P4288">
        <v>2.8206143386576099</v>
      </c>
      <c r="Q4288">
        <v>1.5414002547999499</v>
      </c>
      <c r="R4288">
        <v>5.0474054253405702</v>
      </c>
      <c r="S4288">
        <v>169</v>
      </c>
      <c r="T4288">
        <v>77</v>
      </c>
      <c r="U4288">
        <v>976.35543400351798</v>
      </c>
      <c r="V4288">
        <v>4.3931905546402998E-3</v>
      </c>
      <c r="W4288">
        <v>1872368.3868618701</v>
      </c>
      <c r="X4288" t="s">
        <v>39</v>
      </c>
      <c r="Y4288">
        <f>1-402-227-9298</f>
        <v>-9926</v>
      </c>
    </row>
    <row r="4289" spans="1:25" x14ac:dyDescent="0.35">
      <c r="A4289">
        <v>33.088845959299498</v>
      </c>
      <c r="B4289">
        <v>-116.655590741209</v>
      </c>
      <c r="C4289" t="s">
        <v>34</v>
      </c>
      <c r="D4289">
        <v>28.3151611739498</v>
      </c>
      <c r="E4289">
        <v>4</v>
      </c>
      <c r="F4289">
        <v>4928</v>
      </c>
      <c r="G4289">
        <v>5</v>
      </c>
      <c r="H4289">
        <v>2</v>
      </c>
      <c r="I4289">
        <v>1951</v>
      </c>
      <c r="J4289">
        <v>1</v>
      </c>
      <c r="K4289">
        <v>1</v>
      </c>
      <c r="L4289">
        <v>0</v>
      </c>
      <c r="M4289">
        <v>5</v>
      </c>
      <c r="N4289" t="s">
        <v>26</v>
      </c>
      <c r="O4289" t="s">
        <v>30</v>
      </c>
      <c r="P4289">
        <v>12.884399627009399</v>
      </c>
      <c r="Q4289">
        <v>1.0966537240669101</v>
      </c>
      <c r="R4289">
        <v>1.90870820430043</v>
      </c>
      <c r="S4289">
        <v>119</v>
      </c>
      <c r="T4289">
        <v>34</v>
      </c>
      <c r="U4289">
        <v>719.05958035910396</v>
      </c>
      <c r="V4289">
        <v>1.01461038961038E-3</v>
      </c>
      <c r="W4289">
        <v>3889662.5677025402</v>
      </c>
      <c r="X4289" t="s">
        <v>38</v>
      </c>
      <c r="Y4289">
        <f>1-885-281-2267</f>
        <v>-3432</v>
      </c>
    </row>
    <row r="4290" spans="1:25" x14ac:dyDescent="0.35">
      <c r="A4290">
        <v>37.907594430617699</v>
      </c>
      <c r="B4290">
        <v>-119.796446926933</v>
      </c>
      <c r="C4290" t="s">
        <v>34</v>
      </c>
      <c r="D4290">
        <v>35.808553430499003</v>
      </c>
      <c r="E4290">
        <v>5</v>
      </c>
      <c r="F4290">
        <v>3629</v>
      </c>
      <c r="G4290">
        <v>4</v>
      </c>
      <c r="H4290">
        <v>2</v>
      </c>
      <c r="I4290">
        <v>1961</v>
      </c>
      <c r="J4290">
        <v>0</v>
      </c>
      <c r="K4290">
        <v>1</v>
      </c>
      <c r="L4290">
        <v>0</v>
      </c>
      <c r="M4290">
        <v>4</v>
      </c>
      <c r="N4290" t="s">
        <v>26</v>
      </c>
      <c r="O4290" t="s">
        <v>32</v>
      </c>
      <c r="P4290">
        <v>5.2297637410410101</v>
      </c>
      <c r="Q4290">
        <v>1.37441338138987</v>
      </c>
      <c r="R4290">
        <v>2.5708098035045102</v>
      </c>
      <c r="S4290">
        <v>58</v>
      </c>
      <c r="T4290">
        <v>27</v>
      </c>
      <c r="U4290">
        <v>965.72814870981904</v>
      </c>
      <c r="V4290">
        <v>1.10223201984017E-3</v>
      </c>
      <c r="W4290">
        <v>3815336.5634744498</v>
      </c>
      <c r="X4290" t="s">
        <v>31</v>
      </c>
      <c r="Y4290">
        <f>1-441-314-6298</f>
        <v>-7052</v>
      </c>
    </row>
    <row r="4291" spans="1:25" x14ac:dyDescent="0.35">
      <c r="A4291">
        <v>39.804075645664298</v>
      </c>
      <c r="B4291">
        <v>-123.307372234653</v>
      </c>
      <c r="C4291" t="s">
        <v>29</v>
      </c>
      <c r="D4291">
        <v>43.396525403165498</v>
      </c>
      <c r="E4291">
        <v>7</v>
      </c>
      <c r="F4291">
        <v>1789</v>
      </c>
      <c r="G4291">
        <v>4</v>
      </c>
      <c r="H4291">
        <v>1</v>
      </c>
      <c r="I4291">
        <v>1963</v>
      </c>
      <c r="J4291">
        <v>0</v>
      </c>
      <c r="K4291">
        <v>1</v>
      </c>
      <c r="L4291">
        <v>1</v>
      </c>
      <c r="M4291">
        <v>10</v>
      </c>
      <c r="N4291" t="s">
        <v>37</v>
      </c>
      <c r="O4291" t="s">
        <v>32</v>
      </c>
      <c r="P4291">
        <v>11.080569499985501</v>
      </c>
      <c r="Q4291">
        <v>0.55853244319366402</v>
      </c>
      <c r="R4291">
        <v>8.5345602584829194</v>
      </c>
      <c r="S4291">
        <v>166</v>
      </c>
      <c r="T4291">
        <v>65</v>
      </c>
      <c r="U4291">
        <v>321.19534501538499</v>
      </c>
      <c r="V4291">
        <v>5.5897149245388404E-3</v>
      </c>
      <c r="W4291">
        <v>867022.40431970102</v>
      </c>
      <c r="X4291" t="s">
        <v>44</v>
      </c>
      <c r="Y4291">
        <f>1-255-385-8387</f>
        <v>-9026</v>
      </c>
    </row>
    <row r="4292" spans="1:25" x14ac:dyDescent="0.35">
      <c r="A4292">
        <v>39.981710024500401</v>
      </c>
      <c r="B4292">
        <v>-123.61274461381799</v>
      </c>
      <c r="C4292" t="s">
        <v>29</v>
      </c>
      <c r="D4292">
        <v>29.782081367551399</v>
      </c>
      <c r="E4292">
        <v>1</v>
      </c>
      <c r="F4292">
        <v>593</v>
      </c>
      <c r="G4292">
        <v>2</v>
      </c>
      <c r="H4292">
        <v>1</v>
      </c>
      <c r="I4292">
        <v>2000</v>
      </c>
      <c r="J4292">
        <v>0</v>
      </c>
      <c r="K4292">
        <v>1</v>
      </c>
      <c r="L4292">
        <v>0</v>
      </c>
      <c r="M4292">
        <v>2</v>
      </c>
      <c r="N4292" t="s">
        <v>26</v>
      </c>
      <c r="O4292" t="s">
        <v>30</v>
      </c>
      <c r="P4292">
        <v>9.0340575102756802</v>
      </c>
      <c r="Q4292">
        <v>0.98976590563406397</v>
      </c>
      <c r="R4292">
        <v>0.17681342146857401</v>
      </c>
      <c r="S4292">
        <v>81</v>
      </c>
      <c r="T4292">
        <v>35</v>
      </c>
      <c r="U4292">
        <v>337.45607019952701</v>
      </c>
      <c r="V4292">
        <v>3.3726812816188799E-3</v>
      </c>
      <c r="W4292">
        <v>479031.865808059</v>
      </c>
      <c r="X4292" t="s">
        <v>33</v>
      </c>
      <c r="Y4292">
        <f>1-928-662-8453</f>
        <v>-10042</v>
      </c>
    </row>
    <row r="4293" spans="1:25" x14ac:dyDescent="0.35">
      <c r="A4293">
        <v>40.685745443578398</v>
      </c>
      <c r="B4293">
        <v>-120.792867446809</v>
      </c>
      <c r="C4293" t="s">
        <v>25</v>
      </c>
      <c r="D4293">
        <v>25.995243377188601</v>
      </c>
      <c r="E4293">
        <v>0</v>
      </c>
      <c r="F4293">
        <v>1531</v>
      </c>
      <c r="G4293">
        <v>4</v>
      </c>
      <c r="H4293">
        <v>2</v>
      </c>
      <c r="I4293">
        <v>1996</v>
      </c>
      <c r="J4293">
        <v>1</v>
      </c>
      <c r="K4293">
        <v>1</v>
      </c>
      <c r="L4293">
        <v>1</v>
      </c>
      <c r="M4293">
        <v>6</v>
      </c>
      <c r="N4293" t="s">
        <v>37</v>
      </c>
      <c r="O4293" t="s">
        <v>30</v>
      </c>
      <c r="P4293">
        <v>8.5655095120726692</v>
      </c>
      <c r="Q4293">
        <v>2.4525774854686602</v>
      </c>
      <c r="R4293">
        <v>1.2214984947915299</v>
      </c>
      <c r="S4293">
        <v>154</v>
      </c>
      <c r="T4293">
        <v>35</v>
      </c>
      <c r="U4293">
        <v>576.84033890475996</v>
      </c>
      <c r="V4293">
        <v>3.9190071848464996E-3</v>
      </c>
      <c r="W4293">
        <v>1270367.46604488</v>
      </c>
      <c r="X4293" t="s">
        <v>40</v>
      </c>
      <c r="Y4293">
        <f>1-326-286-4241</f>
        <v>-4852</v>
      </c>
    </row>
    <row r="4294" spans="1:25" x14ac:dyDescent="0.35">
      <c r="A4294">
        <v>37.2589897666738</v>
      </c>
      <c r="B4294">
        <v>-120.58509141019999</v>
      </c>
      <c r="C4294" t="s">
        <v>34</v>
      </c>
      <c r="D4294">
        <v>4.6094110507827901</v>
      </c>
      <c r="E4294">
        <v>3</v>
      </c>
      <c r="F4294">
        <v>809</v>
      </c>
      <c r="G4294">
        <v>2</v>
      </c>
      <c r="H4294">
        <v>3</v>
      </c>
      <c r="I4294">
        <v>1963</v>
      </c>
      <c r="J4294">
        <v>0</v>
      </c>
      <c r="K4294">
        <v>1</v>
      </c>
      <c r="L4294">
        <v>0</v>
      </c>
      <c r="M4294">
        <v>9</v>
      </c>
      <c r="N4294" t="s">
        <v>41</v>
      </c>
      <c r="O4294" t="s">
        <v>32</v>
      </c>
      <c r="P4294">
        <v>6.7053837117288397</v>
      </c>
      <c r="Q4294">
        <v>0.73802215643298696</v>
      </c>
      <c r="R4294">
        <v>3.8620344971209701</v>
      </c>
      <c r="S4294">
        <v>132</v>
      </c>
      <c r="T4294">
        <v>55</v>
      </c>
      <c r="U4294">
        <v>881.49104160439299</v>
      </c>
      <c r="V4294">
        <v>1.1124845488257099E-2</v>
      </c>
      <c r="W4294">
        <v>864156.47988649597</v>
      </c>
      <c r="X4294" t="s">
        <v>43</v>
      </c>
      <c r="Y4294">
        <f>1-352-791-8261</f>
        <v>-9403</v>
      </c>
    </row>
    <row r="4295" spans="1:25" x14ac:dyDescent="0.35">
      <c r="A4295">
        <v>39.802234131165498</v>
      </c>
      <c r="B4295">
        <v>-124.239476862685</v>
      </c>
      <c r="C4295" t="s">
        <v>29</v>
      </c>
      <c r="D4295">
        <v>45.7691675328782</v>
      </c>
      <c r="E4295">
        <v>7</v>
      </c>
      <c r="F4295">
        <v>1976</v>
      </c>
      <c r="G4295">
        <v>4</v>
      </c>
      <c r="H4295">
        <v>3</v>
      </c>
      <c r="I4295">
        <v>2012</v>
      </c>
      <c r="J4295">
        <v>0</v>
      </c>
      <c r="K4295">
        <v>1</v>
      </c>
      <c r="L4295">
        <v>1</v>
      </c>
      <c r="M4295">
        <v>4</v>
      </c>
      <c r="N4295" t="s">
        <v>35</v>
      </c>
      <c r="O4295" t="s">
        <v>27</v>
      </c>
      <c r="P4295">
        <v>3.2920797000423399</v>
      </c>
      <c r="Q4295">
        <v>1.0962453987474601</v>
      </c>
      <c r="R4295">
        <v>2.1156738106725701</v>
      </c>
      <c r="S4295">
        <v>117</v>
      </c>
      <c r="T4295">
        <v>58</v>
      </c>
      <c r="U4295">
        <v>272.45196574846699</v>
      </c>
      <c r="V4295">
        <v>2.0242914979756998E-3</v>
      </c>
      <c r="W4295">
        <v>869726.62661754701</v>
      </c>
      <c r="X4295" t="s">
        <v>39</v>
      </c>
      <c r="Y4295">
        <f>1-900-654-5754</f>
        <v>-7307</v>
      </c>
    </row>
    <row r="4296" spans="1:25" x14ac:dyDescent="0.35">
      <c r="A4296">
        <v>34.668170448286297</v>
      </c>
      <c r="B4296">
        <v>-118.487285613455</v>
      </c>
      <c r="C4296" t="s">
        <v>25</v>
      </c>
      <c r="D4296">
        <v>40.581712319785197</v>
      </c>
      <c r="E4296">
        <v>1</v>
      </c>
      <c r="F4296">
        <v>4627</v>
      </c>
      <c r="G4296">
        <v>3</v>
      </c>
      <c r="H4296">
        <v>3</v>
      </c>
      <c r="I4296">
        <v>1983</v>
      </c>
      <c r="J4296">
        <v>0</v>
      </c>
      <c r="K4296">
        <v>1</v>
      </c>
      <c r="L4296">
        <v>0</v>
      </c>
      <c r="M4296">
        <v>10</v>
      </c>
      <c r="N4296" t="s">
        <v>35</v>
      </c>
      <c r="O4296" t="s">
        <v>27</v>
      </c>
      <c r="P4296">
        <v>5.6536764420233103</v>
      </c>
      <c r="Q4296">
        <v>1.98871178109408</v>
      </c>
      <c r="R4296">
        <v>6.1160766148179899</v>
      </c>
      <c r="S4296">
        <v>109</v>
      </c>
      <c r="T4296">
        <v>48</v>
      </c>
      <c r="U4296">
        <v>384.50944032528201</v>
      </c>
      <c r="V4296">
        <v>2.1612275772638799E-3</v>
      </c>
      <c r="W4296">
        <v>2035435.2299403599</v>
      </c>
      <c r="X4296" t="s">
        <v>36</v>
      </c>
      <c r="Y4296">
        <f>1-464-145-4133</f>
        <v>-4741</v>
      </c>
    </row>
    <row r="4297" spans="1:25" x14ac:dyDescent="0.35">
      <c r="A4297">
        <v>34.133853169947002</v>
      </c>
      <c r="B4297">
        <v>-116.929707906532</v>
      </c>
      <c r="C4297" t="s">
        <v>34</v>
      </c>
      <c r="D4297">
        <v>16.3289442047469</v>
      </c>
      <c r="E4297">
        <v>2</v>
      </c>
      <c r="F4297">
        <v>1473</v>
      </c>
      <c r="G4297">
        <v>5</v>
      </c>
      <c r="H4297">
        <v>1</v>
      </c>
      <c r="I4297">
        <v>1959</v>
      </c>
      <c r="J4297">
        <v>1</v>
      </c>
      <c r="K4297">
        <v>0</v>
      </c>
      <c r="L4297">
        <v>1</v>
      </c>
      <c r="M4297">
        <v>2</v>
      </c>
      <c r="N4297" t="s">
        <v>26</v>
      </c>
      <c r="O4297" t="s">
        <v>30</v>
      </c>
      <c r="P4297">
        <v>6.3416278624865097</v>
      </c>
      <c r="Q4297">
        <v>1.40352906045957</v>
      </c>
      <c r="R4297">
        <v>8.1488506784529893</v>
      </c>
      <c r="S4297">
        <v>59</v>
      </c>
      <c r="T4297">
        <v>75</v>
      </c>
      <c r="U4297">
        <v>967.94150238247801</v>
      </c>
      <c r="V4297">
        <v>1.3577732518669299E-3</v>
      </c>
      <c r="W4297">
        <v>1665470.7948820901</v>
      </c>
      <c r="X4297" t="s">
        <v>33</v>
      </c>
      <c r="Y4297">
        <f>1-465-210-7564</f>
        <v>-8238</v>
      </c>
    </row>
    <row r="4298" spans="1:25" x14ac:dyDescent="0.35">
      <c r="A4298">
        <v>40.173287050099901</v>
      </c>
      <c r="B4298">
        <v>-120.343352745316</v>
      </c>
      <c r="C4298" t="s">
        <v>25</v>
      </c>
      <c r="D4298">
        <v>15.876052667792599</v>
      </c>
      <c r="E4298">
        <v>3</v>
      </c>
      <c r="F4298">
        <v>4587</v>
      </c>
      <c r="G4298">
        <v>3</v>
      </c>
      <c r="H4298">
        <v>2</v>
      </c>
      <c r="I4298">
        <v>2007</v>
      </c>
      <c r="J4298">
        <v>0</v>
      </c>
      <c r="K4298">
        <v>1</v>
      </c>
      <c r="L4298">
        <v>0</v>
      </c>
      <c r="M4298">
        <v>4</v>
      </c>
      <c r="N4298" t="s">
        <v>37</v>
      </c>
      <c r="O4298" t="s">
        <v>30</v>
      </c>
      <c r="P4298">
        <v>2.0983636392882001</v>
      </c>
      <c r="Q4298">
        <v>0.90827008255318098</v>
      </c>
      <c r="R4298">
        <v>6.5686996912244098</v>
      </c>
      <c r="S4298">
        <v>144</v>
      </c>
      <c r="T4298">
        <v>71</v>
      </c>
      <c r="U4298">
        <v>272.34597708265198</v>
      </c>
      <c r="V4298">
        <v>8.7202964900806601E-4</v>
      </c>
      <c r="W4298">
        <v>1484295.05728571</v>
      </c>
      <c r="X4298" t="s">
        <v>28</v>
      </c>
      <c r="Y4298">
        <f>1-436-780-7718</f>
        <v>-8933</v>
      </c>
    </row>
    <row r="4299" spans="1:25" x14ac:dyDescent="0.35">
      <c r="A4299">
        <v>40.281808746730597</v>
      </c>
      <c r="B4299">
        <v>-119.867624107162</v>
      </c>
      <c r="C4299" t="s">
        <v>34</v>
      </c>
      <c r="D4299">
        <v>6.3623647396326497</v>
      </c>
      <c r="E4299">
        <v>9</v>
      </c>
      <c r="F4299">
        <v>4612</v>
      </c>
      <c r="G4299">
        <v>4</v>
      </c>
      <c r="H4299">
        <v>1</v>
      </c>
      <c r="I4299">
        <v>1970</v>
      </c>
      <c r="J4299">
        <v>1</v>
      </c>
      <c r="K4299">
        <v>1</v>
      </c>
      <c r="L4299">
        <v>1</v>
      </c>
      <c r="M4299">
        <v>6</v>
      </c>
      <c r="N4299" t="s">
        <v>41</v>
      </c>
      <c r="O4299" t="s">
        <v>30</v>
      </c>
      <c r="P4299">
        <v>3.8918802876585898</v>
      </c>
      <c r="Q4299">
        <v>0.89675424151593097</v>
      </c>
      <c r="R4299">
        <v>7.95171274157636</v>
      </c>
      <c r="S4299">
        <v>27</v>
      </c>
      <c r="T4299">
        <v>74</v>
      </c>
      <c r="U4299">
        <v>461.03552182448101</v>
      </c>
      <c r="V4299">
        <v>1.3009540329575E-3</v>
      </c>
      <c r="W4299">
        <v>2332471.06661346</v>
      </c>
      <c r="X4299" t="s">
        <v>42</v>
      </c>
      <c r="Y4299">
        <f>1-942-747-7572</f>
        <v>-9260</v>
      </c>
    </row>
    <row r="4300" spans="1:25" x14ac:dyDescent="0.35">
      <c r="A4300">
        <v>41.779305577136903</v>
      </c>
      <c r="B4300">
        <v>-116.99300242649601</v>
      </c>
      <c r="C4300" t="s">
        <v>29</v>
      </c>
      <c r="D4300">
        <v>13.406473115013499</v>
      </c>
      <c r="E4300">
        <v>3</v>
      </c>
      <c r="F4300">
        <v>1687</v>
      </c>
      <c r="G4300">
        <v>4</v>
      </c>
      <c r="H4300">
        <v>3</v>
      </c>
      <c r="I4300">
        <v>2001</v>
      </c>
      <c r="J4300">
        <v>0</v>
      </c>
      <c r="K4300">
        <v>0</v>
      </c>
      <c r="L4300">
        <v>0</v>
      </c>
      <c r="M4300">
        <v>4</v>
      </c>
      <c r="N4300" t="s">
        <v>41</v>
      </c>
      <c r="O4300" t="s">
        <v>32</v>
      </c>
      <c r="P4300">
        <v>7.6704041509524403</v>
      </c>
      <c r="Q4300">
        <v>2.4900086976628999</v>
      </c>
      <c r="R4300">
        <v>9.5514851860601997</v>
      </c>
      <c r="S4300">
        <v>157</v>
      </c>
      <c r="T4300">
        <v>73</v>
      </c>
      <c r="U4300">
        <v>378.67868000998698</v>
      </c>
      <c r="V4300">
        <v>2.3710729104919901E-3</v>
      </c>
      <c r="W4300">
        <v>862988.14783016802</v>
      </c>
      <c r="X4300" t="s">
        <v>28</v>
      </c>
      <c r="Y4300">
        <f>1-692-416-5159</f>
        <v>-6266</v>
      </c>
    </row>
    <row r="4301" spans="1:25" x14ac:dyDescent="0.35">
      <c r="A4301">
        <v>34.579613602690401</v>
      </c>
      <c r="B4301">
        <v>-118.439329785818</v>
      </c>
      <c r="C4301" t="s">
        <v>29</v>
      </c>
      <c r="D4301">
        <v>17.941639936039401</v>
      </c>
      <c r="E4301">
        <v>2</v>
      </c>
      <c r="F4301">
        <v>3649</v>
      </c>
      <c r="G4301">
        <v>3</v>
      </c>
      <c r="H4301">
        <v>2</v>
      </c>
      <c r="I4301">
        <v>1982</v>
      </c>
      <c r="J4301">
        <v>1</v>
      </c>
      <c r="K4301">
        <v>1</v>
      </c>
      <c r="L4301">
        <v>1</v>
      </c>
      <c r="M4301">
        <v>4</v>
      </c>
      <c r="N4301" t="s">
        <v>41</v>
      </c>
      <c r="O4301" t="s">
        <v>27</v>
      </c>
      <c r="P4301">
        <v>6.0908812784778403</v>
      </c>
      <c r="Q4301">
        <v>2.2530819202557999</v>
      </c>
      <c r="R4301">
        <v>1.88520953634989</v>
      </c>
      <c r="S4301">
        <v>81</v>
      </c>
      <c r="T4301">
        <v>57</v>
      </c>
      <c r="U4301">
        <v>998.03299504247502</v>
      </c>
      <c r="V4301">
        <v>1.09619073718827E-3</v>
      </c>
      <c r="W4301">
        <v>4045595.9135560398</v>
      </c>
      <c r="X4301" t="s">
        <v>42</v>
      </c>
      <c r="Y4301">
        <f>1-822-605-2506</f>
        <v>-3932</v>
      </c>
    </row>
    <row r="4302" spans="1:25" x14ac:dyDescent="0.35">
      <c r="A4302">
        <v>37.261254781003302</v>
      </c>
      <c r="B4302">
        <v>-121.556163028341</v>
      </c>
      <c r="C4302" t="s">
        <v>29</v>
      </c>
      <c r="D4302">
        <v>47.323965596638203</v>
      </c>
      <c r="E4302">
        <v>4</v>
      </c>
      <c r="F4302">
        <v>1921</v>
      </c>
      <c r="G4302">
        <v>3</v>
      </c>
      <c r="H4302">
        <v>1</v>
      </c>
      <c r="I4302">
        <v>1982</v>
      </c>
      <c r="J4302">
        <v>0</v>
      </c>
      <c r="K4302">
        <v>1</v>
      </c>
      <c r="L4302">
        <v>0</v>
      </c>
      <c r="M4302">
        <v>9</v>
      </c>
      <c r="N4302" t="s">
        <v>35</v>
      </c>
      <c r="O4302" t="s">
        <v>27</v>
      </c>
      <c r="P4302">
        <v>4.7631122095172396</v>
      </c>
      <c r="Q4302">
        <v>1.3774592497434399</v>
      </c>
      <c r="R4302">
        <v>0.58842972921863901</v>
      </c>
      <c r="S4302">
        <v>60</v>
      </c>
      <c r="T4302">
        <v>50</v>
      </c>
      <c r="U4302">
        <v>431.29508090146402</v>
      </c>
      <c r="V4302">
        <v>4.68505986465382E-3</v>
      </c>
      <c r="W4302">
        <v>1138132.3635359399</v>
      </c>
      <c r="X4302" t="s">
        <v>33</v>
      </c>
      <c r="Y4302">
        <f>1-895-537-4587</f>
        <v>-6018</v>
      </c>
    </row>
    <row r="4303" spans="1:25" x14ac:dyDescent="0.35">
      <c r="A4303">
        <v>35.725415423290002</v>
      </c>
      <c r="B4303">
        <v>-116.278180073059</v>
      </c>
      <c r="C4303" t="s">
        <v>34</v>
      </c>
      <c r="D4303">
        <v>26.030458445499701</v>
      </c>
      <c r="E4303">
        <v>7</v>
      </c>
      <c r="F4303">
        <v>1113</v>
      </c>
      <c r="G4303">
        <v>2</v>
      </c>
      <c r="H4303">
        <v>3</v>
      </c>
      <c r="I4303">
        <v>2016</v>
      </c>
      <c r="J4303">
        <v>0</v>
      </c>
      <c r="K4303">
        <v>1</v>
      </c>
      <c r="L4303">
        <v>0</v>
      </c>
      <c r="M4303">
        <v>12</v>
      </c>
      <c r="N4303" t="s">
        <v>41</v>
      </c>
      <c r="O4303" t="s">
        <v>32</v>
      </c>
      <c r="P4303">
        <v>3.9432199232505201</v>
      </c>
      <c r="Q4303">
        <v>1.2336189616762701</v>
      </c>
      <c r="R4303">
        <v>4.6967621397529404</v>
      </c>
      <c r="S4303">
        <v>188</v>
      </c>
      <c r="T4303">
        <v>25</v>
      </c>
      <c r="U4303">
        <v>340.81591734169302</v>
      </c>
      <c r="V4303">
        <v>1.07816711590296E-2</v>
      </c>
      <c r="W4303">
        <v>640161.54479948001</v>
      </c>
      <c r="X4303" t="s">
        <v>44</v>
      </c>
      <c r="Y4303">
        <f>1-415-306-8407</f>
        <v>-9127</v>
      </c>
    </row>
    <row r="4304" spans="1:25" x14ac:dyDescent="0.35">
      <c r="A4304">
        <v>41.332658541736798</v>
      </c>
      <c r="B4304">
        <v>-114.497387277539</v>
      </c>
      <c r="C4304" t="s">
        <v>25</v>
      </c>
      <c r="D4304">
        <v>45.8924386467625</v>
      </c>
      <c r="E4304">
        <v>6</v>
      </c>
      <c r="F4304">
        <v>4700</v>
      </c>
      <c r="G4304">
        <v>4</v>
      </c>
      <c r="H4304">
        <v>2</v>
      </c>
      <c r="I4304">
        <v>1958</v>
      </c>
      <c r="J4304">
        <v>1</v>
      </c>
      <c r="K4304">
        <v>1</v>
      </c>
      <c r="L4304">
        <v>1</v>
      </c>
      <c r="M4304">
        <v>4</v>
      </c>
      <c r="N4304" t="s">
        <v>26</v>
      </c>
      <c r="O4304" t="s">
        <v>32</v>
      </c>
      <c r="P4304">
        <v>8.24816382693467</v>
      </c>
      <c r="Q4304">
        <v>1.4562295784666099</v>
      </c>
      <c r="R4304">
        <v>7.8521145351919701</v>
      </c>
      <c r="S4304">
        <v>98</v>
      </c>
      <c r="T4304">
        <v>62</v>
      </c>
      <c r="U4304">
        <v>814.65939947481002</v>
      </c>
      <c r="V4304">
        <v>8.5106382978723403E-4</v>
      </c>
      <c r="W4304">
        <v>4153169.0894121402</v>
      </c>
      <c r="X4304" t="s">
        <v>44</v>
      </c>
      <c r="Y4304">
        <f>1-279-430-2973</f>
        <v>-3681</v>
      </c>
    </row>
    <row r="4305" spans="1:25" x14ac:dyDescent="0.35">
      <c r="A4305">
        <v>41.056264557455101</v>
      </c>
      <c r="B4305">
        <v>-123.25744435139001</v>
      </c>
      <c r="C4305" t="s">
        <v>29</v>
      </c>
      <c r="D4305">
        <v>22.594850835665</v>
      </c>
      <c r="E4305">
        <v>5</v>
      </c>
      <c r="F4305">
        <v>3590</v>
      </c>
      <c r="G4305">
        <v>2</v>
      </c>
      <c r="H4305">
        <v>3</v>
      </c>
      <c r="I4305">
        <v>1962</v>
      </c>
      <c r="J4305">
        <v>0</v>
      </c>
      <c r="K4305">
        <v>0</v>
      </c>
      <c r="L4305">
        <v>1</v>
      </c>
      <c r="M4305">
        <v>9</v>
      </c>
      <c r="N4305" t="s">
        <v>26</v>
      </c>
      <c r="O4305" t="s">
        <v>32</v>
      </c>
      <c r="P4305">
        <v>9.3018480935080508</v>
      </c>
      <c r="Q4305">
        <v>1.34735339650746</v>
      </c>
      <c r="R4305">
        <v>2.88137382218344</v>
      </c>
      <c r="S4305">
        <v>156</v>
      </c>
      <c r="T4305">
        <v>20</v>
      </c>
      <c r="U4305">
        <v>203.86884779247501</v>
      </c>
      <c r="V4305">
        <v>2.5069637883008301E-3</v>
      </c>
      <c r="W4305">
        <v>914919.50992790004</v>
      </c>
      <c r="X4305" t="s">
        <v>39</v>
      </c>
      <c r="Y4305">
        <f>1-700-587-1628</f>
        <v>-2914</v>
      </c>
    </row>
    <row r="4306" spans="1:25" x14ac:dyDescent="0.35">
      <c r="A4306">
        <v>37.183773473258498</v>
      </c>
      <c r="B4306">
        <v>-122.97320123681401</v>
      </c>
      <c r="C4306" t="s">
        <v>34</v>
      </c>
      <c r="D4306">
        <v>31.574730888887999</v>
      </c>
      <c r="E4306">
        <v>1</v>
      </c>
      <c r="F4306">
        <v>4389</v>
      </c>
      <c r="G4306">
        <v>2</v>
      </c>
      <c r="H4306">
        <v>3</v>
      </c>
      <c r="I4306">
        <v>1972</v>
      </c>
      <c r="J4306">
        <v>1</v>
      </c>
      <c r="K4306">
        <v>1</v>
      </c>
      <c r="L4306">
        <v>0</v>
      </c>
      <c r="M4306">
        <v>4</v>
      </c>
      <c r="N4306" t="s">
        <v>41</v>
      </c>
      <c r="O4306" t="s">
        <v>30</v>
      </c>
      <c r="P4306">
        <v>8.5525943513883007</v>
      </c>
      <c r="Q4306">
        <v>1.6072119785586401</v>
      </c>
      <c r="R4306">
        <v>6.0040192138638897</v>
      </c>
      <c r="S4306">
        <v>113</v>
      </c>
      <c r="T4306">
        <v>44</v>
      </c>
      <c r="U4306">
        <v>918.01112288293098</v>
      </c>
      <c r="V4306">
        <v>9.1136933242196396E-4</v>
      </c>
      <c r="W4306">
        <v>4322805.5461197104</v>
      </c>
      <c r="X4306" t="s">
        <v>44</v>
      </c>
      <c r="Y4306">
        <f>1-438-424-6997</f>
        <v>-7858</v>
      </c>
    </row>
    <row r="4307" spans="1:25" x14ac:dyDescent="0.35">
      <c r="A4307">
        <v>36.342591847830597</v>
      </c>
      <c r="B4307">
        <v>-116.46821730517399</v>
      </c>
      <c r="C4307" t="s">
        <v>25</v>
      </c>
      <c r="D4307">
        <v>19.426634308601798</v>
      </c>
      <c r="E4307">
        <v>8</v>
      </c>
      <c r="F4307">
        <v>3240</v>
      </c>
      <c r="G4307">
        <v>2</v>
      </c>
      <c r="H4307">
        <v>2</v>
      </c>
      <c r="I4307">
        <v>2000</v>
      </c>
      <c r="J4307">
        <v>1</v>
      </c>
      <c r="K4307">
        <v>0</v>
      </c>
      <c r="L4307">
        <v>1</v>
      </c>
      <c r="M4307">
        <v>13</v>
      </c>
      <c r="N4307" t="s">
        <v>37</v>
      </c>
      <c r="O4307" t="s">
        <v>32</v>
      </c>
      <c r="P4307">
        <v>10.3977225455611</v>
      </c>
      <c r="Q4307">
        <v>1.7458809619701701</v>
      </c>
      <c r="R4307">
        <v>7.96611273103884</v>
      </c>
      <c r="S4307">
        <v>1</v>
      </c>
      <c r="T4307">
        <v>48</v>
      </c>
      <c r="U4307">
        <v>436.77586465093702</v>
      </c>
      <c r="V4307">
        <v>4.0123456790123399E-3</v>
      </c>
      <c r="W4307">
        <v>1681739.4793499201</v>
      </c>
      <c r="X4307" t="s">
        <v>39</v>
      </c>
      <c r="Y4307">
        <f>1-219-929-9054</f>
        <v>-10201</v>
      </c>
    </row>
    <row r="4308" spans="1:25" x14ac:dyDescent="0.35">
      <c r="A4308">
        <v>39.979853083971797</v>
      </c>
      <c r="B4308">
        <v>-118.928565926282</v>
      </c>
      <c r="C4308" t="s">
        <v>29</v>
      </c>
      <c r="D4308">
        <v>9.2236946075835</v>
      </c>
      <c r="E4308">
        <v>2</v>
      </c>
      <c r="F4308">
        <v>4929</v>
      </c>
      <c r="G4308">
        <v>3</v>
      </c>
      <c r="H4308">
        <v>1</v>
      </c>
      <c r="I4308">
        <v>1973</v>
      </c>
      <c r="J4308">
        <v>0</v>
      </c>
      <c r="K4308">
        <v>0</v>
      </c>
      <c r="L4308">
        <v>1</v>
      </c>
      <c r="M4308">
        <v>11</v>
      </c>
      <c r="N4308" t="s">
        <v>37</v>
      </c>
      <c r="O4308" t="s">
        <v>27</v>
      </c>
      <c r="P4308">
        <v>8.0059226034338202</v>
      </c>
      <c r="Q4308">
        <v>1.7628264932709801</v>
      </c>
      <c r="R4308">
        <v>3.3589453402210001</v>
      </c>
      <c r="S4308">
        <v>27</v>
      </c>
      <c r="T4308">
        <v>25</v>
      </c>
      <c r="U4308">
        <v>272.480390107581</v>
      </c>
      <c r="V4308">
        <v>2.2316899979711899E-3</v>
      </c>
      <c r="W4308">
        <v>1500768.0072766901</v>
      </c>
      <c r="X4308" t="s">
        <v>36</v>
      </c>
      <c r="Y4308">
        <f>1-917-411-3027</f>
        <v>-4354</v>
      </c>
    </row>
    <row r="4309" spans="1:25" x14ac:dyDescent="0.35">
      <c r="A4309">
        <v>40.6329396384467</v>
      </c>
      <c r="B4309">
        <v>-122.868361025038</v>
      </c>
      <c r="C4309" t="s">
        <v>34</v>
      </c>
      <c r="D4309">
        <v>45.020601202181403</v>
      </c>
      <c r="E4309">
        <v>7</v>
      </c>
      <c r="F4309">
        <v>2982</v>
      </c>
      <c r="G4309">
        <v>4</v>
      </c>
      <c r="H4309">
        <v>1</v>
      </c>
      <c r="I4309">
        <v>2008</v>
      </c>
      <c r="J4309">
        <v>1</v>
      </c>
      <c r="K4309">
        <v>1</v>
      </c>
      <c r="L4309">
        <v>1</v>
      </c>
      <c r="M4309">
        <v>10</v>
      </c>
      <c r="N4309" t="s">
        <v>37</v>
      </c>
      <c r="O4309" t="s">
        <v>32</v>
      </c>
      <c r="P4309">
        <v>3.3580934599148198</v>
      </c>
      <c r="Q4309">
        <v>0.60427459313935405</v>
      </c>
      <c r="R4309">
        <v>3.89303410729767</v>
      </c>
      <c r="S4309">
        <v>147</v>
      </c>
      <c r="T4309">
        <v>41</v>
      </c>
      <c r="U4309">
        <v>891.94759339796497</v>
      </c>
      <c r="V4309">
        <v>3.3534540576794099E-3</v>
      </c>
      <c r="W4309">
        <v>3076034.1440075398</v>
      </c>
      <c r="X4309" t="s">
        <v>43</v>
      </c>
      <c r="Y4309">
        <f>1-748-753-9519</f>
        <v>-11019</v>
      </c>
    </row>
    <row r="4310" spans="1:25" x14ac:dyDescent="0.35">
      <c r="A4310">
        <v>41.438716447250997</v>
      </c>
      <c r="B4310">
        <v>-123.178063312704</v>
      </c>
      <c r="C4310" t="s">
        <v>29</v>
      </c>
      <c r="D4310">
        <v>45.509042732767398</v>
      </c>
      <c r="E4310">
        <v>9</v>
      </c>
      <c r="F4310">
        <v>2280</v>
      </c>
      <c r="G4310">
        <v>4</v>
      </c>
      <c r="H4310">
        <v>2</v>
      </c>
      <c r="I4310">
        <v>1997</v>
      </c>
      <c r="J4310">
        <v>0</v>
      </c>
      <c r="K4310">
        <v>1</v>
      </c>
      <c r="L4310">
        <v>1</v>
      </c>
      <c r="M4310">
        <v>11</v>
      </c>
      <c r="N4310" t="s">
        <v>26</v>
      </c>
      <c r="O4310" t="s">
        <v>32</v>
      </c>
      <c r="P4310">
        <v>4.5986028047496097</v>
      </c>
      <c r="Q4310">
        <v>2.0089036984101698</v>
      </c>
      <c r="R4310">
        <v>0.25213421972545602</v>
      </c>
      <c r="S4310">
        <v>188</v>
      </c>
      <c r="T4310">
        <v>36</v>
      </c>
      <c r="U4310">
        <v>583.89350386151602</v>
      </c>
      <c r="V4310">
        <v>4.8245614035087696E-3</v>
      </c>
      <c r="W4310">
        <v>1678467.8568185</v>
      </c>
      <c r="X4310" t="s">
        <v>31</v>
      </c>
      <c r="Y4310">
        <f>1-242-574-1078</f>
        <v>-1893</v>
      </c>
    </row>
    <row r="4311" spans="1:25" x14ac:dyDescent="0.35">
      <c r="A4311">
        <v>37.669342806563797</v>
      </c>
      <c r="B4311">
        <v>-119.48495884944801</v>
      </c>
      <c r="C4311" t="s">
        <v>29</v>
      </c>
      <c r="D4311">
        <v>24.123806585667399</v>
      </c>
      <c r="E4311">
        <v>1</v>
      </c>
      <c r="F4311">
        <v>3546</v>
      </c>
      <c r="G4311">
        <v>3</v>
      </c>
      <c r="H4311">
        <v>1</v>
      </c>
      <c r="I4311">
        <v>2004</v>
      </c>
      <c r="J4311">
        <v>1</v>
      </c>
      <c r="K4311">
        <v>0</v>
      </c>
      <c r="L4311">
        <v>1</v>
      </c>
      <c r="M4311">
        <v>5</v>
      </c>
      <c r="N4311" t="s">
        <v>41</v>
      </c>
      <c r="O4311" t="s">
        <v>30</v>
      </c>
      <c r="P4311">
        <v>13.090883822693399</v>
      </c>
      <c r="Q4311">
        <v>1.32887870416592</v>
      </c>
      <c r="R4311">
        <v>7.4990017105143298</v>
      </c>
      <c r="S4311">
        <v>159</v>
      </c>
      <c r="T4311">
        <v>36</v>
      </c>
      <c r="U4311">
        <v>629.03470851808402</v>
      </c>
      <c r="V4311">
        <v>1.41003948110547E-3</v>
      </c>
      <c r="W4311">
        <v>2461719.2514876602</v>
      </c>
      <c r="X4311" t="s">
        <v>28</v>
      </c>
      <c r="Y4311">
        <f>1-704-794-8308</f>
        <v>-9805</v>
      </c>
    </row>
    <row r="4312" spans="1:25" x14ac:dyDescent="0.35">
      <c r="A4312">
        <v>33.634510486185597</v>
      </c>
      <c r="B4312">
        <v>-123.562224143055</v>
      </c>
      <c r="C4312" t="s">
        <v>34</v>
      </c>
      <c r="D4312">
        <v>12.7323129353019</v>
      </c>
      <c r="E4312">
        <v>0</v>
      </c>
      <c r="F4312">
        <v>2983</v>
      </c>
      <c r="G4312">
        <v>3</v>
      </c>
      <c r="H4312">
        <v>1</v>
      </c>
      <c r="I4312">
        <v>1957</v>
      </c>
      <c r="J4312">
        <v>1</v>
      </c>
      <c r="K4312">
        <v>1</v>
      </c>
      <c r="L4312">
        <v>1</v>
      </c>
      <c r="M4312">
        <v>3</v>
      </c>
      <c r="N4312" t="s">
        <v>26</v>
      </c>
      <c r="O4312" t="s">
        <v>32</v>
      </c>
      <c r="P4312">
        <v>3.2861775111702798</v>
      </c>
      <c r="Q4312">
        <v>0.63715632820783397</v>
      </c>
      <c r="R4312">
        <v>6.0106047312520499</v>
      </c>
      <c r="S4312">
        <v>162</v>
      </c>
      <c r="T4312">
        <v>28</v>
      </c>
      <c r="U4312">
        <v>979.37396876189598</v>
      </c>
      <c r="V4312">
        <v>1.0056989607777401E-3</v>
      </c>
      <c r="W4312">
        <v>3112494.62685483</v>
      </c>
      <c r="X4312" t="s">
        <v>39</v>
      </c>
      <c r="Y4312">
        <f>1-671-267-3509</f>
        <v>-4446</v>
      </c>
    </row>
    <row r="4313" spans="1:25" x14ac:dyDescent="0.35">
      <c r="A4313">
        <v>38.502716815042703</v>
      </c>
      <c r="B4313">
        <v>-119.309027151942</v>
      </c>
      <c r="C4313" t="s">
        <v>34</v>
      </c>
      <c r="D4313">
        <v>32.984653698801303</v>
      </c>
      <c r="E4313">
        <v>9</v>
      </c>
      <c r="F4313">
        <v>1902</v>
      </c>
      <c r="G4313">
        <v>3</v>
      </c>
      <c r="H4313">
        <v>1</v>
      </c>
      <c r="I4313">
        <v>2015</v>
      </c>
      <c r="J4313">
        <v>0</v>
      </c>
      <c r="K4313">
        <v>0</v>
      </c>
      <c r="L4313">
        <v>1</v>
      </c>
      <c r="M4313">
        <v>10</v>
      </c>
      <c r="N4313" t="s">
        <v>41</v>
      </c>
      <c r="O4313" t="s">
        <v>27</v>
      </c>
      <c r="P4313">
        <v>6.0086916394179903</v>
      </c>
      <c r="Q4313">
        <v>0.71272333242804697</v>
      </c>
      <c r="R4313">
        <v>0.78355120870769102</v>
      </c>
      <c r="S4313">
        <v>130</v>
      </c>
      <c r="T4313">
        <v>62</v>
      </c>
      <c r="U4313">
        <v>377.34965990822798</v>
      </c>
      <c r="V4313">
        <v>5.2576235541535203E-3</v>
      </c>
      <c r="W4313">
        <v>945612.262854359</v>
      </c>
      <c r="X4313" t="s">
        <v>36</v>
      </c>
      <c r="Y4313">
        <f>1-278-934-4998</f>
        <v>-6209</v>
      </c>
    </row>
    <row r="4314" spans="1:25" x14ac:dyDescent="0.35">
      <c r="A4314">
        <v>41.379533074207302</v>
      </c>
      <c r="B4314">
        <v>-124.33995816942</v>
      </c>
      <c r="C4314" t="s">
        <v>29</v>
      </c>
      <c r="D4314">
        <v>45.90151170211</v>
      </c>
      <c r="E4314">
        <v>9</v>
      </c>
      <c r="F4314">
        <v>3218</v>
      </c>
      <c r="G4314">
        <v>4</v>
      </c>
      <c r="H4314">
        <v>2</v>
      </c>
      <c r="I4314">
        <v>1989</v>
      </c>
      <c r="J4314">
        <v>0</v>
      </c>
      <c r="K4314">
        <v>0</v>
      </c>
      <c r="L4314">
        <v>1</v>
      </c>
      <c r="M4314">
        <v>11</v>
      </c>
      <c r="N4314" t="s">
        <v>37</v>
      </c>
      <c r="O4314" t="s">
        <v>32</v>
      </c>
      <c r="P4314">
        <v>8.6443374434663394</v>
      </c>
      <c r="Q4314">
        <v>2.33925528311882</v>
      </c>
      <c r="R4314">
        <v>4.0670095801027504</v>
      </c>
      <c r="S4314">
        <v>120</v>
      </c>
      <c r="T4314">
        <v>64</v>
      </c>
      <c r="U4314">
        <v>723.75076147109803</v>
      </c>
      <c r="V4314">
        <v>3.4182722187694201E-3</v>
      </c>
      <c r="W4314">
        <v>2619856.8448105799</v>
      </c>
      <c r="X4314" t="s">
        <v>28</v>
      </c>
      <c r="Y4314">
        <f>1-686-313-5551</f>
        <v>-6549</v>
      </c>
    </row>
    <row r="4315" spans="1:25" x14ac:dyDescent="0.35">
      <c r="A4315">
        <v>35.331809223802999</v>
      </c>
      <c r="B4315">
        <v>-115.299992269185</v>
      </c>
      <c r="C4315" t="s">
        <v>25</v>
      </c>
      <c r="D4315">
        <v>5.1980928212009303</v>
      </c>
      <c r="E4315">
        <v>8</v>
      </c>
      <c r="F4315">
        <v>823</v>
      </c>
      <c r="G4315">
        <v>1</v>
      </c>
      <c r="H4315">
        <v>2</v>
      </c>
      <c r="I4315">
        <v>2021</v>
      </c>
      <c r="J4315">
        <v>1</v>
      </c>
      <c r="K4315">
        <v>0</v>
      </c>
      <c r="L4315">
        <v>1</v>
      </c>
      <c r="M4315">
        <v>9</v>
      </c>
      <c r="N4315" t="s">
        <v>37</v>
      </c>
      <c r="O4315" t="s">
        <v>27</v>
      </c>
      <c r="P4315">
        <v>7.5555889790095003</v>
      </c>
      <c r="Q4315">
        <v>0.88413834536404001</v>
      </c>
      <c r="R4315">
        <v>4.5359832120774799</v>
      </c>
      <c r="S4315">
        <v>43</v>
      </c>
      <c r="T4315">
        <v>79</v>
      </c>
      <c r="U4315">
        <v>670.81508777353895</v>
      </c>
      <c r="V4315">
        <v>1.09356014580801E-2</v>
      </c>
      <c r="W4315">
        <v>802003.62670216803</v>
      </c>
      <c r="X4315" t="s">
        <v>31</v>
      </c>
      <c r="Y4315">
        <f>1-509-205-3342</f>
        <v>-4055</v>
      </c>
    </row>
    <row r="4316" spans="1:25" x14ac:dyDescent="0.35">
      <c r="A4316">
        <v>34.350431704051203</v>
      </c>
      <c r="B4316">
        <v>-122.586238769763</v>
      </c>
      <c r="C4316" t="s">
        <v>34</v>
      </c>
      <c r="D4316">
        <v>47.810694982596502</v>
      </c>
      <c r="E4316">
        <v>9</v>
      </c>
      <c r="F4316">
        <v>3901</v>
      </c>
      <c r="G4316">
        <v>2</v>
      </c>
      <c r="H4316">
        <v>1</v>
      </c>
      <c r="I4316">
        <v>1967</v>
      </c>
      <c r="J4316">
        <v>0</v>
      </c>
      <c r="K4316">
        <v>0</v>
      </c>
      <c r="L4316">
        <v>0</v>
      </c>
      <c r="M4316">
        <v>14</v>
      </c>
      <c r="N4316" t="s">
        <v>41</v>
      </c>
      <c r="O4316" t="s">
        <v>27</v>
      </c>
      <c r="P4316">
        <v>7.1240529036565503</v>
      </c>
      <c r="Q4316">
        <v>1.07786163533626</v>
      </c>
      <c r="R4316">
        <v>0.59777767958858996</v>
      </c>
      <c r="S4316">
        <v>140</v>
      </c>
      <c r="T4316">
        <v>21</v>
      </c>
      <c r="U4316">
        <v>729.61495892960397</v>
      </c>
      <c r="V4316">
        <v>3.58882337862086E-3</v>
      </c>
      <c r="W4316">
        <v>2860402.6022033598</v>
      </c>
      <c r="X4316" t="s">
        <v>28</v>
      </c>
      <c r="Y4316">
        <f>1-655-447-1412</f>
        <v>-2513</v>
      </c>
    </row>
    <row r="4317" spans="1:25" x14ac:dyDescent="0.35">
      <c r="A4317">
        <v>38.684140328494301</v>
      </c>
      <c r="B4317">
        <v>-114.538334086736</v>
      </c>
      <c r="C4317" t="s">
        <v>25</v>
      </c>
      <c r="D4317">
        <v>10.0444525108064</v>
      </c>
      <c r="E4317">
        <v>4</v>
      </c>
      <c r="F4317">
        <v>2252</v>
      </c>
      <c r="G4317">
        <v>1</v>
      </c>
      <c r="H4317">
        <v>2</v>
      </c>
      <c r="I4317">
        <v>1964</v>
      </c>
      <c r="J4317">
        <v>1</v>
      </c>
      <c r="K4317">
        <v>0</v>
      </c>
      <c r="L4317">
        <v>1</v>
      </c>
      <c r="M4317">
        <v>13</v>
      </c>
      <c r="N4317" t="s">
        <v>35</v>
      </c>
      <c r="O4317" t="s">
        <v>30</v>
      </c>
      <c r="P4317">
        <v>3.8781219062093499</v>
      </c>
      <c r="Q4317">
        <v>1.8661201209884899</v>
      </c>
      <c r="R4317">
        <v>0.25458031444830898</v>
      </c>
      <c r="S4317">
        <v>161</v>
      </c>
      <c r="T4317">
        <v>47</v>
      </c>
      <c r="U4317">
        <v>929.35525564296995</v>
      </c>
      <c r="V4317">
        <v>5.7726465364120703E-3</v>
      </c>
      <c r="W4317">
        <v>2138240.03047491</v>
      </c>
      <c r="X4317" t="s">
        <v>33</v>
      </c>
      <c r="Y4317">
        <f>1-658-810-8112</f>
        <v>-9579</v>
      </c>
    </row>
    <row r="4318" spans="1:25" x14ac:dyDescent="0.35">
      <c r="A4318">
        <v>41.847187443394503</v>
      </c>
      <c r="B4318">
        <v>-119.523552182237</v>
      </c>
      <c r="C4318" t="s">
        <v>29</v>
      </c>
      <c r="D4318">
        <v>34.3783448151176</v>
      </c>
      <c r="E4318">
        <v>6</v>
      </c>
      <c r="F4318">
        <v>4508</v>
      </c>
      <c r="G4318">
        <v>2</v>
      </c>
      <c r="H4318">
        <v>2</v>
      </c>
      <c r="I4318">
        <v>1959</v>
      </c>
      <c r="J4318">
        <v>1</v>
      </c>
      <c r="K4318">
        <v>0</v>
      </c>
      <c r="L4318">
        <v>1</v>
      </c>
      <c r="M4318">
        <v>4</v>
      </c>
      <c r="N4318" t="s">
        <v>41</v>
      </c>
      <c r="O4318" t="s">
        <v>27</v>
      </c>
      <c r="P4318">
        <v>7.3161206662738998</v>
      </c>
      <c r="Q4318">
        <v>0.98063289960066202</v>
      </c>
      <c r="R4318">
        <v>2.0234393866465101</v>
      </c>
      <c r="S4318">
        <v>95</v>
      </c>
      <c r="T4318">
        <v>78</v>
      </c>
      <c r="U4318">
        <v>210.81510246234299</v>
      </c>
      <c r="V4318">
        <v>8.8731144631765699E-4</v>
      </c>
      <c r="W4318">
        <v>1071634.29826671</v>
      </c>
      <c r="X4318" t="s">
        <v>40</v>
      </c>
      <c r="Y4318">
        <f>1-812-356-8651</f>
        <v>-9818</v>
      </c>
    </row>
    <row r="4319" spans="1:25" x14ac:dyDescent="0.35">
      <c r="A4319">
        <v>35.448226338947002</v>
      </c>
      <c r="B4319">
        <v>-122.864908943332</v>
      </c>
      <c r="C4319" t="s">
        <v>25</v>
      </c>
      <c r="D4319">
        <v>30.085400838132301</v>
      </c>
      <c r="E4319">
        <v>0</v>
      </c>
      <c r="F4319">
        <v>4556</v>
      </c>
      <c r="G4319">
        <v>1</v>
      </c>
      <c r="H4319">
        <v>3</v>
      </c>
      <c r="I4319">
        <v>1980</v>
      </c>
      <c r="J4319">
        <v>0</v>
      </c>
      <c r="K4319">
        <v>1</v>
      </c>
      <c r="L4319">
        <v>0</v>
      </c>
      <c r="M4319">
        <v>9</v>
      </c>
      <c r="N4319" t="s">
        <v>41</v>
      </c>
      <c r="O4319" t="s">
        <v>32</v>
      </c>
      <c r="P4319">
        <v>9.0064562478541692</v>
      </c>
      <c r="Q4319">
        <v>2.2684532789695599</v>
      </c>
      <c r="R4319">
        <v>7.3571754030274796</v>
      </c>
      <c r="S4319">
        <v>73</v>
      </c>
      <c r="T4319">
        <v>57</v>
      </c>
      <c r="U4319">
        <v>455.65193131057703</v>
      </c>
      <c r="V4319">
        <v>1.9754170324846301E-3</v>
      </c>
      <c r="W4319">
        <v>2285110.8755788798</v>
      </c>
      <c r="X4319" t="s">
        <v>39</v>
      </c>
      <c r="Y4319">
        <f>1-347-214-2611</f>
        <v>-3171</v>
      </c>
    </row>
    <row r="4320" spans="1:25" x14ac:dyDescent="0.35">
      <c r="A4320">
        <v>32.901571076384599</v>
      </c>
      <c r="B4320">
        <v>-115.82983603289399</v>
      </c>
      <c r="C4320" t="s">
        <v>34</v>
      </c>
      <c r="D4320">
        <v>37.4592044803899</v>
      </c>
      <c r="E4320">
        <v>4</v>
      </c>
      <c r="F4320">
        <v>3481</v>
      </c>
      <c r="G4320">
        <v>3</v>
      </c>
      <c r="H4320">
        <v>3</v>
      </c>
      <c r="I4320">
        <v>2012</v>
      </c>
      <c r="J4320">
        <v>1</v>
      </c>
      <c r="K4320">
        <v>0</v>
      </c>
      <c r="L4320">
        <v>0</v>
      </c>
      <c r="M4320">
        <v>4</v>
      </c>
      <c r="N4320" t="s">
        <v>37</v>
      </c>
      <c r="O4320" t="s">
        <v>32</v>
      </c>
      <c r="P4320">
        <v>5.7084618084284404</v>
      </c>
      <c r="Q4320">
        <v>1.50678238339949</v>
      </c>
      <c r="R4320">
        <v>7.6425247087777404</v>
      </c>
      <c r="S4320">
        <v>9</v>
      </c>
      <c r="T4320">
        <v>41</v>
      </c>
      <c r="U4320">
        <v>368.56290301821798</v>
      </c>
      <c r="V4320">
        <v>1.1490950876185001E-3</v>
      </c>
      <c r="W4320">
        <v>1510662.0627908099</v>
      </c>
      <c r="X4320" t="s">
        <v>39</v>
      </c>
      <c r="Y4320">
        <f>1-639-551-6659</f>
        <v>-7848</v>
      </c>
    </row>
    <row r="4321" spans="1:25" x14ac:dyDescent="0.35">
      <c r="A4321">
        <v>36.9520193277488</v>
      </c>
      <c r="B4321">
        <v>-114.87590736988101</v>
      </c>
      <c r="C4321" t="s">
        <v>34</v>
      </c>
      <c r="D4321">
        <v>16.976962995377399</v>
      </c>
      <c r="E4321">
        <v>9</v>
      </c>
      <c r="F4321">
        <v>1701</v>
      </c>
      <c r="G4321">
        <v>5</v>
      </c>
      <c r="H4321">
        <v>2</v>
      </c>
      <c r="I4321">
        <v>1961</v>
      </c>
      <c r="J4321">
        <v>1</v>
      </c>
      <c r="K4321">
        <v>1</v>
      </c>
      <c r="L4321">
        <v>1</v>
      </c>
      <c r="M4321">
        <v>4</v>
      </c>
      <c r="N4321" t="s">
        <v>26</v>
      </c>
      <c r="O4321" t="s">
        <v>27</v>
      </c>
      <c r="P4321">
        <v>12.439419895743001</v>
      </c>
      <c r="Q4321">
        <v>1.08889741410901</v>
      </c>
      <c r="R4321">
        <v>3.2289639793780398</v>
      </c>
      <c r="S4321">
        <v>21</v>
      </c>
      <c r="T4321">
        <v>41</v>
      </c>
      <c r="U4321">
        <v>661.43319849536294</v>
      </c>
      <c r="V4321">
        <v>2.3515579071134601E-3</v>
      </c>
      <c r="W4321">
        <v>1586945.52629842</v>
      </c>
      <c r="X4321" t="s">
        <v>31</v>
      </c>
      <c r="Y4321">
        <f>1-749-109-3639</f>
        <v>-4496</v>
      </c>
    </row>
    <row r="4322" spans="1:25" x14ac:dyDescent="0.35">
      <c r="A4322">
        <v>39.033309857983703</v>
      </c>
      <c r="B4322">
        <v>-120.602412712788</v>
      </c>
      <c r="C4322" t="s">
        <v>25</v>
      </c>
      <c r="D4322">
        <v>29.475725852868401</v>
      </c>
      <c r="E4322">
        <v>1</v>
      </c>
      <c r="F4322">
        <v>1901</v>
      </c>
      <c r="G4322">
        <v>5</v>
      </c>
      <c r="H4322">
        <v>1</v>
      </c>
      <c r="I4322">
        <v>1967</v>
      </c>
      <c r="J4322">
        <v>1</v>
      </c>
      <c r="K4322">
        <v>1</v>
      </c>
      <c r="L4322">
        <v>0</v>
      </c>
      <c r="M4322">
        <v>4</v>
      </c>
      <c r="N4322" t="s">
        <v>35</v>
      </c>
      <c r="O4322" t="s">
        <v>27</v>
      </c>
      <c r="P4322">
        <v>4.5917889321816103</v>
      </c>
      <c r="Q4322">
        <v>2.0420663105002599</v>
      </c>
      <c r="R4322">
        <v>8.6391264176304308</v>
      </c>
      <c r="S4322">
        <v>165</v>
      </c>
      <c r="T4322">
        <v>26</v>
      </c>
      <c r="U4322">
        <v>476.204365057443</v>
      </c>
      <c r="V4322">
        <v>2.1041557075223501E-3</v>
      </c>
      <c r="W4322">
        <v>1185759.4131770299</v>
      </c>
      <c r="X4322" t="s">
        <v>44</v>
      </c>
      <c r="Y4322">
        <f>1-762-150-8791</f>
        <v>-9702</v>
      </c>
    </row>
    <row r="4323" spans="1:25" x14ac:dyDescent="0.35">
      <c r="A4323">
        <v>35.572550110285803</v>
      </c>
      <c r="B4323">
        <v>-123.300780916515</v>
      </c>
      <c r="C4323" t="s">
        <v>29</v>
      </c>
      <c r="D4323">
        <v>35.156718124274597</v>
      </c>
      <c r="E4323">
        <v>2</v>
      </c>
      <c r="F4323">
        <v>2129</v>
      </c>
      <c r="G4323">
        <v>5</v>
      </c>
      <c r="H4323">
        <v>3</v>
      </c>
      <c r="I4323">
        <v>1968</v>
      </c>
      <c r="J4323">
        <v>1</v>
      </c>
      <c r="K4323">
        <v>0</v>
      </c>
      <c r="L4323">
        <v>0</v>
      </c>
      <c r="M4323">
        <v>2</v>
      </c>
      <c r="N4323" t="s">
        <v>37</v>
      </c>
      <c r="O4323" t="s">
        <v>32</v>
      </c>
      <c r="P4323">
        <v>14.217793702253401</v>
      </c>
      <c r="Q4323">
        <v>1.0435431201746499</v>
      </c>
      <c r="R4323">
        <v>9.3929688145275403</v>
      </c>
      <c r="S4323">
        <v>135</v>
      </c>
      <c r="T4323">
        <v>54</v>
      </c>
      <c r="U4323">
        <v>407.67445866534803</v>
      </c>
      <c r="V4323">
        <v>9.3940817285110298E-4</v>
      </c>
      <c r="W4323">
        <v>1164574.4735737999</v>
      </c>
      <c r="X4323" t="s">
        <v>31</v>
      </c>
      <c r="Y4323">
        <f>1-328-205-9182</f>
        <v>-9714</v>
      </c>
    </row>
    <row r="4324" spans="1:25" x14ac:dyDescent="0.35">
      <c r="A4324">
        <v>40.417547877354203</v>
      </c>
      <c r="B4324">
        <v>-114.426429872903</v>
      </c>
      <c r="C4324" t="s">
        <v>25</v>
      </c>
      <c r="D4324">
        <v>32.181600208572</v>
      </c>
      <c r="E4324">
        <v>4</v>
      </c>
      <c r="F4324">
        <v>1320</v>
      </c>
      <c r="G4324">
        <v>5</v>
      </c>
      <c r="H4324">
        <v>1</v>
      </c>
      <c r="I4324">
        <v>1977</v>
      </c>
      <c r="J4324">
        <v>0</v>
      </c>
      <c r="K4324">
        <v>0</v>
      </c>
      <c r="L4324">
        <v>1</v>
      </c>
      <c r="M4324">
        <v>10</v>
      </c>
      <c r="N4324" t="s">
        <v>35</v>
      </c>
      <c r="O4324" t="s">
        <v>27</v>
      </c>
      <c r="P4324">
        <v>4.7813102915296604</v>
      </c>
      <c r="Q4324">
        <v>1.0777862196944901</v>
      </c>
      <c r="R4324">
        <v>5.2758731918218897</v>
      </c>
      <c r="S4324">
        <v>115</v>
      </c>
      <c r="T4324">
        <v>32</v>
      </c>
      <c r="U4324">
        <v>618.674067143603</v>
      </c>
      <c r="V4324">
        <v>7.5757575757575699E-3</v>
      </c>
      <c r="W4324">
        <v>1097240.98819201</v>
      </c>
      <c r="X4324" t="s">
        <v>44</v>
      </c>
      <c r="Y4324">
        <f>1-948-469-6337</f>
        <v>-7753</v>
      </c>
    </row>
    <row r="4325" spans="1:25" x14ac:dyDescent="0.35">
      <c r="A4325">
        <v>41.830295763598599</v>
      </c>
      <c r="B4325">
        <v>-114.965564666717</v>
      </c>
      <c r="C4325" t="s">
        <v>34</v>
      </c>
      <c r="D4325">
        <v>32.987583310174202</v>
      </c>
      <c r="E4325">
        <v>4</v>
      </c>
      <c r="F4325">
        <v>2550</v>
      </c>
      <c r="G4325">
        <v>5</v>
      </c>
      <c r="H4325">
        <v>1</v>
      </c>
      <c r="I4325">
        <v>2014</v>
      </c>
      <c r="J4325">
        <v>0</v>
      </c>
      <c r="K4325">
        <v>0</v>
      </c>
      <c r="L4325">
        <v>1</v>
      </c>
      <c r="M4325">
        <v>11</v>
      </c>
      <c r="N4325" t="s">
        <v>35</v>
      </c>
      <c r="O4325" t="s">
        <v>27</v>
      </c>
      <c r="P4325">
        <v>5.1988799994051904</v>
      </c>
      <c r="Q4325">
        <v>1.4334258012282901</v>
      </c>
      <c r="R4325">
        <v>2.73395643171306</v>
      </c>
      <c r="S4325">
        <v>14</v>
      </c>
      <c r="T4325">
        <v>54</v>
      </c>
      <c r="U4325">
        <v>409.41055643027602</v>
      </c>
      <c r="V4325">
        <v>4.3137254901960704E-3</v>
      </c>
      <c r="W4325">
        <v>1336077.0385324401</v>
      </c>
      <c r="X4325" t="s">
        <v>44</v>
      </c>
      <c r="Y4325">
        <f>1-716-836-2194</f>
        <v>-3745</v>
      </c>
    </row>
    <row r="4326" spans="1:25" x14ac:dyDescent="0.35">
      <c r="A4326">
        <v>33.301610053202197</v>
      </c>
      <c r="B4326">
        <v>-122.111206494827</v>
      </c>
      <c r="C4326" t="s">
        <v>34</v>
      </c>
      <c r="D4326">
        <v>29.328260926262502</v>
      </c>
      <c r="E4326">
        <v>8</v>
      </c>
      <c r="F4326">
        <v>1255</v>
      </c>
      <c r="G4326">
        <v>1</v>
      </c>
      <c r="H4326">
        <v>2</v>
      </c>
      <c r="I4326">
        <v>2014</v>
      </c>
      <c r="J4326">
        <v>1</v>
      </c>
      <c r="K4326">
        <v>1</v>
      </c>
      <c r="L4326">
        <v>1</v>
      </c>
      <c r="M4326">
        <v>4</v>
      </c>
      <c r="N4326" t="s">
        <v>41</v>
      </c>
      <c r="O4326" t="s">
        <v>30</v>
      </c>
      <c r="P4326">
        <v>11.169138418982101</v>
      </c>
      <c r="Q4326">
        <v>1.20341692831164</v>
      </c>
      <c r="R4326">
        <v>6.7365420014834099</v>
      </c>
      <c r="S4326">
        <v>122</v>
      </c>
      <c r="T4326">
        <v>23</v>
      </c>
      <c r="U4326">
        <v>732.393945302975</v>
      </c>
      <c r="V4326">
        <v>3.1872509960159299E-3</v>
      </c>
      <c r="W4326">
        <v>1345957.3764300901</v>
      </c>
      <c r="X4326" t="s">
        <v>28</v>
      </c>
      <c r="Y4326">
        <f>1-865-295-6067</f>
        <v>-7226</v>
      </c>
    </row>
    <row r="4327" spans="1:25" x14ac:dyDescent="0.35">
      <c r="A4327">
        <v>41.723922308812497</v>
      </c>
      <c r="B4327">
        <v>-122.250220642735</v>
      </c>
      <c r="C4327" t="s">
        <v>25</v>
      </c>
      <c r="D4327">
        <v>10.0794164513133</v>
      </c>
      <c r="E4327">
        <v>3</v>
      </c>
      <c r="F4327">
        <v>2163</v>
      </c>
      <c r="G4327">
        <v>1</v>
      </c>
      <c r="H4327">
        <v>3</v>
      </c>
      <c r="I4327">
        <v>1958</v>
      </c>
      <c r="J4327">
        <v>1</v>
      </c>
      <c r="K4327">
        <v>0</v>
      </c>
      <c r="L4327">
        <v>1</v>
      </c>
      <c r="M4327">
        <v>6</v>
      </c>
      <c r="N4327" t="s">
        <v>37</v>
      </c>
      <c r="O4327" t="s">
        <v>32</v>
      </c>
      <c r="P4327">
        <v>6.8647412881674104</v>
      </c>
      <c r="Q4327">
        <v>1.8284085727714701</v>
      </c>
      <c r="R4327">
        <v>1.14670424008922</v>
      </c>
      <c r="S4327">
        <v>97</v>
      </c>
      <c r="T4327">
        <v>65</v>
      </c>
      <c r="U4327">
        <v>376.02139946004797</v>
      </c>
      <c r="V4327">
        <v>2.7739251040221902E-3</v>
      </c>
      <c r="W4327">
        <v>962709.40682543197</v>
      </c>
      <c r="X4327" t="s">
        <v>39</v>
      </c>
      <c r="Y4327">
        <f>1-776-522-1066</f>
        <v>-2363</v>
      </c>
    </row>
    <row r="4328" spans="1:25" x14ac:dyDescent="0.35">
      <c r="A4328">
        <v>38.977031871783502</v>
      </c>
      <c r="B4328">
        <v>-118.84731437681501</v>
      </c>
      <c r="C4328" t="s">
        <v>25</v>
      </c>
      <c r="D4328">
        <v>14.1868964933334</v>
      </c>
      <c r="E4328">
        <v>6</v>
      </c>
      <c r="F4328">
        <v>1503</v>
      </c>
      <c r="G4328">
        <v>4</v>
      </c>
      <c r="H4328">
        <v>2</v>
      </c>
      <c r="I4328">
        <v>2016</v>
      </c>
      <c r="J4328">
        <v>1</v>
      </c>
      <c r="K4328">
        <v>0</v>
      </c>
      <c r="L4328">
        <v>1</v>
      </c>
      <c r="M4328">
        <v>3</v>
      </c>
      <c r="N4328" t="s">
        <v>37</v>
      </c>
      <c r="O4328" t="s">
        <v>30</v>
      </c>
      <c r="P4328">
        <v>10.893476341647601</v>
      </c>
      <c r="Q4328">
        <v>1.1845547675678401</v>
      </c>
      <c r="R4328">
        <v>2.33718467534682</v>
      </c>
      <c r="S4328">
        <v>3</v>
      </c>
      <c r="T4328">
        <v>43</v>
      </c>
      <c r="U4328">
        <v>216.097067690746</v>
      </c>
      <c r="V4328">
        <v>1.9960079840319299E-3</v>
      </c>
      <c r="W4328">
        <v>769039.53469412995</v>
      </c>
      <c r="X4328" t="s">
        <v>39</v>
      </c>
      <c r="Y4328">
        <f>1-520-808-4676</f>
        <v>-6003</v>
      </c>
    </row>
    <row r="4329" spans="1:25" x14ac:dyDescent="0.35">
      <c r="A4329">
        <v>33.7215515514687</v>
      </c>
      <c r="B4329">
        <v>-117.94716934159101</v>
      </c>
      <c r="C4329" t="s">
        <v>29</v>
      </c>
      <c r="D4329">
        <v>33.9659705142424</v>
      </c>
      <c r="E4329">
        <v>6</v>
      </c>
      <c r="F4329">
        <v>1232</v>
      </c>
      <c r="G4329">
        <v>4</v>
      </c>
      <c r="H4329">
        <v>1</v>
      </c>
      <c r="I4329">
        <v>1957</v>
      </c>
      <c r="J4329">
        <v>1</v>
      </c>
      <c r="K4329">
        <v>1</v>
      </c>
      <c r="L4329">
        <v>0</v>
      </c>
      <c r="M4329">
        <v>6</v>
      </c>
      <c r="N4329" t="s">
        <v>26</v>
      </c>
      <c r="O4329" t="s">
        <v>27</v>
      </c>
      <c r="P4329">
        <v>2.3353136138370401</v>
      </c>
      <c r="Q4329">
        <v>1.49752975771997</v>
      </c>
      <c r="R4329">
        <v>1.28095205243357</v>
      </c>
      <c r="S4329">
        <v>173</v>
      </c>
      <c r="T4329">
        <v>77</v>
      </c>
      <c r="U4329">
        <v>293.19986425786198</v>
      </c>
      <c r="V4329">
        <v>4.87012987012987E-3</v>
      </c>
      <c r="W4329">
        <v>698828.27925478399</v>
      </c>
      <c r="X4329" t="s">
        <v>33</v>
      </c>
      <c r="Y4329">
        <f>1-296-884-7347</f>
        <v>-8526</v>
      </c>
    </row>
    <row r="4330" spans="1:25" x14ac:dyDescent="0.35">
      <c r="A4330">
        <v>40.108916189375499</v>
      </c>
      <c r="B4330">
        <v>-122.09516275768</v>
      </c>
      <c r="C4330" t="s">
        <v>25</v>
      </c>
      <c r="D4330">
        <v>24.0634568053575</v>
      </c>
      <c r="E4330">
        <v>4</v>
      </c>
      <c r="F4330">
        <v>3712</v>
      </c>
      <c r="G4330">
        <v>3</v>
      </c>
      <c r="H4330">
        <v>3</v>
      </c>
      <c r="I4330">
        <v>2015</v>
      </c>
      <c r="J4330">
        <v>0</v>
      </c>
      <c r="K4330">
        <v>0</v>
      </c>
      <c r="L4330">
        <v>0</v>
      </c>
      <c r="M4330">
        <v>2</v>
      </c>
      <c r="N4330" t="s">
        <v>41</v>
      </c>
      <c r="O4330" t="s">
        <v>30</v>
      </c>
      <c r="P4330">
        <v>7.5709533633484902</v>
      </c>
      <c r="Q4330">
        <v>2.0860511572676201</v>
      </c>
      <c r="R4330">
        <v>2.6655370695615299</v>
      </c>
      <c r="S4330">
        <v>155</v>
      </c>
      <c r="T4330">
        <v>33</v>
      </c>
      <c r="U4330">
        <v>967.89364875904903</v>
      </c>
      <c r="V4330">
        <v>5.3879310344827499E-4</v>
      </c>
      <c r="W4330">
        <v>3849049.2290426898</v>
      </c>
      <c r="X4330" t="s">
        <v>40</v>
      </c>
      <c r="Y4330">
        <f>1-542-313-9075</f>
        <v>-9929</v>
      </c>
    </row>
    <row r="4331" spans="1:25" x14ac:dyDescent="0.35">
      <c r="A4331">
        <v>40.273058848861801</v>
      </c>
      <c r="B4331">
        <v>-123.80185452412201</v>
      </c>
      <c r="C4331" t="s">
        <v>29</v>
      </c>
      <c r="D4331">
        <v>46.075064283494498</v>
      </c>
      <c r="E4331">
        <v>2</v>
      </c>
      <c r="F4331">
        <v>2282</v>
      </c>
      <c r="G4331">
        <v>4</v>
      </c>
      <c r="H4331">
        <v>1</v>
      </c>
      <c r="I4331">
        <v>1975</v>
      </c>
      <c r="J4331">
        <v>1</v>
      </c>
      <c r="K4331">
        <v>1</v>
      </c>
      <c r="L4331">
        <v>1</v>
      </c>
      <c r="M4331">
        <v>5</v>
      </c>
      <c r="N4331" t="s">
        <v>26</v>
      </c>
      <c r="O4331" t="s">
        <v>27</v>
      </c>
      <c r="P4331">
        <v>12.556060650324</v>
      </c>
      <c r="Q4331">
        <v>2.3581025601068202</v>
      </c>
      <c r="R4331">
        <v>7.0107051870531398</v>
      </c>
      <c r="S4331">
        <v>39</v>
      </c>
      <c r="T4331">
        <v>33</v>
      </c>
      <c r="U4331">
        <v>234.88767225811901</v>
      </c>
      <c r="V4331">
        <v>2.1910604732690601E-3</v>
      </c>
      <c r="W4331">
        <v>1028680.9147466</v>
      </c>
      <c r="X4331" t="s">
        <v>43</v>
      </c>
      <c r="Y4331">
        <f>1-527-910-7294</f>
        <v>-8730</v>
      </c>
    </row>
    <row r="4332" spans="1:25" x14ac:dyDescent="0.35">
      <c r="A4332">
        <v>36.9027023221322</v>
      </c>
      <c r="B4332">
        <v>-123.38335036241401</v>
      </c>
      <c r="C4332" t="s">
        <v>34</v>
      </c>
      <c r="D4332">
        <v>14.0231880051813</v>
      </c>
      <c r="E4332">
        <v>0</v>
      </c>
      <c r="F4332">
        <v>1409</v>
      </c>
      <c r="G4332">
        <v>5</v>
      </c>
      <c r="H4332">
        <v>3</v>
      </c>
      <c r="I4332">
        <v>1999</v>
      </c>
      <c r="J4332">
        <v>1</v>
      </c>
      <c r="K4332">
        <v>1</v>
      </c>
      <c r="L4332">
        <v>1</v>
      </c>
      <c r="M4332">
        <v>14</v>
      </c>
      <c r="N4332" t="s">
        <v>41</v>
      </c>
      <c r="O4332" t="s">
        <v>32</v>
      </c>
      <c r="P4332">
        <v>14.065235220665899</v>
      </c>
      <c r="Q4332">
        <v>1.1281081637155801</v>
      </c>
      <c r="R4332">
        <v>8.9939896901222003</v>
      </c>
      <c r="S4332">
        <v>8</v>
      </c>
      <c r="T4332">
        <v>49</v>
      </c>
      <c r="U4332">
        <v>889.85811347168999</v>
      </c>
      <c r="V4332">
        <v>9.9361249112845992E-3</v>
      </c>
      <c r="W4332">
        <v>1789988.4695812301</v>
      </c>
      <c r="X4332" t="s">
        <v>33</v>
      </c>
      <c r="Y4332">
        <f>1-356-815-7005</f>
        <v>-8175</v>
      </c>
    </row>
    <row r="4333" spans="1:25" x14ac:dyDescent="0.35">
      <c r="A4333">
        <v>41.222090370796302</v>
      </c>
      <c r="B4333">
        <v>-117.018178343491</v>
      </c>
      <c r="C4333" t="s">
        <v>34</v>
      </c>
      <c r="D4333">
        <v>45.172559364611601</v>
      </c>
      <c r="E4333">
        <v>3</v>
      </c>
      <c r="F4333">
        <v>4515</v>
      </c>
      <c r="G4333">
        <v>5</v>
      </c>
      <c r="H4333">
        <v>2</v>
      </c>
      <c r="I4333">
        <v>1974</v>
      </c>
      <c r="J4333">
        <v>0</v>
      </c>
      <c r="K4333">
        <v>0</v>
      </c>
      <c r="L4333">
        <v>0</v>
      </c>
      <c r="M4333">
        <v>7</v>
      </c>
      <c r="N4333" t="s">
        <v>35</v>
      </c>
      <c r="O4333" t="s">
        <v>30</v>
      </c>
      <c r="P4333">
        <v>6.2409028955391399</v>
      </c>
      <c r="Q4333">
        <v>0.60648258939927902</v>
      </c>
      <c r="R4333">
        <v>1.0485759026360699</v>
      </c>
      <c r="S4333">
        <v>116</v>
      </c>
      <c r="T4333">
        <v>69</v>
      </c>
      <c r="U4333">
        <v>725.17594936626006</v>
      </c>
      <c r="V4333">
        <v>1.55038759689922E-3</v>
      </c>
      <c r="W4333">
        <v>3545348.9720819201</v>
      </c>
      <c r="X4333" t="s">
        <v>44</v>
      </c>
      <c r="Y4333">
        <f>1-837-685-1254</f>
        <v>-2775</v>
      </c>
    </row>
    <row r="4334" spans="1:25" x14ac:dyDescent="0.35">
      <c r="A4334">
        <v>40.066125325810603</v>
      </c>
      <c r="B4334">
        <v>-116.136479952166</v>
      </c>
      <c r="C4334" t="s">
        <v>34</v>
      </c>
      <c r="D4334">
        <v>46.800379730036198</v>
      </c>
      <c r="E4334">
        <v>1</v>
      </c>
      <c r="F4334">
        <v>3824</v>
      </c>
      <c r="G4334">
        <v>4</v>
      </c>
      <c r="H4334">
        <v>1</v>
      </c>
      <c r="I4334">
        <v>1976</v>
      </c>
      <c r="J4334">
        <v>0</v>
      </c>
      <c r="K4334">
        <v>0</v>
      </c>
      <c r="L4334">
        <v>1</v>
      </c>
      <c r="M4334">
        <v>6</v>
      </c>
      <c r="N4334" t="s">
        <v>37</v>
      </c>
      <c r="O4334" t="s">
        <v>32</v>
      </c>
      <c r="P4334">
        <v>12.181729316663599</v>
      </c>
      <c r="Q4334">
        <v>1.2912454216759299</v>
      </c>
      <c r="R4334">
        <v>6.8528087384669503</v>
      </c>
      <c r="S4334">
        <v>39</v>
      </c>
      <c r="T4334">
        <v>65</v>
      </c>
      <c r="U4334">
        <v>716.67581769172</v>
      </c>
      <c r="V4334">
        <v>1.56903765690376E-3</v>
      </c>
      <c r="W4334">
        <v>3049366.9331745501</v>
      </c>
      <c r="X4334" t="s">
        <v>31</v>
      </c>
      <c r="Y4334">
        <f>1-412-964-1447</f>
        <v>-2822</v>
      </c>
    </row>
    <row r="4335" spans="1:25" x14ac:dyDescent="0.35">
      <c r="A4335">
        <v>34.981050082630702</v>
      </c>
      <c r="B4335">
        <v>-121.44016595582799</v>
      </c>
      <c r="C4335" t="s">
        <v>34</v>
      </c>
      <c r="D4335">
        <v>29.7203903575233</v>
      </c>
      <c r="E4335">
        <v>4</v>
      </c>
      <c r="F4335">
        <v>2818</v>
      </c>
      <c r="G4335">
        <v>4</v>
      </c>
      <c r="H4335">
        <v>3</v>
      </c>
      <c r="I4335">
        <v>1962</v>
      </c>
      <c r="J4335">
        <v>0</v>
      </c>
      <c r="K4335">
        <v>0</v>
      </c>
      <c r="L4335">
        <v>1</v>
      </c>
      <c r="M4335">
        <v>3</v>
      </c>
      <c r="N4335" t="s">
        <v>35</v>
      </c>
      <c r="O4335" t="s">
        <v>32</v>
      </c>
      <c r="P4335">
        <v>11.8525711642337</v>
      </c>
      <c r="Q4335">
        <v>1.0284625583420499</v>
      </c>
      <c r="R4335">
        <v>6.0668912264002497</v>
      </c>
      <c r="S4335">
        <v>115</v>
      </c>
      <c r="T4335">
        <v>24</v>
      </c>
      <c r="U4335">
        <v>822.48712529986801</v>
      </c>
      <c r="V4335">
        <v>1.0645848119233399E-3</v>
      </c>
      <c r="W4335">
        <v>2554948.6216536402</v>
      </c>
      <c r="X4335" t="s">
        <v>31</v>
      </c>
      <c r="Y4335">
        <f>1-570-515-6665</f>
        <v>-7749</v>
      </c>
    </row>
    <row r="4336" spans="1:25" x14ac:dyDescent="0.35">
      <c r="A4336">
        <v>37.026353605671197</v>
      </c>
      <c r="B4336">
        <v>-116.68278688438301</v>
      </c>
      <c r="C4336" t="s">
        <v>29</v>
      </c>
      <c r="D4336">
        <v>7.2332513840171204</v>
      </c>
      <c r="E4336">
        <v>3</v>
      </c>
      <c r="F4336">
        <v>3465</v>
      </c>
      <c r="G4336">
        <v>2</v>
      </c>
      <c r="H4336">
        <v>1</v>
      </c>
      <c r="I4336">
        <v>1952</v>
      </c>
      <c r="J4336">
        <v>1</v>
      </c>
      <c r="K4336">
        <v>1</v>
      </c>
      <c r="L4336">
        <v>0</v>
      </c>
      <c r="M4336">
        <v>12</v>
      </c>
      <c r="N4336" t="s">
        <v>26</v>
      </c>
      <c r="O4336" t="s">
        <v>30</v>
      </c>
      <c r="P4336">
        <v>11.647866932876401</v>
      </c>
      <c r="Q4336">
        <v>2.0203596143432998</v>
      </c>
      <c r="R4336">
        <v>5.3754748973602897</v>
      </c>
      <c r="S4336">
        <v>175</v>
      </c>
      <c r="T4336">
        <v>60</v>
      </c>
      <c r="U4336">
        <v>676.26445431416403</v>
      </c>
      <c r="V4336">
        <v>3.4632034632034602E-3</v>
      </c>
      <c r="W4336">
        <v>2515432.4677762999</v>
      </c>
      <c r="X4336" t="s">
        <v>31</v>
      </c>
      <c r="Y4336">
        <f>1-812-728-1942</f>
        <v>-3481</v>
      </c>
    </row>
    <row r="4337" spans="1:25" x14ac:dyDescent="0.35">
      <c r="A4337">
        <v>34.905985494621298</v>
      </c>
      <c r="B4337">
        <v>-114.237300246844</v>
      </c>
      <c r="C4337" t="s">
        <v>25</v>
      </c>
      <c r="D4337">
        <v>22.728120238764902</v>
      </c>
      <c r="E4337">
        <v>8</v>
      </c>
      <c r="F4337">
        <v>3552</v>
      </c>
      <c r="G4337">
        <v>4</v>
      </c>
      <c r="H4337">
        <v>1</v>
      </c>
      <c r="I4337">
        <v>1997</v>
      </c>
      <c r="J4337">
        <v>1</v>
      </c>
      <c r="K4337">
        <v>0</v>
      </c>
      <c r="L4337">
        <v>1</v>
      </c>
      <c r="M4337">
        <v>6</v>
      </c>
      <c r="N4337" t="s">
        <v>37</v>
      </c>
      <c r="O4337" t="s">
        <v>30</v>
      </c>
      <c r="P4337">
        <v>5.6847138700635798</v>
      </c>
      <c r="Q4337">
        <v>2.3437228531393299</v>
      </c>
      <c r="R4337">
        <v>7.56882755761987</v>
      </c>
      <c r="S4337">
        <v>91</v>
      </c>
      <c r="T4337">
        <v>28</v>
      </c>
      <c r="U4337">
        <v>433.00405483117999</v>
      </c>
      <c r="V4337">
        <v>1.68918918918918E-3</v>
      </c>
      <c r="W4337">
        <v>1874406.1989923499</v>
      </c>
      <c r="X4337" t="s">
        <v>38</v>
      </c>
      <c r="Y4337">
        <f>1-990-547-3555</f>
        <v>-5091</v>
      </c>
    </row>
    <row r="4338" spans="1:25" x14ac:dyDescent="0.35">
      <c r="A4338">
        <v>37.284517498091098</v>
      </c>
      <c r="B4338">
        <v>-117.632447314055</v>
      </c>
      <c r="C4338" t="s">
        <v>29</v>
      </c>
      <c r="D4338">
        <v>48.393809260955102</v>
      </c>
      <c r="E4338">
        <v>9</v>
      </c>
      <c r="F4338">
        <v>1417</v>
      </c>
      <c r="G4338">
        <v>1</v>
      </c>
      <c r="H4338">
        <v>1</v>
      </c>
      <c r="I4338">
        <v>1958</v>
      </c>
      <c r="J4338">
        <v>1</v>
      </c>
      <c r="K4338">
        <v>1</v>
      </c>
      <c r="L4338">
        <v>0</v>
      </c>
      <c r="M4338">
        <v>7</v>
      </c>
      <c r="N4338" t="s">
        <v>37</v>
      </c>
      <c r="O4338" t="s">
        <v>32</v>
      </c>
      <c r="P4338">
        <v>4.5713621652851497</v>
      </c>
      <c r="Q4338">
        <v>1.0057748380662801</v>
      </c>
      <c r="R4338">
        <v>3.2726369390504702</v>
      </c>
      <c r="S4338">
        <v>13</v>
      </c>
      <c r="T4338">
        <v>52</v>
      </c>
      <c r="U4338">
        <v>616.49402473021701</v>
      </c>
      <c r="V4338">
        <v>4.9400141143260403E-3</v>
      </c>
      <c r="W4338">
        <v>1001797.22773914</v>
      </c>
      <c r="X4338" t="s">
        <v>43</v>
      </c>
      <c r="Y4338">
        <f>1-771-188-4720</f>
        <v>-5678</v>
      </c>
    </row>
    <row r="4339" spans="1:25" x14ac:dyDescent="0.35">
      <c r="A4339">
        <v>35.451620231118902</v>
      </c>
      <c r="B4339">
        <v>-115.628066869178</v>
      </c>
      <c r="C4339" t="s">
        <v>29</v>
      </c>
      <c r="D4339">
        <v>7.9551826958509499</v>
      </c>
      <c r="E4339">
        <v>3</v>
      </c>
      <c r="F4339">
        <v>3171</v>
      </c>
      <c r="G4339">
        <v>1</v>
      </c>
      <c r="H4339">
        <v>1</v>
      </c>
      <c r="I4339">
        <v>1968</v>
      </c>
      <c r="J4339">
        <v>1</v>
      </c>
      <c r="K4339">
        <v>0</v>
      </c>
      <c r="L4339">
        <v>1</v>
      </c>
      <c r="M4339">
        <v>2</v>
      </c>
      <c r="N4339" t="s">
        <v>41</v>
      </c>
      <c r="O4339" t="s">
        <v>30</v>
      </c>
      <c r="P4339">
        <v>4.9531976516759997</v>
      </c>
      <c r="Q4339">
        <v>0.54403202290184904</v>
      </c>
      <c r="R4339">
        <v>0.92863051825558396</v>
      </c>
      <c r="S4339">
        <v>190</v>
      </c>
      <c r="T4339">
        <v>62</v>
      </c>
      <c r="U4339">
        <v>381.53885314809003</v>
      </c>
      <c r="V4339">
        <v>6.3071586250394197E-4</v>
      </c>
      <c r="W4339">
        <v>1304501.8610318601</v>
      </c>
      <c r="X4339" t="s">
        <v>33</v>
      </c>
      <c r="Y4339">
        <f>1-716-532-9786</f>
        <v>-11033</v>
      </c>
    </row>
    <row r="4340" spans="1:25" x14ac:dyDescent="0.35">
      <c r="A4340">
        <v>40.4430479055126</v>
      </c>
      <c r="B4340">
        <v>-121.911904156823</v>
      </c>
      <c r="C4340" t="s">
        <v>29</v>
      </c>
      <c r="D4340">
        <v>15.052031623429899</v>
      </c>
      <c r="E4340">
        <v>8</v>
      </c>
      <c r="F4340">
        <v>3074</v>
      </c>
      <c r="G4340">
        <v>5</v>
      </c>
      <c r="H4340">
        <v>1</v>
      </c>
      <c r="I4340">
        <v>1968</v>
      </c>
      <c r="J4340">
        <v>0</v>
      </c>
      <c r="K4340">
        <v>0</v>
      </c>
      <c r="L4340">
        <v>1</v>
      </c>
      <c r="M4340">
        <v>7</v>
      </c>
      <c r="N4340" t="s">
        <v>37</v>
      </c>
      <c r="O4340" t="s">
        <v>30</v>
      </c>
      <c r="P4340">
        <v>10.906898092189101</v>
      </c>
      <c r="Q4340">
        <v>1.29189474609848</v>
      </c>
      <c r="R4340">
        <v>9.9724570890591195</v>
      </c>
      <c r="S4340">
        <v>116</v>
      </c>
      <c r="T4340">
        <v>53</v>
      </c>
      <c r="U4340">
        <v>562.24341964402004</v>
      </c>
      <c r="V4340">
        <v>2.27716330513988E-3</v>
      </c>
      <c r="W4340">
        <v>2012025.2935402</v>
      </c>
      <c r="X4340" t="s">
        <v>28</v>
      </c>
      <c r="Y4340">
        <f>1-248-730-8246</f>
        <v>-9223</v>
      </c>
    </row>
    <row r="4341" spans="1:25" x14ac:dyDescent="0.35">
      <c r="A4341">
        <v>39.112026304623598</v>
      </c>
      <c r="B4341">
        <v>-123.357703811512</v>
      </c>
      <c r="C4341" t="s">
        <v>34</v>
      </c>
      <c r="D4341">
        <v>21.7002070174895</v>
      </c>
      <c r="E4341">
        <v>6</v>
      </c>
      <c r="F4341">
        <v>3811</v>
      </c>
      <c r="G4341">
        <v>5</v>
      </c>
      <c r="H4341">
        <v>3</v>
      </c>
      <c r="I4341">
        <v>1955</v>
      </c>
      <c r="J4341">
        <v>0</v>
      </c>
      <c r="K4341">
        <v>0</v>
      </c>
      <c r="L4341">
        <v>1</v>
      </c>
      <c r="M4341">
        <v>4</v>
      </c>
      <c r="N4341" t="s">
        <v>26</v>
      </c>
      <c r="O4341" t="s">
        <v>32</v>
      </c>
      <c r="P4341">
        <v>14.3269091684709</v>
      </c>
      <c r="Q4341">
        <v>2.3874213595694802</v>
      </c>
      <c r="R4341">
        <v>5.2422797340935299</v>
      </c>
      <c r="S4341">
        <v>137</v>
      </c>
      <c r="T4341">
        <v>58</v>
      </c>
      <c r="U4341">
        <v>493.43088251193501</v>
      </c>
      <c r="V4341">
        <v>1.04959328260299E-3</v>
      </c>
      <c r="W4341">
        <v>2301242.7831074102</v>
      </c>
      <c r="X4341" t="s">
        <v>43</v>
      </c>
      <c r="Y4341">
        <f>1-318-314-3071</f>
        <v>-3702</v>
      </c>
    </row>
    <row r="4342" spans="1:25" x14ac:dyDescent="0.35">
      <c r="A4342">
        <v>37.739129434182701</v>
      </c>
      <c r="B4342">
        <v>-118.35779437187399</v>
      </c>
      <c r="C4342" t="s">
        <v>25</v>
      </c>
      <c r="D4342">
        <v>21.1033811306187</v>
      </c>
      <c r="E4342">
        <v>1</v>
      </c>
      <c r="F4342">
        <v>2332</v>
      </c>
      <c r="G4342">
        <v>1</v>
      </c>
      <c r="H4342">
        <v>1</v>
      </c>
      <c r="I4342">
        <v>1997</v>
      </c>
      <c r="J4342">
        <v>0</v>
      </c>
      <c r="K4342">
        <v>1</v>
      </c>
      <c r="L4342">
        <v>0</v>
      </c>
      <c r="M4342">
        <v>8</v>
      </c>
      <c r="N4342" t="s">
        <v>26</v>
      </c>
      <c r="O4342" t="s">
        <v>30</v>
      </c>
      <c r="P4342">
        <v>4.3164040606659997</v>
      </c>
      <c r="Q4342">
        <v>0.65596729245080698</v>
      </c>
      <c r="R4342">
        <v>6.1473673988268498</v>
      </c>
      <c r="S4342">
        <v>162</v>
      </c>
      <c r="T4342">
        <v>27</v>
      </c>
      <c r="U4342">
        <v>704.00139461832703</v>
      </c>
      <c r="V4342">
        <v>3.43053173241852E-3</v>
      </c>
      <c r="W4342">
        <v>1747038.50234065</v>
      </c>
      <c r="X4342" t="s">
        <v>39</v>
      </c>
      <c r="Y4342">
        <f>1-344-994-6186</f>
        <v>-7523</v>
      </c>
    </row>
    <row r="4343" spans="1:25" x14ac:dyDescent="0.35">
      <c r="A4343">
        <v>39.4536997205917</v>
      </c>
      <c r="B4343">
        <v>-121.649389132293</v>
      </c>
      <c r="C4343" t="s">
        <v>34</v>
      </c>
      <c r="D4343">
        <v>1.2204221276696099</v>
      </c>
      <c r="E4343">
        <v>7</v>
      </c>
      <c r="F4343">
        <v>4663</v>
      </c>
      <c r="G4343">
        <v>5</v>
      </c>
      <c r="H4343">
        <v>2</v>
      </c>
      <c r="I4343">
        <v>1990</v>
      </c>
      <c r="J4343">
        <v>1</v>
      </c>
      <c r="K4343">
        <v>1</v>
      </c>
      <c r="L4343">
        <v>0</v>
      </c>
      <c r="M4343">
        <v>3</v>
      </c>
      <c r="N4343" t="s">
        <v>41</v>
      </c>
      <c r="O4343" t="s">
        <v>32</v>
      </c>
      <c r="P4343">
        <v>13.2978236336221</v>
      </c>
      <c r="Q4343">
        <v>0.60785944673535397</v>
      </c>
      <c r="R4343">
        <v>2.33354588433926</v>
      </c>
      <c r="S4343">
        <v>30</v>
      </c>
      <c r="T4343">
        <v>43</v>
      </c>
      <c r="U4343">
        <v>570.55468265078605</v>
      </c>
      <c r="V4343">
        <v>6.4336264207591595E-4</v>
      </c>
      <c r="W4343">
        <v>3251375.5689644199</v>
      </c>
      <c r="X4343" t="s">
        <v>33</v>
      </c>
      <c r="Y4343">
        <f>1-604-790-5673</f>
        <v>-7066</v>
      </c>
    </row>
    <row r="4344" spans="1:25" x14ac:dyDescent="0.35">
      <c r="A4344">
        <v>40.696181978318798</v>
      </c>
      <c r="B4344">
        <v>-118.236144831752</v>
      </c>
      <c r="C4344" t="s">
        <v>25</v>
      </c>
      <c r="D4344">
        <v>40.018245081254797</v>
      </c>
      <c r="E4344">
        <v>7</v>
      </c>
      <c r="F4344">
        <v>3887</v>
      </c>
      <c r="G4344">
        <v>1</v>
      </c>
      <c r="H4344">
        <v>1</v>
      </c>
      <c r="I4344">
        <v>1993</v>
      </c>
      <c r="J4344">
        <v>0</v>
      </c>
      <c r="K4344">
        <v>0</v>
      </c>
      <c r="L4344">
        <v>1</v>
      </c>
      <c r="M4344">
        <v>6</v>
      </c>
      <c r="N4344" t="s">
        <v>37</v>
      </c>
      <c r="O4344" t="s">
        <v>30</v>
      </c>
      <c r="P4344">
        <v>3.4591184274510098</v>
      </c>
      <c r="Q4344">
        <v>1.47721490132609</v>
      </c>
      <c r="R4344">
        <v>2.96873053623482</v>
      </c>
      <c r="S4344">
        <v>58</v>
      </c>
      <c r="T4344">
        <v>70</v>
      </c>
      <c r="U4344">
        <v>770.10329937973802</v>
      </c>
      <c r="V4344">
        <v>1.5436068947774599E-3</v>
      </c>
      <c r="W4344">
        <v>3041538.0918849101</v>
      </c>
      <c r="X4344" t="s">
        <v>33</v>
      </c>
      <c r="Y4344">
        <f>1-267-118-2060</f>
        <v>-2444</v>
      </c>
    </row>
    <row r="4345" spans="1:25" x14ac:dyDescent="0.35">
      <c r="A4345">
        <v>40.816293384143897</v>
      </c>
      <c r="B4345">
        <v>-119.791414450302</v>
      </c>
      <c r="C4345" t="s">
        <v>29</v>
      </c>
      <c r="D4345">
        <v>33.017849299327096</v>
      </c>
      <c r="E4345">
        <v>5</v>
      </c>
      <c r="F4345">
        <v>2942</v>
      </c>
      <c r="G4345">
        <v>5</v>
      </c>
      <c r="H4345">
        <v>1</v>
      </c>
      <c r="I4345">
        <v>1964</v>
      </c>
      <c r="J4345">
        <v>0</v>
      </c>
      <c r="K4345">
        <v>1</v>
      </c>
      <c r="L4345">
        <v>1</v>
      </c>
      <c r="M4345">
        <v>8</v>
      </c>
      <c r="N4345" t="s">
        <v>41</v>
      </c>
      <c r="O4345" t="s">
        <v>32</v>
      </c>
      <c r="P4345">
        <v>9.9805592969281705</v>
      </c>
      <c r="Q4345">
        <v>1.28056228191994</v>
      </c>
      <c r="R4345">
        <v>6.5141803057493304</v>
      </c>
      <c r="S4345">
        <v>18</v>
      </c>
      <c r="T4345">
        <v>76</v>
      </c>
      <c r="U4345">
        <v>713.60395497532795</v>
      </c>
      <c r="V4345">
        <v>2.7192386131883002E-3</v>
      </c>
      <c r="W4345">
        <v>2493811.0215097498</v>
      </c>
      <c r="X4345" t="s">
        <v>28</v>
      </c>
      <c r="Y4345">
        <f>1-583-546-2682</f>
        <v>-3810</v>
      </c>
    </row>
    <row r="4346" spans="1:25" x14ac:dyDescent="0.35">
      <c r="A4346">
        <v>41.2947675845624</v>
      </c>
      <c r="B4346">
        <v>-121.687422461152</v>
      </c>
      <c r="C4346" t="s">
        <v>25</v>
      </c>
      <c r="D4346">
        <v>30.583047585658001</v>
      </c>
      <c r="E4346">
        <v>4</v>
      </c>
      <c r="F4346">
        <v>4042</v>
      </c>
      <c r="G4346">
        <v>4</v>
      </c>
      <c r="H4346">
        <v>1</v>
      </c>
      <c r="I4346">
        <v>1990</v>
      </c>
      <c r="J4346">
        <v>0</v>
      </c>
      <c r="K4346">
        <v>1</v>
      </c>
      <c r="L4346">
        <v>0</v>
      </c>
      <c r="M4346">
        <v>7</v>
      </c>
      <c r="N4346" t="s">
        <v>37</v>
      </c>
      <c r="O4346" t="s">
        <v>32</v>
      </c>
      <c r="P4346">
        <v>7.3409022348108204</v>
      </c>
      <c r="Q4346">
        <v>0.98050840747260404</v>
      </c>
      <c r="R4346">
        <v>4.0119228379672398</v>
      </c>
      <c r="S4346">
        <v>188</v>
      </c>
      <c r="T4346">
        <v>66</v>
      </c>
      <c r="U4346">
        <v>640.61656078436295</v>
      </c>
      <c r="V4346">
        <v>1.73181593270658E-3</v>
      </c>
      <c r="W4346">
        <v>2915763.45605323</v>
      </c>
      <c r="X4346" t="s">
        <v>33</v>
      </c>
      <c r="Y4346">
        <f>1-930-292-3497</f>
        <v>-4718</v>
      </c>
    </row>
    <row r="4347" spans="1:25" x14ac:dyDescent="0.35">
      <c r="A4347">
        <v>34.197131620774996</v>
      </c>
      <c r="B4347">
        <v>-123.590764233822</v>
      </c>
      <c r="C4347" t="s">
        <v>34</v>
      </c>
      <c r="D4347">
        <v>49.055182228502098</v>
      </c>
      <c r="E4347">
        <v>0</v>
      </c>
      <c r="F4347">
        <v>4769</v>
      </c>
      <c r="G4347">
        <v>4</v>
      </c>
      <c r="H4347">
        <v>3</v>
      </c>
      <c r="I4347">
        <v>1971</v>
      </c>
      <c r="J4347">
        <v>1</v>
      </c>
      <c r="K4347">
        <v>1</v>
      </c>
      <c r="L4347">
        <v>0</v>
      </c>
      <c r="M4347">
        <v>10</v>
      </c>
      <c r="N4347" t="s">
        <v>37</v>
      </c>
      <c r="O4347" t="s">
        <v>27</v>
      </c>
      <c r="P4347">
        <v>9.6423342827271803</v>
      </c>
      <c r="Q4347">
        <v>1.4218688913856701</v>
      </c>
      <c r="R4347">
        <v>0.90154617520390301</v>
      </c>
      <c r="S4347">
        <v>14</v>
      </c>
      <c r="T4347">
        <v>41</v>
      </c>
      <c r="U4347">
        <v>535.70574617475597</v>
      </c>
      <c r="V4347">
        <v>2.0968756552736398E-3</v>
      </c>
      <c r="W4347">
        <v>3024192.5191847198</v>
      </c>
      <c r="X4347" t="s">
        <v>39</v>
      </c>
      <c r="Y4347">
        <f>1-506-965-8137</f>
        <v>-9607</v>
      </c>
    </row>
    <row r="4348" spans="1:25" x14ac:dyDescent="0.35">
      <c r="A4348">
        <v>33.514182534338097</v>
      </c>
      <c r="B4348">
        <v>-116.395809065302</v>
      </c>
      <c r="C4348" t="s">
        <v>25</v>
      </c>
      <c r="D4348">
        <v>45.529280453906502</v>
      </c>
      <c r="E4348">
        <v>9</v>
      </c>
      <c r="F4348">
        <v>4197</v>
      </c>
      <c r="G4348">
        <v>3</v>
      </c>
      <c r="H4348">
        <v>1</v>
      </c>
      <c r="I4348">
        <v>1974</v>
      </c>
      <c r="J4348">
        <v>0</v>
      </c>
      <c r="K4348">
        <v>0</v>
      </c>
      <c r="L4348">
        <v>0</v>
      </c>
      <c r="M4348">
        <v>10</v>
      </c>
      <c r="N4348" t="s">
        <v>26</v>
      </c>
      <c r="O4348" t="s">
        <v>32</v>
      </c>
      <c r="P4348">
        <v>5.14885089205083</v>
      </c>
      <c r="Q4348">
        <v>2.2218022901024099</v>
      </c>
      <c r="R4348">
        <v>5.6901416884255296</v>
      </c>
      <c r="S4348">
        <v>145</v>
      </c>
      <c r="T4348">
        <v>28</v>
      </c>
      <c r="U4348">
        <v>209.95021132384301</v>
      </c>
      <c r="V4348">
        <v>2.38265427686442E-3</v>
      </c>
      <c r="W4348">
        <v>899064.77655089705</v>
      </c>
      <c r="X4348" t="s">
        <v>39</v>
      </c>
      <c r="Y4348">
        <f>1-929-175-3271</f>
        <v>-4374</v>
      </c>
    </row>
    <row r="4349" spans="1:25" x14ac:dyDescent="0.35">
      <c r="A4349">
        <v>40.105648286429897</v>
      </c>
      <c r="B4349">
        <v>-114.185206556274</v>
      </c>
      <c r="C4349" t="s">
        <v>34</v>
      </c>
      <c r="D4349">
        <v>36.149525125965603</v>
      </c>
      <c r="E4349">
        <v>3</v>
      </c>
      <c r="F4349">
        <v>3624</v>
      </c>
      <c r="G4349">
        <v>5</v>
      </c>
      <c r="H4349">
        <v>1</v>
      </c>
      <c r="I4349">
        <v>1963</v>
      </c>
      <c r="J4349">
        <v>1</v>
      </c>
      <c r="K4349">
        <v>1</v>
      </c>
      <c r="L4349">
        <v>1</v>
      </c>
      <c r="M4349">
        <v>8</v>
      </c>
      <c r="N4349" t="s">
        <v>41</v>
      </c>
      <c r="O4349" t="s">
        <v>30</v>
      </c>
      <c r="P4349">
        <v>6.3360890993280403</v>
      </c>
      <c r="Q4349">
        <v>1.7704515908259599</v>
      </c>
      <c r="R4349">
        <v>7.90110170410136</v>
      </c>
      <c r="S4349">
        <v>61</v>
      </c>
      <c r="T4349">
        <v>63</v>
      </c>
      <c r="U4349">
        <v>775.21100356540899</v>
      </c>
      <c r="V4349">
        <v>2.20750551876379E-3</v>
      </c>
      <c r="W4349">
        <v>3225810.3812957201</v>
      </c>
      <c r="X4349" t="s">
        <v>31</v>
      </c>
      <c r="Y4349">
        <f>1-615-856-1496</f>
        <v>-2966</v>
      </c>
    </row>
    <row r="4350" spans="1:25" x14ac:dyDescent="0.35">
      <c r="A4350">
        <v>41.605136936574503</v>
      </c>
      <c r="B4350">
        <v>-118.0980392996</v>
      </c>
      <c r="C4350" t="s">
        <v>34</v>
      </c>
      <c r="D4350">
        <v>10.737393006230599</v>
      </c>
      <c r="E4350">
        <v>4</v>
      </c>
      <c r="F4350">
        <v>4557</v>
      </c>
      <c r="G4350">
        <v>1</v>
      </c>
      <c r="H4350">
        <v>2</v>
      </c>
      <c r="I4350">
        <v>1989</v>
      </c>
      <c r="J4350">
        <v>1</v>
      </c>
      <c r="K4350">
        <v>1</v>
      </c>
      <c r="L4350">
        <v>1</v>
      </c>
      <c r="M4350">
        <v>3</v>
      </c>
      <c r="N4350" t="s">
        <v>41</v>
      </c>
      <c r="O4350" t="s">
        <v>27</v>
      </c>
      <c r="P4350">
        <v>6.7510554329830104</v>
      </c>
      <c r="Q4350">
        <v>0.56809292419536395</v>
      </c>
      <c r="R4350">
        <v>3.5098868514770301</v>
      </c>
      <c r="S4350">
        <v>168</v>
      </c>
      <c r="T4350">
        <v>48</v>
      </c>
      <c r="U4350">
        <v>222.17182794434001</v>
      </c>
      <c r="V4350">
        <v>6.5832784726793897E-4</v>
      </c>
      <c r="W4350">
        <v>1247700.94613294</v>
      </c>
      <c r="X4350" t="s">
        <v>43</v>
      </c>
      <c r="Y4350">
        <f>1-896-345-5196</f>
        <v>-6436</v>
      </c>
    </row>
    <row r="4351" spans="1:25" x14ac:dyDescent="0.35">
      <c r="A4351">
        <v>40.750413530069203</v>
      </c>
      <c r="B4351">
        <v>-116.40229145392399</v>
      </c>
      <c r="C4351" t="s">
        <v>34</v>
      </c>
      <c r="D4351">
        <v>13.972573529415801</v>
      </c>
      <c r="E4351">
        <v>1</v>
      </c>
      <c r="F4351">
        <v>1069</v>
      </c>
      <c r="G4351">
        <v>2</v>
      </c>
      <c r="H4351">
        <v>1</v>
      </c>
      <c r="I4351">
        <v>1981</v>
      </c>
      <c r="J4351">
        <v>1</v>
      </c>
      <c r="K4351">
        <v>1</v>
      </c>
      <c r="L4351">
        <v>1</v>
      </c>
      <c r="M4351">
        <v>7</v>
      </c>
      <c r="N4351" t="s">
        <v>26</v>
      </c>
      <c r="O4351" t="s">
        <v>32</v>
      </c>
      <c r="P4351">
        <v>8.5415246167749395</v>
      </c>
      <c r="Q4351">
        <v>1.7822560687686</v>
      </c>
      <c r="R4351">
        <v>0.381444933843824</v>
      </c>
      <c r="S4351">
        <v>68</v>
      </c>
      <c r="T4351">
        <v>20</v>
      </c>
      <c r="U4351">
        <v>357.02114032954</v>
      </c>
      <c r="V4351">
        <v>6.5481758652946604E-3</v>
      </c>
      <c r="W4351">
        <v>585165.53151074797</v>
      </c>
      <c r="X4351" t="s">
        <v>43</v>
      </c>
      <c r="Y4351">
        <f>1-868-883-4536</f>
        <v>-6286</v>
      </c>
    </row>
    <row r="4352" spans="1:25" x14ac:dyDescent="0.35">
      <c r="A4352">
        <v>40.478983692618101</v>
      </c>
      <c r="B4352">
        <v>-124.26611742203799</v>
      </c>
      <c r="C4352" t="s">
        <v>34</v>
      </c>
      <c r="D4352">
        <v>21.498877926966198</v>
      </c>
      <c r="E4352">
        <v>3</v>
      </c>
      <c r="F4352">
        <v>1798</v>
      </c>
      <c r="G4352">
        <v>2</v>
      </c>
      <c r="H4352">
        <v>1</v>
      </c>
      <c r="I4352">
        <v>1957</v>
      </c>
      <c r="J4352">
        <v>0</v>
      </c>
      <c r="K4352">
        <v>0</v>
      </c>
      <c r="L4352">
        <v>1</v>
      </c>
      <c r="M4352">
        <v>8</v>
      </c>
      <c r="N4352" t="s">
        <v>26</v>
      </c>
      <c r="O4352" t="s">
        <v>32</v>
      </c>
      <c r="P4352">
        <v>6.6198571151941703</v>
      </c>
      <c r="Q4352">
        <v>1.29271136138541</v>
      </c>
      <c r="R4352">
        <v>3.2614266542587602</v>
      </c>
      <c r="S4352">
        <v>25</v>
      </c>
      <c r="T4352">
        <v>48</v>
      </c>
      <c r="U4352">
        <v>582.18834869352304</v>
      </c>
      <c r="V4352">
        <v>4.4493882091212397E-3</v>
      </c>
      <c r="W4352">
        <v>1089753.51136068</v>
      </c>
      <c r="X4352" t="s">
        <v>33</v>
      </c>
      <c r="Y4352">
        <f>1-295-560-8666</f>
        <v>-9520</v>
      </c>
    </row>
    <row r="4353" spans="1:25" x14ac:dyDescent="0.35">
      <c r="A4353">
        <v>41.2880776926336</v>
      </c>
      <c r="B4353">
        <v>-122.19665083434499</v>
      </c>
      <c r="C4353" t="s">
        <v>25</v>
      </c>
      <c r="D4353">
        <v>33.173258864832</v>
      </c>
      <c r="E4353">
        <v>4</v>
      </c>
      <c r="F4353">
        <v>3792</v>
      </c>
      <c r="G4353">
        <v>5</v>
      </c>
      <c r="H4353">
        <v>1</v>
      </c>
      <c r="I4353">
        <v>1991</v>
      </c>
      <c r="J4353">
        <v>0</v>
      </c>
      <c r="K4353">
        <v>0</v>
      </c>
      <c r="L4353">
        <v>1</v>
      </c>
      <c r="M4353">
        <v>14</v>
      </c>
      <c r="N4353" t="s">
        <v>35</v>
      </c>
      <c r="O4353" t="s">
        <v>30</v>
      </c>
      <c r="P4353">
        <v>4.20012767278119</v>
      </c>
      <c r="Q4353">
        <v>0.52011689366893998</v>
      </c>
      <c r="R4353">
        <v>9.7125119390183805</v>
      </c>
      <c r="S4353">
        <v>21</v>
      </c>
      <c r="T4353">
        <v>48</v>
      </c>
      <c r="U4353">
        <v>696.14756365481298</v>
      </c>
      <c r="V4353">
        <v>3.6919831223628601E-3</v>
      </c>
      <c r="W4353">
        <v>2840991.3803505399</v>
      </c>
      <c r="X4353" t="s">
        <v>44</v>
      </c>
      <c r="Y4353">
        <f>1-769-657-7679</f>
        <v>-9104</v>
      </c>
    </row>
    <row r="4354" spans="1:25" x14ac:dyDescent="0.35">
      <c r="A4354">
        <v>40.156652148350901</v>
      </c>
      <c r="B4354">
        <v>-120.89562719055699</v>
      </c>
      <c r="C4354" t="s">
        <v>34</v>
      </c>
      <c r="D4354">
        <v>44.933210212730899</v>
      </c>
      <c r="E4354">
        <v>0</v>
      </c>
      <c r="F4354">
        <v>3402</v>
      </c>
      <c r="G4354">
        <v>4</v>
      </c>
      <c r="H4354">
        <v>3</v>
      </c>
      <c r="I4354">
        <v>1973</v>
      </c>
      <c r="J4354">
        <v>0</v>
      </c>
      <c r="K4354">
        <v>1</v>
      </c>
      <c r="L4354">
        <v>1</v>
      </c>
      <c r="M4354">
        <v>2</v>
      </c>
      <c r="N4354" t="s">
        <v>26</v>
      </c>
      <c r="O4354" t="s">
        <v>27</v>
      </c>
      <c r="P4354">
        <v>7.6316271279155803</v>
      </c>
      <c r="Q4354">
        <v>2.32405722485775</v>
      </c>
      <c r="R4354">
        <v>7.00761547594312</v>
      </c>
      <c r="S4354">
        <v>162</v>
      </c>
      <c r="T4354">
        <v>79</v>
      </c>
      <c r="U4354">
        <v>461.57899298192899</v>
      </c>
      <c r="V4354">
        <v>5.8788947677836502E-4</v>
      </c>
      <c r="W4354">
        <v>1897011.39758491</v>
      </c>
      <c r="X4354" t="s">
        <v>33</v>
      </c>
      <c r="Y4354">
        <f>1-405-148-4442</f>
        <v>-4994</v>
      </c>
    </row>
    <row r="4355" spans="1:25" x14ac:dyDescent="0.35">
      <c r="A4355">
        <v>32.540468279591103</v>
      </c>
      <c r="B4355">
        <v>-121.897371203041</v>
      </c>
      <c r="C4355" t="s">
        <v>34</v>
      </c>
      <c r="D4355">
        <v>2.77153476817747</v>
      </c>
      <c r="E4355">
        <v>4</v>
      </c>
      <c r="F4355">
        <v>2774</v>
      </c>
      <c r="G4355">
        <v>1</v>
      </c>
      <c r="H4355">
        <v>3</v>
      </c>
      <c r="I4355">
        <v>1964</v>
      </c>
      <c r="J4355">
        <v>1</v>
      </c>
      <c r="K4355">
        <v>0</v>
      </c>
      <c r="L4355">
        <v>0</v>
      </c>
      <c r="M4355">
        <v>13</v>
      </c>
      <c r="N4355" t="s">
        <v>26</v>
      </c>
      <c r="O4355" t="s">
        <v>27</v>
      </c>
      <c r="P4355">
        <v>14.9614394265698</v>
      </c>
      <c r="Q4355">
        <v>1.7719465985857601</v>
      </c>
      <c r="R4355">
        <v>7.0118450191617896</v>
      </c>
      <c r="S4355">
        <v>127</v>
      </c>
      <c r="T4355">
        <v>64</v>
      </c>
      <c r="U4355">
        <v>299.08377495871099</v>
      </c>
      <c r="V4355">
        <v>4.6863734679163599E-3</v>
      </c>
      <c r="W4355">
        <v>969300.34846434603</v>
      </c>
      <c r="X4355" t="s">
        <v>44</v>
      </c>
      <c r="Y4355">
        <f>1-525-332-8273</f>
        <v>-9129</v>
      </c>
    </row>
    <row r="4356" spans="1:25" x14ac:dyDescent="0.35">
      <c r="A4356">
        <v>39.894081423114798</v>
      </c>
      <c r="B4356">
        <v>-124.412903441349</v>
      </c>
      <c r="C4356" t="s">
        <v>29</v>
      </c>
      <c r="D4356">
        <v>31.877089597569999</v>
      </c>
      <c r="E4356">
        <v>8</v>
      </c>
      <c r="F4356">
        <v>4999</v>
      </c>
      <c r="G4356">
        <v>1</v>
      </c>
      <c r="H4356">
        <v>2</v>
      </c>
      <c r="I4356">
        <v>1996</v>
      </c>
      <c r="J4356">
        <v>1</v>
      </c>
      <c r="K4356">
        <v>0</v>
      </c>
      <c r="L4356">
        <v>0</v>
      </c>
      <c r="M4356">
        <v>12</v>
      </c>
      <c r="N4356" t="s">
        <v>37</v>
      </c>
      <c r="O4356" t="s">
        <v>30</v>
      </c>
      <c r="P4356">
        <v>7.5460307771956403</v>
      </c>
      <c r="Q4356">
        <v>0.88534674440369399</v>
      </c>
      <c r="R4356">
        <v>6.7317599634705703</v>
      </c>
      <c r="S4356">
        <v>101</v>
      </c>
      <c r="T4356">
        <v>39</v>
      </c>
      <c r="U4356">
        <v>239.438445141626</v>
      </c>
      <c r="V4356">
        <v>2.4004800960191999E-3</v>
      </c>
      <c r="W4356">
        <v>1341145.63576342</v>
      </c>
      <c r="X4356" t="s">
        <v>39</v>
      </c>
      <c r="Y4356">
        <f>1-311-857-1094</f>
        <v>-2261</v>
      </c>
    </row>
    <row r="4357" spans="1:25" x14ac:dyDescent="0.35">
      <c r="A4357">
        <v>39.158723757397603</v>
      </c>
      <c r="B4357">
        <v>-119.475392544047</v>
      </c>
      <c r="C4357" t="s">
        <v>29</v>
      </c>
      <c r="D4357">
        <v>39.368247490651399</v>
      </c>
      <c r="E4357">
        <v>2</v>
      </c>
      <c r="F4357">
        <v>3130</v>
      </c>
      <c r="G4357">
        <v>2</v>
      </c>
      <c r="H4357">
        <v>3</v>
      </c>
      <c r="I4357">
        <v>1983</v>
      </c>
      <c r="J4357">
        <v>0</v>
      </c>
      <c r="K4357">
        <v>1</v>
      </c>
      <c r="L4357">
        <v>0</v>
      </c>
      <c r="M4357">
        <v>12</v>
      </c>
      <c r="N4357" t="s">
        <v>37</v>
      </c>
      <c r="O4357" t="s">
        <v>30</v>
      </c>
      <c r="P4357">
        <v>9.6387674375148897</v>
      </c>
      <c r="Q4357">
        <v>0.70295147938986402</v>
      </c>
      <c r="R4357">
        <v>9.4815079043098098</v>
      </c>
      <c r="S4357">
        <v>142</v>
      </c>
      <c r="T4357">
        <v>54</v>
      </c>
      <c r="U4357">
        <v>483.13575236066799</v>
      </c>
      <c r="V4357">
        <v>3.8338658146964801E-3</v>
      </c>
      <c r="W4357">
        <v>1759961.29066084</v>
      </c>
      <c r="X4357" t="s">
        <v>39</v>
      </c>
      <c r="Y4357">
        <f>1-295-104-5281</f>
        <v>-5679</v>
      </c>
    </row>
    <row r="4358" spans="1:25" x14ac:dyDescent="0.35">
      <c r="A4358">
        <v>37.622005798341704</v>
      </c>
      <c r="B4358">
        <v>-116.244387622388</v>
      </c>
      <c r="C4358" t="s">
        <v>29</v>
      </c>
      <c r="D4358">
        <v>13.882850723222701</v>
      </c>
      <c r="E4358">
        <v>1</v>
      </c>
      <c r="F4358">
        <v>3550</v>
      </c>
      <c r="G4358">
        <v>2</v>
      </c>
      <c r="H4358">
        <v>1</v>
      </c>
      <c r="I4358">
        <v>1963</v>
      </c>
      <c r="J4358">
        <v>0</v>
      </c>
      <c r="K4358">
        <v>1</v>
      </c>
      <c r="L4358">
        <v>1</v>
      </c>
      <c r="M4358">
        <v>5</v>
      </c>
      <c r="N4358" t="s">
        <v>26</v>
      </c>
      <c r="O4358" t="s">
        <v>30</v>
      </c>
      <c r="P4358">
        <v>4.3425009652482798</v>
      </c>
      <c r="Q4358">
        <v>2.3223050475150502</v>
      </c>
      <c r="R4358">
        <v>5.1058615751929599</v>
      </c>
      <c r="S4358">
        <v>46</v>
      </c>
      <c r="T4358">
        <v>34</v>
      </c>
      <c r="U4358">
        <v>939.880019577501</v>
      </c>
      <c r="V4358">
        <v>1.40845070422535E-3</v>
      </c>
      <c r="W4358">
        <v>3455857.4659188101</v>
      </c>
      <c r="X4358" t="s">
        <v>31</v>
      </c>
      <c r="Y4358">
        <f>1-446-129-6292</f>
        <v>-6866</v>
      </c>
    </row>
    <row r="4359" spans="1:25" x14ac:dyDescent="0.35">
      <c r="A4359">
        <v>41.583138519930301</v>
      </c>
      <c r="B4359">
        <v>-119.018862498811</v>
      </c>
      <c r="C4359" t="s">
        <v>29</v>
      </c>
      <c r="D4359">
        <v>20.427051808570699</v>
      </c>
      <c r="E4359">
        <v>1</v>
      </c>
      <c r="F4359">
        <v>3377</v>
      </c>
      <c r="G4359">
        <v>4</v>
      </c>
      <c r="H4359">
        <v>3</v>
      </c>
      <c r="I4359">
        <v>1986</v>
      </c>
      <c r="J4359">
        <v>0</v>
      </c>
      <c r="K4359">
        <v>0</v>
      </c>
      <c r="L4359">
        <v>1</v>
      </c>
      <c r="M4359">
        <v>11</v>
      </c>
      <c r="N4359" t="s">
        <v>37</v>
      </c>
      <c r="O4359" t="s">
        <v>32</v>
      </c>
      <c r="P4359">
        <v>7.5741326664794597</v>
      </c>
      <c r="Q4359">
        <v>0.978159720555973</v>
      </c>
      <c r="R4359">
        <v>5.7164247848240297</v>
      </c>
      <c r="S4359">
        <v>96</v>
      </c>
      <c r="T4359">
        <v>31</v>
      </c>
      <c r="U4359">
        <v>916.40571804607805</v>
      </c>
      <c r="V4359">
        <v>3.2573289902280101E-3</v>
      </c>
      <c r="W4359">
        <v>3318769.9437861801</v>
      </c>
      <c r="X4359" t="s">
        <v>28</v>
      </c>
      <c r="Y4359">
        <f>1-558-497-6637</f>
        <v>-7691</v>
      </c>
    </row>
    <row r="4360" spans="1:25" x14ac:dyDescent="0.35">
      <c r="A4360">
        <v>35.892192872690799</v>
      </c>
      <c r="B4360">
        <v>-115.201735900559</v>
      </c>
      <c r="C4360" t="s">
        <v>25</v>
      </c>
      <c r="D4360">
        <v>27.739899815334901</v>
      </c>
      <c r="E4360">
        <v>1</v>
      </c>
      <c r="F4360">
        <v>3982</v>
      </c>
      <c r="G4360">
        <v>4</v>
      </c>
      <c r="H4360">
        <v>1</v>
      </c>
      <c r="I4360">
        <v>1967</v>
      </c>
      <c r="J4360">
        <v>1</v>
      </c>
      <c r="K4360">
        <v>1</v>
      </c>
      <c r="L4360">
        <v>1</v>
      </c>
      <c r="M4360">
        <v>5</v>
      </c>
      <c r="N4360" t="s">
        <v>26</v>
      </c>
      <c r="O4360" t="s">
        <v>27</v>
      </c>
      <c r="P4360">
        <v>12.812522128420399</v>
      </c>
      <c r="Q4360">
        <v>0.56181794257480799</v>
      </c>
      <c r="R4360">
        <v>4.4447963051716597</v>
      </c>
      <c r="S4360">
        <v>137</v>
      </c>
      <c r="T4360">
        <v>76</v>
      </c>
      <c r="U4360">
        <v>873.74770424873998</v>
      </c>
      <c r="V4360">
        <v>1.25565042692114E-3</v>
      </c>
      <c r="W4360">
        <v>3909606.13685389</v>
      </c>
      <c r="X4360" t="s">
        <v>38</v>
      </c>
      <c r="Y4360">
        <f>1-722-743-3782</f>
        <v>-5246</v>
      </c>
    </row>
    <row r="4361" spans="1:25" x14ac:dyDescent="0.35">
      <c r="A4361">
        <v>33.184931252125402</v>
      </c>
      <c r="B4361">
        <v>-118.48278879594601</v>
      </c>
      <c r="C4361" t="s">
        <v>25</v>
      </c>
      <c r="D4361">
        <v>47.741737549005599</v>
      </c>
      <c r="E4361">
        <v>7</v>
      </c>
      <c r="F4361">
        <v>2784</v>
      </c>
      <c r="G4361">
        <v>2</v>
      </c>
      <c r="H4361">
        <v>1</v>
      </c>
      <c r="I4361">
        <v>2004</v>
      </c>
      <c r="J4361">
        <v>0</v>
      </c>
      <c r="K4361">
        <v>0</v>
      </c>
      <c r="L4361">
        <v>1</v>
      </c>
      <c r="M4361">
        <v>14</v>
      </c>
      <c r="N4361" t="s">
        <v>41</v>
      </c>
      <c r="O4361" t="s">
        <v>27</v>
      </c>
      <c r="P4361">
        <v>5.0689281726326998</v>
      </c>
      <c r="Q4361">
        <v>1.0768747359594499</v>
      </c>
      <c r="R4361">
        <v>4.77209219519772</v>
      </c>
      <c r="S4361">
        <v>134</v>
      </c>
      <c r="T4361">
        <v>41</v>
      </c>
      <c r="U4361">
        <v>719.72173085674001</v>
      </c>
      <c r="V4361">
        <v>5.0287356321839002E-3</v>
      </c>
      <c r="W4361">
        <v>2168907.7575098798</v>
      </c>
      <c r="X4361" t="s">
        <v>42</v>
      </c>
      <c r="Y4361">
        <f>1-682-511-8720</f>
        <v>-9912</v>
      </c>
    </row>
    <row r="4362" spans="1:25" x14ac:dyDescent="0.35">
      <c r="A4362">
        <v>35.889624698433103</v>
      </c>
      <c r="B4362">
        <v>-114.334684247486</v>
      </c>
      <c r="C4362" t="s">
        <v>29</v>
      </c>
      <c r="D4362">
        <v>49.2729000692608</v>
      </c>
      <c r="E4362">
        <v>2</v>
      </c>
      <c r="F4362">
        <v>4118</v>
      </c>
      <c r="G4362">
        <v>5</v>
      </c>
      <c r="H4362">
        <v>1</v>
      </c>
      <c r="I4362">
        <v>1985</v>
      </c>
      <c r="J4362">
        <v>1</v>
      </c>
      <c r="K4362">
        <v>1</v>
      </c>
      <c r="L4362">
        <v>0</v>
      </c>
      <c r="M4362">
        <v>11</v>
      </c>
      <c r="N4362" t="s">
        <v>35</v>
      </c>
      <c r="O4362" t="s">
        <v>30</v>
      </c>
      <c r="P4362">
        <v>5.4092588550241496</v>
      </c>
      <c r="Q4362">
        <v>0.93695485059902295</v>
      </c>
      <c r="R4362">
        <v>4.7853979132143998</v>
      </c>
      <c r="S4362">
        <v>106</v>
      </c>
      <c r="T4362">
        <v>33</v>
      </c>
      <c r="U4362">
        <v>520.80707509338004</v>
      </c>
      <c r="V4362">
        <v>2.6711996114618698E-3</v>
      </c>
      <c r="W4362">
        <v>2425903.8602744699</v>
      </c>
      <c r="X4362" t="s">
        <v>36</v>
      </c>
      <c r="Y4362">
        <f>1-575-798-3828</f>
        <v>-5200</v>
      </c>
    </row>
    <row r="4363" spans="1:25" x14ac:dyDescent="0.35">
      <c r="A4363">
        <v>37.720190793352103</v>
      </c>
      <c r="B4363">
        <v>-114.47322785936601</v>
      </c>
      <c r="C4363" t="s">
        <v>29</v>
      </c>
      <c r="D4363">
        <v>5.1629065722325098</v>
      </c>
      <c r="E4363">
        <v>9</v>
      </c>
      <c r="F4363">
        <v>4174</v>
      </c>
      <c r="G4363">
        <v>5</v>
      </c>
      <c r="H4363">
        <v>2</v>
      </c>
      <c r="I4363">
        <v>2012</v>
      </c>
      <c r="J4363">
        <v>1</v>
      </c>
      <c r="K4363">
        <v>0</v>
      </c>
      <c r="L4363">
        <v>0</v>
      </c>
      <c r="M4363">
        <v>14</v>
      </c>
      <c r="N4363" t="s">
        <v>41</v>
      </c>
      <c r="O4363" t="s">
        <v>32</v>
      </c>
      <c r="P4363">
        <v>10.3236231622734</v>
      </c>
      <c r="Q4363">
        <v>2.3636911522249502</v>
      </c>
      <c r="R4363">
        <v>2.0791697673393599</v>
      </c>
      <c r="S4363">
        <v>57</v>
      </c>
      <c r="T4363">
        <v>28</v>
      </c>
      <c r="U4363">
        <v>397.14331232546698</v>
      </c>
      <c r="V4363">
        <v>3.3540967896502098E-3</v>
      </c>
      <c r="W4363">
        <v>2046497.4985994601</v>
      </c>
      <c r="X4363" t="s">
        <v>28</v>
      </c>
      <c r="Y4363">
        <f>1-331-887-3725</f>
        <v>-4942</v>
      </c>
    </row>
    <row r="4364" spans="1:25" x14ac:dyDescent="0.35">
      <c r="A4364">
        <v>39.349287428735003</v>
      </c>
      <c r="B4364">
        <v>-121.958711400338</v>
      </c>
      <c r="C4364" t="s">
        <v>34</v>
      </c>
      <c r="D4364">
        <v>23.889263138726498</v>
      </c>
      <c r="E4364">
        <v>9</v>
      </c>
      <c r="F4364">
        <v>553</v>
      </c>
      <c r="G4364">
        <v>5</v>
      </c>
      <c r="H4364">
        <v>2</v>
      </c>
      <c r="I4364">
        <v>2020</v>
      </c>
      <c r="J4364">
        <v>0</v>
      </c>
      <c r="K4364">
        <v>0</v>
      </c>
      <c r="L4364">
        <v>1</v>
      </c>
      <c r="M4364">
        <v>13</v>
      </c>
      <c r="N4364" t="s">
        <v>37</v>
      </c>
      <c r="O4364" t="s">
        <v>32</v>
      </c>
      <c r="P4364">
        <v>12.0875415343528</v>
      </c>
      <c r="Q4364">
        <v>0.73532898396054103</v>
      </c>
      <c r="R4364">
        <v>1.34725348164629</v>
      </c>
      <c r="S4364">
        <v>104</v>
      </c>
      <c r="T4364">
        <v>73</v>
      </c>
      <c r="U4364">
        <v>726.75294373090696</v>
      </c>
      <c r="V4364">
        <v>2.3508137432187999E-2</v>
      </c>
      <c r="W4364">
        <v>901811.54391074798</v>
      </c>
      <c r="X4364" t="s">
        <v>44</v>
      </c>
      <c r="Y4364">
        <f>1-675-540-2560</f>
        <v>-3774</v>
      </c>
    </row>
    <row r="4365" spans="1:25" x14ac:dyDescent="0.35">
      <c r="A4365">
        <v>40.013607050602701</v>
      </c>
      <c r="B4365">
        <v>-115.13924080402199</v>
      </c>
      <c r="C4365" t="s">
        <v>25</v>
      </c>
      <c r="D4365">
        <v>15.6686793602753</v>
      </c>
      <c r="E4365">
        <v>1</v>
      </c>
      <c r="F4365">
        <v>666</v>
      </c>
      <c r="G4365">
        <v>3</v>
      </c>
      <c r="H4365">
        <v>2</v>
      </c>
      <c r="I4365">
        <v>1967</v>
      </c>
      <c r="J4365">
        <v>0</v>
      </c>
      <c r="K4365">
        <v>1</v>
      </c>
      <c r="L4365">
        <v>1</v>
      </c>
      <c r="M4365">
        <v>9</v>
      </c>
      <c r="N4365" t="s">
        <v>35</v>
      </c>
      <c r="O4365" t="s">
        <v>30</v>
      </c>
      <c r="P4365">
        <v>6.2278103986520899</v>
      </c>
      <c r="Q4365">
        <v>0.75016814855707403</v>
      </c>
      <c r="R4365">
        <v>4.1293849085009402</v>
      </c>
      <c r="S4365">
        <v>179</v>
      </c>
      <c r="T4365">
        <v>37</v>
      </c>
      <c r="U4365">
        <v>534.63354214678304</v>
      </c>
      <c r="V4365">
        <v>1.35135135135135E-2</v>
      </c>
      <c r="W4365">
        <v>728716.74884082796</v>
      </c>
      <c r="X4365" t="s">
        <v>28</v>
      </c>
      <c r="Y4365">
        <f>1-959-739-5453</f>
        <v>-7150</v>
      </c>
    </row>
    <row r="4366" spans="1:25" x14ac:dyDescent="0.35">
      <c r="A4366">
        <v>38.118300422660099</v>
      </c>
      <c r="B4366">
        <v>-116.94363200622099</v>
      </c>
      <c r="C4366" t="s">
        <v>25</v>
      </c>
      <c r="D4366">
        <v>22.614264687773701</v>
      </c>
      <c r="E4366">
        <v>9</v>
      </c>
      <c r="F4366">
        <v>4258</v>
      </c>
      <c r="G4366">
        <v>5</v>
      </c>
      <c r="H4366">
        <v>2</v>
      </c>
      <c r="I4366">
        <v>1977</v>
      </c>
      <c r="J4366">
        <v>1</v>
      </c>
      <c r="K4366">
        <v>1</v>
      </c>
      <c r="L4366">
        <v>0</v>
      </c>
      <c r="M4366">
        <v>8</v>
      </c>
      <c r="N4366" t="s">
        <v>41</v>
      </c>
      <c r="O4366" t="s">
        <v>27</v>
      </c>
      <c r="P4366">
        <v>12.869409695354401</v>
      </c>
      <c r="Q4366">
        <v>2.4285143093663901</v>
      </c>
      <c r="R4366">
        <v>5.5206847573632603</v>
      </c>
      <c r="S4366">
        <v>176</v>
      </c>
      <c r="T4366">
        <v>29</v>
      </c>
      <c r="U4366">
        <v>901.74742576433198</v>
      </c>
      <c r="V4366">
        <v>1.8788163457022001E-3</v>
      </c>
      <c r="W4366">
        <v>4320922.6694912603</v>
      </c>
      <c r="X4366" t="s">
        <v>31</v>
      </c>
      <c r="Y4366">
        <f>1-282-601-4896</f>
        <v>-5778</v>
      </c>
    </row>
    <row r="4367" spans="1:25" x14ac:dyDescent="0.35">
      <c r="A4367">
        <v>38.200841697052901</v>
      </c>
      <c r="B4367">
        <v>-121.225267385235</v>
      </c>
      <c r="C4367" t="s">
        <v>25</v>
      </c>
      <c r="D4367">
        <v>3.6032774199789799</v>
      </c>
      <c r="E4367">
        <v>3</v>
      </c>
      <c r="F4367">
        <v>4367</v>
      </c>
      <c r="G4367">
        <v>1</v>
      </c>
      <c r="H4367">
        <v>3</v>
      </c>
      <c r="I4367">
        <v>1978</v>
      </c>
      <c r="J4367">
        <v>0</v>
      </c>
      <c r="K4367">
        <v>0</v>
      </c>
      <c r="L4367">
        <v>1</v>
      </c>
      <c r="M4367">
        <v>9</v>
      </c>
      <c r="N4367" t="s">
        <v>35</v>
      </c>
      <c r="O4367" t="s">
        <v>27</v>
      </c>
      <c r="P4367">
        <v>7.41578320711338</v>
      </c>
      <c r="Q4367">
        <v>1.36522553756418</v>
      </c>
      <c r="R4367">
        <v>9.4627856301997202</v>
      </c>
      <c r="S4367">
        <v>199</v>
      </c>
      <c r="T4367">
        <v>21</v>
      </c>
      <c r="U4367">
        <v>989.17890605825301</v>
      </c>
      <c r="V4367">
        <v>2.0609113808106199E-3</v>
      </c>
      <c r="W4367">
        <v>4402210.3820142597</v>
      </c>
      <c r="X4367" t="s">
        <v>38</v>
      </c>
      <c r="Y4367">
        <f>1-427-101-3367</f>
        <v>-3894</v>
      </c>
    </row>
    <row r="4368" spans="1:25" x14ac:dyDescent="0.35">
      <c r="A4368">
        <v>41.630491101695398</v>
      </c>
      <c r="B4368">
        <v>-116.314024921029</v>
      </c>
      <c r="C4368" t="s">
        <v>29</v>
      </c>
      <c r="D4368">
        <v>8.3586202724577898</v>
      </c>
      <c r="E4368">
        <v>8</v>
      </c>
      <c r="F4368">
        <v>4507</v>
      </c>
      <c r="G4368">
        <v>5</v>
      </c>
      <c r="H4368">
        <v>1</v>
      </c>
      <c r="I4368">
        <v>2008</v>
      </c>
      <c r="J4368">
        <v>0</v>
      </c>
      <c r="K4368">
        <v>0</v>
      </c>
      <c r="L4368">
        <v>1</v>
      </c>
      <c r="M4368">
        <v>10</v>
      </c>
      <c r="N4368" t="s">
        <v>37</v>
      </c>
      <c r="O4368" t="s">
        <v>30</v>
      </c>
      <c r="P4368">
        <v>10.812069864429899</v>
      </c>
      <c r="Q4368">
        <v>1.3917319804199699</v>
      </c>
      <c r="R4368">
        <v>0.624991720371735</v>
      </c>
      <c r="S4368">
        <v>59</v>
      </c>
      <c r="T4368">
        <v>59</v>
      </c>
      <c r="U4368">
        <v>769.91735092504996</v>
      </c>
      <c r="V4368">
        <v>2.2187708009762499E-3</v>
      </c>
      <c r="W4368">
        <v>3880124.3212822601</v>
      </c>
      <c r="X4368" t="s">
        <v>31</v>
      </c>
      <c r="Y4368">
        <f>1-304-344-2024</f>
        <v>-2671</v>
      </c>
    </row>
    <row r="4369" spans="1:25" x14ac:dyDescent="0.35">
      <c r="A4369">
        <v>34.806853498869998</v>
      </c>
      <c r="B4369">
        <v>-116.92039489029899</v>
      </c>
      <c r="C4369" t="s">
        <v>29</v>
      </c>
      <c r="D4369">
        <v>2.2371636667004</v>
      </c>
      <c r="E4369">
        <v>5</v>
      </c>
      <c r="F4369">
        <v>1711</v>
      </c>
      <c r="G4369">
        <v>4</v>
      </c>
      <c r="H4369">
        <v>1</v>
      </c>
      <c r="I4369">
        <v>1950</v>
      </c>
      <c r="J4369">
        <v>0</v>
      </c>
      <c r="K4369">
        <v>1</v>
      </c>
      <c r="L4369">
        <v>0</v>
      </c>
      <c r="M4369">
        <v>4</v>
      </c>
      <c r="N4369" t="s">
        <v>26</v>
      </c>
      <c r="O4369" t="s">
        <v>30</v>
      </c>
      <c r="P4369">
        <v>12.5001214003568</v>
      </c>
      <c r="Q4369">
        <v>1.31965990730299</v>
      </c>
      <c r="R4369">
        <v>1.48873259073136</v>
      </c>
      <c r="S4369">
        <v>165</v>
      </c>
      <c r="T4369">
        <v>36</v>
      </c>
      <c r="U4369">
        <v>934.66093446359901</v>
      </c>
      <c r="V4369">
        <v>2.3378141437755602E-3</v>
      </c>
      <c r="W4369">
        <v>1840884.2471944201</v>
      </c>
      <c r="X4369" t="s">
        <v>38</v>
      </c>
      <c r="Y4369">
        <f>1-466-268-5979</f>
        <v>-6712</v>
      </c>
    </row>
    <row r="4370" spans="1:25" x14ac:dyDescent="0.35">
      <c r="A4370">
        <v>39.768058721733702</v>
      </c>
      <c r="B4370">
        <v>-123.095340702008</v>
      </c>
      <c r="C4370" t="s">
        <v>25</v>
      </c>
      <c r="D4370">
        <v>5.6059182489053896</v>
      </c>
      <c r="E4370">
        <v>1</v>
      </c>
      <c r="F4370">
        <v>2664</v>
      </c>
      <c r="G4370">
        <v>4</v>
      </c>
      <c r="H4370">
        <v>3</v>
      </c>
      <c r="I4370">
        <v>1968</v>
      </c>
      <c r="J4370">
        <v>1</v>
      </c>
      <c r="K4370">
        <v>0</v>
      </c>
      <c r="L4370">
        <v>0</v>
      </c>
      <c r="M4370">
        <v>3</v>
      </c>
      <c r="N4370" t="s">
        <v>26</v>
      </c>
      <c r="O4370" t="s">
        <v>30</v>
      </c>
      <c r="P4370">
        <v>4.8044920051266198</v>
      </c>
      <c r="Q4370">
        <v>0.77432029056715201</v>
      </c>
      <c r="R4370">
        <v>2.6242557335549099</v>
      </c>
      <c r="S4370">
        <v>58</v>
      </c>
      <c r="T4370">
        <v>39</v>
      </c>
      <c r="U4370">
        <v>922.33410480798705</v>
      </c>
      <c r="V4370">
        <v>1.12612612612612E-3</v>
      </c>
      <c r="W4370">
        <v>2741202.6217118199</v>
      </c>
      <c r="X4370" t="s">
        <v>28</v>
      </c>
      <c r="Y4370">
        <f>1-958-773-8769</f>
        <v>-10499</v>
      </c>
    </row>
    <row r="4371" spans="1:25" x14ac:dyDescent="0.35">
      <c r="A4371">
        <v>36.110051372590497</v>
      </c>
      <c r="B4371">
        <v>-124.284550664638</v>
      </c>
      <c r="C4371" t="s">
        <v>25</v>
      </c>
      <c r="D4371">
        <v>48.187730893919699</v>
      </c>
      <c r="E4371">
        <v>7</v>
      </c>
      <c r="F4371">
        <v>4179</v>
      </c>
      <c r="G4371">
        <v>5</v>
      </c>
      <c r="H4371">
        <v>3</v>
      </c>
      <c r="I4371">
        <v>2021</v>
      </c>
      <c r="J4371">
        <v>0</v>
      </c>
      <c r="K4371">
        <v>1</v>
      </c>
      <c r="L4371">
        <v>1</v>
      </c>
      <c r="M4371">
        <v>12</v>
      </c>
      <c r="N4371" t="s">
        <v>35</v>
      </c>
      <c r="O4371" t="s">
        <v>32</v>
      </c>
      <c r="P4371">
        <v>10.1510444363012</v>
      </c>
      <c r="Q4371">
        <v>1.64138285805534</v>
      </c>
      <c r="R4371">
        <v>2.27962833431237</v>
      </c>
      <c r="S4371">
        <v>143</v>
      </c>
      <c r="T4371">
        <v>38</v>
      </c>
      <c r="U4371">
        <v>768.11939308399894</v>
      </c>
      <c r="V4371">
        <v>2.8715003589375402E-3</v>
      </c>
      <c r="W4371">
        <v>3698515.2111083302</v>
      </c>
      <c r="X4371" t="s">
        <v>39</v>
      </c>
      <c r="Y4371">
        <f>1-971-424-9199</f>
        <v>-10593</v>
      </c>
    </row>
    <row r="4372" spans="1:25" x14ac:dyDescent="0.35">
      <c r="A4372">
        <v>35.744789718298399</v>
      </c>
      <c r="B4372">
        <v>-123.659690780402</v>
      </c>
      <c r="C4372" t="s">
        <v>29</v>
      </c>
      <c r="D4372">
        <v>46.306648030800702</v>
      </c>
      <c r="E4372">
        <v>0</v>
      </c>
      <c r="F4372">
        <v>1795</v>
      </c>
      <c r="G4372">
        <v>5</v>
      </c>
      <c r="H4372">
        <v>1</v>
      </c>
      <c r="I4372">
        <v>1959</v>
      </c>
      <c r="J4372">
        <v>1</v>
      </c>
      <c r="K4372">
        <v>1</v>
      </c>
      <c r="L4372">
        <v>0</v>
      </c>
      <c r="M4372">
        <v>13</v>
      </c>
      <c r="N4372" t="s">
        <v>41</v>
      </c>
      <c r="O4372" t="s">
        <v>30</v>
      </c>
      <c r="P4372">
        <v>14.8729402794488</v>
      </c>
      <c r="Q4372">
        <v>1.3060062780541399</v>
      </c>
      <c r="R4372">
        <v>7.0872338844280298</v>
      </c>
      <c r="S4372">
        <v>93</v>
      </c>
      <c r="T4372">
        <v>56</v>
      </c>
      <c r="U4372">
        <v>638.04533074070605</v>
      </c>
      <c r="V4372">
        <v>7.2423398328690797E-3</v>
      </c>
      <c r="W4372">
        <v>1571647.09699084</v>
      </c>
      <c r="X4372" t="s">
        <v>44</v>
      </c>
      <c r="Y4372">
        <f>1-642-293-1719</f>
        <v>-2653</v>
      </c>
    </row>
    <row r="4373" spans="1:25" x14ac:dyDescent="0.35">
      <c r="A4373">
        <v>41.453723876931399</v>
      </c>
      <c r="B4373">
        <v>-115.809569545193</v>
      </c>
      <c r="C4373" t="s">
        <v>34</v>
      </c>
      <c r="D4373">
        <v>37.649033233870902</v>
      </c>
      <c r="E4373">
        <v>5</v>
      </c>
      <c r="F4373">
        <v>1541</v>
      </c>
      <c r="G4373">
        <v>1</v>
      </c>
      <c r="H4373">
        <v>2</v>
      </c>
      <c r="I4373">
        <v>2019</v>
      </c>
      <c r="J4373">
        <v>0</v>
      </c>
      <c r="K4373">
        <v>0</v>
      </c>
      <c r="L4373">
        <v>1</v>
      </c>
      <c r="M4373">
        <v>7</v>
      </c>
      <c r="N4373" t="s">
        <v>37</v>
      </c>
      <c r="O4373" t="s">
        <v>30</v>
      </c>
      <c r="P4373">
        <v>7.5649120218975199</v>
      </c>
      <c r="Q4373">
        <v>2.16403983041215</v>
      </c>
      <c r="R4373">
        <v>8.7576375637864103</v>
      </c>
      <c r="S4373">
        <v>106</v>
      </c>
      <c r="T4373">
        <v>26</v>
      </c>
      <c r="U4373">
        <v>750.98035370022205</v>
      </c>
      <c r="V4373">
        <v>4.5425048669694998E-3</v>
      </c>
      <c r="W4373">
        <v>1191898.04332763</v>
      </c>
      <c r="X4373" t="s">
        <v>33</v>
      </c>
      <c r="Y4373">
        <f>1-823-230-2034</f>
        <v>-3086</v>
      </c>
    </row>
    <row r="4374" spans="1:25" x14ac:dyDescent="0.35">
      <c r="A4374">
        <v>36.342040429484797</v>
      </c>
      <c r="B4374">
        <v>-124.40493872421099</v>
      </c>
      <c r="C4374" t="s">
        <v>34</v>
      </c>
      <c r="D4374">
        <v>2.54291502797372</v>
      </c>
      <c r="E4374">
        <v>3</v>
      </c>
      <c r="F4374">
        <v>4942</v>
      </c>
      <c r="G4374">
        <v>2</v>
      </c>
      <c r="H4374">
        <v>1</v>
      </c>
      <c r="I4374">
        <v>1950</v>
      </c>
      <c r="J4374">
        <v>1</v>
      </c>
      <c r="K4374">
        <v>1</v>
      </c>
      <c r="L4374">
        <v>1</v>
      </c>
      <c r="M4374">
        <v>9</v>
      </c>
      <c r="N4374" t="s">
        <v>37</v>
      </c>
      <c r="O4374" t="s">
        <v>30</v>
      </c>
      <c r="P4374">
        <v>12.7177760706938</v>
      </c>
      <c r="Q4374">
        <v>1.9194004740398001</v>
      </c>
      <c r="R4374">
        <v>6.8772348605334397</v>
      </c>
      <c r="S4374">
        <v>160</v>
      </c>
      <c r="T4374">
        <v>34</v>
      </c>
      <c r="U4374">
        <v>336.08366339864301</v>
      </c>
      <c r="V4374">
        <v>1.8211250505868E-3</v>
      </c>
      <c r="W4374">
        <v>1926167.98880644</v>
      </c>
      <c r="X4374" t="s">
        <v>28</v>
      </c>
      <c r="Y4374">
        <f>1-776-858-1250</f>
        <v>-2883</v>
      </c>
    </row>
    <row r="4375" spans="1:25" x14ac:dyDescent="0.35">
      <c r="A4375">
        <v>33.859015006574097</v>
      </c>
      <c r="B4375">
        <v>-123.036214679599</v>
      </c>
      <c r="C4375" t="s">
        <v>34</v>
      </c>
      <c r="D4375">
        <v>11.0322603393736</v>
      </c>
      <c r="E4375">
        <v>9</v>
      </c>
      <c r="F4375">
        <v>2487</v>
      </c>
      <c r="G4375">
        <v>3</v>
      </c>
      <c r="H4375">
        <v>2</v>
      </c>
      <c r="I4375">
        <v>2007</v>
      </c>
      <c r="J4375">
        <v>0</v>
      </c>
      <c r="K4375">
        <v>1</v>
      </c>
      <c r="L4375">
        <v>1</v>
      </c>
      <c r="M4375">
        <v>3</v>
      </c>
      <c r="N4375" t="s">
        <v>41</v>
      </c>
      <c r="O4375" t="s">
        <v>30</v>
      </c>
      <c r="P4375">
        <v>5.4626705318437496</v>
      </c>
      <c r="Q4375">
        <v>2.2837422086642798</v>
      </c>
      <c r="R4375">
        <v>4.06816566478411</v>
      </c>
      <c r="S4375">
        <v>51</v>
      </c>
      <c r="T4375">
        <v>57</v>
      </c>
      <c r="U4375">
        <v>596.50322553442197</v>
      </c>
      <c r="V4375">
        <v>1.2062726176115799E-3</v>
      </c>
      <c r="W4375">
        <v>1945011.94992434</v>
      </c>
      <c r="X4375" t="s">
        <v>28</v>
      </c>
      <c r="Y4375">
        <f>1-657-289-2474</f>
        <v>-3419</v>
      </c>
    </row>
    <row r="4376" spans="1:25" x14ac:dyDescent="0.35">
      <c r="A4376">
        <v>38.883497549245597</v>
      </c>
      <c r="B4376">
        <v>-119.610404855487</v>
      </c>
      <c r="C4376" t="s">
        <v>34</v>
      </c>
      <c r="D4376">
        <v>35.668833514910901</v>
      </c>
      <c r="E4376">
        <v>9</v>
      </c>
      <c r="F4376">
        <v>1595</v>
      </c>
      <c r="G4376">
        <v>1</v>
      </c>
      <c r="H4376">
        <v>1</v>
      </c>
      <c r="I4376">
        <v>1964</v>
      </c>
      <c r="J4376">
        <v>0</v>
      </c>
      <c r="K4376">
        <v>0</v>
      </c>
      <c r="L4376">
        <v>1</v>
      </c>
      <c r="M4376">
        <v>13</v>
      </c>
      <c r="N4376" t="s">
        <v>37</v>
      </c>
      <c r="O4376" t="s">
        <v>32</v>
      </c>
      <c r="P4376">
        <v>10.9755032239526</v>
      </c>
      <c r="Q4376">
        <v>0.56159110773145404</v>
      </c>
      <c r="R4376">
        <v>2.76664033522946</v>
      </c>
      <c r="S4376">
        <v>184</v>
      </c>
      <c r="T4376">
        <v>50</v>
      </c>
      <c r="U4376">
        <v>344.75447457548501</v>
      </c>
      <c r="V4376">
        <v>8.1504702194357299E-3</v>
      </c>
      <c r="W4376">
        <v>589608.31103097601</v>
      </c>
      <c r="X4376" t="s">
        <v>38</v>
      </c>
      <c r="Y4376">
        <f>1-950-436-3489</f>
        <v>-4874</v>
      </c>
    </row>
    <row r="4377" spans="1:25" x14ac:dyDescent="0.35">
      <c r="A4377">
        <v>35.283905328972097</v>
      </c>
      <c r="B4377">
        <v>-119.491351907652</v>
      </c>
      <c r="C4377" t="s">
        <v>25</v>
      </c>
      <c r="D4377">
        <v>30.0393332277661</v>
      </c>
      <c r="E4377">
        <v>4</v>
      </c>
      <c r="F4377">
        <v>1921</v>
      </c>
      <c r="G4377">
        <v>2</v>
      </c>
      <c r="H4377">
        <v>1</v>
      </c>
      <c r="I4377">
        <v>1974</v>
      </c>
      <c r="J4377">
        <v>0</v>
      </c>
      <c r="K4377">
        <v>0</v>
      </c>
      <c r="L4377">
        <v>1</v>
      </c>
      <c r="M4377">
        <v>11</v>
      </c>
      <c r="N4377" t="s">
        <v>41</v>
      </c>
      <c r="O4377" t="s">
        <v>27</v>
      </c>
      <c r="P4377">
        <v>8.5137951423147502</v>
      </c>
      <c r="Q4377">
        <v>2.0642438341374301</v>
      </c>
      <c r="R4377">
        <v>9.0863948737298799</v>
      </c>
      <c r="S4377">
        <v>185</v>
      </c>
      <c r="T4377">
        <v>36</v>
      </c>
      <c r="U4377">
        <v>559.80969265583803</v>
      </c>
      <c r="V4377">
        <v>5.7261842790213404E-3</v>
      </c>
      <c r="W4377">
        <v>1159821.9050925099</v>
      </c>
      <c r="X4377" t="s">
        <v>43</v>
      </c>
      <c r="Y4377">
        <f>1-636-231-7219</f>
        <v>-8085</v>
      </c>
    </row>
    <row r="4378" spans="1:25" x14ac:dyDescent="0.35">
      <c r="A4378">
        <v>40.418021240935403</v>
      </c>
      <c r="B4378">
        <v>-121.47146967921999</v>
      </c>
      <c r="C4378" t="s">
        <v>25</v>
      </c>
      <c r="D4378">
        <v>18.403888349434599</v>
      </c>
      <c r="E4378">
        <v>2</v>
      </c>
      <c r="F4378">
        <v>3767</v>
      </c>
      <c r="G4378">
        <v>2</v>
      </c>
      <c r="H4378">
        <v>1</v>
      </c>
      <c r="I4378">
        <v>1976</v>
      </c>
      <c r="J4378">
        <v>0</v>
      </c>
      <c r="K4378">
        <v>0</v>
      </c>
      <c r="L4378">
        <v>1</v>
      </c>
      <c r="M4378">
        <v>10</v>
      </c>
      <c r="N4378" t="s">
        <v>41</v>
      </c>
      <c r="O4378" t="s">
        <v>27</v>
      </c>
      <c r="P4378">
        <v>6.6650824450210102</v>
      </c>
      <c r="Q4378">
        <v>1.45341906491671</v>
      </c>
      <c r="R4378">
        <v>9.8993364503541805</v>
      </c>
      <c r="S4378">
        <v>39</v>
      </c>
      <c r="T4378">
        <v>78</v>
      </c>
      <c r="U4378">
        <v>800.21634139409605</v>
      </c>
      <c r="V4378">
        <v>2.6546323334218202E-3</v>
      </c>
      <c r="W4378">
        <v>3158603.5099334801</v>
      </c>
      <c r="X4378" t="s">
        <v>44</v>
      </c>
      <c r="Y4378">
        <f>1-773-518-3850</f>
        <v>-5140</v>
      </c>
    </row>
    <row r="4379" spans="1:25" x14ac:dyDescent="0.35">
      <c r="A4379">
        <v>40.711013114181398</v>
      </c>
      <c r="B4379">
        <v>-121.491052979299</v>
      </c>
      <c r="C4379" t="s">
        <v>34</v>
      </c>
      <c r="D4379">
        <v>44.551709595494899</v>
      </c>
      <c r="E4379">
        <v>0</v>
      </c>
      <c r="F4379">
        <v>4198</v>
      </c>
      <c r="G4379">
        <v>2</v>
      </c>
      <c r="H4379">
        <v>3</v>
      </c>
      <c r="I4379">
        <v>1951</v>
      </c>
      <c r="J4379">
        <v>1</v>
      </c>
      <c r="K4379">
        <v>1</v>
      </c>
      <c r="L4379">
        <v>1</v>
      </c>
      <c r="M4379">
        <v>10</v>
      </c>
      <c r="N4379" t="s">
        <v>37</v>
      </c>
      <c r="O4379" t="s">
        <v>30</v>
      </c>
      <c r="P4379">
        <v>13.453685281019901</v>
      </c>
      <c r="Q4379">
        <v>1.50708709147654</v>
      </c>
      <c r="R4379">
        <v>5.94898244883557E-2</v>
      </c>
      <c r="S4379">
        <v>180</v>
      </c>
      <c r="T4379">
        <v>31</v>
      </c>
      <c r="U4379">
        <v>640.01538206052601</v>
      </c>
      <c r="V4379">
        <v>2.3820867079561601E-3</v>
      </c>
      <c r="W4379">
        <v>3049149.3594934801</v>
      </c>
      <c r="X4379" t="s">
        <v>44</v>
      </c>
      <c r="Y4379">
        <f>1-442-574-3097</f>
        <v>-4112</v>
      </c>
    </row>
    <row r="4380" spans="1:25" x14ac:dyDescent="0.35">
      <c r="A4380">
        <v>35.790656454609298</v>
      </c>
      <c r="B4380">
        <v>-121.41425293711499</v>
      </c>
      <c r="C4380" t="s">
        <v>25</v>
      </c>
      <c r="D4380">
        <v>45.823810828183497</v>
      </c>
      <c r="E4380">
        <v>0</v>
      </c>
      <c r="F4380">
        <v>589</v>
      </c>
      <c r="G4380">
        <v>1</v>
      </c>
      <c r="H4380">
        <v>3</v>
      </c>
      <c r="I4380">
        <v>1984</v>
      </c>
      <c r="J4380">
        <v>1</v>
      </c>
      <c r="K4380">
        <v>1</v>
      </c>
      <c r="L4380">
        <v>1</v>
      </c>
      <c r="M4380">
        <v>7</v>
      </c>
      <c r="N4380" t="s">
        <v>26</v>
      </c>
      <c r="O4380" t="s">
        <v>27</v>
      </c>
      <c r="P4380">
        <v>8.3777014927051905</v>
      </c>
      <c r="Q4380">
        <v>0.67544173163678101</v>
      </c>
      <c r="R4380">
        <v>8.4633633956630003</v>
      </c>
      <c r="S4380">
        <v>33</v>
      </c>
      <c r="T4380">
        <v>54</v>
      </c>
      <c r="U4380">
        <v>332.77334570979298</v>
      </c>
      <c r="V4380">
        <v>1.1884550084889599E-2</v>
      </c>
      <c r="W4380">
        <v>405001.725534253</v>
      </c>
      <c r="X4380" t="s">
        <v>44</v>
      </c>
      <c r="Y4380">
        <f>1-711-268-8218</f>
        <v>-9196</v>
      </c>
    </row>
    <row r="4381" spans="1:25" x14ac:dyDescent="0.35">
      <c r="A4381">
        <v>39.708658486519703</v>
      </c>
      <c r="B4381">
        <v>-124.10066050765199</v>
      </c>
      <c r="C4381" t="s">
        <v>34</v>
      </c>
      <c r="D4381">
        <v>3.3908257392858299</v>
      </c>
      <c r="E4381">
        <v>4</v>
      </c>
      <c r="F4381">
        <v>2902</v>
      </c>
      <c r="G4381">
        <v>3</v>
      </c>
      <c r="H4381">
        <v>1</v>
      </c>
      <c r="I4381">
        <v>1972</v>
      </c>
      <c r="J4381">
        <v>1</v>
      </c>
      <c r="K4381">
        <v>0</v>
      </c>
      <c r="L4381">
        <v>0</v>
      </c>
      <c r="M4381">
        <v>4</v>
      </c>
      <c r="N4381" t="s">
        <v>37</v>
      </c>
      <c r="O4381" t="s">
        <v>32</v>
      </c>
      <c r="P4381">
        <v>2.8338750630692502</v>
      </c>
      <c r="Q4381">
        <v>1.3458358409256199</v>
      </c>
      <c r="R4381">
        <v>8.0468881948964697</v>
      </c>
      <c r="S4381">
        <v>160</v>
      </c>
      <c r="T4381">
        <v>65</v>
      </c>
      <c r="U4381">
        <v>414.10673050310101</v>
      </c>
      <c r="V4381">
        <v>1.3783597518952401E-3</v>
      </c>
      <c r="W4381">
        <v>1329654.5366048701</v>
      </c>
      <c r="X4381" t="s">
        <v>28</v>
      </c>
      <c r="Y4381">
        <f>1-420-939-7932</f>
        <v>-9290</v>
      </c>
    </row>
    <row r="4382" spans="1:25" x14ac:dyDescent="0.35">
      <c r="A4382">
        <v>32.743635569225098</v>
      </c>
      <c r="B4382">
        <v>-120.856182318598</v>
      </c>
      <c r="C4382" t="s">
        <v>25</v>
      </c>
      <c r="D4382">
        <v>49.358064093274201</v>
      </c>
      <c r="E4382">
        <v>3</v>
      </c>
      <c r="F4382">
        <v>4192</v>
      </c>
      <c r="G4382">
        <v>1</v>
      </c>
      <c r="H4382">
        <v>2</v>
      </c>
      <c r="I4382">
        <v>2010</v>
      </c>
      <c r="J4382">
        <v>0</v>
      </c>
      <c r="K4382">
        <v>0</v>
      </c>
      <c r="L4382">
        <v>0</v>
      </c>
      <c r="M4382">
        <v>8</v>
      </c>
      <c r="N4382" t="s">
        <v>41</v>
      </c>
      <c r="O4382" t="s">
        <v>27</v>
      </c>
      <c r="P4382">
        <v>12.066025359711601</v>
      </c>
      <c r="Q4382">
        <v>2.1132649686852201</v>
      </c>
      <c r="R4382">
        <v>8.4148692639300808</v>
      </c>
      <c r="S4382">
        <v>39</v>
      </c>
      <c r="T4382">
        <v>41</v>
      </c>
      <c r="U4382">
        <v>775.81824502385098</v>
      </c>
      <c r="V4382">
        <v>1.90839694656488E-3</v>
      </c>
      <c r="W4382">
        <v>3344862.7199131302</v>
      </c>
      <c r="X4382" t="s">
        <v>36</v>
      </c>
      <c r="Y4382">
        <f>1-940-671-7820</f>
        <v>-9430</v>
      </c>
    </row>
    <row r="4383" spans="1:25" x14ac:dyDescent="0.35">
      <c r="A4383">
        <v>37.0570578872507</v>
      </c>
      <c r="B4383">
        <v>-115.66988254178</v>
      </c>
      <c r="C4383" t="s">
        <v>25</v>
      </c>
      <c r="D4383">
        <v>7.8662266080919103</v>
      </c>
      <c r="E4383">
        <v>2</v>
      </c>
      <c r="F4383">
        <v>4212</v>
      </c>
      <c r="G4383">
        <v>5</v>
      </c>
      <c r="H4383">
        <v>3</v>
      </c>
      <c r="I4383">
        <v>2004</v>
      </c>
      <c r="J4383">
        <v>0</v>
      </c>
      <c r="K4383">
        <v>0</v>
      </c>
      <c r="L4383">
        <v>1</v>
      </c>
      <c r="M4383">
        <v>9</v>
      </c>
      <c r="N4383" t="s">
        <v>41</v>
      </c>
      <c r="O4383" t="s">
        <v>30</v>
      </c>
      <c r="P4383">
        <v>7.9463416539678304</v>
      </c>
      <c r="Q4383">
        <v>2.3507909695832701</v>
      </c>
      <c r="R4383">
        <v>9.0295112136487496</v>
      </c>
      <c r="S4383">
        <v>13</v>
      </c>
      <c r="T4383">
        <v>50</v>
      </c>
      <c r="U4383">
        <v>458.36783246133302</v>
      </c>
      <c r="V4383">
        <v>2.13675213675213E-3</v>
      </c>
      <c r="W4383">
        <v>2301022.7636246998</v>
      </c>
      <c r="X4383" t="s">
        <v>39</v>
      </c>
      <c r="Y4383">
        <f>1-688-947-2492</f>
        <v>-4126</v>
      </c>
    </row>
    <row r="4384" spans="1:25" x14ac:dyDescent="0.35">
      <c r="A4384">
        <v>37.475244647849898</v>
      </c>
      <c r="B4384">
        <v>-114.734522120443</v>
      </c>
      <c r="C4384" t="s">
        <v>34</v>
      </c>
      <c r="D4384">
        <v>13.5797431227997</v>
      </c>
      <c r="E4384">
        <v>5</v>
      </c>
      <c r="F4384">
        <v>4539</v>
      </c>
      <c r="G4384">
        <v>2</v>
      </c>
      <c r="H4384">
        <v>3</v>
      </c>
      <c r="I4384">
        <v>2010</v>
      </c>
      <c r="J4384">
        <v>0</v>
      </c>
      <c r="K4384">
        <v>1</v>
      </c>
      <c r="L4384">
        <v>0</v>
      </c>
      <c r="M4384">
        <v>9</v>
      </c>
      <c r="N4384" t="s">
        <v>41</v>
      </c>
      <c r="O4384" t="s">
        <v>30</v>
      </c>
      <c r="P4384">
        <v>11.3960197815451</v>
      </c>
      <c r="Q4384">
        <v>1.51877827888995</v>
      </c>
      <c r="R4384">
        <v>8.2769525177497307</v>
      </c>
      <c r="S4384">
        <v>118</v>
      </c>
      <c r="T4384">
        <v>57</v>
      </c>
      <c r="U4384">
        <v>458.37488943474602</v>
      </c>
      <c r="V4384">
        <v>1.9828155981493701E-3</v>
      </c>
      <c r="W4384">
        <v>2421167.9168180102</v>
      </c>
      <c r="X4384" t="s">
        <v>39</v>
      </c>
      <c r="Y4384">
        <f>1-783-662-2760</f>
        <v>-4204</v>
      </c>
    </row>
    <row r="4385" spans="1:25" x14ac:dyDescent="0.35">
      <c r="A4385">
        <v>32.818732302510099</v>
      </c>
      <c r="B4385">
        <v>-119.32036051947701</v>
      </c>
      <c r="C4385" t="s">
        <v>25</v>
      </c>
      <c r="D4385">
        <v>48.0269824558696</v>
      </c>
      <c r="E4385">
        <v>3</v>
      </c>
      <c r="F4385">
        <v>3498</v>
      </c>
      <c r="G4385">
        <v>2</v>
      </c>
      <c r="H4385">
        <v>2</v>
      </c>
      <c r="I4385">
        <v>2019</v>
      </c>
      <c r="J4385">
        <v>1</v>
      </c>
      <c r="K4385">
        <v>1</v>
      </c>
      <c r="L4385">
        <v>0</v>
      </c>
      <c r="M4385">
        <v>13</v>
      </c>
      <c r="N4385" t="s">
        <v>37</v>
      </c>
      <c r="O4385" t="s">
        <v>32</v>
      </c>
      <c r="P4385">
        <v>3.3438351252924399</v>
      </c>
      <c r="Q4385">
        <v>1.0771269061756099</v>
      </c>
      <c r="R4385">
        <v>2.3423923210414301</v>
      </c>
      <c r="S4385">
        <v>119</v>
      </c>
      <c r="T4385">
        <v>33</v>
      </c>
      <c r="U4385">
        <v>324.53825660375702</v>
      </c>
      <c r="V4385">
        <v>3.7164093767867298E-3</v>
      </c>
      <c r="W4385">
        <v>1502728.4090466099</v>
      </c>
      <c r="X4385" t="s">
        <v>28</v>
      </c>
      <c r="Y4385">
        <f>1-279-335-9946</f>
        <v>-10559</v>
      </c>
    </row>
    <row r="4386" spans="1:25" x14ac:dyDescent="0.35">
      <c r="A4386">
        <v>40.244976688073002</v>
      </c>
      <c r="B4386">
        <v>-122.78791811673899</v>
      </c>
      <c r="C4386" t="s">
        <v>29</v>
      </c>
      <c r="D4386">
        <v>47.678686660787903</v>
      </c>
      <c r="E4386">
        <v>3</v>
      </c>
      <c r="F4386">
        <v>717</v>
      </c>
      <c r="G4386">
        <v>3</v>
      </c>
      <c r="H4386">
        <v>1</v>
      </c>
      <c r="I4386">
        <v>1952</v>
      </c>
      <c r="J4386">
        <v>0</v>
      </c>
      <c r="K4386">
        <v>1</v>
      </c>
      <c r="L4386">
        <v>0</v>
      </c>
      <c r="M4386">
        <v>5</v>
      </c>
      <c r="N4386" t="s">
        <v>35</v>
      </c>
      <c r="O4386" t="s">
        <v>30</v>
      </c>
      <c r="P4386">
        <v>11.3821339574143</v>
      </c>
      <c r="Q4386">
        <v>2.0215139155493298</v>
      </c>
      <c r="R4386">
        <v>4.6525490530251403</v>
      </c>
      <c r="S4386">
        <v>58</v>
      </c>
      <c r="T4386">
        <v>26</v>
      </c>
      <c r="U4386">
        <v>914.87134512788498</v>
      </c>
      <c r="V4386">
        <v>6.9735006973500697E-3</v>
      </c>
      <c r="W4386">
        <v>867639.32099835901</v>
      </c>
      <c r="X4386" t="s">
        <v>36</v>
      </c>
      <c r="Y4386">
        <f>1-279-633-2866</f>
        <v>-3777</v>
      </c>
    </row>
    <row r="4387" spans="1:25" x14ac:dyDescent="0.35">
      <c r="A4387">
        <v>37.352022101415997</v>
      </c>
      <c r="B4387">
        <v>-121.615441175621</v>
      </c>
      <c r="C4387" t="s">
        <v>34</v>
      </c>
      <c r="D4387">
        <v>49.118947699467</v>
      </c>
      <c r="E4387">
        <v>5</v>
      </c>
      <c r="F4387">
        <v>3281</v>
      </c>
      <c r="G4387">
        <v>4</v>
      </c>
      <c r="H4387">
        <v>1</v>
      </c>
      <c r="I4387">
        <v>1999</v>
      </c>
      <c r="J4387">
        <v>1</v>
      </c>
      <c r="K4387">
        <v>0</v>
      </c>
      <c r="L4387">
        <v>1</v>
      </c>
      <c r="M4387">
        <v>6</v>
      </c>
      <c r="N4387" t="s">
        <v>37</v>
      </c>
      <c r="O4387" t="s">
        <v>30</v>
      </c>
      <c r="P4387">
        <v>9.0681020255404601</v>
      </c>
      <c r="Q4387">
        <v>1.5727845285636799</v>
      </c>
      <c r="R4387">
        <v>9.97664387822884</v>
      </c>
      <c r="S4387">
        <v>12</v>
      </c>
      <c r="T4387">
        <v>53</v>
      </c>
      <c r="U4387">
        <v>710.70951429076104</v>
      </c>
      <c r="V4387">
        <v>1.8287107589149601E-3</v>
      </c>
      <c r="W4387">
        <v>2698359.8513439801</v>
      </c>
      <c r="X4387" t="s">
        <v>38</v>
      </c>
      <c r="Y4387">
        <f>1-827-670-3667</f>
        <v>-5163</v>
      </c>
    </row>
    <row r="4388" spans="1:25" x14ac:dyDescent="0.35">
      <c r="A4388">
        <v>41.338409361070198</v>
      </c>
      <c r="B4388">
        <v>-114.73853171165899</v>
      </c>
      <c r="C4388" t="s">
        <v>34</v>
      </c>
      <c r="D4388">
        <v>14.920887515694799</v>
      </c>
      <c r="E4388">
        <v>2</v>
      </c>
      <c r="F4388">
        <v>2835</v>
      </c>
      <c r="G4388">
        <v>2</v>
      </c>
      <c r="H4388">
        <v>1</v>
      </c>
      <c r="I4388">
        <v>1989</v>
      </c>
      <c r="J4388">
        <v>0</v>
      </c>
      <c r="K4388">
        <v>1</v>
      </c>
      <c r="L4388">
        <v>1</v>
      </c>
      <c r="M4388">
        <v>8</v>
      </c>
      <c r="N4388" t="s">
        <v>26</v>
      </c>
      <c r="O4388" t="s">
        <v>27</v>
      </c>
      <c r="P4388">
        <v>14.3677452273414</v>
      </c>
      <c r="Q4388">
        <v>0.85655835694204197</v>
      </c>
      <c r="R4388">
        <v>2.62723215217849</v>
      </c>
      <c r="S4388">
        <v>8</v>
      </c>
      <c r="T4388">
        <v>51</v>
      </c>
      <c r="U4388">
        <v>653.00067273607203</v>
      </c>
      <c r="V4388">
        <v>2.8218694885361502E-3</v>
      </c>
      <c r="W4388">
        <v>2184741.1876689401</v>
      </c>
      <c r="X4388" t="s">
        <v>28</v>
      </c>
      <c r="Y4388">
        <f>1-650-648-8702</f>
        <v>-9999</v>
      </c>
    </row>
    <row r="4389" spans="1:25" x14ac:dyDescent="0.35">
      <c r="A4389">
        <v>36.055699227300003</v>
      </c>
      <c r="B4389">
        <v>-122.485204320167</v>
      </c>
      <c r="C4389" t="s">
        <v>29</v>
      </c>
      <c r="D4389">
        <v>17.801120538931901</v>
      </c>
      <c r="E4389">
        <v>7</v>
      </c>
      <c r="F4389">
        <v>1192</v>
      </c>
      <c r="G4389">
        <v>3</v>
      </c>
      <c r="H4389">
        <v>1</v>
      </c>
      <c r="I4389">
        <v>2014</v>
      </c>
      <c r="J4389">
        <v>0</v>
      </c>
      <c r="K4389">
        <v>0</v>
      </c>
      <c r="L4389">
        <v>1</v>
      </c>
      <c r="M4389">
        <v>11</v>
      </c>
      <c r="N4389" t="s">
        <v>41</v>
      </c>
      <c r="O4389" t="s">
        <v>30</v>
      </c>
      <c r="P4389">
        <v>9.2978925008526403</v>
      </c>
      <c r="Q4389">
        <v>1.85755131603651</v>
      </c>
      <c r="R4389">
        <v>9.0499630711748704</v>
      </c>
      <c r="S4389">
        <v>173</v>
      </c>
      <c r="T4389">
        <v>57</v>
      </c>
      <c r="U4389">
        <v>733.53555734030704</v>
      </c>
      <c r="V4389">
        <v>9.2281879194630791E-3</v>
      </c>
      <c r="W4389">
        <v>1027732.27809418</v>
      </c>
      <c r="X4389" t="s">
        <v>44</v>
      </c>
      <c r="Y4389">
        <f>1-271-786-3175</f>
        <v>-4231</v>
      </c>
    </row>
    <row r="4390" spans="1:25" x14ac:dyDescent="0.35">
      <c r="A4390">
        <v>39.181954369778197</v>
      </c>
      <c r="B4390">
        <v>-115.290124072428</v>
      </c>
      <c r="C4390" t="s">
        <v>25</v>
      </c>
      <c r="D4390">
        <v>1.1058254852967799</v>
      </c>
      <c r="E4390">
        <v>0</v>
      </c>
      <c r="F4390">
        <v>702</v>
      </c>
      <c r="G4390">
        <v>5</v>
      </c>
      <c r="H4390">
        <v>1</v>
      </c>
      <c r="I4390">
        <v>1973</v>
      </c>
      <c r="J4390">
        <v>0</v>
      </c>
      <c r="K4390">
        <v>1</v>
      </c>
      <c r="L4390">
        <v>1</v>
      </c>
      <c r="M4390">
        <v>10</v>
      </c>
      <c r="N4390" t="s">
        <v>41</v>
      </c>
      <c r="O4390" t="s">
        <v>30</v>
      </c>
      <c r="P4390">
        <v>2.9514279160936199</v>
      </c>
      <c r="Q4390">
        <v>0.93317649232324695</v>
      </c>
      <c r="R4390">
        <v>7.2334650885704503</v>
      </c>
      <c r="S4390">
        <v>13</v>
      </c>
      <c r="T4390">
        <v>21</v>
      </c>
      <c r="U4390">
        <v>860.85403292812896</v>
      </c>
      <c r="V4390">
        <v>1.42450142450142E-2</v>
      </c>
      <c r="W4390">
        <v>958196.03364315897</v>
      </c>
      <c r="X4390" t="s">
        <v>40</v>
      </c>
      <c r="Y4390">
        <f>1-722-160-3441</f>
        <v>-4322</v>
      </c>
    </row>
    <row r="4391" spans="1:25" x14ac:dyDescent="0.35">
      <c r="A4391">
        <v>38.039164931457201</v>
      </c>
      <c r="B4391">
        <v>-123.184384042012</v>
      </c>
      <c r="C4391" t="s">
        <v>29</v>
      </c>
      <c r="D4391">
        <v>31.2971106868685</v>
      </c>
      <c r="E4391">
        <v>8</v>
      </c>
      <c r="F4391">
        <v>1391</v>
      </c>
      <c r="G4391">
        <v>3</v>
      </c>
      <c r="H4391">
        <v>2</v>
      </c>
      <c r="I4391">
        <v>1990</v>
      </c>
      <c r="J4391">
        <v>1</v>
      </c>
      <c r="K4391">
        <v>1</v>
      </c>
      <c r="L4391">
        <v>0</v>
      </c>
      <c r="M4391">
        <v>9</v>
      </c>
      <c r="N4391" t="s">
        <v>37</v>
      </c>
      <c r="O4391" t="s">
        <v>27</v>
      </c>
      <c r="P4391">
        <v>14.503997723088499</v>
      </c>
      <c r="Q4391">
        <v>1.3228455215758801</v>
      </c>
      <c r="R4391">
        <v>3.3088612910557799E-2</v>
      </c>
      <c r="S4391">
        <v>153</v>
      </c>
      <c r="T4391">
        <v>68</v>
      </c>
      <c r="U4391">
        <v>876.19721493219299</v>
      </c>
      <c r="V4391">
        <v>6.4701653486700199E-3</v>
      </c>
      <c r="W4391">
        <v>1482791.9984739199</v>
      </c>
      <c r="X4391" t="s">
        <v>42</v>
      </c>
      <c r="Y4391">
        <f>1-640-288-8656</f>
        <v>-9583</v>
      </c>
    </row>
    <row r="4392" spans="1:25" x14ac:dyDescent="0.35">
      <c r="A4392">
        <v>33.751350410128801</v>
      </c>
      <c r="B4392">
        <v>-121.095256539944</v>
      </c>
      <c r="C4392" t="s">
        <v>34</v>
      </c>
      <c r="D4392">
        <v>32.231412666575899</v>
      </c>
      <c r="E4392">
        <v>5</v>
      </c>
      <c r="F4392">
        <v>604</v>
      </c>
      <c r="G4392">
        <v>1</v>
      </c>
      <c r="H4392">
        <v>1</v>
      </c>
      <c r="I4392">
        <v>1952</v>
      </c>
      <c r="J4392">
        <v>0</v>
      </c>
      <c r="K4392">
        <v>1</v>
      </c>
      <c r="L4392">
        <v>0</v>
      </c>
      <c r="M4392">
        <v>10</v>
      </c>
      <c r="N4392" t="s">
        <v>37</v>
      </c>
      <c r="O4392" t="s">
        <v>30</v>
      </c>
      <c r="P4392">
        <v>14.9826901774085</v>
      </c>
      <c r="Q4392">
        <v>0.67199110347785695</v>
      </c>
      <c r="R4392">
        <v>2.65954055672437</v>
      </c>
      <c r="S4392">
        <v>1</v>
      </c>
      <c r="T4392">
        <v>76</v>
      </c>
      <c r="U4392">
        <v>702.01272281890601</v>
      </c>
      <c r="V4392">
        <v>1.6556291390728398E-2</v>
      </c>
      <c r="W4392">
        <v>674601.55769087502</v>
      </c>
      <c r="X4392" t="s">
        <v>36</v>
      </c>
      <c r="Y4392">
        <f>1-367-539-5327</f>
        <v>-6232</v>
      </c>
    </row>
    <row r="4393" spans="1:25" x14ac:dyDescent="0.35">
      <c r="A4393">
        <v>38.319884399401303</v>
      </c>
      <c r="B4393">
        <v>-120.35000911424</v>
      </c>
      <c r="C4393" t="s">
        <v>25</v>
      </c>
      <c r="D4393">
        <v>17.6527018396763</v>
      </c>
      <c r="E4393">
        <v>8</v>
      </c>
      <c r="F4393">
        <v>2498</v>
      </c>
      <c r="G4393">
        <v>3</v>
      </c>
      <c r="H4393">
        <v>2</v>
      </c>
      <c r="I4393">
        <v>2012</v>
      </c>
      <c r="J4393">
        <v>0</v>
      </c>
      <c r="K4393">
        <v>1</v>
      </c>
      <c r="L4393">
        <v>0</v>
      </c>
      <c r="M4393">
        <v>14</v>
      </c>
      <c r="N4393" t="s">
        <v>37</v>
      </c>
      <c r="O4393" t="s">
        <v>32</v>
      </c>
      <c r="P4393">
        <v>6.3009911039306798</v>
      </c>
      <c r="Q4393">
        <v>1.19011603280557</v>
      </c>
      <c r="R4393">
        <v>6.1961033811872204</v>
      </c>
      <c r="S4393">
        <v>95</v>
      </c>
      <c r="T4393">
        <v>40</v>
      </c>
      <c r="U4393">
        <v>707.56177575323397</v>
      </c>
      <c r="V4393">
        <v>5.60448358686949E-3</v>
      </c>
      <c r="W4393">
        <v>2117559.6587169599</v>
      </c>
      <c r="X4393" t="s">
        <v>44</v>
      </c>
      <c r="Y4393">
        <f>1-212-281-1859</f>
        <v>-2351</v>
      </c>
    </row>
    <row r="4394" spans="1:25" x14ac:dyDescent="0.35">
      <c r="A4394">
        <v>39.061529151779801</v>
      </c>
      <c r="B4394">
        <v>-123.168083087545</v>
      </c>
      <c r="C4394" t="s">
        <v>25</v>
      </c>
      <c r="D4394">
        <v>15.068564172336099</v>
      </c>
      <c r="E4394">
        <v>8</v>
      </c>
      <c r="F4394">
        <v>3141</v>
      </c>
      <c r="G4394">
        <v>3</v>
      </c>
      <c r="H4394">
        <v>3</v>
      </c>
      <c r="I4394">
        <v>2007</v>
      </c>
      <c r="J4394">
        <v>1</v>
      </c>
      <c r="K4394">
        <v>1</v>
      </c>
      <c r="L4394">
        <v>0</v>
      </c>
      <c r="M4394">
        <v>7</v>
      </c>
      <c r="N4394" t="s">
        <v>26</v>
      </c>
      <c r="O4394" t="s">
        <v>32</v>
      </c>
      <c r="P4394">
        <v>2.1551961630375001</v>
      </c>
      <c r="Q4394">
        <v>1.65528405676672</v>
      </c>
      <c r="R4394">
        <v>6.7402263053823299</v>
      </c>
      <c r="S4394">
        <v>121</v>
      </c>
      <c r="T4394">
        <v>34</v>
      </c>
      <c r="U4394">
        <v>958.48608972032696</v>
      </c>
      <c r="V4394">
        <v>2.2285896211397599E-3</v>
      </c>
      <c r="W4394">
        <v>3417199.6269754102</v>
      </c>
      <c r="X4394" t="s">
        <v>31</v>
      </c>
      <c r="Y4394">
        <f>1-600-981-9276</f>
        <v>-10856</v>
      </c>
    </row>
    <row r="4395" spans="1:25" x14ac:dyDescent="0.35">
      <c r="A4395">
        <v>37.886588806746502</v>
      </c>
      <c r="B4395">
        <v>-117.025469537826</v>
      </c>
      <c r="C4395" t="s">
        <v>34</v>
      </c>
      <c r="D4395">
        <v>43.797295103831999</v>
      </c>
      <c r="E4395">
        <v>3</v>
      </c>
      <c r="F4395">
        <v>4690</v>
      </c>
      <c r="G4395">
        <v>5</v>
      </c>
      <c r="H4395">
        <v>3</v>
      </c>
      <c r="I4395">
        <v>1968</v>
      </c>
      <c r="J4395">
        <v>1</v>
      </c>
      <c r="K4395">
        <v>0</v>
      </c>
      <c r="L4395">
        <v>0</v>
      </c>
      <c r="M4395">
        <v>9</v>
      </c>
      <c r="N4395" t="s">
        <v>35</v>
      </c>
      <c r="O4395" t="s">
        <v>27</v>
      </c>
      <c r="P4395">
        <v>12.8597483860705</v>
      </c>
      <c r="Q4395">
        <v>0.58720866302852104</v>
      </c>
      <c r="R4395">
        <v>5.7015779528032198</v>
      </c>
      <c r="S4395">
        <v>107</v>
      </c>
      <c r="T4395">
        <v>40</v>
      </c>
      <c r="U4395">
        <v>425.547685370213</v>
      </c>
      <c r="V4395">
        <v>1.9189765458422099E-3</v>
      </c>
      <c r="W4395">
        <v>2341896.49765692</v>
      </c>
      <c r="X4395" t="s">
        <v>39</v>
      </c>
      <c r="Y4395">
        <f>1-983-920-1580</f>
        <v>-3482</v>
      </c>
    </row>
    <row r="4396" spans="1:25" x14ac:dyDescent="0.35">
      <c r="A4396">
        <v>40.130518630716097</v>
      </c>
      <c r="B4396">
        <v>-122.262347005988</v>
      </c>
      <c r="C4396" t="s">
        <v>34</v>
      </c>
      <c r="D4396">
        <v>40.290466026597002</v>
      </c>
      <c r="E4396">
        <v>6</v>
      </c>
      <c r="F4396">
        <v>4023</v>
      </c>
      <c r="G4396">
        <v>4</v>
      </c>
      <c r="H4396">
        <v>3</v>
      </c>
      <c r="I4396">
        <v>1984</v>
      </c>
      <c r="J4396">
        <v>1</v>
      </c>
      <c r="K4396">
        <v>0</v>
      </c>
      <c r="L4396">
        <v>1</v>
      </c>
      <c r="M4396">
        <v>2</v>
      </c>
      <c r="N4396" t="s">
        <v>35</v>
      </c>
      <c r="O4396" t="s">
        <v>30</v>
      </c>
      <c r="P4396">
        <v>3.0182087890397402</v>
      </c>
      <c r="Q4396">
        <v>1.0629598846837001</v>
      </c>
      <c r="R4396">
        <v>1.39798529473307</v>
      </c>
      <c r="S4396">
        <v>111</v>
      </c>
      <c r="T4396">
        <v>71</v>
      </c>
      <c r="U4396">
        <v>913.37483568422294</v>
      </c>
      <c r="V4396">
        <v>4.9714143673875203E-4</v>
      </c>
      <c r="W4396">
        <v>4018256.8006815598</v>
      </c>
      <c r="X4396" t="s">
        <v>31</v>
      </c>
      <c r="Y4396">
        <f>1-692-584-5548</f>
        <v>-6823</v>
      </c>
    </row>
    <row r="4397" spans="1:25" x14ac:dyDescent="0.35">
      <c r="A4397">
        <v>37.670954841772698</v>
      </c>
      <c r="B4397">
        <v>-114.22649416452499</v>
      </c>
      <c r="C4397" t="s">
        <v>29</v>
      </c>
      <c r="D4397">
        <v>34.672829650963997</v>
      </c>
      <c r="E4397">
        <v>3</v>
      </c>
      <c r="F4397">
        <v>4688</v>
      </c>
      <c r="G4397">
        <v>4</v>
      </c>
      <c r="H4397">
        <v>2</v>
      </c>
      <c r="I4397">
        <v>1996</v>
      </c>
      <c r="J4397">
        <v>0</v>
      </c>
      <c r="K4397">
        <v>1</v>
      </c>
      <c r="L4397">
        <v>0</v>
      </c>
      <c r="M4397">
        <v>5</v>
      </c>
      <c r="N4397" t="s">
        <v>26</v>
      </c>
      <c r="O4397" t="s">
        <v>27</v>
      </c>
      <c r="P4397">
        <v>4.7660943113124796</v>
      </c>
      <c r="Q4397">
        <v>0.75760657793852004</v>
      </c>
      <c r="R4397">
        <v>9.7203402110034993</v>
      </c>
      <c r="S4397">
        <v>35</v>
      </c>
      <c r="T4397">
        <v>76</v>
      </c>
      <c r="U4397">
        <v>255.00473879970301</v>
      </c>
      <c r="V4397">
        <v>1.06655290102389E-3</v>
      </c>
      <c r="W4397">
        <v>1502944.3732286701</v>
      </c>
      <c r="X4397" t="s">
        <v>44</v>
      </c>
      <c r="Y4397">
        <f>1-614-511-8643</f>
        <v>-9767</v>
      </c>
    </row>
    <row r="4398" spans="1:25" x14ac:dyDescent="0.35">
      <c r="A4398">
        <v>37.850866505953803</v>
      </c>
      <c r="B4398">
        <v>-114.88061979817</v>
      </c>
      <c r="C4398" t="s">
        <v>29</v>
      </c>
      <c r="D4398">
        <v>40.717492023421599</v>
      </c>
      <c r="E4398">
        <v>1</v>
      </c>
      <c r="F4398">
        <v>1502</v>
      </c>
      <c r="G4398">
        <v>3</v>
      </c>
      <c r="H4398">
        <v>1</v>
      </c>
      <c r="I4398">
        <v>1964</v>
      </c>
      <c r="J4398">
        <v>0</v>
      </c>
      <c r="K4398">
        <v>0</v>
      </c>
      <c r="L4398">
        <v>0</v>
      </c>
      <c r="M4398">
        <v>5</v>
      </c>
      <c r="N4398" t="s">
        <v>35</v>
      </c>
      <c r="O4398" t="s">
        <v>30</v>
      </c>
      <c r="P4398">
        <v>12.747529612956701</v>
      </c>
      <c r="Q4398">
        <v>2.1694181279548199</v>
      </c>
      <c r="R4398">
        <v>0.83262618690333101</v>
      </c>
      <c r="S4398">
        <v>66</v>
      </c>
      <c r="T4398">
        <v>33</v>
      </c>
      <c r="U4398">
        <v>875.04586940803199</v>
      </c>
      <c r="V4398">
        <v>3.3288948069240998E-3</v>
      </c>
      <c r="W4398">
        <v>1557217.7064070001</v>
      </c>
      <c r="X4398" t="s">
        <v>28</v>
      </c>
      <c r="Y4398">
        <f>1-404-988-3885</f>
        <v>-5276</v>
      </c>
    </row>
    <row r="4399" spans="1:25" x14ac:dyDescent="0.35">
      <c r="A4399">
        <v>39.022185114354301</v>
      </c>
      <c r="B4399">
        <v>-119.681530456337</v>
      </c>
      <c r="C4399" t="s">
        <v>25</v>
      </c>
      <c r="D4399">
        <v>48.998488658954102</v>
      </c>
      <c r="E4399">
        <v>3</v>
      </c>
      <c r="F4399">
        <v>4486</v>
      </c>
      <c r="G4399">
        <v>4</v>
      </c>
      <c r="H4399">
        <v>3</v>
      </c>
      <c r="I4399">
        <v>1968</v>
      </c>
      <c r="J4399">
        <v>1</v>
      </c>
      <c r="K4399">
        <v>0</v>
      </c>
      <c r="L4399">
        <v>1</v>
      </c>
      <c r="M4399">
        <v>11</v>
      </c>
      <c r="N4399" t="s">
        <v>37</v>
      </c>
      <c r="O4399" t="s">
        <v>32</v>
      </c>
      <c r="P4399">
        <v>2.5673379373127698</v>
      </c>
      <c r="Q4399">
        <v>0.77354717627222502</v>
      </c>
      <c r="R4399">
        <v>0.973406059716176</v>
      </c>
      <c r="S4399">
        <v>82</v>
      </c>
      <c r="T4399">
        <v>55</v>
      </c>
      <c r="U4399">
        <v>939.53158099545396</v>
      </c>
      <c r="V4399">
        <v>2.4520731163620098E-3</v>
      </c>
      <c r="W4399">
        <v>4533207.8939007698</v>
      </c>
      <c r="X4399" t="s">
        <v>28</v>
      </c>
      <c r="Y4399">
        <f>1-355-681-2119</f>
        <v>-3154</v>
      </c>
    </row>
    <row r="4400" spans="1:25" x14ac:dyDescent="0.35">
      <c r="A4400">
        <v>32.522292659527999</v>
      </c>
      <c r="B4400">
        <v>-121.59971837268399</v>
      </c>
      <c r="C4400" t="s">
        <v>29</v>
      </c>
      <c r="D4400">
        <v>6.0287209174249696</v>
      </c>
      <c r="E4400">
        <v>1</v>
      </c>
      <c r="F4400">
        <v>3630</v>
      </c>
      <c r="G4400">
        <v>2</v>
      </c>
      <c r="H4400">
        <v>1</v>
      </c>
      <c r="I4400">
        <v>2019</v>
      </c>
      <c r="J4400">
        <v>1</v>
      </c>
      <c r="K4400">
        <v>1</v>
      </c>
      <c r="L4400">
        <v>1</v>
      </c>
      <c r="M4400">
        <v>8</v>
      </c>
      <c r="N4400" t="s">
        <v>41</v>
      </c>
      <c r="O4400" t="s">
        <v>30</v>
      </c>
      <c r="P4400">
        <v>7.6801149456779498</v>
      </c>
      <c r="Q4400">
        <v>1.96208924927718</v>
      </c>
      <c r="R4400">
        <v>6.8276983992242304</v>
      </c>
      <c r="S4400">
        <v>150</v>
      </c>
      <c r="T4400">
        <v>38</v>
      </c>
      <c r="U4400">
        <v>853.32313380659798</v>
      </c>
      <c r="V4400">
        <v>2.2038567493112898E-3</v>
      </c>
      <c r="W4400">
        <v>3458509.0761126401</v>
      </c>
      <c r="X4400" t="s">
        <v>33</v>
      </c>
      <c r="Y4400">
        <f>1-589-871-8838</f>
        <v>-10297</v>
      </c>
    </row>
    <row r="4401" spans="1:25" x14ac:dyDescent="0.35">
      <c r="A4401">
        <v>34.353781729311798</v>
      </c>
      <c r="B4401">
        <v>-121.267462527974</v>
      </c>
      <c r="C4401" t="s">
        <v>29</v>
      </c>
      <c r="D4401">
        <v>33.400840787422503</v>
      </c>
      <c r="E4401">
        <v>8</v>
      </c>
      <c r="F4401">
        <v>3920</v>
      </c>
      <c r="G4401">
        <v>5</v>
      </c>
      <c r="H4401">
        <v>2</v>
      </c>
      <c r="I4401">
        <v>2004</v>
      </c>
      <c r="J4401">
        <v>0</v>
      </c>
      <c r="K4401">
        <v>1</v>
      </c>
      <c r="L4401">
        <v>1</v>
      </c>
      <c r="M4401">
        <v>10</v>
      </c>
      <c r="N4401" t="s">
        <v>37</v>
      </c>
      <c r="O4401" t="s">
        <v>27</v>
      </c>
      <c r="P4401">
        <v>4.2968610921371404</v>
      </c>
      <c r="Q4401">
        <v>1.42925286991334</v>
      </c>
      <c r="R4401">
        <v>3.6128916555384101</v>
      </c>
      <c r="S4401">
        <v>42</v>
      </c>
      <c r="T4401">
        <v>65</v>
      </c>
      <c r="U4401">
        <v>738.91272682192198</v>
      </c>
      <c r="V4401">
        <v>2.5510204081632599E-3</v>
      </c>
      <c r="W4401">
        <v>3356319.23321953</v>
      </c>
      <c r="X4401" t="s">
        <v>31</v>
      </c>
      <c r="Y4401">
        <f>1-578-173-4520</f>
        <v>-5270</v>
      </c>
    </row>
    <row r="4402" spans="1:25" x14ac:dyDescent="0.35">
      <c r="A4402">
        <v>37.017349448190899</v>
      </c>
      <c r="B4402">
        <v>-122.45039216962201</v>
      </c>
      <c r="C4402" t="s">
        <v>34</v>
      </c>
      <c r="D4402">
        <v>37.699639972719098</v>
      </c>
      <c r="E4402">
        <v>8</v>
      </c>
      <c r="F4402">
        <v>3783</v>
      </c>
      <c r="G4402">
        <v>3</v>
      </c>
      <c r="H4402">
        <v>2</v>
      </c>
      <c r="I4402">
        <v>1952</v>
      </c>
      <c r="J4402">
        <v>1</v>
      </c>
      <c r="K4402">
        <v>0</v>
      </c>
      <c r="L4402">
        <v>1</v>
      </c>
      <c r="M4402">
        <v>12</v>
      </c>
      <c r="N4402" t="s">
        <v>26</v>
      </c>
      <c r="O4402" t="s">
        <v>27</v>
      </c>
      <c r="P4402">
        <v>3.7759821988570699</v>
      </c>
      <c r="Q4402">
        <v>1.2967375097179901</v>
      </c>
      <c r="R4402">
        <v>1.78227038617164</v>
      </c>
      <c r="S4402">
        <v>31</v>
      </c>
      <c r="T4402">
        <v>45</v>
      </c>
      <c r="U4402">
        <v>769.91015740928901</v>
      </c>
      <c r="V4402">
        <v>3.17208564631245E-3</v>
      </c>
      <c r="W4402">
        <v>3034912.6736218999</v>
      </c>
      <c r="X4402" t="s">
        <v>31</v>
      </c>
      <c r="Y4402">
        <f>1-908-569-2072</f>
        <v>-3548</v>
      </c>
    </row>
    <row r="4403" spans="1:25" x14ac:dyDescent="0.35">
      <c r="A4403">
        <v>41.434725378884103</v>
      </c>
      <c r="B4403">
        <v>-118.327417480314</v>
      </c>
      <c r="C4403" t="s">
        <v>29</v>
      </c>
      <c r="D4403">
        <v>36.992011255985403</v>
      </c>
      <c r="E4403">
        <v>4</v>
      </c>
      <c r="F4403">
        <v>3791</v>
      </c>
      <c r="G4403">
        <v>4</v>
      </c>
      <c r="H4403">
        <v>2</v>
      </c>
      <c r="I4403">
        <v>1967</v>
      </c>
      <c r="J4403">
        <v>0</v>
      </c>
      <c r="K4403">
        <v>0</v>
      </c>
      <c r="L4403">
        <v>0</v>
      </c>
      <c r="M4403">
        <v>7</v>
      </c>
      <c r="N4403" t="s">
        <v>37</v>
      </c>
      <c r="O4403" t="s">
        <v>30</v>
      </c>
      <c r="P4403">
        <v>12.098514792348</v>
      </c>
      <c r="Q4403">
        <v>0.94250053328083305</v>
      </c>
      <c r="R4403">
        <v>5.8898230595725902</v>
      </c>
      <c r="S4403">
        <v>18</v>
      </c>
      <c r="T4403">
        <v>33</v>
      </c>
      <c r="U4403">
        <v>359.07823297042398</v>
      </c>
      <c r="V4403">
        <v>1.84647850171458E-3</v>
      </c>
      <c r="W4403">
        <v>1656160.71835078</v>
      </c>
      <c r="X4403" t="s">
        <v>33</v>
      </c>
      <c r="Y4403">
        <f>1-983-146-2701</f>
        <v>-3829</v>
      </c>
    </row>
    <row r="4404" spans="1:25" x14ac:dyDescent="0.35">
      <c r="A4404">
        <v>39.782986136126702</v>
      </c>
      <c r="B4404">
        <v>-119.49915378842699</v>
      </c>
      <c r="C4404" t="s">
        <v>25</v>
      </c>
      <c r="D4404">
        <v>9.6322582925595697</v>
      </c>
      <c r="E4404">
        <v>4</v>
      </c>
      <c r="F4404">
        <v>3911</v>
      </c>
      <c r="G4404">
        <v>1</v>
      </c>
      <c r="H4404">
        <v>1</v>
      </c>
      <c r="I4404">
        <v>1950</v>
      </c>
      <c r="J4404">
        <v>0</v>
      </c>
      <c r="K4404">
        <v>1</v>
      </c>
      <c r="L4404">
        <v>0</v>
      </c>
      <c r="M4404">
        <v>2</v>
      </c>
      <c r="N4404" t="s">
        <v>37</v>
      </c>
      <c r="O4404" t="s">
        <v>32</v>
      </c>
      <c r="P4404">
        <v>11.3099146275066</v>
      </c>
      <c r="Q4404">
        <v>1.1953389904041101</v>
      </c>
      <c r="R4404">
        <v>5.5992576975736101</v>
      </c>
      <c r="S4404">
        <v>29</v>
      </c>
      <c r="T4404">
        <v>79</v>
      </c>
      <c r="U4404">
        <v>630.23655636938395</v>
      </c>
      <c r="V4404">
        <v>5.1137816415238997E-4</v>
      </c>
      <c r="W4404">
        <v>2600926.9433921198</v>
      </c>
      <c r="X4404" t="s">
        <v>44</v>
      </c>
      <c r="Y4404">
        <f>1-554-365-8675</f>
        <v>-9593</v>
      </c>
    </row>
    <row r="4405" spans="1:25" x14ac:dyDescent="0.35">
      <c r="A4405">
        <v>35.283955288258603</v>
      </c>
      <c r="B4405">
        <v>-118.700039691733</v>
      </c>
      <c r="C4405" t="s">
        <v>29</v>
      </c>
      <c r="D4405">
        <v>45.117715754770501</v>
      </c>
      <c r="E4405">
        <v>3</v>
      </c>
      <c r="F4405">
        <v>4432</v>
      </c>
      <c r="G4405">
        <v>1</v>
      </c>
      <c r="H4405">
        <v>2</v>
      </c>
      <c r="I4405">
        <v>1996</v>
      </c>
      <c r="J4405">
        <v>1</v>
      </c>
      <c r="K4405">
        <v>1</v>
      </c>
      <c r="L4405">
        <v>1</v>
      </c>
      <c r="M4405">
        <v>12</v>
      </c>
      <c r="N4405" t="s">
        <v>37</v>
      </c>
      <c r="O4405" t="s">
        <v>32</v>
      </c>
      <c r="P4405">
        <v>7.7922293637872899</v>
      </c>
      <c r="Q4405">
        <v>0.65447015206843395</v>
      </c>
      <c r="R4405">
        <v>0.19682873486799601</v>
      </c>
      <c r="S4405">
        <v>37</v>
      </c>
      <c r="T4405">
        <v>43</v>
      </c>
      <c r="U4405">
        <v>672.30511733751905</v>
      </c>
      <c r="V4405">
        <v>2.7075812274368199E-3</v>
      </c>
      <c r="W4405">
        <v>3243419.1024169698</v>
      </c>
      <c r="X4405" t="s">
        <v>28</v>
      </c>
      <c r="Y4405">
        <f>1-276-769-5226</f>
        <v>-6270</v>
      </c>
    </row>
    <row r="4406" spans="1:25" x14ac:dyDescent="0.35">
      <c r="A4406">
        <v>36.075785834728102</v>
      </c>
      <c r="B4406">
        <v>-116.974949788716</v>
      </c>
      <c r="C4406" t="s">
        <v>29</v>
      </c>
      <c r="D4406">
        <v>15.1743198642002</v>
      </c>
      <c r="E4406">
        <v>8</v>
      </c>
      <c r="F4406">
        <v>2862</v>
      </c>
      <c r="G4406">
        <v>3</v>
      </c>
      <c r="H4406">
        <v>1</v>
      </c>
      <c r="I4406">
        <v>1955</v>
      </c>
      <c r="J4406">
        <v>0</v>
      </c>
      <c r="K4406">
        <v>1</v>
      </c>
      <c r="L4406">
        <v>1</v>
      </c>
      <c r="M4406">
        <v>6</v>
      </c>
      <c r="N4406" t="s">
        <v>41</v>
      </c>
      <c r="O4406" t="s">
        <v>27</v>
      </c>
      <c r="P4406">
        <v>14.164801820763399</v>
      </c>
      <c r="Q4406">
        <v>1.50889112735515</v>
      </c>
      <c r="R4406">
        <v>0.16930800490889</v>
      </c>
      <c r="S4406">
        <v>15</v>
      </c>
      <c r="T4406">
        <v>60</v>
      </c>
      <c r="U4406">
        <v>699.83080666615103</v>
      </c>
      <c r="V4406">
        <v>2.0964360587002002E-3</v>
      </c>
      <c r="W4406">
        <v>2305330.1818291498</v>
      </c>
      <c r="X4406" t="s">
        <v>39</v>
      </c>
      <c r="Y4406">
        <f>1-353-692-8219</f>
        <v>-9263</v>
      </c>
    </row>
    <row r="4407" spans="1:25" x14ac:dyDescent="0.35">
      <c r="A4407">
        <v>39.502810585220601</v>
      </c>
      <c r="B4407">
        <v>-119.755139709798</v>
      </c>
      <c r="C4407" t="s">
        <v>29</v>
      </c>
      <c r="D4407">
        <v>34.924696824127999</v>
      </c>
      <c r="E4407">
        <v>3</v>
      </c>
      <c r="F4407">
        <v>3102</v>
      </c>
      <c r="G4407">
        <v>5</v>
      </c>
      <c r="H4407">
        <v>3</v>
      </c>
      <c r="I4407">
        <v>1982</v>
      </c>
      <c r="J4407">
        <v>1</v>
      </c>
      <c r="K4407">
        <v>0</v>
      </c>
      <c r="L4407">
        <v>0</v>
      </c>
      <c r="M4407">
        <v>14</v>
      </c>
      <c r="N4407" t="s">
        <v>35</v>
      </c>
      <c r="O4407" t="s">
        <v>27</v>
      </c>
      <c r="P4407">
        <v>11.1879248886368</v>
      </c>
      <c r="Q4407">
        <v>1.48457675268496</v>
      </c>
      <c r="R4407">
        <v>9.9825923576751698</v>
      </c>
      <c r="S4407">
        <v>20</v>
      </c>
      <c r="T4407">
        <v>64</v>
      </c>
      <c r="U4407">
        <v>576.26157532779803</v>
      </c>
      <c r="V4407">
        <v>4.5132172791747197E-3</v>
      </c>
      <c r="W4407">
        <v>2209640.3284050301</v>
      </c>
      <c r="X4407" t="s">
        <v>42</v>
      </c>
      <c r="Y4407">
        <f>1-357-880-5472</f>
        <v>-6708</v>
      </c>
    </row>
    <row r="4408" spans="1:25" x14ac:dyDescent="0.35">
      <c r="A4408">
        <v>33.923323702213096</v>
      </c>
      <c r="B4408">
        <v>-120.79770450610501</v>
      </c>
      <c r="C4408" t="s">
        <v>29</v>
      </c>
      <c r="D4408">
        <v>45.554845697676697</v>
      </c>
      <c r="E4408">
        <v>5</v>
      </c>
      <c r="F4408">
        <v>4575</v>
      </c>
      <c r="G4408">
        <v>4</v>
      </c>
      <c r="H4408">
        <v>2</v>
      </c>
      <c r="I4408">
        <v>1952</v>
      </c>
      <c r="J4408">
        <v>1</v>
      </c>
      <c r="K4408">
        <v>0</v>
      </c>
      <c r="L4408">
        <v>0</v>
      </c>
      <c r="M4408">
        <v>6</v>
      </c>
      <c r="N4408" t="s">
        <v>37</v>
      </c>
      <c r="O4408" t="s">
        <v>32</v>
      </c>
      <c r="P4408">
        <v>3.3208422811356599</v>
      </c>
      <c r="Q4408">
        <v>1.3024989323412299</v>
      </c>
      <c r="R4408">
        <v>8.0986845312509192</v>
      </c>
      <c r="S4408">
        <v>191</v>
      </c>
      <c r="T4408">
        <v>31</v>
      </c>
      <c r="U4408">
        <v>988.25948186736798</v>
      </c>
      <c r="V4408">
        <v>1.3114754098360599E-3</v>
      </c>
      <c r="W4408">
        <v>4711891.0754129896</v>
      </c>
      <c r="X4408" t="s">
        <v>43</v>
      </c>
      <c r="Y4408">
        <f>1-713-313-7909</f>
        <v>-8934</v>
      </c>
    </row>
    <row r="4409" spans="1:25" x14ac:dyDescent="0.35">
      <c r="A4409">
        <v>35.675085411171104</v>
      </c>
      <c r="B4409">
        <v>-117.86669605821101</v>
      </c>
      <c r="C4409" t="s">
        <v>25</v>
      </c>
      <c r="D4409">
        <v>11.1196279900403</v>
      </c>
      <c r="E4409">
        <v>8</v>
      </c>
      <c r="F4409">
        <v>1057</v>
      </c>
      <c r="G4409">
        <v>5</v>
      </c>
      <c r="H4409">
        <v>3</v>
      </c>
      <c r="I4409">
        <v>1959</v>
      </c>
      <c r="J4409">
        <v>0</v>
      </c>
      <c r="K4409">
        <v>1</v>
      </c>
      <c r="L4409">
        <v>1</v>
      </c>
      <c r="M4409">
        <v>2</v>
      </c>
      <c r="N4409" t="s">
        <v>41</v>
      </c>
      <c r="O4409" t="s">
        <v>32</v>
      </c>
      <c r="P4409">
        <v>10.257293011041</v>
      </c>
      <c r="Q4409">
        <v>2.0298682782688702</v>
      </c>
      <c r="R4409">
        <v>9.82555739384226</v>
      </c>
      <c r="S4409">
        <v>0</v>
      </c>
      <c r="T4409">
        <v>67</v>
      </c>
      <c r="U4409">
        <v>734.23041107036397</v>
      </c>
      <c r="V4409">
        <v>1.8921475875118201E-3</v>
      </c>
      <c r="W4409">
        <v>1166829.83244453</v>
      </c>
      <c r="X4409" t="s">
        <v>44</v>
      </c>
      <c r="Y4409">
        <f>1-971-244-8819</f>
        <v>-10033</v>
      </c>
    </row>
    <row r="4410" spans="1:25" x14ac:dyDescent="0.35">
      <c r="A4410">
        <v>35.4062976530561</v>
      </c>
      <c r="B4410">
        <v>-114.007333216013</v>
      </c>
      <c r="C4410" t="s">
        <v>29</v>
      </c>
      <c r="D4410">
        <v>20.134931717652599</v>
      </c>
      <c r="E4410">
        <v>4</v>
      </c>
      <c r="F4410">
        <v>1372</v>
      </c>
      <c r="G4410">
        <v>5</v>
      </c>
      <c r="H4410">
        <v>2</v>
      </c>
      <c r="I4410">
        <v>1953</v>
      </c>
      <c r="J4410">
        <v>0</v>
      </c>
      <c r="K4410">
        <v>0</v>
      </c>
      <c r="L4410">
        <v>0</v>
      </c>
      <c r="M4410">
        <v>11</v>
      </c>
      <c r="N4410" t="s">
        <v>26</v>
      </c>
      <c r="O4410" t="s">
        <v>27</v>
      </c>
      <c r="P4410">
        <v>10.221330287246699</v>
      </c>
      <c r="Q4410">
        <v>1.8131053388270599</v>
      </c>
      <c r="R4410">
        <v>4.5292098680512796</v>
      </c>
      <c r="S4410">
        <v>41</v>
      </c>
      <c r="T4410">
        <v>34</v>
      </c>
      <c r="U4410">
        <v>468.23061413176703</v>
      </c>
      <c r="V4410">
        <v>8.0174927113702606E-3</v>
      </c>
      <c r="W4410">
        <v>817658.62700444902</v>
      </c>
      <c r="X4410" t="s">
        <v>39</v>
      </c>
      <c r="Y4410">
        <f>1-316-333-4003</f>
        <v>-4651</v>
      </c>
    </row>
    <row r="4411" spans="1:25" x14ac:dyDescent="0.35">
      <c r="A4411">
        <v>33.939617579826503</v>
      </c>
      <c r="B4411">
        <v>-117.74959496371901</v>
      </c>
      <c r="C4411" t="s">
        <v>25</v>
      </c>
      <c r="D4411">
        <v>35.773433186839497</v>
      </c>
      <c r="E4411">
        <v>6</v>
      </c>
      <c r="F4411">
        <v>4617</v>
      </c>
      <c r="G4411">
        <v>4</v>
      </c>
      <c r="H4411">
        <v>3</v>
      </c>
      <c r="I4411">
        <v>1978</v>
      </c>
      <c r="J4411">
        <v>1</v>
      </c>
      <c r="K4411">
        <v>0</v>
      </c>
      <c r="L4411">
        <v>0</v>
      </c>
      <c r="M4411">
        <v>11</v>
      </c>
      <c r="N4411" t="s">
        <v>41</v>
      </c>
      <c r="O4411" t="s">
        <v>32</v>
      </c>
      <c r="P4411">
        <v>4.01257496666405</v>
      </c>
      <c r="Q4411">
        <v>0.53792233941685796</v>
      </c>
      <c r="R4411">
        <v>1.8112155744760301</v>
      </c>
      <c r="S4411">
        <v>10</v>
      </c>
      <c r="T4411">
        <v>26</v>
      </c>
      <c r="U4411">
        <v>495.57733653702297</v>
      </c>
      <c r="V4411">
        <v>2.3824994585228501E-3</v>
      </c>
      <c r="W4411">
        <v>2622000.9663509498</v>
      </c>
      <c r="X4411" t="s">
        <v>33</v>
      </c>
      <c r="Y4411">
        <f>1-501-438-4081</f>
        <v>-5019</v>
      </c>
    </row>
    <row r="4412" spans="1:25" x14ac:dyDescent="0.35">
      <c r="A4412">
        <v>38.8705779682601</v>
      </c>
      <c r="B4412">
        <v>-117.80216317547</v>
      </c>
      <c r="C4412" t="s">
        <v>25</v>
      </c>
      <c r="D4412">
        <v>39.450569502261402</v>
      </c>
      <c r="E4412">
        <v>8</v>
      </c>
      <c r="F4412">
        <v>3076</v>
      </c>
      <c r="G4412">
        <v>4</v>
      </c>
      <c r="H4412">
        <v>1</v>
      </c>
      <c r="I4412">
        <v>2010</v>
      </c>
      <c r="J4412">
        <v>1</v>
      </c>
      <c r="K4412">
        <v>0</v>
      </c>
      <c r="L4412">
        <v>1</v>
      </c>
      <c r="M4412">
        <v>4</v>
      </c>
      <c r="N4412" t="s">
        <v>37</v>
      </c>
      <c r="O4412" t="s">
        <v>32</v>
      </c>
      <c r="P4412">
        <v>13.9037936344722</v>
      </c>
      <c r="Q4412">
        <v>0.55661166661581896</v>
      </c>
      <c r="R4412">
        <v>1.4747212554835201</v>
      </c>
      <c r="S4412">
        <v>90</v>
      </c>
      <c r="T4412">
        <v>20</v>
      </c>
      <c r="U4412">
        <v>262.39865719544599</v>
      </c>
      <c r="V4412">
        <v>1.3003901170351099E-3</v>
      </c>
      <c r="W4412">
        <v>1289716.6487207301</v>
      </c>
      <c r="X4412" t="s">
        <v>44</v>
      </c>
      <c r="Y4412">
        <f>1-869-688-4968</f>
        <v>-6524</v>
      </c>
    </row>
    <row r="4413" spans="1:25" x14ac:dyDescent="0.35">
      <c r="A4413">
        <v>35.065508839183501</v>
      </c>
      <c r="B4413">
        <v>-120.08293715876999</v>
      </c>
      <c r="C4413" t="s">
        <v>34</v>
      </c>
      <c r="D4413">
        <v>9.9691884493563308</v>
      </c>
      <c r="E4413">
        <v>8</v>
      </c>
      <c r="F4413">
        <v>839</v>
      </c>
      <c r="G4413">
        <v>2</v>
      </c>
      <c r="H4413">
        <v>1</v>
      </c>
      <c r="I4413">
        <v>2001</v>
      </c>
      <c r="J4413">
        <v>1</v>
      </c>
      <c r="K4413">
        <v>0</v>
      </c>
      <c r="L4413">
        <v>0</v>
      </c>
      <c r="M4413">
        <v>12</v>
      </c>
      <c r="N4413" t="s">
        <v>26</v>
      </c>
      <c r="O4413" t="s">
        <v>32</v>
      </c>
      <c r="P4413">
        <v>12.73625163609</v>
      </c>
      <c r="Q4413">
        <v>1.24294685382271</v>
      </c>
      <c r="R4413">
        <v>9.71799766391484</v>
      </c>
      <c r="S4413">
        <v>18</v>
      </c>
      <c r="T4413">
        <v>76</v>
      </c>
      <c r="U4413">
        <v>733.19789011098203</v>
      </c>
      <c r="V4413">
        <v>1.4302741358760401E-2</v>
      </c>
      <c r="W4413">
        <v>737222.83214578999</v>
      </c>
      <c r="X4413" t="s">
        <v>42</v>
      </c>
      <c r="Y4413">
        <f>1-794-722-5575</f>
        <v>-7090</v>
      </c>
    </row>
    <row r="4414" spans="1:25" x14ac:dyDescent="0.35">
      <c r="A4414">
        <v>40.304138093985401</v>
      </c>
      <c r="B4414">
        <v>-119.459788896361</v>
      </c>
      <c r="C4414" t="s">
        <v>34</v>
      </c>
      <c r="D4414">
        <v>24.568011069807099</v>
      </c>
      <c r="E4414">
        <v>6</v>
      </c>
      <c r="F4414">
        <v>1052</v>
      </c>
      <c r="G4414">
        <v>4</v>
      </c>
      <c r="H4414">
        <v>1</v>
      </c>
      <c r="I4414">
        <v>2012</v>
      </c>
      <c r="J4414">
        <v>1</v>
      </c>
      <c r="K4414">
        <v>1</v>
      </c>
      <c r="L4414">
        <v>1</v>
      </c>
      <c r="M4414">
        <v>12</v>
      </c>
      <c r="N4414" t="s">
        <v>37</v>
      </c>
      <c r="O4414" t="s">
        <v>30</v>
      </c>
      <c r="P4414">
        <v>8.5807662193651595</v>
      </c>
      <c r="Q4414">
        <v>1.5848929653778101</v>
      </c>
      <c r="R4414">
        <v>9.3444454075870897</v>
      </c>
      <c r="S4414">
        <v>117</v>
      </c>
      <c r="T4414">
        <v>52</v>
      </c>
      <c r="U4414">
        <v>883.354399575</v>
      </c>
      <c r="V4414">
        <v>1.1406844106463801E-2</v>
      </c>
      <c r="W4414">
        <v>1334963.18025496</v>
      </c>
      <c r="X4414" t="s">
        <v>28</v>
      </c>
      <c r="Y4414">
        <f>1-665-448-4365</f>
        <v>-5477</v>
      </c>
    </row>
    <row r="4415" spans="1:25" x14ac:dyDescent="0.35">
      <c r="A4415">
        <v>40.360206583246203</v>
      </c>
      <c r="B4415">
        <v>-122.424360015033</v>
      </c>
      <c r="C4415" t="s">
        <v>25</v>
      </c>
      <c r="D4415">
        <v>1.57347318531073</v>
      </c>
      <c r="E4415">
        <v>2</v>
      </c>
      <c r="F4415">
        <v>2330</v>
      </c>
      <c r="G4415">
        <v>5</v>
      </c>
      <c r="H4415">
        <v>3</v>
      </c>
      <c r="I4415">
        <v>1993</v>
      </c>
      <c r="J4415">
        <v>0</v>
      </c>
      <c r="K4415">
        <v>1</v>
      </c>
      <c r="L4415">
        <v>1</v>
      </c>
      <c r="M4415">
        <v>2</v>
      </c>
      <c r="N4415" t="s">
        <v>26</v>
      </c>
      <c r="O4415" t="s">
        <v>32</v>
      </c>
      <c r="P4415">
        <v>2.86491137702098</v>
      </c>
      <c r="Q4415">
        <v>1.1402397218642599</v>
      </c>
      <c r="R4415">
        <v>9.7176046305624304</v>
      </c>
      <c r="S4415">
        <v>89</v>
      </c>
      <c r="T4415">
        <v>66</v>
      </c>
      <c r="U4415">
        <v>578.78887457086205</v>
      </c>
      <c r="V4415">
        <v>8.5836909871244598E-4</v>
      </c>
      <c r="W4415">
        <v>1696531.9481315601</v>
      </c>
      <c r="X4415" t="s">
        <v>28</v>
      </c>
      <c r="Y4415">
        <f>1-875-126-3452</f>
        <v>-4452</v>
      </c>
    </row>
    <row r="4416" spans="1:25" x14ac:dyDescent="0.35">
      <c r="A4416">
        <v>36.9923562184605</v>
      </c>
      <c r="B4416">
        <v>-120.665252331831</v>
      </c>
      <c r="C4416" t="s">
        <v>25</v>
      </c>
      <c r="D4416">
        <v>26.8290248610449</v>
      </c>
      <c r="E4416">
        <v>9</v>
      </c>
      <c r="F4416">
        <v>1007</v>
      </c>
      <c r="G4416">
        <v>2</v>
      </c>
      <c r="H4416">
        <v>2</v>
      </c>
      <c r="I4416">
        <v>1958</v>
      </c>
      <c r="J4416">
        <v>0</v>
      </c>
      <c r="K4416">
        <v>1</v>
      </c>
      <c r="L4416">
        <v>1</v>
      </c>
      <c r="M4416">
        <v>7</v>
      </c>
      <c r="N4416" t="s">
        <v>41</v>
      </c>
      <c r="O4416" t="s">
        <v>27</v>
      </c>
      <c r="P4416">
        <v>9.0869749148333696</v>
      </c>
      <c r="Q4416">
        <v>0.710349246162156</v>
      </c>
      <c r="R4416">
        <v>8.3386672973296498</v>
      </c>
      <c r="S4416">
        <v>35</v>
      </c>
      <c r="T4416">
        <v>55</v>
      </c>
      <c r="U4416">
        <v>846.61190225914402</v>
      </c>
      <c r="V4416">
        <v>6.9513406156901597E-3</v>
      </c>
      <c r="W4416">
        <v>1097349.0419509499</v>
      </c>
      <c r="X4416" t="s">
        <v>39</v>
      </c>
      <c r="Y4416">
        <f>1-408-907-7813</f>
        <v>-9127</v>
      </c>
    </row>
    <row r="4417" spans="1:25" x14ac:dyDescent="0.35">
      <c r="A4417">
        <v>38.3862025787327</v>
      </c>
      <c r="B4417">
        <v>-122.15816973669099</v>
      </c>
      <c r="C4417" t="s">
        <v>25</v>
      </c>
      <c r="D4417">
        <v>36.093437481402802</v>
      </c>
      <c r="E4417">
        <v>7</v>
      </c>
      <c r="F4417">
        <v>708</v>
      </c>
      <c r="G4417">
        <v>5</v>
      </c>
      <c r="H4417">
        <v>2</v>
      </c>
      <c r="I4417">
        <v>1955</v>
      </c>
      <c r="J4417">
        <v>1</v>
      </c>
      <c r="K4417">
        <v>1</v>
      </c>
      <c r="L4417">
        <v>1</v>
      </c>
      <c r="M4417">
        <v>12</v>
      </c>
      <c r="N4417" t="s">
        <v>26</v>
      </c>
      <c r="O4417" t="s">
        <v>30</v>
      </c>
      <c r="P4417">
        <v>9.4915079032313798</v>
      </c>
      <c r="Q4417">
        <v>2.4028172264060399</v>
      </c>
      <c r="R4417">
        <v>8.7006611760078698</v>
      </c>
      <c r="S4417">
        <v>178</v>
      </c>
      <c r="T4417">
        <v>36</v>
      </c>
      <c r="U4417">
        <v>423.096140505493</v>
      </c>
      <c r="V4417">
        <v>1.6949152542372801E-2</v>
      </c>
      <c r="W4417">
        <v>639207.78057739499</v>
      </c>
      <c r="X4417" t="s">
        <v>38</v>
      </c>
      <c r="Y4417">
        <f>1-990-129-6624</f>
        <v>-7742</v>
      </c>
    </row>
    <row r="4418" spans="1:25" x14ac:dyDescent="0.35">
      <c r="A4418">
        <v>36.8254925220781</v>
      </c>
      <c r="B4418">
        <v>-121.058127970941</v>
      </c>
      <c r="C4418" t="s">
        <v>25</v>
      </c>
      <c r="D4418">
        <v>35.061027062298699</v>
      </c>
      <c r="E4418">
        <v>9</v>
      </c>
      <c r="F4418">
        <v>2196</v>
      </c>
      <c r="G4418">
        <v>5</v>
      </c>
      <c r="H4418">
        <v>3</v>
      </c>
      <c r="I4418">
        <v>2005</v>
      </c>
      <c r="J4418">
        <v>1</v>
      </c>
      <c r="K4418">
        <v>1</v>
      </c>
      <c r="L4418">
        <v>1</v>
      </c>
      <c r="M4418">
        <v>12</v>
      </c>
      <c r="N4418" t="s">
        <v>35</v>
      </c>
      <c r="O4418" t="s">
        <v>27</v>
      </c>
      <c r="P4418">
        <v>8.49019300310872</v>
      </c>
      <c r="Q4418">
        <v>0.575819372719103</v>
      </c>
      <c r="R4418">
        <v>4.9926716855143498</v>
      </c>
      <c r="S4418">
        <v>36</v>
      </c>
      <c r="T4418">
        <v>37</v>
      </c>
      <c r="U4418">
        <v>840.66648595163497</v>
      </c>
      <c r="V4418">
        <v>5.4644808743169399E-3</v>
      </c>
      <c r="W4418">
        <v>2452685.7081437702</v>
      </c>
      <c r="X4418" t="s">
        <v>39</v>
      </c>
      <c r="Y4418">
        <f>1-229-998-8194</f>
        <v>-9420</v>
      </c>
    </row>
    <row r="4419" spans="1:25" x14ac:dyDescent="0.35">
      <c r="A4419">
        <v>41.052160043702202</v>
      </c>
      <c r="B4419">
        <v>-119.895512719439</v>
      </c>
      <c r="C4419" t="s">
        <v>34</v>
      </c>
      <c r="D4419">
        <v>24.8209429891605</v>
      </c>
      <c r="E4419">
        <v>7</v>
      </c>
      <c r="F4419">
        <v>1263</v>
      </c>
      <c r="G4419">
        <v>1</v>
      </c>
      <c r="H4419">
        <v>1</v>
      </c>
      <c r="I4419">
        <v>1996</v>
      </c>
      <c r="J4419">
        <v>1</v>
      </c>
      <c r="K4419">
        <v>0</v>
      </c>
      <c r="L4419">
        <v>1</v>
      </c>
      <c r="M4419">
        <v>12</v>
      </c>
      <c r="N4419" t="s">
        <v>37</v>
      </c>
      <c r="O4419" t="s">
        <v>30</v>
      </c>
      <c r="P4419">
        <v>2.1378473565830398</v>
      </c>
      <c r="Q4419">
        <v>0.79599738453165003</v>
      </c>
      <c r="R4419">
        <v>1.07157663636488</v>
      </c>
      <c r="S4419">
        <v>120</v>
      </c>
      <c r="T4419">
        <v>78</v>
      </c>
      <c r="U4419">
        <v>388.20795696809603</v>
      </c>
      <c r="V4419">
        <v>9.5011876484560505E-3</v>
      </c>
      <c r="W4419">
        <v>580157.35020231304</v>
      </c>
      <c r="X4419" t="s">
        <v>40</v>
      </c>
      <c r="Y4419">
        <f>1-938-532-4580</f>
        <v>-6049</v>
      </c>
    </row>
    <row r="4420" spans="1:25" x14ac:dyDescent="0.35">
      <c r="A4420">
        <v>37.457858818904398</v>
      </c>
      <c r="B4420">
        <v>-123.223177798055</v>
      </c>
      <c r="C4420" t="s">
        <v>34</v>
      </c>
      <c r="D4420">
        <v>45.832069044861903</v>
      </c>
      <c r="E4420">
        <v>5</v>
      </c>
      <c r="F4420">
        <v>1037</v>
      </c>
      <c r="G4420">
        <v>1</v>
      </c>
      <c r="H4420">
        <v>1</v>
      </c>
      <c r="I4420">
        <v>1954</v>
      </c>
      <c r="J4420">
        <v>0</v>
      </c>
      <c r="K4420">
        <v>1</v>
      </c>
      <c r="L4420">
        <v>1</v>
      </c>
      <c r="M4420">
        <v>7</v>
      </c>
      <c r="N4420" t="s">
        <v>35</v>
      </c>
      <c r="O4420" t="s">
        <v>32</v>
      </c>
      <c r="P4420">
        <v>2.8310845638945898</v>
      </c>
      <c r="Q4420">
        <v>2.3199219577551098</v>
      </c>
      <c r="R4420">
        <v>5.6596275860757501</v>
      </c>
      <c r="S4420">
        <v>142</v>
      </c>
      <c r="T4420">
        <v>79</v>
      </c>
      <c r="U4420">
        <v>781.19511775982699</v>
      </c>
      <c r="V4420">
        <v>6.7502410800385701E-3</v>
      </c>
      <c r="W4420">
        <v>906954.01173387701</v>
      </c>
      <c r="X4420" t="s">
        <v>40</v>
      </c>
      <c r="Y4420">
        <f>1-646-873-7833</f>
        <v>-9351</v>
      </c>
    </row>
    <row r="4421" spans="1:25" x14ac:dyDescent="0.35">
      <c r="A4421">
        <v>41.980810105515403</v>
      </c>
      <c r="B4421">
        <v>-118.57268586068299</v>
      </c>
      <c r="C4421" t="s">
        <v>29</v>
      </c>
      <c r="D4421">
        <v>42.602846999478899</v>
      </c>
      <c r="E4421">
        <v>0</v>
      </c>
      <c r="F4421">
        <v>4593</v>
      </c>
      <c r="G4421">
        <v>3</v>
      </c>
      <c r="H4421">
        <v>3</v>
      </c>
      <c r="I4421">
        <v>2011</v>
      </c>
      <c r="J4421">
        <v>0</v>
      </c>
      <c r="K4421">
        <v>1</v>
      </c>
      <c r="L4421">
        <v>1</v>
      </c>
      <c r="M4421">
        <v>5</v>
      </c>
      <c r="N4421" t="s">
        <v>37</v>
      </c>
      <c r="O4421" t="s">
        <v>27</v>
      </c>
      <c r="P4421">
        <v>13.769086215632401</v>
      </c>
      <c r="Q4421">
        <v>1.62391885773289</v>
      </c>
      <c r="R4421">
        <v>2.9047833437900201</v>
      </c>
      <c r="S4421">
        <v>173</v>
      </c>
      <c r="T4421">
        <v>72</v>
      </c>
      <c r="U4421">
        <v>305.96639979155998</v>
      </c>
      <c r="V4421">
        <v>1.0886131069017999E-3</v>
      </c>
      <c r="W4421">
        <v>1877227.7855141801</v>
      </c>
      <c r="X4421" t="s">
        <v>28</v>
      </c>
      <c r="Y4421">
        <f>1-799-731-8599</f>
        <v>-10128</v>
      </c>
    </row>
    <row r="4422" spans="1:25" x14ac:dyDescent="0.35">
      <c r="A4422">
        <v>36.889384390363702</v>
      </c>
      <c r="B4422">
        <v>-122.937549010094</v>
      </c>
      <c r="C4422" t="s">
        <v>29</v>
      </c>
      <c r="D4422">
        <v>10.796649163813999</v>
      </c>
      <c r="E4422">
        <v>1</v>
      </c>
      <c r="F4422">
        <v>1124</v>
      </c>
      <c r="G4422">
        <v>5</v>
      </c>
      <c r="H4422">
        <v>3</v>
      </c>
      <c r="I4422">
        <v>2013</v>
      </c>
      <c r="J4422">
        <v>0</v>
      </c>
      <c r="K4422">
        <v>1</v>
      </c>
      <c r="L4422">
        <v>0</v>
      </c>
      <c r="M4422">
        <v>7</v>
      </c>
      <c r="N4422" t="s">
        <v>37</v>
      </c>
      <c r="O4422" t="s">
        <v>27</v>
      </c>
      <c r="P4422">
        <v>6.3510060413764302</v>
      </c>
      <c r="Q4422">
        <v>0.57320494658791099</v>
      </c>
      <c r="R4422">
        <v>3.3805228440167898</v>
      </c>
      <c r="S4422">
        <v>61</v>
      </c>
      <c r="T4422">
        <v>33</v>
      </c>
      <c r="U4422">
        <v>310.00243049948</v>
      </c>
      <c r="V4422">
        <v>6.2277580071174298E-3</v>
      </c>
      <c r="W4422">
        <v>793783.77954364102</v>
      </c>
      <c r="X4422" t="s">
        <v>31</v>
      </c>
      <c r="Y4422">
        <f>1-599-326-3417</f>
        <v>-4341</v>
      </c>
    </row>
    <row r="4423" spans="1:25" x14ac:dyDescent="0.35">
      <c r="A4423">
        <v>38.411785509208798</v>
      </c>
      <c r="B4423">
        <v>-116.896818404852</v>
      </c>
      <c r="C4423" t="s">
        <v>25</v>
      </c>
      <c r="D4423">
        <v>42.620661370867602</v>
      </c>
      <c r="E4423">
        <v>2</v>
      </c>
      <c r="F4423">
        <v>2361</v>
      </c>
      <c r="G4423">
        <v>1</v>
      </c>
      <c r="H4423">
        <v>1</v>
      </c>
      <c r="I4423">
        <v>1972</v>
      </c>
      <c r="J4423">
        <v>1</v>
      </c>
      <c r="K4423">
        <v>1</v>
      </c>
      <c r="L4423">
        <v>0</v>
      </c>
      <c r="M4423">
        <v>11</v>
      </c>
      <c r="N4423" t="s">
        <v>41</v>
      </c>
      <c r="O4423" t="s">
        <v>27</v>
      </c>
      <c r="P4423">
        <v>7.5935497430833898</v>
      </c>
      <c r="Q4423">
        <v>1.2193790496514401</v>
      </c>
      <c r="R4423">
        <v>5.3273512287269602</v>
      </c>
      <c r="S4423">
        <v>182</v>
      </c>
      <c r="T4423">
        <v>48</v>
      </c>
      <c r="U4423">
        <v>918.00521948471396</v>
      </c>
      <c r="V4423">
        <v>4.6590427784836902E-3</v>
      </c>
      <c r="W4423">
        <v>2326077.6067944299</v>
      </c>
      <c r="X4423" t="s">
        <v>36</v>
      </c>
      <c r="Y4423">
        <f>1-468-401-5742</f>
        <v>-6610</v>
      </c>
    </row>
    <row r="4424" spans="1:25" x14ac:dyDescent="0.35">
      <c r="A4424">
        <v>40.660644660473402</v>
      </c>
      <c r="B4424">
        <v>-121.71885492117001</v>
      </c>
      <c r="C4424" t="s">
        <v>25</v>
      </c>
      <c r="D4424">
        <v>41.7868884493165</v>
      </c>
      <c r="E4424">
        <v>2</v>
      </c>
      <c r="F4424">
        <v>4590</v>
      </c>
      <c r="G4424">
        <v>4</v>
      </c>
      <c r="H4424">
        <v>2</v>
      </c>
      <c r="I4424">
        <v>2014</v>
      </c>
      <c r="J4424">
        <v>0</v>
      </c>
      <c r="K4424">
        <v>1</v>
      </c>
      <c r="L4424">
        <v>1</v>
      </c>
      <c r="M4424">
        <v>4</v>
      </c>
      <c r="N4424" t="s">
        <v>41</v>
      </c>
      <c r="O4424" t="s">
        <v>30</v>
      </c>
      <c r="P4424">
        <v>7.3063211438008198</v>
      </c>
      <c r="Q4424">
        <v>0.68024893821628896</v>
      </c>
      <c r="R4424">
        <v>9.6670413867081706</v>
      </c>
      <c r="S4424">
        <v>126</v>
      </c>
      <c r="T4424">
        <v>49</v>
      </c>
      <c r="U4424">
        <v>660.09048485808103</v>
      </c>
      <c r="V4424">
        <v>8.7145969498910597E-4</v>
      </c>
      <c r="W4424">
        <v>3469861.4825269599</v>
      </c>
      <c r="X4424" t="s">
        <v>40</v>
      </c>
      <c r="Y4424">
        <f>1-772-784-7401</f>
        <v>-8956</v>
      </c>
    </row>
    <row r="4425" spans="1:25" x14ac:dyDescent="0.35">
      <c r="A4425">
        <v>34.494367460128899</v>
      </c>
      <c r="B4425">
        <v>-116.49812671780801</v>
      </c>
      <c r="C4425" t="s">
        <v>29</v>
      </c>
      <c r="D4425">
        <v>28.3908114974884</v>
      </c>
      <c r="E4425">
        <v>5</v>
      </c>
      <c r="F4425">
        <v>754</v>
      </c>
      <c r="G4425">
        <v>3</v>
      </c>
      <c r="H4425">
        <v>3</v>
      </c>
      <c r="I4425">
        <v>1963</v>
      </c>
      <c r="J4425">
        <v>0</v>
      </c>
      <c r="K4425">
        <v>0</v>
      </c>
      <c r="L4425">
        <v>1</v>
      </c>
      <c r="M4425">
        <v>8</v>
      </c>
      <c r="N4425" t="s">
        <v>41</v>
      </c>
      <c r="O4425" t="s">
        <v>32</v>
      </c>
      <c r="P4425">
        <v>13.633711609647399</v>
      </c>
      <c r="Q4425">
        <v>0.66418045407602899</v>
      </c>
      <c r="R4425">
        <v>8.7315194080983005</v>
      </c>
      <c r="S4425">
        <v>41</v>
      </c>
      <c r="T4425">
        <v>71</v>
      </c>
      <c r="U4425">
        <v>477.02349323573401</v>
      </c>
      <c r="V4425">
        <v>1.0610079575596801E-2</v>
      </c>
      <c r="W4425">
        <v>688086.52474725596</v>
      </c>
      <c r="X4425" t="s">
        <v>43</v>
      </c>
      <c r="Y4425">
        <f>1-445-641-3091</f>
        <v>-4176</v>
      </c>
    </row>
    <row r="4426" spans="1:25" x14ac:dyDescent="0.35">
      <c r="A4426">
        <v>32.725480749154997</v>
      </c>
      <c r="B4426">
        <v>-116.763176221663</v>
      </c>
      <c r="C4426" t="s">
        <v>29</v>
      </c>
      <c r="D4426">
        <v>37.0456192072728</v>
      </c>
      <c r="E4426">
        <v>2</v>
      </c>
      <c r="F4426">
        <v>1774</v>
      </c>
      <c r="G4426">
        <v>2</v>
      </c>
      <c r="H4426">
        <v>1</v>
      </c>
      <c r="I4426">
        <v>1996</v>
      </c>
      <c r="J4426">
        <v>1</v>
      </c>
      <c r="K4426">
        <v>1</v>
      </c>
      <c r="L4426">
        <v>0</v>
      </c>
      <c r="M4426">
        <v>8</v>
      </c>
      <c r="N4426" t="s">
        <v>35</v>
      </c>
      <c r="O4426" t="s">
        <v>32</v>
      </c>
      <c r="P4426">
        <v>10.076098820349999</v>
      </c>
      <c r="Q4426">
        <v>0.63777709976456498</v>
      </c>
      <c r="R4426">
        <v>8.2344127049472799</v>
      </c>
      <c r="S4426">
        <v>170</v>
      </c>
      <c r="T4426">
        <v>24</v>
      </c>
      <c r="U4426">
        <v>766.53859451447704</v>
      </c>
      <c r="V4426">
        <v>4.5095828635851104E-3</v>
      </c>
      <c r="W4426">
        <v>1597562.1648208899</v>
      </c>
      <c r="X4426" t="s">
        <v>33</v>
      </c>
      <c r="Y4426">
        <f>1-578-453-3289</f>
        <v>-4319</v>
      </c>
    </row>
    <row r="4427" spans="1:25" x14ac:dyDescent="0.35">
      <c r="A4427">
        <v>36.397025611703199</v>
      </c>
      <c r="B4427">
        <v>-124.3819337554</v>
      </c>
      <c r="C4427" t="s">
        <v>25</v>
      </c>
      <c r="D4427">
        <v>1.2307203233655</v>
      </c>
      <c r="E4427">
        <v>2</v>
      </c>
      <c r="F4427">
        <v>4253</v>
      </c>
      <c r="G4427">
        <v>3</v>
      </c>
      <c r="H4427">
        <v>1</v>
      </c>
      <c r="I4427">
        <v>1985</v>
      </c>
      <c r="J4427">
        <v>0</v>
      </c>
      <c r="K4427">
        <v>1</v>
      </c>
      <c r="L4427">
        <v>0</v>
      </c>
      <c r="M4427">
        <v>5</v>
      </c>
      <c r="N4427" t="s">
        <v>37</v>
      </c>
      <c r="O4427" t="s">
        <v>30</v>
      </c>
      <c r="P4427">
        <v>8.4480659897615205</v>
      </c>
      <c r="Q4427">
        <v>2.05070140471536</v>
      </c>
      <c r="R4427">
        <v>0.13760165473439001</v>
      </c>
      <c r="S4427">
        <v>56</v>
      </c>
      <c r="T4427">
        <v>72</v>
      </c>
      <c r="U4427">
        <v>756.28671822090803</v>
      </c>
      <c r="V4427">
        <v>1.1756407241946801E-3</v>
      </c>
      <c r="W4427">
        <v>3551361.7465212401</v>
      </c>
      <c r="X4427" t="s">
        <v>33</v>
      </c>
      <c r="Y4427">
        <f>1-230-683-3911</f>
        <v>-4823</v>
      </c>
    </row>
    <row r="4428" spans="1:25" x14ac:dyDescent="0.35">
      <c r="A4428">
        <v>38.381302603572998</v>
      </c>
      <c r="B4428">
        <v>-117.873815063861</v>
      </c>
      <c r="C4428" t="s">
        <v>29</v>
      </c>
      <c r="D4428">
        <v>26.8024329614572</v>
      </c>
      <c r="E4428">
        <v>1</v>
      </c>
      <c r="F4428">
        <v>3579</v>
      </c>
      <c r="G4428">
        <v>2</v>
      </c>
      <c r="H4428">
        <v>3</v>
      </c>
      <c r="I4428">
        <v>2005</v>
      </c>
      <c r="J4428">
        <v>1</v>
      </c>
      <c r="K4428">
        <v>1</v>
      </c>
      <c r="L4428">
        <v>1</v>
      </c>
      <c r="M4428">
        <v>7</v>
      </c>
      <c r="N4428" t="s">
        <v>41</v>
      </c>
      <c r="O4428" t="s">
        <v>32</v>
      </c>
      <c r="P4428">
        <v>6.1121786469121497</v>
      </c>
      <c r="Q4428">
        <v>1.48952434990264</v>
      </c>
      <c r="R4428">
        <v>8.4920954905419404</v>
      </c>
      <c r="S4428">
        <v>52</v>
      </c>
      <c r="T4428">
        <v>52</v>
      </c>
      <c r="U4428">
        <v>320.17491186170798</v>
      </c>
      <c r="V4428">
        <v>1.9558535903883702E-3</v>
      </c>
      <c r="W4428">
        <v>1559825.1145742901</v>
      </c>
      <c r="X4428" t="s">
        <v>40</v>
      </c>
      <c r="Y4428">
        <f>1-383-783-2273</f>
        <v>-3438</v>
      </c>
    </row>
    <row r="4429" spans="1:25" x14ac:dyDescent="0.35">
      <c r="A4429">
        <v>35.052798651181398</v>
      </c>
      <c r="B4429">
        <v>-114.493990794811</v>
      </c>
      <c r="C4429" t="s">
        <v>25</v>
      </c>
      <c r="D4429">
        <v>19.2603405344754</v>
      </c>
      <c r="E4429">
        <v>7</v>
      </c>
      <c r="F4429">
        <v>771</v>
      </c>
      <c r="G4429">
        <v>3</v>
      </c>
      <c r="H4429">
        <v>1</v>
      </c>
      <c r="I4429">
        <v>2019</v>
      </c>
      <c r="J4429">
        <v>1</v>
      </c>
      <c r="K4429">
        <v>1</v>
      </c>
      <c r="L4429">
        <v>0</v>
      </c>
      <c r="M4429">
        <v>10</v>
      </c>
      <c r="N4429" t="s">
        <v>26</v>
      </c>
      <c r="O4429" t="s">
        <v>32</v>
      </c>
      <c r="P4429">
        <v>14.4008640696062</v>
      </c>
      <c r="Q4429">
        <v>1.9855600203924699</v>
      </c>
      <c r="R4429">
        <v>2.2254043302522999</v>
      </c>
      <c r="S4429">
        <v>134</v>
      </c>
      <c r="T4429">
        <v>42</v>
      </c>
      <c r="U4429">
        <v>491.26873309766899</v>
      </c>
      <c r="V4429">
        <v>1.29701686121919E-2</v>
      </c>
      <c r="W4429">
        <v>825950.97465276404</v>
      </c>
      <c r="X4429" t="s">
        <v>42</v>
      </c>
      <c r="Y4429">
        <f>1-798-420-1445</f>
        <v>-2662</v>
      </c>
    </row>
    <row r="4430" spans="1:25" x14ac:dyDescent="0.35">
      <c r="A4430">
        <v>38.309279160823003</v>
      </c>
      <c r="B4430">
        <v>-123.42671747763499</v>
      </c>
      <c r="C4430" t="s">
        <v>25</v>
      </c>
      <c r="D4430">
        <v>34.4125985302732</v>
      </c>
      <c r="E4430">
        <v>7</v>
      </c>
      <c r="F4430">
        <v>1420</v>
      </c>
      <c r="G4430">
        <v>2</v>
      </c>
      <c r="H4430">
        <v>2</v>
      </c>
      <c r="I4430">
        <v>1962</v>
      </c>
      <c r="J4430">
        <v>1</v>
      </c>
      <c r="K4430">
        <v>1</v>
      </c>
      <c r="L4430">
        <v>1</v>
      </c>
      <c r="M4430">
        <v>2</v>
      </c>
      <c r="N4430" t="s">
        <v>37</v>
      </c>
      <c r="O4430" t="s">
        <v>32</v>
      </c>
      <c r="P4430">
        <v>9.2915606670063902</v>
      </c>
      <c r="Q4430">
        <v>2.3586671948577602</v>
      </c>
      <c r="R4430">
        <v>8.4842417082633705</v>
      </c>
      <c r="S4430">
        <v>6</v>
      </c>
      <c r="T4430">
        <v>70</v>
      </c>
      <c r="U4430">
        <v>790.03265687426199</v>
      </c>
      <c r="V4430">
        <v>1.40845070422535E-3</v>
      </c>
      <c r="W4430">
        <v>1451759.7234529799</v>
      </c>
      <c r="X4430" t="s">
        <v>33</v>
      </c>
      <c r="Y4430">
        <f>1-270-662-9661</f>
        <v>-10592</v>
      </c>
    </row>
    <row r="4431" spans="1:25" x14ac:dyDescent="0.35">
      <c r="A4431">
        <v>40.987989538011902</v>
      </c>
      <c r="B4431">
        <v>-121.123228338475</v>
      </c>
      <c r="C4431" t="s">
        <v>34</v>
      </c>
      <c r="D4431">
        <v>36.105310915997002</v>
      </c>
      <c r="E4431">
        <v>3</v>
      </c>
      <c r="F4431">
        <v>736</v>
      </c>
      <c r="G4431">
        <v>1</v>
      </c>
      <c r="H4431">
        <v>2</v>
      </c>
      <c r="I4431">
        <v>1967</v>
      </c>
      <c r="J4431">
        <v>1</v>
      </c>
      <c r="K4431">
        <v>0</v>
      </c>
      <c r="L4431">
        <v>0</v>
      </c>
      <c r="M4431">
        <v>13</v>
      </c>
      <c r="N4431" t="s">
        <v>35</v>
      </c>
      <c r="O4431" t="s">
        <v>30</v>
      </c>
      <c r="P4431">
        <v>12.937819814267201</v>
      </c>
      <c r="Q4431">
        <v>2.0342582625030801</v>
      </c>
      <c r="R4431">
        <v>9.5096976910176796</v>
      </c>
      <c r="S4431">
        <v>180</v>
      </c>
      <c r="T4431">
        <v>70</v>
      </c>
      <c r="U4431">
        <v>309.22674870250898</v>
      </c>
      <c r="V4431">
        <v>1.7663043478260799E-2</v>
      </c>
      <c r="W4431">
        <v>438248.69727131497</v>
      </c>
      <c r="X4431" t="s">
        <v>42</v>
      </c>
      <c r="Y4431">
        <f>1-352-406-7839</f>
        <v>-8596</v>
      </c>
    </row>
    <row r="4432" spans="1:25" x14ac:dyDescent="0.35">
      <c r="A4432">
        <v>32.9795952879129</v>
      </c>
      <c r="B4432">
        <v>-122.07505004895199</v>
      </c>
      <c r="C4432" t="s">
        <v>25</v>
      </c>
      <c r="D4432">
        <v>46.867601184766002</v>
      </c>
      <c r="E4432">
        <v>6</v>
      </c>
      <c r="F4432">
        <v>3625</v>
      </c>
      <c r="G4432">
        <v>3</v>
      </c>
      <c r="H4432">
        <v>1</v>
      </c>
      <c r="I4432">
        <v>1960</v>
      </c>
      <c r="J4432">
        <v>1</v>
      </c>
      <c r="K4432">
        <v>1</v>
      </c>
      <c r="L4432">
        <v>0</v>
      </c>
      <c r="M4432">
        <v>7</v>
      </c>
      <c r="N4432" t="s">
        <v>35</v>
      </c>
      <c r="O4432" t="s">
        <v>27</v>
      </c>
      <c r="P4432">
        <v>6.7683050064897596</v>
      </c>
      <c r="Q4432">
        <v>1.1851206943330901</v>
      </c>
      <c r="R4432">
        <v>0.46554854485216901</v>
      </c>
      <c r="S4432">
        <v>167</v>
      </c>
      <c r="T4432">
        <v>47</v>
      </c>
      <c r="U4432">
        <v>548.93239774541905</v>
      </c>
      <c r="V4432">
        <v>1.9310344827586201E-3</v>
      </c>
      <c r="W4432">
        <v>2173967.6873396998</v>
      </c>
      <c r="X4432" t="s">
        <v>42</v>
      </c>
      <c r="Y4432">
        <f>1-524-656-1974</f>
        <v>-3153</v>
      </c>
    </row>
    <row r="4433" spans="1:25" x14ac:dyDescent="0.35">
      <c r="A4433">
        <v>34.410857319755998</v>
      </c>
      <c r="B4433">
        <v>-122.120319711295</v>
      </c>
      <c r="C4433" t="s">
        <v>34</v>
      </c>
      <c r="D4433">
        <v>2.4860486369198602</v>
      </c>
      <c r="E4433">
        <v>6</v>
      </c>
      <c r="F4433">
        <v>1148</v>
      </c>
      <c r="G4433">
        <v>5</v>
      </c>
      <c r="H4433">
        <v>3</v>
      </c>
      <c r="I4433">
        <v>1992</v>
      </c>
      <c r="J4433">
        <v>1</v>
      </c>
      <c r="K4433">
        <v>1</v>
      </c>
      <c r="L4433">
        <v>1</v>
      </c>
      <c r="M4433">
        <v>10</v>
      </c>
      <c r="N4433" t="s">
        <v>35</v>
      </c>
      <c r="O4433" t="s">
        <v>30</v>
      </c>
      <c r="P4433">
        <v>2.3221972665070298</v>
      </c>
      <c r="Q4433">
        <v>1.0155655533729799</v>
      </c>
      <c r="R4433">
        <v>0.76737419799826401</v>
      </c>
      <c r="S4433">
        <v>53</v>
      </c>
      <c r="T4433">
        <v>37</v>
      </c>
      <c r="U4433">
        <v>365.22839587093898</v>
      </c>
      <c r="V4433">
        <v>8.7108013937282208E-3</v>
      </c>
      <c r="W4433">
        <v>811113.39505736099</v>
      </c>
      <c r="X4433" t="s">
        <v>38</v>
      </c>
      <c r="Y4433">
        <f>1-632-881-2092</f>
        <v>-3604</v>
      </c>
    </row>
    <row r="4434" spans="1:25" x14ac:dyDescent="0.35">
      <c r="A4434">
        <v>32.562530037786999</v>
      </c>
      <c r="B4434">
        <v>-123.543804576863</v>
      </c>
      <c r="C4434" t="s">
        <v>29</v>
      </c>
      <c r="D4434">
        <v>16.784179067241801</v>
      </c>
      <c r="E4434">
        <v>5</v>
      </c>
      <c r="F4434">
        <v>2618</v>
      </c>
      <c r="G4434">
        <v>3</v>
      </c>
      <c r="H4434">
        <v>3</v>
      </c>
      <c r="I4434">
        <v>2021</v>
      </c>
      <c r="J4434">
        <v>0</v>
      </c>
      <c r="K4434">
        <v>1</v>
      </c>
      <c r="L4434">
        <v>0</v>
      </c>
      <c r="M4434">
        <v>11</v>
      </c>
      <c r="N4434" t="s">
        <v>37</v>
      </c>
      <c r="O4434" t="s">
        <v>32</v>
      </c>
      <c r="P4434">
        <v>10.022726993994899</v>
      </c>
      <c r="Q4434">
        <v>1.1441319960181799</v>
      </c>
      <c r="R4434">
        <v>3.1884388978754501E-2</v>
      </c>
      <c r="S4434">
        <v>32</v>
      </c>
      <c r="T4434">
        <v>71</v>
      </c>
      <c r="U4434">
        <v>644.75440178408405</v>
      </c>
      <c r="V4434">
        <v>4.2016806722688996E-3</v>
      </c>
      <c r="W4434">
        <v>2022080.2030249501</v>
      </c>
      <c r="X4434" t="s">
        <v>43</v>
      </c>
      <c r="Y4434">
        <f>1-453-678-8747</f>
        <v>-9877</v>
      </c>
    </row>
    <row r="4435" spans="1:25" x14ac:dyDescent="0.35">
      <c r="A4435">
        <v>39.057063358739697</v>
      </c>
      <c r="B4435">
        <v>-119.941485930871</v>
      </c>
      <c r="C4435" t="s">
        <v>29</v>
      </c>
      <c r="D4435">
        <v>18.159634417400301</v>
      </c>
      <c r="E4435">
        <v>8</v>
      </c>
      <c r="F4435">
        <v>1086</v>
      </c>
      <c r="G4435">
        <v>2</v>
      </c>
      <c r="H4435">
        <v>1</v>
      </c>
      <c r="I4435">
        <v>1980</v>
      </c>
      <c r="J4435">
        <v>1</v>
      </c>
      <c r="K4435">
        <v>1</v>
      </c>
      <c r="L4435">
        <v>1</v>
      </c>
      <c r="M4435">
        <v>13</v>
      </c>
      <c r="N4435" t="s">
        <v>41</v>
      </c>
      <c r="O4435" t="s">
        <v>27</v>
      </c>
      <c r="P4435">
        <v>7.9387091319889498</v>
      </c>
      <c r="Q4435">
        <v>1.0712344477608999</v>
      </c>
      <c r="R4435">
        <v>8.9194155688308001</v>
      </c>
      <c r="S4435">
        <v>179</v>
      </c>
      <c r="T4435">
        <v>68</v>
      </c>
      <c r="U4435">
        <v>244.64517275113101</v>
      </c>
      <c r="V4435">
        <v>1.1970534069981499E-2</v>
      </c>
      <c r="W4435">
        <v>542184.9873559</v>
      </c>
      <c r="X4435" t="s">
        <v>36</v>
      </c>
      <c r="Y4435">
        <f>1-553-571-5636</f>
        <v>-6759</v>
      </c>
    </row>
    <row r="4436" spans="1:25" x14ac:dyDescent="0.35">
      <c r="A4436">
        <v>40.185007013256502</v>
      </c>
      <c r="B4436">
        <v>-114.977577487619</v>
      </c>
      <c r="C4436" t="s">
        <v>25</v>
      </c>
      <c r="D4436">
        <v>47.179893039342303</v>
      </c>
      <c r="E4436">
        <v>5</v>
      </c>
      <c r="F4436">
        <v>2791</v>
      </c>
      <c r="G4436">
        <v>1</v>
      </c>
      <c r="H4436">
        <v>1</v>
      </c>
      <c r="I4436">
        <v>2004</v>
      </c>
      <c r="J4436">
        <v>0</v>
      </c>
      <c r="K4436">
        <v>1</v>
      </c>
      <c r="L4436">
        <v>1</v>
      </c>
      <c r="M4436">
        <v>2</v>
      </c>
      <c r="N4436" t="s">
        <v>37</v>
      </c>
      <c r="O4436" t="s">
        <v>27</v>
      </c>
      <c r="P4436">
        <v>14.9409586738079</v>
      </c>
      <c r="Q4436">
        <v>1.56864289944206</v>
      </c>
      <c r="R4436">
        <v>5.4377429017667396</v>
      </c>
      <c r="S4436">
        <v>193</v>
      </c>
      <c r="T4436">
        <v>61</v>
      </c>
      <c r="U4436">
        <v>616.77707850406398</v>
      </c>
      <c r="V4436">
        <v>7.1658903618774595E-4</v>
      </c>
      <c r="W4436">
        <v>2014242.5522544701</v>
      </c>
      <c r="X4436" t="s">
        <v>38</v>
      </c>
      <c r="Y4436">
        <f>1-976-974-2511</f>
        <v>-4460</v>
      </c>
    </row>
    <row r="4437" spans="1:25" x14ac:dyDescent="0.35">
      <c r="A4437">
        <v>33.479834077016903</v>
      </c>
      <c r="B4437">
        <v>-124.366969186235</v>
      </c>
      <c r="C4437" t="s">
        <v>25</v>
      </c>
      <c r="D4437">
        <v>30.118934999110799</v>
      </c>
      <c r="E4437">
        <v>5</v>
      </c>
      <c r="F4437">
        <v>1418</v>
      </c>
      <c r="G4437">
        <v>2</v>
      </c>
      <c r="H4437">
        <v>1</v>
      </c>
      <c r="I4437">
        <v>1950</v>
      </c>
      <c r="J4437">
        <v>0</v>
      </c>
      <c r="K4437">
        <v>0</v>
      </c>
      <c r="L4437">
        <v>0</v>
      </c>
      <c r="M4437">
        <v>10</v>
      </c>
      <c r="N4437" t="s">
        <v>41</v>
      </c>
      <c r="O4437" t="s">
        <v>27</v>
      </c>
      <c r="P4437">
        <v>3.8071024296364202</v>
      </c>
      <c r="Q4437">
        <v>2.4392779588807301</v>
      </c>
      <c r="R4437">
        <v>0.98363050322106704</v>
      </c>
      <c r="S4437">
        <v>171</v>
      </c>
      <c r="T4437">
        <v>35</v>
      </c>
      <c r="U4437">
        <v>597.12367438015099</v>
      </c>
      <c r="V4437">
        <v>7.0521861777150903E-3</v>
      </c>
      <c r="W4437">
        <v>790332.51243724895</v>
      </c>
      <c r="X4437" t="s">
        <v>33</v>
      </c>
      <c r="Y4437">
        <f>1-667-639-9313</f>
        <v>-10618</v>
      </c>
    </row>
    <row r="4438" spans="1:25" x14ac:dyDescent="0.35">
      <c r="A4438">
        <v>38.277161603876102</v>
      </c>
      <c r="B4438">
        <v>-117.152545722121</v>
      </c>
      <c r="C4438" t="s">
        <v>25</v>
      </c>
      <c r="D4438">
        <v>31.634865857139101</v>
      </c>
      <c r="E4438">
        <v>4</v>
      </c>
      <c r="F4438">
        <v>2451</v>
      </c>
      <c r="G4438">
        <v>5</v>
      </c>
      <c r="H4438">
        <v>3</v>
      </c>
      <c r="I4438">
        <v>1952</v>
      </c>
      <c r="J4438">
        <v>1</v>
      </c>
      <c r="K4438">
        <v>1</v>
      </c>
      <c r="L4438">
        <v>1</v>
      </c>
      <c r="M4438">
        <v>10</v>
      </c>
      <c r="N4438" t="s">
        <v>37</v>
      </c>
      <c r="O4438" t="s">
        <v>30</v>
      </c>
      <c r="P4438">
        <v>14.1992164399137</v>
      </c>
      <c r="Q4438">
        <v>1.5489046736115299</v>
      </c>
      <c r="R4438">
        <v>7.9203943331347197</v>
      </c>
      <c r="S4438">
        <v>16</v>
      </c>
      <c r="T4438">
        <v>67</v>
      </c>
      <c r="U4438">
        <v>904.52220651343703</v>
      </c>
      <c r="V4438">
        <v>4.0799673602611103E-3</v>
      </c>
      <c r="W4438">
        <v>2755388.63579182</v>
      </c>
      <c r="X4438" t="s">
        <v>44</v>
      </c>
      <c r="Y4438">
        <f>1-331-242-5445</f>
        <v>-6017</v>
      </c>
    </row>
    <row r="4439" spans="1:25" x14ac:dyDescent="0.35">
      <c r="A4439">
        <v>34.744952104009997</v>
      </c>
      <c r="B4439">
        <v>-114.149229378987</v>
      </c>
      <c r="C4439" t="s">
        <v>29</v>
      </c>
      <c r="D4439">
        <v>2.86228148698723</v>
      </c>
      <c r="E4439">
        <v>7</v>
      </c>
      <c r="F4439">
        <v>1650</v>
      </c>
      <c r="G4439">
        <v>4</v>
      </c>
      <c r="H4439">
        <v>3</v>
      </c>
      <c r="I4439">
        <v>1967</v>
      </c>
      <c r="J4439">
        <v>0</v>
      </c>
      <c r="K4439">
        <v>0</v>
      </c>
      <c r="L4439">
        <v>0</v>
      </c>
      <c r="M4439">
        <v>12</v>
      </c>
      <c r="N4439" t="s">
        <v>26</v>
      </c>
      <c r="O4439" t="s">
        <v>27</v>
      </c>
      <c r="P4439">
        <v>12.8727177440523</v>
      </c>
      <c r="Q4439">
        <v>0.61751359006434003</v>
      </c>
      <c r="R4439">
        <v>1.11523517372212</v>
      </c>
      <c r="S4439">
        <v>164</v>
      </c>
      <c r="T4439">
        <v>52</v>
      </c>
      <c r="U4439">
        <v>360.71223134674699</v>
      </c>
      <c r="V4439">
        <v>7.2727272727272701E-3</v>
      </c>
      <c r="W4439">
        <v>885691.31796152901</v>
      </c>
      <c r="X4439" t="s">
        <v>33</v>
      </c>
      <c r="Y4439">
        <f>1-621-732-8859</f>
        <v>-10211</v>
      </c>
    </row>
    <row r="4440" spans="1:25" x14ac:dyDescent="0.35">
      <c r="A4440">
        <v>36.941572502788198</v>
      </c>
      <c r="B4440">
        <v>-116.717736843941</v>
      </c>
      <c r="C4440" t="s">
        <v>29</v>
      </c>
      <c r="D4440">
        <v>9.4874052413257406</v>
      </c>
      <c r="E4440">
        <v>7</v>
      </c>
      <c r="F4440">
        <v>1066</v>
      </c>
      <c r="G4440">
        <v>5</v>
      </c>
      <c r="H4440">
        <v>3</v>
      </c>
      <c r="I4440">
        <v>1997</v>
      </c>
      <c r="J4440">
        <v>1</v>
      </c>
      <c r="K4440">
        <v>1</v>
      </c>
      <c r="L4440">
        <v>1</v>
      </c>
      <c r="M4440">
        <v>14</v>
      </c>
      <c r="N4440" t="s">
        <v>35</v>
      </c>
      <c r="O4440" t="s">
        <v>32</v>
      </c>
      <c r="P4440">
        <v>13.2139275523616</v>
      </c>
      <c r="Q4440">
        <v>0.65872220951737004</v>
      </c>
      <c r="R4440">
        <v>3.1348663078360501</v>
      </c>
      <c r="S4440">
        <v>43</v>
      </c>
      <c r="T4440">
        <v>58</v>
      </c>
      <c r="U4440">
        <v>234.364014877675</v>
      </c>
      <c r="V4440">
        <v>1.3133208255159399E-2</v>
      </c>
      <c r="W4440">
        <v>764391.65284730296</v>
      </c>
      <c r="X4440" t="s">
        <v>31</v>
      </c>
      <c r="Y4440">
        <f>1-291-940-2056</f>
        <v>-3286</v>
      </c>
    </row>
    <row r="4441" spans="1:25" x14ac:dyDescent="0.35">
      <c r="A4441">
        <v>40.079425476289401</v>
      </c>
      <c r="B4441">
        <v>-118.661120242621</v>
      </c>
      <c r="C4441" t="s">
        <v>34</v>
      </c>
      <c r="D4441">
        <v>13.2220679503712</v>
      </c>
      <c r="E4441">
        <v>3</v>
      </c>
      <c r="F4441">
        <v>4026</v>
      </c>
      <c r="G4441">
        <v>1</v>
      </c>
      <c r="H4441">
        <v>1</v>
      </c>
      <c r="I4441">
        <v>2000</v>
      </c>
      <c r="J4441">
        <v>0</v>
      </c>
      <c r="K4441">
        <v>0</v>
      </c>
      <c r="L4441">
        <v>0</v>
      </c>
      <c r="M4441">
        <v>3</v>
      </c>
      <c r="N4441" t="s">
        <v>26</v>
      </c>
      <c r="O4441" t="s">
        <v>27</v>
      </c>
      <c r="P4441">
        <v>4.54412786403062</v>
      </c>
      <c r="Q4441">
        <v>1.3777316235988899</v>
      </c>
      <c r="R4441">
        <v>3.4107002504591502</v>
      </c>
      <c r="S4441">
        <v>118</v>
      </c>
      <c r="T4441">
        <v>35</v>
      </c>
      <c r="U4441">
        <v>203.002856479759</v>
      </c>
      <c r="V4441">
        <v>7.4515648286140003E-4</v>
      </c>
      <c r="W4441">
        <v>881064.46984327096</v>
      </c>
      <c r="X4441" t="s">
        <v>39</v>
      </c>
      <c r="Y4441">
        <f>1-517-764-4816</f>
        <v>-6096</v>
      </c>
    </row>
    <row r="4442" spans="1:25" x14ac:dyDescent="0.35">
      <c r="A4442">
        <v>35.883273576272998</v>
      </c>
      <c r="B4442">
        <v>-121.465288738159</v>
      </c>
      <c r="C4442" t="s">
        <v>29</v>
      </c>
      <c r="D4442">
        <v>46.189849320125496</v>
      </c>
      <c r="E4442">
        <v>7</v>
      </c>
      <c r="F4442">
        <v>1890</v>
      </c>
      <c r="G4442">
        <v>5</v>
      </c>
      <c r="H4442">
        <v>1</v>
      </c>
      <c r="I4442">
        <v>2021</v>
      </c>
      <c r="J4442">
        <v>1</v>
      </c>
      <c r="K4442">
        <v>1</v>
      </c>
      <c r="L4442">
        <v>1</v>
      </c>
      <c r="M4442">
        <v>13</v>
      </c>
      <c r="N4442" t="s">
        <v>26</v>
      </c>
      <c r="O4442" t="s">
        <v>32</v>
      </c>
      <c r="P4442">
        <v>3.0077541564546002</v>
      </c>
      <c r="Q4442">
        <v>1.63864477781077</v>
      </c>
      <c r="R4442">
        <v>3.8097912147474502</v>
      </c>
      <c r="S4442">
        <v>153</v>
      </c>
      <c r="T4442">
        <v>45</v>
      </c>
      <c r="U4442">
        <v>271.66874762170801</v>
      </c>
      <c r="V4442">
        <v>6.8783068783068698E-3</v>
      </c>
      <c r="W4442">
        <v>932262.86872472905</v>
      </c>
      <c r="X4442" t="s">
        <v>39</v>
      </c>
      <c r="Y4442">
        <f>1-834-960-2004</f>
        <v>-3797</v>
      </c>
    </row>
    <row r="4443" spans="1:25" x14ac:dyDescent="0.35">
      <c r="A4443">
        <v>33.071245795250498</v>
      </c>
      <c r="B4443">
        <v>-114.266590044316</v>
      </c>
      <c r="C4443" t="s">
        <v>25</v>
      </c>
      <c r="D4443">
        <v>41.9443432896948</v>
      </c>
      <c r="E4443">
        <v>8</v>
      </c>
      <c r="F4443">
        <v>1060</v>
      </c>
      <c r="G4443">
        <v>1</v>
      </c>
      <c r="H4443">
        <v>3</v>
      </c>
      <c r="I4443">
        <v>2014</v>
      </c>
      <c r="J4443">
        <v>0</v>
      </c>
      <c r="K4443">
        <v>1</v>
      </c>
      <c r="L4443">
        <v>0</v>
      </c>
      <c r="M4443">
        <v>13</v>
      </c>
      <c r="N4443" t="s">
        <v>37</v>
      </c>
      <c r="O4443" t="s">
        <v>27</v>
      </c>
      <c r="P4443">
        <v>7.9769017487626703</v>
      </c>
      <c r="Q4443">
        <v>1.7176985240717899</v>
      </c>
      <c r="R4443">
        <v>5.2339315708352698</v>
      </c>
      <c r="S4443">
        <v>98</v>
      </c>
      <c r="T4443">
        <v>76</v>
      </c>
      <c r="U4443">
        <v>550.117751459597</v>
      </c>
      <c r="V4443">
        <v>1.2264150943396199E-2</v>
      </c>
      <c r="W4443">
        <v>847244.32514392096</v>
      </c>
      <c r="X4443" t="s">
        <v>36</v>
      </c>
      <c r="Y4443">
        <f>1-402-925-5265</f>
        <v>-6591</v>
      </c>
    </row>
    <row r="4444" spans="1:25" x14ac:dyDescent="0.35">
      <c r="A4444">
        <v>34.645593672267701</v>
      </c>
      <c r="B4444">
        <v>-119.898880528714</v>
      </c>
      <c r="C4444" t="s">
        <v>34</v>
      </c>
      <c r="D4444">
        <v>16.505765661683501</v>
      </c>
      <c r="E4444">
        <v>5</v>
      </c>
      <c r="F4444">
        <v>3932</v>
      </c>
      <c r="G4444">
        <v>2</v>
      </c>
      <c r="H4444">
        <v>2</v>
      </c>
      <c r="I4444">
        <v>1950</v>
      </c>
      <c r="J4444">
        <v>0</v>
      </c>
      <c r="K4444">
        <v>0</v>
      </c>
      <c r="L4444">
        <v>0</v>
      </c>
      <c r="M4444">
        <v>3</v>
      </c>
      <c r="N4444" t="s">
        <v>41</v>
      </c>
      <c r="O4444" t="s">
        <v>30</v>
      </c>
      <c r="P4444">
        <v>13.468255204196</v>
      </c>
      <c r="Q4444">
        <v>1.38748551993026</v>
      </c>
      <c r="R4444">
        <v>7.28382815713959</v>
      </c>
      <c r="S4444">
        <v>179</v>
      </c>
      <c r="T4444">
        <v>71</v>
      </c>
      <c r="U4444">
        <v>281.14850504668601</v>
      </c>
      <c r="V4444">
        <v>7.6297049847405898E-4</v>
      </c>
      <c r="W4444">
        <v>1212389.1404568499</v>
      </c>
      <c r="X4444" t="s">
        <v>33</v>
      </c>
      <c r="Y4444">
        <f>1-287-170-7469</f>
        <v>-7925</v>
      </c>
    </row>
    <row r="4445" spans="1:25" x14ac:dyDescent="0.35">
      <c r="A4445">
        <v>37.032399259929903</v>
      </c>
      <c r="B4445">
        <v>-117.80689484125099</v>
      </c>
      <c r="C4445" t="s">
        <v>34</v>
      </c>
      <c r="D4445">
        <v>3.3179957414972998</v>
      </c>
      <c r="E4445">
        <v>0</v>
      </c>
      <c r="F4445">
        <v>4481</v>
      </c>
      <c r="G4445">
        <v>4</v>
      </c>
      <c r="H4445">
        <v>1</v>
      </c>
      <c r="I4445">
        <v>1957</v>
      </c>
      <c r="J4445">
        <v>1</v>
      </c>
      <c r="K4445">
        <v>1</v>
      </c>
      <c r="L4445">
        <v>1</v>
      </c>
      <c r="M4445">
        <v>14</v>
      </c>
      <c r="N4445" t="s">
        <v>41</v>
      </c>
      <c r="O4445" t="s">
        <v>27</v>
      </c>
      <c r="P4445">
        <v>2.5524951179454201</v>
      </c>
      <c r="Q4445">
        <v>1.7369244001551001</v>
      </c>
      <c r="R4445">
        <v>5.4453139772062098</v>
      </c>
      <c r="S4445">
        <v>192</v>
      </c>
      <c r="T4445">
        <v>70</v>
      </c>
      <c r="U4445">
        <v>589.74353361921499</v>
      </c>
      <c r="V4445">
        <v>3.1243026110243199E-3</v>
      </c>
      <c r="W4445">
        <v>2913711.8509690398</v>
      </c>
      <c r="X4445" t="s">
        <v>33</v>
      </c>
      <c r="Y4445">
        <f>1-727-348-2248</f>
        <v>-3322</v>
      </c>
    </row>
    <row r="4446" spans="1:25" x14ac:dyDescent="0.35">
      <c r="A4446">
        <v>38.617269123787601</v>
      </c>
      <c r="B4446">
        <v>-122.201655621591</v>
      </c>
      <c r="C4446" t="s">
        <v>34</v>
      </c>
      <c r="D4446">
        <v>10.1134903683009</v>
      </c>
      <c r="E4446">
        <v>6</v>
      </c>
      <c r="F4446">
        <v>3876</v>
      </c>
      <c r="G4446">
        <v>2</v>
      </c>
      <c r="H4446">
        <v>1</v>
      </c>
      <c r="I4446">
        <v>2013</v>
      </c>
      <c r="J4446">
        <v>1</v>
      </c>
      <c r="K4446">
        <v>0</v>
      </c>
      <c r="L4446">
        <v>0</v>
      </c>
      <c r="M4446">
        <v>8</v>
      </c>
      <c r="N4446" t="s">
        <v>35</v>
      </c>
      <c r="O4446" t="s">
        <v>30</v>
      </c>
      <c r="P4446">
        <v>12.470841660125</v>
      </c>
      <c r="Q4446">
        <v>2.0590053932278098</v>
      </c>
      <c r="R4446">
        <v>2.5352906072460901</v>
      </c>
      <c r="S4446">
        <v>82</v>
      </c>
      <c r="T4446">
        <v>51</v>
      </c>
      <c r="U4446">
        <v>310.95394090245298</v>
      </c>
      <c r="V4446">
        <v>2.06398348813209E-3</v>
      </c>
      <c r="W4446">
        <v>1450436.47831249</v>
      </c>
      <c r="X4446" t="s">
        <v>36</v>
      </c>
      <c r="Y4446">
        <f>1-814-453-3777</f>
        <v>-5043</v>
      </c>
    </row>
    <row r="4447" spans="1:25" x14ac:dyDescent="0.35">
      <c r="A4447">
        <v>35.689758462343001</v>
      </c>
      <c r="B4447">
        <v>-117.194539258665</v>
      </c>
      <c r="C4447" t="s">
        <v>29</v>
      </c>
      <c r="D4447">
        <v>29.729651371860999</v>
      </c>
      <c r="E4447">
        <v>2</v>
      </c>
      <c r="F4447">
        <v>1870</v>
      </c>
      <c r="G4447">
        <v>1</v>
      </c>
      <c r="H4447">
        <v>2</v>
      </c>
      <c r="I4447">
        <v>2015</v>
      </c>
      <c r="J4447">
        <v>1</v>
      </c>
      <c r="K4447">
        <v>0</v>
      </c>
      <c r="L4447">
        <v>0</v>
      </c>
      <c r="M4447">
        <v>2</v>
      </c>
      <c r="N4447" t="s">
        <v>37</v>
      </c>
      <c r="O4447" t="s">
        <v>32</v>
      </c>
      <c r="P4447">
        <v>8.8885023008103605</v>
      </c>
      <c r="Q4447">
        <v>1.23805610319236</v>
      </c>
      <c r="R4447">
        <v>0.63122244223123702</v>
      </c>
      <c r="S4447">
        <v>78</v>
      </c>
      <c r="T4447">
        <v>64</v>
      </c>
      <c r="U4447">
        <v>905.672745520744</v>
      </c>
      <c r="V4447">
        <v>1.0695187165775399E-3</v>
      </c>
      <c r="W4447">
        <v>1913487.4565624399</v>
      </c>
      <c r="X4447" t="s">
        <v>28</v>
      </c>
      <c r="Y4447">
        <f>1-836-583-2640</f>
        <v>-4058</v>
      </c>
    </row>
    <row r="4448" spans="1:25" x14ac:dyDescent="0.35">
      <c r="A4448">
        <v>35.254279688771199</v>
      </c>
      <c r="B4448">
        <v>-118.04364275216101</v>
      </c>
      <c r="C4448" t="s">
        <v>25</v>
      </c>
      <c r="D4448">
        <v>2.6517207601600599</v>
      </c>
      <c r="E4448">
        <v>0</v>
      </c>
      <c r="F4448">
        <v>725</v>
      </c>
      <c r="G4448">
        <v>5</v>
      </c>
      <c r="H4448">
        <v>3</v>
      </c>
      <c r="I4448">
        <v>1994</v>
      </c>
      <c r="J4448">
        <v>0</v>
      </c>
      <c r="K4448">
        <v>0</v>
      </c>
      <c r="L4448">
        <v>1</v>
      </c>
      <c r="M4448">
        <v>11</v>
      </c>
      <c r="N4448" t="s">
        <v>41</v>
      </c>
      <c r="O4448" t="s">
        <v>32</v>
      </c>
      <c r="P4448">
        <v>2.0371586675359001</v>
      </c>
      <c r="Q4448">
        <v>0.705246665185704</v>
      </c>
      <c r="R4448">
        <v>1.25967718542659</v>
      </c>
      <c r="S4448">
        <v>171</v>
      </c>
      <c r="T4448">
        <v>48</v>
      </c>
      <c r="U4448">
        <v>776.07778738361401</v>
      </c>
      <c r="V4448">
        <v>1.51724137931034E-2</v>
      </c>
      <c r="W4448">
        <v>792687.72520709503</v>
      </c>
      <c r="X4448" t="s">
        <v>44</v>
      </c>
      <c r="Y4448">
        <f>1-846-338-5730</f>
        <v>-6913</v>
      </c>
    </row>
    <row r="4449" spans="1:25" x14ac:dyDescent="0.35">
      <c r="A4449">
        <v>37.995537002705902</v>
      </c>
      <c r="B4449">
        <v>-120.238029412404</v>
      </c>
      <c r="C4449" t="s">
        <v>29</v>
      </c>
      <c r="D4449">
        <v>3.3243885210948099</v>
      </c>
      <c r="E4449">
        <v>0</v>
      </c>
      <c r="F4449">
        <v>1880</v>
      </c>
      <c r="G4449">
        <v>1</v>
      </c>
      <c r="H4449">
        <v>1</v>
      </c>
      <c r="I4449">
        <v>1994</v>
      </c>
      <c r="J4449">
        <v>1</v>
      </c>
      <c r="K4449">
        <v>0</v>
      </c>
      <c r="L4449">
        <v>0</v>
      </c>
      <c r="M4449">
        <v>10</v>
      </c>
      <c r="N4449" t="s">
        <v>35</v>
      </c>
      <c r="O4449" t="s">
        <v>27</v>
      </c>
      <c r="P4449">
        <v>4.7759537503286396</v>
      </c>
      <c r="Q4449">
        <v>0.90725245840940505</v>
      </c>
      <c r="R4449">
        <v>7.1970852958559899</v>
      </c>
      <c r="S4449">
        <v>120</v>
      </c>
      <c r="T4449">
        <v>63</v>
      </c>
      <c r="U4449">
        <v>642.76256388182696</v>
      </c>
      <c r="V4449">
        <v>5.31914893617021E-3</v>
      </c>
      <c r="W4449">
        <v>1334457.9277465099</v>
      </c>
      <c r="X4449" t="s">
        <v>38</v>
      </c>
      <c r="Y4449">
        <f>1-963-266-8739</f>
        <v>-9967</v>
      </c>
    </row>
    <row r="4450" spans="1:25" x14ac:dyDescent="0.35">
      <c r="A4450">
        <v>33.746362634300702</v>
      </c>
      <c r="B4450">
        <v>-114.789417598249</v>
      </c>
      <c r="C4450" t="s">
        <v>34</v>
      </c>
      <c r="D4450">
        <v>34.847702309292401</v>
      </c>
      <c r="E4450">
        <v>6</v>
      </c>
      <c r="F4450">
        <v>1322</v>
      </c>
      <c r="G4450">
        <v>3</v>
      </c>
      <c r="H4450">
        <v>2</v>
      </c>
      <c r="I4450">
        <v>1955</v>
      </c>
      <c r="J4450">
        <v>1</v>
      </c>
      <c r="K4450">
        <v>1</v>
      </c>
      <c r="L4450">
        <v>0</v>
      </c>
      <c r="M4450">
        <v>13</v>
      </c>
      <c r="N4450" t="s">
        <v>35</v>
      </c>
      <c r="O4450" t="s">
        <v>32</v>
      </c>
      <c r="P4450">
        <v>13.085416303928</v>
      </c>
      <c r="Q4450">
        <v>1.0675913341330101</v>
      </c>
      <c r="R4450">
        <v>9.9428770688823906</v>
      </c>
      <c r="S4450">
        <v>155</v>
      </c>
      <c r="T4450">
        <v>28</v>
      </c>
      <c r="U4450">
        <v>896.02456300349195</v>
      </c>
      <c r="V4450">
        <v>9.8335854765506797E-3</v>
      </c>
      <c r="W4450">
        <v>1461595.7578924</v>
      </c>
      <c r="X4450" t="s">
        <v>31</v>
      </c>
      <c r="Y4450">
        <f>1-362-422-4495</f>
        <v>-5278</v>
      </c>
    </row>
    <row r="4451" spans="1:25" x14ac:dyDescent="0.35">
      <c r="A4451">
        <v>35.975357146506497</v>
      </c>
      <c r="B4451">
        <v>-124.23282242051199</v>
      </c>
      <c r="C4451" t="s">
        <v>29</v>
      </c>
      <c r="D4451">
        <v>29.972547537085799</v>
      </c>
      <c r="E4451">
        <v>8</v>
      </c>
      <c r="F4451">
        <v>2511</v>
      </c>
      <c r="G4451">
        <v>2</v>
      </c>
      <c r="H4451">
        <v>2</v>
      </c>
      <c r="I4451">
        <v>2006</v>
      </c>
      <c r="J4451">
        <v>1</v>
      </c>
      <c r="K4451">
        <v>1</v>
      </c>
      <c r="L4451">
        <v>1</v>
      </c>
      <c r="M4451">
        <v>7</v>
      </c>
      <c r="N4451" t="s">
        <v>37</v>
      </c>
      <c r="O4451" t="s">
        <v>30</v>
      </c>
      <c r="P4451">
        <v>6.6841629628327501</v>
      </c>
      <c r="Q4451">
        <v>0.95950156880526305</v>
      </c>
      <c r="R4451">
        <v>8.6995047578705798</v>
      </c>
      <c r="S4451">
        <v>21</v>
      </c>
      <c r="T4451">
        <v>43</v>
      </c>
      <c r="U4451">
        <v>783.32524490656499</v>
      </c>
      <c r="V4451">
        <v>2.7877339705296598E-3</v>
      </c>
      <c r="W4451">
        <v>2309070.7183787902</v>
      </c>
      <c r="X4451" t="s">
        <v>31</v>
      </c>
      <c r="Y4451">
        <f>1-930-563-3301</f>
        <v>-4793</v>
      </c>
    </row>
    <row r="4452" spans="1:25" x14ac:dyDescent="0.35">
      <c r="A4452">
        <v>39.810341711440998</v>
      </c>
      <c r="B4452">
        <v>-119.607040945397</v>
      </c>
      <c r="C4452" t="s">
        <v>25</v>
      </c>
      <c r="D4452">
        <v>35.2416708246352</v>
      </c>
      <c r="E4452">
        <v>5</v>
      </c>
      <c r="F4452">
        <v>3887</v>
      </c>
      <c r="G4452">
        <v>4</v>
      </c>
      <c r="H4452">
        <v>2</v>
      </c>
      <c r="I4452">
        <v>2009</v>
      </c>
      <c r="J4452">
        <v>0</v>
      </c>
      <c r="K4452">
        <v>1</v>
      </c>
      <c r="L4452">
        <v>1</v>
      </c>
      <c r="M4452">
        <v>12</v>
      </c>
      <c r="N4452" t="s">
        <v>37</v>
      </c>
      <c r="O4452" t="s">
        <v>27</v>
      </c>
      <c r="P4452">
        <v>5.09732011116823</v>
      </c>
      <c r="Q4452">
        <v>0.86484398605700297</v>
      </c>
      <c r="R4452">
        <v>5.9038407123974697</v>
      </c>
      <c r="S4452">
        <v>106</v>
      </c>
      <c r="T4452">
        <v>38</v>
      </c>
      <c r="U4452">
        <v>939.51619370203696</v>
      </c>
      <c r="V4452">
        <v>3.0872137895549198E-3</v>
      </c>
      <c r="W4452">
        <v>4062602.1468728501</v>
      </c>
      <c r="X4452" t="s">
        <v>38</v>
      </c>
      <c r="Y4452">
        <f>1-254-880-2062</f>
        <v>-3195</v>
      </c>
    </row>
    <row r="4453" spans="1:25" x14ac:dyDescent="0.35">
      <c r="A4453">
        <v>38.421693141109102</v>
      </c>
      <c r="B4453">
        <v>-122.215256570241</v>
      </c>
      <c r="C4453" t="s">
        <v>25</v>
      </c>
      <c r="D4453">
        <v>36.806358888398698</v>
      </c>
      <c r="E4453">
        <v>2</v>
      </c>
      <c r="F4453">
        <v>2894</v>
      </c>
      <c r="G4453">
        <v>4</v>
      </c>
      <c r="H4453">
        <v>3</v>
      </c>
      <c r="I4453">
        <v>2010</v>
      </c>
      <c r="J4453">
        <v>0</v>
      </c>
      <c r="K4453">
        <v>1</v>
      </c>
      <c r="L4453">
        <v>0</v>
      </c>
      <c r="M4453">
        <v>2</v>
      </c>
      <c r="N4453" t="s">
        <v>35</v>
      </c>
      <c r="O4453" t="s">
        <v>27</v>
      </c>
      <c r="P4453">
        <v>12.048247485868499</v>
      </c>
      <c r="Q4453">
        <v>1.9654653681874701</v>
      </c>
      <c r="R4453">
        <v>4.1103910226514504</v>
      </c>
      <c r="S4453">
        <v>97</v>
      </c>
      <c r="T4453">
        <v>73</v>
      </c>
      <c r="U4453">
        <v>315.58125937670599</v>
      </c>
      <c r="V4453">
        <v>6.9108500345542499E-4</v>
      </c>
      <c r="W4453">
        <v>1398005.6315244499</v>
      </c>
      <c r="X4453" t="s">
        <v>38</v>
      </c>
      <c r="Y4453">
        <f>1-942-289-3887</f>
        <v>-5117</v>
      </c>
    </row>
    <row r="4454" spans="1:25" x14ac:dyDescent="0.35">
      <c r="A4454">
        <v>40.824274084286799</v>
      </c>
      <c r="B4454">
        <v>-123.840864532309</v>
      </c>
      <c r="C4454" t="s">
        <v>34</v>
      </c>
      <c r="D4454">
        <v>36.112281147065801</v>
      </c>
      <c r="E4454">
        <v>4</v>
      </c>
      <c r="F4454">
        <v>1678</v>
      </c>
      <c r="G4454">
        <v>4</v>
      </c>
      <c r="H4454">
        <v>3</v>
      </c>
      <c r="I4454">
        <v>2021</v>
      </c>
      <c r="J4454">
        <v>0</v>
      </c>
      <c r="K4454">
        <v>0</v>
      </c>
      <c r="L4454">
        <v>1</v>
      </c>
      <c r="M4454">
        <v>6</v>
      </c>
      <c r="N4454" t="s">
        <v>41</v>
      </c>
      <c r="O4454" t="s">
        <v>27</v>
      </c>
      <c r="P4454">
        <v>14.0530238521933</v>
      </c>
      <c r="Q4454">
        <v>0.96087373388364095</v>
      </c>
      <c r="R4454">
        <v>7.0795322720904297</v>
      </c>
      <c r="S4454">
        <v>166</v>
      </c>
      <c r="T4454">
        <v>77</v>
      </c>
      <c r="U4454">
        <v>753.85965785173698</v>
      </c>
      <c r="V4454">
        <v>3.5756853396901002E-3</v>
      </c>
      <c r="W4454">
        <v>1667963.69154338</v>
      </c>
      <c r="X4454" t="s">
        <v>31</v>
      </c>
      <c r="Y4454">
        <f>1-732-979-9911</f>
        <v>-11621</v>
      </c>
    </row>
    <row r="4455" spans="1:25" x14ac:dyDescent="0.35">
      <c r="A4455">
        <v>39.309379450726702</v>
      </c>
      <c r="B4455">
        <v>-116.03144697298301</v>
      </c>
      <c r="C4455" t="s">
        <v>25</v>
      </c>
      <c r="D4455">
        <v>14.892370657940599</v>
      </c>
      <c r="E4455">
        <v>5</v>
      </c>
      <c r="F4455">
        <v>1643</v>
      </c>
      <c r="G4455">
        <v>1</v>
      </c>
      <c r="H4455">
        <v>2</v>
      </c>
      <c r="I4455">
        <v>1995</v>
      </c>
      <c r="J4455">
        <v>0</v>
      </c>
      <c r="K4455">
        <v>1</v>
      </c>
      <c r="L4455">
        <v>1</v>
      </c>
      <c r="M4455">
        <v>14</v>
      </c>
      <c r="N4455" t="s">
        <v>26</v>
      </c>
      <c r="O4455" t="s">
        <v>30</v>
      </c>
      <c r="P4455">
        <v>2.5980946721823401</v>
      </c>
      <c r="Q4455">
        <v>1.4162539144841699</v>
      </c>
      <c r="R4455">
        <v>0.28378219844168701</v>
      </c>
      <c r="S4455">
        <v>12</v>
      </c>
      <c r="T4455">
        <v>40</v>
      </c>
      <c r="U4455">
        <v>941.87908468241096</v>
      </c>
      <c r="V4455">
        <v>8.5209981740718196E-3</v>
      </c>
      <c r="W4455">
        <v>1711560.62198866</v>
      </c>
      <c r="X4455" t="s">
        <v>40</v>
      </c>
      <c r="Y4455">
        <f>1-221-297-8849</f>
        <v>-9366</v>
      </c>
    </row>
    <row r="4456" spans="1:25" x14ac:dyDescent="0.35">
      <c r="A4456">
        <v>41.1134934511567</v>
      </c>
      <c r="B4456">
        <v>-124.336565233287</v>
      </c>
      <c r="C4456" t="s">
        <v>34</v>
      </c>
      <c r="D4456">
        <v>17.907073538771701</v>
      </c>
      <c r="E4456">
        <v>6</v>
      </c>
      <c r="F4456">
        <v>1788</v>
      </c>
      <c r="G4456">
        <v>5</v>
      </c>
      <c r="H4456">
        <v>1</v>
      </c>
      <c r="I4456">
        <v>1960</v>
      </c>
      <c r="J4456">
        <v>0</v>
      </c>
      <c r="K4456">
        <v>1</v>
      </c>
      <c r="L4456">
        <v>1</v>
      </c>
      <c r="M4456">
        <v>7</v>
      </c>
      <c r="N4456" t="s">
        <v>35</v>
      </c>
      <c r="O4456" t="s">
        <v>27</v>
      </c>
      <c r="P4456">
        <v>8.6016772228910003</v>
      </c>
      <c r="Q4456">
        <v>1.1010993033284899</v>
      </c>
      <c r="R4456">
        <v>8.5488760863783693</v>
      </c>
      <c r="S4456">
        <v>15</v>
      </c>
      <c r="T4456">
        <v>26</v>
      </c>
      <c r="U4456">
        <v>601.075452051811</v>
      </c>
      <c r="V4456">
        <v>3.91498881431767E-3</v>
      </c>
      <c r="W4456">
        <v>1507571.946585</v>
      </c>
      <c r="X4456" t="s">
        <v>40</v>
      </c>
      <c r="Y4456">
        <f>1-518-926-3167</f>
        <v>-4610</v>
      </c>
    </row>
    <row r="4457" spans="1:25" x14ac:dyDescent="0.35">
      <c r="A4457">
        <v>35.314667120476798</v>
      </c>
      <c r="B4457">
        <v>-124.411835490211</v>
      </c>
      <c r="C4457" t="s">
        <v>29</v>
      </c>
      <c r="D4457">
        <v>47.411314441050301</v>
      </c>
      <c r="E4457">
        <v>2</v>
      </c>
      <c r="F4457">
        <v>2233</v>
      </c>
      <c r="G4457">
        <v>4</v>
      </c>
      <c r="H4457">
        <v>2</v>
      </c>
      <c r="I4457">
        <v>2012</v>
      </c>
      <c r="J4457">
        <v>1</v>
      </c>
      <c r="K4457">
        <v>0</v>
      </c>
      <c r="L4457">
        <v>1</v>
      </c>
      <c r="M4457">
        <v>6</v>
      </c>
      <c r="N4457" t="s">
        <v>41</v>
      </c>
      <c r="O4457" t="s">
        <v>30</v>
      </c>
      <c r="P4457">
        <v>2.5699984940194001</v>
      </c>
      <c r="Q4457">
        <v>0.84265120997264198</v>
      </c>
      <c r="R4457">
        <v>8.7718572473432292</v>
      </c>
      <c r="S4457">
        <v>185</v>
      </c>
      <c r="T4457">
        <v>67</v>
      </c>
      <c r="U4457">
        <v>482.96459362453498</v>
      </c>
      <c r="V4457">
        <v>2.6869682042095799E-3</v>
      </c>
      <c r="W4457">
        <v>1333607.5243140799</v>
      </c>
      <c r="X4457" t="s">
        <v>43</v>
      </c>
      <c r="Y4457">
        <f>1-291-402-2987</f>
        <v>-3679</v>
      </c>
    </row>
    <row r="4458" spans="1:25" x14ac:dyDescent="0.35">
      <c r="A4458">
        <v>41.921693384259598</v>
      </c>
      <c r="B4458">
        <v>-123.65162826654201</v>
      </c>
      <c r="C4458" t="s">
        <v>34</v>
      </c>
      <c r="D4458">
        <v>18.619449869932801</v>
      </c>
      <c r="E4458">
        <v>5</v>
      </c>
      <c r="F4458">
        <v>4879</v>
      </c>
      <c r="G4458">
        <v>4</v>
      </c>
      <c r="H4458">
        <v>1</v>
      </c>
      <c r="I4458">
        <v>1957</v>
      </c>
      <c r="J4458">
        <v>1</v>
      </c>
      <c r="K4458">
        <v>1</v>
      </c>
      <c r="L4458">
        <v>0</v>
      </c>
      <c r="M4458">
        <v>7</v>
      </c>
      <c r="N4458" t="s">
        <v>35</v>
      </c>
      <c r="O4458" t="s">
        <v>32</v>
      </c>
      <c r="P4458">
        <v>8.8828584316317496</v>
      </c>
      <c r="Q4458">
        <v>2.2595455765346601</v>
      </c>
      <c r="R4458">
        <v>2.1791655441584101</v>
      </c>
      <c r="S4458">
        <v>48</v>
      </c>
      <c r="T4458">
        <v>60</v>
      </c>
      <c r="U4458">
        <v>385.15565403211701</v>
      </c>
      <c r="V4458">
        <v>1.4347202295552301E-3</v>
      </c>
      <c r="W4458">
        <v>2198362.84626533</v>
      </c>
      <c r="X4458" t="s">
        <v>42</v>
      </c>
      <c r="Y4458">
        <f>1-836-597-3449</f>
        <v>-4881</v>
      </c>
    </row>
    <row r="4459" spans="1:25" x14ac:dyDescent="0.35">
      <c r="A4459">
        <v>32.885227928127698</v>
      </c>
      <c r="B4459">
        <v>-119.088366307725</v>
      </c>
      <c r="C4459" t="s">
        <v>34</v>
      </c>
      <c r="D4459">
        <v>34.211101974217797</v>
      </c>
      <c r="E4459">
        <v>1</v>
      </c>
      <c r="F4459">
        <v>3564</v>
      </c>
      <c r="G4459">
        <v>4</v>
      </c>
      <c r="H4459">
        <v>2</v>
      </c>
      <c r="I4459">
        <v>2007</v>
      </c>
      <c r="J4459">
        <v>1</v>
      </c>
      <c r="K4459">
        <v>1</v>
      </c>
      <c r="L4459">
        <v>0</v>
      </c>
      <c r="M4459">
        <v>9</v>
      </c>
      <c r="N4459" t="s">
        <v>41</v>
      </c>
      <c r="O4459" t="s">
        <v>27</v>
      </c>
      <c r="P4459">
        <v>3.8108740564219499</v>
      </c>
      <c r="Q4459">
        <v>1.1618931668746999</v>
      </c>
      <c r="R4459">
        <v>0.98986202800234402</v>
      </c>
      <c r="S4459">
        <v>54</v>
      </c>
      <c r="T4459">
        <v>30</v>
      </c>
      <c r="U4459">
        <v>510.11727905611599</v>
      </c>
      <c r="V4459">
        <v>2.5252525252525198E-3</v>
      </c>
      <c r="W4459">
        <v>2126628.2083211201</v>
      </c>
      <c r="X4459" t="s">
        <v>36</v>
      </c>
      <c r="Y4459">
        <f>1-970-768-8750</f>
        <v>-10487</v>
      </c>
    </row>
    <row r="4460" spans="1:25" x14ac:dyDescent="0.35">
      <c r="A4460">
        <v>38.835671013472201</v>
      </c>
      <c r="B4460">
        <v>-117.920718692786</v>
      </c>
      <c r="C4460" t="s">
        <v>25</v>
      </c>
      <c r="D4460">
        <v>25.110071287927099</v>
      </c>
      <c r="E4460">
        <v>1</v>
      </c>
      <c r="F4460">
        <v>3962</v>
      </c>
      <c r="G4460">
        <v>2</v>
      </c>
      <c r="H4460">
        <v>2</v>
      </c>
      <c r="I4460">
        <v>1981</v>
      </c>
      <c r="J4460">
        <v>0</v>
      </c>
      <c r="K4460">
        <v>0</v>
      </c>
      <c r="L4460">
        <v>1</v>
      </c>
      <c r="M4460">
        <v>8</v>
      </c>
      <c r="N4460" t="s">
        <v>41</v>
      </c>
      <c r="O4460" t="s">
        <v>32</v>
      </c>
      <c r="P4460">
        <v>7.10223334008744</v>
      </c>
      <c r="Q4460">
        <v>1.11513758517062</v>
      </c>
      <c r="R4460">
        <v>9.0484494835842693</v>
      </c>
      <c r="S4460">
        <v>130</v>
      </c>
      <c r="T4460">
        <v>65</v>
      </c>
      <c r="U4460">
        <v>856.31575533700902</v>
      </c>
      <c r="V4460">
        <v>2.0191822311963598E-3</v>
      </c>
      <c r="W4460">
        <v>3568012.4673416899</v>
      </c>
      <c r="X4460" t="s">
        <v>39</v>
      </c>
      <c r="Y4460">
        <f>1-292-744-7737</f>
        <v>-8772</v>
      </c>
    </row>
    <row r="4461" spans="1:25" x14ac:dyDescent="0.35">
      <c r="A4461">
        <v>37.052603645969803</v>
      </c>
      <c r="B4461">
        <v>-117.774269735388</v>
      </c>
      <c r="C4461" t="s">
        <v>29</v>
      </c>
      <c r="D4461">
        <v>12.568900776037699</v>
      </c>
      <c r="E4461">
        <v>7</v>
      </c>
      <c r="F4461">
        <v>2178</v>
      </c>
      <c r="G4461">
        <v>1</v>
      </c>
      <c r="H4461">
        <v>1</v>
      </c>
      <c r="I4461">
        <v>1969</v>
      </c>
      <c r="J4461">
        <v>0</v>
      </c>
      <c r="K4461">
        <v>0</v>
      </c>
      <c r="L4461">
        <v>0</v>
      </c>
      <c r="M4461">
        <v>11</v>
      </c>
      <c r="N4461" t="s">
        <v>26</v>
      </c>
      <c r="O4461" t="s">
        <v>27</v>
      </c>
      <c r="P4461">
        <v>4.7730710053068002</v>
      </c>
      <c r="Q4461">
        <v>1.3032424390760899</v>
      </c>
      <c r="R4461">
        <v>3.9717476255087498</v>
      </c>
      <c r="S4461">
        <v>0</v>
      </c>
      <c r="T4461">
        <v>37</v>
      </c>
      <c r="U4461">
        <v>727.05480103903699</v>
      </c>
      <c r="V4461">
        <v>5.0505050505050501E-3</v>
      </c>
      <c r="W4461">
        <v>1608580.16859187</v>
      </c>
      <c r="X4461" t="s">
        <v>42</v>
      </c>
      <c r="Y4461">
        <f>1-947-521-8846</f>
        <v>-10313</v>
      </c>
    </row>
    <row r="4462" spans="1:25" x14ac:dyDescent="0.35">
      <c r="A4462">
        <v>33.972104121592501</v>
      </c>
      <c r="B4462">
        <v>-123.95133646332199</v>
      </c>
      <c r="C4462" t="s">
        <v>34</v>
      </c>
      <c r="D4462">
        <v>42.133787025471598</v>
      </c>
      <c r="E4462">
        <v>0</v>
      </c>
      <c r="F4462">
        <v>2004</v>
      </c>
      <c r="G4462">
        <v>3</v>
      </c>
      <c r="H4462">
        <v>3</v>
      </c>
      <c r="I4462">
        <v>1979</v>
      </c>
      <c r="J4462">
        <v>0</v>
      </c>
      <c r="K4462">
        <v>1</v>
      </c>
      <c r="L4462">
        <v>1</v>
      </c>
      <c r="M4462">
        <v>11</v>
      </c>
      <c r="N4462" t="s">
        <v>35</v>
      </c>
      <c r="O4462" t="s">
        <v>30</v>
      </c>
      <c r="P4462">
        <v>11.242598171724699</v>
      </c>
      <c r="Q4462">
        <v>1.7107772527854399</v>
      </c>
      <c r="R4462">
        <v>3.7980503413779201</v>
      </c>
      <c r="S4462">
        <v>191</v>
      </c>
      <c r="T4462">
        <v>73</v>
      </c>
      <c r="U4462">
        <v>875.42070097845703</v>
      </c>
      <c r="V4462">
        <v>5.4890219560878202E-3</v>
      </c>
      <c r="W4462">
        <v>2044324.34425731</v>
      </c>
      <c r="X4462" t="s">
        <v>40</v>
      </c>
      <c r="Y4462">
        <f>1-887-365-6299</f>
        <v>-7550</v>
      </c>
    </row>
    <row r="4463" spans="1:25" x14ac:dyDescent="0.35">
      <c r="A4463">
        <v>35.8183132820662</v>
      </c>
      <c r="B4463">
        <v>-117.29618639210599</v>
      </c>
      <c r="C4463" t="s">
        <v>29</v>
      </c>
      <c r="D4463">
        <v>8.4063793393546398</v>
      </c>
      <c r="E4463">
        <v>6</v>
      </c>
      <c r="F4463">
        <v>2223</v>
      </c>
      <c r="G4463">
        <v>1</v>
      </c>
      <c r="H4463">
        <v>3</v>
      </c>
      <c r="I4463">
        <v>2000</v>
      </c>
      <c r="J4463">
        <v>0</v>
      </c>
      <c r="K4463">
        <v>1</v>
      </c>
      <c r="L4463">
        <v>0</v>
      </c>
      <c r="M4463">
        <v>4</v>
      </c>
      <c r="N4463" t="s">
        <v>26</v>
      </c>
      <c r="O4463" t="s">
        <v>32</v>
      </c>
      <c r="P4463">
        <v>7.6643988675772103</v>
      </c>
      <c r="Q4463">
        <v>1.6616062256405399</v>
      </c>
      <c r="R4463">
        <v>7.6836553333269402</v>
      </c>
      <c r="S4463">
        <v>34</v>
      </c>
      <c r="T4463">
        <v>51</v>
      </c>
      <c r="U4463">
        <v>389.26738971719197</v>
      </c>
      <c r="V4463">
        <v>1.7993702204228499E-3</v>
      </c>
      <c r="W4463">
        <v>1102468.3998758399</v>
      </c>
      <c r="X4463" t="s">
        <v>42</v>
      </c>
      <c r="Y4463">
        <f>1-567-782-3033</f>
        <v>-4381</v>
      </c>
    </row>
    <row r="4464" spans="1:25" x14ac:dyDescent="0.35">
      <c r="A4464">
        <v>40.995619492491798</v>
      </c>
      <c r="B4464">
        <v>-119.437023063827</v>
      </c>
      <c r="C4464" t="s">
        <v>25</v>
      </c>
      <c r="D4464">
        <v>30.412363637304001</v>
      </c>
      <c r="E4464">
        <v>5</v>
      </c>
      <c r="F4464">
        <v>3395</v>
      </c>
      <c r="G4464">
        <v>5</v>
      </c>
      <c r="H4464">
        <v>1</v>
      </c>
      <c r="I4464">
        <v>2007</v>
      </c>
      <c r="J4464">
        <v>0</v>
      </c>
      <c r="K4464">
        <v>1</v>
      </c>
      <c r="L4464">
        <v>1</v>
      </c>
      <c r="M4464">
        <v>8</v>
      </c>
      <c r="N4464" t="s">
        <v>35</v>
      </c>
      <c r="O4464" t="s">
        <v>30</v>
      </c>
      <c r="P4464">
        <v>2.7027210035417002</v>
      </c>
      <c r="Q4464">
        <v>0.75830773880913505</v>
      </c>
      <c r="R4464">
        <v>2.05745180133813</v>
      </c>
      <c r="S4464">
        <v>8</v>
      </c>
      <c r="T4464">
        <v>73</v>
      </c>
      <c r="U4464">
        <v>330.08971773675103</v>
      </c>
      <c r="V4464">
        <v>2.3564064801178202E-3</v>
      </c>
      <c r="W4464">
        <v>1559316.0114449901</v>
      </c>
      <c r="X4464" t="s">
        <v>38</v>
      </c>
      <c r="Y4464">
        <f>1-693-105-7234</f>
        <v>-8031</v>
      </c>
    </row>
    <row r="4465" spans="1:25" x14ac:dyDescent="0.35">
      <c r="A4465">
        <v>33.451321059083703</v>
      </c>
      <c r="B4465">
        <v>-120.02688477290999</v>
      </c>
      <c r="C4465" t="s">
        <v>29</v>
      </c>
      <c r="D4465">
        <v>8.48645007866652</v>
      </c>
      <c r="E4465">
        <v>3</v>
      </c>
      <c r="F4465">
        <v>1166</v>
      </c>
      <c r="G4465">
        <v>2</v>
      </c>
      <c r="H4465">
        <v>1</v>
      </c>
      <c r="I4465">
        <v>2004</v>
      </c>
      <c r="J4465">
        <v>1</v>
      </c>
      <c r="K4465">
        <v>1</v>
      </c>
      <c r="L4465">
        <v>0</v>
      </c>
      <c r="M4465">
        <v>2</v>
      </c>
      <c r="N4465" t="s">
        <v>26</v>
      </c>
      <c r="O4465" t="s">
        <v>27</v>
      </c>
      <c r="P4465">
        <v>14.7163410436627</v>
      </c>
      <c r="Q4465">
        <v>0.52486880748018705</v>
      </c>
      <c r="R4465">
        <v>1.0209123377923199</v>
      </c>
      <c r="S4465">
        <v>102</v>
      </c>
      <c r="T4465">
        <v>59</v>
      </c>
      <c r="U4465">
        <v>664.85186503255898</v>
      </c>
      <c r="V4465">
        <v>1.71526586620926E-3</v>
      </c>
      <c r="W4465">
        <v>1113611.62774646</v>
      </c>
      <c r="X4465" t="s">
        <v>28</v>
      </c>
      <c r="Y4465">
        <f>1-978-771-1771</f>
        <v>-3519</v>
      </c>
    </row>
    <row r="4466" spans="1:25" x14ac:dyDescent="0.35">
      <c r="A4466">
        <v>40.794907098507998</v>
      </c>
      <c r="B4466">
        <v>-121.00233296801299</v>
      </c>
      <c r="C4466" t="s">
        <v>25</v>
      </c>
      <c r="D4466">
        <v>48.219431624560897</v>
      </c>
      <c r="E4466">
        <v>2</v>
      </c>
      <c r="F4466">
        <v>1127</v>
      </c>
      <c r="G4466">
        <v>2</v>
      </c>
      <c r="H4466">
        <v>2</v>
      </c>
      <c r="I4466">
        <v>2005</v>
      </c>
      <c r="J4466">
        <v>0</v>
      </c>
      <c r="K4466">
        <v>0</v>
      </c>
      <c r="L4466">
        <v>0</v>
      </c>
      <c r="M4466">
        <v>6</v>
      </c>
      <c r="N4466" t="s">
        <v>41</v>
      </c>
      <c r="O4466" t="s">
        <v>30</v>
      </c>
      <c r="P4466">
        <v>10.2005888925333</v>
      </c>
      <c r="Q4466">
        <v>1.6630600518241201</v>
      </c>
      <c r="R4466">
        <v>9.0558502126240707</v>
      </c>
      <c r="S4466">
        <v>29</v>
      </c>
      <c r="T4466">
        <v>48</v>
      </c>
      <c r="U4466">
        <v>881.872230305583</v>
      </c>
      <c r="V4466">
        <v>5.3238686779059404E-3</v>
      </c>
      <c r="W4466">
        <v>1210887.9851756699</v>
      </c>
      <c r="X4466" t="s">
        <v>39</v>
      </c>
      <c r="Y4466">
        <f>1-643-572-4147</f>
        <v>-5361</v>
      </c>
    </row>
    <row r="4467" spans="1:25" x14ac:dyDescent="0.35">
      <c r="A4467">
        <v>34.452587207093003</v>
      </c>
      <c r="B4467">
        <v>-116.10087639621101</v>
      </c>
      <c r="C4467" t="s">
        <v>29</v>
      </c>
      <c r="D4467">
        <v>10.955570961942099</v>
      </c>
      <c r="E4467">
        <v>6</v>
      </c>
      <c r="F4467">
        <v>2244</v>
      </c>
      <c r="G4467">
        <v>5</v>
      </c>
      <c r="H4467">
        <v>2</v>
      </c>
      <c r="I4467">
        <v>2000</v>
      </c>
      <c r="J4467">
        <v>1</v>
      </c>
      <c r="K4467">
        <v>0</v>
      </c>
      <c r="L4467">
        <v>0</v>
      </c>
      <c r="M4467">
        <v>6</v>
      </c>
      <c r="N4467" t="s">
        <v>35</v>
      </c>
      <c r="O4467" t="s">
        <v>30</v>
      </c>
      <c r="P4467">
        <v>5.5958989114662803</v>
      </c>
      <c r="Q4467">
        <v>0.71584016578876797</v>
      </c>
      <c r="R4467">
        <v>3.6931212482406202</v>
      </c>
      <c r="S4467">
        <v>32</v>
      </c>
      <c r="T4467">
        <v>51</v>
      </c>
      <c r="U4467">
        <v>205.77522283407001</v>
      </c>
      <c r="V4467">
        <v>2.6737967914438501E-3</v>
      </c>
      <c r="W4467">
        <v>800927.315373978</v>
      </c>
      <c r="X4467" t="s">
        <v>39</v>
      </c>
      <c r="Y4467">
        <f>1-471-115-6437</f>
        <v>-7022</v>
      </c>
    </row>
    <row r="4468" spans="1:25" x14ac:dyDescent="0.35">
      <c r="A4468">
        <v>40.444006014774097</v>
      </c>
      <c r="B4468">
        <v>-120.864867632692</v>
      </c>
      <c r="C4468" t="s">
        <v>34</v>
      </c>
      <c r="D4468">
        <v>38.850612575648903</v>
      </c>
      <c r="E4468">
        <v>7</v>
      </c>
      <c r="F4468">
        <v>1982</v>
      </c>
      <c r="G4468">
        <v>1</v>
      </c>
      <c r="H4468">
        <v>3</v>
      </c>
      <c r="I4468">
        <v>2018</v>
      </c>
      <c r="J4468">
        <v>0</v>
      </c>
      <c r="K4468">
        <v>1</v>
      </c>
      <c r="L4468">
        <v>1</v>
      </c>
      <c r="M4468">
        <v>3</v>
      </c>
      <c r="N4468" t="s">
        <v>26</v>
      </c>
      <c r="O4468" t="s">
        <v>32</v>
      </c>
      <c r="P4468">
        <v>5.6436676178782097</v>
      </c>
      <c r="Q4468">
        <v>1.1088131776952099</v>
      </c>
      <c r="R4468">
        <v>8.3781793458253198</v>
      </c>
      <c r="S4468">
        <v>42</v>
      </c>
      <c r="T4468">
        <v>24</v>
      </c>
      <c r="U4468">
        <v>970.30630225162702</v>
      </c>
      <c r="V4468">
        <v>1.51362260343087E-3</v>
      </c>
      <c r="W4468">
        <v>2164680.2011116799</v>
      </c>
      <c r="X4468" t="s">
        <v>38</v>
      </c>
      <c r="Y4468">
        <f>1-362-803-2106</f>
        <v>-3270</v>
      </c>
    </row>
    <row r="4469" spans="1:25" x14ac:dyDescent="0.35">
      <c r="A4469">
        <v>40.123557502056698</v>
      </c>
      <c r="B4469">
        <v>-115.61166919748</v>
      </c>
      <c r="C4469" t="s">
        <v>34</v>
      </c>
      <c r="D4469">
        <v>48.526378519918502</v>
      </c>
      <c r="E4469">
        <v>6</v>
      </c>
      <c r="F4469">
        <v>613</v>
      </c>
      <c r="G4469">
        <v>5</v>
      </c>
      <c r="H4469">
        <v>3</v>
      </c>
      <c r="I4469">
        <v>1959</v>
      </c>
      <c r="J4469">
        <v>1</v>
      </c>
      <c r="K4469">
        <v>1</v>
      </c>
      <c r="L4469">
        <v>0</v>
      </c>
      <c r="M4469">
        <v>9</v>
      </c>
      <c r="N4469" t="s">
        <v>35</v>
      </c>
      <c r="O4469" t="s">
        <v>30</v>
      </c>
      <c r="P4469">
        <v>14.6683993210425</v>
      </c>
      <c r="Q4469">
        <v>1.14496764755737</v>
      </c>
      <c r="R4469">
        <v>1.60598611332575</v>
      </c>
      <c r="S4469">
        <v>28</v>
      </c>
      <c r="T4469">
        <v>51</v>
      </c>
      <c r="U4469">
        <v>845.41951161203895</v>
      </c>
      <c r="V4469">
        <v>1.4681892332789499E-2</v>
      </c>
      <c r="W4469">
        <v>1001246.63668652</v>
      </c>
      <c r="X4469" t="s">
        <v>42</v>
      </c>
      <c r="Y4469">
        <f>1-254-590-9018</f>
        <v>-9861</v>
      </c>
    </row>
    <row r="4470" spans="1:25" x14ac:dyDescent="0.35">
      <c r="A4470">
        <v>37.618750810655598</v>
      </c>
      <c r="B4470">
        <v>-116.470408559996</v>
      </c>
      <c r="C4470" t="s">
        <v>34</v>
      </c>
      <c r="D4470">
        <v>11.8619231913113</v>
      </c>
      <c r="E4470">
        <v>2</v>
      </c>
      <c r="F4470">
        <v>2767</v>
      </c>
      <c r="G4470">
        <v>3</v>
      </c>
      <c r="H4470">
        <v>1</v>
      </c>
      <c r="I4470">
        <v>1951</v>
      </c>
      <c r="J4470">
        <v>1</v>
      </c>
      <c r="K4470">
        <v>1</v>
      </c>
      <c r="L4470">
        <v>0</v>
      </c>
      <c r="M4470">
        <v>4</v>
      </c>
      <c r="N4470" t="s">
        <v>41</v>
      </c>
      <c r="O4470" t="s">
        <v>27</v>
      </c>
      <c r="P4470">
        <v>11.3575863754279</v>
      </c>
      <c r="Q4470">
        <v>1.0703875164129399</v>
      </c>
      <c r="R4470">
        <v>6.7685809188187802</v>
      </c>
      <c r="S4470">
        <v>126</v>
      </c>
      <c r="T4470">
        <v>70</v>
      </c>
      <c r="U4470">
        <v>527.58665341673304</v>
      </c>
      <c r="V4470">
        <v>1.4456089627755599E-3</v>
      </c>
      <c r="W4470">
        <v>1738265.2842508</v>
      </c>
      <c r="X4470" t="s">
        <v>43</v>
      </c>
      <c r="Y4470">
        <f>1-786-740-2152</f>
        <v>-3677</v>
      </c>
    </row>
    <row r="4471" spans="1:25" x14ac:dyDescent="0.35">
      <c r="A4471">
        <v>35.477149295891799</v>
      </c>
      <c r="B4471">
        <v>-114.677576087161</v>
      </c>
      <c r="C4471" t="s">
        <v>29</v>
      </c>
      <c r="D4471">
        <v>17.0431178732624</v>
      </c>
      <c r="E4471">
        <v>8</v>
      </c>
      <c r="F4471">
        <v>4826</v>
      </c>
      <c r="G4471">
        <v>4</v>
      </c>
      <c r="H4471">
        <v>1</v>
      </c>
      <c r="I4471">
        <v>1974</v>
      </c>
      <c r="J4471">
        <v>0</v>
      </c>
      <c r="K4471">
        <v>1</v>
      </c>
      <c r="L4471">
        <v>1</v>
      </c>
      <c r="M4471">
        <v>3</v>
      </c>
      <c r="N4471" t="s">
        <v>37</v>
      </c>
      <c r="O4471" t="s">
        <v>30</v>
      </c>
      <c r="P4471">
        <v>8.3171757018814407</v>
      </c>
      <c r="Q4471">
        <v>0.52005027346491906</v>
      </c>
      <c r="R4471">
        <v>5.7726049824119796</v>
      </c>
      <c r="S4471">
        <v>15</v>
      </c>
      <c r="T4471">
        <v>68</v>
      </c>
      <c r="U4471">
        <v>943.05065171414105</v>
      </c>
      <c r="V4471">
        <v>6.2163282221301198E-4</v>
      </c>
      <c r="W4471">
        <v>4839541.27093702</v>
      </c>
      <c r="X4471" t="s">
        <v>44</v>
      </c>
      <c r="Y4471">
        <f>1-507-218-9582</f>
        <v>-10306</v>
      </c>
    </row>
    <row r="4472" spans="1:25" x14ac:dyDescent="0.35">
      <c r="A4472">
        <v>41.748331022717998</v>
      </c>
      <c r="B4472">
        <v>-116.99161197337099</v>
      </c>
      <c r="C4472" t="s">
        <v>29</v>
      </c>
      <c r="D4472">
        <v>42.367023531899903</v>
      </c>
      <c r="E4472">
        <v>0</v>
      </c>
      <c r="F4472">
        <v>647</v>
      </c>
      <c r="G4472">
        <v>3</v>
      </c>
      <c r="H4472">
        <v>2</v>
      </c>
      <c r="I4472">
        <v>2011</v>
      </c>
      <c r="J4472">
        <v>0</v>
      </c>
      <c r="K4472">
        <v>0</v>
      </c>
      <c r="L4472">
        <v>0</v>
      </c>
      <c r="M4472">
        <v>4</v>
      </c>
      <c r="N4472" t="s">
        <v>41</v>
      </c>
      <c r="O4472" t="s">
        <v>32</v>
      </c>
      <c r="P4472">
        <v>14.863458012607801</v>
      </c>
      <c r="Q4472">
        <v>0.74016138844888402</v>
      </c>
      <c r="R4472">
        <v>4.2098420474442904</v>
      </c>
      <c r="S4472">
        <v>105</v>
      </c>
      <c r="T4472">
        <v>75</v>
      </c>
      <c r="U4472">
        <v>852.90753918935002</v>
      </c>
      <c r="V4472">
        <v>6.1823802163832996E-3</v>
      </c>
      <c r="W4472">
        <v>949738.07825441903</v>
      </c>
      <c r="X4472" t="s">
        <v>28</v>
      </c>
      <c r="Y4472">
        <f>1-218-482-4711</f>
        <v>-5410</v>
      </c>
    </row>
    <row r="4473" spans="1:25" x14ac:dyDescent="0.35">
      <c r="A4473">
        <v>38.749791526907899</v>
      </c>
      <c r="B4473">
        <v>-123.25987394588</v>
      </c>
      <c r="C4473" t="s">
        <v>25</v>
      </c>
      <c r="D4473">
        <v>17.066772631459799</v>
      </c>
      <c r="E4473">
        <v>1</v>
      </c>
      <c r="F4473">
        <v>3452</v>
      </c>
      <c r="G4473">
        <v>3</v>
      </c>
      <c r="H4473">
        <v>2</v>
      </c>
      <c r="I4473">
        <v>2009</v>
      </c>
      <c r="J4473">
        <v>1</v>
      </c>
      <c r="K4473">
        <v>1</v>
      </c>
      <c r="L4473">
        <v>1</v>
      </c>
      <c r="M4473">
        <v>2</v>
      </c>
      <c r="N4473" t="s">
        <v>35</v>
      </c>
      <c r="O4473" t="s">
        <v>30</v>
      </c>
      <c r="P4473">
        <v>12.921343613540801</v>
      </c>
      <c r="Q4473">
        <v>2.4452058205084501</v>
      </c>
      <c r="R4473">
        <v>5.7267770197548202</v>
      </c>
      <c r="S4473">
        <v>159</v>
      </c>
      <c r="T4473">
        <v>58</v>
      </c>
      <c r="U4473">
        <v>491.048694384383</v>
      </c>
      <c r="V4473">
        <v>5.7937427578215505E-4</v>
      </c>
      <c r="W4473">
        <v>2147381.0410307501</v>
      </c>
      <c r="X4473" t="s">
        <v>33</v>
      </c>
      <c r="Y4473">
        <f>1-673-605-3703</f>
        <v>-4980</v>
      </c>
    </row>
    <row r="4474" spans="1:25" x14ac:dyDescent="0.35">
      <c r="A4474">
        <v>41.880429523268901</v>
      </c>
      <c r="B4474">
        <v>-118.893299285298</v>
      </c>
      <c r="C4474" t="s">
        <v>25</v>
      </c>
      <c r="D4474">
        <v>34.177205893690697</v>
      </c>
      <c r="E4474">
        <v>5</v>
      </c>
      <c r="F4474">
        <v>777</v>
      </c>
      <c r="G4474">
        <v>4</v>
      </c>
      <c r="H4474">
        <v>3</v>
      </c>
      <c r="I4474">
        <v>1987</v>
      </c>
      <c r="J4474">
        <v>1</v>
      </c>
      <c r="K4474">
        <v>1</v>
      </c>
      <c r="L4474">
        <v>1</v>
      </c>
      <c r="M4474">
        <v>14</v>
      </c>
      <c r="N4474" t="s">
        <v>35</v>
      </c>
      <c r="O4474" t="s">
        <v>30</v>
      </c>
      <c r="P4474">
        <v>6.5834267228591399</v>
      </c>
      <c r="Q4474">
        <v>1.75234233380598</v>
      </c>
      <c r="R4474">
        <v>2.4957729347544699</v>
      </c>
      <c r="S4474">
        <v>113</v>
      </c>
      <c r="T4474">
        <v>63</v>
      </c>
      <c r="U4474">
        <v>937.52417649296001</v>
      </c>
      <c r="V4474">
        <v>1.8018018018018001E-2</v>
      </c>
      <c r="W4474">
        <v>1173721.6552397001</v>
      </c>
      <c r="X4474" t="s">
        <v>36</v>
      </c>
      <c r="Y4474">
        <f>1-588-780-1698</f>
        <v>-3065</v>
      </c>
    </row>
    <row r="4475" spans="1:25" x14ac:dyDescent="0.35">
      <c r="A4475">
        <v>41.622979229140199</v>
      </c>
      <c r="B4475">
        <v>-116.507423609017</v>
      </c>
      <c r="C4475" t="s">
        <v>25</v>
      </c>
      <c r="D4475">
        <v>23.017869066271</v>
      </c>
      <c r="E4475">
        <v>6</v>
      </c>
      <c r="F4475">
        <v>3068</v>
      </c>
      <c r="G4475">
        <v>1</v>
      </c>
      <c r="H4475">
        <v>2</v>
      </c>
      <c r="I4475">
        <v>1965</v>
      </c>
      <c r="J4475">
        <v>0</v>
      </c>
      <c r="K4475">
        <v>0</v>
      </c>
      <c r="L4475">
        <v>0</v>
      </c>
      <c r="M4475">
        <v>7</v>
      </c>
      <c r="N4475" t="s">
        <v>26</v>
      </c>
      <c r="O4475" t="s">
        <v>32</v>
      </c>
      <c r="P4475">
        <v>11.483464121470099</v>
      </c>
      <c r="Q4475">
        <v>2.1657300749150101</v>
      </c>
      <c r="R4475">
        <v>2.3903957040777501</v>
      </c>
      <c r="S4475">
        <v>148</v>
      </c>
      <c r="T4475">
        <v>72</v>
      </c>
      <c r="U4475">
        <v>411.54747032579502</v>
      </c>
      <c r="V4475">
        <v>2.2816166883963401E-3</v>
      </c>
      <c r="W4475">
        <v>1382965.29025209</v>
      </c>
      <c r="X4475" t="s">
        <v>42</v>
      </c>
      <c r="Y4475">
        <f>1-530-429-4437</f>
        <v>-5395</v>
      </c>
    </row>
    <row r="4476" spans="1:25" x14ac:dyDescent="0.35">
      <c r="A4476">
        <v>35.489846757094298</v>
      </c>
      <c r="B4476">
        <v>-121.86912202038801</v>
      </c>
      <c r="C4476" t="s">
        <v>29</v>
      </c>
      <c r="D4476">
        <v>14.536097451121799</v>
      </c>
      <c r="E4476">
        <v>9</v>
      </c>
      <c r="F4476">
        <v>835</v>
      </c>
      <c r="G4476">
        <v>1</v>
      </c>
      <c r="H4476">
        <v>3</v>
      </c>
      <c r="I4476">
        <v>2019</v>
      </c>
      <c r="J4476">
        <v>1</v>
      </c>
      <c r="K4476">
        <v>1</v>
      </c>
      <c r="L4476">
        <v>0</v>
      </c>
      <c r="M4476">
        <v>12</v>
      </c>
      <c r="N4476" t="s">
        <v>35</v>
      </c>
      <c r="O4476" t="s">
        <v>32</v>
      </c>
      <c r="P4476">
        <v>6.9166302744028902</v>
      </c>
      <c r="Q4476">
        <v>1.02600313899555</v>
      </c>
      <c r="R4476">
        <v>2.0938651803299302</v>
      </c>
      <c r="S4476">
        <v>164</v>
      </c>
      <c r="T4476">
        <v>32</v>
      </c>
      <c r="U4476">
        <v>963.91122221421904</v>
      </c>
      <c r="V4476">
        <v>1.43712574850299E-2</v>
      </c>
      <c r="W4476">
        <v>1148518.3444049</v>
      </c>
      <c r="X4476" t="s">
        <v>42</v>
      </c>
      <c r="Y4476">
        <f>1-581-116-2611</f>
        <v>-3307</v>
      </c>
    </row>
    <row r="4477" spans="1:25" x14ac:dyDescent="0.35">
      <c r="A4477">
        <v>35.8694126085378</v>
      </c>
      <c r="B4477">
        <v>-121.19293504514</v>
      </c>
      <c r="C4477" t="s">
        <v>25</v>
      </c>
      <c r="D4477">
        <v>10.1518747995928</v>
      </c>
      <c r="E4477">
        <v>9</v>
      </c>
      <c r="F4477">
        <v>904</v>
      </c>
      <c r="G4477">
        <v>2</v>
      </c>
      <c r="H4477">
        <v>3</v>
      </c>
      <c r="I4477">
        <v>1980</v>
      </c>
      <c r="J4477">
        <v>1</v>
      </c>
      <c r="K4477">
        <v>1</v>
      </c>
      <c r="L4477">
        <v>0</v>
      </c>
      <c r="M4477">
        <v>14</v>
      </c>
      <c r="N4477" t="s">
        <v>41</v>
      </c>
      <c r="O4477" t="s">
        <v>30</v>
      </c>
      <c r="P4477">
        <v>4.3872720678817299</v>
      </c>
      <c r="Q4477">
        <v>1.8602394689989901</v>
      </c>
      <c r="R4477">
        <v>7.1568606953465803</v>
      </c>
      <c r="S4477">
        <v>95</v>
      </c>
      <c r="T4477">
        <v>64</v>
      </c>
      <c r="U4477">
        <v>976.21768230599901</v>
      </c>
      <c r="V4477">
        <v>1.54867256637168E-2</v>
      </c>
      <c r="W4477">
        <v>1152276.1906832899</v>
      </c>
      <c r="X4477" t="s">
        <v>31</v>
      </c>
      <c r="Y4477">
        <f>1-368-703-7286</f>
        <v>-8356</v>
      </c>
    </row>
    <row r="4478" spans="1:25" x14ac:dyDescent="0.35">
      <c r="A4478">
        <v>38.632476160523701</v>
      </c>
      <c r="B4478">
        <v>-120.092981421511</v>
      </c>
      <c r="C4478" t="s">
        <v>29</v>
      </c>
      <c r="D4478">
        <v>20.561209093287601</v>
      </c>
      <c r="E4478">
        <v>8</v>
      </c>
      <c r="F4478">
        <v>4931</v>
      </c>
      <c r="G4478">
        <v>3</v>
      </c>
      <c r="H4478">
        <v>3</v>
      </c>
      <c r="I4478">
        <v>1982</v>
      </c>
      <c r="J4478">
        <v>0</v>
      </c>
      <c r="K4478">
        <v>1</v>
      </c>
      <c r="L4478">
        <v>0</v>
      </c>
      <c r="M4478">
        <v>6</v>
      </c>
      <c r="N4478" t="s">
        <v>35</v>
      </c>
      <c r="O4478" t="s">
        <v>30</v>
      </c>
      <c r="P4478">
        <v>12.150842584163501</v>
      </c>
      <c r="Q4478">
        <v>2.3120051778991</v>
      </c>
      <c r="R4478">
        <v>9.7107388631630691</v>
      </c>
      <c r="S4478">
        <v>72</v>
      </c>
      <c r="T4478">
        <v>78</v>
      </c>
      <c r="U4478">
        <v>257.478413710403</v>
      </c>
      <c r="V4478">
        <v>1.21679172581626E-3</v>
      </c>
      <c r="W4478">
        <v>1622160.2243995699</v>
      </c>
      <c r="X4478" t="s">
        <v>31</v>
      </c>
      <c r="Y4478">
        <f>1-806-295-3481</f>
        <v>-4581</v>
      </c>
    </row>
    <row r="4479" spans="1:25" x14ac:dyDescent="0.35">
      <c r="A4479">
        <v>36.353583285715601</v>
      </c>
      <c r="B4479">
        <v>-121.79810017553</v>
      </c>
      <c r="C4479" t="s">
        <v>34</v>
      </c>
      <c r="D4479">
        <v>17.487753793489698</v>
      </c>
      <c r="E4479">
        <v>2</v>
      </c>
      <c r="F4479">
        <v>604</v>
      </c>
      <c r="G4479">
        <v>2</v>
      </c>
      <c r="H4479">
        <v>3</v>
      </c>
      <c r="I4479">
        <v>1993</v>
      </c>
      <c r="J4479">
        <v>0</v>
      </c>
      <c r="K4479">
        <v>0</v>
      </c>
      <c r="L4479">
        <v>1</v>
      </c>
      <c r="M4479">
        <v>9</v>
      </c>
      <c r="N4479" t="s">
        <v>37</v>
      </c>
      <c r="O4479" t="s">
        <v>27</v>
      </c>
      <c r="P4479">
        <v>11.2642272814102</v>
      </c>
      <c r="Q4479">
        <v>2.0155971414310798</v>
      </c>
      <c r="R4479">
        <v>6.6985360911745602</v>
      </c>
      <c r="S4479">
        <v>35</v>
      </c>
      <c r="T4479">
        <v>68</v>
      </c>
      <c r="U4479">
        <v>521.22441356543595</v>
      </c>
      <c r="V4479">
        <v>1.4900662251655599E-2</v>
      </c>
      <c r="W4479">
        <v>571661.10743757396</v>
      </c>
      <c r="X4479" t="s">
        <v>39</v>
      </c>
      <c r="Y4479">
        <f>1-929-891-8241</f>
        <v>-10060</v>
      </c>
    </row>
    <row r="4480" spans="1:25" x14ac:dyDescent="0.35">
      <c r="A4480">
        <v>36.116916190755497</v>
      </c>
      <c r="B4480">
        <v>-116.108663690735</v>
      </c>
      <c r="C4480" t="s">
        <v>29</v>
      </c>
      <c r="D4480">
        <v>44.990367284639703</v>
      </c>
      <c r="E4480">
        <v>4</v>
      </c>
      <c r="F4480">
        <v>3358</v>
      </c>
      <c r="G4480">
        <v>2</v>
      </c>
      <c r="H4480">
        <v>1</v>
      </c>
      <c r="I4480">
        <v>1971</v>
      </c>
      <c r="J4480">
        <v>1</v>
      </c>
      <c r="K4480">
        <v>1</v>
      </c>
      <c r="L4480">
        <v>0</v>
      </c>
      <c r="M4480">
        <v>14</v>
      </c>
      <c r="N4480" t="s">
        <v>37</v>
      </c>
      <c r="O4480" t="s">
        <v>27</v>
      </c>
      <c r="P4480">
        <v>6.9692087750958898</v>
      </c>
      <c r="Q4480">
        <v>1.10120525519829</v>
      </c>
      <c r="R4480">
        <v>9.1276817341607295</v>
      </c>
      <c r="S4480">
        <v>7</v>
      </c>
      <c r="T4480">
        <v>67</v>
      </c>
      <c r="U4480">
        <v>828.80088950706397</v>
      </c>
      <c r="V4480">
        <v>4.1691483025610397E-3</v>
      </c>
      <c r="W4480">
        <v>2961760.6558353798</v>
      </c>
      <c r="X4480" t="s">
        <v>36</v>
      </c>
      <c r="Y4480">
        <f>1-987-932-1208</f>
        <v>-3126</v>
      </c>
    </row>
    <row r="4481" spans="1:25" x14ac:dyDescent="0.35">
      <c r="A4481">
        <v>37.567963088775002</v>
      </c>
      <c r="B4481">
        <v>-114.37965723765301</v>
      </c>
      <c r="C4481" t="s">
        <v>29</v>
      </c>
      <c r="D4481">
        <v>12.502574819954001</v>
      </c>
      <c r="E4481">
        <v>2</v>
      </c>
      <c r="F4481">
        <v>3935</v>
      </c>
      <c r="G4481">
        <v>4</v>
      </c>
      <c r="H4481">
        <v>2</v>
      </c>
      <c r="I4481">
        <v>1994</v>
      </c>
      <c r="J4481">
        <v>0</v>
      </c>
      <c r="K4481">
        <v>1</v>
      </c>
      <c r="L4481">
        <v>0</v>
      </c>
      <c r="M4481">
        <v>4</v>
      </c>
      <c r="N4481" t="s">
        <v>26</v>
      </c>
      <c r="O4481" t="s">
        <v>32</v>
      </c>
      <c r="P4481">
        <v>14.5277729720602</v>
      </c>
      <c r="Q4481">
        <v>1.7419092065519299</v>
      </c>
      <c r="R4481">
        <v>4.8292084887991198</v>
      </c>
      <c r="S4481">
        <v>184</v>
      </c>
      <c r="T4481">
        <v>34</v>
      </c>
      <c r="U4481">
        <v>411.53760645888701</v>
      </c>
      <c r="V4481">
        <v>1.01651842439644E-3</v>
      </c>
      <c r="W4481">
        <v>1928689.9101835301</v>
      </c>
      <c r="X4481" t="s">
        <v>28</v>
      </c>
      <c r="Y4481">
        <f>1-709-958-4036</f>
        <v>-5702</v>
      </c>
    </row>
    <row r="4482" spans="1:25" x14ac:dyDescent="0.35">
      <c r="A4482">
        <v>35.742783246208603</v>
      </c>
      <c r="B4482">
        <v>-120.344199457497</v>
      </c>
      <c r="C4482" t="s">
        <v>34</v>
      </c>
      <c r="D4482">
        <v>47.777735667092898</v>
      </c>
      <c r="E4482">
        <v>8</v>
      </c>
      <c r="F4482">
        <v>1077</v>
      </c>
      <c r="G4482">
        <v>5</v>
      </c>
      <c r="H4482">
        <v>2</v>
      </c>
      <c r="I4482">
        <v>1965</v>
      </c>
      <c r="J4482">
        <v>1</v>
      </c>
      <c r="K4482">
        <v>0</v>
      </c>
      <c r="L4482">
        <v>0</v>
      </c>
      <c r="M4482">
        <v>14</v>
      </c>
      <c r="N4482" t="s">
        <v>26</v>
      </c>
      <c r="O4482" t="s">
        <v>30</v>
      </c>
      <c r="P4482">
        <v>5.5386113429197303</v>
      </c>
      <c r="Q4482">
        <v>1.6977669443949399</v>
      </c>
      <c r="R4482">
        <v>3.9167841792943401</v>
      </c>
      <c r="S4482">
        <v>53</v>
      </c>
      <c r="T4482">
        <v>58</v>
      </c>
      <c r="U4482">
        <v>499.479667073982</v>
      </c>
      <c r="V4482">
        <v>1.29990714948932E-2</v>
      </c>
      <c r="W4482">
        <v>837835.31783221196</v>
      </c>
      <c r="X4482" t="s">
        <v>38</v>
      </c>
      <c r="Y4482">
        <f>1-369-911-1557</f>
        <v>-2836</v>
      </c>
    </row>
    <row r="4483" spans="1:25" x14ac:dyDescent="0.35">
      <c r="A4483">
        <v>38.722115851947002</v>
      </c>
      <c r="B4483">
        <v>-116.302842386845</v>
      </c>
      <c r="C4483" t="s">
        <v>34</v>
      </c>
      <c r="D4483">
        <v>10.0688567360248</v>
      </c>
      <c r="E4483">
        <v>9</v>
      </c>
      <c r="F4483">
        <v>1568</v>
      </c>
      <c r="G4483">
        <v>1</v>
      </c>
      <c r="H4483">
        <v>3</v>
      </c>
      <c r="I4483">
        <v>1955</v>
      </c>
      <c r="J4483">
        <v>0</v>
      </c>
      <c r="K4483">
        <v>0</v>
      </c>
      <c r="L4483">
        <v>1</v>
      </c>
      <c r="M4483">
        <v>7</v>
      </c>
      <c r="N4483" t="s">
        <v>26</v>
      </c>
      <c r="O4483" t="s">
        <v>30</v>
      </c>
      <c r="P4483">
        <v>10.2243636906598</v>
      </c>
      <c r="Q4483">
        <v>0.80237067821999797</v>
      </c>
      <c r="R4483">
        <v>4.7778560183508798</v>
      </c>
      <c r="S4483">
        <v>153</v>
      </c>
      <c r="T4483">
        <v>39</v>
      </c>
      <c r="U4483">
        <v>873.75381352488898</v>
      </c>
      <c r="V4483">
        <v>4.4642857142857097E-3</v>
      </c>
      <c r="W4483">
        <v>1512927.0509170899</v>
      </c>
      <c r="X4483" t="s">
        <v>39</v>
      </c>
      <c r="Y4483">
        <f>1-411-899-6388</f>
        <v>-7697</v>
      </c>
    </row>
    <row r="4484" spans="1:25" x14ac:dyDescent="0.35">
      <c r="A4484">
        <v>39.110924139660497</v>
      </c>
      <c r="B4484">
        <v>-118.857534771101</v>
      </c>
      <c r="C4484" t="s">
        <v>34</v>
      </c>
      <c r="D4484">
        <v>9.0627003047600496</v>
      </c>
      <c r="E4484">
        <v>2</v>
      </c>
      <c r="F4484">
        <v>870</v>
      </c>
      <c r="G4484">
        <v>4</v>
      </c>
      <c r="H4484">
        <v>2</v>
      </c>
      <c r="I4484">
        <v>2017</v>
      </c>
      <c r="J4484">
        <v>1</v>
      </c>
      <c r="K4484">
        <v>1</v>
      </c>
      <c r="L4484">
        <v>1</v>
      </c>
      <c r="M4484">
        <v>2</v>
      </c>
      <c r="N4484" t="s">
        <v>26</v>
      </c>
      <c r="O4484" t="s">
        <v>27</v>
      </c>
      <c r="P4484">
        <v>3.4894076977082502</v>
      </c>
      <c r="Q4484">
        <v>0.81248276323135205</v>
      </c>
      <c r="R4484">
        <v>0.92227372308887101</v>
      </c>
      <c r="S4484">
        <v>146</v>
      </c>
      <c r="T4484">
        <v>61</v>
      </c>
      <c r="U4484">
        <v>432.13330048073902</v>
      </c>
      <c r="V4484">
        <v>2.2988505747126402E-3</v>
      </c>
      <c r="W4484">
        <v>920593.29985698697</v>
      </c>
      <c r="X4484" t="s">
        <v>43</v>
      </c>
      <c r="Y4484">
        <f>1-467-344-3223</f>
        <v>-4033</v>
      </c>
    </row>
    <row r="4485" spans="1:25" x14ac:dyDescent="0.35">
      <c r="A4485">
        <v>32.617582166677501</v>
      </c>
      <c r="B4485">
        <v>-119.00483290554</v>
      </c>
      <c r="C4485" t="s">
        <v>34</v>
      </c>
      <c r="D4485">
        <v>25.4624767988598</v>
      </c>
      <c r="E4485">
        <v>7</v>
      </c>
      <c r="F4485">
        <v>1629</v>
      </c>
      <c r="G4485">
        <v>1</v>
      </c>
      <c r="H4485">
        <v>3</v>
      </c>
      <c r="I4485">
        <v>1993</v>
      </c>
      <c r="J4485">
        <v>0</v>
      </c>
      <c r="K4485">
        <v>0</v>
      </c>
      <c r="L4485">
        <v>0</v>
      </c>
      <c r="M4485">
        <v>8</v>
      </c>
      <c r="N4485" t="s">
        <v>37</v>
      </c>
      <c r="O4485" t="s">
        <v>27</v>
      </c>
      <c r="P4485">
        <v>3.64820266519131</v>
      </c>
      <c r="Q4485">
        <v>0.98105990239906204</v>
      </c>
      <c r="R4485">
        <v>8.5411319364291494</v>
      </c>
      <c r="S4485">
        <v>167</v>
      </c>
      <c r="T4485">
        <v>73</v>
      </c>
      <c r="U4485">
        <v>787.73952603801899</v>
      </c>
      <c r="V4485">
        <v>4.9109883364026998E-3</v>
      </c>
      <c r="W4485">
        <v>1391499.04896215</v>
      </c>
      <c r="X4485" t="s">
        <v>28</v>
      </c>
      <c r="Y4485">
        <f>1-875-891-1355</f>
        <v>-3120</v>
      </c>
    </row>
    <row r="4486" spans="1:25" x14ac:dyDescent="0.35">
      <c r="A4486">
        <v>38.645299805360501</v>
      </c>
      <c r="B4486">
        <v>-123.75741980997999</v>
      </c>
      <c r="C4486" t="s">
        <v>34</v>
      </c>
      <c r="D4486">
        <v>21.849488962944299</v>
      </c>
      <c r="E4486">
        <v>6</v>
      </c>
      <c r="F4486">
        <v>2444</v>
      </c>
      <c r="G4486">
        <v>3</v>
      </c>
      <c r="H4486">
        <v>2</v>
      </c>
      <c r="I4486">
        <v>2005</v>
      </c>
      <c r="J4486">
        <v>1</v>
      </c>
      <c r="K4486">
        <v>0</v>
      </c>
      <c r="L4486">
        <v>0</v>
      </c>
      <c r="M4486">
        <v>13</v>
      </c>
      <c r="N4486" t="s">
        <v>37</v>
      </c>
      <c r="O4486" t="s">
        <v>30</v>
      </c>
      <c r="P4486">
        <v>13.5440335936447</v>
      </c>
      <c r="Q4486">
        <v>1.75775228644298</v>
      </c>
      <c r="R4486">
        <v>0.33236717679633498</v>
      </c>
      <c r="S4486">
        <v>134</v>
      </c>
      <c r="T4486">
        <v>62</v>
      </c>
      <c r="U4486">
        <v>839.96519728121598</v>
      </c>
      <c r="V4486">
        <v>5.31914893617021E-3</v>
      </c>
      <c r="W4486">
        <v>2405405.07269488</v>
      </c>
      <c r="X4486" t="s">
        <v>43</v>
      </c>
      <c r="Y4486">
        <f>1-644-420-6619</f>
        <v>-7682</v>
      </c>
    </row>
    <row r="4487" spans="1:25" x14ac:dyDescent="0.35">
      <c r="A4487">
        <v>36.010589477749598</v>
      </c>
      <c r="B4487">
        <v>-122.81667870622501</v>
      </c>
      <c r="C4487" t="s">
        <v>34</v>
      </c>
      <c r="D4487">
        <v>31.602703651132</v>
      </c>
      <c r="E4487">
        <v>0</v>
      </c>
      <c r="F4487">
        <v>562</v>
      </c>
      <c r="G4487">
        <v>3</v>
      </c>
      <c r="H4487">
        <v>3</v>
      </c>
      <c r="I4487">
        <v>2017</v>
      </c>
      <c r="J4487">
        <v>0</v>
      </c>
      <c r="K4487">
        <v>0</v>
      </c>
      <c r="L4487">
        <v>0</v>
      </c>
      <c r="M4487">
        <v>9</v>
      </c>
      <c r="N4487" t="s">
        <v>35</v>
      </c>
      <c r="O4487" t="s">
        <v>32</v>
      </c>
      <c r="P4487">
        <v>4.3040940424446701</v>
      </c>
      <c r="Q4487">
        <v>2.3520127817020899</v>
      </c>
      <c r="R4487">
        <v>6.3421489969950704</v>
      </c>
      <c r="S4487">
        <v>50</v>
      </c>
      <c r="T4487">
        <v>58</v>
      </c>
      <c r="U4487">
        <v>351.494664863938</v>
      </c>
      <c r="V4487">
        <v>1.6014234875444799E-2</v>
      </c>
      <c r="W4487">
        <v>429879.711650257</v>
      </c>
      <c r="X4487" t="s">
        <v>39</v>
      </c>
      <c r="Y4487">
        <f>1-465-522-2518</f>
        <v>-3504</v>
      </c>
    </row>
    <row r="4488" spans="1:25" x14ac:dyDescent="0.35">
      <c r="A4488">
        <v>38.995872749737799</v>
      </c>
      <c r="B4488">
        <v>-118.52246687064201</v>
      </c>
      <c r="C4488" t="s">
        <v>29</v>
      </c>
      <c r="D4488">
        <v>11.819936755253</v>
      </c>
      <c r="E4488">
        <v>8</v>
      </c>
      <c r="F4488">
        <v>3061</v>
      </c>
      <c r="G4488">
        <v>4</v>
      </c>
      <c r="H4488">
        <v>3</v>
      </c>
      <c r="I4488">
        <v>2015</v>
      </c>
      <c r="J4488">
        <v>0</v>
      </c>
      <c r="K4488">
        <v>0</v>
      </c>
      <c r="L4488">
        <v>1</v>
      </c>
      <c r="M4488">
        <v>4</v>
      </c>
      <c r="N4488" t="s">
        <v>26</v>
      </c>
      <c r="O4488" t="s">
        <v>27</v>
      </c>
      <c r="P4488">
        <v>8.4826069826529302</v>
      </c>
      <c r="Q4488">
        <v>1.6343152713840501</v>
      </c>
      <c r="R4488">
        <v>3.9020183277857399</v>
      </c>
      <c r="S4488">
        <v>164</v>
      </c>
      <c r="T4488">
        <v>28</v>
      </c>
      <c r="U4488">
        <v>804.98575972435003</v>
      </c>
      <c r="V4488">
        <v>1.30676249591636E-3</v>
      </c>
      <c r="W4488">
        <v>2826025.4929432799</v>
      </c>
      <c r="X4488" t="s">
        <v>43</v>
      </c>
      <c r="Y4488">
        <f>1-393-950-8398</f>
        <v>-9740</v>
      </c>
    </row>
    <row r="4489" spans="1:25" x14ac:dyDescent="0.35">
      <c r="A4489">
        <v>41.621463897118502</v>
      </c>
      <c r="B4489">
        <v>-114.144700020526</v>
      </c>
      <c r="C4489" t="s">
        <v>25</v>
      </c>
      <c r="D4489">
        <v>1.3445175585751401</v>
      </c>
      <c r="E4489">
        <v>8</v>
      </c>
      <c r="F4489">
        <v>2424</v>
      </c>
      <c r="G4489">
        <v>2</v>
      </c>
      <c r="H4489">
        <v>2</v>
      </c>
      <c r="I4489">
        <v>1968</v>
      </c>
      <c r="J4489">
        <v>0</v>
      </c>
      <c r="K4489">
        <v>0</v>
      </c>
      <c r="L4489">
        <v>1</v>
      </c>
      <c r="M4489">
        <v>13</v>
      </c>
      <c r="N4489" t="s">
        <v>35</v>
      </c>
      <c r="O4489" t="s">
        <v>30</v>
      </c>
      <c r="P4489">
        <v>10.163546605519301</v>
      </c>
      <c r="Q4489">
        <v>2.1110379005636499</v>
      </c>
      <c r="R4489">
        <v>8.1167185237289807</v>
      </c>
      <c r="S4489">
        <v>44</v>
      </c>
      <c r="T4489">
        <v>63</v>
      </c>
      <c r="U4489">
        <v>599.639345989915</v>
      </c>
      <c r="V4489">
        <v>5.3630363036303603E-3</v>
      </c>
      <c r="W4489">
        <v>1510292.3742011101</v>
      </c>
      <c r="X4489" t="s">
        <v>40</v>
      </c>
      <c r="Y4489">
        <f>1-232-619-6610</f>
        <v>-7460</v>
      </c>
    </row>
    <row r="4490" spans="1:25" x14ac:dyDescent="0.35">
      <c r="A4490">
        <v>40.970865087264301</v>
      </c>
      <c r="B4490">
        <v>-121.96242289464099</v>
      </c>
      <c r="C4490" t="s">
        <v>29</v>
      </c>
      <c r="D4490">
        <v>31.228297859300699</v>
      </c>
      <c r="E4490">
        <v>1</v>
      </c>
      <c r="F4490">
        <v>3900</v>
      </c>
      <c r="G4490">
        <v>2</v>
      </c>
      <c r="H4490">
        <v>2</v>
      </c>
      <c r="I4490">
        <v>1956</v>
      </c>
      <c r="J4490">
        <v>1</v>
      </c>
      <c r="K4490">
        <v>0</v>
      </c>
      <c r="L4490">
        <v>1</v>
      </c>
      <c r="M4490">
        <v>10</v>
      </c>
      <c r="N4490" t="s">
        <v>37</v>
      </c>
      <c r="O4490" t="s">
        <v>32</v>
      </c>
      <c r="P4490">
        <v>8.3986706611275803</v>
      </c>
      <c r="Q4490">
        <v>0.89616911272420396</v>
      </c>
      <c r="R4490">
        <v>9.7576619262013793</v>
      </c>
      <c r="S4490">
        <v>76</v>
      </c>
      <c r="T4490">
        <v>51</v>
      </c>
      <c r="U4490">
        <v>425.78151036995001</v>
      </c>
      <c r="V4490">
        <v>2.5641025641025602E-3</v>
      </c>
      <c r="W4490">
        <v>1820412.8775381199</v>
      </c>
      <c r="X4490" t="s">
        <v>38</v>
      </c>
      <c r="Y4490">
        <f>1-401-292-2942</f>
        <v>-3634</v>
      </c>
    </row>
    <row r="4491" spans="1:25" x14ac:dyDescent="0.35">
      <c r="A4491">
        <v>34.717305102398903</v>
      </c>
      <c r="B4491">
        <v>-123.94889152504</v>
      </c>
      <c r="C4491" t="s">
        <v>29</v>
      </c>
      <c r="D4491">
        <v>12.2668896658351</v>
      </c>
      <c r="E4491">
        <v>3</v>
      </c>
      <c r="F4491">
        <v>2830</v>
      </c>
      <c r="G4491">
        <v>4</v>
      </c>
      <c r="H4491">
        <v>1</v>
      </c>
      <c r="I4491">
        <v>2019</v>
      </c>
      <c r="J4491">
        <v>0</v>
      </c>
      <c r="K4491">
        <v>1</v>
      </c>
      <c r="L4491">
        <v>1</v>
      </c>
      <c r="M4491">
        <v>13</v>
      </c>
      <c r="N4491" t="s">
        <v>35</v>
      </c>
      <c r="O4491" t="s">
        <v>30</v>
      </c>
      <c r="P4491">
        <v>13.087449738043301</v>
      </c>
      <c r="Q4491">
        <v>1.6490432360065399</v>
      </c>
      <c r="R4491">
        <v>0.88405460763494903</v>
      </c>
      <c r="S4491">
        <v>51</v>
      </c>
      <c r="T4491">
        <v>54</v>
      </c>
      <c r="U4491">
        <v>921.08955481310602</v>
      </c>
      <c r="V4491">
        <v>4.5936395759717296E-3</v>
      </c>
      <c r="W4491">
        <v>3034309.5659637698</v>
      </c>
      <c r="X4491" t="s">
        <v>40</v>
      </c>
      <c r="Y4491">
        <f>1-905-760-6123</f>
        <v>-7787</v>
      </c>
    </row>
    <row r="4492" spans="1:25" x14ac:dyDescent="0.35">
      <c r="A4492">
        <v>34.493970705084202</v>
      </c>
      <c r="B4492">
        <v>-122.290287836218</v>
      </c>
      <c r="C4492" t="s">
        <v>25</v>
      </c>
      <c r="D4492">
        <v>12.649224206065</v>
      </c>
      <c r="E4492">
        <v>5</v>
      </c>
      <c r="F4492">
        <v>4482</v>
      </c>
      <c r="G4492">
        <v>5</v>
      </c>
      <c r="H4492">
        <v>1</v>
      </c>
      <c r="I4492">
        <v>2007</v>
      </c>
      <c r="J4492">
        <v>1</v>
      </c>
      <c r="K4492">
        <v>0</v>
      </c>
      <c r="L4492">
        <v>1</v>
      </c>
      <c r="M4492">
        <v>5</v>
      </c>
      <c r="N4492" t="s">
        <v>37</v>
      </c>
      <c r="O4492" t="s">
        <v>32</v>
      </c>
      <c r="P4492">
        <v>7.6626252910139403</v>
      </c>
      <c r="Q4492">
        <v>1.9924373299193501</v>
      </c>
      <c r="R4492">
        <v>1.7787444786642601</v>
      </c>
      <c r="S4492">
        <v>128</v>
      </c>
      <c r="T4492">
        <v>75</v>
      </c>
      <c r="U4492">
        <v>360.49711927025902</v>
      </c>
      <c r="V4492">
        <v>1.11557340473003E-3</v>
      </c>
      <c r="W4492">
        <v>2021906.0871866299</v>
      </c>
      <c r="X4492" t="s">
        <v>31</v>
      </c>
      <c r="Y4492">
        <f>1-378-306-8816</f>
        <v>-9499</v>
      </c>
    </row>
    <row r="4493" spans="1:25" x14ac:dyDescent="0.35">
      <c r="A4493">
        <v>33.304035190552803</v>
      </c>
      <c r="B4493">
        <v>-114.429540354164</v>
      </c>
      <c r="C4493" t="s">
        <v>34</v>
      </c>
      <c r="D4493">
        <v>23.631566620463701</v>
      </c>
      <c r="E4493">
        <v>0</v>
      </c>
      <c r="F4493">
        <v>627</v>
      </c>
      <c r="G4493">
        <v>5</v>
      </c>
      <c r="H4493">
        <v>3</v>
      </c>
      <c r="I4493">
        <v>2001</v>
      </c>
      <c r="J4493">
        <v>0</v>
      </c>
      <c r="K4493">
        <v>1</v>
      </c>
      <c r="L4493">
        <v>1</v>
      </c>
      <c r="M4493">
        <v>5</v>
      </c>
      <c r="N4493" t="s">
        <v>26</v>
      </c>
      <c r="O4493" t="s">
        <v>27</v>
      </c>
      <c r="P4493">
        <v>9.2343861101187397</v>
      </c>
      <c r="Q4493">
        <v>1.9063906145108001</v>
      </c>
      <c r="R4493">
        <v>6.85105080044712</v>
      </c>
      <c r="S4493">
        <v>63</v>
      </c>
      <c r="T4493">
        <v>78</v>
      </c>
      <c r="U4493">
        <v>552.25775489475495</v>
      </c>
      <c r="V4493">
        <v>7.9744816586921792E-3</v>
      </c>
      <c r="W4493">
        <v>773215.53981556697</v>
      </c>
      <c r="X4493" t="s">
        <v>28</v>
      </c>
      <c r="Y4493">
        <f>1-705-213-4702</f>
        <v>-5619</v>
      </c>
    </row>
    <row r="4494" spans="1:25" x14ac:dyDescent="0.35">
      <c r="A4494">
        <v>37.221892564566701</v>
      </c>
      <c r="B4494">
        <v>-123.24910847318201</v>
      </c>
      <c r="C4494" t="s">
        <v>25</v>
      </c>
      <c r="D4494">
        <v>16.6804679744513</v>
      </c>
      <c r="E4494">
        <v>7</v>
      </c>
      <c r="F4494">
        <v>4361</v>
      </c>
      <c r="G4494">
        <v>3</v>
      </c>
      <c r="H4494">
        <v>1</v>
      </c>
      <c r="I4494">
        <v>2016</v>
      </c>
      <c r="J4494">
        <v>0</v>
      </c>
      <c r="K4494">
        <v>0</v>
      </c>
      <c r="L4494">
        <v>0</v>
      </c>
      <c r="M4494">
        <v>14</v>
      </c>
      <c r="N4494" t="s">
        <v>41</v>
      </c>
      <c r="O4494" t="s">
        <v>30</v>
      </c>
      <c r="P4494">
        <v>6.7805143934371497</v>
      </c>
      <c r="Q4494">
        <v>1.19414619465169</v>
      </c>
      <c r="R4494">
        <v>1.29337145593945</v>
      </c>
      <c r="S4494">
        <v>199</v>
      </c>
      <c r="T4494">
        <v>75</v>
      </c>
      <c r="U4494">
        <v>469.18588482006498</v>
      </c>
      <c r="V4494">
        <v>3.2102728731942202E-3</v>
      </c>
      <c r="W4494">
        <v>2208448.23032864</v>
      </c>
      <c r="X4494" t="s">
        <v>42</v>
      </c>
      <c r="Y4494">
        <f>1-398-970-6016</f>
        <v>-7383</v>
      </c>
    </row>
    <row r="4495" spans="1:25" x14ac:dyDescent="0.35">
      <c r="A4495">
        <v>37.027379053969902</v>
      </c>
      <c r="B4495">
        <v>-116.23260028000099</v>
      </c>
      <c r="C4495" t="s">
        <v>25</v>
      </c>
      <c r="D4495">
        <v>34.432975317687699</v>
      </c>
      <c r="E4495">
        <v>0</v>
      </c>
      <c r="F4495">
        <v>2741</v>
      </c>
      <c r="G4495">
        <v>1</v>
      </c>
      <c r="H4495">
        <v>2</v>
      </c>
      <c r="I4495">
        <v>1995</v>
      </c>
      <c r="J4495">
        <v>0</v>
      </c>
      <c r="K4495">
        <v>0</v>
      </c>
      <c r="L4495">
        <v>0</v>
      </c>
      <c r="M4495">
        <v>8</v>
      </c>
      <c r="N4495" t="s">
        <v>41</v>
      </c>
      <c r="O4495" t="s">
        <v>27</v>
      </c>
      <c r="P4495">
        <v>11.4025633723033</v>
      </c>
      <c r="Q4495">
        <v>1.30381844085053</v>
      </c>
      <c r="R4495">
        <v>0.23943660025222499</v>
      </c>
      <c r="S4495">
        <v>61</v>
      </c>
      <c r="T4495">
        <v>45</v>
      </c>
      <c r="U4495">
        <v>344.78915915517501</v>
      </c>
      <c r="V4495">
        <v>2.91864283108354E-3</v>
      </c>
      <c r="W4495">
        <v>1025902.07075636</v>
      </c>
      <c r="X4495" t="s">
        <v>31</v>
      </c>
      <c r="Y4495">
        <f>1-477-628-2400</f>
        <v>-3504</v>
      </c>
    </row>
    <row r="4496" spans="1:25" x14ac:dyDescent="0.35">
      <c r="A4496">
        <v>34.354997859231403</v>
      </c>
      <c r="B4496">
        <v>-118.192157773429</v>
      </c>
      <c r="C4496" t="s">
        <v>25</v>
      </c>
      <c r="D4496">
        <v>39.967891621113601</v>
      </c>
      <c r="E4496">
        <v>3</v>
      </c>
      <c r="F4496">
        <v>3619</v>
      </c>
      <c r="G4496">
        <v>3</v>
      </c>
      <c r="H4496">
        <v>1</v>
      </c>
      <c r="I4496">
        <v>1962</v>
      </c>
      <c r="J4496">
        <v>1</v>
      </c>
      <c r="K4496">
        <v>0</v>
      </c>
      <c r="L4496">
        <v>0</v>
      </c>
      <c r="M4496">
        <v>13</v>
      </c>
      <c r="N4496" t="s">
        <v>35</v>
      </c>
      <c r="O4496" t="s">
        <v>27</v>
      </c>
      <c r="P4496">
        <v>7.2645634051396799</v>
      </c>
      <c r="Q4496">
        <v>1.90786156315721</v>
      </c>
      <c r="R4496">
        <v>0.48610241353588401</v>
      </c>
      <c r="S4496">
        <v>146</v>
      </c>
      <c r="T4496">
        <v>52</v>
      </c>
      <c r="U4496">
        <v>217.95319952039</v>
      </c>
      <c r="V4496">
        <v>3.5921525283227401E-3</v>
      </c>
      <c r="W4496">
        <v>971227.66542080895</v>
      </c>
      <c r="X4496" t="s">
        <v>44</v>
      </c>
      <c r="Y4496">
        <f>1-769-920-1643</f>
        <v>-3331</v>
      </c>
    </row>
    <row r="4497" spans="1:25" x14ac:dyDescent="0.35">
      <c r="A4497">
        <v>39.393043387365402</v>
      </c>
      <c r="B4497">
        <v>-123.201814094192</v>
      </c>
      <c r="C4497" t="s">
        <v>29</v>
      </c>
      <c r="D4497">
        <v>15.510548740474601</v>
      </c>
      <c r="E4497">
        <v>8</v>
      </c>
      <c r="F4497">
        <v>2208</v>
      </c>
      <c r="G4497">
        <v>3</v>
      </c>
      <c r="H4497">
        <v>2</v>
      </c>
      <c r="I4497">
        <v>2006</v>
      </c>
      <c r="J4497">
        <v>0</v>
      </c>
      <c r="K4497">
        <v>0</v>
      </c>
      <c r="L4497">
        <v>0</v>
      </c>
      <c r="M4497">
        <v>11</v>
      </c>
      <c r="N4497" t="s">
        <v>35</v>
      </c>
      <c r="O4497" t="s">
        <v>30</v>
      </c>
      <c r="P4497">
        <v>13.5509018461283</v>
      </c>
      <c r="Q4497">
        <v>1.52630123505921</v>
      </c>
      <c r="R4497">
        <v>5.0862881530694697</v>
      </c>
      <c r="S4497">
        <v>130</v>
      </c>
      <c r="T4497">
        <v>74</v>
      </c>
      <c r="U4497">
        <v>897.11215172621803</v>
      </c>
      <c r="V4497">
        <v>4.9818840579710097E-3</v>
      </c>
      <c r="W4497">
        <v>2258036.8456002502</v>
      </c>
      <c r="X4497" t="s">
        <v>40</v>
      </c>
      <c r="Y4497">
        <f>1-613-920-4829</f>
        <v>-6361</v>
      </c>
    </row>
    <row r="4498" spans="1:25" x14ac:dyDescent="0.35">
      <c r="A4498">
        <v>33.376520673928297</v>
      </c>
      <c r="B4498">
        <v>-124.33441751915301</v>
      </c>
      <c r="C4498" t="s">
        <v>25</v>
      </c>
      <c r="D4498">
        <v>8.9588410155991696</v>
      </c>
      <c r="E4498">
        <v>6</v>
      </c>
      <c r="F4498">
        <v>2362</v>
      </c>
      <c r="G4498">
        <v>3</v>
      </c>
      <c r="H4498">
        <v>1</v>
      </c>
      <c r="I4498">
        <v>1989</v>
      </c>
      <c r="J4498">
        <v>1</v>
      </c>
      <c r="K4498">
        <v>1</v>
      </c>
      <c r="L4498">
        <v>1</v>
      </c>
      <c r="M4498">
        <v>4</v>
      </c>
      <c r="N4498" t="s">
        <v>26</v>
      </c>
      <c r="O4498" t="s">
        <v>27</v>
      </c>
      <c r="P4498">
        <v>6.7467444223754196</v>
      </c>
      <c r="Q4498">
        <v>0.95887821846543797</v>
      </c>
      <c r="R4498">
        <v>8.1497502114131599</v>
      </c>
      <c r="S4498">
        <v>146</v>
      </c>
      <c r="T4498">
        <v>75</v>
      </c>
      <c r="U4498">
        <v>593.32768242444297</v>
      </c>
      <c r="V4498">
        <v>1.6934801016088E-3</v>
      </c>
      <c r="W4498">
        <v>1675759.59282166</v>
      </c>
      <c r="X4498" t="s">
        <v>28</v>
      </c>
      <c r="Y4498">
        <f>1-409-339-4796</f>
        <v>-5543</v>
      </c>
    </row>
    <row r="4499" spans="1:25" x14ac:dyDescent="0.35">
      <c r="A4499">
        <v>41.8190651915423</v>
      </c>
      <c r="B4499">
        <v>-121.38335064438</v>
      </c>
      <c r="C4499" t="s">
        <v>29</v>
      </c>
      <c r="D4499">
        <v>9.6534794347511195</v>
      </c>
      <c r="E4499">
        <v>9</v>
      </c>
      <c r="F4499">
        <v>3998</v>
      </c>
      <c r="G4499">
        <v>5</v>
      </c>
      <c r="H4499">
        <v>2</v>
      </c>
      <c r="I4499">
        <v>2019</v>
      </c>
      <c r="J4499">
        <v>1</v>
      </c>
      <c r="K4499">
        <v>0</v>
      </c>
      <c r="L4499">
        <v>1</v>
      </c>
      <c r="M4499">
        <v>2</v>
      </c>
      <c r="N4499" t="s">
        <v>35</v>
      </c>
      <c r="O4499" t="s">
        <v>30</v>
      </c>
      <c r="P4499">
        <v>7.5607200527621998</v>
      </c>
      <c r="Q4499">
        <v>1.95170598984744</v>
      </c>
      <c r="R4499">
        <v>3.2754302829312398</v>
      </c>
      <c r="S4499">
        <v>30</v>
      </c>
      <c r="T4499">
        <v>62</v>
      </c>
      <c r="U4499">
        <v>941.84968331861296</v>
      </c>
      <c r="V4499">
        <v>5.0025012506253101E-4</v>
      </c>
      <c r="W4499">
        <v>4181386.3287892099</v>
      </c>
      <c r="X4499" t="s">
        <v>40</v>
      </c>
      <c r="Y4499">
        <f>1-655-473-2037</f>
        <v>-3164</v>
      </c>
    </row>
    <row r="4500" spans="1:25" x14ac:dyDescent="0.35">
      <c r="A4500">
        <v>37.933639426250799</v>
      </c>
      <c r="B4500">
        <v>-115.40622039727199</v>
      </c>
      <c r="C4500" t="s">
        <v>29</v>
      </c>
      <c r="D4500">
        <v>1.0780244452874199</v>
      </c>
      <c r="E4500">
        <v>1</v>
      </c>
      <c r="F4500">
        <v>3480</v>
      </c>
      <c r="G4500">
        <v>3</v>
      </c>
      <c r="H4500">
        <v>2</v>
      </c>
      <c r="I4500">
        <v>1972</v>
      </c>
      <c r="J4500">
        <v>1</v>
      </c>
      <c r="K4500">
        <v>0</v>
      </c>
      <c r="L4500">
        <v>1</v>
      </c>
      <c r="M4500">
        <v>11</v>
      </c>
      <c r="N4500" t="s">
        <v>35</v>
      </c>
      <c r="O4500" t="s">
        <v>32</v>
      </c>
      <c r="P4500">
        <v>12.542516663043299</v>
      </c>
      <c r="Q4500">
        <v>0.65578301987275101</v>
      </c>
      <c r="R4500">
        <v>5.0294994253431904</v>
      </c>
      <c r="S4500">
        <v>131</v>
      </c>
      <c r="T4500">
        <v>44</v>
      </c>
      <c r="U4500">
        <v>312.50776752675301</v>
      </c>
      <c r="V4500">
        <v>3.1609195402298798E-3</v>
      </c>
      <c r="W4500">
        <v>1370238.87792785</v>
      </c>
      <c r="X4500" t="s">
        <v>38</v>
      </c>
      <c r="Y4500">
        <f>1-291-589-8589</f>
        <v>-9468</v>
      </c>
    </row>
    <row r="4501" spans="1:25" x14ac:dyDescent="0.35">
      <c r="A4501">
        <v>41.800622583232098</v>
      </c>
      <c r="B4501">
        <v>-120.20745720132599</v>
      </c>
      <c r="C4501" t="s">
        <v>29</v>
      </c>
      <c r="D4501">
        <v>4.24145567670476</v>
      </c>
      <c r="E4501">
        <v>9</v>
      </c>
      <c r="F4501">
        <v>1299</v>
      </c>
      <c r="G4501">
        <v>5</v>
      </c>
      <c r="H4501">
        <v>2</v>
      </c>
      <c r="I4501">
        <v>1980</v>
      </c>
      <c r="J4501">
        <v>1</v>
      </c>
      <c r="K4501">
        <v>0</v>
      </c>
      <c r="L4501">
        <v>0</v>
      </c>
      <c r="M4501">
        <v>11</v>
      </c>
      <c r="N4501" t="s">
        <v>37</v>
      </c>
      <c r="O4501" t="s">
        <v>32</v>
      </c>
      <c r="P4501">
        <v>7.5003335242533602</v>
      </c>
      <c r="Q4501">
        <v>1.4494064311308501</v>
      </c>
      <c r="R4501">
        <v>9.1700211916490098</v>
      </c>
      <c r="S4501">
        <v>143</v>
      </c>
      <c r="T4501">
        <v>31</v>
      </c>
      <c r="U4501">
        <v>771.21315618509004</v>
      </c>
      <c r="V4501">
        <v>8.4680523479599597E-3</v>
      </c>
      <c r="W4501">
        <v>1346262.2023038899</v>
      </c>
      <c r="X4501" t="s">
        <v>43</v>
      </c>
      <c r="Y4501">
        <f>1-489-373-3152</f>
        <v>-4013</v>
      </c>
    </row>
    <row r="4502" spans="1:25" x14ac:dyDescent="0.35">
      <c r="A4502">
        <v>41.546448098801399</v>
      </c>
      <c r="B4502">
        <v>-115.018995949508</v>
      </c>
      <c r="C4502" t="s">
        <v>29</v>
      </c>
      <c r="D4502">
        <v>11.7392010070723</v>
      </c>
      <c r="E4502">
        <v>4</v>
      </c>
      <c r="F4502">
        <v>1294</v>
      </c>
      <c r="G4502">
        <v>3</v>
      </c>
      <c r="H4502">
        <v>1</v>
      </c>
      <c r="I4502">
        <v>1998</v>
      </c>
      <c r="J4502">
        <v>0</v>
      </c>
      <c r="K4502">
        <v>1</v>
      </c>
      <c r="L4502">
        <v>0</v>
      </c>
      <c r="M4502">
        <v>8</v>
      </c>
      <c r="N4502" t="s">
        <v>41</v>
      </c>
      <c r="O4502" t="s">
        <v>32</v>
      </c>
      <c r="P4502">
        <v>6.8870814798667199</v>
      </c>
      <c r="Q4502">
        <v>1.5828075515436</v>
      </c>
      <c r="R4502">
        <v>7.1460330545798003</v>
      </c>
      <c r="S4502">
        <v>36</v>
      </c>
      <c r="T4502">
        <v>48</v>
      </c>
      <c r="U4502">
        <v>590.51197162100004</v>
      </c>
      <c r="V4502">
        <v>6.1823802163832996E-3</v>
      </c>
      <c r="W4502">
        <v>1033573.26345154</v>
      </c>
      <c r="X4502" t="s">
        <v>28</v>
      </c>
      <c r="Y4502">
        <f>1-787-648-6405</f>
        <v>-7839</v>
      </c>
    </row>
    <row r="4503" spans="1:25" x14ac:dyDescent="0.35">
      <c r="A4503">
        <v>37.907901722438702</v>
      </c>
      <c r="B4503">
        <v>-116.044542898335</v>
      </c>
      <c r="C4503" t="s">
        <v>25</v>
      </c>
      <c r="D4503">
        <v>38.5104737111498</v>
      </c>
      <c r="E4503">
        <v>6</v>
      </c>
      <c r="F4503">
        <v>1998</v>
      </c>
      <c r="G4503">
        <v>5</v>
      </c>
      <c r="H4503">
        <v>3</v>
      </c>
      <c r="I4503">
        <v>1968</v>
      </c>
      <c r="J4503">
        <v>1</v>
      </c>
      <c r="K4503">
        <v>1</v>
      </c>
      <c r="L4503">
        <v>0</v>
      </c>
      <c r="M4503">
        <v>14</v>
      </c>
      <c r="N4503" t="s">
        <v>26</v>
      </c>
      <c r="O4503" t="s">
        <v>27</v>
      </c>
      <c r="P4503">
        <v>12.145781153498699</v>
      </c>
      <c r="Q4503">
        <v>0.54221467249308197</v>
      </c>
      <c r="R4503">
        <v>9.9339048260609601</v>
      </c>
      <c r="S4503">
        <v>58</v>
      </c>
      <c r="T4503">
        <v>28</v>
      </c>
      <c r="U4503">
        <v>689.68032341660501</v>
      </c>
      <c r="V4503">
        <v>7.007007007007E-3</v>
      </c>
      <c r="W4503">
        <v>1845607.84264024</v>
      </c>
      <c r="X4503" t="s">
        <v>36</v>
      </c>
      <c r="Y4503">
        <f>1-932-855-9991</f>
        <v>-11777</v>
      </c>
    </row>
    <row r="4504" spans="1:25" x14ac:dyDescent="0.35">
      <c r="A4504">
        <v>34.3347025769027</v>
      </c>
      <c r="B4504">
        <v>-122.034463630513</v>
      </c>
      <c r="C4504" t="s">
        <v>34</v>
      </c>
      <c r="D4504">
        <v>24.811399609690898</v>
      </c>
      <c r="E4504">
        <v>4</v>
      </c>
      <c r="F4504">
        <v>2921</v>
      </c>
      <c r="G4504">
        <v>2</v>
      </c>
      <c r="H4504">
        <v>1</v>
      </c>
      <c r="I4504">
        <v>1974</v>
      </c>
      <c r="J4504">
        <v>1</v>
      </c>
      <c r="K4504">
        <v>1</v>
      </c>
      <c r="L4504">
        <v>1</v>
      </c>
      <c r="M4504">
        <v>12</v>
      </c>
      <c r="N4504" t="s">
        <v>26</v>
      </c>
      <c r="O4504" t="s">
        <v>32</v>
      </c>
      <c r="P4504">
        <v>9.0954478472213207</v>
      </c>
      <c r="Q4504">
        <v>2.3305082477028098</v>
      </c>
      <c r="R4504">
        <v>6.9489135457450102</v>
      </c>
      <c r="S4504">
        <v>108</v>
      </c>
      <c r="T4504">
        <v>48</v>
      </c>
      <c r="U4504">
        <v>974.853688796651</v>
      </c>
      <c r="V4504">
        <v>4.1081821294077303E-3</v>
      </c>
      <c r="W4504">
        <v>3182630.87953137</v>
      </c>
      <c r="X4504" t="s">
        <v>44</v>
      </c>
      <c r="Y4504">
        <f>1-420-654-8123</f>
        <v>-9196</v>
      </c>
    </row>
    <row r="4505" spans="1:25" x14ac:dyDescent="0.35">
      <c r="A4505">
        <v>41.192630619338402</v>
      </c>
      <c r="B4505">
        <v>-116.711745754736</v>
      </c>
      <c r="C4505" t="s">
        <v>29</v>
      </c>
      <c r="D4505">
        <v>40.262181920901199</v>
      </c>
      <c r="E4505">
        <v>2</v>
      </c>
      <c r="F4505">
        <v>2696</v>
      </c>
      <c r="G4505">
        <v>1</v>
      </c>
      <c r="H4505">
        <v>3</v>
      </c>
      <c r="I4505">
        <v>1962</v>
      </c>
      <c r="J4505">
        <v>1</v>
      </c>
      <c r="K4505">
        <v>1</v>
      </c>
      <c r="L4505">
        <v>1</v>
      </c>
      <c r="M4505">
        <v>3</v>
      </c>
      <c r="N4505" t="s">
        <v>26</v>
      </c>
      <c r="O4505" t="s">
        <v>32</v>
      </c>
      <c r="P4505">
        <v>7.6952244580967699</v>
      </c>
      <c r="Q4505">
        <v>2.2031461891711102</v>
      </c>
      <c r="R4505">
        <v>4.9475598350814796</v>
      </c>
      <c r="S4505">
        <v>54</v>
      </c>
      <c r="T4505">
        <v>79</v>
      </c>
      <c r="U4505">
        <v>813.95366588940703</v>
      </c>
      <c r="V4505">
        <v>1.1127596439169101E-3</v>
      </c>
      <c r="W4505">
        <v>2524809.5373210101</v>
      </c>
      <c r="X4505" t="s">
        <v>33</v>
      </c>
      <c r="Y4505">
        <f>1-515-911-8249</f>
        <v>-9674</v>
      </c>
    </row>
    <row r="4506" spans="1:25" x14ac:dyDescent="0.35">
      <c r="A4506">
        <v>33.968653677408298</v>
      </c>
      <c r="B4506">
        <v>-122.746857045371</v>
      </c>
      <c r="C4506" t="s">
        <v>29</v>
      </c>
      <c r="D4506">
        <v>7.3396100202026897</v>
      </c>
      <c r="E4506">
        <v>8</v>
      </c>
      <c r="F4506">
        <v>4311</v>
      </c>
      <c r="G4506">
        <v>5</v>
      </c>
      <c r="H4506">
        <v>1</v>
      </c>
      <c r="I4506">
        <v>1982</v>
      </c>
      <c r="J4506">
        <v>1</v>
      </c>
      <c r="K4506">
        <v>0</v>
      </c>
      <c r="L4506">
        <v>1</v>
      </c>
      <c r="M4506">
        <v>9</v>
      </c>
      <c r="N4506" t="s">
        <v>37</v>
      </c>
      <c r="O4506" t="s">
        <v>27</v>
      </c>
      <c r="P4506">
        <v>2.9718059225182998</v>
      </c>
      <c r="Q4506">
        <v>0.87181241783466801</v>
      </c>
      <c r="R4506">
        <v>5.3884503971781603</v>
      </c>
      <c r="S4506">
        <v>124</v>
      </c>
      <c r="T4506">
        <v>52</v>
      </c>
      <c r="U4506">
        <v>332.80212080913702</v>
      </c>
      <c r="V4506">
        <v>2.0876826722338198E-3</v>
      </c>
      <c r="W4506">
        <v>1691490.8707016101</v>
      </c>
      <c r="X4506" t="s">
        <v>31</v>
      </c>
      <c r="Y4506">
        <f>1-908-376-2111</f>
        <v>-3394</v>
      </c>
    </row>
    <row r="4507" spans="1:25" x14ac:dyDescent="0.35">
      <c r="A4507">
        <v>40.369392615155803</v>
      </c>
      <c r="B4507">
        <v>-124.149061120103</v>
      </c>
      <c r="C4507" t="s">
        <v>29</v>
      </c>
      <c r="D4507">
        <v>19.802544063918699</v>
      </c>
      <c r="E4507">
        <v>9</v>
      </c>
      <c r="F4507">
        <v>2239</v>
      </c>
      <c r="G4507">
        <v>4</v>
      </c>
      <c r="H4507">
        <v>3</v>
      </c>
      <c r="I4507">
        <v>1962</v>
      </c>
      <c r="J4507">
        <v>0</v>
      </c>
      <c r="K4507">
        <v>0</v>
      </c>
      <c r="L4507">
        <v>0</v>
      </c>
      <c r="M4507">
        <v>7</v>
      </c>
      <c r="N4507" t="s">
        <v>37</v>
      </c>
      <c r="O4507" t="s">
        <v>27</v>
      </c>
      <c r="P4507">
        <v>8.9372450276025202</v>
      </c>
      <c r="Q4507">
        <v>2.3186498755912699</v>
      </c>
      <c r="R4507">
        <v>9.3536751190043699</v>
      </c>
      <c r="S4507">
        <v>5</v>
      </c>
      <c r="T4507">
        <v>79</v>
      </c>
      <c r="U4507">
        <v>524.37348121702803</v>
      </c>
      <c r="V4507">
        <v>3.1263957123715898E-3</v>
      </c>
      <c r="W4507">
        <v>1430912.8249228301</v>
      </c>
      <c r="X4507" t="s">
        <v>33</v>
      </c>
      <c r="Y4507">
        <f>1-712-388-2083</f>
        <v>-3182</v>
      </c>
    </row>
    <row r="4508" spans="1:25" x14ac:dyDescent="0.35">
      <c r="A4508">
        <v>35.8853952842788</v>
      </c>
      <c r="B4508">
        <v>-115.285895709648</v>
      </c>
      <c r="C4508" t="s">
        <v>29</v>
      </c>
      <c r="D4508">
        <v>16.004055748061699</v>
      </c>
      <c r="E4508">
        <v>2</v>
      </c>
      <c r="F4508">
        <v>3451</v>
      </c>
      <c r="G4508">
        <v>5</v>
      </c>
      <c r="H4508">
        <v>2</v>
      </c>
      <c r="I4508">
        <v>1977</v>
      </c>
      <c r="J4508">
        <v>0</v>
      </c>
      <c r="K4508">
        <v>1</v>
      </c>
      <c r="L4508">
        <v>0</v>
      </c>
      <c r="M4508">
        <v>6</v>
      </c>
      <c r="N4508" t="s">
        <v>41</v>
      </c>
      <c r="O4508" t="s">
        <v>27</v>
      </c>
      <c r="P4508">
        <v>10.060275854628101</v>
      </c>
      <c r="Q4508">
        <v>1.8599622657696699</v>
      </c>
      <c r="R4508">
        <v>6.5560066841368201</v>
      </c>
      <c r="S4508">
        <v>63</v>
      </c>
      <c r="T4508">
        <v>51</v>
      </c>
      <c r="U4508">
        <v>857.39526436027904</v>
      </c>
      <c r="V4508">
        <v>1.73862648507678E-3</v>
      </c>
      <c r="W4508">
        <v>3366101.0626908801</v>
      </c>
      <c r="X4508" t="s">
        <v>42</v>
      </c>
      <c r="Y4508">
        <f>1-264-464-4952</f>
        <v>-5679</v>
      </c>
    </row>
    <row r="4509" spans="1:25" x14ac:dyDescent="0.35">
      <c r="A4509">
        <v>32.680568463795296</v>
      </c>
      <c r="B4509">
        <v>-119.45808502903</v>
      </c>
      <c r="C4509" t="s">
        <v>34</v>
      </c>
      <c r="D4509">
        <v>19.2287560968538</v>
      </c>
      <c r="E4509">
        <v>5</v>
      </c>
      <c r="F4509">
        <v>2530</v>
      </c>
      <c r="G4509">
        <v>1</v>
      </c>
      <c r="H4509">
        <v>1</v>
      </c>
      <c r="I4509">
        <v>1991</v>
      </c>
      <c r="J4509">
        <v>1</v>
      </c>
      <c r="K4509">
        <v>0</v>
      </c>
      <c r="L4509">
        <v>0</v>
      </c>
      <c r="M4509">
        <v>3</v>
      </c>
      <c r="N4509" t="s">
        <v>35</v>
      </c>
      <c r="O4509" t="s">
        <v>32</v>
      </c>
      <c r="P4509">
        <v>13.7220710791971</v>
      </c>
      <c r="Q4509">
        <v>0.65302613869432102</v>
      </c>
      <c r="R4509">
        <v>0.87498826459508505</v>
      </c>
      <c r="S4509">
        <v>152</v>
      </c>
      <c r="T4509">
        <v>51</v>
      </c>
      <c r="U4509">
        <v>864.85657423400596</v>
      </c>
      <c r="V4509">
        <v>1.18577075098814E-3</v>
      </c>
      <c r="W4509">
        <v>2370342.1251531299</v>
      </c>
      <c r="X4509" t="s">
        <v>39</v>
      </c>
      <c r="Y4509">
        <f>1-530-836-2803</f>
        <v>-4168</v>
      </c>
    </row>
    <row r="4510" spans="1:25" x14ac:dyDescent="0.35">
      <c r="A4510">
        <v>40.574280070148397</v>
      </c>
      <c r="B4510">
        <v>-117.000777915669</v>
      </c>
      <c r="C4510" t="s">
        <v>29</v>
      </c>
      <c r="D4510">
        <v>9.2641181750711201</v>
      </c>
      <c r="E4510">
        <v>0</v>
      </c>
      <c r="F4510">
        <v>2572</v>
      </c>
      <c r="G4510">
        <v>4</v>
      </c>
      <c r="H4510">
        <v>2</v>
      </c>
      <c r="I4510">
        <v>1959</v>
      </c>
      <c r="J4510">
        <v>0</v>
      </c>
      <c r="K4510">
        <v>1</v>
      </c>
      <c r="L4510">
        <v>0</v>
      </c>
      <c r="M4510">
        <v>11</v>
      </c>
      <c r="N4510" t="s">
        <v>26</v>
      </c>
      <c r="O4510" t="s">
        <v>27</v>
      </c>
      <c r="P4510">
        <v>13.244211305926299</v>
      </c>
      <c r="Q4510">
        <v>2.34377545121133</v>
      </c>
      <c r="R4510">
        <v>3.2300042579203101</v>
      </c>
      <c r="S4510">
        <v>57</v>
      </c>
      <c r="T4510">
        <v>57</v>
      </c>
      <c r="U4510">
        <v>957.68125749248202</v>
      </c>
      <c r="V4510">
        <v>4.2768273716951698E-3</v>
      </c>
      <c r="W4510">
        <v>2759397.4836427802</v>
      </c>
      <c r="X4510" t="s">
        <v>28</v>
      </c>
      <c r="Y4510">
        <f>1-980-739-2665</f>
        <v>-4383</v>
      </c>
    </row>
    <row r="4511" spans="1:25" x14ac:dyDescent="0.35">
      <c r="A4511">
        <v>40.102786539129902</v>
      </c>
      <c r="B4511">
        <v>-117.77370169637101</v>
      </c>
      <c r="C4511" t="s">
        <v>25</v>
      </c>
      <c r="D4511">
        <v>21.337863887388099</v>
      </c>
      <c r="E4511">
        <v>0</v>
      </c>
      <c r="F4511">
        <v>1510</v>
      </c>
      <c r="G4511">
        <v>2</v>
      </c>
      <c r="H4511">
        <v>3</v>
      </c>
      <c r="I4511">
        <v>1962</v>
      </c>
      <c r="J4511">
        <v>0</v>
      </c>
      <c r="K4511">
        <v>0</v>
      </c>
      <c r="L4511">
        <v>0</v>
      </c>
      <c r="M4511">
        <v>13</v>
      </c>
      <c r="N4511" t="s">
        <v>41</v>
      </c>
      <c r="O4511" t="s">
        <v>32</v>
      </c>
      <c r="P4511">
        <v>4.9788577282445798</v>
      </c>
      <c r="Q4511">
        <v>2.0637611902544299</v>
      </c>
      <c r="R4511">
        <v>6.0897720220921299</v>
      </c>
      <c r="S4511">
        <v>30</v>
      </c>
      <c r="T4511">
        <v>26</v>
      </c>
      <c r="U4511">
        <v>680.90872829735497</v>
      </c>
      <c r="V4511">
        <v>8.6092715231788006E-3</v>
      </c>
      <c r="W4511">
        <v>1091010.8298084</v>
      </c>
      <c r="X4511" t="s">
        <v>38</v>
      </c>
      <c r="Y4511">
        <f>1-558-580-7045</f>
        <v>-8182</v>
      </c>
    </row>
    <row r="4512" spans="1:25" x14ac:dyDescent="0.35">
      <c r="A4512">
        <v>35.038743851209802</v>
      </c>
      <c r="B4512">
        <v>-120.96129167727599</v>
      </c>
      <c r="C4512" t="s">
        <v>25</v>
      </c>
      <c r="D4512">
        <v>7.0637694151569299</v>
      </c>
      <c r="E4512">
        <v>8</v>
      </c>
      <c r="F4512">
        <v>4340</v>
      </c>
      <c r="G4512">
        <v>1</v>
      </c>
      <c r="H4512">
        <v>3</v>
      </c>
      <c r="I4512">
        <v>1972</v>
      </c>
      <c r="J4512">
        <v>1</v>
      </c>
      <c r="K4512">
        <v>0</v>
      </c>
      <c r="L4512">
        <v>0</v>
      </c>
      <c r="M4512">
        <v>6</v>
      </c>
      <c r="N4512" t="s">
        <v>41</v>
      </c>
      <c r="O4512" t="s">
        <v>30</v>
      </c>
      <c r="P4512">
        <v>4.4142626474834499</v>
      </c>
      <c r="Q4512">
        <v>2.3845782892785801</v>
      </c>
      <c r="R4512">
        <v>2.2038439245927499</v>
      </c>
      <c r="S4512">
        <v>95</v>
      </c>
      <c r="T4512">
        <v>77</v>
      </c>
      <c r="U4512">
        <v>754.03800842928604</v>
      </c>
      <c r="V4512">
        <v>1.38248847926267E-3</v>
      </c>
      <c r="W4512">
        <v>3357511.7420829502</v>
      </c>
      <c r="X4512" t="s">
        <v>31</v>
      </c>
      <c r="Y4512">
        <f>1-817-888-6952</f>
        <v>-8656</v>
      </c>
    </row>
    <row r="4513" spans="1:25" x14ac:dyDescent="0.35">
      <c r="A4513">
        <v>33.368597692811399</v>
      </c>
      <c r="B4513">
        <v>-120.79197878636199</v>
      </c>
      <c r="C4513" t="s">
        <v>25</v>
      </c>
      <c r="D4513">
        <v>13.855445139033399</v>
      </c>
      <c r="E4513">
        <v>2</v>
      </c>
      <c r="F4513">
        <v>3334</v>
      </c>
      <c r="G4513">
        <v>3</v>
      </c>
      <c r="H4513">
        <v>1</v>
      </c>
      <c r="I4513">
        <v>1997</v>
      </c>
      <c r="J4513">
        <v>1</v>
      </c>
      <c r="K4513">
        <v>1</v>
      </c>
      <c r="L4513">
        <v>0</v>
      </c>
      <c r="M4513">
        <v>11</v>
      </c>
      <c r="N4513" t="s">
        <v>41</v>
      </c>
      <c r="O4513" t="s">
        <v>27</v>
      </c>
      <c r="P4513">
        <v>13.8501994320427</v>
      </c>
      <c r="Q4513">
        <v>1.98497058161453</v>
      </c>
      <c r="R4513">
        <v>3.2422091534612201</v>
      </c>
      <c r="S4513">
        <v>158</v>
      </c>
      <c r="T4513">
        <v>59</v>
      </c>
      <c r="U4513">
        <v>398.206919022899</v>
      </c>
      <c r="V4513">
        <v>3.2993401319736E-3</v>
      </c>
      <c r="W4513">
        <v>1710470.58473438</v>
      </c>
      <c r="X4513" t="s">
        <v>31</v>
      </c>
      <c r="Y4513">
        <f>1-709-524-1491</f>
        <v>-2723</v>
      </c>
    </row>
    <row r="4514" spans="1:25" x14ac:dyDescent="0.35">
      <c r="A4514">
        <v>37.507678215650898</v>
      </c>
      <c r="B4514">
        <v>-123.076862395137</v>
      </c>
      <c r="C4514" t="s">
        <v>29</v>
      </c>
      <c r="D4514">
        <v>32.069640920156402</v>
      </c>
      <c r="E4514">
        <v>4</v>
      </c>
      <c r="F4514">
        <v>3280</v>
      </c>
      <c r="G4514">
        <v>1</v>
      </c>
      <c r="H4514">
        <v>3</v>
      </c>
      <c r="I4514">
        <v>1968</v>
      </c>
      <c r="J4514">
        <v>1</v>
      </c>
      <c r="K4514">
        <v>0</v>
      </c>
      <c r="L4514">
        <v>1</v>
      </c>
      <c r="M4514">
        <v>7</v>
      </c>
      <c r="N4514" t="s">
        <v>41</v>
      </c>
      <c r="O4514" t="s">
        <v>32</v>
      </c>
      <c r="P4514">
        <v>4.8716263958847703</v>
      </c>
      <c r="Q4514">
        <v>1.3393856844621601</v>
      </c>
      <c r="R4514">
        <v>1.19865340757991</v>
      </c>
      <c r="S4514">
        <v>185</v>
      </c>
      <c r="T4514">
        <v>42</v>
      </c>
      <c r="U4514">
        <v>857.402285524989</v>
      </c>
      <c r="V4514">
        <v>2.13414634146341E-3</v>
      </c>
      <c r="W4514">
        <v>3086786.8345617498</v>
      </c>
      <c r="X4514" t="s">
        <v>33</v>
      </c>
      <c r="Y4514">
        <f>1-731-808-7219</f>
        <v>-8757</v>
      </c>
    </row>
    <row r="4515" spans="1:25" x14ac:dyDescent="0.35">
      <c r="A4515">
        <v>41.016300603171501</v>
      </c>
      <c r="B4515">
        <v>-123.438075069717</v>
      </c>
      <c r="C4515" t="s">
        <v>29</v>
      </c>
      <c r="D4515">
        <v>7.9447776704891897</v>
      </c>
      <c r="E4515">
        <v>7</v>
      </c>
      <c r="F4515">
        <v>4877</v>
      </c>
      <c r="G4515">
        <v>1</v>
      </c>
      <c r="H4515">
        <v>2</v>
      </c>
      <c r="I4515">
        <v>1982</v>
      </c>
      <c r="J4515">
        <v>1</v>
      </c>
      <c r="K4515">
        <v>0</v>
      </c>
      <c r="L4515">
        <v>1</v>
      </c>
      <c r="M4515">
        <v>14</v>
      </c>
      <c r="N4515" t="s">
        <v>37</v>
      </c>
      <c r="O4515" t="s">
        <v>30</v>
      </c>
      <c r="P4515">
        <v>7.1660714614602101</v>
      </c>
      <c r="Q4515">
        <v>1.2555859867394299</v>
      </c>
      <c r="R4515">
        <v>1.8168955548275301</v>
      </c>
      <c r="S4515">
        <v>9</v>
      </c>
      <c r="T4515">
        <v>74</v>
      </c>
      <c r="U4515">
        <v>636.70152360913903</v>
      </c>
      <c r="V4515">
        <v>2.8706171826942701E-3</v>
      </c>
      <c r="W4515">
        <v>3289790.24704132</v>
      </c>
      <c r="X4515" t="s">
        <v>33</v>
      </c>
      <c r="Y4515">
        <f>1-496-332-9095</f>
        <v>-9922</v>
      </c>
    </row>
    <row r="4516" spans="1:25" x14ac:dyDescent="0.35">
      <c r="A4516">
        <v>39.151033463813199</v>
      </c>
      <c r="B4516">
        <v>-121.912390944763</v>
      </c>
      <c r="C4516" t="s">
        <v>34</v>
      </c>
      <c r="D4516">
        <v>17.428370382671101</v>
      </c>
      <c r="E4516">
        <v>7</v>
      </c>
      <c r="F4516">
        <v>1716</v>
      </c>
      <c r="G4516">
        <v>1</v>
      </c>
      <c r="H4516">
        <v>3</v>
      </c>
      <c r="I4516">
        <v>2007</v>
      </c>
      <c r="J4516">
        <v>0</v>
      </c>
      <c r="K4516">
        <v>1</v>
      </c>
      <c r="L4516">
        <v>1</v>
      </c>
      <c r="M4516">
        <v>14</v>
      </c>
      <c r="N4516" t="s">
        <v>41</v>
      </c>
      <c r="O4516" t="s">
        <v>27</v>
      </c>
      <c r="P4516">
        <v>10.9658932919018</v>
      </c>
      <c r="Q4516">
        <v>1.7536306016376499</v>
      </c>
      <c r="R4516">
        <v>8.6659758084773504</v>
      </c>
      <c r="S4516">
        <v>50</v>
      </c>
      <c r="T4516">
        <v>60</v>
      </c>
      <c r="U4516">
        <v>839.04429342905405</v>
      </c>
      <c r="V4516">
        <v>8.1585081585081494E-3</v>
      </c>
      <c r="W4516">
        <v>1674447.4632307</v>
      </c>
      <c r="X4516" t="s">
        <v>36</v>
      </c>
      <c r="Y4516">
        <f>1-828-429-3210</f>
        <v>-4466</v>
      </c>
    </row>
    <row r="4517" spans="1:25" x14ac:dyDescent="0.35">
      <c r="A4517">
        <v>41.6099676155916</v>
      </c>
      <c r="B4517">
        <v>-122.186956830165</v>
      </c>
      <c r="C4517" t="s">
        <v>34</v>
      </c>
      <c r="D4517">
        <v>10.7618345930963</v>
      </c>
      <c r="E4517">
        <v>4</v>
      </c>
      <c r="F4517">
        <v>4282</v>
      </c>
      <c r="G4517">
        <v>1</v>
      </c>
      <c r="H4517">
        <v>3</v>
      </c>
      <c r="I4517">
        <v>2021</v>
      </c>
      <c r="J4517">
        <v>1</v>
      </c>
      <c r="K4517">
        <v>1</v>
      </c>
      <c r="L4517">
        <v>0</v>
      </c>
      <c r="M4517">
        <v>4</v>
      </c>
      <c r="N4517" t="s">
        <v>35</v>
      </c>
      <c r="O4517" t="s">
        <v>32</v>
      </c>
      <c r="P4517">
        <v>2.4529899028583202</v>
      </c>
      <c r="Q4517">
        <v>2.46424003104342</v>
      </c>
      <c r="R4517">
        <v>3.7584003191764501</v>
      </c>
      <c r="S4517">
        <v>121</v>
      </c>
      <c r="T4517">
        <v>27</v>
      </c>
      <c r="U4517">
        <v>724.27169940593399</v>
      </c>
      <c r="V4517">
        <v>9.34142923867351E-4</v>
      </c>
      <c r="W4517">
        <v>3305795.50959444</v>
      </c>
      <c r="X4517" t="s">
        <v>39</v>
      </c>
      <c r="Y4517">
        <f>1-579-600-9543</f>
        <v>-10721</v>
      </c>
    </row>
    <row r="4518" spans="1:25" x14ac:dyDescent="0.35">
      <c r="A4518">
        <v>33.227580444589002</v>
      </c>
      <c r="B4518">
        <v>-123.021114510305</v>
      </c>
      <c r="C4518" t="s">
        <v>29</v>
      </c>
      <c r="D4518">
        <v>13.2571368149249</v>
      </c>
      <c r="E4518">
        <v>0</v>
      </c>
      <c r="F4518">
        <v>2031</v>
      </c>
      <c r="G4518">
        <v>4</v>
      </c>
      <c r="H4518">
        <v>3</v>
      </c>
      <c r="I4518">
        <v>1976</v>
      </c>
      <c r="J4518">
        <v>1</v>
      </c>
      <c r="K4518">
        <v>1</v>
      </c>
      <c r="L4518">
        <v>1</v>
      </c>
      <c r="M4518">
        <v>6</v>
      </c>
      <c r="N4518" t="s">
        <v>41</v>
      </c>
      <c r="O4518" t="s">
        <v>30</v>
      </c>
      <c r="P4518">
        <v>13.7415524304221</v>
      </c>
      <c r="Q4518">
        <v>1.12832201268699</v>
      </c>
      <c r="R4518">
        <v>7.3279145887801098</v>
      </c>
      <c r="S4518">
        <v>92</v>
      </c>
      <c r="T4518">
        <v>41</v>
      </c>
      <c r="U4518">
        <v>244.735683654556</v>
      </c>
      <c r="V4518">
        <v>2.9542097488921698E-3</v>
      </c>
      <c r="W4518">
        <v>960670.96993970801</v>
      </c>
      <c r="X4518" t="s">
        <v>43</v>
      </c>
      <c r="Y4518">
        <f>1-558-684-5359</f>
        <v>-6600</v>
      </c>
    </row>
    <row r="4519" spans="1:25" x14ac:dyDescent="0.35">
      <c r="A4519">
        <v>39.649912724146198</v>
      </c>
      <c r="B4519">
        <v>-122.059855621323</v>
      </c>
      <c r="C4519" t="s">
        <v>34</v>
      </c>
      <c r="D4519">
        <v>44.677546230809398</v>
      </c>
      <c r="E4519">
        <v>5</v>
      </c>
      <c r="F4519">
        <v>2659</v>
      </c>
      <c r="G4519">
        <v>1</v>
      </c>
      <c r="H4519">
        <v>2</v>
      </c>
      <c r="I4519">
        <v>1968</v>
      </c>
      <c r="J4519">
        <v>1</v>
      </c>
      <c r="K4519">
        <v>1</v>
      </c>
      <c r="L4519">
        <v>0</v>
      </c>
      <c r="M4519">
        <v>8</v>
      </c>
      <c r="N4519" t="s">
        <v>35</v>
      </c>
      <c r="O4519" t="s">
        <v>30</v>
      </c>
      <c r="P4519">
        <v>5.3951913885638403</v>
      </c>
      <c r="Q4519">
        <v>2.3722383669123501</v>
      </c>
      <c r="R4519">
        <v>5.8055359360053096</v>
      </c>
      <c r="S4519">
        <v>6</v>
      </c>
      <c r="T4519">
        <v>78</v>
      </c>
      <c r="U4519">
        <v>333.49451903414598</v>
      </c>
      <c r="V4519">
        <v>3.0086498683715599E-3</v>
      </c>
      <c r="W4519">
        <v>1129017.65869897</v>
      </c>
      <c r="X4519" t="s">
        <v>36</v>
      </c>
      <c r="Y4519">
        <f>1-556-750-1933</f>
        <v>-3238</v>
      </c>
    </row>
    <row r="4520" spans="1:25" x14ac:dyDescent="0.35">
      <c r="A4520">
        <v>36.478703116257797</v>
      </c>
      <c r="B4520">
        <v>-118.06111826709601</v>
      </c>
      <c r="C4520" t="s">
        <v>25</v>
      </c>
      <c r="D4520">
        <v>21.6400328009647</v>
      </c>
      <c r="E4520">
        <v>9</v>
      </c>
      <c r="F4520">
        <v>4706</v>
      </c>
      <c r="G4520">
        <v>3</v>
      </c>
      <c r="H4520">
        <v>3</v>
      </c>
      <c r="I4520">
        <v>1981</v>
      </c>
      <c r="J4520">
        <v>1</v>
      </c>
      <c r="K4520">
        <v>0</v>
      </c>
      <c r="L4520">
        <v>0</v>
      </c>
      <c r="M4520">
        <v>10</v>
      </c>
      <c r="N4520" t="s">
        <v>35</v>
      </c>
      <c r="O4520" t="s">
        <v>30</v>
      </c>
      <c r="P4520">
        <v>9.7922059593656705</v>
      </c>
      <c r="Q4520">
        <v>0.61299678028243698</v>
      </c>
      <c r="R4520">
        <v>6.7321773722693203</v>
      </c>
      <c r="S4520">
        <v>23</v>
      </c>
      <c r="T4520">
        <v>75</v>
      </c>
      <c r="U4520">
        <v>871.99183305202803</v>
      </c>
      <c r="V4520">
        <v>2.1249468763280899E-3</v>
      </c>
      <c r="W4520">
        <v>4311740.1307582399</v>
      </c>
      <c r="X4520" t="s">
        <v>44</v>
      </c>
      <c r="Y4520">
        <f>1-546-508-5334</f>
        <v>-6387</v>
      </c>
    </row>
    <row r="4521" spans="1:25" x14ac:dyDescent="0.35">
      <c r="A4521">
        <v>33.669341403747303</v>
      </c>
      <c r="B4521">
        <v>-117.965476284887</v>
      </c>
      <c r="C4521" t="s">
        <v>29</v>
      </c>
      <c r="D4521">
        <v>48.479639616939103</v>
      </c>
      <c r="E4521">
        <v>3</v>
      </c>
      <c r="F4521">
        <v>1009</v>
      </c>
      <c r="G4521">
        <v>2</v>
      </c>
      <c r="H4521">
        <v>1</v>
      </c>
      <c r="I4521">
        <v>1981</v>
      </c>
      <c r="J4521">
        <v>0</v>
      </c>
      <c r="K4521">
        <v>1</v>
      </c>
      <c r="L4521">
        <v>1</v>
      </c>
      <c r="M4521">
        <v>3</v>
      </c>
      <c r="N4521" t="s">
        <v>26</v>
      </c>
      <c r="O4521" t="s">
        <v>32</v>
      </c>
      <c r="P4521">
        <v>3.9128362534580701</v>
      </c>
      <c r="Q4521">
        <v>1.3050434855090001</v>
      </c>
      <c r="R4521">
        <v>4.2474551851006899</v>
      </c>
      <c r="S4521">
        <v>188</v>
      </c>
      <c r="T4521">
        <v>71</v>
      </c>
      <c r="U4521">
        <v>320.32300986460098</v>
      </c>
      <c r="V4521">
        <v>2.97324083250743E-3</v>
      </c>
      <c r="W4521">
        <v>427140.01138005598</v>
      </c>
      <c r="X4521" t="s">
        <v>36</v>
      </c>
      <c r="Y4521">
        <f>1-262-337-3529</f>
        <v>-4127</v>
      </c>
    </row>
    <row r="4522" spans="1:25" x14ac:dyDescent="0.35">
      <c r="A4522">
        <v>40.683228446338703</v>
      </c>
      <c r="B4522">
        <v>-119.67997053371199</v>
      </c>
      <c r="C4522" t="s">
        <v>25</v>
      </c>
      <c r="D4522">
        <v>2.7406242144072501</v>
      </c>
      <c r="E4522">
        <v>8</v>
      </c>
      <c r="F4522">
        <v>1718</v>
      </c>
      <c r="G4522">
        <v>2</v>
      </c>
      <c r="H4522">
        <v>3</v>
      </c>
      <c r="I4522">
        <v>2009</v>
      </c>
      <c r="J4522">
        <v>1</v>
      </c>
      <c r="K4522">
        <v>0</v>
      </c>
      <c r="L4522">
        <v>1</v>
      </c>
      <c r="M4522">
        <v>6</v>
      </c>
      <c r="N4522" t="s">
        <v>35</v>
      </c>
      <c r="O4522" t="s">
        <v>27</v>
      </c>
      <c r="P4522">
        <v>4.7458794562069802</v>
      </c>
      <c r="Q4522">
        <v>1.8560335362032201</v>
      </c>
      <c r="R4522">
        <v>9.1080582662762399</v>
      </c>
      <c r="S4522">
        <v>36</v>
      </c>
      <c r="T4522">
        <v>27</v>
      </c>
      <c r="U4522">
        <v>747.44424931668402</v>
      </c>
      <c r="V4522">
        <v>3.4924330616996498E-3</v>
      </c>
      <c r="W4522">
        <v>1563608.29072684</v>
      </c>
      <c r="X4522" t="s">
        <v>31</v>
      </c>
      <c r="Y4522">
        <f>1-776-195-8183</f>
        <v>-9153</v>
      </c>
    </row>
    <row r="4523" spans="1:25" x14ac:dyDescent="0.35">
      <c r="A4523">
        <v>39.877447345623402</v>
      </c>
      <c r="B4523">
        <v>-117.68088145565601</v>
      </c>
      <c r="C4523" t="s">
        <v>34</v>
      </c>
      <c r="D4523">
        <v>29.342655307724801</v>
      </c>
      <c r="E4523">
        <v>9</v>
      </c>
      <c r="F4523">
        <v>2990</v>
      </c>
      <c r="G4523">
        <v>1</v>
      </c>
      <c r="H4523">
        <v>1</v>
      </c>
      <c r="I4523">
        <v>1959</v>
      </c>
      <c r="J4523">
        <v>0</v>
      </c>
      <c r="K4523">
        <v>0</v>
      </c>
      <c r="L4523">
        <v>0</v>
      </c>
      <c r="M4523">
        <v>12</v>
      </c>
      <c r="N4523" t="s">
        <v>37</v>
      </c>
      <c r="O4523" t="s">
        <v>32</v>
      </c>
      <c r="P4523">
        <v>13.068082969558001</v>
      </c>
      <c r="Q4523">
        <v>0.63773703265841197</v>
      </c>
      <c r="R4523">
        <v>2.10550259179595</v>
      </c>
      <c r="S4523">
        <v>60</v>
      </c>
      <c r="T4523">
        <v>38</v>
      </c>
      <c r="U4523">
        <v>266.13456228555998</v>
      </c>
      <c r="V4523">
        <v>4.0133779264213999E-3</v>
      </c>
      <c r="W4523">
        <v>921309.76767676102</v>
      </c>
      <c r="X4523" t="s">
        <v>33</v>
      </c>
      <c r="Y4523">
        <f>1-859-153-6495</f>
        <v>-7506</v>
      </c>
    </row>
    <row r="4524" spans="1:25" x14ac:dyDescent="0.35">
      <c r="A4524">
        <v>37.8337503484208</v>
      </c>
      <c r="B4524">
        <v>-121.11039324122601</v>
      </c>
      <c r="C4524" t="s">
        <v>29</v>
      </c>
      <c r="D4524">
        <v>23.0797478424569</v>
      </c>
      <c r="E4524">
        <v>7</v>
      </c>
      <c r="F4524">
        <v>3911</v>
      </c>
      <c r="G4524">
        <v>2</v>
      </c>
      <c r="H4524">
        <v>1</v>
      </c>
      <c r="I4524">
        <v>1989</v>
      </c>
      <c r="J4524">
        <v>0</v>
      </c>
      <c r="K4524">
        <v>1</v>
      </c>
      <c r="L4524">
        <v>1</v>
      </c>
      <c r="M4524">
        <v>13</v>
      </c>
      <c r="N4524" t="s">
        <v>41</v>
      </c>
      <c r="O4524" t="s">
        <v>32</v>
      </c>
      <c r="P4524">
        <v>8.2874124284379995</v>
      </c>
      <c r="Q4524">
        <v>1.5950808999595401</v>
      </c>
      <c r="R4524">
        <v>5.4028737681912498</v>
      </c>
      <c r="S4524">
        <v>61</v>
      </c>
      <c r="T4524">
        <v>50</v>
      </c>
      <c r="U4524">
        <v>566.68728117424303</v>
      </c>
      <c r="V4524">
        <v>3.32395806699053E-3</v>
      </c>
      <c r="W4524">
        <v>2421656.4480720698</v>
      </c>
      <c r="X4524" t="s">
        <v>42</v>
      </c>
      <c r="Y4524">
        <f>1-733-973-5299</f>
        <v>-7004</v>
      </c>
    </row>
    <row r="4525" spans="1:25" x14ac:dyDescent="0.35">
      <c r="A4525">
        <v>33.404077771514402</v>
      </c>
      <c r="B4525">
        <v>-123.09465128178999</v>
      </c>
      <c r="C4525" t="s">
        <v>25</v>
      </c>
      <c r="D4525">
        <v>19.485540124948301</v>
      </c>
      <c r="E4525">
        <v>1</v>
      </c>
      <c r="F4525">
        <v>4692</v>
      </c>
      <c r="G4525">
        <v>3</v>
      </c>
      <c r="H4525">
        <v>3</v>
      </c>
      <c r="I4525">
        <v>1973</v>
      </c>
      <c r="J4525">
        <v>0</v>
      </c>
      <c r="K4525">
        <v>1</v>
      </c>
      <c r="L4525">
        <v>1</v>
      </c>
      <c r="M4525">
        <v>3</v>
      </c>
      <c r="N4525" t="s">
        <v>26</v>
      </c>
      <c r="O4525" t="s">
        <v>27</v>
      </c>
      <c r="P4525">
        <v>6.8667355204071399</v>
      </c>
      <c r="Q4525">
        <v>1.93132809128691</v>
      </c>
      <c r="R4525">
        <v>8.1464027794744407</v>
      </c>
      <c r="S4525">
        <v>101</v>
      </c>
      <c r="T4525">
        <v>25</v>
      </c>
      <c r="U4525">
        <v>290.97623096338901</v>
      </c>
      <c r="V4525">
        <v>6.3938618925831196E-4</v>
      </c>
      <c r="W4525">
        <v>1708414.1879165601</v>
      </c>
      <c r="X4525" t="s">
        <v>38</v>
      </c>
      <c r="Y4525">
        <f>1-837-832-8460</f>
        <v>-10128</v>
      </c>
    </row>
    <row r="4526" spans="1:25" x14ac:dyDescent="0.35">
      <c r="A4526">
        <v>37.936208858226998</v>
      </c>
      <c r="B4526">
        <v>-119.20736441443201</v>
      </c>
      <c r="C4526" t="s">
        <v>34</v>
      </c>
      <c r="D4526">
        <v>14.528766858852601</v>
      </c>
      <c r="E4526">
        <v>1</v>
      </c>
      <c r="F4526">
        <v>2902</v>
      </c>
      <c r="G4526">
        <v>5</v>
      </c>
      <c r="H4526">
        <v>3</v>
      </c>
      <c r="I4526">
        <v>1977</v>
      </c>
      <c r="J4526">
        <v>0</v>
      </c>
      <c r="K4526">
        <v>1</v>
      </c>
      <c r="L4526">
        <v>0</v>
      </c>
      <c r="M4526">
        <v>6</v>
      </c>
      <c r="N4526" t="s">
        <v>35</v>
      </c>
      <c r="O4526" t="s">
        <v>27</v>
      </c>
      <c r="P4526">
        <v>4.6839787710403904</v>
      </c>
      <c r="Q4526">
        <v>2.1828553208594701</v>
      </c>
      <c r="R4526">
        <v>8.3780974634333791</v>
      </c>
      <c r="S4526">
        <v>70</v>
      </c>
      <c r="T4526">
        <v>73</v>
      </c>
      <c r="U4526">
        <v>713.14790090682197</v>
      </c>
      <c r="V4526">
        <v>2.0675396278428599E-3</v>
      </c>
      <c r="W4526">
        <v>2404437.9819949502</v>
      </c>
      <c r="X4526" t="s">
        <v>28</v>
      </c>
      <c r="Y4526">
        <f>1-579-829-9659</f>
        <v>-11066</v>
      </c>
    </row>
    <row r="4527" spans="1:25" x14ac:dyDescent="0.35">
      <c r="A4527">
        <v>35.973765653172798</v>
      </c>
      <c r="B4527">
        <v>-116.62100331152401</v>
      </c>
      <c r="C4527" t="s">
        <v>34</v>
      </c>
      <c r="D4527">
        <v>8.1359464933990093</v>
      </c>
      <c r="E4527">
        <v>1</v>
      </c>
      <c r="F4527">
        <v>2855</v>
      </c>
      <c r="G4527">
        <v>4</v>
      </c>
      <c r="H4527">
        <v>1</v>
      </c>
      <c r="I4527">
        <v>1969</v>
      </c>
      <c r="J4527">
        <v>1</v>
      </c>
      <c r="K4527">
        <v>0</v>
      </c>
      <c r="L4527">
        <v>0</v>
      </c>
      <c r="M4527">
        <v>3</v>
      </c>
      <c r="N4527" t="s">
        <v>35</v>
      </c>
      <c r="O4527" t="s">
        <v>32</v>
      </c>
      <c r="P4527">
        <v>6.3502607746524502</v>
      </c>
      <c r="Q4527">
        <v>0.77625103894220804</v>
      </c>
      <c r="R4527">
        <v>9.7437592750287294</v>
      </c>
      <c r="S4527">
        <v>194</v>
      </c>
      <c r="T4527">
        <v>71</v>
      </c>
      <c r="U4527">
        <v>660.98811691861397</v>
      </c>
      <c r="V4527">
        <v>1.0507880910683E-3</v>
      </c>
      <c r="W4527">
        <v>2129045.3957623099</v>
      </c>
      <c r="X4527" t="s">
        <v>31</v>
      </c>
      <c r="Y4527">
        <f>1-271-851-6595</f>
        <v>-7716</v>
      </c>
    </row>
    <row r="4528" spans="1:25" x14ac:dyDescent="0.35">
      <c r="A4528">
        <v>34.585492115362797</v>
      </c>
      <c r="B4528">
        <v>-116.672090011425</v>
      </c>
      <c r="C4528" t="s">
        <v>29</v>
      </c>
      <c r="D4528">
        <v>14.064045414945101</v>
      </c>
      <c r="E4528">
        <v>6</v>
      </c>
      <c r="F4528">
        <v>4983</v>
      </c>
      <c r="G4528">
        <v>2</v>
      </c>
      <c r="H4528">
        <v>2</v>
      </c>
      <c r="I4528">
        <v>2009</v>
      </c>
      <c r="J4528">
        <v>1</v>
      </c>
      <c r="K4528">
        <v>0</v>
      </c>
      <c r="L4528">
        <v>1</v>
      </c>
      <c r="M4528">
        <v>10</v>
      </c>
      <c r="N4528" t="s">
        <v>41</v>
      </c>
      <c r="O4528" t="s">
        <v>32</v>
      </c>
      <c r="P4528">
        <v>13.5710812150369</v>
      </c>
      <c r="Q4528">
        <v>1.5351841758823299</v>
      </c>
      <c r="R4528">
        <v>0.131557183919424</v>
      </c>
      <c r="S4528">
        <v>97</v>
      </c>
      <c r="T4528">
        <v>66</v>
      </c>
      <c r="U4528">
        <v>325.450580022559</v>
      </c>
      <c r="V4528">
        <v>2.0068231988761699E-3</v>
      </c>
      <c r="W4528">
        <v>1942929.35246223</v>
      </c>
      <c r="X4528" t="s">
        <v>39</v>
      </c>
      <c r="Y4528">
        <f>1-396-850-3707</f>
        <v>-4952</v>
      </c>
    </row>
    <row r="4529" spans="1:25" x14ac:dyDescent="0.35">
      <c r="A4529">
        <v>32.826302467575701</v>
      </c>
      <c r="B4529">
        <v>-115.33548417273499</v>
      </c>
      <c r="C4529" t="s">
        <v>25</v>
      </c>
      <c r="D4529">
        <v>17.270630449151501</v>
      </c>
      <c r="E4529">
        <v>5</v>
      </c>
      <c r="F4529">
        <v>1599</v>
      </c>
      <c r="G4529">
        <v>1</v>
      </c>
      <c r="H4529">
        <v>2</v>
      </c>
      <c r="I4529">
        <v>2017</v>
      </c>
      <c r="J4529">
        <v>0</v>
      </c>
      <c r="K4529">
        <v>0</v>
      </c>
      <c r="L4529">
        <v>1</v>
      </c>
      <c r="M4529">
        <v>2</v>
      </c>
      <c r="N4529" t="s">
        <v>41</v>
      </c>
      <c r="O4529" t="s">
        <v>30</v>
      </c>
      <c r="P4529">
        <v>3.0414060654572501</v>
      </c>
      <c r="Q4529">
        <v>1.2234415064836199</v>
      </c>
      <c r="R4529">
        <v>8.7552683044854902</v>
      </c>
      <c r="S4529">
        <v>141</v>
      </c>
      <c r="T4529">
        <v>74</v>
      </c>
      <c r="U4529">
        <v>458.533415638892</v>
      </c>
      <c r="V4529">
        <v>1.2507817385866099E-3</v>
      </c>
      <c r="W4529">
        <v>802384.558256572</v>
      </c>
      <c r="X4529" t="s">
        <v>44</v>
      </c>
      <c r="Y4529">
        <f>1-716-650-8743</f>
        <v>-10108</v>
      </c>
    </row>
    <row r="4530" spans="1:25" x14ac:dyDescent="0.35">
      <c r="A4530">
        <v>41.795566321644799</v>
      </c>
      <c r="B4530">
        <v>-116.154525370333</v>
      </c>
      <c r="C4530" t="s">
        <v>34</v>
      </c>
      <c r="D4530">
        <v>47.067646631324699</v>
      </c>
      <c r="E4530">
        <v>5</v>
      </c>
      <c r="F4530">
        <v>3779</v>
      </c>
      <c r="G4530">
        <v>4</v>
      </c>
      <c r="H4530">
        <v>3</v>
      </c>
      <c r="I4530">
        <v>2018</v>
      </c>
      <c r="J4530">
        <v>1</v>
      </c>
      <c r="K4530">
        <v>1</v>
      </c>
      <c r="L4530">
        <v>0</v>
      </c>
      <c r="M4530">
        <v>2</v>
      </c>
      <c r="N4530" t="s">
        <v>35</v>
      </c>
      <c r="O4530" t="s">
        <v>30</v>
      </c>
      <c r="P4530">
        <v>12.112223182108</v>
      </c>
      <c r="Q4530">
        <v>0.651971870846489</v>
      </c>
      <c r="R4530">
        <v>8.1356010919230108</v>
      </c>
      <c r="S4530">
        <v>39</v>
      </c>
      <c r="T4530">
        <v>77</v>
      </c>
      <c r="U4530">
        <v>398.73189536002297</v>
      </c>
      <c r="V4530">
        <v>5.2924053982535005E-4</v>
      </c>
      <c r="W4530">
        <v>1952985.99524454</v>
      </c>
      <c r="X4530" t="s">
        <v>40</v>
      </c>
      <c r="Y4530">
        <f>1-341-434-5098</f>
        <v>-5872</v>
      </c>
    </row>
    <row r="4531" spans="1:25" x14ac:dyDescent="0.35">
      <c r="A4531">
        <v>38.603202922542202</v>
      </c>
      <c r="B4531">
        <v>-121.923285586392</v>
      </c>
      <c r="C4531" t="s">
        <v>34</v>
      </c>
      <c r="D4531">
        <v>45.162240307658102</v>
      </c>
      <c r="E4531">
        <v>4</v>
      </c>
      <c r="F4531">
        <v>4149</v>
      </c>
      <c r="G4531">
        <v>5</v>
      </c>
      <c r="H4531">
        <v>3</v>
      </c>
      <c r="I4531">
        <v>2017</v>
      </c>
      <c r="J4531">
        <v>0</v>
      </c>
      <c r="K4531">
        <v>1</v>
      </c>
      <c r="L4531">
        <v>1</v>
      </c>
      <c r="M4531">
        <v>6</v>
      </c>
      <c r="N4531" t="s">
        <v>37</v>
      </c>
      <c r="O4531" t="s">
        <v>27</v>
      </c>
      <c r="P4531">
        <v>13.230322286743601</v>
      </c>
      <c r="Q4531">
        <v>1.0982756081767799</v>
      </c>
      <c r="R4531">
        <v>2.0754998914876599</v>
      </c>
      <c r="S4531">
        <v>195</v>
      </c>
      <c r="T4531">
        <v>65</v>
      </c>
      <c r="U4531">
        <v>537.580914901754</v>
      </c>
      <c r="V4531">
        <v>1.4461315979754101E-3</v>
      </c>
      <c r="W4531">
        <v>2773066.0512213502</v>
      </c>
      <c r="X4531" t="s">
        <v>43</v>
      </c>
      <c r="Y4531">
        <f>1-509-460-4059</f>
        <v>-5027</v>
      </c>
    </row>
    <row r="4532" spans="1:25" x14ac:dyDescent="0.35">
      <c r="A4532">
        <v>41.518356698462298</v>
      </c>
      <c r="B4532">
        <v>-123.90723952486201</v>
      </c>
      <c r="C4532" t="s">
        <v>25</v>
      </c>
      <c r="D4532">
        <v>40.100038219386803</v>
      </c>
      <c r="E4532">
        <v>6</v>
      </c>
      <c r="F4532">
        <v>2854</v>
      </c>
      <c r="G4532">
        <v>5</v>
      </c>
      <c r="H4532">
        <v>1</v>
      </c>
      <c r="I4532">
        <v>1973</v>
      </c>
      <c r="J4532">
        <v>0</v>
      </c>
      <c r="K4532">
        <v>1</v>
      </c>
      <c r="L4532">
        <v>0</v>
      </c>
      <c r="M4532">
        <v>4</v>
      </c>
      <c r="N4532" t="s">
        <v>37</v>
      </c>
      <c r="O4532" t="s">
        <v>30</v>
      </c>
      <c r="P4532">
        <v>4.3115267863201403</v>
      </c>
      <c r="Q4532">
        <v>1.72662201910622</v>
      </c>
      <c r="R4532">
        <v>2.4270370402802</v>
      </c>
      <c r="S4532">
        <v>19</v>
      </c>
      <c r="T4532">
        <v>40</v>
      </c>
      <c r="U4532">
        <v>744.348841912632</v>
      </c>
      <c r="V4532">
        <v>1.40154169586545E-3</v>
      </c>
      <c r="W4532">
        <v>2458736.2266857601</v>
      </c>
      <c r="X4532" t="s">
        <v>28</v>
      </c>
      <c r="Y4532">
        <f>1-723-819-3868</f>
        <v>-5409</v>
      </c>
    </row>
    <row r="4533" spans="1:25" x14ac:dyDescent="0.35">
      <c r="A4533">
        <v>36.255430370036699</v>
      </c>
      <c r="B4533">
        <v>-116.166190553926</v>
      </c>
      <c r="C4533" t="s">
        <v>34</v>
      </c>
      <c r="D4533">
        <v>25.652471879385502</v>
      </c>
      <c r="E4533">
        <v>9</v>
      </c>
      <c r="F4533">
        <v>843</v>
      </c>
      <c r="G4533">
        <v>4</v>
      </c>
      <c r="H4533">
        <v>3</v>
      </c>
      <c r="I4533">
        <v>2001</v>
      </c>
      <c r="J4533">
        <v>0</v>
      </c>
      <c r="K4533">
        <v>1</v>
      </c>
      <c r="L4533">
        <v>1</v>
      </c>
      <c r="M4533">
        <v>3</v>
      </c>
      <c r="N4533" t="s">
        <v>35</v>
      </c>
      <c r="O4533" t="s">
        <v>32</v>
      </c>
      <c r="P4533">
        <v>2.3889982321990502</v>
      </c>
      <c r="Q4533">
        <v>0.57887677122036496</v>
      </c>
      <c r="R4533">
        <v>8.1639707211297203</v>
      </c>
      <c r="S4533">
        <v>41</v>
      </c>
      <c r="T4533">
        <v>61</v>
      </c>
      <c r="U4533">
        <v>483.657094557768</v>
      </c>
      <c r="V4533">
        <v>3.5587188612099599E-3</v>
      </c>
      <c r="W4533">
        <v>816489.97211247496</v>
      </c>
      <c r="X4533" t="s">
        <v>31</v>
      </c>
      <c r="Y4533">
        <f>1-506-332-3781</f>
        <v>-4618</v>
      </c>
    </row>
    <row r="4534" spans="1:25" x14ac:dyDescent="0.35">
      <c r="A4534">
        <v>40.426782117493701</v>
      </c>
      <c r="B4534">
        <v>-121.99465685621399</v>
      </c>
      <c r="C4534" t="s">
        <v>25</v>
      </c>
      <c r="D4534">
        <v>41.6404766828744</v>
      </c>
      <c r="E4534">
        <v>4</v>
      </c>
      <c r="F4534">
        <v>582</v>
      </c>
      <c r="G4534">
        <v>3</v>
      </c>
      <c r="H4534">
        <v>1</v>
      </c>
      <c r="I4534">
        <v>1996</v>
      </c>
      <c r="J4534">
        <v>0</v>
      </c>
      <c r="K4534">
        <v>0</v>
      </c>
      <c r="L4534">
        <v>0</v>
      </c>
      <c r="M4534">
        <v>4</v>
      </c>
      <c r="N4534" t="s">
        <v>37</v>
      </c>
      <c r="O4534" t="s">
        <v>30</v>
      </c>
      <c r="P4534">
        <v>10.4311645225873</v>
      </c>
      <c r="Q4534">
        <v>1.01401737266792</v>
      </c>
      <c r="R4534">
        <v>9.1058735832756703</v>
      </c>
      <c r="S4534">
        <v>66</v>
      </c>
      <c r="T4534">
        <v>38</v>
      </c>
      <c r="U4534">
        <v>896.44389261281503</v>
      </c>
      <c r="V4534">
        <v>6.8728522336769697E-3</v>
      </c>
      <c r="W4534">
        <v>639676.13675198797</v>
      </c>
      <c r="X4534" t="s">
        <v>33</v>
      </c>
      <c r="Y4534">
        <f>1-392-415-4504</f>
        <v>-5310</v>
      </c>
    </row>
    <row r="4535" spans="1:25" x14ac:dyDescent="0.35">
      <c r="A4535">
        <v>33.494076880171399</v>
      </c>
      <c r="B4535">
        <v>-114.071030184533</v>
      </c>
      <c r="C4535" t="s">
        <v>25</v>
      </c>
      <c r="D4535">
        <v>11.9491262672292</v>
      </c>
      <c r="E4535">
        <v>8</v>
      </c>
      <c r="F4535">
        <v>4749</v>
      </c>
      <c r="G4535">
        <v>1</v>
      </c>
      <c r="H4535">
        <v>2</v>
      </c>
      <c r="I4535">
        <v>2020</v>
      </c>
      <c r="J4535">
        <v>1</v>
      </c>
      <c r="K4535">
        <v>1</v>
      </c>
      <c r="L4535">
        <v>1</v>
      </c>
      <c r="M4535">
        <v>9</v>
      </c>
      <c r="N4535" t="s">
        <v>37</v>
      </c>
      <c r="O4535" t="s">
        <v>30</v>
      </c>
      <c r="P4535">
        <v>9.5915637649661196</v>
      </c>
      <c r="Q4535">
        <v>1.80974068225222</v>
      </c>
      <c r="R4535">
        <v>4.8741086386884902</v>
      </c>
      <c r="S4535">
        <v>157</v>
      </c>
      <c r="T4535">
        <v>21</v>
      </c>
      <c r="U4535">
        <v>652.50162091386301</v>
      </c>
      <c r="V4535">
        <v>1.8951358180669599E-3</v>
      </c>
      <c r="W4535">
        <v>3442830.9179978902</v>
      </c>
      <c r="X4535" t="s">
        <v>42</v>
      </c>
      <c r="Y4535">
        <f>1-708-610-3412</f>
        <v>-4729</v>
      </c>
    </row>
    <row r="4536" spans="1:25" x14ac:dyDescent="0.35">
      <c r="A4536">
        <v>37.181139096588097</v>
      </c>
      <c r="B4536">
        <v>-117.125147713855</v>
      </c>
      <c r="C4536" t="s">
        <v>34</v>
      </c>
      <c r="D4536">
        <v>37.1227449273335</v>
      </c>
      <c r="E4536">
        <v>9</v>
      </c>
      <c r="F4536">
        <v>2173</v>
      </c>
      <c r="G4536">
        <v>2</v>
      </c>
      <c r="H4536">
        <v>3</v>
      </c>
      <c r="I4536">
        <v>2014</v>
      </c>
      <c r="J4536">
        <v>0</v>
      </c>
      <c r="K4536">
        <v>1</v>
      </c>
      <c r="L4536">
        <v>0</v>
      </c>
      <c r="M4536">
        <v>14</v>
      </c>
      <c r="N4536" t="s">
        <v>37</v>
      </c>
      <c r="O4536" t="s">
        <v>32</v>
      </c>
      <c r="P4536">
        <v>4.3405507701879298</v>
      </c>
      <c r="Q4536">
        <v>1.46685120217359</v>
      </c>
      <c r="R4536">
        <v>2.2631778533458999</v>
      </c>
      <c r="S4536">
        <v>157</v>
      </c>
      <c r="T4536">
        <v>68</v>
      </c>
      <c r="U4536">
        <v>594.88986328081501</v>
      </c>
      <c r="V4536">
        <v>6.4427059364933204E-3</v>
      </c>
      <c r="W4536">
        <v>1552352.0105391301</v>
      </c>
      <c r="X4536" t="s">
        <v>39</v>
      </c>
      <c r="Y4536">
        <f>1-864-712-3815</f>
        <v>-5390</v>
      </c>
    </row>
    <row r="4537" spans="1:25" x14ac:dyDescent="0.35">
      <c r="A4537">
        <v>37.987463675012897</v>
      </c>
      <c r="B4537">
        <v>-118.770643171853</v>
      </c>
      <c r="C4537" t="s">
        <v>34</v>
      </c>
      <c r="D4537">
        <v>20.934150188673399</v>
      </c>
      <c r="E4537">
        <v>4</v>
      </c>
      <c r="F4537">
        <v>874</v>
      </c>
      <c r="G4537">
        <v>3</v>
      </c>
      <c r="H4537">
        <v>1</v>
      </c>
      <c r="I4537">
        <v>1983</v>
      </c>
      <c r="J4537">
        <v>1</v>
      </c>
      <c r="K4537">
        <v>0</v>
      </c>
      <c r="L4537">
        <v>1</v>
      </c>
      <c r="M4537">
        <v>8</v>
      </c>
      <c r="N4537" t="s">
        <v>26</v>
      </c>
      <c r="O4537" t="s">
        <v>27</v>
      </c>
      <c r="P4537">
        <v>9.9273692567111098</v>
      </c>
      <c r="Q4537">
        <v>1.7429028491529499</v>
      </c>
      <c r="R4537">
        <v>1.6762390123858399</v>
      </c>
      <c r="S4537">
        <v>58</v>
      </c>
      <c r="T4537">
        <v>49</v>
      </c>
      <c r="U4537">
        <v>679.605742568511</v>
      </c>
      <c r="V4537">
        <v>9.1533180778032002E-3</v>
      </c>
      <c r="W4537">
        <v>905107.560289999</v>
      </c>
      <c r="X4537" t="s">
        <v>28</v>
      </c>
      <c r="Y4537">
        <f>1-232-576-8335</f>
        <v>-9142</v>
      </c>
    </row>
    <row r="4538" spans="1:25" x14ac:dyDescent="0.35">
      <c r="A4538">
        <v>33.719128264284002</v>
      </c>
      <c r="B4538">
        <v>-118.11378306654601</v>
      </c>
      <c r="C4538" t="s">
        <v>34</v>
      </c>
      <c r="D4538">
        <v>49.040819189647301</v>
      </c>
      <c r="E4538">
        <v>0</v>
      </c>
      <c r="F4538">
        <v>2896</v>
      </c>
      <c r="G4538">
        <v>5</v>
      </c>
      <c r="H4538">
        <v>1</v>
      </c>
      <c r="I4538">
        <v>2019</v>
      </c>
      <c r="J4538">
        <v>1</v>
      </c>
      <c r="K4538">
        <v>0</v>
      </c>
      <c r="L4538">
        <v>1</v>
      </c>
      <c r="M4538">
        <v>2</v>
      </c>
      <c r="N4538" t="s">
        <v>26</v>
      </c>
      <c r="O4538" t="s">
        <v>27</v>
      </c>
      <c r="P4538">
        <v>8.9362405335788306</v>
      </c>
      <c r="Q4538">
        <v>1.71060084706334</v>
      </c>
      <c r="R4538">
        <v>9.0599248893572799</v>
      </c>
      <c r="S4538">
        <v>1</v>
      </c>
      <c r="T4538">
        <v>30</v>
      </c>
      <c r="U4538">
        <v>360.36133078263703</v>
      </c>
      <c r="V4538">
        <v>6.9060773480662905E-4</v>
      </c>
      <c r="W4538">
        <v>1417320.6558582301</v>
      </c>
      <c r="X4538" t="s">
        <v>43</v>
      </c>
      <c r="Y4538">
        <f>1-397-604-4355</f>
        <v>-5355</v>
      </c>
    </row>
    <row r="4539" spans="1:25" x14ac:dyDescent="0.35">
      <c r="A4539">
        <v>40.592141201633801</v>
      </c>
      <c r="B4539">
        <v>-122.637452479956</v>
      </c>
      <c r="C4539" t="s">
        <v>29</v>
      </c>
      <c r="D4539">
        <v>38.888617231498998</v>
      </c>
      <c r="E4539">
        <v>0</v>
      </c>
      <c r="F4539">
        <v>968</v>
      </c>
      <c r="G4539">
        <v>2</v>
      </c>
      <c r="H4539">
        <v>1</v>
      </c>
      <c r="I4539">
        <v>1971</v>
      </c>
      <c r="J4539">
        <v>1</v>
      </c>
      <c r="K4539">
        <v>0</v>
      </c>
      <c r="L4539">
        <v>0</v>
      </c>
      <c r="M4539">
        <v>9</v>
      </c>
      <c r="N4539" t="s">
        <v>41</v>
      </c>
      <c r="O4539" t="s">
        <v>27</v>
      </c>
      <c r="P4539">
        <v>12.8818327182648</v>
      </c>
      <c r="Q4539">
        <v>1.7192802468170101</v>
      </c>
      <c r="R4539">
        <v>6.1094812715876401</v>
      </c>
      <c r="S4539">
        <v>47</v>
      </c>
      <c r="T4539">
        <v>23</v>
      </c>
      <c r="U4539">
        <v>530.33771634102595</v>
      </c>
      <c r="V4539">
        <v>9.2975206611570198E-3</v>
      </c>
      <c r="W4539">
        <v>649863.15344065498</v>
      </c>
      <c r="X4539" t="s">
        <v>38</v>
      </c>
      <c r="Y4539">
        <f>1-319-140-9923</f>
        <v>-10381</v>
      </c>
    </row>
    <row r="4540" spans="1:25" x14ac:dyDescent="0.35">
      <c r="A4540">
        <v>40.298107323007002</v>
      </c>
      <c r="B4540">
        <v>-118.945401070437</v>
      </c>
      <c r="C4540" t="s">
        <v>34</v>
      </c>
      <c r="D4540">
        <v>47.800875240471399</v>
      </c>
      <c r="E4540">
        <v>2</v>
      </c>
      <c r="F4540">
        <v>4279</v>
      </c>
      <c r="G4540">
        <v>3</v>
      </c>
      <c r="H4540">
        <v>2</v>
      </c>
      <c r="I4540">
        <v>2010</v>
      </c>
      <c r="J4540">
        <v>1</v>
      </c>
      <c r="K4540">
        <v>1</v>
      </c>
      <c r="L4540">
        <v>0</v>
      </c>
      <c r="M4540">
        <v>4</v>
      </c>
      <c r="N4540" t="s">
        <v>41</v>
      </c>
      <c r="O4540" t="s">
        <v>30</v>
      </c>
      <c r="P4540">
        <v>8.1417368078569599</v>
      </c>
      <c r="Q4540">
        <v>2.3158068100626599</v>
      </c>
      <c r="R4540">
        <v>0.312778915683884</v>
      </c>
      <c r="S4540">
        <v>196</v>
      </c>
      <c r="T4540">
        <v>71</v>
      </c>
      <c r="U4540">
        <v>368.170058393369</v>
      </c>
      <c r="V4540">
        <v>9.3479784996494501E-4</v>
      </c>
      <c r="W4540">
        <v>1990456.97238344</v>
      </c>
      <c r="X4540" t="s">
        <v>38</v>
      </c>
      <c r="Y4540">
        <f>1-972-874-7313</f>
        <v>-9158</v>
      </c>
    </row>
    <row r="4541" spans="1:25" x14ac:dyDescent="0.35">
      <c r="A4541">
        <v>38.714142247400197</v>
      </c>
      <c r="B4541">
        <v>-117.18331800856301</v>
      </c>
      <c r="C4541" t="s">
        <v>29</v>
      </c>
      <c r="D4541">
        <v>3.1687391536557001</v>
      </c>
      <c r="E4541">
        <v>4</v>
      </c>
      <c r="F4541">
        <v>1336</v>
      </c>
      <c r="G4541">
        <v>5</v>
      </c>
      <c r="H4541">
        <v>3</v>
      </c>
      <c r="I4541">
        <v>1952</v>
      </c>
      <c r="J4541">
        <v>0</v>
      </c>
      <c r="K4541">
        <v>0</v>
      </c>
      <c r="L4541">
        <v>0</v>
      </c>
      <c r="M4541">
        <v>11</v>
      </c>
      <c r="N4541" t="s">
        <v>26</v>
      </c>
      <c r="O4541" t="s">
        <v>30</v>
      </c>
      <c r="P4541">
        <v>13.109902082589199</v>
      </c>
      <c r="Q4541">
        <v>1.9673874157656099</v>
      </c>
      <c r="R4541">
        <v>3.5886264563157</v>
      </c>
      <c r="S4541">
        <v>184</v>
      </c>
      <c r="T4541">
        <v>69</v>
      </c>
      <c r="U4541">
        <v>720.19806266171895</v>
      </c>
      <c r="V4541">
        <v>8.2335329341317303E-3</v>
      </c>
      <c r="W4541">
        <v>1290464.06429723</v>
      </c>
      <c r="X4541" t="s">
        <v>38</v>
      </c>
      <c r="Y4541">
        <f>1-321-339-3187</f>
        <v>-3846</v>
      </c>
    </row>
    <row r="4542" spans="1:25" x14ac:dyDescent="0.35">
      <c r="A4542">
        <v>35.554256893678001</v>
      </c>
      <c r="B4542">
        <v>-115.87263005026399</v>
      </c>
      <c r="C4542" t="s">
        <v>25</v>
      </c>
      <c r="D4542">
        <v>35.752540275172002</v>
      </c>
      <c r="E4542">
        <v>9</v>
      </c>
      <c r="F4542">
        <v>4268</v>
      </c>
      <c r="G4542">
        <v>3</v>
      </c>
      <c r="H4542">
        <v>2</v>
      </c>
      <c r="I4542">
        <v>1961</v>
      </c>
      <c r="J4542">
        <v>0</v>
      </c>
      <c r="K4542">
        <v>0</v>
      </c>
      <c r="L4542">
        <v>1</v>
      </c>
      <c r="M4542">
        <v>2</v>
      </c>
      <c r="N4542" t="s">
        <v>41</v>
      </c>
      <c r="O4542" t="s">
        <v>27</v>
      </c>
      <c r="P4542">
        <v>12.3375058269249</v>
      </c>
      <c r="Q4542">
        <v>0.72952988783606498</v>
      </c>
      <c r="R4542">
        <v>7.52315740765453</v>
      </c>
      <c r="S4542">
        <v>181</v>
      </c>
      <c r="T4542">
        <v>62</v>
      </c>
      <c r="U4542">
        <v>644.40856042902101</v>
      </c>
      <c r="V4542">
        <v>4.6860356138706601E-4</v>
      </c>
      <c r="W4542">
        <v>2915653.9818609599</v>
      </c>
      <c r="X4542" t="s">
        <v>42</v>
      </c>
      <c r="Y4542">
        <f>1-594-395-3327</f>
        <v>-4315</v>
      </c>
    </row>
    <row r="4543" spans="1:25" x14ac:dyDescent="0.35">
      <c r="A4543">
        <v>34.715536777493597</v>
      </c>
      <c r="B4543">
        <v>-115.811891803151</v>
      </c>
      <c r="C4543" t="s">
        <v>29</v>
      </c>
      <c r="D4543">
        <v>30.640279767968501</v>
      </c>
      <c r="E4543">
        <v>0</v>
      </c>
      <c r="F4543">
        <v>3304</v>
      </c>
      <c r="G4543">
        <v>4</v>
      </c>
      <c r="H4543">
        <v>3</v>
      </c>
      <c r="I4543">
        <v>1955</v>
      </c>
      <c r="J4543">
        <v>1</v>
      </c>
      <c r="K4543">
        <v>0</v>
      </c>
      <c r="L4543">
        <v>1</v>
      </c>
      <c r="M4543">
        <v>14</v>
      </c>
      <c r="N4543" t="s">
        <v>41</v>
      </c>
      <c r="O4543" t="s">
        <v>32</v>
      </c>
      <c r="P4543">
        <v>11.716253265138</v>
      </c>
      <c r="Q4543">
        <v>1.1389781767639799</v>
      </c>
      <c r="R4543">
        <v>9.9961220103693602</v>
      </c>
      <c r="S4543">
        <v>60</v>
      </c>
      <c r="T4543">
        <v>45</v>
      </c>
      <c r="U4543">
        <v>310.97265092502602</v>
      </c>
      <c r="V4543">
        <v>4.2372881355932203E-3</v>
      </c>
      <c r="W4543">
        <v>1311729.73157985</v>
      </c>
      <c r="X4543" t="s">
        <v>42</v>
      </c>
      <c r="Y4543">
        <f>1-791-651-7233</f>
        <v>-8674</v>
      </c>
    </row>
    <row r="4544" spans="1:25" x14ac:dyDescent="0.35">
      <c r="A4544">
        <v>36.398014492862799</v>
      </c>
      <c r="B4544">
        <v>-123.08432557325</v>
      </c>
      <c r="C4544" t="s">
        <v>29</v>
      </c>
      <c r="D4544">
        <v>2.1077760042576399</v>
      </c>
      <c r="E4544">
        <v>5</v>
      </c>
      <c r="F4544">
        <v>1914</v>
      </c>
      <c r="G4544">
        <v>4</v>
      </c>
      <c r="H4544">
        <v>1</v>
      </c>
      <c r="I4544">
        <v>1997</v>
      </c>
      <c r="J4544">
        <v>1</v>
      </c>
      <c r="K4544">
        <v>0</v>
      </c>
      <c r="L4544">
        <v>1</v>
      </c>
      <c r="M4544">
        <v>5</v>
      </c>
      <c r="N4544" t="s">
        <v>26</v>
      </c>
      <c r="O4544" t="s">
        <v>30</v>
      </c>
      <c r="P4544">
        <v>10.171632150965401</v>
      </c>
      <c r="Q4544">
        <v>1.8459306212413</v>
      </c>
      <c r="R4544">
        <v>7.3702756532600304</v>
      </c>
      <c r="S4544">
        <v>170</v>
      </c>
      <c r="T4544">
        <v>53</v>
      </c>
      <c r="U4544">
        <v>543.006628945275</v>
      </c>
      <c r="V4544">
        <v>2.6123301985370899E-3</v>
      </c>
      <c r="W4544">
        <v>1260665.21129101</v>
      </c>
      <c r="X4544" t="s">
        <v>38</v>
      </c>
      <c r="Y4544">
        <f>1-537-553-7907</f>
        <v>-8996</v>
      </c>
    </row>
    <row r="4545" spans="1:25" x14ac:dyDescent="0.35">
      <c r="A4545">
        <v>32.818695033841202</v>
      </c>
      <c r="B4545">
        <v>-119.43962430142901</v>
      </c>
      <c r="C4545" t="s">
        <v>29</v>
      </c>
      <c r="D4545">
        <v>13.035389775535</v>
      </c>
      <c r="E4545">
        <v>1</v>
      </c>
      <c r="F4545">
        <v>4980</v>
      </c>
      <c r="G4545">
        <v>2</v>
      </c>
      <c r="H4545">
        <v>3</v>
      </c>
      <c r="I4545">
        <v>1984</v>
      </c>
      <c r="J4545">
        <v>0</v>
      </c>
      <c r="K4545">
        <v>0</v>
      </c>
      <c r="L4545">
        <v>1</v>
      </c>
      <c r="M4545">
        <v>7</v>
      </c>
      <c r="N4545" t="s">
        <v>41</v>
      </c>
      <c r="O4545" t="s">
        <v>27</v>
      </c>
      <c r="P4545">
        <v>7.7312891084455302</v>
      </c>
      <c r="Q4545">
        <v>1.61878721293346</v>
      </c>
      <c r="R4545">
        <v>4.3978534210836502</v>
      </c>
      <c r="S4545">
        <v>38</v>
      </c>
      <c r="T4545">
        <v>24</v>
      </c>
      <c r="U4545">
        <v>332.54887066622001</v>
      </c>
      <c r="V4545">
        <v>1.4056224899598299E-3</v>
      </c>
      <c r="W4545">
        <v>1895277.5552935801</v>
      </c>
      <c r="X4545" t="s">
        <v>43</v>
      </c>
      <c r="Y4545">
        <f>1-883-339-1291</f>
        <v>-2512</v>
      </c>
    </row>
    <row r="4546" spans="1:25" x14ac:dyDescent="0.35">
      <c r="A4546">
        <v>37.763596780711701</v>
      </c>
      <c r="B4546">
        <v>-120.40260512793</v>
      </c>
      <c r="C4546" t="s">
        <v>29</v>
      </c>
      <c r="D4546">
        <v>25.047876912406</v>
      </c>
      <c r="E4546">
        <v>2</v>
      </c>
      <c r="F4546">
        <v>4524</v>
      </c>
      <c r="G4546">
        <v>5</v>
      </c>
      <c r="H4546">
        <v>3</v>
      </c>
      <c r="I4546">
        <v>1985</v>
      </c>
      <c r="J4546">
        <v>0</v>
      </c>
      <c r="K4546">
        <v>0</v>
      </c>
      <c r="L4546">
        <v>0</v>
      </c>
      <c r="M4546">
        <v>12</v>
      </c>
      <c r="N4546" t="s">
        <v>26</v>
      </c>
      <c r="O4546" t="s">
        <v>27</v>
      </c>
      <c r="P4546">
        <v>11.3155464822459</v>
      </c>
      <c r="Q4546">
        <v>1.9771098425015501</v>
      </c>
      <c r="R4546">
        <v>6.1544534818716201</v>
      </c>
      <c r="S4546">
        <v>112</v>
      </c>
      <c r="T4546">
        <v>69</v>
      </c>
      <c r="U4546">
        <v>249.58960861135699</v>
      </c>
      <c r="V4546">
        <v>2.6525198938992002E-3</v>
      </c>
      <c r="W4546">
        <v>1511602.2293851399</v>
      </c>
      <c r="X4546" t="s">
        <v>31</v>
      </c>
      <c r="Y4546">
        <f>1-896-620-1521</f>
        <v>-3036</v>
      </c>
    </row>
    <row r="4547" spans="1:25" x14ac:dyDescent="0.35">
      <c r="A4547">
        <v>32.628567235846603</v>
      </c>
      <c r="B4547">
        <v>-118.165954200641</v>
      </c>
      <c r="C4547" t="s">
        <v>29</v>
      </c>
      <c r="D4547">
        <v>16.663558415983101</v>
      </c>
      <c r="E4547">
        <v>1</v>
      </c>
      <c r="F4547">
        <v>2384</v>
      </c>
      <c r="G4547">
        <v>5</v>
      </c>
      <c r="H4547">
        <v>1</v>
      </c>
      <c r="I4547">
        <v>1961</v>
      </c>
      <c r="J4547">
        <v>0</v>
      </c>
      <c r="K4547">
        <v>1</v>
      </c>
      <c r="L4547">
        <v>1</v>
      </c>
      <c r="M4547">
        <v>8</v>
      </c>
      <c r="N4547" t="s">
        <v>26</v>
      </c>
      <c r="O4547" t="s">
        <v>30</v>
      </c>
      <c r="P4547">
        <v>4.6840816778061303</v>
      </c>
      <c r="Q4547">
        <v>2.2078545374081799</v>
      </c>
      <c r="R4547">
        <v>3.5389757161150501</v>
      </c>
      <c r="S4547">
        <v>24</v>
      </c>
      <c r="T4547">
        <v>58</v>
      </c>
      <c r="U4547">
        <v>649.33871385606096</v>
      </c>
      <c r="V4547">
        <v>3.3557046979865702E-3</v>
      </c>
      <c r="W4547">
        <v>1816659.4810063201</v>
      </c>
      <c r="X4547" t="s">
        <v>44</v>
      </c>
      <c r="Y4547">
        <f>1-255-418-3181</f>
        <v>-3853</v>
      </c>
    </row>
    <row r="4548" spans="1:25" x14ac:dyDescent="0.35">
      <c r="A4548">
        <v>38.849449455009299</v>
      </c>
      <c r="B4548">
        <v>-114.57013027321401</v>
      </c>
      <c r="C4548" t="s">
        <v>29</v>
      </c>
      <c r="D4548">
        <v>21.494488439665801</v>
      </c>
      <c r="E4548">
        <v>3</v>
      </c>
      <c r="F4548">
        <v>2552</v>
      </c>
      <c r="G4548">
        <v>3</v>
      </c>
      <c r="H4548">
        <v>1</v>
      </c>
      <c r="I4548">
        <v>1993</v>
      </c>
      <c r="J4548">
        <v>0</v>
      </c>
      <c r="K4548">
        <v>1</v>
      </c>
      <c r="L4548">
        <v>1</v>
      </c>
      <c r="M4548">
        <v>7</v>
      </c>
      <c r="N4548" t="s">
        <v>37</v>
      </c>
      <c r="O4548" t="s">
        <v>32</v>
      </c>
      <c r="P4548">
        <v>6.6899968598505</v>
      </c>
      <c r="Q4548">
        <v>2.1560028389168702</v>
      </c>
      <c r="R4548">
        <v>7.6701063652886701</v>
      </c>
      <c r="S4548">
        <v>108</v>
      </c>
      <c r="T4548">
        <v>48</v>
      </c>
      <c r="U4548">
        <v>421.68900100739802</v>
      </c>
      <c r="V4548">
        <v>2.7429467084639498E-3</v>
      </c>
      <c r="W4548">
        <v>1375081.9721570001</v>
      </c>
      <c r="X4548" t="s">
        <v>39</v>
      </c>
      <c r="Y4548">
        <f>1-793-672-3182</f>
        <v>-4646</v>
      </c>
    </row>
    <row r="4549" spans="1:25" x14ac:dyDescent="0.35">
      <c r="A4549">
        <v>40.444962234201398</v>
      </c>
      <c r="B4549">
        <v>-119.91324531555</v>
      </c>
      <c r="C4549" t="s">
        <v>29</v>
      </c>
      <c r="D4549">
        <v>13.2501856157226</v>
      </c>
      <c r="E4549">
        <v>7</v>
      </c>
      <c r="F4549">
        <v>1079</v>
      </c>
      <c r="G4549">
        <v>1</v>
      </c>
      <c r="H4549">
        <v>3</v>
      </c>
      <c r="I4549">
        <v>2015</v>
      </c>
      <c r="J4549">
        <v>1</v>
      </c>
      <c r="K4549">
        <v>0</v>
      </c>
      <c r="L4549">
        <v>1</v>
      </c>
      <c r="M4549">
        <v>3</v>
      </c>
      <c r="N4549" t="s">
        <v>26</v>
      </c>
      <c r="O4549" t="s">
        <v>30</v>
      </c>
      <c r="P4549">
        <v>8.6993442811061303</v>
      </c>
      <c r="Q4549">
        <v>1.0334734087459501</v>
      </c>
      <c r="R4549">
        <v>0.54307877349352895</v>
      </c>
      <c r="S4549">
        <v>146</v>
      </c>
      <c r="T4549">
        <v>64</v>
      </c>
      <c r="U4549">
        <v>332.97042147612399</v>
      </c>
      <c r="V4549">
        <v>2.7803521779425299E-3</v>
      </c>
      <c r="W4549">
        <v>615477.22765375604</v>
      </c>
      <c r="X4549" t="s">
        <v>28</v>
      </c>
      <c r="Y4549">
        <f>1-272-900-4041</f>
        <v>-5212</v>
      </c>
    </row>
    <row r="4550" spans="1:25" x14ac:dyDescent="0.35">
      <c r="A4550">
        <v>33.107148830143899</v>
      </c>
      <c r="B4550">
        <v>-118.768743759212</v>
      </c>
      <c r="C4550" t="s">
        <v>29</v>
      </c>
      <c r="D4550">
        <v>47.2780166336618</v>
      </c>
      <c r="E4550">
        <v>5</v>
      </c>
      <c r="F4550">
        <v>2779</v>
      </c>
      <c r="G4550">
        <v>1</v>
      </c>
      <c r="H4550">
        <v>2</v>
      </c>
      <c r="I4550">
        <v>1987</v>
      </c>
      <c r="J4550">
        <v>0</v>
      </c>
      <c r="K4550">
        <v>1</v>
      </c>
      <c r="L4550">
        <v>0</v>
      </c>
      <c r="M4550">
        <v>13</v>
      </c>
      <c r="N4550" t="s">
        <v>26</v>
      </c>
      <c r="O4550" t="s">
        <v>32</v>
      </c>
      <c r="P4550">
        <v>3.6628460592826202</v>
      </c>
      <c r="Q4550">
        <v>1.3352010988631899</v>
      </c>
      <c r="R4550">
        <v>6.1311465978400301</v>
      </c>
      <c r="S4550">
        <v>115</v>
      </c>
      <c r="T4550">
        <v>77</v>
      </c>
      <c r="U4550">
        <v>214.614043175993</v>
      </c>
      <c r="V4550">
        <v>4.6779417056495099E-3</v>
      </c>
      <c r="W4550">
        <v>697637.748671368</v>
      </c>
      <c r="X4550" t="s">
        <v>36</v>
      </c>
      <c r="Y4550">
        <f>1-200-576-5661</f>
        <v>-6436</v>
      </c>
    </row>
    <row r="4551" spans="1:25" x14ac:dyDescent="0.35">
      <c r="A4551">
        <v>32.676263080129203</v>
      </c>
      <c r="B4551">
        <v>-114.399791882586</v>
      </c>
      <c r="C4551" t="s">
        <v>25</v>
      </c>
      <c r="D4551">
        <v>8.83405949228972</v>
      </c>
      <c r="E4551">
        <v>5</v>
      </c>
      <c r="F4551">
        <v>3346</v>
      </c>
      <c r="G4551">
        <v>1</v>
      </c>
      <c r="H4551">
        <v>1</v>
      </c>
      <c r="I4551">
        <v>2022</v>
      </c>
      <c r="J4551">
        <v>0</v>
      </c>
      <c r="K4551">
        <v>0</v>
      </c>
      <c r="L4551">
        <v>1</v>
      </c>
      <c r="M4551">
        <v>6</v>
      </c>
      <c r="N4551" t="s">
        <v>41</v>
      </c>
      <c r="O4551" t="s">
        <v>32</v>
      </c>
      <c r="P4551">
        <v>11.087277076313701</v>
      </c>
      <c r="Q4551">
        <v>1.5751489583482701</v>
      </c>
      <c r="R4551">
        <v>3.1223354924634301</v>
      </c>
      <c r="S4551">
        <v>98</v>
      </c>
      <c r="T4551">
        <v>30</v>
      </c>
      <c r="U4551">
        <v>521.75369008844802</v>
      </c>
      <c r="V4551">
        <v>1.7931858936043E-3</v>
      </c>
      <c r="W4551">
        <v>1846773.5045872501</v>
      </c>
      <c r="X4551" t="s">
        <v>43</v>
      </c>
      <c r="Y4551">
        <f>1-232-709-8424</f>
        <v>-9364</v>
      </c>
    </row>
    <row r="4552" spans="1:25" x14ac:dyDescent="0.35">
      <c r="A4552">
        <v>40.374833269244597</v>
      </c>
      <c r="B4552">
        <v>-119.382319396071</v>
      </c>
      <c r="C4552" t="s">
        <v>25</v>
      </c>
      <c r="D4552">
        <v>16.1324169330789</v>
      </c>
      <c r="E4552">
        <v>3</v>
      </c>
      <c r="F4552">
        <v>1577</v>
      </c>
      <c r="G4552">
        <v>3</v>
      </c>
      <c r="H4552">
        <v>2</v>
      </c>
      <c r="I4552">
        <v>1975</v>
      </c>
      <c r="J4552">
        <v>1</v>
      </c>
      <c r="K4552">
        <v>0</v>
      </c>
      <c r="L4552">
        <v>0</v>
      </c>
      <c r="M4552">
        <v>4</v>
      </c>
      <c r="N4552" t="s">
        <v>26</v>
      </c>
      <c r="O4552" t="s">
        <v>32</v>
      </c>
      <c r="P4552">
        <v>6.5265025216159698</v>
      </c>
      <c r="Q4552">
        <v>2.1764009106567199</v>
      </c>
      <c r="R4552">
        <v>5.0128357791196798</v>
      </c>
      <c r="S4552">
        <v>20</v>
      </c>
      <c r="T4552">
        <v>44</v>
      </c>
      <c r="U4552">
        <v>438.82693765862098</v>
      </c>
      <c r="V4552">
        <v>2.53646163601775E-3</v>
      </c>
      <c r="W4552">
        <v>943194.69190559897</v>
      </c>
      <c r="X4552" t="s">
        <v>28</v>
      </c>
      <c r="Y4552">
        <f>1-606-648-9670</f>
        <v>-10923</v>
      </c>
    </row>
    <row r="4553" spans="1:25" x14ac:dyDescent="0.35">
      <c r="A4553">
        <v>35.368429229475097</v>
      </c>
      <c r="B4553">
        <v>-116.625053197771</v>
      </c>
      <c r="C4553" t="s">
        <v>29</v>
      </c>
      <c r="D4553">
        <v>41.313317617477999</v>
      </c>
      <c r="E4553">
        <v>3</v>
      </c>
      <c r="F4553">
        <v>3767</v>
      </c>
      <c r="G4553">
        <v>5</v>
      </c>
      <c r="H4553">
        <v>3</v>
      </c>
      <c r="I4553">
        <v>2005</v>
      </c>
      <c r="J4553">
        <v>1</v>
      </c>
      <c r="K4553">
        <v>0</v>
      </c>
      <c r="L4553">
        <v>1</v>
      </c>
      <c r="M4553">
        <v>12</v>
      </c>
      <c r="N4553" t="s">
        <v>26</v>
      </c>
      <c r="O4553" t="s">
        <v>27</v>
      </c>
      <c r="P4553">
        <v>12.138960341377601</v>
      </c>
      <c r="Q4553">
        <v>1.9899206756099601</v>
      </c>
      <c r="R4553">
        <v>1.92407093561663E-2</v>
      </c>
      <c r="S4553">
        <v>129</v>
      </c>
      <c r="T4553">
        <v>73</v>
      </c>
      <c r="U4553">
        <v>406.47756455417601</v>
      </c>
      <c r="V4553">
        <v>3.1855588001061799E-3</v>
      </c>
      <c r="W4553">
        <v>1959976.6030735599</v>
      </c>
      <c r="X4553" t="s">
        <v>33</v>
      </c>
      <c r="Y4553">
        <f>1-530-358-8389</f>
        <v>-9276</v>
      </c>
    </row>
    <row r="4554" spans="1:25" x14ac:dyDescent="0.35">
      <c r="A4554">
        <v>39.597958780488199</v>
      </c>
      <c r="B4554">
        <v>-119.8291214258</v>
      </c>
      <c r="C4554" t="s">
        <v>25</v>
      </c>
      <c r="D4554">
        <v>37.638973809332498</v>
      </c>
      <c r="E4554">
        <v>8</v>
      </c>
      <c r="F4554">
        <v>4823</v>
      </c>
      <c r="G4554">
        <v>4</v>
      </c>
      <c r="H4554">
        <v>2</v>
      </c>
      <c r="I4554">
        <v>1950</v>
      </c>
      <c r="J4554">
        <v>0</v>
      </c>
      <c r="K4554">
        <v>0</v>
      </c>
      <c r="L4554">
        <v>1</v>
      </c>
      <c r="M4554">
        <v>3</v>
      </c>
      <c r="N4554" t="s">
        <v>26</v>
      </c>
      <c r="O4554" t="s">
        <v>32</v>
      </c>
      <c r="P4554">
        <v>12.560492190105199</v>
      </c>
      <c r="Q4554">
        <v>1.27349121383282</v>
      </c>
      <c r="R4554">
        <v>9.3943855206778402</v>
      </c>
      <c r="S4554">
        <v>2</v>
      </c>
      <c r="T4554">
        <v>24</v>
      </c>
      <c r="U4554">
        <v>213.163145967524</v>
      </c>
      <c r="V4554">
        <v>6.22019489944018E-4</v>
      </c>
      <c r="W4554">
        <v>1267094.19664582</v>
      </c>
      <c r="X4554" t="s">
        <v>28</v>
      </c>
      <c r="Y4554">
        <f>1-232-170-3676</f>
        <v>-4077</v>
      </c>
    </row>
    <row r="4555" spans="1:25" x14ac:dyDescent="0.35">
      <c r="A4555">
        <v>32.841935186507001</v>
      </c>
      <c r="B4555">
        <v>-119.964295075217</v>
      </c>
      <c r="C4555" t="s">
        <v>29</v>
      </c>
      <c r="D4555">
        <v>35.001745742040697</v>
      </c>
      <c r="E4555">
        <v>0</v>
      </c>
      <c r="F4555">
        <v>1513</v>
      </c>
      <c r="G4555">
        <v>4</v>
      </c>
      <c r="H4555">
        <v>1</v>
      </c>
      <c r="I4555">
        <v>2018</v>
      </c>
      <c r="J4555">
        <v>0</v>
      </c>
      <c r="K4555">
        <v>1</v>
      </c>
      <c r="L4555">
        <v>1</v>
      </c>
      <c r="M4555">
        <v>11</v>
      </c>
      <c r="N4555" t="s">
        <v>26</v>
      </c>
      <c r="O4555" t="s">
        <v>27</v>
      </c>
      <c r="P4555">
        <v>5.8711537167641499</v>
      </c>
      <c r="Q4555">
        <v>0.64824634913629697</v>
      </c>
      <c r="R4555">
        <v>8.88041360277726</v>
      </c>
      <c r="S4555">
        <v>58</v>
      </c>
      <c r="T4555">
        <v>76</v>
      </c>
      <c r="U4555">
        <v>684.31530853794698</v>
      </c>
      <c r="V4555">
        <v>7.2703238598810296E-3</v>
      </c>
      <c r="W4555">
        <v>1370007.6556810399</v>
      </c>
      <c r="X4555" t="s">
        <v>39</v>
      </c>
      <c r="Y4555">
        <f>1-251-821-9267</f>
        <v>-10338</v>
      </c>
    </row>
    <row r="4556" spans="1:25" x14ac:dyDescent="0.35">
      <c r="A4556">
        <v>38.656340686661899</v>
      </c>
      <c r="B4556">
        <v>-118.214594545731</v>
      </c>
      <c r="C4556" t="s">
        <v>25</v>
      </c>
      <c r="D4556">
        <v>36.436867990532598</v>
      </c>
      <c r="E4556">
        <v>5</v>
      </c>
      <c r="F4556">
        <v>3973</v>
      </c>
      <c r="G4556">
        <v>2</v>
      </c>
      <c r="H4556">
        <v>3</v>
      </c>
      <c r="I4556">
        <v>2022</v>
      </c>
      <c r="J4556">
        <v>0</v>
      </c>
      <c r="K4556">
        <v>0</v>
      </c>
      <c r="L4556">
        <v>1</v>
      </c>
      <c r="M4556">
        <v>4</v>
      </c>
      <c r="N4556" t="s">
        <v>41</v>
      </c>
      <c r="O4556" t="s">
        <v>27</v>
      </c>
      <c r="P4556">
        <v>9.8035959464831794</v>
      </c>
      <c r="Q4556">
        <v>2.3117280515291001</v>
      </c>
      <c r="R4556">
        <v>6.3195406083976904</v>
      </c>
      <c r="S4556">
        <v>24</v>
      </c>
      <c r="T4556">
        <v>27</v>
      </c>
      <c r="U4556">
        <v>757.96689571742695</v>
      </c>
      <c r="V4556">
        <v>1.00679587213692E-3</v>
      </c>
      <c r="W4556">
        <v>3254803.3643570999</v>
      </c>
      <c r="X4556" t="s">
        <v>38</v>
      </c>
      <c r="Y4556">
        <f>1-654-637-6965</f>
        <v>-8255</v>
      </c>
    </row>
    <row r="4557" spans="1:25" x14ac:dyDescent="0.35">
      <c r="A4557">
        <v>34.7814045113725</v>
      </c>
      <c r="B4557">
        <v>-121.96888009886401</v>
      </c>
      <c r="C4557" t="s">
        <v>29</v>
      </c>
      <c r="D4557">
        <v>16.269714274182199</v>
      </c>
      <c r="E4557">
        <v>2</v>
      </c>
      <c r="F4557">
        <v>3204</v>
      </c>
      <c r="G4557">
        <v>5</v>
      </c>
      <c r="H4557">
        <v>2</v>
      </c>
      <c r="I4557">
        <v>2004</v>
      </c>
      <c r="J4557">
        <v>0</v>
      </c>
      <c r="K4557">
        <v>1</v>
      </c>
      <c r="L4557">
        <v>1</v>
      </c>
      <c r="M4557">
        <v>12</v>
      </c>
      <c r="N4557" t="s">
        <v>35</v>
      </c>
      <c r="O4557" t="s">
        <v>32</v>
      </c>
      <c r="P4557">
        <v>3.98246673357295</v>
      </c>
      <c r="Q4557">
        <v>1.16103304726875</v>
      </c>
      <c r="R4557">
        <v>0.54227744317206406</v>
      </c>
      <c r="S4557">
        <v>92</v>
      </c>
      <c r="T4557">
        <v>74</v>
      </c>
      <c r="U4557">
        <v>227.70708366210201</v>
      </c>
      <c r="V4557">
        <v>3.7453183520599199E-3</v>
      </c>
      <c r="W4557">
        <v>1049967.2266239</v>
      </c>
      <c r="X4557" t="s">
        <v>38</v>
      </c>
      <c r="Y4557">
        <f>1-697-943-9357</f>
        <v>-10996</v>
      </c>
    </row>
    <row r="4558" spans="1:25" x14ac:dyDescent="0.35">
      <c r="A4558">
        <v>39.512768803524501</v>
      </c>
      <c r="B4558">
        <v>-120.68955304814</v>
      </c>
      <c r="C4558" t="s">
        <v>25</v>
      </c>
      <c r="D4558">
        <v>14.1596710581246</v>
      </c>
      <c r="E4558">
        <v>3</v>
      </c>
      <c r="F4558">
        <v>1119</v>
      </c>
      <c r="G4558">
        <v>4</v>
      </c>
      <c r="H4558">
        <v>3</v>
      </c>
      <c r="I4558">
        <v>1952</v>
      </c>
      <c r="J4558">
        <v>1</v>
      </c>
      <c r="K4558">
        <v>1</v>
      </c>
      <c r="L4558">
        <v>1</v>
      </c>
      <c r="M4558">
        <v>2</v>
      </c>
      <c r="N4558" t="s">
        <v>37</v>
      </c>
      <c r="O4558" t="s">
        <v>32</v>
      </c>
      <c r="P4558">
        <v>12.8487039715067</v>
      </c>
      <c r="Q4558">
        <v>1.62322783754919</v>
      </c>
      <c r="R4558">
        <v>3.01659455974491</v>
      </c>
      <c r="S4558">
        <v>172</v>
      </c>
      <c r="T4558">
        <v>24</v>
      </c>
      <c r="U4558">
        <v>790.11596143418501</v>
      </c>
      <c r="V4558">
        <v>1.7873100983020499E-3</v>
      </c>
      <c r="W4558">
        <v>1299065.27353784</v>
      </c>
      <c r="X4558" t="s">
        <v>39</v>
      </c>
      <c r="Y4558">
        <f>1-650-730-9366</f>
        <v>-10745</v>
      </c>
    </row>
    <row r="4559" spans="1:25" x14ac:dyDescent="0.35">
      <c r="A4559">
        <v>38.066517213027801</v>
      </c>
      <c r="B4559">
        <v>-116.113740565586</v>
      </c>
      <c r="C4559" t="s">
        <v>25</v>
      </c>
      <c r="D4559">
        <v>46.596329693351301</v>
      </c>
      <c r="E4559">
        <v>1</v>
      </c>
      <c r="F4559">
        <v>1852</v>
      </c>
      <c r="G4559">
        <v>2</v>
      </c>
      <c r="H4559">
        <v>1</v>
      </c>
      <c r="I4559">
        <v>1964</v>
      </c>
      <c r="J4559">
        <v>0</v>
      </c>
      <c r="K4559">
        <v>0</v>
      </c>
      <c r="L4559">
        <v>1</v>
      </c>
      <c r="M4559">
        <v>9</v>
      </c>
      <c r="N4559" t="s">
        <v>41</v>
      </c>
      <c r="O4559" t="s">
        <v>32</v>
      </c>
      <c r="P4559">
        <v>4.6035574497001903</v>
      </c>
      <c r="Q4559">
        <v>2.4629983006582199</v>
      </c>
      <c r="R4559">
        <v>8.2707743563193308</v>
      </c>
      <c r="S4559">
        <v>117</v>
      </c>
      <c r="T4559">
        <v>29</v>
      </c>
      <c r="U4559">
        <v>962.36548926926901</v>
      </c>
      <c r="V4559">
        <v>4.8596112311015101E-3</v>
      </c>
      <c r="W4559">
        <v>1925077.56227609</v>
      </c>
      <c r="X4559" t="s">
        <v>44</v>
      </c>
      <c r="Y4559">
        <f>1-718-719-2827</f>
        <v>-4263</v>
      </c>
    </row>
    <row r="4560" spans="1:25" x14ac:dyDescent="0.35">
      <c r="A4560">
        <v>33.971087556863097</v>
      </c>
      <c r="B4560">
        <v>-117.420703629153</v>
      </c>
      <c r="C4560" t="s">
        <v>34</v>
      </c>
      <c r="D4560">
        <v>17.720543344696701</v>
      </c>
      <c r="E4560">
        <v>5</v>
      </c>
      <c r="F4560">
        <v>3407</v>
      </c>
      <c r="G4560">
        <v>2</v>
      </c>
      <c r="H4560">
        <v>1</v>
      </c>
      <c r="I4560">
        <v>1965</v>
      </c>
      <c r="J4560">
        <v>0</v>
      </c>
      <c r="K4560">
        <v>0</v>
      </c>
      <c r="L4560">
        <v>0</v>
      </c>
      <c r="M4560">
        <v>3</v>
      </c>
      <c r="N4560" t="s">
        <v>35</v>
      </c>
      <c r="O4560" t="s">
        <v>30</v>
      </c>
      <c r="P4560">
        <v>5.3116323540169397</v>
      </c>
      <c r="Q4560">
        <v>1.53090976419808</v>
      </c>
      <c r="R4560">
        <v>5.71954911881281</v>
      </c>
      <c r="S4560">
        <v>46</v>
      </c>
      <c r="T4560">
        <v>53</v>
      </c>
      <c r="U4560">
        <v>808.13742478699305</v>
      </c>
      <c r="V4560">
        <v>8.80540064572938E-4</v>
      </c>
      <c r="W4560">
        <v>2785265.36980977</v>
      </c>
      <c r="X4560" t="s">
        <v>36</v>
      </c>
      <c r="Y4560">
        <f>1-242-235-7040</f>
        <v>-7516</v>
      </c>
    </row>
    <row r="4561" spans="1:25" x14ac:dyDescent="0.35">
      <c r="A4561">
        <v>41.035508172239197</v>
      </c>
      <c r="B4561">
        <v>-116.758965263845</v>
      </c>
      <c r="C4561" t="s">
        <v>29</v>
      </c>
      <c r="D4561">
        <v>36.6466091221724</v>
      </c>
      <c r="E4561">
        <v>6</v>
      </c>
      <c r="F4561">
        <v>3120</v>
      </c>
      <c r="G4561">
        <v>1</v>
      </c>
      <c r="H4561">
        <v>3</v>
      </c>
      <c r="I4561">
        <v>1955</v>
      </c>
      <c r="J4561">
        <v>0</v>
      </c>
      <c r="K4561">
        <v>0</v>
      </c>
      <c r="L4561">
        <v>1</v>
      </c>
      <c r="M4561">
        <v>6</v>
      </c>
      <c r="N4561" t="s">
        <v>41</v>
      </c>
      <c r="O4561" t="s">
        <v>27</v>
      </c>
      <c r="P4561">
        <v>14.3455805641222</v>
      </c>
      <c r="Q4561">
        <v>2.3130010373732501</v>
      </c>
      <c r="R4561">
        <v>8.5065963321329701</v>
      </c>
      <c r="S4561">
        <v>89</v>
      </c>
      <c r="T4561">
        <v>46</v>
      </c>
      <c r="U4561">
        <v>539.37931914048397</v>
      </c>
      <c r="V4561">
        <v>1.9230769230769199E-3</v>
      </c>
      <c r="W4561">
        <v>1793657.0934527901</v>
      </c>
      <c r="X4561" t="s">
        <v>44</v>
      </c>
      <c r="Y4561">
        <f>1-964-206-1171</f>
        <v>-2340</v>
      </c>
    </row>
    <row r="4562" spans="1:25" x14ac:dyDescent="0.35">
      <c r="A4562">
        <v>36.437137793839902</v>
      </c>
      <c r="B4562">
        <v>-119.96548162155899</v>
      </c>
      <c r="C4562" t="s">
        <v>25</v>
      </c>
      <c r="D4562">
        <v>24.481155391187102</v>
      </c>
      <c r="E4562">
        <v>4</v>
      </c>
      <c r="F4562">
        <v>2413</v>
      </c>
      <c r="G4562">
        <v>5</v>
      </c>
      <c r="H4562">
        <v>2</v>
      </c>
      <c r="I4562">
        <v>1983</v>
      </c>
      <c r="J4562">
        <v>1</v>
      </c>
      <c r="K4562">
        <v>1</v>
      </c>
      <c r="L4562">
        <v>1</v>
      </c>
      <c r="M4562">
        <v>4</v>
      </c>
      <c r="N4562" t="s">
        <v>35</v>
      </c>
      <c r="O4562" t="s">
        <v>27</v>
      </c>
      <c r="P4562">
        <v>4.1771411999117696</v>
      </c>
      <c r="Q4562">
        <v>1.2219074976644499</v>
      </c>
      <c r="R4562">
        <v>2.4005316516142101</v>
      </c>
      <c r="S4562">
        <v>177</v>
      </c>
      <c r="T4562">
        <v>71</v>
      </c>
      <c r="U4562">
        <v>697.28971655837699</v>
      </c>
      <c r="V4562">
        <v>1.6576875259013599E-3</v>
      </c>
      <c r="W4562">
        <v>2191855.3207692099</v>
      </c>
      <c r="X4562" t="s">
        <v>43</v>
      </c>
      <c r="Y4562">
        <f>1-452-354-5285</f>
        <v>-6090</v>
      </c>
    </row>
    <row r="4563" spans="1:25" x14ac:dyDescent="0.35">
      <c r="A4563">
        <v>39.894758852833498</v>
      </c>
      <c r="B4563">
        <v>-118.86704791413401</v>
      </c>
      <c r="C4563" t="s">
        <v>25</v>
      </c>
      <c r="D4563">
        <v>22.355359521198501</v>
      </c>
      <c r="E4563">
        <v>0</v>
      </c>
      <c r="F4563">
        <v>3412</v>
      </c>
      <c r="G4563">
        <v>1</v>
      </c>
      <c r="H4563">
        <v>2</v>
      </c>
      <c r="I4563">
        <v>2021</v>
      </c>
      <c r="J4563">
        <v>1</v>
      </c>
      <c r="K4563">
        <v>0</v>
      </c>
      <c r="L4563">
        <v>0</v>
      </c>
      <c r="M4563">
        <v>14</v>
      </c>
      <c r="N4563" t="s">
        <v>37</v>
      </c>
      <c r="O4563" t="s">
        <v>27</v>
      </c>
      <c r="P4563">
        <v>2.1259217616831001</v>
      </c>
      <c r="Q4563">
        <v>1.92042039676419</v>
      </c>
      <c r="R4563">
        <v>3.0891327805454698</v>
      </c>
      <c r="S4563">
        <v>139</v>
      </c>
      <c r="T4563">
        <v>76</v>
      </c>
      <c r="U4563">
        <v>308.28939343164302</v>
      </c>
      <c r="V4563">
        <v>4.1031652989448998E-3</v>
      </c>
      <c r="W4563">
        <v>1128702.2800768199</v>
      </c>
      <c r="X4563" t="s">
        <v>39</v>
      </c>
      <c r="Y4563">
        <f>1-864-646-5033</f>
        <v>-6542</v>
      </c>
    </row>
    <row r="4564" spans="1:25" x14ac:dyDescent="0.35">
      <c r="A4564">
        <v>32.799172142196703</v>
      </c>
      <c r="B4564">
        <v>-118.153269622617</v>
      </c>
      <c r="C4564" t="s">
        <v>29</v>
      </c>
      <c r="D4564">
        <v>24.111667502199001</v>
      </c>
      <c r="E4564">
        <v>7</v>
      </c>
      <c r="F4564">
        <v>4381</v>
      </c>
      <c r="G4564">
        <v>4</v>
      </c>
      <c r="H4564">
        <v>2</v>
      </c>
      <c r="I4564">
        <v>1967</v>
      </c>
      <c r="J4564">
        <v>1</v>
      </c>
      <c r="K4564">
        <v>1</v>
      </c>
      <c r="L4564">
        <v>1</v>
      </c>
      <c r="M4564">
        <v>11</v>
      </c>
      <c r="N4564" t="s">
        <v>26</v>
      </c>
      <c r="O4564" t="s">
        <v>30</v>
      </c>
      <c r="P4564">
        <v>5.6329427142771404</v>
      </c>
      <c r="Q4564">
        <v>0.80151098577111102</v>
      </c>
      <c r="R4564">
        <v>6.5822124125468404</v>
      </c>
      <c r="S4564">
        <v>199</v>
      </c>
      <c r="T4564">
        <v>60</v>
      </c>
      <c r="U4564">
        <v>957.56455873052903</v>
      </c>
      <c r="V4564">
        <v>2.5108422734535399E-3</v>
      </c>
      <c r="W4564">
        <v>4615506.9962285999</v>
      </c>
      <c r="X4564" t="s">
        <v>39</v>
      </c>
      <c r="Y4564">
        <f>1-363-909-8006</f>
        <v>-9277</v>
      </c>
    </row>
    <row r="4565" spans="1:25" x14ac:dyDescent="0.35">
      <c r="A4565">
        <v>37.0524542284464</v>
      </c>
      <c r="B4565">
        <v>-121.140470326328</v>
      </c>
      <c r="C4565" t="s">
        <v>34</v>
      </c>
      <c r="D4565">
        <v>8.0072450423916397</v>
      </c>
      <c r="E4565">
        <v>7</v>
      </c>
      <c r="F4565">
        <v>954</v>
      </c>
      <c r="G4565">
        <v>4</v>
      </c>
      <c r="H4565">
        <v>3</v>
      </c>
      <c r="I4565">
        <v>1989</v>
      </c>
      <c r="J4565">
        <v>0</v>
      </c>
      <c r="K4565">
        <v>1</v>
      </c>
      <c r="L4565">
        <v>1</v>
      </c>
      <c r="M4565">
        <v>8</v>
      </c>
      <c r="N4565" t="s">
        <v>35</v>
      </c>
      <c r="O4565" t="s">
        <v>30</v>
      </c>
      <c r="P4565">
        <v>10.918645974184299</v>
      </c>
      <c r="Q4565">
        <v>0.74455374498188398</v>
      </c>
      <c r="R4565">
        <v>2.5647309395918798</v>
      </c>
      <c r="S4565">
        <v>66</v>
      </c>
      <c r="T4565">
        <v>47</v>
      </c>
      <c r="U4565">
        <v>703.336398937794</v>
      </c>
      <c r="V4565">
        <v>8.3857442348008304E-3</v>
      </c>
      <c r="W4565">
        <v>1150853.4391367999</v>
      </c>
      <c r="X4565" t="s">
        <v>40</v>
      </c>
      <c r="Y4565">
        <f>1-510-891-2005</f>
        <v>-3405</v>
      </c>
    </row>
    <row r="4566" spans="1:25" x14ac:dyDescent="0.35">
      <c r="A4566">
        <v>35.245672134112297</v>
      </c>
      <c r="B4566">
        <v>-114.898358675621</v>
      </c>
      <c r="C4566" t="s">
        <v>25</v>
      </c>
      <c r="D4566">
        <v>32.525230171021697</v>
      </c>
      <c r="E4566">
        <v>3</v>
      </c>
      <c r="F4566">
        <v>2874</v>
      </c>
      <c r="G4566">
        <v>1</v>
      </c>
      <c r="H4566">
        <v>1</v>
      </c>
      <c r="I4566">
        <v>1982</v>
      </c>
      <c r="J4566">
        <v>0</v>
      </c>
      <c r="K4566">
        <v>1</v>
      </c>
      <c r="L4566">
        <v>1</v>
      </c>
      <c r="M4566">
        <v>11</v>
      </c>
      <c r="N4566" t="s">
        <v>35</v>
      </c>
      <c r="O4566" t="s">
        <v>32</v>
      </c>
      <c r="P4566">
        <v>12.797380952399401</v>
      </c>
      <c r="Q4566">
        <v>1.5647352018388401</v>
      </c>
      <c r="R4566">
        <v>0.39583877822068902</v>
      </c>
      <c r="S4566">
        <v>59</v>
      </c>
      <c r="T4566">
        <v>64</v>
      </c>
      <c r="U4566">
        <v>261.960516561009</v>
      </c>
      <c r="V4566">
        <v>3.82741823242867E-3</v>
      </c>
      <c r="W4566">
        <v>1058917.70810876</v>
      </c>
      <c r="X4566" t="s">
        <v>39</v>
      </c>
      <c r="Y4566">
        <f>1-216-216-2789</f>
        <v>-3220</v>
      </c>
    </row>
    <row r="4567" spans="1:25" x14ac:dyDescent="0.35">
      <c r="A4567">
        <v>33.673198580655701</v>
      </c>
      <c r="B4567">
        <v>-120.431872935699</v>
      </c>
      <c r="C4567" t="s">
        <v>29</v>
      </c>
      <c r="D4567">
        <v>18.541455419838201</v>
      </c>
      <c r="E4567">
        <v>5</v>
      </c>
      <c r="F4567">
        <v>2200</v>
      </c>
      <c r="G4567">
        <v>4</v>
      </c>
      <c r="H4567">
        <v>2</v>
      </c>
      <c r="I4567">
        <v>2015</v>
      </c>
      <c r="J4567">
        <v>1</v>
      </c>
      <c r="K4567">
        <v>1</v>
      </c>
      <c r="L4567">
        <v>0</v>
      </c>
      <c r="M4567">
        <v>14</v>
      </c>
      <c r="N4567" t="s">
        <v>35</v>
      </c>
      <c r="O4567" t="s">
        <v>30</v>
      </c>
      <c r="P4567">
        <v>6.2630289984548302</v>
      </c>
      <c r="Q4567">
        <v>2.2986842415030901</v>
      </c>
      <c r="R4567">
        <v>3.0999853410509002</v>
      </c>
      <c r="S4567">
        <v>86</v>
      </c>
      <c r="T4567">
        <v>20</v>
      </c>
      <c r="U4567">
        <v>583.23862280208698</v>
      </c>
      <c r="V4567">
        <v>6.3636363636363604E-3</v>
      </c>
      <c r="W4567">
        <v>1662047.89024131</v>
      </c>
      <c r="X4567" t="s">
        <v>43</v>
      </c>
      <c r="Y4567">
        <f>1-828-432-6086</f>
        <v>-7345</v>
      </c>
    </row>
    <row r="4568" spans="1:25" x14ac:dyDescent="0.35">
      <c r="A4568">
        <v>41.388508705264201</v>
      </c>
      <c r="B4568">
        <v>-123.315147699672</v>
      </c>
      <c r="C4568" t="s">
        <v>25</v>
      </c>
      <c r="D4568">
        <v>5.4093476677495396</v>
      </c>
      <c r="E4568">
        <v>2</v>
      </c>
      <c r="F4568">
        <v>4748</v>
      </c>
      <c r="G4568">
        <v>4</v>
      </c>
      <c r="H4568">
        <v>3</v>
      </c>
      <c r="I4568">
        <v>1969</v>
      </c>
      <c r="J4568">
        <v>0</v>
      </c>
      <c r="K4568">
        <v>0</v>
      </c>
      <c r="L4568">
        <v>0</v>
      </c>
      <c r="M4568">
        <v>13</v>
      </c>
      <c r="N4568" t="s">
        <v>41</v>
      </c>
      <c r="O4568" t="s">
        <v>32</v>
      </c>
      <c r="P4568">
        <v>12.194688757233299</v>
      </c>
      <c r="Q4568">
        <v>0.89042895681830003</v>
      </c>
      <c r="R4568">
        <v>1.8384309218466</v>
      </c>
      <c r="S4568">
        <v>105</v>
      </c>
      <c r="T4568">
        <v>50</v>
      </c>
      <c r="U4568">
        <v>268.288297471156</v>
      </c>
      <c r="V4568">
        <v>2.7379949452400998E-3</v>
      </c>
      <c r="W4568">
        <v>1615230.35743886</v>
      </c>
      <c r="X4568" t="s">
        <v>36</v>
      </c>
      <c r="Y4568">
        <f>1-668-714-4528</f>
        <v>-5909</v>
      </c>
    </row>
    <row r="4569" spans="1:25" x14ac:dyDescent="0.35">
      <c r="A4569">
        <v>36.241001621744402</v>
      </c>
      <c r="B4569">
        <v>-116.37938511280601</v>
      </c>
      <c r="C4569" t="s">
        <v>34</v>
      </c>
      <c r="D4569">
        <v>37.672817201247902</v>
      </c>
      <c r="E4569">
        <v>6</v>
      </c>
      <c r="F4569">
        <v>3600</v>
      </c>
      <c r="G4569">
        <v>1</v>
      </c>
      <c r="H4569">
        <v>3</v>
      </c>
      <c r="I4569">
        <v>1957</v>
      </c>
      <c r="J4569">
        <v>0</v>
      </c>
      <c r="K4569">
        <v>0</v>
      </c>
      <c r="L4569">
        <v>0</v>
      </c>
      <c r="M4569">
        <v>5</v>
      </c>
      <c r="N4569" t="s">
        <v>37</v>
      </c>
      <c r="O4569" t="s">
        <v>27</v>
      </c>
      <c r="P4569">
        <v>2.7003053327857902</v>
      </c>
      <c r="Q4569">
        <v>1.5847554876782799</v>
      </c>
      <c r="R4569">
        <v>3.5446707787370699</v>
      </c>
      <c r="S4569">
        <v>60</v>
      </c>
      <c r="T4569">
        <v>42</v>
      </c>
      <c r="U4569">
        <v>624.77449416348099</v>
      </c>
      <c r="V4569">
        <v>1.3888888888888801E-3</v>
      </c>
      <c r="W4569">
        <v>2284763.54676412</v>
      </c>
      <c r="X4569" t="s">
        <v>43</v>
      </c>
      <c r="Y4569">
        <f>1-281-465-5256</f>
        <v>-6001</v>
      </c>
    </row>
    <row r="4570" spans="1:25" x14ac:dyDescent="0.35">
      <c r="A4570">
        <v>32.833942581847602</v>
      </c>
      <c r="B4570">
        <v>-121.586393457228</v>
      </c>
      <c r="C4570" t="s">
        <v>34</v>
      </c>
      <c r="D4570">
        <v>2.59847410471302</v>
      </c>
      <c r="E4570">
        <v>8</v>
      </c>
      <c r="F4570">
        <v>1105</v>
      </c>
      <c r="G4570">
        <v>5</v>
      </c>
      <c r="H4570">
        <v>2</v>
      </c>
      <c r="I4570">
        <v>1980</v>
      </c>
      <c r="J4570">
        <v>0</v>
      </c>
      <c r="K4570">
        <v>1</v>
      </c>
      <c r="L4570">
        <v>1</v>
      </c>
      <c r="M4570">
        <v>10</v>
      </c>
      <c r="N4570" t="s">
        <v>35</v>
      </c>
      <c r="O4570" t="s">
        <v>27</v>
      </c>
      <c r="P4570">
        <v>8.8632618437330404</v>
      </c>
      <c r="Q4570">
        <v>1.94324749243839</v>
      </c>
      <c r="R4570">
        <v>8.4353859141161696</v>
      </c>
      <c r="S4570">
        <v>37</v>
      </c>
      <c r="T4570">
        <v>72</v>
      </c>
      <c r="U4570">
        <v>289.05309527026998</v>
      </c>
      <c r="V4570">
        <v>9.0497737556561094E-3</v>
      </c>
      <c r="W4570">
        <v>678712.88613055996</v>
      </c>
      <c r="X4570" t="s">
        <v>31</v>
      </c>
      <c r="Y4570">
        <f>1-334-118-1293</f>
        <v>-1744</v>
      </c>
    </row>
    <row r="4571" spans="1:25" x14ac:dyDescent="0.35">
      <c r="A4571">
        <v>41.355973448795297</v>
      </c>
      <c r="B4571">
        <v>-118.182204461808</v>
      </c>
      <c r="C4571" t="s">
        <v>29</v>
      </c>
      <c r="D4571">
        <v>34.3015954676004</v>
      </c>
      <c r="E4571">
        <v>2</v>
      </c>
      <c r="F4571">
        <v>3415</v>
      </c>
      <c r="G4571">
        <v>3</v>
      </c>
      <c r="H4571">
        <v>1</v>
      </c>
      <c r="I4571">
        <v>1976</v>
      </c>
      <c r="J4571">
        <v>1</v>
      </c>
      <c r="K4571">
        <v>0</v>
      </c>
      <c r="L4571">
        <v>0</v>
      </c>
      <c r="M4571">
        <v>5</v>
      </c>
      <c r="N4571" t="s">
        <v>35</v>
      </c>
      <c r="O4571" t="s">
        <v>30</v>
      </c>
      <c r="P4571">
        <v>12.8614593576056</v>
      </c>
      <c r="Q4571">
        <v>2.3826723004039398</v>
      </c>
      <c r="R4571">
        <v>8.1445433932245894</v>
      </c>
      <c r="S4571">
        <v>28</v>
      </c>
      <c r="T4571">
        <v>28</v>
      </c>
      <c r="U4571">
        <v>212.979039846067</v>
      </c>
      <c r="V4571">
        <v>1.4641288433382099E-3</v>
      </c>
      <c r="W4571">
        <v>922702.06658678805</v>
      </c>
      <c r="X4571" t="s">
        <v>43</v>
      </c>
      <c r="Y4571">
        <f>1-473-616-1917</f>
        <v>-3005</v>
      </c>
    </row>
    <row r="4572" spans="1:25" x14ac:dyDescent="0.35">
      <c r="A4572">
        <v>32.788606058805897</v>
      </c>
      <c r="B4572">
        <v>-121.079294286018</v>
      </c>
      <c r="C4572" t="s">
        <v>25</v>
      </c>
      <c r="D4572">
        <v>14.209721604749699</v>
      </c>
      <c r="E4572">
        <v>9</v>
      </c>
      <c r="F4572">
        <v>3935</v>
      </c>
      <c r="G4572">
        <v>2</v>
      </c>
      <c r="H4572">
        <v>3</v>
      </c>
      <c r="I4572">
        <v>2021</v>
      </c>
      <c r="J4572">
        <v>0</v>
      </c>
      <c r="K4572">
        <v>0</v>
      </c>
      <c r="L4572">
        <v>1</v>
      </c>
      <c r="M4572">
        <v>13</v>
      </c>
      <c r="N4572" t="s">
        <v>26</v>
      </c>
      <c r="O4572" t="s">
        <v>30</v>
      </c>
      <c r="P4572">
        <v>4.20406095094447</v>
      </c>
      <c r="Q4572">
        <v>1.5103155647968101</v>
      </c>
      <c r="R4572">
        <v>8.0255391042581099</v>
      </c>
      <c r="S4572">
        <v>97</v>
      </c>
      <c r="T4572">
        <v>35</v>
      </c>
      <c r="U4572">
        <v>636.71462440038101</v>
      </c>
      <c r="V4572">
        <v>3.3036848792884301E-3</v>
      </c>
      <c r="W4572">
        <v>2644267.9047429999</v>
      </c>
      <c r="X4572" t="s">
        <v>40</v>
      </c>
      <c r="Y4572">
        <f>1-545-236-6174</f>
        <v>-6954</v>
      </c>
    </row>
    <row r="4573" spans="1:25" x14ac:dyDescent="0.35">
      <c r="A4573">
        <v>36.715251385810298</v>
      </c>
      <c r="B4573">
        <v>-120.778082221872</v>
      </c>
      <c r="C4573" t="s">
        <v>34</v>
      </c>
      <c r="D4573">
        <v>28.126020240811702</v>
      </c>
      <c r="E4573">
        <v>1</v>
      </c>
      <c r="F4573">
        <v>919</v>
      </c>
      <c r="G4573">
        <v>2</v>
      </c>
      <c r="H4573">
        <v>2</v>
      </c>
      <c r="I4573">
        <v>1978</v>
      </c>
      <c r="J4573">
        <v>0</v>
      </c>
      <c r="K4573">
        <v>0</v>
      </c>
      <c r="L4573">
        <v>1</v>
      </c>
      <c r="M4573">
        <v>10</v>
      </c>
      <c r="N4573" t="s">
        <v>26</v>
      </c>
      <c r="O4573" t="s">
        <v>32</v>
      </c>
      <c r="P4573">
        <v>14.4576280221284</v>
      </c>
      <c r="Q4573">
        <v>1.07700048256014</v>
      </c>
      <c r="R4573">
        <v>9.2863548028315002</v>
      </c>
      <c r="S4573">
        <v>78</v>
      </c>
      <c r="T4573">
        <v>25</v>
      </c>
      <c r="U4573">
        <v>860.82537555125305</v>
      </c>
      <c r="V4573">
        <v>1.08813928182807E-2</v>
      </c>
      <c r="W4573">
        <v>914812.28640745499</v>
      </c>
      <c r="X4573" t="s">
        <v>31</v>
      </c>
      <c r="Y4573">
        <f>1-910-980-4878</f>
        <v>-6767</v>
      </c>
    </row>
    <row r="4574" spans="1:25" x14ac:dyDescent="0.35">
      <c r="A4574">
        <v>36.869230120485497</v>
      </c>
      <c r="B4574">
        <v>-116.21817626242699</v>
      </c>
      <c r="C4574" t="s">
        <v>29</v>
      </c>
      <c r="D4574">
        <v>1.02168353866511</v>
      </c>
      <c r="E4574">
        <v>4</v>
      </c>
      <c r="F4574">
        <v>1236</v>
      </c>
      <c r="G4574">
        <v>4</v>
      </c>
      <c r="H4574">
        <v>1</v>
      </c>
      <c r="I4574">
        <v>1990</v>
      </c>
      <c r="J4574">
        <v>0</v>
      </c>
      <c r="K4574">
        <v>0</v>
      </c>
      <c r="L4574">
        <v>1</v>
      </c>
      <c r="M4574">
        <v>9</v>
      </c>
      <c r="N4574" t="s">
        <v>26</v>
      </c>
      <c r="O4574" t="s">
        <v>30</v>
      </c>
      <c r="P4574">
        <v>5.9479878759605</v>
      </c>
      <c r="Q4574">
        <v>2.1659814343446202</v>
      </c>
      <c r="R4574">
        <v>6.6758312567439004</v>
      </c>
      <c r="S4574">
        <v>134</v>
      </c>
      <c r="T4574">
        <v>65</v>
      </c>
      <c r="U4574">
        <v>252.669386674225</v>
      </c>
      <c r="V4574">
        <v>7.2815533980582501E-3</v>
      </c>
      <c r="W4574">
        <v>628757.120971811</v>
      </c>
      <c r="X4574" t="s">
        <v>31</v>
      </c>
      <c r="Y4574">
        <f>1-248-697-4589</f>
        <v>-5533</v>
      </c>
    </row>
    <row r="4575" spans="1:25" x14ac:dyDescent="0.35">
      <c r="A4575">
        <v>41.3564546488779</v>
      </c>
      <c r="B4575">
        <v>-115.227626730784</v>
      </c>
      <c r="C4575" t="s">
        <v>34</v>
      </c>
      <c r="D4575">
        <v>8.52269284904283</v>
      </c>
      <c r="E4575">
        <v>0</v>
      </c>
      <c r="F4575">
        <v>2949</v>
      </c>
      <c r="G4575">
        <v>4</v>
      </c>
      <c r="H4575">
        <v>3</v>
      </c>
      <c r="I4575">
        <v>2015</v>
      </c>
      <c r="J4575">
        <v>1</v>
      </c>
      <c r="K4575">
        <v>1</v>
      </c>
      <c r="L4575">
        <v>0</v>
      </c>
      <c r="M4575">
        <v>9</v>
      </c>
      <c r="N4575" t="s">
        <v>26</v>
      </c>
      <c r="O4575" t="s">
        <v>27</v>
      </c>
      <c r="P4575">
        <v>10.9364140833154</v>
      </c>
      <c r="Q4575">
        <v>0.87539684687199504</v>
      </c>
      <c r="R4575">
        <v>2.2740050572488402</v>
      </c>
      <c r="S4575">
        <v>59</v>
      </c>
      <c r="T4575">
        <v>26</v>
      </c>
      <c r="U4575">
        <v>473.773563860161</v>
      </c>
      <c r="V4575">
        <v>3.0518819938962299E-3</v>
      </c>
      <c r="W4575">
        <v>1821840.9919417801</v>
      </c>
      <c r="X4575" t="s">
        <v>28</v>
      </c>
      <c r="Y4575">
        <f>1-755-144-6807</f>
        <v>-7705</v>
      </c>
    </row>
    <row r="4576" spans="1:25" x14ac:dyDescent="0.35">
      <c r="A4576">
        <v>40.157226873358603</v>
      </c>
      <c r="B4576">
        <v>-123.21891070821501</v>
      </c>
      <c r="C4576" t="s">
        <v>29</v>
      </c>
      <c r="D4576">
        <v>10.2470661687702</v>
      </c>
      <c r="E4576">
        <v>3</v>
      </c>
      <c r="F4576">
        <v>4393</v>
      </c>
      <c r="G4576">
        <v>5</v>
      </c>
      <c r="H4576">
        <v>1</v>
      </c>
      <c r="I4576">
        <v>1962</v>
      </c>
      <c r="J4576">
        <v>0</v>
      </c>
      <c r="K4576">
        <v>1</v>
      </c>
      <c r="L4576">
        <v>1</v>
      </c>
      <c r="M4576">
        <v>10</v>
      </c>
      <c r="N4576" t="s">
        <v>26</v>
      </c>
      <c r="O4576" t="s">
        <v>32</v>
      </c>
      <c r="P4576">
        <v>13.6356975312379</v>
      </c>
      <c r="Q4576">
        <v>1.88615743196897</v>
      </c>
      <c r="R4576">
        <v>3.1834943825253101</v>
      </c>
      <c r="S4576">
        <v>174</v>
      </c>
      <c r="T4576">
        <v>57</v>
      </c>
      <c r="U4576">
        <v>889.50942445587702</v>
      </c>
      <c r="V4576">
        <v>2.27634873662645E-3</v>
      </c>
      <c r="W4576">
        <v>4290753.0982746799</v>
      </c>
      <c r="X4576" t="s">
        <v>39</v>
      </c>
      <c r="Y4576">
        <f>1-547-161-7499</f>
        <v>-8206</v>
      </c>
    </row>
    <row r="4577" spans="1:25" x14ac:dyDescent="0.35">
      <c r="A4577">
        <v>41.128296840434402</v>
      </c>
      <c r="B4577">
        <v>-118.21973537565999</v>
      </c>
      <c r="C4577" t="s">
        <v>29</v>
      </c>
      <c r="D4577">
        <v>3.1487662982110098</v>
      </c>
      <c r="E4577">
        <v>3</v>
      </c>
      <c r="F4577">
        <v>4766</v>
      </c>
      <c r="G4577">
        <v>5</v>
      </c>
      <c r="H4577">
        <v>1</v>
      </c>
      <c r="I4577">
        <v>1996</v>
      </c>
      <c r="J4577">
        <v>0</v>
      </c>
      <c r="K4577">
        <v>0</v>
      </c>
      <c r="L4577">
        <v>0</v>
      </c>
      <c r="M4577">
        <v>13</v>
      </c>
      <c r="N4577" t="s">
        <v>41</v>
      </c>
      <c r="O4577" t="s">
        <v>30</v>
      </c>
      <c r="P4577">
        <v>3.19385802624087</v>
      </c>
      <c r="Q4577">
        <v>1.3568079862428299</v>
      </c>
      <c r="R4577">
        <v>5.9041808293647202</v>
      </c>
      <c r="S4577">
        <v>12</v>
      </c>
      <c r="T4577">
        <v>42</v>
      </c>
      <c r="U4577">
        <v>326.45831250130402</v>
      </c>
      <c r="V4577">
        <v>2.72765421737305E-3</v>
      </c>
      <c r="W4577">
        <v>1853534.26708683</v>
      </c>
      <c r="X4577" t="s">
        <v>39</v>
      </c>
      <c r="Y4577">
        <f>1-462-790-9199</f>
        <v>-10450</v>
      </c>
    </row>
    <row r="4578" spans="1:25" x14ac:dyDescent="0.35">
      <c r="A4578">
        <v>32.7543541561704</v>
      </c>
      <c r="B4578">
        <v>-124.189894586861</v>
      </c>
      <c r="C4578" t="s">
        <v>29</v>
      </c>
      <c r="D4578">
        <v>1.4989016300470399</v>
      </c>
      <c r="E4578">
        <v>1</v>
      </c>
      <c r="F4578">
        <v>4961</v>
      </c>
      <c r="G4578">
        <v>2</v>
      </c>
      <c r="H4578">
        <v>1</v>
      </c>
      <c r="I4578">
        <v>1994</v>
      </c>
      <c r="J4578">
        <v>0</v>
      </c>
      <c r="K4578">
        <v>0</v>
      </c>
      <c r="L4578">
        <v>1</v>
      </c>
      <c r="M4578">
        <v>7</v>
      </c>
      <c r="N4578" t="s">
        <v>37</v>
      </c>
      <c r="O4578" t="s">
        <v>32</v>
      </c>
      <c r="P4578">
        <v>2.0867910797616198</v>
      </c>
      <c r="Q4578">
        <v>1.92085147414329</v>
      </c>
      <c r="R4578">
        <v>0.32794435826135898</v>
      </c>
      <c r="S4578">
        <v>57</v>
      </c>
      <c r="T4578">
        <v>70</v>
      </c>
      <c r="U4578">
        <v>815.69751470995595</v>
      </c>
      <c r="V4578">
        <v>1.4110058455956401E-3</v>
      </c>
      <c r="W4578">
        <v>4114661.4328635298</v>
      </c>
      <c r="X4578" t="s">
        <v>28</v>
      </c>
      <c r="Y4578">
        <f>1-550-198-8435</f>
        <v>-9182</v>
      </c>
    </row>
    <row r="4579" spans="1:25" x14ac:dyDescent="0.35">
      <c r="A4579">
        <v>32.542678626991901</v>
      </c>
      <c r="B4579">
        <v>-120.782937228164</v>
      </c>
      <c r="C4579" t="s">
        <v>34</v>
      </c>
      <c r="D4579">
        <v>9.2588233244821705</v>
      </c>
      <c r="E4579">
        <v>4</v>
      </c>
      <c r="F4579">
        <v>1685</v>
      </c>
      <c r="G4579">
        <v>5</v>
      </c>
      <c r="H4579">
        <v>2</v>
      </c>
      <c r="I4579">
        <v>2015</v>
      </c>
      <c r="J4579">
        <v>0</v>
      </c>
      <c r="K4579">
        <v>0</v>
      </c>
      <c r="L4579">
        <v>0</v>
      </c>
      <c r="M4579">
        <v>3</v>
      </c>
      <c r="N4579" t="s">
        <v>26</v>
      </c>
      <c r="O4579" t="s">
        <v>27</v>
      </c>
      <c r="P4579">
        <v>11.2243418571079</v>
      </c>
      <c r="Q4579">
        <v>0.72908207448079898</v>
      </c>
      <c r="R4579">
        <v>9.07150820116739</v>
      </c>
      <c r="S4579">
        <v>41</v>
      </c>
      <c r="T4579">
        <v>75</v>
      </c>
      <c r="U4579">
        <v>539.02970852631597</v>
      </c>
      <c r="V4579">
        <v>1.7804154302670601E-3</v>
      </c>
      <c r="W4579">
        <v>1250423.8113547401</v>
      </c>
      <c r="X4579" t="s">
        <v>28</v>
      </c>
      <c r="Y4579">
        <f>1-972-275-4495</f>
        <v>-5741</v>
      </c>
    </row>
    <row r="4580" spans="1:25" x14ac:dyDescent="0.35">
      <c r="A4580">
        <v>38.728531497075203</v>
      </c>
      <c r="B4580">
        <v>-118.058083011298</v>
      </c>
      <c r="C4580" t="s">
        <v>29</v>
      </c>
      <c r="D4580">
        <v>36.501236960281602</v>
      </c>
      <c r="E4580">
        <v>6</v>
      </c>
      <c r="F4580">
        <v>2318</v>
      </c>
      <c r="G4580">
        <v>1</v>
      </c>
      <c r="H4580">
        <v>3</v>
      </c>
      <c r="I4580">
        <v>1967</v>
      </c>
      <c r="J4580">
        <v>1</v>
      </c>
      <c r="K4580">
        <v>0</v>
      </c>
      <c r="L4580">
        <v>1</v>
      </c>
      <c r="M4580">
        <v>13</v>
      </c>
      <c r="N4580" t="s">
        <v>37</v>
      </c>
      <c r="O4580" t="s">
        <v>30</v>
      </c>
      <c r="P4580">
        <v>12.651441926165701</v>
      </c>
      <c r="Q4580">
        <v>1.87394561406631</v>
      </c>
      <c r="R4580">
        <v>0.34417618971571401</v>
      </c>
      <c r="S4580">
        <v>187</v>
      </c>
      <c r="T4580">
        <v>32</v>
      </c>
      <c r="U4580">
        <v>742.023125878271</v>
      </c>
      <c r="V4580">
        <v>5.6082830025884298E-3</v>
      </c>
      <c r="W4580">
        <v>1999587.7496339399</v>
      </c>
      <c r="X4580" t="s">
        <v>42</v>
      </c>
      <c r="Y4580">
        <f>1-650-888-4199</f>
        <v>-5736</v>
      </c>
    </row>
    <row r="4581" spans="1:25" x14ac:dyDescent="0.35">
      <c r="A4581">
        <v>40.101152058216599</v>
      </c>
      <c r="B4581">
        <v>-120.94249063145899</v>
      </c>
      <c r="C4581" t="s">
        <v>25</v>
      </c>
      <c r="D4581">
        <v>41.589351243471199</v>
      </c>
      <c r="E4581">
        <v>0</v>
      </c>
      <c r="F4581">
        <v>2918</v>
      </c>
      <c r="G4581">
        <v>2</v>
      </c>
      <c r="H4581">
        <v>2</v>
      </c>
      <c r="I4581">
        <v>1973</v>
      </c>
      <c r="J4581">
        <v>1</v>
      </c>
      <c r="K4581">
        <v>1</v>
      </c>
      <c r="L4581">
        <v>0</v>
      </c>
      <c r="M4581">
        <v>10</v>
      </c>
      <c r="N4581" t="s">
        <v>26</v>
      </c>
      <c r="O4581" t="s">
        <v>32</v>
      </c>
      <c r="P4581">
        <v>6.1109438982937796</v>
      </c>
      <c r="Q4581">
        <v>1.11211654502402</v>
      </c>
      <c r="R4581">
        <v>3.5563406164595501</v>
      </c>
      <c r="S4581">
        <v>4</v>
      </c>
      <c r="T4581">
        <v>61</v>
      </c>
      <c r="U4581">
        <v>333.69874634533198</v>
      </c>
      <c r="V4581">
        <v>3.42700479780671E-3</v>
      </c>
      <c r="W4581">
        <v>1267930.99686849</v>
      </c>
      <c r="X4581" t="s">
        <v>28</v>
      </c>
      <c r="Y4581">
        <f>1-770-780-2492</f>
        <v>-4041</v>
      </c>
    </row>
    <row r="4582" spans="1:25" x14ac:dyDescent="0.35">
      <c r="A4582">
        <v>39.7514150488146</v>
      </c>
      <c r="B4582">
        <v>-119.948695927876</v>
      </c>
      <c r="C4582" t="s">
        <v>29</v>
      </c>
      <c r="D4582">
        <v>22.9216846322722</v>
      </c>
      <c r="E4582">
        <v>9</v>
      </c>
      <c r="F4582">
        <v>3885</v>
      </c>
      <c r="G4582">
        <v>4</v>
      </c>
      <c r="H4582">
        <v>1</v>
      </c>
      <c r="I4582">
        <v>2010</v>
      </c>
      <c r="J4582">
        <v>1</v>
      </c>
      <c r="K4582">
        <v>0</v>
      </c>
      <c r="L4582">
        <v>0</v>
      </c>
      <c r="M4582">
        <v>12</v>
      </c>
      <c r="N4582" t="s">
        <v>35</v>
      </c>
      <c r="O4582" t="s">
        <v>32</v>
      </c>
      <c r="P4582">
        <v>4.9742094830483898</v>
      </c>
      <c r="Q4582">
        <v>1.1821773349324201</v>
      </c>
      <c r="R4582">
        <v>3.9083523793483499</v>
      </c>
      <c r="S4582">
        <v>134</v>
      </c>
      <c r="T4582">
        <v>68</v>
      </c>
      <c r="U4582">
        <v>361.992099746598</v>
      </c>
      <c r="V4582">
        <v>3.0888030888030801E-3</v>
      </c>
      <c r="W4582">
        <v>1642176.4275060799</v>
      </c>
      <c r="X4582" t="s">
        <v>39</v>
      </c>
      <c r="Y4582">
        <f>1-883-103-2415</f>
        <v>-3400</v>
      </c>
    </row>
    <row r="4583" spans="1:25" x14ac:dyDescent="0.35">
      <c r="A4583">
        <v>35.275087522398003</v>
      </c>
      <c r="B4583">
        <v>-123.294513454417</v>
      </c>
      <c r="C4583" t="s">
        <v>34</v>
      </c>
      <c r="D4583">
        <v>31.796588947903899</v>
      </c>
      <c r="E4583">
        <v>5</v>
      </c>
      <c r="F4583">
        <v>2809</v>
      </c>
      <c r="G4583">
        <v>4</v>
      </c>
      <c r="H4583">
        <v>3</v>
      </c>
      <c r="I4583">
        <v>1986</v>
      </c>
      <c r="J4583">
        <v>1</v>
      </c>
      <c r="K4583">
        <v>0</v>
      </c>
      <c r="L4583">
        <v>1</v>
      </c>
      <c r="M4583">
        <v>4</v>
      </c>
      <c r="N4583" t="s">
        <v>26</v>
      </c>
      <c r="O4583" t="s">
        <v>30</v>
      </c>
      <c r="P4583">
        <v>12.202338980429699</v>
      </c>
      <c r="Q4583">
        <v>2.1581729127273799</v>
      </c>
      <c r="R4583">
        <v>1.1602389152312</v>
      </c>
      <c r="S4583">
        <v>14</v>
      </c>
      <c r="T4583">
        <v>26</v>
      </c>
      <c r="U4583">
        <v>375.482621255205</v>
      </c>
      <c r="V4583">
        <v>1.4239943040227801E-3</v>
      </c>
      <c r="W4583">
        <v>1521887.50814575</v>
      </c>
      <c r="X4583" t="s">
        <v>39</v>
      </c>
      <c r="Y4583">
        <f>1-935-372-7545</f>
        <v>-8851</v>
      </c>
    </row>
    <row r="4584" spans="1:25" x14ac:dyDescent="0.35">
      <c r="A4584">
        <v>38.656402320711599</v>
      </c>
      <c r="B4584">
        <v>-115.88165219446201</v>
      </c>
      <c r="C4584" t="s">
        <v>34</v>
      </c>
      <c r="D4584">
        <v>42.0923765723971</v>
      </c>
      <c r="E4584">
        <v>8</v>
      </c>
      <c r="F4584">
        <v>668</v>
      </c>
      <c r="G4584">
        <v>2</v>
      </c>
      <c r="H4584">
        <v>3</v>
      </c>
      <c r="I4584">
        <v>1990</v>
      </c>
      <c r="J4584">
        <v>1</v>
      </c>
      <c r="K4584">
        <v>0</v>
      </c>
      <c r="L4584">
        <v>0</v>
      </c>
      <c r="M4584">
        <v>7</v>
      </c>
      <c r="N4584" t="s">
        <v>35</v>
      </c>
      <c r="O4584" t="s">
        <v>30</v>
      </c>
      <c r="P4584">
        <v>3.9684173464555701</v>
      </c>
      <c r="Q4584">
        <v>1.2696380173095301</v>
      </c>
      <c r="R4584">
        <v>0.89915073155593706</v>
      </c>
      <c r="S4584">
        <v>129</v>
      </c>
      <c r="T4584">
        <v>68</v>
      </c>
      <c r="U4584">
        <v>790.47925034566504</v>
      </c>
      <c r="V4584">
        <v>1.04790419161676E-2</v>
      </c>
      <c r="W4584">
        <v>746112.94201924698</v>
      </c>
      <c r="X4584" t="s">
        <v>43</v>
      </c>
      <c r="Y4584">
        <f>1-863-368-3057</f>
        <v>-4287</v>
      </c>
    </row>
    <row r="4585" spans="1:25" x14ac:dyDescent="0.35">
      <c r="A4585">
        <v>37.445153897330897</v>
      </c>
      <c r="B4585">
        <v>-117.001042789433</v>
      </c>
      <c r="C4585" t="s">
        <v>25</v>
      </c>
      <c r="D4585">
        <v>21.650319982622101</v>
      </c>
      <c r="E4585">
        <v>3</v>
      </c>
      <c r="F4585">
        <v>4562</v>
      </c>
      <c r="G4585">
        <v>3</v>
      </c>
      <c r="H4585">
        <v>1</v>
      </c>
      <c r="I4585">
        <v>1978</v>
      </c>
      <c r="J4585">
        <v>0</v>
      </c>
      <c r="K4585">
        <v>1</v>
      </c>
      <c r="L4585">
        <v>0</v>
      </c>
      <c r="M4585">
        <v>10</v>
      </c>
      <c r="N4585" t="s">
        <v>37</v>
      </c>
      <c r="O4585" t="s">
        <v>27</v>
      </c>
      <c r="P4585">
        <v>4.9899766493363096</v>
      </c>
      <c r="Q4585">
        <v>0.56152342745859096</v>
      </c>
      <c r="R4585">
        <v>7.5364561012400504</v>
      </c>
      <c r="S4585">
        <v>2</v>
      </c>
      <c r="T4585">
        <v>25</v>
      </c>
      <c r="U4585">
        <v>204.35413898360099</v>
      </c>
      <c r="V4585">
        <v>2.19202104340201E-3</v>
      </c>
      <c r="W4585">
        <v>1215479.8174532801</v>
      </c>
      <c r="X4585" t="s">
        <v>39</v>
      </c>
      <c r="Y4585">
        <f>1-221-748-9319</f>
        <v>-10287</v>
      </c>
    </row>
    <row r="4586" spans="1:25" x14ac:dyDescent="0.35">
      <c r="A4586">
        <v>36.614885487595899</v>
      </c>
      <c r="B4586">
        <v>-117.627121310999</v>
      </c>
      <c r="C4586" t="s">
        <v>29</v>
      </c>
      <c r="D4586">
        <v>23.120227543590602</v>
      </c>
      <c r="E4586">
        <v>4</v>
      </c>
      <c r="F4586">
        <v>3366</v>
      </c>
      <c r="G4586">
        <v>3</v>
      </c>
      <c r="H4586">
        <v>3</v>
      </c>
      <c r="I4586">
        <v>1982</v>
      </c>
      <c r="J4586">
        <v>0</v>
      </c>
      <c r="K4586">
        <v>1</v>
      </c>
      <c r="L4586">
        <v>0</v>
      </c>
      <c r="M4586">
        <v>7</v>
      </c>
      <c r="N4586" t="s">
        <v>37</v>
      </c>
      <c r="O4586" t="s">
        <v>27</v>
      </c>
      <c r="P4586">
        <v>10.9990365328579</v>
      </c>
      <c r="Q4586">
        <v>2.3748272003522999</v>
      </c>
      <c r="R4586">
        <v>1.7409264018541699</v>
      </c>
      <c r="S4586">
        <v>152</v>
      </c>
      <c r="T4586">
        <v>78</v>
      </c>
      <c r="U4586">
        <v>317.30079176769601</v>
      </c>
      <c r="V4586">
        <v>2.0796197266785498E-3</v>
      </c>
      <c r="W4586">
        <v>1481141.2021643501</v>
      </c>
      <c r="X4586" t="s">
        <v>31</v>
      </c>
      <c r="Y4586">
        <f>1-342-829-9888</f>
        <v>-11058</v>
      </c>
    </row>
    <row r="4587" spans="1:25" x14ac:dyDescent="0.35">
      <c r="A4587">
        <v>39.3520323304813</v>
      </c>
      <c r="B4587">
        <v>-122.985661157748</v>
      </c>
      <c r="C4587" t="s">
        <v>29</v>
      </c>
      <c r="D4587">
        <v>26.511453536942899</v>
      </c>
      <c r="E4587">
        <v>5</v>
      </c>
      <c r="F4587">
        <v>1286</v>
      </c>
      <c r="G4587">
        <v>4</v>
      </c>
      <c r="H4587">
        <v>2</v>
      </c>
      <c r="I4587">
        <v>2021</v>
      </c>
      <c r="J4587">
        <v>1</v>
      </c>
      <c r="K4587">
        <v>1</v>
      </c>
      <c r="L4587">
        <v>0</v>
      </c>
      <c r="M4587">
        <v>14</v>
      </c>
      <c r="N4587" t="s">
        <v>41</v>
      </c>
      <c r="O4587" t="s">
        <v>27</v>
      </c>
      <c r="P4587">
        <v>14.9811680446366</v>
      </c>
      <c r="Q4587">
        <v>2.1790293865624699</v>
      </c>
      <c r="R4587">
        <v>2.0002212920259899</v>
      </c>
      <c r="S4587">
        <v>55</v>
      </c>
      <c r="T4587">
        <v>36</v>
      </c>
      <c r="U4587">
        <v>641.97708678884999</v>
      </c>
      <c r="V4587">
        <v>1.08864696734059E-2</v>
      </c>
      <c r="W4587">
        <v>1396362.1904036701</v>
      </c>
      <c r="X4587" t="s">
        <v>33</v>
      </c>
      <c r="Y4587">
        <f>1-469-590-8163</f>
        <v>-9221</v>
      </c>
    </row>
    <row r="4588" spans="1:25" x14ac:dyDescent="0.35">
      <c r="A4588">
        <v>40.171079409772403</v>
      </c>
      <c r="B4588">
        <v>-123.60920447855101</v>
      </c>
      <c r="C4588" t="s">
        <v>34</v>
      </c>
      <c r="D4588">
        <v>23.598337872200801</v>
      </c>
      <c r="E4588">
        <v>6</v>
      </c>
      <c r="F4588">
        <v>1079</v>
      </c>
      <c r="G4588">
        <v>4</v>
      </c>
      <c r="H4588">
        <v>1</v>
      </c>
      <c r="I4588">
        <v>2021</v>
      </c>
      <c r="J4588">
        <v>0</v>
      </c>
      <c r="K4588">
        <v>0</v>
      </c>
      <c r="L4588">
        <v>1</v>
      </c>
      <c r="M4588">
        <v>11</v>
      </c>
      <c r="N4588" t="s">
        <v>41</v>
      </c>
      <c r="O4588" t="s">
        <v>30</v>
      </c>
      <c r="P4588">
        <v>6.4349555227703403</v>
      </c>
      <c r="Q4588">
        <v>0.55575243194088697</v>
      </c>
      <c r="R4588">
        <v>0.27768222423023398</v>
      </c>
      <c r="S4588">
        <v>71</v>
      </c>
      <c r="T4588">
        <v>65</v>
      </c>
      <c r="U4588">
        <v>758.05966657111696</v>
      </c>
      <c r="V4588">
        <v>1.0194624652455899E-2</v>
      </c>
      <c r="W4588">
        <v>1125894.3591038601</v>
      </c>
      <c r="X4588" t="s">
        <v>36</v>
      </c>
      <c r="Y4588">
        <f>1-824-615-7083</f>
        <v>-8521</v>
      </c>
    </row>
    <row r="4589" spans="1:25" x14ac:dyDescent="0.35">
      <c r="A4589">
        <v>37.150127897882903</v>
      </c>
      <c r="B4589">
        <v>-119.41703842750999</v>
      </c>
      <c r="C4589" t="s">
        <v>29</v>
      </c>
      <c r="D4589">
        <v>8.3244980975267708</v>
      </c>
      <c r="E4589">
        <v>3</v>
      </c>
      <c r="F4589">
        <v>1805</v>
      </c>
      <c r="G4589">
        <v>3</v>
      </c>
      <c r="H4589">
        <v>1</v>
      </c>
      <c r="I4589">
        <v>1981</v>
      </c>
      <c r="J4589">
        <v>1</v>
      </c>
      <c r="K4589">
        <v>1</v>
      </c>
      <c r="L4589">
        <v>1</v>
      </c>
      <c r="M4589">
        <v>13</v>
      </c>
      <c r="N4589" t="s">
        <v>37</v>
      </c>
      <c r="O4589" t="s">
        <v>32</v>
      </c>
      <c r="P4589">
        <v>4.7798767570554297</v>
      </c>
      <c r="Q4589">
        <v>0.52766285573476801</v>
      </c>
      <c r="R4589">
        <v>2.6437621249346202</v>
      </c>
      <c r="S4589">
        <v>191</v>
      </c>
      <c r="T4589">
        <v>78</v>
      </c>
      <c r="U4589">
        <v>871.38850177757797</v>
      </c>
      <c r="V4589">
        <v>7.2022160664819901E-3</v>
      </c>
      <c r="W4589">
        <v>1922495.54171732</v>
      </c>
      <c r="X4589" t="s">
        <v>43</v>
      </c>
      <c r="Y4589">
        <f>1-487-337-9415</f>
        <v>-10238</v>
      </c>
    </row>
    <row r="4590" spans="1:25" x14ac:dyDescent="0.35">
      <c r="A4590">
        <v>37.081888283369103</v>
      </c>
      <c r="B4590">
        <v>-114.789637377544</v>
      </c>
      <c r="C4590" t="s">
        <v>34</v>
      </c>
      <c r="D4590">
        <v>46.152594977573898</v>
      </c>
      <c r="E4590">
        <v>5</v>
      </c>
      <c r="F4590">
        <v>1771</v>
      </c>
      <c r="G4590">
        <v>5</v>
      </c>
      <c r="H4590">
        <v>3</v>
      </c>
      <c r="I4590">
        <v>2021</v>
      </c>
      <c r="J4590">
        <v>1</v>
      </c>
      <c r="K4590">
        <v>0</v>
      </c>
      <c r="L4590">
        <v>0</v>
      </c>
      <c r="M4590">
        <v>10</v>
      </c>
      <c r="N4590" t="s">
        <v>41</v>
      </c>
      <c r="O4590" t="s">
        <v>27</v>
      </c>
      <c r="P4590">
        <v>11.444842156282601</v>
      </c>
      <c r="Q4590">
        <v>0.91399666005628999</v>
      </c>
      <c r="R4590">
        <v>0.73747005124409104</v>
      </c>
      <c r="S4590">
        <v>39</v>
      </c>
      <c r="T4590">
        <v>53</v>
      </c>
      <c r="U4590">
        <v>770.64130414461295</v>
      </c>
      <c r="V4590">
        <v>5.6465273856578201E-3</v>
      </c>
      <c r="W4590">
        <v>1840736.5431675201</v>
      </c>
      <c r="X4590" t="s">
        <v>39</v>
      </c>
      <c r="Y4590">
        <f>1-363-557-6072</f>
        <v>-6991</v>
      </c>
    </row>
    <row r="4591" spans="1:25" x14ac:dyDescent="0.35">
      <c r="A4591">
        <v>35.345865625395099</v>
      </c>
      <c r="B4591">
        <v>-114.78365821240899</v>
      </c>
      <c r="C4591" t="s">
        <v>34</v>
      </c>
      <c r="D4591">
        <v>23.248267437679601</v>
      </c>
      <c r="E4591">
        <v>7</v>
      </c>
      <c r="F4591">
        <v>1360</v>
      </c>
      <c r="G4591">
        <v>5</v>
      </c>
      <c r="H4591">
        <v>2</v>
      </c>
      <c r="I4591">
        <v>1953</v>
      </c>
      <c r="J4591">
        <v>0</v>
      </c>
      <c r="K4591">
        <v>1</v>
      </c>
      <c r="L4591">
        <v>0</v>
      </c>
      <c r="M4591">
        <v>13</v>
      </c>
      <c r="N4591" t="s">
        <v>37</v>
      </c>
      <c r="O4591" t="s">
        <v>30</v>
      </c>
      <c r="P4591">
        <v>7.4220889739176004</v>
      </c>
      <c r="Q4591">
        <v>2.0937035541503102</v>
      </c>
      <c r="R4591">
        <v>7.2395930638818298</v>
      </c>
      <c r="S4591">
        <v>126</v>
      </c>
      <c r="T4591">
        <v>43</v>
      </c>
      <c r="U4591">
        <v>766.44065737973006</v>
      </c>
      <c r="V4591">
        <v>9.5588235294117602E-3</v>
      </c>
      <c r="W4591">
        <v>1375777.52958134</v>
      </c>
      <c r="X4591" t="s">
        <v>42</v>
      </c>
      <c r="Y4591">
        <f>1-239-404-9105</f>
        <v>-9747</v>
      </c>
    </row>
    <row r="4592" spans="1:25" x14ac:dyDescent="0.35">
      <c r="A4592">
        <v>34.8870932049144</v>
      </c>
      <c r="B4592">
        <v>-121.424479596807</v>
      </c>
      <c r="C4592" t="s">
        <v>34</v>
      </c>
      <c r="D4592">
        <v>35.938323757004298</v>
      </c>
      <c r="E4592">
        <v>7</v>
      </c>
      <c r="F4592">
        <v>3636</v>
      </c>
      <c r="G4592">
        <v>1</v>
      </c>
      <c r="H4592">
        <v>3</v>
      </c>
      <c r="I4592">
        <v>1974</v>
      </c>
      <c r="J4592">
        <v>1</v>
      </c>
      <c r="K4592">
        <v>1</v>
      </c>
      <c r="L4592">
        <v>1</v>
      </c>
      <c r="M4592">
        <v>6</v>
      </c>
      <c r="N4592" t="s">
        <v>26</v>
      </c>
      <c r="O4592" t="s">
        <v>27</v>
      </c>
      <c r="P4592">
        <v>12.683208945809501</v>
      </c>
      <c r="Q4592">
        <v>1.2378523701930999</v>
      </c>
      <c r="R4592">
        <v>1.3753558927807299</v>
      </c>
      <c r="S4592">
        <v>155</v>
      </c>
      <c r="T4592">
        <v>39</v>
      </c>
      <c r="U4592">
        <v>800.99328592392703</v>
      </c>
      <c r="V4592">
        <v>1.65016501650165E-3</v>
      </c>
      <c r="W4592">
        <v>3271869.98128147</v>
      </c>
      <c r="X4592" t="s">
        <v>31</v>
      </c>
      <c r="Y4592">
        <f>1-322-377-7795</f>
        <v>-8493</v>
      </c>
    </row>
    <row r="4593" spans="1:25" x14ac:dyDescent="0.35">
      <c r="A4593">
        <v>40.8289746280104</v>
      </c>
      <c r="B4593">
        <v>-123.43174087674799</v>
      </c>
      <c r="C4593" t="s">
        <v>34</v>
      </c>
      <c r="D4593">
        <v>42.777910474379802</v>
      </c>
      <c r="E4593">
        <v>1</v>
      </c>
      <c r="F4593">
        <v>1996</v>
      </c>
      <c r="G4593">
        <v>1</v>
      </c>
      <c r="H4593">
        <v>2</v>
      </c>
      <c r="I4593">
        <v>1991</v>
      </c>
      <c r="J4593">
        <v>1</v>
      </c>
      <c r="K4593">
        <v>1</v>
      </c>
      <c r="L4593">
        <v>1</v>
      </c>
      <c r="M4593">
        <v>5</v>
      </c>
      <c r="N4593" t="s">
        <v>37</v>
      </c>
      <c r="O4593" t="s">
        <v>32</v>
      </c>
      <c r="P4593">
        <v>5.1208822759247603</v>
      </c>
      <c r="Q4593">
        <v>0.63452576291949703</v>
      </c>
      <c r="R4593">
        <v>7.2063234971801204</v>
      </c>
      <c r="S4593">
        <v>60</v>
      </c>
      <c r="T4593">
        <v>53</v>
      </c>
      <c r="U4593">
        <v>268.487280139912</v>
      </c>
      <c r="V4593">
        <v>2.5050100200400801E-3</v>
      </c>
      <c r="W4593">
        <v>912301.79892654601</v>
      </c>
      <c r="X4593" t="s">
        <v>38</v>
      </c>
      <c r="Y4593">
        <f>1-765-610-6470</f>
        <v>-7844</v>
      </c>
    </row>
    <row r="4594" spans="1:25" x14ac:dyDescent="0.35">
      <c r="A4594">
        <v>40.976587311741099</v>
      </c>
      <c r="B4594">
        <v>-117.64409021688201</v>
      </c>
      <c r="C4594" t="s">
        <v>29</v>
      </c>
      <c r="D4594">
        <v>36.921441416436203</v>
      </c>
      <c r="E4594">
        <v>8</v>
      </c>
      <c r="F4594">
        <v>4879</v>
      </c>
      <c r="G4594">
        <v>3</v>
      </c>
      <c r="H4594">
        <v>2</v>
      </c>
      <c r="I4594">
        <v>2013</v>
      </c>
      <c r="J4594">
        <v>0</v>
      </c>
      <c r="K4594">
        <v>0</v>
      </c>
      <c r="L4594">
        <v>1</v>
      </c>
      <c r="M4594">
        <v>8</v>
      </c>
      <c r="N4594" t="s">
        <v>37</v>
      </c>
      <c r="O4594" t="s">
        <v>27</v>
      </c>
      <c r="P4594">
        <v>14.0913364493471</v>
      </c>
      <c r="Q4594">
        <v>1.9047413295853599</v>
      </c>
      <c r="R4594">
        <v>7.2107096948850096</v>
      </c>
      <c r="S4594">
        <v>94</v>
      </c>
      <c r="T4594">
        <v>43</v>
      </c>
      <c r="U4594">
        <v>319.16895240983098</v>
      </c>
      <c r="V4594">
        <v>1.63968026234884E-3</v>
      </c>
      <c r="W4594">
        <v>1931319.2729094301</v>
      </c>
      <c r="X4594" t="s">
        <v>39</v>
      </c>
      <c r="Y4594">
        <f>1-991-991-8792</f>
        <v>-10773</v>
      </c>
    </row>
    <row r="4595" spans="1:25" x14ac:dyDescent="0.35">
      <c r="A4595">
        <v>40.002421528472397</v>
      </c>
      <c r="B4595">
        <v>-118.67358358553599</v>
      </c>
      <c r="C4595" t="s">
        <v>34</v>
      </c>
      <c r="D4595">
        <v>11.4248058648722</v>
      </c>
      <c r="E4595">
        <v>0</v>
      </c>
      <c r="F4595">
        <v>3466</v>
      </c>
      <c r="G4595">
        <v>1</v>
      </c>
      <c r="H4595">
        <v>3</v>
      </c>
      <c r="I4595">
        <v>2015</v>
      </c>
      <c r="J4595">
        <v>0</v>
      </c>
      <c r="K4595">
        <v>1</v>
      </c>
      <c r="L4595">
        <v>1</v>
      </c>
      <c r="M4595">
        <v>10</v>
      </c>
      <c r="N4595" t="s">
        <v>35</v>
      </c>
      <c r="O4595" t="s">
        <v>27</v>
      </c>
      <c r="P4595">
        <v>5.5462948457062797</v>
      </c>
      <c r="Q4595">
        <v>0.61982940210652604</v>
      </c>
      <c r="R4595">
        <v>5.7328384567476602</v>
      </c>
      <c r="S4595">
        <v>53</v>
      </c>
      <c r="T4595">
        <v>37</v>
      </c>
      <c r="U4595">
        <v>589.83843866183702</v>
      </c>
      <c r="V4595">
        <v>2.8851702250432699E-3</v>
      </c>
      <c r="W4595">
        <v>2361449.9849633798</v>
      </c>
      <c r="X4595" t="s">
        <v>43</v>
      </c>
      <c r="Y4595">
        <f>1-947-224-4831</f>
        <v>-6001</v>
      </c>
    </row>
    <row r="4596" spans="1:25" x14ac:dyDescent="0.35">
      <c r="A4596">
        <v>39.252836127574497</v>
      </c>
      <c r="B4596">
        <v>-115.61784564977</v>
      </c>
      <c r="C4596" t="s">
        <v>25</v>
      </c>
      <c r="D4596">
        <v>13.3527329279584</v>
      </c>
      <c r="E4596">
        <v>6</v>
      </c>
      <c r="F4596">
        <v>558</v>
      </c>
      <c r="G4596">
        <v>2</v>
      </c>
      <c r="H4596">
        <v>2</v>
      </c>
      <c r="I4596">
        <v>1956</v>
      </c>
      <c r="J4596">
        <v>0</v>
      </c>
      <c r="K4596">
        <v>0</v>
      </c>
      <c r="L4596">
        <v>1</v>
      </c>
      <c r="M4596">
        <v>13</v>
      </c>
      <c r="N4596" t="s">
        <v>37</v>
      </c>
      <c r="O4596" t="s">
        <v>27</v>
      </c>
      <c r="P4596">
        <v>8.1896528638392994</v>
      </c>
      <c r="Q4596">
        <v>1.26523371110167</v>
      </c>
      <c r="R4596">
        <v>7.1594082080749697</v>
      </c>
      <c r="S4596">
        <v>110</v>
      </c>
      <c r="T4596">
        <v>58</v>
      </c>
      <c r="U4596">
        <v>358.554382075381</v>
      </c>
      <c r="V4596">
        <v>2.32974910394265E-2</v>
      </c>
      <c r="W4596">
        <v>258645.32118697799</v>
      </c>
      <c r="X4596" t="s">
        <v>36</v>
      </c>
      <c r="Y4596">
        <f>1-697-303-4508</f>
        <v>-5507</v>
      </c>
    </row>
    <row r="4597" spans="1:25" x14ac:dyDescent="0.35">
      <c r="A4597">
        <v>32.676701397929001</v>
      </c>
      <c r="B4597">
        <v>-115.185228331129</v>
      </c>
      <c r="C4597" t="s">
        <v>29</v>
      </c>
      <c r="D4597">
        <v>8.3021460474788302</v>
      </c>
      <c r="E4597">
        <v>8</v>
      </c>
      <c r="F4597">
        <v>1631</v>
      </c>
      <c r="G4597">
        <v>3</v>
      </c>
      <c r="H4597">
        <v>1</v>
      </c>
      <c r="I4597">
        <v>1986</v>
      </c>
      <c r="J4597">
        <v>1</v>
      </c>
      <c r="K4597">
        <v>1</v>
      </c>
      <c r="L4597">
        <v>0</v>
      </c>
      <c r="M4597">
        <v>4</v>
      </c>
      <c r="N4597" t="s">
        <v>37</v>
      </c>
      <c r="O4597" t="s">
        <v>27</v>
      </c>
      <c r="P4597">
        <v>10.2953618814502</v>
      </c>
      <c r="Q4597">
        <v>1.45762520821347</v>
      </c>
      <c r="R4597">
        <v>7.0794103000789299</v>
      </c>
      <c r="S4597">
        <v>183</v>
      </c>
      <c r="T4597">
        <v>61</v>
      </c>
      <c r="U4597">
        <v>942.681759358352</v>
      </c>
      <c r="V4597">
        <v>2.4524831391784102E-3</v>
      </c>
      <c r="W4597">
        <v>1832393.06014961</v>
      </c>
      <c r="X4597" t="s">
        <v>42</v>
      </c>
      <c r="Y4597">
        <f>1-936-837-2333</f>
        <v>-4105</v>
      </c>
    </row>
    <row r="4598" spans="1:25" x14ac:dyDescent="0.35">
      <c r="A4598">
        <v>37.295933494795499</v>
      </c>
      <c r="B4598">
        <v>-123.90701612589299</v>
      </c>
      <c r="C4598" t="s">
        <v>34</v>
      </c>
      <c r="D4598">
        <v>29.6917111807882</v>
      </c>
      <c r="E4598">
        <v>8</v>
      </c>
      <c r="F4598">
        <v>4265</v>
      </c>
      <c r="G4598">
        <v>2</v>
      </c>
      <c r="H4598">
        <v>2</v>
      </c>
      <c r="I4598">
        <v>2007</v>
      </c>
      <c r="J4598">
        <v>0</v>
      </c>
      <c r="K4598">
        <v>1</v>
      </c>
      <c r="L4598">
        <v>1</v>
      </c>
      <c r="M4598">
        <v>3</v>
      </c>
      <c r="N4598" t="s">
        <v>41</v>
      </c>
      <c r="O4598" t="s">
        <v>32</v>
      </c>
      <c r="P4598">
        <v>10.889177803597001</v>
      </c>
      <c r="Q4598">
        <v>1.0613036122127799</v>
      </c>
      <c r="R4598">
        <v>1.99774980015421</v>
      </c>
      <c r="S4598">
        <v>166</v>
      </c>
      <c r="T4598">
        <v>41</v>
      </c>
      <c r="U4598">
        <v>689.49641767319997</v>
      </c>
      <c r="V4598">
        <v>7.0339976553341103E-4</v>
      </c>
      <c r="W4598">
        <v>3222281.4446334499</v>
      </c>
      <c r="X4598" t="s">
        <v>44</v>
      </c>
      <c r="Y4598">
        <f>1-861-133-8503</f>
        <v>-9496</v>
      </c>
    </row>
    <row r="4599" spans="1:25" x14ac:dyDescent="0.35">
      <c r="A4599">
        <v>37.7696673323453</v>
      </c>
      <c r="B4599">
        <v>-116.889764521437</v>
      </c>
      <c r="C4599" t="s">
        <v>34</v>
      </c>
      <c r="D4599">
        <v>37.093052621384999</v>
      </c>
      <c r="E4599">
        <v>7</v>
      </c>
      <c r="F4599">
        <v>4005</v>
      </c>
      <c r="G4599">
        <v>4</v>
      </c>
      <c r="H4599">
        <v>1</v>
      </c>
      <c r="I4599">
        <v>2018</v>
      </c>
      <c r="J4599">
        <v>0</v>
      </c>
      <c r="K4599">
        <v>1</v>
      </c>
      <c r="L4599">
        <v>1</v>
      </c>
      <c r="M4599">
        <v>11</v>
      </c>
      <c r="N4599" t="s">
        <v>26</v>
      </c>
      <c r="O4599" t="s">
        <v>32</v>
      </c>
      <c r="P4599">
        <v>10.3682190814071</v>
      </c>
      <c r="Q4599">
        <v>1.26345845648688</v>
      </c>
      <c r="R4599">
        <v>5.5655661152266296</v>
      </c>
      <c r="S4599">
        <v>170</v>
      </c>
      <c r="T4599">
        <v>44</v>
      </c>
      <c r="U4599">
        <v>767.33754482185498</v>
      </c>
      <c r="V4599">
        <v>2.7465667915106099E-3</v>
      </c>
      <c r="W4599">
        <v>3430267.7156335302</v>
      </c>
      <c r="X4599" t="s">
        <v>43</v>
      </c>
      <c r="Y4599">
        <f>1-421-427-4863</f>
        <v>-5710</v>
      </c>
    </row>
    <row r="4600" spans="1:25" x14ac:dyDescent="0.35">
      <c r="A4600">
        <v>40.600508491493699</v>
      </c>
      <c r="B4600">
        <v>-120.38136395781601</v>
      </c>
      <c r="C4600" t="s">
        <v>29</v>
      </c>
      <c r="D4600">
        <v>7.6139074790834202</v>
      </c>
      <c r="E4600">
        <v>9</v>
      </c>
      <c r="F4600">
        <v>4514</v>
      </c>
      <c r="G4600">
        <v>1</v>
      </c>
      <c r="H4600">
        <v>1</v>
      </c>
      <c r="I4600">
        <v>1990</v>
      </c>
      <c r="J4600">
        <v>1</v>
      </c>
      <c r="K4600">
        <v>0</v>
      </c>
      <c r="L4600">
        <v>0</v>
      </c>
      <c r="M4600">
        <v>7</v>
      </c>
      <c r="N4600" t="s">
        <v>35</v>
      </c>
      <c r="O4600" t="s">
        <v>32</v>
      </c>
      <c r="P4600">
        <v>11.138982041814</v>
      </c>
      <c r="Q4600">
        <v>1.0339054086780499</v>
      </c>
      <c r="R4600">
        <v>1.74189850003668</v>
      </c>
      <c r="S4600">
        <v>112</v>
      </c>
      <c r="T4600">
        <v>33</v>
      </c>
      <c r="U4600">
        <v>866.38471930175797</v>
      </c>
      <c r="V4600">
        <v>1.55073105892778E-3</v>
      </c>
      <c r="W4600">
        <v>4139666.06360101</v>
      </c>
      <c r="X4600" t="s">
        <v>28</v>
      </c>
      <c r="Y4600">
        <f>1-482-186-1224</f>
        <v>-1891</v>
      </c>
    </row>
    <row r="4601" spans="1:25" x14ac:dyDescent="0.35">
      <c r="A4601">
        <v>41.432150798065599</v>
      </c>
      <c r="B4601">
        <v>-123.630365512753</v>
      </c>
      <c r="C4601" t="s">
        <v>29</v>
      </c>
      <c r="D4601">
        <v>18.0993967210525</v>
      </c>
      <c r="E4601">
        <v>4</v>
      </c>
      <c r="F4601">
        <v>999</v>
      </c>
      <c r="G4601">
        <v>5</v>
      </c>
      <c r="H4601">
        <v>1</v>
      </c>
      <c r="I4601">
        <v>1995</v>
      </c>
      <c r="J4601">
        <v>0</v>
      </c>
      <c r="K4601">
        <v>1</v>
      </c>
      <c r="L4601">
        <v>0</v>
      </c>
      <c r="M4601">
        <v>5</v>
      </c>
      <c r="N4601" t="s">
        <v>41</v>
      </c>
      <c r="O4601" t="s">
        <v>30</v>
      </c>
      <c r="P4601">
        <v>7.7944506105051996</v>
      </c>
      <c r="Q4601">
        <v>1.2837854181021999</v>
      </c>
      <c r="R4601">
        <v>8.9106112887509799</v>
      </c>
      <c r="S4601">
        <v>152</v>
      </c>
      <c r="T4601">
        <v>38</v>
      </c>
      <c r="U4601">
        <v>432.83159367477703</v>
      </c>
      <c r="V4601">
        <v>5.0050050050049998E-3</v>
      </c>
      <c r="W4601">
        <v>804884.23890398105</v>
      </c>
      <c r="X4601" t="s">
        <v>31</v>
      </c>
      <c r="Y4601">
        <f>1-640-405-5973</f>
        <v>-7017</v>
      </c>
    </row>
    <row r="4602" spans="1:25" x14ac:dyDescent="0.35">
      <c r="A4602">
        <v>36.446427711625901</v>
      </c>
      <c r="B4602">
        <v>-123.259546232909</v>
      </c>
      <c r="C4602" t="s">
        <v>29</v>
      </c>
      <c r="D4602">
        <v>47.1995222657741</v>
      </c>
      <c r="E4602">
        <v>9</v>
      </c>
      <c r="F4602">
        <v>4225</v>
      </c>
      <c r="G4602">
        <v>2</v>
      </c>
      <c r="H4602">
        <v>3</v>
      </c>
      <c r="I4602">
        <v>2013</v>
      </c>
      <c r="J4602">
        <v>1</v>
      </c>
      <c r="K4602">
        <v>1</v>
      </c>
      <c r="L4602">
        <v>1</v>
      </c>
      <c r="M4602">
        <v>6</v>
      </c>
      <c r="N4602" t="s">
        <v>37</v>
      </c>
      <c r="O4602" t="s">
        <v>32</v>
      </c>
      <c r="P4602">
        <v>8.7871834430636593</v>
      </c>
      <c r="Q4602">
        <v>1.32578636632942</v>
      </c>
      <c r="R4602">
        <v>2.1933307078330802</v>
      </c>
      <c r="S4602">
        <v>3</v>
      </c>
      <c r="T4602">
        <v>51</v>
      </c>
      <c r="U4602">
        <v>278.32801023249698</v>
      </c>
      <c r="V4602">
        <v>1.4201183431952599E-3</v>
      </c>
      <c r="W4602">
        <v>1594077.89175783</v>
      </c>
      <c r="X4602" t="s">
        <v>40</v>
      </c>
      <c r="Y4602">
        <f>1-780-119-7183</f>
        <v>-8081</v>
      </c>
    </row>
    <row r="4603" spans="1:25" x14ac:dyDescent="0.35">
      <c r="A4603">
        <v>34.017071214476999</v>
      </c>
      <c r="B4603">
        <v>-123.92554592293401</v>
      </c>
      <c r="C4603" t="s">
        <v>29</v>
      </c>
      <c r="D4603">
        <v>43.541472880618201</v>
      </c>
      <c r="E4603">
        <v>1</v>
      </c>
      <c r="F4603">
        <v>1710</v>
      </c>
      <c r="G4603">
        <v>1</v>
      </c>
      <c r="H4603">
        <v>2</v>
      </c>
      <c r="I4603">
        <v>2009</v>
      </c>
      <c r="J4603">
        <v>1</v>
      </c>
      <c r="K4603">
        <v>0</v>
      </c>
      <c r="L4603">
        <v>1</v>
      </c>
      <c r="M4603">
        <v>9</v>
      </c>
      <c r="N4603" t="s">
        <v>37</v>
      </c>
      <c r="O4603" t="s">
        <v>30</v>
      </c>
      <c r="P4603">
        <v>13.4628647504741</v>
      </c>
      <c r="Q4603">
        <v>0.50897397599840799</v>
      </c>
      <c r="R4603">
        <v>6.3102106394573596</v>
      </c>
      <c r="S4603">
        <v>134</v>
      </c>
      <c r="T4603">
        <v>30</v>
      </c>
      <c r="U4603">
        <v>610.82055206451105</v>
      </c>
      <c r="V4603">
        <v>5.2631578947368403E-3</v>
      </c>
      <c r="W4603">
        <v>1391830.3751371801</v>
      </c>
      <c r="X4603" t="s">
        <v>31</v>
      </c>
      <c r="Y4603">
        <f>1-323-467-8054</f>
        <v>-8843</v>
      </c>
    </row>
    <row r="4604" spans="1:25" x14ac:dyDescent="0.35">
      <c r="A4604">
        <v>36.233523355812402</v>
      </c>
      <c r="B4604">
        <v>-117.290332949296</v>
      </c>
      <c r="C4604" t="s">
        <v>25</v>
      </c>
      <c r="D4604">
        <v>22.574546125569402</v>
      </c>
      <c r="E4604">
        <v>6</v>
      </c>
      <c r="F4604">
        <v>4651</v>
      </c>
      <c r="G4604">
        <v>4</v>
      </c>
      <c r="H4604">
        <v>3</v>
      </c>
      <c r="I4604">
        <v>1966</v>
      </c>
      <c r="J4604">
        <v>0</v>
      </c>
      <c r="K4604">
        <v>1</v>
      </c>
      <c r="L4604">
        <v>0</v>
      </c>
      <c r="M4604">
        <v>4</v>
      </c>
      <c r="N4604" t="s">
        <v>35</v>
      </c>
      <c r="O4604" t="s">
        <v>30</v>
      </c>
      <c r="P4604">
        <v>7.8290899761229502</v>
      </c>
      <c r="Q4604">
        <v>1.17629224269748</v>
      </c>
      <c r="R4604">
        <v>8.1353943081884896</v>
      </c>
      <c r="S4604">
        <v>136</v>
      </c>
      <c r="T4604">
        <v>38</v>
      </c>
      <c r="U4604">
        <v>319.091270280478</v>
      </c>
      <c r="V4604">
        <v>8.60030101053536E-4</v>
      </c>
      <c r="W4604">
        <v>1789271.2315748499</v>
      </c>
      <c r="X4604" t="s">
        <v>28</v>
      </c>
      <c r="Y4604">
        <f>1-338-604-5098</f>
        <v>-6039</v>
      </c>
    </row>
    <row r="4605" spans="1:25" x14ac:dyDescent="0.35">
      <c r="A4605">
        <v>41.893248417731201</v>
      </c>
      <c r="B4605">
        <v>-115.135197221933</v>
      </c>
      <c r="C4605" t="s">
        <v>25</v>
      </c>
      <c r="D4605">
        <v>24.4986126910743</v>
      </c>
      <c r="E4605">
        <v>4</v>
      </c>
      <c r="F4605">
        <v>2631</v>
      </c>
      <c r="G4605">
        <v>4</v>
      </c>
      <c r="H4605">
        <v>1</v>
      </c>
      <c r="I4605">
        <v>1961</v>
      </c>
      <c r="J4605">
        <v>0</v>
      </c>
      <c r="K4605">
        <v>0</v>
      </c>
      <c r="L4605">
        <v>1</v>
      </c>
      <c r="M4605">
        <v>14</v>
      </c>
      <c r="N4605" t="s">
        <v>41</v>
      </c>
      <c r="O4605" t="s">
        <v>32</v>
      </c>
      <c r="P4605">
        <v>12.163687436496099</v>
      </c>
      <c r="Q4605">
        <v>2.20343399797332</v>
      </c>
      <c r="R4605">
        <v>6.3214027503101899</v>
      </c>
      <c r="S4605">
        <v>171</v>
      </c>
      <c r="T4605">
        <v>47</v>
      </c>
      <c r="U4605">
        <v>337.73526348644901</v>
      </c>
      <c r="V4605">
        <v>5.3211706575446499E-3</v>
      </c>
      <c r="W4605">
        <v>1212665.6929821901</v>
      </c>
      <c r="X4605" t="s">
        <v>28</v>
      </c>
      <c r="Y4605">
        <f>1-606-457-6715</f>
        <v>-7777</v>
      </c>
    </row>
    <row r="4606" spans="1:25" x14ac:dyDescent="0.35">
      <c r="A4606">
        <v>39.932414021460403</v>
      </c>
      <c r="B4606">
        <v>-122.893684449711</v>
      </c>
      <c r="C4606" t="s">
        <v>25</v>
      </c>
      <c r="D4606">
        <v>6.2755449407475403</v>
      </c>
      <c r="E4606">
        <v>6</v>
      </c>
      <c r="F4606">
        <v>937</v>
      </c>
      <c r="G4606">
        <v>3</v>
      </c>
      <c r="H4606">
        <v>1</v>
      </c>
      <c r="I4606">
        <v>1980</v>
      </c>
      <c r="J4606">
        <v>1</v>
      </c>
      <c r="K4606">
        <v>1</v>
      </c>
      <c r="L4606">
        <v>1</v>
      </c>
      <c r="M4606">
        <v>5</v>
      </c>
      <c r="N4606" t="s">
        <v>37</v>
      </c>
      <c r="O4606" t="s">
        <v>27</v>
      </c>
      <c r="P4606">
        <v>10.2818996940514</v>
      </c>
      <c r="Q4606">
        <v>1.5745044249148901</v>
      </c>
      <c r="R4606">
        <v>5.6863331867491</v>
      </c>
      <c r="S4606">
        <v>40</v>
      </c>
      <c r="T4606">
        <v>70</v>
      </c>
      <c r="U4606">
        <v>518.08235089308596</v>
      </c>
      <c r="V4606">
        <v>5.3361792956243296E-3</v>
      </c>
      <c r="W4606">
        <v>811078.10716614302</v>
      </c>
      <c r="X4606" t="s">
        <v>39</v>
      </c>
      <c r="Y4606">
        <f>1-914-829-8814</f>
        <v>-10556</v>
      </c>
    </row>
    <row r="4607" spans="1:25" x14ac:dyDescent="0.35">
      <c r="A4607">
        <v>38.523278595266099</v>
      </c>
      <c r="B4607">
        <v>-122.849136802326</v>
      </c>
      <c r="C4607" t="s">
        <v>25</v>
      </c>
      <c r="D4607">
        <v>29.049390542345598</v>
      </c>
      <c r="E4607">
        <v>1</v>
      </c>
      <c r="F4607">
        <v>4602</v>
      </c>
      <c r="G4607">
        <v>5</v>
      </c>
      <c r="H4607">
        <v>1</v>
      </c>
      <c r="I4607">
        <v>1974</v>
      </c>
      <c r="J4607">
        <v>0</v>
      </c>
      <c r="K4607">
        <v>0</v>
      </c>
      <c r="L4607">
        <v>1</v>
      </c>
      <c r="M4607">
        <v>8</v>
      </c>
      <c r="N4607" t="s">
        <v>41</v>
      </c>
      <c r="O4607" t="s">
        <v>27</v>
      </c>
      <c r="P4607">
        <v>7.46601972107353</v>
      </c>
      <c r="Q4607">
        <v>1.5277599275917</v>
      </c>
      <c r="R4607">
        <v>2.6962701097804902</v>
      </c>
      <c r="S4607">
        <v>23</v>
      </c>
      <c r="T4607">
        <v>32</v>
      </c>
      <c r="U4607">
        <v>891.64740898618697</v>
      </c>
      <c r="V4607">
        <v>1.7383746197305501E-3</v>
      </c>
      <c r="W4607">
        <v>4441784.79766782</v>
      </c>
      <c r="X4607" t="s">
        <v>36</v>
      </c>
      <c r="Y4607">
        <f>1-546-903-9190</f>
        <v>-10638</v>
      </c>
    </row>
    <row r="4608" spans="1:25" x14ac:dyDescent="0.35">
      <c r="A4608">
        <v>38.046453328509102</v>
      </c>
      <c r="B4608">
        <v>-122.355561400385</v>
      </c>
      <c r="C4608" t="s">
        <v>25</v>
      </c>
      <c r="D4608">
        <v>48.926250771455102</v>
      </c>
      <c r="E4608">
        <v>1</v>
      </c>
      <c r="F4608">
        <v>2728</v>
      </c>
      <c r="G4608">
        <v>3</v>
      </c>
      <c r="H4608">
        <v>2</v>
      </c>
      <c r="I4608">
        <v>1956</v>
      </c>
      <c r="J4608">
        <v>0</v>
      </c>
      <c r="K4608">
        <v>1</v>
      </c>
      <c r="L4608">
        <v>1</v>
      </c>
      <c r="M4608">
        <v>8</v>
      </c>
      <c r="N4608" t="s">
        <v>37</v>
      </c>
      <c r="O4608" t="s">
        <v>27</v>
      </c>
      <c r="P4608">
        <v>12.962808989814301</v>
      </c>
      <c r="Q4608">
        <v>1.0130040058548799</v>
      </c>
      <c r="R4608">
        <v>7.9180577082422499</v>
      </c>
      <c r="S4608">
        <v>0</v>
      </c>
      <c r="T4608">
        <v>22</v>
      </c>
      <c r="U4608">
        <v>566.84764306498403</v>
      </c>
      <c r="V4608">
        <v>2.9325513196480899E-3</v>
      </c>
      <c r="W4608">
        <v>1952736.2061721</v>
      </c>
      <c r="X4608" t="s">
        <v>38</v>
      </c>
      <c r="Y4608">
        <f>1-650-308-3911</f>
        <v>-4868</v>
      </c>
    </row>
    <row r="4609" spans="1:25" x14ac:dyDescent="0.35">
      <c r="A4609">
        <v>34.2032512872537</v>
      </c>
      <c r="B4609">
        <v>-116.846679117771</v>
      </c>
      <c r="C4609" t="s">
        <v>34</v>
      </c>
      <c r="D4609">
        <v>48.7112218130302</v>
      </c>
      <c r="E4609">
        <v>0</v>
      </c>
      <c r="F4609">
        <v>3477</v>
      </c>
      <c r="G4609">
        <v>1</v>
      </c>
      <c r="H4609">
        <v>3</v>
      </c>
      <c r="I4609">
        <v>1952</v>
      </c>
      <c r="J4609">
        <v>1</v>
      </c>
      <c r="K4609">
        <v>0</v>
      </c>
      <c r="L4609">
        <v>1</v>
      </c>
      <c r="M4609">
        <v>3</v>
      </c>
      <c r="N4609" t="s">
        <v>37</v>
      </c>
      <c r="O4609" t="s">
        <v>32</v>
      </c>
      <c r="P4609">
        <v>3.1774518400102401</v>
      </c>
      <c r="Q4609">
        <v>1.9346089491284999</v>
      </c>
      <c r="R4609">
        <v>1.2777707763069299</v>
      </c>
      <c r="S4609">
        <v>167</v>
      </c>
      <c r="T4609">
        <v>49</v>
      </c>
      <c r="U4609">
        <v>847.555029925741</v>
      </c>
      <c r="V4609">
        <v>8.6281276962899001E-4</v>
      </c>
      <c r="W4609">
        <v>3035897.3565344801</v>
      </c>
      <c r="X4609" t="s">
        <v>39</v>
      </c>
      <c r="Y4609">
        <f>1-738-348-3029</f>
        <v>-4114</v>
      </c>
    </row>
    <row r="4610" spans="1:25" x14ac:dyDescent="0.35">
      <c r="A4610">
        <v>40.061734111256698</v>
      </c>
      <c r="B4610">
        <v>-114.917873248921</v>
      </c>
      <c r="C4610" t="s">
        <v>34</v>
      </c>
      <c r="D4610">
        <v>8.3632845074922404</v>
      </c>
      <c r="E4610">
        <v>9</v>
      </c>
      <c r="F4610">
        <v>618</v>
      </c>
      <c r="G4610">
        <v>3</v>
      </c>
      <c r="H4610">
        <v>1</v>
      </c>
      <c r="I4610">
        <v>1990</v>
      </c>
      <c r="J4610">
        <v>0</v>
      </c>
      <c r="K4610">
        <v>0</v>
      </c>
      <c r="L4610">
        <v>0</v>
      </c>
      <c r="M4610">
        <v>12</v>
      </c>
      <c r="N4610" t="s">
        <v>41</v>
      </c>
      <c r="O4610" t="s">
        <v>30</v>
      </c>
      <c r="P4610">
        <v>13.266251044580899</v>
      </c>
      <c r="Q4610">
        <v>1.4568418047738401</v>
      </c>
      <c r="R4610">
        <v>5.9884355320893103</v>
      </c>
      <c r="S4610">
        <v>165</v>
      </c>
      <c r="T4610">
        <v>30</v>
      </c>
      <c r="U4610">
        <v>794.24880832357098</v>
      </c>
      <c r="V4610">
        <v>1.94174757281553E-2</v>
      </c>
      <c r="W4610">
        <v>649197.27939045697</v>
      </c>
      <c r="X4610" t="s">
        <v>33</v>
      </c>
      <c r="Y4610">
        <f>1-265-232-2227</f>
        <v>-2723</v>
      </c>
    </row>
    <row r="4611" spans="1:25" x14ac:dyDescent="0.35">
      <c r="A4611">
        <v>41.2990132995035</v>
      </c>
      <c r="B4611">
        <v>-118.15072472103201</v>
      </c>
      <c r="C4611" t="s">
        <v>34</v>
      </c>
      <c r="D4611">
        <v>45.900602519481801</v>
      </c>
      <c r="E4611">
        <v>8</v>
      </c>
      <c r="F4611">
        <v>4840</v>
      </c>
      <c r="G4611">
        <v>3</v>
      </c>
      <c r="H4611">
        <v>2</v>
      </c>
      <c r="I4611">
        <v>1958</v>
      </c>
      <c r="J4611">
        <v>1</v>
      </c>
      <c r="K4611">
        <v>1</v>
      </c>
      <c r="L4611">
        <v>0</v>
      </c>
      <c r="M4611">
        <v>9</v>
      </c>
      <c r="N4611" t="s">
        <v>26</v>
      </c>
      <c r="O4611" t="s">
        <v>27</v>
      </c>
      <c r="P4611">
        <v>2.7538713622796598</v>
      </c>
      <c r="Q4611">
        <v>1.3437699506910801</v>
      </c>
      <c r="R4611">
        <v>4.0070363964374103</v>
      </c>
      <c r="S4611">
        <v>22</v>
      </c>
      <c r="T4611">
        <v>79</v>
      </c>
      <c r="U4611">
        <v>873.49727473298299</v>
      </c>
      <c r="V4611">
        <v>1.8595041322314E-3</v>
      </c>
      <c r="W4611">
        <v>4489412.4607820697</v>
      </c>
      <c r="X4611" t="s">
        <v>33</v>
      </c>
      <c r="Y4611">
        <f>1-519-105-7765</f>
        <v>-8388</v>
      </c>
    </row>
    <row r="4612" spans="1:25" x14ac:dyDescent="0.35">
      <c r="A4612">
        <v>35.343599789601399</v>
      </c>
      <c r="B4612">
        <v>-123.967612845248</v>
      </c>
      <c r="C4612" t="s">
        <v>29</v>
      </c>
      <c r="D4612">
        <v>1.54519630386452</v>
      </c>
      <c r="E4612">
        <v>3</v>
      </c>
      <c r="F4612">
        <v>2518</v>
      </c>
      <c r="G4612">
        <v>3</v>
      </c>
      <c r="H4612">
        <v>2</v>
      </c>
      <c r="I4612">
        <v>1996</v>
      </c>
      <c r="J4612">
        <v>0</v>
      </c>
      <c r="K4612">
        <v>0</v>
      </c>
      <c r="L4612">
        <v>1</v>
      </c>
      <c r="M4612">
        <v>13</v>
      </c>
      <c r="N4612" t="s">
        <v>37</v>
      </c>
      <c r="O4612" t="s">
        <v>27</v>
      </c>
      <c r="P4612">
        <v>11.6945532485325</v>
      </c>
      <c r="Q4612">
        <v>1.4603415440681899</v>
      </c>
      <c r="R4612">
        <v>4.2005250719221801</v>
      </c>
      <c r="S4612">
        <v>78</v>
      </c>
      <c r="T4612">
        <v>54</v>
      </c>
      <c r="U4612">
        <v>929.466325007097</v>
      </c>
      <c r="V4612">
        <v>5.1628276409848997E-3</v>
      </c>
      <c r="W4612">
        <v>2572505.70775748</v>
      </c>
      <c r="X4612" t="s">
        <v>31</v>
      </c>
      <c r="Y4612">
        <f>1-345-325-3669</f>
        <v>-4338</v>
      </c>
    </row>
    <row r="4613" spans="1:25" x14ac:dyDescent="0.35">
      <c r="A4613">
        <v>33.954543861474299</v>
      </c>
      <c r="B4613">
        <v>-120.35829176470099</v>
      </c>
      <c r="C4613" t="s">
        <v>25</v>
      </c>
      <c r="D4613">
        <v>16.512376944237101</v>
      </c>
      <c r="E4613">
        <v>7</v>
      </c>
      <c r="F4613">
        <v>3703</v>
      </c>
      <c r="G4613">
        <v>4</v>
      </c>
      <c r="H4613">
        <v>2</v>
      </c>
      <c r="I4613">
        <v>1955</v>
      </c>
      <c r="J4613">
        <v>0</v>
      </c>
      <c r="K4613">
        <v>1</v>
      </c>
      <c r="L4613">
        <v>1</v>
      </c>
      <c r="M4613">
        <v>3</v>
      </c>
      <c r="N4613" t="s">
        <v>26</v>
      </c>
      <c r="O4613" t="s">
        <v>32</v>
      </c>
      <c r="P4613">
        <v>11.222319173192499</v>
      </c>
      <c r="Q4613">
        <v>2.0336679211671802</v>
      </c>
      <c r="R4613">
        <v>1.79321961636592</v>
      </c>
      <c r="S4613">
        <v>174</v>
      </c>
      <c r="T4613">
        <v>45</v>
      </c>
      <c r="U4613">
        <v>760.12197158559695</v>
      </c>
      <c r="V4613">
        <v>8.1015392924655598E-4</v>
      </c>
      <c r="W4613">
        <v>3157416.1087171002</v>
      </c>
      <c r="X4613" t="s">
        <v>36</v>
      </c>
      <c r="Y4613">
        <f>1-374-966-7927</f>
        <v>-9266</v>
      </c>
    </row>
    <row r="4614" spans="1:25" x14ac:dyDescent="0.35">
      <c r="A4614">
        <v>35.715875192179702</v>
      </c>
      <c r="B4614">
        <v>-120.912310987637</v>
      </c>
      <c r="C4614" t="s">
        <v>25</v>
      </c>
      <c r="D4614">
        <v>1.65082612387548</v>
      </c>
      <c r="E4614">
        <v>5</v>
      </c>
      <c r="F4614">
        <v>2314</v>
      </c>
      <c r="G4614">
        <v>5</v>
      </c>
      <c r="H4614">
        <v>1</v>
      </c>
      <c r="I4614">
        <v>2002</v>
      </c>
      <c r="J4614">
        <v>0</v>
      </c>
      <c r="K4614">
        <v>0</v>
      </c>
      <c r="L4614">
        <v>0</v>
      </c>
      <c r="M4614">
        <v>4</v>
      </c>
      <c r="N4614" t="s">
        <v>26</v>
      </c>
      <c r="O4614" t="s">
        <v>32</v>
      </c>
      <c r="P4614">
        <v>11.951086986577</v>
      </c>
      <c r="Q4614">
        <v>1.93598705329955</v>
      </c>
      <c r="R4614">
        <v>7.9921539166187801</v>
      </c>
      <c r="S4614">
        <v>144</v>
      </c>
      <c r="T4614">
        <v>37</v>
      </c>
      <c r="U4614">
        <v>699.532042440591</v>
      </c>
      <c r="V4614">
        <v>1.7286084701815E-3</v>
      </c>
      <c r="W4614">
        <v>1878664.8232656999</v>
      </c>
      <c r="X4614" t="s">
        <v>42</v>
      </c>
      <c r="Y4614">
        <f>1-598-719-3664</f>
        <v>-4980</v>
      </c>
    </row>
    <row r="4615" spans="1:25" x14ac:dyDescent="0.35">
      <c r="A4615">
        <v>39.2835871330958</v>
      </c>
      <c r="B4615">
        <v>-119.774073209468</v>
      </c>
      <c r="C4615" t="s">
        <v>29</v>
      </c>
      <c r="D4615">
        <v>26.820017012845501</v>
      </c>
      <c r="E4615">
        <v>1</v>
      </c>
      <c r="F4615">
        <v>3299</v>
      </c>
      <c r="G4615">
        <v>5</v>
      </c>
      <c r="H4615">
        <v>3</v>
      </c>
      <c r="I4615">
        <v>1976</v>
      </c>
      <c r="J4615">
        <v>1</v>
      </c>
      <c r="K4615">
        <v>0</v>
      </c>
      <c r="L4615">
        <v>0</v>
      </c>
      <c r="M4615">
        <v>2</v>
      </c>
      <c r="N4615" t="s">
        <v>35</v>
      </c>
      <c r="O4615" t="s">
        <v>27</v>
      </c>
      <c r="P4615">
        <v>5.88538806258439</v>
      </c>
      <c r="Q4615">
        <v>2.40797677852881</v>
      </c>
      <c r="R4615">
        <v>1.5884159819689601</v>
      </c>
      <c r="S4615">
        <v>151</v>
      </c>
      <c r="T4615">
        <v>20</v>
      </c>
      <c r="U4615">
        <v>778.71296007649903</v>
      </c>
      <c r="V4615">
        <v>6.0624431645953298E-4</v>
      </c>
      <c r="W4615">
        <v>2921769.6033439301</v>
      </c>
      <c r="X4615" t="s">
        <v>33</v>
      </c>
      <c r="Y4615">
        <f>1-437-523-7286</f>
        <v>-8245</v>
      </c>
    </row>
    <row r="4616" spans="1:25" x14ac:dyDescent="0.35">
      <c r="A4616">
        <v>40.007791423284203</v>
      </c>
      <c r="B4616">
        <v>-121.630769294739</v>
      </c>
      <c r="C4616" t="s">
        <v>25</v>
      </c>
      <c r="D4616">
        <v>31.393923318784299</v>
      </c>
      <c r="E4616">
        <v>6</v>
      </c>
      <c r="F4616">
        <v>4495</v>
      </c>
      <c r="G4616">
        <v>5</v>
      </c>
      <c r="H4616">
        <v>3</v>
      </c>
      <c r="I4616">
        <v>1959</v>
      </c>
      <c r="J4616">
        <v>0</v>
      </c>
      <c r="K4616">
        <v>1</v>
      </c>
      <c r="L4616">
        <v>0</v>
      </c>
      <c r="M4616">
        <v>12</v>
      </c>
      <c r="N4616" t="s">
        <v>35</v>
      </c>
      <c r="O4616" t="s">
        <v>32</v>
      </c>
      <c r="P4616">
        <v>12.257301157726401</v>
      </c>
      <c r="Q4616">
        <v>1.10060012611833</v>
      </c>
      <c r="R4616">
        <v>2.2536528442834101</v>
      </c>
      <c r="S4616">
        <v>142</v>
      </c>
      <c r="T4616">
        <v>71</v>
      </c>
      <c r="U4616">
        <v>669.34210803362396</v>
      </c>
      <c r="V4616">
        <v>2.66963292547274E-3</v>
      </c>
      <c r="W4616">
        <v>3414584.9048766498</v>
      </c>
      <c r="X4616" t="s">
        <v>38</v>
      </c>
      <c r="Y4616">
        <f>1-241-930-9184</f>
        <v>-10354</v>
      </c>
    </row>
    <row r="4617" spans="1:25" x14ac:dyDescent="0.35">
      <c r="A4617">
        <v>38.744529864365099</v>
      </c>
      <c r="B4617">
        <v>-117.19212509723999</v>
      </c>
      <c r="C4617" t="s">
        <v>34</v>
      </c>
      <c r="D4617">
        <v>39.095577169968401</v>
      </c>
      <c r="E4617">
        <v>9</v>
      </c>
      <c r="F4617">
        <v>2867</v>
      </c>
      <c r="G4617">
        <v>2</v>
      </c>
      <c r="H4617">
        <v>2</v>
      </c>
      <c r="I4617">
        <v>1974</v>
      </c>
      <c r="J4617">
        <v>1</v>
      </c>
      <c r="K4617">
        <v>0</v>
      </c>
      <c r="L4617">
        <v>0</v>
      </c>
      <c r="M4617">
        <v>6</v>
      </c>
      <c r="N4617" t="s">
        <v>26</v>
      </c>
      <c r="O4617" t="s">
        <v>32</v>
      </c>
      <c r="P4617">
        <v>5.1519583673369098</v>
      </c>
      <c r="Q4617">
        <v>0.98231876469993595</v>
      </c>
      <c r="R4617">
        <v>9.6441352222330394</v>
      </c>
      <c r="S4617">
        <v>194</v>
      </c>
      <c r="T4617">
        <v>28</v>
      </c>
      <c r="U4617">
        <v>565.15181958656899</v>
      </c>
      <c r="V4617">
        <v>2.0927799093128701E-3</v>
      </c>
      <c r="W4617">
        <v>1773891.5418034999</v>
      </c>
      <c r="X4617" t="s">
        <v>33</v>
      </c>
      <c r="Y4617">
        <f>1-432-452-2836</f>
        <v>-3719</v>
      </c>
    </row>
    <row r="4618" spans="1:25" x14ac:dyDescent="0.35">
      <c r="A4618">
        <v>33.109078953058201</v>
      </c>
      <c r="B4618">
        <v>-114.132853034327</v>
      </c>
      <c r="C4618" t="s">
        <v>25</v>
      </c>
      <c r="D4618">
        <v>41.4396919188056</v>
      </c>
      <c r="E4618">
        <v>4</v>
      </c>
      <c r="F4618">
        <v>1057</v>
      </c>
      <c r="G4618">
        <v>4</v>
      </c>
      <c r="H4618">
        <v>1</v>
      </c>
      <c r="I4618">
        <v>2006</v>
      </c>
      <c r="J4618">
        <v>1</v>
      </c>
      <c r="K4618">
        <v>1</v>
      </c>
      <c r="L4618">
        <v>1</v>
      </c>
      <c r="M4618">
        <v>9</v>
      </c>
      <c r="N4618" t="s">
        <v>35</v>
      </c>
      <c r="O4618" t="s">
        <v>32</v>
      </c>
      <c r="P4618">
        <v>12.92783932653</v>
      </c>
      <c r="Q4618">
        <v>1.4888941992831399</v>
      </c>
      <c r="R4618">
        <v>0.456471665756154</v>
      </c>
      <c r="S4618">
        <v>21</v>
      </c>
      <c r="T4618">
        <v>20</v>
      </c>
      <c r="U4618">
        <v>383.461094571812</v>
      </c>
      <c r="V4618">
        <v>8.5146641438032106E-3</v>
      </c>
      <c r="W4618">
        <v>982879.42361696402</v>
      </c>
      <c r="X4618" t="s">
        <v>33</v>
      </c>
      <c r="Y4618">
        <f>1-778-470-7716</f>
        <v>-8963</v>
      </c>
    </row>
    <row r="4619" spans="1:25" x14ac:dyDescent="0.35">
      <c r="A4619">
        <v>35.738271601331199</v>
      </c>
      <c r="B4619">
        <v>-123.637736692696</v>
      </c>
      <c r="C4619" t="s">
        <v>29</v>
      </c>
      <c r="D4619">
        <v>4.5123049431754598</v>
      </c>
      <c r="E4619">
        <v>1</v>
      </c>
      <c r="F4619">
        <v>1565</v>
      </c>
      <c r="G4619">
        <v>5</v>
      </c>
      <c r="H4619">
        <v>3</v>
      </c>
      <c r="I4619">
        <v>1987</v>
      </c>
      <c r="J4619">
        <v>0</v>
      </c>
      <c r="K4619">
        <v>1</v>
      </c>
      <c r="L4619">
        <v>1</v>
      </c>
      <c r="M4619">
        <v>12</v>
      </c>
      <c r="N4619" t="s">
        <v>37</v>
      </c>
      <c r="O4619" t="s">
        <v>27</v>
      </c>
      <c r="P4619">
        <v>4.7567445330220899</v>
      </c>
      <c r="Q4619">
        <v>1.7325176428765701</v>
      </c>
      <c r="R4619">
        <v>5.3953712207353801</v>
      </c>
      <c r="S4619">
        <v>34</v>
      </c>
      <c r="T4619">
        <v>55</v>
      </c>
      <c r="U4619">
        <v>913.68544030845703</v>
      </c>
      <c r="V4619">
        <v>7.6677316293929697E-3</v>
      </c>
      <c r="W4619">
        <v>1830343.4115635999</v>
      </c>
      <c r="X4619" t="s">
        <v>36</v>
      </c>
      <c r="Y4619">
        <f>1-683-213-7304</f>
        <v>-8199</v>
      </c>
    </row>
    <row r="4620" spans="1:25" x14ac:dyDescent="0.35">
      <c r="A4620">
        <v>39.268111424905598</v>
      </c>
      <c r="B4620">
        <v>-116.431890286772</v>
      </c>
      <c r="C4620" t="s">
        <v>29</v>
      </c>
      <c r="D4620">
        <v>16.8642519354756</v>
      </c>
      <c r="E4620">
        <v>9</v>
      </c>
      <c r="F4620">
        <v>1484</v>
      </c>
      <c r="G4620">
        <v>2</v>
      </c>
      <c r="H4620">
        <v>1</v>
      </c>
      <c r="I4620">
        <v>1984</v>
      </c>
      <c r="J4620">
        <v>0</v>
      </c>
      <c r="K4620">
        <v>1</v>
      </c>
      <c r="L4620">
        <v>1</v>
      </c>
      <c r="M4620">
        <v>8</v>
      </c>
      <c r="N4620" t="s">
        <v>37</v>
      </c>
      <c r="O4620" t="s">
        <v>32</v>
      </c>
      <c r="P4620">
        <v>12.123482145335</v>
      </c>
      <c r="Q4620">
        <v>0.89067563309532805</v>
      </c>
      <c r="R4620">
        <v>7.6916166432831501</v>
      </c>
      <c r="S4620">
        <v>100</v>
      </c>
      <c r="T4620">
        <v>28</v>
      </c>
      <c r="U4620">
        <v>752.52834086548205</v>
      </c>
      <c r="V4620">
        <v>5.3908355795148199E-3</v>
      </c>
      <c r="W4620">
        <v>1446198.7549890201</v>
      </c>
      <c r="X4620" t="s">
        <v>33</v>
      </c>
      <c r="Y4620">
        <f>1-410-449-2885</f>
        <v>-3743</v>
      </c>
    </row>
    <row r="4621" spans="1:25" x14ac:dyDescent="0.35">
      <c r="A4621">
        <v>34.150436311385398</v>
      </c>
      <c r="B4621">
        <v>-116.950973728253</v>
      </c>
      <c r="C4621" t="s">
        <v>29</v>
      </c>
      <c r="D4621">
        <v>28.967209440460699</v>
      </c>
      <c r="E4621">
        <v>6</v>
      </c>
      <c r="F4621">
        <v>3921</v>
      </c>
      <c r="G4621">
        <v>4</v>
      </c>
      <c r="H4621">
        <v>2</v>
      </c>
      <c r="I4621">
        <v>1957</v>
      </c>
      <c r="J4621">
        <v>1</v>
      </c>
      <c r="K4621">
        <v>0</v>
      </c>
      <c r="L4621">
        <v>1</v>
      </c>
      <c r="M4621">
        <v>9</v>
      </c>
      <c r="N4621" t="s">
        <v>41</v>
      </c>
      <c r="O4621" t="s">
        <v>32</v>
      </c>
      <c r="P4621">
        <v>12.9071692963181</v>
      </c>
      <c r="Q4621">
        <v>2.3788947735341499</v>
      </c>
      <c r="R4621">
        <v>4.2248721046818396</v>
      </c>
      <c r="S4621">
        <v>40</v>
      </c>
      <c r="T4621">
        <v>22</v>
      </c>
      <c r="U4621">
        <v>732.327818222318</v>
      </c>
      <c r="V4621">
        <v>2.2953328232593702E-3</v>
      </c>
      <c r="W4621">
        <v>3240498.8922463101</v>
      </c>
      <c r="X4621" t="s">
        <v>40</v>
      </c>
      <c r="Y4621">
        <f>1-986-559-4854</f>
        <v>-6398</v>
      </c>
    </row>
    <row r="4622" spans="1:25" x14ac:dyDescent="0.35">
      <c r="A4622">
        <v>37.091467054809101</v>
      </c>
      <c r="B4622">
        <v>-117.965892836752</v>
      </c>
      <c r="C4622" t="s">
        <v>29</v>
      </c>
      <c r="D4622">
        <v>2.7912248565454201</v>
      </c>
      <c r="E4622">
        <v>3</v>
      </c>
      <c r="F4622">
        <v>3546</v>
      </c>
      <c r="G4622">
        <v>1</v>
      </c>
      <c r="H4622">
        <v>1</v>
      </c>
      <c r="I4622">
        <v>2018</v>
      </c>
      <c r="J4622">
        <v>0</v>
      </c>
      <c r="K4622">
        <v>1</v>
      </c>
      <c r="L4622">
        <v>1</v>
      </c>
      <c r="M4622">
        <v>10</v>
      </c>
      <c r="N4622" t="s">
        <v>26</v>
      </c>
      <c r="O4622" t="s">
        <v>32</v>
      </c>
      <c r="P4622">
        <v>6.8619162419929296</v>
      </c>
      <c r="Q4622">
        <v>1.96762392781397</v>
      </c>
      <c r="R4622">
        <v>4.9353258056023401</v>
      </c>
      <c r="S4622">
        <v>86</v>
      </c>
      <c r="T4622">
        <v>60</v>
      </c>
      <c r="U4622">
        <v>647.72976470887204</v>
      </c>
      <c r="V4622">
        <v>2.82007896221094E-3</v>
      </c>
      <c r="W4622">
        <v>2597486.6504331301</v>
      </c>
      <c r="X4622" t="s">
        <v>39</v>
      </c>
      <c r="Y4622">
        <f>1-261-377-5132</f>
        <v>-5769</v>
      </c>
    </row>
    <row r="4623" spans="1:25" x14ac:dyDescent="0.35">
      <c r="A4623">
        <v>35.264591039307497</v>
      </c>
      <c r="B4623">
        <v>-121.802786995812</v>
      </c>
      <c r="C4623" t="s">
        <v>29</v>
      </c>
      <c r="D4623">
        <v>18.438467342976399</v>
      </c>
      <c r="E4623">
        <v>2</v>
      </c>
      <c r="F4623">
        <v>4262</v>
      </c>
      <c r="G4623">
        <v>2</v>
      </c>
      <c r="H4623">
        <v>2</v>
      </c>
      <c r="I4623">
        <v>1987</v>
      </c>
      <c r="J4623">
        <v>0</v>
      </c>
      <c r="K4623">
        <v>1</v>
      </c>
      <c r="L4623">
        <v>0</v>
      </c>
      <c r="M4623">
        <v>12</v>
      </c>
      <c r="N4623" t="s">
        <v>35</v>
      </c>
      <c r="O4623" t="s">
        <v>32</v>
      </c>
      <c r="P4623">
        <v>14.472631909114501</v>
      </c>
      <c r="Q4623">
        <v>1.05227255713337</v>
      </c>
      <c r="R4623">
        <v>6.3293975887995</v>
      </c>
      <c r="S4623">
        <v>24</v>
      </c>
      <c r="T4623">
        <v>29</v>
      </c>
      <c r="U4623">
        <v>951.88898991318501</v>
      </c>
      <c r="V4623">
        <v>2.815579540122E-3</v>
      </c>
      <c r="W4623">
        <v>4395185.9877533801</v>
      </c>
      <c r="X4623" t="s">
        <v>36</v>
      </c>
      <c r="Y4623">
        <f>1-637-669-2041</f>
        <v>-3346</v>
      </c>
    </row>
    <row r="4624" spans="1:25" x14ac:dyDescent="0.35">
      <c r="A4624">
        <v>41.940644142472301</v>
      </c>
      <c r="B4624">
        <v>-117.414972601334</v>
      </c>
      <c r="C4624" t="s">
        <v>25</v>
      </c>
      <c r="D4624">
        <v>11.933880064945299</v>
      </c>
      <c r="E4624">
        <v>4</v>
      </c>
      <c r="F4624">
        <v>3332</v>
      </c>
      <c r="G4624">
        <v>5</v>
      </c>
      <c r="H4624">
        <v>2</v>
      </c>
      <c r="I4624">
        <v>1954</v>
      </c>
      <c r="J4624">
        <v>0</v>
      </c>
      <c r="K4624">
        <v>1</v>
      </c>
      <c r="L4624">
        <v>1</v>
      </c>
      <c r="M4624">
        <v>2</v>
      </c>
      <c r="N4624" t="s">
        <v>41</v>
      </c>
      <c r="O4624" t="s">
        <v>32</v>
      </c>
      <c r="P4624">
        <v>11.517540756710099</v>
      </c>
      <c r="Q4624">
        <v>1.4801823823290201</v>
      </c>
      <c r="R4624">
        <v>6.6002384879562204</v>
      </c>
      <c r="S4624">
        <v>132</v>
      </c>
      <c r="T4624">
        <v>70</v>
      </c>
      <c r="U4624">
        <v>865.22428211476802</v>
      </c>
      <c r="V4624">
        <v>6.00240096038415E-4</v>
      </c>
      <c r="W4624">
        <v>3310820.2939899098</v>
      </c>
      <c r="X4624" t="s">
        <v>33</v>
      </c>
      <c r="Y4624">
        <f>1-286-730-4963</f>
        <v>-5978</v>
      </c>
    </row>
    <row r="4625" spans="1:25" x14ac:dyDescent="0.35">
      <c r="A4625">
        <v>41.190932200320901</v>
      </c>
      <c r="B4625">
        <v>-122.42314866381101</v>
      </c>
      <c r="C4625" t="s">
        <v>25</v>
      </c>
      <c r="D4625">
        <v>47.9419846433697</v>
      </c>
      <c r="E4625">
        <v>8</v>
      </c>
      <c r="F4625">
        <v>1986</v>
      </c>
      <c r="G4625">
        <v>1</v>
      </c>
      <c r="H4625">
        <v>3</v>
      </c>
      <c r="I4625">
        <v>1971</v>
      </c>
      <c r="J4625">
        <v>1</v>
      </c>
      <c r="K4625">
        <v>0</v>
      </c>
      <c r="L4625">
        <v>0</v>
      </c>
      <c r="M4625">
        <v>6</v>
      </c>
      <c r="N4625" t="s">
        <v>37</v>
      </c>
      <c r="O4625" t="s">
        <v>27</v>
      </c>
      <c r="P4625">
        <v>3.68566175880636</v>
      </c>
      <c r="Q4625">
        <v>1.26698236538072</v>
      </c>
      <c r="R4625">
        <v>0.185068084946685</v>
      </c>
      <c r="S4625">
        <v>191</v>
      </c>
      <c r="T4625">
        <v>74</v>
      </c>
      <c r="U4625">
        <v>956.10806306131201</v>
      </c>
      <c r="V4625">
        <v>3.0211480362537699E-3</v>
      </c>
      <c r="W4625">
        <v>1985980.8232142699</v>
      </c>
      <c r="X4625" t="s">
        <v>31</v>
      </c>
      <c r="Y4625">
        <f>1-350-492-6389</f>
        <v>-7230</v>
      </c>
    </row>
    <row r="4626" spans="1:25" x14ac:dyDescent="0.35">
      <c r="A4626">
        <v>37.946922370773699</v>
      </c>
      <c r="B4626">
        <v>-121.60900495026701</v>
      </c>
      <c r="C4626" t="s">
        <v>29</v>
      </c>
      <c r="D4626">
        <v>11.5756934209929</v>
      </c>
      <c r="E4626">
        <v>0</v>
      </c>
      <c r="F4626">
        <v>2227</v>
      </c>
      <c r="G4626">
        <v>2</v>
      </c>
      <c r="H4626">
        <v>1</v>
      </c>
      <c r="I4626">
        <v>1999</v>
      </c>
      <c r="J4626">
        <v>0</v>
      </c>
      <c r="K4626">
        <v>0</v>
      </c>
      <c r="L4626">
        <v>0</v>
      </c>
      <c r="M4626">
        <v>14</v>
      </c>
      <c r="N4626" t="s">
        <v>26</v>
      </c>
      <c r="O4626" t="s">
        <v>30</v>
      </c>
      <c r="P4626">
        <v>11.1500734221946</v>
      </c>
      <c r="Q4626">
        <v>1.3811731082490499</v>
      </c>
      <c r="R4626">
        <v>2.5131783587331</v>
      </c>
      <c r="S4626">
        <v>52</v>
      </c>
      <c r="T4626">
        <v>47</v>
      </c>
      <c r="U4626">
        <v>520.71007937882405</v>
      </c>
      <c r="V4626">
        <v>6.2864840592725601E-3</v>
      </c>
      <c r="W4626">
        <v>1300229.96376756</v>
      </c>
      <c r="X4626" t="s">
        <v>39</v>
      </c>
      <c r="Y4626">
        <f>1-390-386-4332</f>
        <v>-5107</v>
      </c>
    </row>
    <row r="4627" spans="1:25" x14ac:dyDescent="0.35">
      <c r="A4627">
        <v>37.903739611750403</v>
      </c>
      <c r="B4627">
        <v>-115.64886040767399</v>
      </c>
      <c r="C4627" t="s">
        <v>29</v>
      </c>
      <c r="D4627">
        <v>36.380009339717802</v>
      </c>
      <c r="E4627">
        <v>3</v>
      </c>
      <c r="F4627">
        <v>2897</v>
      </c>
      <c r="G4627">
        <v>3</v>
      </c>
      <c r="H4627">
        <v>3</v>
      </c>
      <c r="I4627">
        <v>2017</v>
      </c>
      <c r="J4627">
        <v>0</v>
      </c>
      <c r="K4627">
        <v>1</v>
      </c>
      <c r="L4627">
        <v>1</v>
      </c>
      <c r="M4627">
        <v>6</v>
      </c>
      <c r="N4627" t="s">
        <v>41</v>
      </c>
      <c r="O4627" t="s">
        <v>32</v>
      </c>
      <c r="P4627">
        <v>10.2649765215464</v>
      </c>
      <c r="Q4627">
        <v>0.55402639787363706</v>
      </c>
      <c r="R4627">
        <v>1.28305208830763</v>
      </c>
      <c r="S4627">
        <v>66</v>
      </c>
      <c r="T4627">
        <v>64</v>
      </c>
      <c r="U4627">
        <v>763.82601874233603</v>
      </c>
      <c r="V4627">
        <v>2.07110804280289E-3</v>
      </c>
      <c r="W4627">
        <v>2692306.2610659599</v>
      </c>
      <c r="X4627" t="s">
        <v>38</v>
      </c>
      <c r="Y4627">
        <f>1-375-271-6680</f>
        <v>-7325</v>
      </c>
    </row>
    <row r="4628" spans="1:25" x14ac:dyDescent="0.35">
      <c r="A4628">
        <v>36.573004054968102</v>
      </c>
      <c r="B4628">
        <v>-117.43638752618401</v>
      </c>
      <c r="C4628" t="s">
        <v>34</v>
      </c>
      <c r="D4628">
        <v>19.953861122248899</v>
      </c>
      <c r="E4628">
        <v>1</v>
      </c>
      <c r="F4628">
        <v>1172</v>
      </c>
      <c r="G4628">
        <v>2</v>
      </c>
      <c r="H4628">
        <v>2</v>
      </c>
      <c r="I4628">
        <v>2008</v>
      </c>
      <c r="J4628">
        <v>0</v>
      </c>
      <c r="K4628">
        <v>1</v>
      </c>
      <c r="L4628">
        <v>1</v>
      </c>
      <c r="M4628">
        <v>8</v>
      </c>
      <c r="N4628" t="s">
        <v>26</v>
      </c>
      <c r="O4628" t="s">
        <v>32</v>
      </c>
      <c r="P4628">
        <v>2.7710745825129499</v>
      </c>
      <c r="Q4628">
        <v>1.8526760578822401</v>
      </c>
      <c r="R4628">
        <v>7.2947641359625104</v>
      </c>
      <c r="S4628">
        <v>178</v>
      </c>
      <c r="T4628">
        <v>28</v>
      </c>
      <c r="U4628">
        <v>841.77352907480497</v>
      </c>
      <c r="V4628">
        <v>6.8259385665529002E-3</v>
      </c>
      <c r="W4628">
        <v>1255182.7139326299</v>
      </c>
      <c r="X4628" t="s">
        <v>28</v>
      </c>
      <c r="Y4628">
        <f>1-909-844-2378</f>
        <v>-4130</v>
      </c>
    </row>
    <row r="4629" spans="1:25" x14ac:dyDescent="0.35">
      <c r="A4629">
        <v>38.829807709574801</v>
      </c>
      <c r="B4629">
        <v>-119.265701537721</v>
      </c>
      <c r="C4629" t="s">
        <v>34</v>
      </c>
      <c r="D4629">
        <v>34.186968096346497</v>
      </c>
      <c r="E4629">
        <v>6</v>
      </c>
      <c r="F4629">
        <v>3455</v>
      </c>
      <c r="G4629">
        <v>4</v>
      </c>
      <c r="H4629">
        <v>1</v>
      </c>
      <c r="I4629">
        <v>1972</v>
      </c>
      <c r="J4629">
        <v>0</v>
      </c>
      <c r="K4629">
        <v>0</v>
      </c>
      <c r="L4629">
        <v>0</v>
      </c>
      <c r="M4629">
        <v>14</v>
      </c>
      <c r="N4629" t="s">
        <v>35</v>
      </c>
      <c r="O4629" t="s">
        <v>32</v>
      </c>
      <c r="P4629">
        <v>13.6391804386122</v>
      </c>
      <c r="Q4629">
        <v>1.49990846469084</v>
      </c>
      <c r="R4629">
        <v>5.0566090737486604</v>
      </c>
      <c r="S4629">
        <v>45</v>
      </c>
      <c r="T4629">
        <v>67</v>
      </c>
      <c r="U4629">
        <v>809.85559234658297</v>
      </c>
      <c r="V4629">
        <v>4.0520984081041898E-3</v>
      </c>
      <c r="W4629">
        <v>2976934.6094299201</v>
      </c>
      <c r="X4629" t="s">
        <v>39</v>
      </c>
      <c r="Y4629">
        <f>1-859-370-4485</f>
        <v>-5713</v>
      </c>
    </row>
    <row r="4630" spans="1:25" x14ac:dyDescent="0.35">
      <c r="A4630">
        <v>41.3516885003447</v>
      </c>
      <c r="B4630">
        <v>-122.236942802587</v>
      </c>
      <c r="C4630" t="s">
        <v>34</v>
      </c>
      <c r="D4630">
        <v>9.7146929811613703</v>
      </c>
      <c r="E4630">
        <v>6</v>
      </c>
      <c r="F4630">
        <v>3540</v>
      </c>
      <c r="G4630">
        <v>3</v>
      </c>
      <c r="H4630">
        <v>2</v>
      </c>
      <c r="I4630">
        <v>1979</v>
      </c>
      <c r="J4630">
        <v>0</v>
      </c>
      <c r="K4630">
        <v>1</v>
      </c>
      <c r="L4630">
        <v>0</v>
      </c>
      <c r="M4630">
        <v>3</v>
      </c>
      <c r="N4630" t="s">
        <v>35</v>
      </c>
      <c r="O4630" t="s">
        <v>30</v>
      </c>
      <c r="P4630">
        <v>12.5427110469876</v>
      </c>
      <c r="Q4630">
        <v>1.93410000770181</v>
      </c>
      <c r="R4630">
        <v>9.9455439379944597</v>
      </c>
      <c r="S4630">
        <v>198</v>
      </c>
      <c r="T4630">
        <v>70</v>
      </c>
      <c r="U4630">
        <v>371.660242290057</v>
      </c>
      <c r="V4630">
        <v>8.4745762711864404E-4</v>
      </c>
      <c r="W4630">
        <v>1627624.2600254901</v>
      </c>
      <c r="X4630" t="s">
        <v>43</v>
      </c>
      <c r="Y4630">
        <f>1-327-561-2968</f>
        <v>-3855</v>
      </c>
    </row>
    <row r="4631" spans="1:25" x14ac:dyDescent="0.35">
      <c r="A4631">
        <v>33.352658751511299</v>
      </c>
      <c r="B4631">
        <v>-114.493001030681</v>
      </c>
      <c r="C4631" t="s">
        <v>25</v>
      </c>
      <c r="D4631">
        <v>35.142418757266</v>
      </c>
      <c r="E4631">
        <v>3</v>
      </c>
      <c r="F4631">
        <v>4030</v>
      </c>
      <c r="G4631">
        <v>2</v>
      </c>
      <c r="H4631">
        <v>3</v>
      </c>
      <c r="I4631">
        <v>2009</v>
      </c>
      <c r="J4631">
        <v>0</v>
      </c>
      <c r="K4631">
        <v>0</v>
      </c>
      <c r="L4631">
        <v>1</v>
      </c>
      <c r="M4631">
        <v>13</v>
      </c>
      <c r="N4631" t="s">
        <v>37</v>
      </c>
      <c r="O4631" t="s">
        <v>32</v>
      </c>
      <c r="P4631">
        <v>2.8646632385353499</v>
      </c>
      <c r="Q4631">
        <v>1.96790465129947</v>
      </c>
      <c r="R4631">
        <v>5.8666765380849002</v>
      </c>
      <c r="S4631">
        <v>139</v>
      </c>
      <c r="T4631">
        <v>72</v>
      </c>
      <c r="U4631">
        <v>356.09646330988397</v>
      </c>
      <c r="V4631">
        <v>3.2258064516129002E-3</v>
      </c>
      <c r="W4631">
        <v>1641021.5498667799</v>
      </c>
      <c r="X4631" t="s">
        <v>42</v>
      </c>
      <c r="Y4631">
        <f>1-362-475-5940</f>
        <v>-6776</v>
      </c>
    </row>
    <row r="4632" spans="1:25" x14ac:dyDescent="0.35">
      <c r="A4632">
        <v>33.336231441810597</v>
      </c>
      <c r="B4632">
        <v>-123.00738928705999</v>
      </c>
      <c r="C4632" t="s">
        <v>25</v>
      </c>
      <c r="D4632">
        <v>37.004247920245497</v>
      </c>
      <c r="E4632">
        <v>2</v>
      </c>
      <c r="F4632">
        <v>2752</v>
      </c>
      <c r="G4632">
        <v>5</v>
      </c>
      <c r="H4632">
        <v>3</v>
      </c>
      <c r="I4632">
        <v>1978</v>
      </c>
      <c r="J4632">
        <v>1</v>
      </c>
      <c r="K4632">
        <v>0</v>
      </c>
      <c r="L4632">
        <v>1</v>
      </c>
      <c r="M4632">
        <v>13</v>
      </c>
      <c r="N4632" t="s">
        <v>26</v>
      </c>
      <c r="O4632" t="s">
        <v>27</v>
      </c>
      <c r="P4632">
        <v>3.3332924732351898</v>
      </c>
      <c r="Q4632">
        <v>1.5566725110205299</v>
      </c>
      <c r="R4632">
        <v>2.8689497962810302</v>
      </c>
      <c r="S4632">
        <v>162</v>
      </c>
      <c r="T4632">
        <v>39</v>
      </c>
      <c r="U4632">
        <v>658.405814898485</v>
      </c>
      <c r="V4632">
        <v>4.7238372093023201E-3</v>
      </c>
      <c r="W4632">
        <v>2145241.4547957899</v>
      </c>
      <c r="X4632" t="s">
        <v>31</v>
      </c>
      <c r="Y4632">
        <f>1-523-347-7520</f>
        <v>-8389</v>
      </c>
    </row>
    <row r="4633" spans="1:25" x14ac:dyDescent="0.35">
      <c r="A4633">
        <v>34.5246783709391</v>
      </c>
      <c r="B4633">
        <v>-115.205947673739</v>
      </c>
      <c r="C4633" t="s">
        <v>34</v>
      </c>
      <c r="D4633">
        <v>44.236521426340403</v>
      </c>
      <c r="E4633">
        <v>9</v>
      </c>
      <c r="F4633">
        <v>1365</v>
      </c>
      <c r="G4633">
        <v>2</v>
      </c>
      <c r="H4633">
        <v>3</v>
      </c>
      <c r="I4633">
        <v>1966</v>
      </c>
      <c r="J4633">
        <v>1</v>
      </c>
      <c r="K4633">
        <v>1</v>
      </c>
      <c r="L4633">
        <v>0</v>
      </c>
      <c r="M4633">
        <v>10</v>
      </c>
      <c r="N4633" t="s">
        <v>37</v>
      </c>
      <c r="O4633" t="s">
        <v>27</v>
      </c>
      <c r="P4633">
        <v>12.055390325109</v>
      </c>
      <c r="Q4633">
        <v>1.8219480255482601</v>
      </c>
      <c r="R4633">
        <v>7.4734543746150397</v>
      </c>
      <c r="S4633">
        <v>178</v>
      </c>
      <c r="T4633">
        <v>54</v>
      </c>
      <c r="U4633">
        <v>402.46342549410701</v>
      </c>
      <c r="V4633">
        <v>7.3260073260073199E-3</v>
      </c>
      <c r="W4633">
        <v>812440.46196817898</v>
      </c>
      <c r="X4633" t="s">
        <v>33</v>
      </c>
      <c r="Y4633">
        <f>1-269-725-7771</f>
        <v>-8764</v>
      </c>
    </row>
    <row r="4634" spans="1:25" x14ac:dyDescent="0.35">
      <c r="A4634">
        <v>34.883438903708701</v>
      </c>
      <c r="B4634">
        <v>-119.215073556329</v>
      </c>
      <c r="C4634" t="s">
        <v>25</v>
      </c>
      <c r="D4634">
        <v>23.151420396072101</v>
      </c>
      <c r="E4634">
        <v>8</v>
      </c>
      <c r="F4634">
        <v>1868</v>
      </c>
      <c r="G4634">
        <v>4</v>
      </c>
      <c r="H4634">
        <v>2</v>
      </c>
      <c r="I4634">
        <v>1994</v>
      </c>
      <c r="J4634">
        <v>0</v>
      </c>
      <c r="K4634">
        <v>1</v>
      </c>
      <c r="L4634">
        <v>1</v>
      </c>
      <c r="M4634">
        <v>3</v>
      </c>
      <c r="N4634" t="s">
        <v>41</v>
      </c>
      <c r="O4634" t="s">
        <v>32</v>
      </c>
      <c r="P4634">
        <v>4.7164382687244997</v>
      </c>
      <c r="Q4634">
        <v>0.51004251454802696</v>
      </c>
      <c r="R4634">
        <v>9.1610766786797697</v>
      </c>
      <c r="S4634">
        <v>127</v>
      </c>
      <c r="T4634">
        <v>55</v>
      </c>
      <c r="U4634">
        <v>307.344014405672</v>
      </c>
      <c r="V4634">
        <v>1.60599571734475E-3</v>
      </c>
      <c r="W4634">
        <v>954192.257158797</v>
      </c>
      <c r="X4634" t="s">
        <v>44</v>
      </c>
      <c r="Y4634">
        <f>1-980-334-7163</f>
        <v>-8476</v>
      </c>
    </row>
    <row r="4635" spans="1:25" x14ac:dyDescent="0.35">
      <c r="A4635">
        <v>38.9549582241305</v>
      </c>
      <c r="B4635">
        <v>-122.925608107418</v>
      </c>
      <c r="C4635" t="s">
        <v>29</v>
      </c>
      <c r="D4635">
        <v>25.204333100470201</v>
      </c>
      <c r="E4635">
        <v>1</v>
      </c>
      <c r="F4635">
        <v>3090</v>
      </c>
      <c r="G4635">
        <v>5</v>
      </c>
      <c r="H4635">
        <v>2</v>
      </c>
      <c r="I4635">
        <v>1993</v>
      </c>
      <c r="J4635">
        <v>1</v>
      </c>
      <c r="K4635">
        <v>0</v>
      </c>
      <c r="L4635">
        <v>1</v>
      </c>
      <c r="M4635">
        <v>6</v>
      </c>
      <c r="N4635" t="s">
        <v>37</v>
      </c>
      <c r="O4635" t="s">
        <v>32</v>
      </c>
      <c r="P4635">
        <v>12.2305410923999</v>
      </c>
      <c r="Q4635">
        <v>2.24293379792881</v>
      </c>
      <c r="R4635">
        <v>6.9079548351795701</v>
      </c>
      <c r="S4635">
        <v>68</v>
      </c>
      <c r="T4635">
        <v>68</v>
      </c>
      <c r="U4635">
        <v>743.76347059910404</v>
      </c>
      <c r="V4635">
        <v>1.94174757281553E-3</v>
      </c>
      <c r="W4635">
        <v>2636677.4889708301</v>
      </c>
      <c r="X4635" t="s">
        <v>39</v>
      </c>
      <c r="Y4635">
        <f>1-582-319-3389</f>
        <v>-4289</v>
      </c>
    </row>
    <row r="4636" spans="1:25" x14ac:dyDescent="0.35">
      <c r="A4636">
        <v>33.713201105600703</v>
      </c>
      <c r="B4636">
        <v>-116.01075326193801</v>
      </c>
      <c r="C4636" t="s">
        <v>29</v>
      </c>
      <c r="D4636">
        <v>47.397817984244597</v>
      </c>
      <c r="E4636">
        <v>5</v>
      </c>
      <c r="F4636">
        <v>4675</v>
      </c>
      <c r="G4636">
        <v>3</v>
      </c>
      <c r="H4636">
        <v>3</v>
      </c>
      <c r="I4636">
        <v>2020</v>
      </c>
      <c r="J4636">
        <v>0</v>
      </c>
      <c r="K4636">
        <v>1</v>
      </c>
      <c r="L4636">
        <v>0</v>
      </c>
      <c r="M4636">
        <v>2</v>
      </c>
      <c r="N4636" t="s">
        <v>37</v>
      </c>
      <c r="O4636" t="s">
        <v>32</v>
      </c>
      <c r="P4636">
        <v>8.1803555555463294</v>
      </c>
      <c r="Q4636">
        <v>1.5182404223147901</v>
      </c>
      <c r="R4636">
        <v>6.8199472325750596</v>
      </c>
      <c r="S4636">
        <v>17</v>
      </c>
      <c r="T4636">
        <v>32</v>
      </c>
      <c r="U4636">
        <v>963.99758145637998</v>
      </c>
      <c r="V4636">
        <v>4.2780748663101602E-4</v>
      </c>
      <c r="W4636">
        <v>4887775.29023383</v>
      </c>
      <c r="X4636" t="s">
        <v>44</v>
      </c>
      <c r="Y4636">
        <f>1-845-522-8349</f>
        <v>-9715</v>
      </c>
    </row>
    <row r="4637" spans="1:25" x14ac:dyDescent="0.35">
      <c r="A4637">
        <v>40.402885157540503</v>
      </c>
      <c r="B4637">
        <v>-120.26106793329301</v>
      </c>
      <c r="C4637" t="s">
        <v>25</v>
      </c>
      <c r="D4637">
        <v>26.092249871837399</v>
      </c>
      <c r="E4637">
        <v>7</v>
      </c>
      <c r="F4637">
        <v>3779</v>
      </c>
      <c r="G4637">
        <v>3</v>
      </c>
      <c r="H4637">
        <v>1</v>
      </c>
      <c r="I4637">
        <v>1985</v>
      </c>
      <c r="J4637">
        <v>0</v>
      </c>
      <c r="K4637">
        <v>0</v>
      </c>
      <c r="L4637">
        <v>0</v>
      </c>
      <c r="M4637">
        <v>14</v>
      </c>
      <c r="N4637" t="s">
        <v>41</v>
      </c>
      <c r="O4637" t="s">
        <v>30</v>
      </c>
      <c r="P4637">
        <v>5.0272539877620703</v>
      </c>
      <c r="Q4637">
        <v>1.3460127610461601</v>
      </c>
      <c r="R4637">
        <v>2.0527704699823102</v>
      </c>
      <c r="S4637">
        <v>42</v>
      </c>
      <c r="T4637">
        <v>33</v>
      </c>
      <c r="U4637">
        <v>259.24314801768401</v>
      </c>
      <c r="V4637">
        <v>3.7046837787774499E-3</v>
      </c>
      <c r="W4637">
        <v>1126982.50607627</v>
      </c>
      <c r="X4637" t="s">
        <v>40</v>
      </c>
      <c r="Y4637">
        <f>1-238-471-6882</f>
        <v>-7590</v>
      </c>
    </row>
    <row r="4638" spans="1:25" x14ac:dyDescent="0.35">
      <c r="A4638">
        <v>33.6539077163985</v>
      </c>
      <c r="B4638">
        <v>-117.35879385562301</v>
      </c>
      <c r="C4638" t="s">
        <v>25</v>
      </c>
      <c r="D4638">
        <v>34.466650307591202</v>
      </c>
      <c r="E4638">
        <v>9</v>
      </c>
      <c r="F4638">
        <v>2388</v>
      </c>
      <c r="G4638">
        <v>3</v>
      </c>
      <c r="H4638">
        <v>1</v>
      </c>
      <c r="I4638">
        <v>1994</v>
      </c>
      <c r="J4638">
        <v>0</v>
      </c>
      <c r="K4638">
        <v>1</v>
      </c>
      <c r="L4638">
        <v>0</v>
      </c>
      <c r="M4638">
        <v>12</v>
      </c>
      <c r="N4638" t="s">
        <v>35</v>
      </c>
      <c r="O4638" t="s">
        <v>27</v>
      </c>
      <c r="P4638">
        <v>12.429201022395301</v>
      </c>
      <c r="Q4638">
        <v>1.3736644155236</v>
      </c>
      <c r="R4638">
        <v>5.9925557914998002</v>
      </c>
      <c r="S4638">
        <v>55</v>
      </c>
      <c r="T4638">
        <v>47</v>
      </c>
      <c r="U4638">
        <v>359.59107023200198</v>
      </c>
      <c r="V4638">
        <v>5.0251256281407001E-3</v>
      </c>
      <c r="W4638">
        <v>1155469.4452257201</v>
      </c>
      <c r="X4638" t="s">
        <v>39</v>
      </c>
      <c r="Y4638">
        <f>1-691-843-5433</f>
        <v>-6966</v>
      </c>
    </row>
    <row r="4639" spans="1:25" x14ac:dyDescent="0.35">
      <c r="A4639">
        <v>40.659332109174002</v>
      </c>
      <c r="B4639">
        <v>-122.366246252954</v>
      </c>
      <c r="C4639" t="s">
        <v>34</v>
      </c>
      <c r="D4639">
        <v>47.605489580804303</v>
      </c>
      <c r="E4639">
        <v>8</v>
      </c>
      <c r="F4639">
        <v>2251</v>
      </c>
      <c r="G4639">
        <v>3</v>
      </c>
      <c r="H4639">
        <v>1</v>
      </c>
      <c r="I4639">
        <v>1997</v>
      </c>
      <c r="J4639">
        <v>0</v>
      </c>
      <c r="K4639">
        <v>1</v>
      </c>
      <c r="L4639">
        <v>1</v>
      </c>
      <c r="M4639">
        <v>6</v>
      </c>
      <c r="N4639" t="s">
        <v>41</v>
      </c>
      <c r="O4639" t="s">
        <v>30</v>
      </c>
      <c r="P4639">
        <v>2.7487826770596699</v>
      </c>
      <c r="Q4639">
        <v>1.45483956383746</v>
      </c>
      <c r="R4639">
        <v>4.6535064300763596</v>
      </c>
      <c r="S4639">
        <v>182</v>
      </c>
      <c r="T4639">
        <v>54</v>
      </c>
      <c r="U4639">
        <v>937.83489633302702</v>
      </c>
      <c r="V4639">
        <v>2.6654820079964401E-3</v>
      </c>
      <c r="W4639">
        <v>2351310.7962687998</v>
      </c>
      <c r="X4639" t="s">
        <v>42</v>
      </c>
      <c r="Y4639">
        <f>1-549-683-4420</f>
        <v>-5651</v>
      </c>
    </row>
    <row r="4640" spans="1:25" x14ac:dyDescent="0.35">
      <c r="A4640">
        <v>39.827577072729703</v>
      </c>
      <c r="B4640">
        <v>-116.748629684934</v>
      </c>
      <c r="C4640" t="s">
        <v>34</v>
      </c>
      <c r="D4640">
        <v>41.836191826118402</v>
      </c>
      <c r="E4640">
        <v>8</v>
      </c>
      <c r="F4640">
        <v>3886</v>
      </c>
      <c r="G4640">
        <v>2</v>
      </c>
      <c r="H4640">
        <v>3</v>
      </c>
      <c r="I4640">
        <v>1951</v>
      </c>
      <c r="J4640">
        <v>1</v>
      </c>
      <c r="K4640">
        <v>1</v>
      </c>
      <c r="L4640">
        <v>1</v>
      </c>
      <c r="M4640">
        <v>2</v>
      </c>
      <c r="N4640" t="s">
        <v>41</v>
      </c>
      <c r="O4640" t="s">
        <v>32</v>
      </c>
      <c r="P4640">
        <v>4.1697110772606596</v>
      </c>
      <c r="Q4640">
        <v>1.8198657541160901</v>
      </c>
      <c r="R4640">
        <v>1.3865864490426401</v>
      </c>
      <c r="S4640">
        <v>155</v>
      </c>
      <c r="T4640">
        <v>34</v>
      </c>
      <c r="U4640">
        <v>998.01412014585901</v>
      </c>
      <c r="V4640">
        <v>5.1466803911477102E-4</v>
      </c>
      <c r="W4640">
        <v>4176210.5795247699</v>
      </c>
      <c r="X4640" t="s">
        <v>39</v>
      </c>
      <c r="Y4640">
        <f>1-671-786-6531</f>
        <v>-7987</v>
      </c>
    </row>
    <row r="4641" spans="1:25" x14ac:dyDescent="0.35">
      <c r="A4641">
        <v>40.409769674058403</v>
      </c>
      <c r="B4641">
        <v>-120.464098381597</v>
      </c>
      <c r="C4641" t="s">
        <v>25</v>
      </c>
      <c r="D4641">
        <v>14.361057475008501</v>
      </c>
      <c r="E4641">
        <v>7</v>
      </c>
      <c r="F4641">
        <v>1004</v>
      </c>
      <c r="G4641">
        <v>5</v>
      </c>
      <c r="H4641">
        <v>2</v>
      </c>
      <c r="I4641">
        <v>2009</v>
      </c>
      <c r="J4641">
        <v>1</v>
      </c>
      <c r="K4641">
        <v>1</v>
      </c>
      <c r="L4641">
        <v>0</v>
      </c>
      <c r="M4641">
        <v>14</v>
      </c>
      <c r="N4641" t="s">
        <v>26</v>
      </c>
      <c r="O4641" t="s">
        <v>32</v>
      </c>
      <c r="P4641">
        <v>9.2418313633562192</v>
      </c>
      <c r="Q4641">
        <v>1.17740845564495</v>
      </c>
      <c r="R4641">
        <v>2.9562096269118401</v>
      </c>
      <c r="S4641">
        <v>164</v>
      </c>
      <c r="T4641">
        <v>71</v>
      </c>
      <c r="U4641">
        <v>551.23194616217995</v>
      </c>
      <c r="V4641">
        <v>1.39442231075697E-2</v>
      </c>
      <c r="W4641">
        <v>1109875.21290088</v>
      </c>
      <c r="X4641" t="s">
        <v>38</v>
      </c>
      <c r="Y4641">
        <f>1-898-198-1546</f>
        <v>-2641</v>
      </c>
    </row>
    <row r="4642" spans="1:25" x14ac:dyDescent="0.35">
      <c r="A4642">
        <v>38.922115262028299</v>
      </c>
      <c r="B4642">
        <v>-114.093470240358</v>
      </c>
      <c r="C4642" t="s">
        <v>29</v>
      </c>
      <c r="D4642">
        <v>43.602093992197098</v>
      </c>
      <c r="E4642">
        <v>2</v>
      </c>
      <c r="F4642">
        <v>694</v>
      </c>
      <c r="G4642">
        <v>2</v>
      </c>
      <c r="H4642">
        <v>3</v>
      </c>
      <c r="I4642">
        <v>1993</v>
      </c>
      <c r="J4642">
        <v>0</v>
      </c>
      <c r="K4642">
        <v>0</v>
      </c>
      <c r="L4642">
        <v>0</v>
      </c>
      <c r="M4642">
        <v>14</v>
      </c>
      <c r="N4642" t="s">
        <v>26</v>
      </c>
      <c r="O4642" t="s">
        <v>27</v>
      </c>
      <c r="P4642">
        <v>2.3028346781259401</v>
      </c>
      <c r="Q4642">
        <v>0.793746572845489</v>
      </c>
      <c r="R4642">
        <v>7.8528856038810702</v>
      </c>
      <c r="S4642">
        <v>193</v>
      </c>
      <c r="T4642">
        <v>50</v>
      </c>
      <c r="U4642">
        <v>493.14345183150903</v>
      </c>
      <c r="V4642">
        <v>2.0172910662824201E-2</v>
      </c>
      <c r="W4642">
        <v>390846.22628904</v>
      </c>
      <c r="X4642" t="s">
        <v>33</v>
      </c>
      <c r="Y4642">
        <f>1-796-375-5893</f>
        <v>-7063</v>
      </c>
    </row>
    <row r="4643" spans="1:25" x14ac:dyDescent="0.35">
      <c r="A4643">
        <v>36.650627304992199</v>
      </c>
      <c r="B4643">
        <v>-122.989543772424</v>
      </c>
      <c r="C4643" t="s">
        <v>25</v>
      </c>
      <c r="D4643">
        <v>10.853811796894799</v>
      </c>
      <c r="E4643">
        <v>6</v>
      </c>
      <c r="F4643">
        <v>973</v>
      </c>
      <c r="G4643">
        <v>1</v>
      </c>
      <c r="H4643">
        <v>2</v>
      </c>
      <c r="I4643">
        <v>2012</v>
      </c>
      <c r="J4643">
        <v>1</v>
      </c>
      <c r="K4643">
        <v>0</v>
      </c>
      <c r="L4643">
        <v>0</v>
      </c>
      <c r="M4643">
        <v>11</v>
      </c>
      <c r="N4643" t="s">
        <v>37</v>
      </c>
      <c r="O4643" t="s">
        <v>32</v>
      </c>
      <c r="P4643">
        <v>12.6396839199291</v>
      </c>
      <c r="Q4643">
        <v>0.56489372040943697</v>
      </c>
      <c r="R4643">
        <v>2.6659159736351699</v>
      </c>
      <c r="S4643">
        <v>150</v>
      </c>
      <c r="T4643">
        <v>77</v>
      </c>
      <c r="U4643">
        <v>933.19691702385603</v>
      </c>
      <c r="V4643">
        <v>1.13052415210688E-2</v>
      </c>
      <c r="W4643">
        <v>1008939.08868316</v>
      </c>
      <c r="X4643" t="s">
        <v>43</v>
      </c>
      <c r="Y4643">
        <f>1-649-900-8081</f>
        <v>-9629</v>
      </c>
    </row>
    <row r="4644" spans="1:25" x14ac:dyDescent="0.35">
      <c r="A4644">
        <v>34.3476395767794</v>
      </c>
      <c r="B4644">
        <v>-116.706113997543</v>
      </c>
      <c r="C4644" t="s">
        <v>25</v>
      </c>
      <c r="D4644">
        <v>29.070042688619399</v>
      </c>
      <c r="E4644">
        <v>2</v>
      </c>
      <c r="F4644">
        <v>3610</v>
      </c>
      <c r="G4644">
        <v>4</v>
      </c>
      <c r="H4644">
        <v>1</v>
      </c>
      <c r="I4644">
        <v>1977</v>
      </c>
      <c r="J4644">
        <v>1</v>
      </c>
      <c r="K4644">
        <v>1</v>
      </c>
      <c r="L4644">
        <v>0</v>
      </c>
      <c r="M4644">
        <v>4</v>
      </c>
      <c r="N4644" t="s">
        <v>26</v>
      </c>
      <c r="O4644" t="s">
        <v>32</v>
      </c>
      <c r="P4644">
        <v>8.9173518489660708</v>
      </c>
      <c r="Q4644">
        <v>2.1590892227650902</v>
      </c>
      <c r="R4644">
        <v>7.4872608423925202</v>
      </c>
      <c r="S4644">
        <v>144</v>
      </c>
      <c r="T4644">
        <v>57</v>
      </c>
      <c r="U4644">
        <v>843.16832777020704</v>
      </c>
      <c r="V4644">
        <v>1.10803324099723E-3</v>
      </c>
      <c r="W4644">
        <v>3348209.73212732</v>
      </c>
      <c r="X4644" t="s">
        <v>38</v>
      </c>
      <c r="Y4644">
        <f>1-538-784-4955</f>
        <v>-6276</v>
      </c>
    </row>
    <row r="4645" spans="1:25" x14ac:dyDescent="0.35">
      <c r="A4645">
        <v>32.981430330071497</v>
      </c>
      <c r="B4645">
        <v>-120.41575427261</v>
      </c>
      <c r="C4645" t="s">
        <v>29</v>
      </c>
      <c r="D4645">
        <v>5.90060673354101</v>
      </c>
      <c r="E4645">
        <v>6</v>
      </c>
      <c r="F4645">
        <v>2792</v>
      </c>
      <c r="G4645">
        <v>4</v>
      </c>
      <c r="H4645">
        <v>3</v>
      </c>
      <c r="I4645">
        <v>1964</v>
      </c>
      <c r="J4645">
        <v>0</v>
      </c>
      <c r="K4645">
        <v>0</v>
      </c>
      <c r="L4645">
        <v>1</v>
      </c>
      <c r="M4645">
        <v>9</v>
      </c>
      <c r="N4645" t="s">
        <v>41</v>
      </c>
      <c r="O4645" t="s">
        <v>27</v>
      </c>
      <c r="P4645">
        <v>13.6606093163754</v>
      </c>
      <c r="Q4645">
        <v>1.00187788321155</v>
      </c>
      <c r="R4645">
        <v>7.9610670492145097</v>
      </c>
      <c r="S4645">
        <v>35</v>
      </c>
      <c r="T4645">
        <v>21</v>
      </c>
      <c r="U4645">
        <v>479.08564757854998</v>
      </c>
      <c r="V4645">
        <v>3.2234957020057299E-3</v>
      </c>
      <c r="W4645">
        <v>1733395.5684959299</v>
      </c>
      <c r="X4645" t="s">
        <v>36</v>
      </c>
      <c r="Y4645">
        <f>1-800-157-9907</f>
        <v>-10863</v>
      </c>
    </row>
    <row r="4646" spans="1:25" x14ac:dyDescent="0.35">
      <c r="A4646">
        <v>32.645112436368699</v>
      </c>
      <c r="B4646">
        <v>-121.630893777043</v>
      </c>
      <c r="C4646" t="s">
        <v>34</v>
      </c>
      <c r="D4646">
        <v>12.8024330194475</v>
      </c>
      <c r="E4646">
        <v>2</v>
      </c>
      <c r="F4646">
        <v>809</v>
      </c>
      <c r="G4646">
        <v>1</v>
      </c>
      <c r="H4646">
        <v>3</v>
      </c>
      <c r="I4646">
        <v>1967</v>
      </c>
      <c r="J4646">
        <v>1</v>
      </c>
      <c r="K4646">
        <v>1</v>
      </c>
      <c r="L4646">
        <v>1</v>
      </c>
      <c r="M4646">
        <v>4</v>
      </c>
      <c r="N4646" t="s">
        <v>35</v>
      </c>
      <c r="O4646" t="s">
        <v>27</v>
      </c>
      <c r="P4646">
        <v>5.7329119055799804</v>
      </c>
      <c r="Q4646">
        <v>0.96399256027432001</v>
      </c>
      <c r="R4646">
        <v>7.3014515220033402</v>
      </c>
      <c r="S4646">
        <v>198</v>
      </c>
      <c r="T4646">
        <v>45</v>
      </c>
      <c r="U4646">
        <v>534.52756338956794</v>
      </c>
      <c r="V4646">
        <v>4.9443757725587097E-3</v>
      </c>
      <c r="W4646">
        <v>771507.72285325197</v>
      </c>
      <c r="X4646" t="s">
        <v>42</v>
      </c>
      <c r="Y4646">
        <f>1-655-385-1434</f>
        <v>-2473</v>
      </c>
    </row>
    <row r="4647" spans="1:25" x14ac:dyDescent="0.35">
      <c r="A4647">
        <v>38.185045955391097</v>
      </c>
      <c r="B4647">
        <v>-117.25962178237801</v>
      </c>
      <c r="C4647" t="s">
        <v>29</v>
      </c>
      <c r="D4647">
        <v>35.601782532489601</v>
      </c>
      <c r="E4647">
        <v>2</v>
      </c>
      <c r="F4647">
        <v>1919</v>
      </c>
      <c r="G4647">
        <v>4</v>
      </c>
      <c r="H4647">
        <v>1</v>
      </c>
      <c r="I4647">
        <v>1963</v>
      </c>
      <c r="J4647">
        <v>0</v>
      </c>
      <c r="K4647">
        <v>0</v>
      </c>
      <c r="L4647">
        <v>0</v>
      </c>
      <c r="M4647">
        <v>11</v>
      </c>
      <c r="N4647" t="s">
        <v>41</v>
      </c>
      <c r="O4647" t="s">
        <v>30</v>
      </c>
      <c r="P4647">
        <v>12.616635956853701</v>
      </c>
      <c r="Q4647">
        <v>0.66452320796361597</v>
      </c>
      <c r="R4647">
        <v>7.5895029554395101</v>
      </c>
      <c r="S4647">
        <v>0</v>
      </c>
      <c r="T4647">
        <v>51</v>
      </c>
      <c r="U4647">
        <v>848.324583586225</v>
      </c>
      <c r="V4647">
        <v>5.7321521625846696E-3</v>
      </c>
      <c r="W4647">
        <v>1819686.1581676099</v>
      </c>
      <c r="X4647" t="s">
        <v>44</v>
      </c>
      <c r="Y4647">
        <f>1-289-181-3337</f>
        <v>-3806</v>
      </c>
    </row>
    <row r="4648" spans="1:25" x14ac:dyDescent="0.35">
      <c r="A4648">
        <v>34.127589155711902</v>
      </c>
      <c r="B4648">
        <v>-122.985013991031</v>
      </c>
      <c r="C4648" t="s">
        <v>29</v>
      </c>
      <c r="D4648">
        <v>10.3364173209343</v>
      </c>
      <c r="E4648">
        <v>8</v>
      </c>
      <c r="F4648">
        <v>4422</v>
      </c>
      <c r="G4648">
        <v>3</v>
      </c>
      <c r="H4648">
        <v>1</v>
      </c>
      <c r="I4648">
        <v>2004</v>
      </c>
      <c r="J4648">
        <v>0</v>
      </c>
      <c r="K4648">
        <v>0</v>
      </c>
      <c r="L4648">
        <v>0</v>
      </c>
      <c r="M4648">
        <v>2</v>
      </c>
      <c r="N4648" t="s">
        <v>26</v>
      </c>
      <c r="O4648" t="s">
        <v>30</v>
      </c>
      <c r="P4648">
        <v>6.6978141843394399</v>
      </c>
      <c r="Q4648">
        <v>1.5258949565409199</v>
      </c>
      <c r="R4648">
        <v>2.89094033818174</v>
      </c>
      <c r="S4648">
        <v>186</v>
      </c>
      <c r="T4648">
        <v>42</v>
      </c>
      <c r="U4648">
        <v>675.65634276928301</v>
      </c>
      <c r="V4648">
        <v>4.5228403437358602E-4</v>
      </c>
      <c r="W4648">
        <v>3201866.5000201701</v>
      </c>
      <c r="X4648" t="s">
        <v>33</v>
      </c>
      <c r="Y4648">
        <f>1-622-273-8024</f>
        <v>-8918</v>
      </c>
    </row>
    <row r="4649" spans="1:25" x14ac:dyDescent="0.35">
      <c r="A4649">
        <v>40.867999341441703</v>
      </c>
      <c r="B4649">
        <v>-116.426487649259</v>
      </c>
      <c r="C4649" t="s">
        <v>34</v>
      </c>
      <c r="D4649">
        <v>18.060061271595401</v>
      </c>
      <c r="E4649">
        <v>4</v>
      </c>
      <c r="F4649">
        <v>1129</v>
      </c>
      <c r="G4649">
        <v>1</v>
      </c>
      <c r="H4649">
        <v>1</v>
      </c>
      <c r="I4649">
        <v>1997</v>
      </c>
      <c r="J4649">
        <v>1</v>
      </c>
      <c r="K4649">
        <v>0</v>
      </c>
      <c r="L4649">
        <v>0</v>
      </c>
      <c r="M4649">
        <v>9</v>
      </c>
      <c r="N4649" t="s">
        <v>26</v>
      </c>
      <c r="O4649" t="s">
        <v>32</v>
      </c>
      <c r="P4649">
        <v>12.0067249736694</v>
      </c>
      <c r="Q4649">
        <v>0.65751475383229896</v>
      </c>
      <c r="R4649">
        <v>8.1385341709775592</v>
      </c>
      <c r="S4649">
        <v>15</v>
      </c>
      <c r="T4649">
        <v>66</v>
      </c>
      <c r="U4649">
        <v>314.74880661711899</v>
      </c>
      <c r="V4649">
        <v>7.9716563330380803E-3</v>
      </c>
      <c r="W4649">
        <v>591793.96463192999</v>
      </c>
      <c r="X4649" t="s">
        <v>28</v>
      </c>
      <c r="Y4649">
        <f>1-784-742-2651</f>
        <v>-4176</v>
      </c>
    </row>
    <row r="4650" spans="1:25" x14ac:dyDescent="0.35">
      <c r="A4650">
        <v>38.538418334830503</v>
      </c>
      <c r="B4650">
        <v>-122.696019092225</v>
      </c>
      <c r="C4650" t="s">
        <v>34</v>
      </c>
      <c r="D4650">
        <v>42.543413916665401</v>
      </c>
      <c r="E4650">
        <v>9</v>
      </c>
      <c r="F4650">
        <v>850</v>
      </c>
      <c r="G4650">
        <v>1</v>
      </c>
      <c r="H4650">
        <v>3</v>
      </c>
      <c r="I4650">
        <v>2000</v>
      </c>
      <c r="J4650">
        <v>1</v>
      </c>
      <c r="K4650">
        <v>0</v>
      </c>
      <c r="L4650">
        <v>1</v>
      </c>
      <c r="M4650">
        <v>14</v>
      </c>
      <c r="N4650" t="s">
        <v>35</v>
      </c>
      <c r="O4650" t="s">
        <v>27</v>
      </c>
      <c r="P4650">
        <v>2.82181115916105</v>
      </c>
      <c r="Q4650">
        <v>1.67561112060276</v>
      </c>
      <c r="R4650">
        <v>8.7653908646071397</v>
      </c>
      <c r="S4650">
        <v>148</v>
      </c>
      <c r="T4650">
        <v>61</v>
      </c>
      <c r="U4650">
        <v>785.06858155231998</v>
      </c>
      <c r="V4650">
        <v>1.6470588235294101E-2</v>
      </c>
      <c r="W4650">
        <v>806646.65749112598</v>
      </c>
      <c r="X4650" t="s">
        <v>39</v>
      </c>
      <c r="Y4650">
        <f>1-331-629-5008</f>
        <v>-5967</v>
      </c>
    </row>
    <row r="4651" spans="1:25" x14ac:dyDescent="0.35">
      <c r="A4651">
        <v>34.256168413160701</v>
      </c>
      <c r="B4651">
        <v>-118.347783269961</v>
      </c>
      <c r="C4651" t="s">
        <v>25</v>
      </c>
      <c r="D4651">
        <v>27.752991285017799</v>
      </c>
      <c r="E4651">
        <v>3</v>
      </c>
      <c r="F4651">
        <v>3565</v>
      </c>
      <c r="G4651">
        <v>3</v>
      </c>
      <c r="H4651">
        <v>2</v>
      </c>
      <c r="I4651">
        <v>1958</v>
      </c>
      <c r="J4651">
        <v>1</v>
      </c>
      <c r="K4651">
        <v>0</v>
      </c>
      <c r="L4651">
        <v>1</v>
      </c>
      <c r="M4651">
        <v>8</v>
      </c>
      <c r="N4651" t="s">
        <v>37</v>
      </c>
      <c r="O4651" t="s">
        <v>32</v>
      </c>
      <c r="P4651">
        <v>10.8476417298864</v>
      </c>
      <c r="Q4651">
        <v>1.4745973488236299</v>
      </c>
      <c r="R4651">
        <v>2.0037033621441802</v>
      </c>
      <c r="S4651">
        <v>90</v>
      </c>
      <c r="T4651">
        <v>50</v>
      </c>
      <c r="U4651">
        <v>573.49951716415103</v>
      </c>
      <c r="V4651">
        <v>2.2440392706872302E-3</v>
      </c>
      <c r="W4651">
        <v>2295126.1112484098</v>
      </c>
      <c r="X4651" t="s">
        <v>42</v>
      </c>
      <c r="Y4651">
        <f>1-242-339-8371</f>
        <v>-8951</v>
      </c>
    </row>
    <row r="4652" spans="1:25" x14ac:dyDescent="0.35">
      <c r="A4652">
        <v>33.7792014104283</v>
      </c>
      <c r="B4652">
        <v>-116.341866349466</v>
      </c>
      <c r="C4652" t="s">
        <v>29</v>
      </c>
      <c r="D4652">
        <v>33.683495250239602</v>
      </c>
      <c r="E4652">
        <v>5</v>
      </c>
      <c r="F4652">
        <v>4658</v>
      </c>
      <c r="G4652">
        <v>1</v>
      </c>
      <c r="H4652">
        <v>2</v>
      </c>
      <c r="I4652">
        <v>1964</v>
      </c>
      <c r="J4652">
        <v>0</v>
      </c>
      <c r="K4652">
        <v>0</v>
      </c>
      <c r="L4652">
        <v>0</v>
      </c>
      <c r="M4652">
        <v>12</v>
      </c>
      <c r="N4652" t="s">
        <v>41</v>
      </c>
      <c r="O4652" t="s">
        <v>30</v>
      </c>
      <c r="P4652">
        <v>7.76529794429785</v>
      </c>
      <c r="Q4652">
        <v>0.89882400478733504</v>
      </c>
      <c r="R4652">
        <v>2.7168695298608299</v>
      </c>
      <c r="S4652">
        <v>75</v>
      </c>
      <c r="T4652">
        <v>55</v>
      </c>
      <c r="U4652">
        <v>749.96076302762401</v>
      </c>
      <c r="V4652">
        <v>2.5762129669386E-3</v>
      </c>
      <c r="W4652">
        <v>3555278.0840244102</v>
      </c>
      <c r="X4652" t="s">
        <v>44</v>
      </c>
      <c r="Y4652">
        <f>1-395-812-3940</f>
        <v>-5146</v>
      </c>
    </row>
    <row r="4653" spans="1:25" x14ac:dyDescent="0.35">
      <c r="A4653">
        <v>40.181742949509399</v>
      </c>
      <c r="B4653">
        <v>-114.399696668416</v>
      </c>
      <c r="C4653" t="s">
        <v>34</v>
      </c>
      <c r="D4653">
        <v>5.0296027613476797</v>
      </c>
      <c r="E4653">
        <v>6</v>
      </c>
      <c r="F4653">
        <v>1863</v>
      </c>
      <c r="G4653">
        <v>2</v>
      </c>
      <c r="H4653">
        <v>1</v>
      </c>
      <c r="I4653">
        <v>1961</v>
      </c>
      <c r="J4653">
        <v>0</v>
      </c>
      <c r="K4653">
        <v>0</v>
      </c>
      <c r="L4653">
        <v>0</v>
      </c>
      <c r="M4653">
        <v>2</v>
      </c>
      <c r="N4653" t="s">
        <v>37</v>
      </c>
      <c r="O4653" t="s">
        <v>32</v>
      </c>
      <c r="P4653">
        <v>2.7873217690413701</v>
      </c>
      <c r="Q4653">
        <v>0.95063154645963799</v>
      </c>
      <c r="R4653">
        <v>1.5399330884636899</v>
      </c>
      <c r="S4653">
        <v>57</v>
      </c>
      <c r="T4653">
        <v>20</v>
      </c>
      <c r="U4653">
        <v>811.50980568683303</v>
      </c>
      <c r="V4653">
        <v>1.0735373054213599E-3</v>
      </c>
      <c r="W4653">
        <v>1558580.92604472</v>
      </c>
      <c r="X4653" t="s">
        <v>31</v>
      </c>
      <c r="Y4653">
        <f>1-646-596-9691</f>
        <v>-10932</v>
      </c>
    </row>
    <row r="4654" spans="1:25" x14ac:dyDescent="0.35">
      <c r="A4654">
        <v>37.9841600398127</v>
      </c>
      <c r="B4654">
        <v>-122.928237233519</v>
      </c>
      <c r="C4654" t="s">
        <v>25</v>
      </c>
      <c r="D4654">
        <v>30.225999962086501</v>
      </c>
      <c r="E4654">
        <v>7</v>
      </c>
      <c r="F4654">
        <v>4133</v>
      </c>
      <c r="G4654">
        <v>3</v>
      </c>
      <c r="H4654">
        <v>3</v>
      </c>
      <c r="I4654">
        <v>1999</v>
      </c>
      <c r="J4654">
        <v>0</v>
      </c>
      <c r="K4654">
        <v>0</v>
      </c>
      <c r="L4654">
        <v>0</v>
      </c>
      <c r="M4654">
        <v>4</v>
      </c>
      <c r="N4654" t="s">
        <v>35</v>
      </c>
      <c r="O4654" t="s">
        <v>32</v>
      </c>
      <c r="P4654">
        <v>2.3006737172810099</v>
      </c>
      <c r="Q4654">
        <v>2.2806705231984998</v>
      </c>
      <c r="R4654">
        <v>8.7829136191280099</v>
      </c>
      <c r="S4654">
        <v>162</v>
      </c>
      <c r="T4654">
        <v>38</v>
      </c>
      <c r="U4654">
        <v>544.87953107053397</v>
      </c>
      <c r="V4654">
        <v>9.6781998548269997E-4</v>
      </c>
      <c r="W4654">
        <v>2325402.6444311598</v>
      </c>
      <c r="X4654" t="s">
        <v>39</v>
      </c>
      <c r="Y4654">
        <f>1-631-666-3293</f>
        <v>-4589</v>
      </c>
    </row>
    <row r="4655" spans="1:25" x14ac:dyDescent="0.35">
      <c r="A4655">
        <v>34.687496242727597</v>
      </c>
      <c r="B4655">
        <v>-119.820824193478</v>
      </c>
      <c r="C4655" t="s">
        <v>25</v>
      </c>
      <c r="D4655">
        <v>3.3604860652779398</v>
      </c>
      <c r="E4655">
        <v>0</v>
      </c>
      <c r="F4655">
        <v>3896</v>
      </c>
      <c r="G4655">
        <v>3</v>
      </c>
      <c r="H4655">
        <v>3</v>
      </c>
      <c r="I4655">
        <v>1993</v>
      </c>
      <c r="J4655">
        <v>1</v>
      </c>
      <c r="K4655">
        <v>1</v>
      </c>
      <c r="L4655">
        <v>0</v>
      </c>
      <c r="M4655">
        <v>14</v>
      </c>
      <c r="N4655" t="s">
        <v>37</v>
      </c>
      <c r="O4655" t="s">
        <v>30</v>
      </c>
      <c r="P4655">
        <v>7.3460367400213498</v>
      </c>
      <c r="Q4655">
        <v>2.3586103697020602</v>
      </c>
      <c r="R4655">
        <v>1.3411977259064001</v>
      </c>
      <c r="S4655">
        <v>108</v>
      </c>
      <c r="T4655">
        <v>54</v>
      </c>
      <c r="U4655">
        <v>475.57228519945602</v>
      </c>
      <c r="V4655">
        <v>3.5934291581108798E-3</v>
      </c>
      <c r="W4655">
        <v>2307762.8448807299</v>
      </c>
      <c r="X4655" t="s">
        <v>38</v>
      </c>
      <c r="Y4655">
        <f>1-463-341-9340</f>
        <v>-10143</v>
      </c>
    </row>
    <row r="4656" spans="1:25" x14ac:dyDescent="0.35">
      <c r="A4656">
        <v>41.647956088598399</v>
      </c>
      <c r="B4656">
        <v>-122.51811482900899</v>
      </c>
      <c r="C4656" t="s">
        <v>29</v>
      </c>
      <c r="D4656">
        <v>18.9717876959911</v>
      </c>
      <c r="E4656">
        <v>9</v>
      </c>
      <c r="F4656">
        <v>3224</v>
      </c>
      <c r="G4656">
        <v>5</v>
      </c>
      <c r="H4656">
        <v>2</v>
      </c>
      <c r="I4656">
        <v>1959</v>
      </c>
      <c r="J4656">
        <v>0</v>
      </c>
      <c r="K4656">
        <v>1</v>
      </c>
      <c r="L4656">
        <v>1</v>
      </c>
      <c r="M4656">
        <v>10</v>
      </c>
      <c r="N4656" t="s">
        <v>26</v>
      </c>
      <c r="O4656" t="s">
        <v>30</v>
      </c>
      <c r="P4656">
        <v>11.175251008900201</v>
      </c>
      <c r="Q4656">
        <v>1.9270007339969299</v>
      </c>
      <c r="R4656">
        <v>1.8969358730100701</v>
      </c>
      <c r="S4656">
        <v>47</v>
      </c>
      <c r="T4656">
        <v>47</v>
      </c>
      <c r="U4656">
        <v>679.70701391485204</v>
      </c>
      <c r="V4656">
        <v>3.1017369727047101E-3</v>
      </c>
      <c r="W4656">
        <v>2674721.9501502998</v>
      </c>
      <c r="X4656" t="s">
        <v>40</v>
      </c>
      <c r="Y4656">
        <f>1-294-275-5496</f>
        <v>-6064</v>
      </c>
    </row>
    <row r="4657" spans="1:25" x14ac:dyDescent="0.35">
      <c r="A4657">
        <v>38.1514937687841</v>
      </c>
      <c r="B4657">
        <v>-123.93660400029999</v>
      </c>
      <c r="C4657" t="s">
        <v>34</v>
      </c>
      <c r="D4657">
        <v>15.5047421287356</v>
      </c>
      <c r="E4657">
        <v>7</v>
      </c>
      <c r="F4657">
        <v>978</v>
      </c>
      <c r="G4657">
        <v>4</v>
      </c>
      <c r="H4657">
        <v>2</v>
      </c>
      <c r="I4657">
        <v>1966</v>
      </c>
      <c r="J4657">
        <v>0</v>
      </c>
      <c r="K4657">
        <v>0</v>
      </c>
      <c r="L4657">
        <v>0</v>
      </c>
      <c r="M4657">
        <v>13</v>
      </c>
      <c r="N4657" t="s">
        <v>26</v>
      </c>
      <c r="O4657" t="s">
        <v>30</v>
      </c>
      <c r="P4657">
        <v>4.6009464474074999</v>
      </c>
      <c r="Q4657">
        <v>0.95632975337292003</v>
      </c>
      <c r="R4657">
        <v>7.7948193217348898</v>
      </c>
      <c r="S4657">
        <v>91</v>
      </c>
      <c r="T4657">
        <v>20</v>
      </c>
      <c r="U4657">
        <v>598.39961604254302</v>
      </c>
      <c r="V4657">
        <v>1.3292433537832301E-2</v>
      </c>
      <c r="W4657">
        <v>780342.21380736399</v>
      </c>
      <c r="X4657" t="s">
        <v>43</v>
      </c>
      <c r="Y4657">
        <f>1-434-181-2230</f>
        <v>-2844</v>
      </c>
    </row>
    <row r="4658" spans="1:25" x14ac:dyDescent="0.35">
      <c r="A4658">
        <v>41.010351192901197</v>
      </c>
      <c r="B4658">
        <v>-122.135235061377</v>
      </c>
      <c r="C4658" t="s">
        <v>29</v>
      </c>
      <c r="D4658">
        <v>45.864850781923401</v>
      </c>
      <c r="E4658">
        <v>4</v>
      </c>
      <c r="F4658">
        <v>619</v>
      </c>
      <c r="G4658">
        <v>5</v>
      </c>
      <c r="H4658">
        <v>3</v>
      </c>
      <c r="I4658">
        <v>1995</v>
      </c>
      <c r="J4658">
        <v>0</v>
      </c>
      <c r="K4658">
        <v>0</v>
      </c>
      <c r="L4658">
        <v>1</v>
      </c>
      <c r="M4658">
        <v>7</v>
      </c>
      <c r="N4658" t="s">
        <v>41</v>
      </c>
      <c r="O4658" t="s">
        <v>27</v>
      </c>
      <c r="P4658">
        <v>6.54963511713866</v>
      </c>
      <c r="Q4658">
        <v>0.68338432131011995</v>
      </c>
      <c r="R4658">
        <v>5.7833799178322502</v>
      </c>
      <c r="S4658">
        <v>123</v>
      </c>
      <c r="T4658">
        <v>29</v>
      </c>
      <c r="U4658">
        <v>811.71427920004305</v>
      </c>
      <c r="V4658">
        <v>1.1308562197092E-2</v>
      </c>
      <c r="W4658">
        <v>867255.49975065002</v>
      </c>
      <c r="X4658" t="s">
        <v>36</v>
      </c>
      <c r="Y4658">
        <f>1-462-993-2139</f>
        <v>-3593</v>
      </c>
    </row>
    <row r="4659" spans="1:25" x14ac:dyDescent="0.35">
      <c r="A4659">
        <v>36.806948935067702</v>
      </c>
      <c r="B4659">
        <v>-117.78646498134999</v>
      </c>
      <c r="C4659" t="s">
        <v>25</v>
      </c>
      <c r="D4659">
        <v>27.441569401687101</v>
      </c>
      <c r="E4659">
        <v>3</v>
      </c>
      <c r="F4659">
        <v>2933</v>
      </c>
      <c r="G4659">
        <v>1</v>
      </c>
      <c r="H4659">
        <v>1</v>
      </c>
      <c r="I4659">
        <v>1972</v>
      </c>
      <c r="J4659">
        <v>1</v>
      </c>
      <c r="K4659">
        <v>1</v>
      </c>
      <c r="L4659">
        <v>0</v>
      </c>
      <c r="M4659">
        <v>10</v>
      </c>
      <c r="N4659" t="s">
        <v>26</v>
      </c>
      <c r="O4659" t="s">
        <v>27</v>
      </c>
      <c r="P4659">
        <v>14.364598175041399</v>
      </c>
      <c r="Q4659">
        <v>2.3003833573438</v>
      </c>
      <c r="R4659">
        <v>7.4028074359602503</v>
      </c>
      <c r="S4659">
        <v>24</v>
      </c>
      <c r="T4659">
        <v>67</v>
      </c>
      <c r="U4659">
        <v>966.06220340921004</v>
      </c>
      <c r="V4659">
        <v>3.4094783498124699E-3</v>
      </c>
      <c r="W4659">
        <v>3045234.3686725898</v>
      </c>
      <c r="X4659" t="s">
        <v>44</v>
      </c>
      <c r="Y4659">
        <f>1-256-371-6791</f>
        <v>-7417</v>
      </c>
    </row>
    <row r="4660" spans="1:25" x14ac:dyDescent="0.35">
      <c r="A4660">
        <v>35.197614473746498</v>
      </c>
      <c r="B4660">
        <v>-118.79607440637901</v>
      </c>
      <c r="C4660" t="s">
        <v>34</v>
      </c>
      <c r="D4660">
        <v>27.845846673628898</v>
      </c>
      <c r="E4660">
        <v>6</v>
      </c>
      <c r="F4660">
        <v>1947</v>
      </c>
      <c r="G4660">
        <v>3</v>
      </c>
      <c r="H4660">
        <v>1</v>
      </c>
      <c r="I4660">
        <v>1970</v>
      </c>
      <c r="J4660">
        <v>0</v>
      </c>
      <c r="K4660">
        <v>0</v>
      </c>
      <c r="L4660">
        <v>1</v>
      </c>
      <c r="M4660">
        <v>12</v>
      </c>
      <c r="N4660" t="s">
        <v>26</v>
      </c>
      <c r="O4660" t="s">
        <v>30</v>
      </c>
      <c r="P4660">
        <v>3.8721527184590698</v>
      </c>
      <c r="Q4660">
        <v>1.25386914110254</v>
      </c>
      <c r="R4660">
        <v>1.91785722093921</v>
      </c>
      <c r="S4660">
        <v>9</v>
      </c>
      <c r="T4660">
        <v>43</v>
      </c>
      <c r="U4660">
        <v>789.60023468500697</v>
      </c>
      <c r="V4660">
        <v>6.1633281972264999E-3</v>
      </c>
      <c r="W4660">
        <v>1625673.6991097601</v>
      </c>
      <c r="X4660" t="s">
        <v>33</v>
      </c>
      <c r="Y4660">
        <f>1-874-832-7748</f>
        <v>-9453</v>
      </c>
    </row>
    <row r="4661" spans="1:25" x14ac:dyDescent="0.35">
      <c r="A4661">
        <v>40.227026384241697</v>
      </c>
      <c r="B4661">
        <v>-121.21391982754101</v>
      </c>
      <c r="C4661" t="s">
        <v>34</v>
      </c>
      <c r="D4661">
        <v>17.1690611338385</v>
      </c>
      <c r="E4661">
        <v>1</v>
      </c>
      <c r="F4661">
        <v>1819</v>
      </c>
      <c r="G4661">
        <v>4</v>
      </c>
      <c r="H4661">
        <v>2</v>
      </c>
      <c r="I4661">
        <v>1982</v>
      </c>
      <c r="J4661">
        <v>0</v>
      </c>
      <c r="K4661">
        <v>0</v>
      </c>
      <c r="L4661">
        <v>1</v>
      </c>
      <c r="M4661">
        <v>14</v>
      </c>
      <c r="N4661" t="s">
        <v>41</v>
      </c>
      <c r="O4661" t="s">
        <v>27</v>
      </c>
      <c r="P4661">
        <v>9.0945343913456806</v>
      </c>
      <c r="Q4661">
        <v>1.7736029014692201</v>
      </c>
      <c r="R4661">
        <v>8.1493515868578292</v>
      </c>
      <c r="S4661">
        <v>21</v>
      </c>
      <c r="T4661">
        <v>30</v>
      </c>
      <c r="U4661">
        <v>251.158960511321</v>
      </c>
      <c r="V4661">
        <v>7.6965365585486504E-3</v>
      </c>
      <c r="W4661">
        <v>690759.19958494802</v>
      </c>
      <c r="X4661" t="s">
        <v>38</v>
      </c>
      <c r="Y4661">
        <f>1-709-176-1544</f>
        <v>-2428</v>
      </c>
    </row>
    <row r="4662" spans="1:25" x14ac:dyDescent="0.35">
      <c r="A4662">
        <v>37.413640137793401</v>
      </c>
      <c r="B4662">
        <v>-119.110894292212</v>
      </c>
      <c r="C4662" t="s">
        <v>29</v>
      </c>
      <c r="D4662">
        <v>4.4481620331415597</v>
      </c>
      <c r="E4662">
        <v>9</v>
      </c>
      <c r="F4662">
        <v>3363</v>
      </c>
      <c r="G4662">
        <v>2</v>
      </c>
      <c r="H4662">
        <v>1</v>
      </c>
      <c r="I4662">
        <v>2014</v>
      </c>
      <c r="J4662">
        <v>0</v>
      </c>
      <c r="K4662">
        <v>0</v>
      </c>
      <c r="L4662">
        <v>1</v>
      </c>
      <c r="M4662">
        <v>6</v>
      </c>
      <c r="N4662" t="s">
        <v>41</v>
      </c>
      <c r="O4662" t="s">
        <v>32</v>
      </c>
      <c r="P4662">
        <v>6.4742603039855497</v>
      </c>
      <c r="Q4662">
        <v>2.3479791795156002</v>
      </c>
      <c r="R4662">
        <v>0.85337639135425203</v>
      </c>
      <c r="S4662">
        <v>189</v>
      </c>
      <c r="T4662">
        <v>47</v>
      </c>
      <c r="U4662">
        <v>970.29692575617105</v>
      </c>
      <c r="V4662">
        <v>1.7841213202497699E-3</v>
      </c>
      <c r="W4662">
        <v>3463108.7004919201</v>
      </c>
      <c r="X4662" t="s">
        <v>33</v>
      </c>
      <c r="Y4662">
        <f>1-512-393-4374</f>
        <v>-5278</v>
      </c>
    </row>
    <row r="4663" spans="1:25" x14ac:dyDescent="0.35">
      <c r="A4663">
        <v>37.468483514098203</v>
      </c>
      <c r="B4663">
        <v>-124.182554632495</v>
      </c>
      <c r="C4663" t="s">
        <v>34</v>
      </c>
      <c r="D4663">
        <v>30.5472604062934</v>
      </c>
      <c r="E4663">
        <v>5</v>
      </c>
      <c r="F4663">
        <v>4917</v>
      </c>
      <c r="G4663">
        <v>5</v>
      </c>
      <c r="H4663">
        <v>1</v>
      </c>
      <c r="I4663">
        <v>1962</v>
      </c>
      <c r="J4663">
        <v>1</v>
      </c>
      <c r="K4663">
        <v>0</v>
      </c>
      <c r="L4663">
        <v>0</v>
      </c>
      <c r="M4663">
        <v>13</v>
      </c>
      <c r="N4663" t="s">
        <v>37</v>
      </c>
      <c r="O4663" t="s">
        <v>27</v>
      </c>
      <c r="P4663">
        <v>8.2994102821776394</v>
      </c>
      <c r="Q4663">
        <v>1.80175969383472</v>
      </c>
      <c r="R4663">
        <v>9.2189276800018298</v>
      </c>
      <c r="S4663">
        <v>138</v>
      </c>
      <c r="T4663">
        <v>72</v>
      </c>
      <c r="U4663">
        <v>243.02039905820101</v>
      </c>
      <c r="V4663">
        <v>2.64388854992881E-3</v>
      </c>
      <c r="W4663">
        <v>1462556.2284192101</v>
      </c>
      <c r="X4663" t="s">
        <v>44</v>
      </c>
      <c r="Y4663">
        <f>1-641-774-3064</f>
        <v>-4478</v>
      </c>
    </row>
    <row r="4664" spans="1:25" x14ac:dyDescent="0.35">
      <c r="A4664">
        <v>38.705450046460399</v>
      </c>
      <c r="B4664">
        <v>-116.89835694344499</v>
      </c>
      <c r="C4664" t="s">
        <v>34</v>
      </c>
      <c r="D4664">
        <v>42.548708944504803</v>
      </c>
      <c r="E4664">
        <v>3</v>
      </c>
      <c r="F4664">
        <v>3133</v>
      </c>
      <c r="G4664">
        <v>2</v>
      </c>
      <c r="H4664">
        <v>3</v>
      </c>
      <c r="I4664">
        <v>1977</v>
      </c>
      <c r="J4664">
        <v>1</v>
      </c>
      <c r="K4664">
        <v>1</v>
      </c>
      <c r="L4664">
        <v>0</v>
      </c>
      <c r="M4664">
        <v>11</v>
      </c>
      <c r="N4664" t="s">
        <v>35</v>
      </c>
      <c r="O4664" t="s">
        <v>27</v>
      </c>
      <c r="P4664">
        <v>3.9620967398140499</v>
      </c>
      <c r="Q4664">
        <v>2.0817682964161901</v>
      </c>
      <c r="R4664">
        <v>8.7984460946720606</v>
      </c>
      <c r="S4664">
        <v>161</v>
      </c>
      <c r="T4664">
        <v>55</v>
      </c>
      <c r="U4664">
        <v>858.91806356478799</v>
      </c>
      <c r="V4664">
        <v>3.5110118097669901E-3</v>
      </c>
      <c r="W4664">
        <v>2951495.5940734898</v>
      </c>
      <c r="X4664" t="s">
        <v>33</v>
      </c>
      <c r="Y4664">
        <f>1-219-894-6707</f>
        <v>-7819</v>
      </c>
    </row>
    <row r="4665" spans="1:25" x14ac:dyDescent="0.35">
      <c r="A4665">
        <v>38.196462025190399</v>
      </c>
      <c r="B4665">
        <v>-117.949346280745</v>
      </c>
      <c r="C4665" t="s">
        <v>25</v>
      </c>
      <c r="D4665">
        <v>4.0284156052104798</v>
      </c>
      <c r="E4665">
        <v>3</v>
      </c>
      <c r="F4665">
        <v>4555</v>
      </c>
      <c r="G4665">
        <v>2</v>
      </c>
      <c r="H4665">
        <v>1</v>
      </c>
      <c r="I4665">
        <v>2013</v>
      </c>
      <c r="J4665">
        <v>0</v>
      </c>
      <c r="K4665">
        <v>1</v>
      </c>
      <c r="L4665">
        <v>0</v>
      </c>
      <c r="M4665">
        <v>13</v>
      </c>
      <c r="N4665" t="s">
        <v>41</v>
      </c>
      <c r="O4665" t="s">
        <v>27</v>
      </c>
      <c r="P4665">
        <v>13.0047578616552</v>
      </c>
      <c r="Q4665">
        <v>2.0470074321216298</v>
      </c>
      <c r="R4665">
        <v>5.8970321813055504</v>
      </c>
      <c r="S4665">
        <v>103</v>
      </c>
      <c r="T4665">
        <v>26</v>
      </c>
      <c r="U4665">
        <v>945.79882701322299</v>
      </c>
      <c r="V4665">
        <v>2.85400658616904E-3</v>
      </c>
      <c r="W4665">
        <v>4665569.5981861297</v>
      </c>
      <c r="X4665" t="s">
        <v>36</v>
      </c>
      <c r="Y4665">
        <f>1-766-950-7847</f>
        <v>-9562</v>
      </c>
    </row>
    <row r="4666" spans="1:25" x14ac:dyDescent="0.35">
      <c r="A4666">
        <v>35.446454682304697</v>
      </c>
      <c r="B4666">
        <v>-114.72488317271799</v>
      </c>
      <c r="C4666" t="s">
        <v>29</v>
      </c>
      <c r="D4666">
        <v>24.619142670459301</v>
      </c>
      <c r="E4666">
        <v>8</v>
      </c>
      <c r="F4666">
        <v>1999</v>
      </c>
      <c r="G4666">
        <v>4</v>
      </c>
      <c r="H4666">
        <v>3</v>
      </c>
      <c r="I4666">
        <v>1969</v>
      </c>
      <c r="J4666">
        <v>0</v>
      </c>
      <c r="K4666">
        <v>1</v>
      </c>
      <c r="L4666">
        <v>0</v>
      </c>
      <c r="M4666">
        <v>5</v>
      </c>
      <c r="N4666" t="s">
        <v>41</v>
      </c>
      <c r="O4666" t="s">
        <v>30</v>
      </c>
      <c r="P4666">
        <v>14.9364404447685</v>
      </c>
      <c r="Q4666">
        <v>2.1155798360120199</v>
      </c>
      <c r="R4666">
        <v>4.6828003874859396</v>
      </c>
      <c r="S4666">
        <v>64</v>
      </c>
      <c r="T4666">
        <v>62</v>
      </c>
      <c r="U4666">
        <v>741.59172165955601</v>
      </c>
      <c r="V4666">
        <v>2.5012506253126502E-3</v>
      </c>
      <c r="W4666">
        <v>1862328.27876648</v>
      </c>
      <c r="X4666" t="s">
        <v>38</v>
      </c>
      <c r="Y4666">
        <f>1-268-186-9431</f>
        <v>-9884</v>
      </c>
    </row>
    <row r="4667" spans="1:25" x14ac:dyDescent="0.35">
      <c r="A4667">
        <v>40.756213658337501</v>
      </c>
      <c r="B4667">
        <v>-121.116084560703</v>
      </c>
      <c r="C4667" t="s">
        <v>25</v>
      </c>
      <c r="D4667">
        <v>22.028564137533799</v>
      </c>
      <c r="E4667">
        <v>9</v>
      </c>
      <c r="F4667">
        <v>1051</v>
      </c>
      <c r="G4667">
        <v>4</v>
      </c>
      <c r="H4667">
        <v>1</v>
      </c>
      <c r="I4667">
        <v>1995</v>
      </c>
      <c r="J4667">
        <v>0</v>
      </c>
      <c r="K4667">
        <v>0</v>
      </c>
      <c r="L4667">
        <v>1</v>
      </c>
      <c r="M4667">
        <v>12</v>
      </c>
      <c r="N4667" t="s">
        <v>35</v>
      </c>
      <c r="O4667" t="s">
        <v>27</v>
      </c>
      <c r="P4667">
        <v>13.9353794890587</v>
      </c>
      <c r="Q4667">
        <v>2.1081052682168999</v>
      </c>
      <c r="R4667">
        <v>4.1146556410314199</v>
      </c>
      <c r="S4667">
        <v>94</v>
      </c>
      <c r="T4667">
        <v>72</v>
      </c>
      <c r="U4667">
        <v>804.80765132466695</v>
      </c>
      <c r="V4667">
        <v>1.1417697431018E-2</v>
      </c>
      <c r="W4667">
        <v>1123525.1052067201</v>
      </c>
      <c r="X4667" t="s">
        <v>33</v>
      </c>
      <c r="Y4667">
        <f>1-546-572-4003</f>
        <v>-5120</v>
      </c>
    </row>
    <row r="4668" spans="1:25" x14ac:dyDescent="0.35">
      <c r="A4668">
        <v>38.381403841210499</v>
      </c>
      <c r="B4668">
        <v>-115.361360449053</v>
      </c>
      <c r="C4668" t="s">
        <v>34</v>
      </c>
      <c r="D4668">
        <v>13.319693949511199</v>
      </c>
      <c r="E4668">
        <v>1</v>
      </c>
      <c r="F4668">
        <v>2736</v>
      </c>
      <c r="G4668">
        <v>5</v>
      </c>
      <c r="H4668">
        <v>2</v>
      </c>
      <c r="I4668">
        <v>1965</v>
      </c>
      <c r="J4668">
        <v>0</v>
      </c>
      <c r="K4668">
        <v>0</v>
      </c>
      <c r="L4668">
        <v>1</v>
      </c>
      <c r="M4668">
        <v>13</v>
      </c>
      <c r="N4668" t="s">
        <v>37</v>
      </c>
      <c r="O4668" t="s">
        <v>32</v>
      </c>
      <c r="P4668">
        <v>13.9300469490232</v>
      </c>
      <c r="Q4668">
        <v>2.2411644404072399</v>
      </c>
      <c r="R4668">
        <v>5.4216455605165104</v>
      </c>
      <c r="S4668">
        <v>123</v>
      </c>
      <c r="T4668">
        <v>48</v>
      </c>
      <c r="U4668">
        <v>541.18069767366899</v>
      </c>
      <c r="V4668">
        <v>4.7514619883040898E-3</v>
      </c>
      <c r="W4668">
        <v>1864367.8156517099</v>
      </c>
      <c r="X4668" t="s">
        <v>28</v>
      </c>
      <c r="Y4668">
        <f>1-579-791-3875</f>
        <v>-5244</v>
      </c>
    </row>
    <row r="4669" spans="1:25" x14ac:dyDescent="0.35">
      <c r="A4669">
        <v>33.705846382282097</v>
      </c>
      <c r="B4669">
        <v>-123.554306860647</v>
      </c>
      <c r="C4669" t="s">
        <v>25</v>
      </c>
      <c r="D4669">
        <v>7.5649409486358499</v>
      </c>
      <c r="E4669">
        <v>8</v>
      </c>
      <c r="F4669">
        <v>1450</v>
      </c>
      <c r="G4669">
        <v>3</v>
      </c>
      <c r="H4669">
        <v>2</v>
      </c>
      <c r="I4669">
        <v>2007</v>
      </c>
      <c r="J4669">
        <v>0</v>
      </c>
      <c r="K4669">
        <v>0</v>
      </c>
      <c r="L4669">
        <v>1</v>
      </c>
      <c r="M4669">
        <v>6</v>
      </c>
      <c r="N4669" t="s">
        <v>37</v>
      </c>
      <c r="O4669" t="s">
        <v>27</v>
      </c>
      <c r="P4669">
        <v>3.2808961195229198</v>
      </c>
      <c r="Q4669">
        <v>1.0982549562408801</v>
      </c>
      <c r="R4669">
        <v>9.3692193475730896</v>
      </c>
      <c r="S4669">
        <v>86</v>
      </c>
      <c r="T4669">
        <v>24</v>
      </c>
      <c r="U4669">
        <v>294.2915526493</v>
      </c>
      <c r="V4669">
        <v>4.1379310344827501E-3</v>
      </c>
      <c r="W4669">
        <v>648598.83910913498</v>
      </c>
      <c r="X4669" t="s">
        <v>44</v>
      </c>
      <c r="Y4669">
        <f>1-527-435-7777</f>
        <v>-8738</v>
      </c>
    </row>
    <row r="4670" spans="1:25" x14ac:dyDescent="0.35">
      <c r="A4670">
        <v>41.603463258093498</v>
      </c>
      <c r="B4670">
        <v>-120.09161207979</v>
      </c>
      <c r="C4670" t="s">
        <v>34</v>
      </c>
      <c r="D4670">
        <v>9.8066374021749496</v>
      </c>
      <c r="E4670">
        <v>1</v>
      </c>
      <c r="F4670">
        <v>1923</v>
      </c>
      <c r="G4670">
        <v>4</v>
      </c>
      <c r="H4670">
        <v>2</v>
      </c>
      <c r="I4670">
        <v>1956</v>
      </c>
      <c r="J4670">
        <v>1</v>
      </c>
      <c r="K4670">
        <v>0</v>
      </c>
      <c r="L4670">
        <v>1</v>
      </c>
      <c r="M4670">
        <v>11</v>
      </c>
      <c r="N4670" t="s">
        <v>37</v>
      </c>
      <c r="O4670" t="s">
        <v>32</v>
      </c>
      <c r="P4670">
        <v>14.2719004000938</v>
      </c>
      <c r="Q4670">
        <v>1.8209743719810201</v>
      </c>
      <c r="R4670">
        <v>7.0340940035144603</v>
      </c>
      <c r="S4670">
        <v>145</v>
      </c>
      <c r="T4670">
        <v>47</v>
      </c>
      <c r="U4670">
        <v>596.73190948694105</v>
      </c>
      <c r="V4670">
        <v>5.7202288091523596E-3</v>
      </c>
      <c r="W4670">
        <v>1389705.4250716099</v>
      </c>
      <c r="X4670" t="s">
        <v>38</v>
      </c>
      <c r="Y4670">
        <f>1-391-137-9538</f>
        <v>-10065</v>
      </c>
    </row>
    <row r="4671" spans="1:25" x14ac:dyDescent="0.35">
      <c r="A4671">
        <v>39.115318524072599</v>
      </c>
      <c r="B4671">
        <v>-117.146481201732</v>
      </c>
      <c r="C4671" t="s">
        <v>25</v>
      </c>
      <c r="D4671">
        <v>23.018518422130899</v>
      </c>
      <c r="E4671">
        <v>6</v>
      </c>
      <c r="F4671">
        <v>4002</v>
      </c>
      <c r="G4671">
        <v>5</v>
      </c>
      <c r="H4671">
        <v>3</v>
      </c>
      <c r="I4671">
        <v>1962</v>
      </c>
      <c r="J4671">
        <v>0</v>
      </c>
      <c r="K4671">
        <v>0</v>
      </c>
      <c r="L4671">
        <v>0</v>
      </c>
      <c r="M4671">
        <v>5</v>
      </c>
      <c r="N4671" t="s">
        <v>26</v>
      </c>
      <c r="O4671" t="s">
        <v>27</v>
      </c>
      <c r="P4671">
        <v>3.9986302469686001</v>
      </c>
      <c r="Q4671">
        <v>1.2917316466428901</v>
      </c>
      <c r="R4671">
        <v>4.6372102712452303</v>
      </c>
      <c r="S4671">
        <v>176</v>
      </c>
      <c r="T4671">
        <v>28</v>
      </c>
      <c r="U4671">
        <v>371.47389894225898</v>
      </c>
      <c r="V4671">
        <v>1.2493753123438199E-3</v>
      </c>
      <c r="W4671">
        <v>1720034.5915508601</v>
      </c>
      <c r="X4671" t="s">
        <v>43</v>
      </c>
      <c r="Y4671">
        <f>1-571-823-5615</f>
        <v>-7008</v>
      </c>
    </row>
    <row r="4672" spans="1:25" x14ac:dyDescent="0.35">
      <c r="A4672">
        <v>34.567284337101498</v>
      </c>
      <c r="B4672">
        <v>-115.13412312515599</v>
      </c>
      <c r="C4672" t="s">
        <v>34</v>
      </c>
      <c r="D4672">
        <v>20.892937553727101</v>
      </c>
      <c r="E4672">
        <v>3</v>
      </c>
      <c r="F4672">
        <v>1873</v>
      </c>
      <c r="G4672">
        <v>2</v>
      </c>
      <c r="H4672">
        <v>2</v>
      </c>
      <c r="I4672">
        <v>2015</v>
      </c>
      <c r="J4672">
        <v>1</v>
      </c>
      <c r="K4672">
        <v>1</v>
      </c>
      <c r="L4672">
        <v>0</v>
      </c>
      <c r="M4672">
        <v>14</v>
      </c>
      <c r="N4672" t="s">
        <v>41</v>
      </c>
      <c r="O4672" t="s">
        <v>27</v>
      </c>
      <c r="P4672">
        <v>7.5916957812993502</v>
      </c>
      <c r="Q4672">
        <v>1.84140464651452</v>
      </c>
      <c r="R4672">
        <v>8.1524008031676605</v>
      </c>
      <c r="S4672">
        <v>176</v>
      </c>
      <c r="T4672">
        <v>68</v>
      </c>
      <c r="U4672">
        <v>385.83505974789699</v>
      </c>
      <c r="V4672">
        <v>7.47463961558996E-3</v>
      </c>
      <c r="W4672">
        <v>1064421.74049739</v>
      </c>
      <c r="X4672" t="s">
        <v>40</v>
      </c>
      <c r="Y4672">
        <f>1-912-870-7471</f>
        <v>-9252</v>
      </c>
    </row>
    <row r="4673" spans="1:25" x14ac:dyDescent="0.35">
      <c r="A4673">
        <v>34.262740193974899</v>
      </c>
      <c r="B4673">
        <v>-116.490078572356</v>
      </c>
      <c r="C4673" t="s">
        <v>25</v>
      </c>
      <c r="D4673">
        <v>35.0772001315202</v>
      </c>
      <c r="E4673">
        <v>5</v>
      </c>
      <c r="F4673">
        <v>3631</v>
      </c>
      <c r="G4673">
        <v>5</v>
      </c>
      <c r="H4673">
        <v>1</v>
      </c>
      <c r="I4673">
        <v>2016</v>
      </c>
      <c r="J4673">
        <v>1</v>
      </c>
      <c r="K4673">
        <v>0</v>
      </c>
      <c r="L4673">
        <v>1</v>
      </c>
      <c r="M4673">
        <v>12</v>
      </c>
      <c r="N4673" t="s">
        <v>37</v>
      </c>
      <c r="O4673" t="s">
        <v>32</v>
      </c>
      <c r="P4673">
        <v>2.5017899559213199</v>
      </c>
      <c r="Q4673">
        <v>2.2395872977098601</v>
      </c>
      <c r="R4673">
        <v>5.87753539235442</v>
      </c>
      <c r="S4673">
        <v>145</v>
      </c>
      <c r="T4673">
        <v>35</v>
      </c>
      <c r="U4673">
        <v>829.66352403025496</v>
      </c>
      <c r="V4673">
        <v>3.3048746901679902E-3</v>
      </c>
      <c r="W4673">
        <v>3255024.9246060699</v>
      </c>
      <c r="X4673" t="s">
        <v>38</v>
      </c>
      <c r="Y4673">
        <f>1-825-879-9989</f>
        <v>-11692</v>
      </c>
    </row>
    <row r="4674" spans="1:25" x14ac:dyDescent="0.35">
      <c r="A4674">
        <v>38.192851820495903</v>
      </c>
      <c r="B4674">
        <v>-116.362657896515</v>
      </c>
      <c r="C4674" t="s">
        <v>34</v>
      </c>
      <c r="D4674">
        <v>17.129950391794502</v>
      </c>
      <c r="E4674">
        <v>3</v>
      </c>
      <c r="F4674">
        <v>1205</v>
      </c>
      <c r="G4674">
        <v>1</v>
      </c>
      <c r="H4674">
        <v>3</v>
      </c>
      <c r="I4674">
        <v>1970</v>
      </c>
      <c r="J4674">
        <v>1</v>
      </c>
      <c r="K4674">
        <v>0</v>
      </c>
      <c r="L4674">
        <v>0</v>
      </c>
      <c r="M4674">
        <v>6</v>
      </c>
      <c r="N4674" t="s">
        <v>35</v>
      </c>
      <c r="O4674" t="s">
        <v>32</v>
      </c>
      <c r="P4674">
        <v>12.976664466981701</v>
      </c>
      <c r="Q4674">
        <v>1.9431746242772401</v>
      </c>
      <c r="R4674">
        <v>0.87283025244610701</v>
      </c>
      <c r="S4674">
        <v>127</v>
      </c>
      <c r="T4674">
        <v>64</v>
      </c>
      <c r="U4674">
        <v>675.11754516548797</v>
      </c>
      <c r="V4674">
        <v>4.9792531120331903E-3</v>
      </c>
      <c r="W4674">
        <v>1008288.76474866</v>
      </c>
      <c r="X4674" t="s">
        <v>40</v>
      </c>
      <c r="Y4674">
        <f>1-944-814-4132</f>
        <v>-5889</v>
      </c>
    </row>
    <row r="4675" spans="1:25" x14ac:dyDescent="0.35">
      <c r="A4675">
        <v>33.739043436931098</v>
      </c>
      <c r="B4675">
        <v>-120.019443523923</v>
      </c>
      <c r="C4675" t="s">
        <v>29</v>
      </c>
      <c r="D4675">
        <v>36.040551660409001</v>
      </c>
      <c r="E4675">
        <v>4</v>
      </c>
      <c r="F4675">
        <v>2570</v>
      </c>
      <c r="G4675">
        <v>4</v>
      </c>
      <c r="H4675">
        <v>1</v>
      </c>
      <c r="I4675">
        <v>2002</v>
      </c>
      <c r="J4675">
        <v>0</v>
      </c>
      <c r="K4675">
        <v>1</v>
      </c>
      <c r="L4675">
        <v>1</v>
      </c>
      <c r="M4675">
        <v>13</v>
      </c>
      <c r="N4675" t="s">
        <v>26</v>
      </c>
      <c r="O4675" t="s">
        <v>27</v>
      </c>
      <c r="P4675">
        <v>7.5564780153137896</v>
      </c>
      <c r="Q4675">
        <v>2.31442530301518</v>
      </c>
      <c r="R4675">
        <v>1.0685487247002601</v>
      </c>
      <c r="S4675">
        <v>178</v>
      </c>
      <c r="T4675">
        <v>43</v>
      </c>
      <c r="U4675">
        <v>534.58691832851503</v>
      </c>
      <c r="V4675">
        <v>5.0583657587548597E-3</v>
      </c>
      <c r="W4675">
        <v>1771131.00619591</v>
      </c>
      <c r="X4675" t="s">
        <v>31</v>
      </c>
      <c r="Y4675">
        <f>1-881-493-3324</f>
        <v>-4697</v>
      </c>
    </row>
    <row r="4676" spans="1:25" x14ac:dyDescent="0.35">
      <c r="A4676">
        <v>37.329772305752797</v>
      </c>
      <c r="B4676">
        <v>-121.73542475817401</v>
      </c>
      <c r="C4676" t="s">
        <v>25</v>
      </c>
      <c r="D4676">
        <v>43.956834096419598</v>
      </c>
      <c r="E4676">
        <v>9</v>
      </c>
      <c r="F4676">
        <v>1789</v>
      </c>
      <c r="G4676">
        <v>5</v>
      </c>
      <c r="H4676">
        <v>3</v>
      </c>
      <c r="I4676">
        <v>2013</v>
      </c>
      <c r="J4676">
        <v>1</v>
      </c>
      <c r="K4676">
        <v>0</v>
      </c>
      <c r="L4676">
        <v>0</v>
      </c>
      <c r="M4676">
        <v>12</v>
      </c>
      <c r="N4676" t="s">
        <v>35</v>
      </c>
      <c r="O4676" t="s">
        <v>32</v>
      </c>
      <c r="P4676">
        <v>9.0549070337947803</v>
      </c>
      <c r="Q4676">
        <v>1.30512663666846</v>
      </c>
      <c r="R4676">
        <v>6.7076730306984498</v>
      </c>
      <c r="S4676">
        <v>55</v>
      </c>
      <c r="T4676">
        <v>21</v>
      </c>
      <c r="U4676">
        <v>679.91358785760895</v>
      </c>
      <c r="V4676">
        <v>6.7076579094466097E-3</v>
      </c>
      <c r="W4676">
        <v>1638155.5480764499</v>
      </c>
      <c r="X4676" t="s">
        <v>43</v>
      </c>
      <c r="Y4676">
        <f>1-597-744-8089</f>
        <v>-9429</v>
      </c>
    </row>
    <row r="4677" spans="1:25" x14ac:dyDescent="0.35">
      <c r="A4677">
        <v>36.758391200220601</v>
      </c>
      <c r="B4677">
        <v>-118.227540742191</v>
      </c>
      <c r="C4677" t="s">
        <v>29</v>
      </c>
      <c r="D4677">
        <v>45.030766598754603</v>
      </c>
      <c r="E4677">
        <v>9</v>
      </c>
      <c r="F4677">
        <v>3519</v>
      </c>
      <c r="G4677">
        <v>3</v>
      </c>
      <c r="H4677">
        <v>3</v>
      </c>
      <c r="I4677">
        <v>2010</v>
      </c>
      <c r="J4677">
        <v>0</v>
      </c>
      <c r="K4677">
        <v>0</v>
      </c>
      <c r="L4677">
        <v>0</v>
      </c>
      <c r="M4677">
        <v>12</v>
      </c>
      <c r="N4677" t="s">
        <v>26</v>
      </c>
      <c r="O4677" t="s">
        <v>32</v>
      </c>
      <c r="P4677">
        <v>7.0537526040808798</v>
      </c>
      <c r="Q4677">
        <v>2.24033745902342</v>
      </c>
      <c r="R4677">
        <v>9.0515356179688506</v>
      </c>
      <c r="S4677">
        <v>22</v>
      </c>
      <c r="T4677">
        <v>53</v>
      </c>
      <c r="U4677">
        <v>394.19405449197501</v>
      </c>
      <c r="V4677">
        <v>3.4100596760443299E-3</v>
      </c>
      <c r="W4677">
        <v>1618689.91827155</v>
      </c>
      <c r="X4677" t="s">
        <v>38</v>
      </c>
      <c r="Y4677">
        <f>1-987-338-7281</f>
        <v>-8605</v>
      </c>
    </row>
    <row r="4678" spans="1:25" x14ac:dyDescent="0.35">
      <c r="A4678">
        <v>41.968586487078099</v>
      </c>
      <c r="B4678">
        <v>-121.954066798838</v>
      </c>
      <c r="C4678" t="s">
        <v>34</v>
      </c>
      <c r="D4678">
        <v>41.580141011840901</v>
      </c>
      <c r="E4678">
        <v>6</v>
      </c>
      <c r="F4678">
        <v>1540</v>
      </c>
      <c r="G4678">
        <v>3</v>
      </c>
      <c r="H4678">
        <v>1</v>
      </c>
      <c r="I4678">
        <v>1985</v>
      </c>
      <c r="J4678">
        <v>0</v>
      </c>
      <c r="K4678">
        <v>1</v>
      </c>
      <c r="L4678">
        <v>0</v>
      </c>
      <c r="M4678">
        <v>2</v>
      </c>
      <c r="N4678" t="s">
        <v>41</v>
      </c>
      <c r="O4678" t="s">
        <v>30</v>
      </c>
      <c r="P4678">
        <v>5.9993794535649698</v>
      </c>
      <c r="Q4678">
        <v>1.2251889681443999</v>
      </c>
      <c r="R4678">
        <v>2.3013631966524</v>
      </c>
      <c r="S4678">
        <v>93</v>
      </c>
      <c r="T4678">
        <v>63</v>
      </c>
      <c r="U4678">
        <v>991.58748338799398</v>
      </c>
      <c r="V4678">
        <v>1.29870129870129E-3</v>
      </c>
      <c r="W4678">
        <v>1735997.4756098301</v>
      </c>
      <c r="X4678" t="s">
        <v>39</v>
      </c>
      <c r="Y4678">
        <f>1-843-399-5988</f>
        <v>-7229</v>
      </c>
    </row>
    <row r="4679" spans="1:25" x14ac:dyDescent="0.35">
      <c r="A4679">
        <v>39.9321576256038</v>
      </c>
      <c r="B4679">
        <v>-121.780102183038</v>
      </c>
      <c r="C4679" t="s">
        <v>29</v>
      </c>
      <c r="D4679">
        <v>6.1307685147332203</v>
      </c>
      <c r="E4679">
        <v>4</v>
      </c>
      <c r="F4679">
        <v>1630</v>
      </c>
      <c r="G4679">
        <v>1</v>
      </c>
      <c r="H4679">
        <v>1</v>
      </c>
      <c r="I4679">
        <v>1955</v>
      </c>
      <c r="J4679">
        <v>1</v>
      </c>
      <c r="K4679">
        <v>0</v>
      </c>
      <c r="L4679">
        <v>0</v>
      </c>
      <c r="M4679">
        <v>11</v>
      </c>
      <c r="N4679" t="s">
        <v>35</v>
      </c>
      <c r="O4679" t="s">
        <v>27</v>
      </c>
      <c r="P4679">
        <v>13.9689210016593</v>
      </c>
      <c r="Q4679">
        <v>0.65480711604874098</v>
      </c>
      <c r="R4679">
        <v>8.8262186221519894</v>
      </c>
      <c r="S4679">
        <v>150</v>
      </c>
      <c r="T4679">
        <v>41</v>
      </c>
      <c r="U4679">
        <v>765.54050409911395</v>
      </c>
      <c r="V4679">
        <v>6.74846625766871E-3</v>
      </c>
      <c r="W4679">
        <v>1281926.9052786101</v>
      </c>
      <c r="X4679" t="s">
        <v>36</v>
      </c>
      <c r="Y4679">
        <f>1-406-674-1374</f>
        <v>-2453</v>
      </c>
    </row>
    <row r="4680" spans="1:25" x14ac:dyDescent="0.35">
      <c r="A4680">
        <v>33.038353232766099</v>
      </c>
      <c r="B4680">
        <v>-119.79736610817</v>
      </c>
      <c r="C4680" t="s">
        <v>34</v>
      </c>
      <c r="D4680">
        <v>14.927249278980399</v>
      </c>
      <c r="E4680">
        <v>2</v>
      </c>
      <c r="F4680">
        <v>1876</v>
      </c>
      <c r="G4680">
        <v>5</v>
      </c>
      <c r="H4680">
        <v>3</v>
      </c>
      <c r="I4680">
        <v>2022</v>
      </c>
      <c r="J4680">
        <v>1</v>
      </c>
      <c r="K4680">
        <v>1</v>
      </c>
      <c r="L4680">
        <v>1</v>
      </c>
      <c r="M4680">
        <v>5</v>
      </c>
      <c r="N4680" t="s">
        <v>41</v>
      </c>
      <c r="O4680" t="s">
        <v>30</v>
      </c>
      <c r="P4680">
        <v>8.2102867514160494</v>
      </c>
      <c r="Q4680">
        <v>1.41396775049072</v>
      </c>
      <c r="R4680">
        <v>8.0899532554687497</v>
      </c>
      <c r="S4680">
        <v>155</v>
      </c>
      <c r="T4680">
        <v>72</v>
      </c>
      <c r="U4680">
        <v>580.70020058908904</v>
      </c>
      <c r="V4680">
        <v>2.6652452025586301E-3</v>
      </c>
      <c r="W4680">
        <v>1556787.24300257</v>
      </c>
      <c r="X4680" t="s">
        <v>31</v>
      </c>
      <c r="Y4680">
        <f>1-631-672-7788</f>
        <v>-9090</v>
      </c>
    </row>
    <row r="4681" spans="1:25" x14ac:dyDescent="0.35">
      <c r="A4681">
        <v>33.683154592128503</v>
      </c>
      <c r="B4681">
        <v>-114.856406727173</v>
      </c>
      <c r="C4681" t="s">
        <v>29</v>
      </c>
      <c r="D4681">
        <v>19.134769706346798</v>
      </c>
      <c r="E4681">
        <v>4</v>
      </c>
      <c r="F4681">
        <v>3891</v>
      </c>
      <c r="G4681">
        <v>3</v>
      </c>
      <c r="H4681">
        <v>3</v>
      </c>
      <c r="I4681">
        <v>2002</v>
      </c>
      <c r="J4681">
        <v>0</v>
      </c>
      <c r="K4681">
        <v>1</v>
      </c>
      <c r="L4681">
        <v>1</v>
      </c>
      <c r="M4681">
        <v>3</v>
      </c>
      <c r="N4681" t="s">
        <v>35</v>
      </c>
      <c r="O4681" t="s">
        <v>32</v>
      </c>
      <c r="P4681">
        <v>2.7620271441957498</v>
      </c>
      <c r="Q4681">
        <v>1.17619148942514</v>
      </c>
      <c r="R4681">
        <v>2.3159922715733798</v>
      </c>
      <c r="S4681">
        <v>9</v>
      </c>
      <c r="T4681">
        <v>42</v>
      </c>
      <c r="U4681">
        <v>949.06181053987905</v>
      </c>
      <c r="V4681">
        <v>7.7101002313030001E-4</v>
      </c>
      <c r="W4681">
        <v>4111933.9059885498</v>
      </c>
      <c r="X4681" t="s">
        <v>33</v>
      </c>
      <c r="Y4681">
        <f>1-469-271-6906</f>
        <v>-7645</v>
      </c>
    </row>
    <row r="4682" spans="1:25" x14ac:dyDescent="0.35">
      <c r="A4682">
        <v>41.447469817722201</v>
      </c>
      <c r="B4682">
        <v>-120.420650858812</v>
      </c>
      <c r="C4682" t="s">
        <v>25</v>
      </c>
      <c r="D4682">
        <v>40.767494826428198</v>
      </c>
      <c r="E4682">
        <v>2</v>
      </c>
      <c r="F4682">
        <v>3945</v>
      </c>
      <c r="G4682">
        <v>2</v>
      </c>
      <c r="H4682">
        <v>3</v>
      </c>
      <c r="I4682">
        <v>1952</v>
      </c>
      <c r="J4682">
        <v>0</v>
      </c>
      <c r="K4682">
        <v>0</v>
      </c>
      <c r="L4682">
        <v>0</v>
      </c>
      <c r="M4682">
        <v>6</v>
      </c>
      <c r="N4682" t="s">
        <v>35</v>
      </c>
      <c r="O4682" t="s">
        <v>32</v>
      </c>
      <c r="P4682">
        <v>8.0530712084383396</v>
      </c>
      <c r="Q4682">
        <v>0.75954274258642995</v>
      </c>
      <c r="R4682">
        <v>4.0798294273927</v>
      </c>
      <c r="S4682">
        <v>160</v>
      </c>
      <c r="T4682">
        <v>74</v>
      </c>
      <c r="U4682">
        <v>291.27263492705799</v>
      </c>
      <c r="V4682">
        <v>1.5209125475285101E-3</v>
      </c>
      <c r="W4682">
        <v>1291947.5127006001</v>
      </c>
      <c r="X4682" t="s">
        <v>39</v>
      </c>
      <c r="Y4682">
        <f>1-316-870-2103</f>
        <v>-3288</v>
      </c>
    </row>
    <row r="4683" spans="1:25" x14ac:dyDescent="0.35">
      <c r="A4683">
        <v>32.7048493364397</v>
      </c>
      <c r="B4683">
        <v>-118.174986413727</v>
      </c>
      <c r="C4683" t="s">
        <v>29</v>
      </c>
      <c r="D4683">
        <v>4.1904185137494903</v>
      </c>
      <c r="E4683">
        <v>8</v>
      </c>
      <c r="F4683">
        <v>1980</v>
      </c>
      <c r="G4683">
        <v>5</v>
      </c>
      <c r="H4683">
        <v>3</v>
      </c>
      <c r="I4683">
        <v>2004</v>
      </c>
      <c r="J4683">
        <v>0</v>
      </c>
      <c r="K4683">
        <v>0</v>
      </c>
      <c r="L4683">
        <v>0</v>
      </c>
      <c r="M4683">
        <v>2</v>
      </c>
      <c r="N4683" t="s">
        <v>41</v>
      </c>
      <c r="O4683" t="s">
        <v>27</v>
      </c>
      <c r="P4683">
        <v>5.8527656695743504</v>
      </c>
      <c r="Q4683">
        <v>1.56742557399928</v>
      </c>
      <c r="R4683">
        <v>6.76860313519866</v>
      </c>
      <c r="S4683">
        <v>187</v>
      </c>
      <c r="T4683">
        <v>69</v>
      </c>
      <c r="U4683">
        <v>215.439053149828</v>
      </c>
      <c r="V4683">
        <v>1.0101010101010101E-3</v>
      </c>
      <c r="W4683">
        <v>740307.88886350195</v>
      </c>
      <c r="X4683" t="s">
        <v>39</v>
      </c>
      <c r="Y4683">
        <f>1-854-156-1900</f>
        <v>-2909</v>
      </c>
    </row>
    <row r="4684" spans="1:25" x14ac:dyDescent="0.35">
      <c r="A4684">
        <v>39.119348253297701</v>
      </c>
      <c r="B4684">
        <v>-119.782564259878</v>
      </c>
      <c r="C4684" t="s">
        <v>25</v>
      </c>
      <c r="D4684">
        <v>12.6709638757857</v>
      </c>
      <c r="E4684">
        <v>6</v>
      </c>
      <c r="F4684">
        <v>1903</v>
      </c>
      <c r="G4684">
        <v>2</v>
      </c>
      <c r="H4684">
        <v>1</v>
      </c>
      <c r="I4684">
        <v>2012</v>
      </c>
      <c r="J4684">
        <v>1</v>
      </c>
      <c r="K4684">
        <v>1</v>
      </c>
      <c r="L4684">
        <v>1</v>
      </c>
      <c r="M4684">
        <v>5</v>
      </c>
      <c r="N4684" t="s">
        <v>41</v>
      </c>
      <c r="O4684" t="s">
        <v>30</v>
      </c>
      <c r="P4684">
        <v>6.3634357574901097</v>
      </c>
      <c r="Q4684">
        <v>0.98890774384967794</v>
      </c>
      <c r="R4684">
        <v>0.54610389153410799</v>
      </c>
      <c r="S4684">
        <v>1</v>
      </c>
      <c r="T4684">
        <v>36</v>
      </c>
      <c r="U4684">
        <v>733.18003634172203</v>
      </c>
      <c r="V4684">
        <v>2.62743037309511E-3</v>
      </c>
      <c r="W4684">
        <v>1703294.8826466899</v>
      </c>
      <c r="X4684" t="s">
        <v>33</v>
      </c>
      <c r="Y4684">
        <f>1-837-928-8149</f>
        <v>-9913</v>
      </c>
    </row>
    <row r="4685" spans="1:25" x14ac:dyDescent="0.35">
      <c r="A4685">
        <v>37.233792361599903</v>
      </c>
      <c r="B4685">
        <v>-121.24107330029599</v>
      </c>
      <c r="C4685" t="s">
        <v>34</v>
      </c>
      <c r="D4685">
        <v>21.975791939680601</v>
      </c>
      <c r="E4685">
        <v>2</v>
      </c>
      <c r="F4685">
        <v>4564</v>
      </c>
      <c r="G4685">
        <v>3</v>
      </c>
      <c r="H4685">
        <v>3</v>
      </c>
      <c r="I4685">
        <v>2017</v>
      </c>
      <c r="J4685">
        <v>1</v>
      </c>
      <c r="K4685">
        <v>1</v>
      </c>
      <c r="L4685">
        <v>0</v>
      </c>
      <c r="M4685">
        <v>13</v>
      </c>
      <c r="N4685" t="s">
        <v>37</v>
      </c>
      <c r="O4685" t="s">
        <v>30</v>
      </c>
      <c r="P4685">
        <v>12.1832927922487</v>
      </c>
      <c r="Q4685">
        <v>0.61429344273230801</v>
      </c>
      <c r="R4685">
        <v>8.4595927986162707</v>
      </c>
      <c r="S4685">
        <v>95</v>
      </c>
      <c r="T4685">
        <v>63</v>
      </c>
      <c r="U4685">
        <v>977.60385599512301</v>
      </c>
      <c r="V4685">
        <v>2.8483786152497799E-3</v>
      </c>
      <c r="W4685">
        <v>4918936.1349010598</v>
      </c>
      <c r="X4685" t="s">
        <v>33</v>
      </c>
      <c r="Y4685">
        <f>1-864-742-4828</f>
        <v>-6433</v>
      </c>
    </row>
    <row r="4686" spans="1:25" x14ac:dyDescent="0.35">
      <c r="A4686">
        <v>37.671209743574302</v>
      </c>
      <c r="B4686">
        <v>-117.499425145625</v>
      </c>
      <c r="C4686" t="s">
        <v>34</v>
      </c>
      <c r="D4686">
        <v>46.996389393518598</v>
      </c>
      <c r="E4686">
        <v>8</v>
      </c>
      <c r="F4686">
        <v>4628</v>
      </c>
      <c r="G4686">
        <v>5</v>
      </c>
      <c r="H4686">
        <v>1</v>
      </c>
      <c r="I4686">
        <v>1986</v>
      </c>
      <c r="J4686">
        <v>1</v>
      </c>
      <c r="K4686">
        <v>1</v>
      </c>
      <c r="L4686">
        <v>0</v>
      </c>
      <c r="M4686">
        <v>11</v>
      </c>
      <c r="N4686" t="s">
        <v>26</v>
      </c>
      <c r="O4686" t="s">
        <v>27</v>
      </c>
      <c r="P4686">
        <v>2.5107459834314998</v>
      </c>
      <c r="Q4686">
        <v>0.61805350773162104</v>
      </c>
      <c r="R4686">
        <v>0.35546777739907798</v>
      </c>
      <c r="S4686">
        <v>23</v>
      </c>
      <c r="T4686">
        <v>39</v>
      </c>
      <c r="U4686">
        <v>739.37325995801302</v>
      </c>
      <c r="V4686">
        <v>2.3768366464995598E-3</v>
      </c>
      <c r="W4686">
        <v>3808922.1371012898</v>
      </c>
      <c r="X4686" t="s">
        <v>43</v>
      </c>
      <c r="Y4686">
        <f>1-771-479-3441</f>
        <v>-4690</v>
      </c>
    </row>
    <row r="4687" spans="1:25" x14ac:dyDescent="0.35">
      <c r="A4687">
        <v>33.523133930608601</v>
      </c>
      <c r="B4687">
        <v>-117.896340528678</v>
      </c>
      <c r="C4687" t="s">
        <v>34</v>
      </c>
      <c r="D4687">
        <v>9.9774515278692508</v>
      </c>
      <c r="E4687">
        <v>8</v>
      </c>
      <c r="F4687">
        <v>780</v>
      </c>
      <c r="G4687">
        <v>2</v>
      </c>
      <c r="H4687">
        <v>1</v>
      </c>
      <c r="I4687">
        <v>1965</v>
      </c>
      <c r="J4687">
        <v>1</v>
      </c>
      <c r="K4687">
        <v>0</v>
      </c>
      <c r="L4687">
        <v>0</v>
      </c>
      <c r="M4687">
        <v>4</v>
      </c>
      <c r="N4687" t="s">
        <v>35</v>
      </c>
      <c r="O4687" t="s">
        <v>27</v>
      </c>
      <c r="P4687">
        <v>7.6665484723219697</v>
      </c>
      <c r="Q4687">
        <v>1.99964273005571</v>
      </c>
      <c r="R4687">
        <v>0.77171402506979503</v>
      </c>
      <c r="S4687">
        <v>114</v>
      </c>
      <c r="T4687">
        <v>72</v>
      </c>
      <c r="U4687">
        <v>418.16403653614401</v>
      </c>
      <c r="V4687">
        <v>5.1282051282051204E-3</v>
      </c>
      <c r="W4687">
        <v>546575.164516113</v>
      </c>
      <c r="X4687" t="s">
        <v>33</v>
      </c>
      <c r="Y4687">
        <f>1-970-692-5456</f>
        <v>-7117</v>
      </c>
    </row>
    <row r="4688" spans="1:25" x14ac:dyDescent="0.35">
      <c r="A4688">
        <v>34.25629125164</v>
      </c>
      <c r="B4688">
        <v>-119.79165273675601</v>
      </c>
      <c r="C4688" t="s">
        <v>34</v>
      </c>
      <c r="D4688">
        <v>32.625845624424997</v>
      </c>
      <c r="E4688">
        <v>0</v>
      </c>
      <c r="F4688">
        <v>3839</v>
      </c>
      <c r="G4688">
        <v>1</v>
      </c>
      <c r="H4688">
        <v>1</v>
      </c>
      <c r="I4688">
        <v>1979</v>
      </c>
      <c r="J4688">
        <v>1</v>
      </c>
      <c r="K4688">
        <v>1</v>
      </c>
      <c r="L4688">
        <v>1</v>
      </c>
      <c r="M4688">
        <v>12</v>
      </c>
      <c r="N4688" t="s">
        <v>41</v>
      </c>
      <c r="O4688" t="s">
        <v>30</v>
      </c>
      <c r="P4688">
        <v>7.3892516982656096</v>
      </c>
      <c r="Q4688">
        <v>0.56984227357845396</v>
      </c>
      <c r="R4688">
        <v>4.4158307722599304</v>
      </c>
      <c r="S4688">
        <v>19</v>
      </c>
      <c r="T4688">
        <v>42</v>
      </c>
      <c r="U4688">
        <v>582.85094627119702</v>
      </c>
      <c r="V4688">
        <v>3.1258140140661599E-3</v>
      </c>
      <c r="W4688">
        <v>2390857.4947340302</v>
      </c>
      <c r="X4688" t="s">
        <v>43</v>
      </c>
      <c r="Y4688">
        <f>1-782-234-3405</f>
        <v>-4420</v>
      </c>
    </row>
    <row r="4689" spans="1:25" x14ac:dyDescent="0.35">
      <c r="A4689">
        <v>34.466682588158697</v>
      </c>
      <c r="B4689">
        <v>-117.676172872276</v>
      </c>
      <c r="C4689" t="s">
        <v>34</v>
      </c>
      <c r="D4689">
        <v>13.991024356584401</v>
      </c>
      <c r="E4689">
        <v>9</v>
      </c>
      <c r="F4689">
        <v>633</v>
      </c>
      <c r="G4689">
        <v>5</v>
      </c>
      <c r="H4689">
        <v>2</v>
      </c>
      <c r="I4689">
        <v>1970</v>
      </c>
      <c r="J4689">
        <v>0</v>
      </c>
      <c r="K4689">
        <v>1</v>
      </c>
      <c r="L4689">
        <v>1</v>
      </c>
      <c r="M4689">
        <v>9</v>
      </c>
      <c r="N4689" t="s">
        <v>37</v>
      </c>
      <c r="O4689" t="s">
        <v>27</v>
      </c>
      <c r="P4689">
        <v>12.766777960048399</v>
      </c>
      <c r="Q4689">
        <v>2.3127134211000899</v>
      </c>
      <c r="R4689">
        <v>6.4979927893377702</v>
      </c>
      <c r="S4689">
        <v>108</v>
      </c>
      <c r="T4689">
        <v>45</v>
      </c>
      <c r="U4689">
        <v>652.96285067617998</v>
      </c>
      <c r="V4689">
        <v>1.42180094786729E-2</v>
      </c>
      <c r="W4689">
        <v>881731.538537279</v>
      </c>
      <c r="X4689" t="s">
        <v>42</v>
      </c>
      <c r="Y4689">
        <f>1-652-521-1758</f>
        <v>-2930</v>
      </c>
    </row>
    <row r="4690" spans="1:25" x14ac:dyDescent="0.35">
      <c r="A4690">
        <v>41.951164393231601</v>
      </c>
      <c r="B4690">
        <v>-117.054381208086</v>
      </c>
      <c r="C4690" t="s">
        <v>25</v>
      </c>
      <c r="D4690">
        <v>47.965901100625601</v>
      </c>
      <c r="E4690">
        <v>6</v>
      </c>
      <c r="F4690">
        <v>2338</v>
      </c>
      <c r="G4690">
        <v>4</v>
      </c>
      <c r="H4690">
        <v>2</v>
      </c>
      <c r="I4690">
        <v>1972</v>
      </c>
      <c r="J4690">
        <v>1</v>
      </c>
      <c r="K4690">
        <v>0</v>
      </c>
      <c r="L4690">
        <v>1</v>
      </c>
      <c r="M4690">
        <v>7</v>
      </c>
      <c r="N4690" t="s">
        <v>26</v>
      </c>
      <c r="O4690" t="s">
        <v>27</v>
      </c>
      <c r="P4690">
        <v>9.5718703125917308</v>
      </c>
      <c r="Q4690">
        <v>1.0670497323442401</v>
      </c>
      <c r="R4690">
        <v>0.10303308387867099</v>
      </c>
      <c r="S4690">
        <v>180</v>
      </c>
      <c r="T4690">
        <v>30</v>
      </c>
      <c r="U4690">
        <v>626.84821489606702</v>
      </c>
      <c r="V4690">
        <v>2.9940119760479E-3</v>
      </c>
      <c r="W4690">
        <v>1690464.99304747</v>
      </c>
      <c r="X4690" t="s">
        <v>33</v>
      </c>
      <c r="Y4690">
        <f>1-627-865-9913</f>
        <v>-11404</v>
      </c>
    </row>
    <row r="4691" spans="1:25" x14ac:dyDescent="0.35">
      <c r="A4691">
        <v>37.029303548284297</v>
      </c>
      <c r="B4691">
        <v>-114.977952648119</v>
      </c>
      <c r="C4691" t="s">
        <v>29</v>
      </c>
      <c r="D4691">
        <v>34.619079191880502</v>
      </c>
      <c r="E4691">
        <v>0</v>
      </c>
      <c r="F4691">
        <v>661</v>
      </c>
      <c r="G4691">
        <v>2</v>
      </c>
      <c r="H4691">
        <v>1</v>
      </c>
      <c r="I4691">
        <v>1978</v>
      </c>
      <c r="J4691">
        <v>0</v>
      </c>
      <c r="K4691">
        <v>0</v>
      </c>
      <c r="L4691">
        <v>1</v>
      </c>
      <c r="M4691">
        <v>11</v>
      </c>
      <c r="N4691" t="s">
        <v>37</v>
      </c>
      <c r="O4691" t="s">
        <v>32</v>
      </c>
      <c r="P4691">
        <v>6.1743912855921499</v>
      </c>
      <c r="Q4691">
        <v>1.8624789335204199</v>
      </c>
      <c r="R4691">
        <v>7.3096742285453598</v>
      </c>
      <c r="S4691">
        <v>187</v>
      </c>
      <c r="T4691">
        <v>58</v>
      </c>
      <c r="U4691">
        <v>874.85892545362105</v>
      </c>
      <c r="V4691">
        <v>1.66414523449319E-2</v>
      </c>
      <c r="W4691">
        <v>764207.82386811799</v>
      </c>
      <c r="X4691" t="s">
        <v>39</v>
      </c>
      <c r="Y4691">
        <f>1-205-632-9895</f>
        <v>-10731</v>
      </c>
    </row>
    <row r="4692" spans="1:25" x14ac:dyDescent="0.35">
      <c r="A4692">
        <v>35.681701500533201</v>
      </c>
      <c r="B4692">
        <v>-120.46129339646301</v>
      </c>
      <c r="C4692" t="s">
        <v>25</v>
      </c>
      <c r="D4692">
        <v>48.894374949251301</v>
      </c>
      <c r="E4692">
        <v>6</v>
      </c>
      <c r="F4692">
        <v>1943</v>
      </c>
      <c r="G4692">
        <v>1</v>
      </c>
      <c r="H4692">
        <v>2</v>
      </c>
      <c r="I4692">
        <v>1997</v>
      </c>
      <c r="J4692">
        <v>1</v>
      </c>
      <c r="K4692">
        <v>1</v>
      </c>
      <c r="L4692">
        <v>1</v>
      </c>
      <c r="M4692">
        <v>9</v>
      </c>
      <c r="N4692" t="s">
        <v>35</v>
      </c>
      <c r="O4692" t="s">
        <v>30</v>
      </c>
      <c r="P4692">
        <v>5.4403397736544701</v>
      </c>
      <c r="Q4692">
        <v>1.1174045965159201</v>
      </c>
      <c r="R4692">
        <v>8.8795648924334802</v>
      </c>
      <c r="S4692">
        <v>67</v>
      </c>
      <c r="T4692">
        <v>54</v>
      </c>
      <c r="U4692">
        <v>838.27102855760597</v>
      </c>
      <c r="V4692">
        <v>4.6320123520329302E-3</v>
      </c>
      <c r="W4692">
        <v>1900225.8443772299</v>
      </c>
      <c r="X4692" t="s">
        <v>42</v>
      </c>
      <c r="Y4692">
        <f>1-524-620-6087</f>
        <v>-7230</v>
      </c>
    </row>
    <row r="4693" spans="1:25" x14ac:dyDescent="0.35">
      <c r="A4693">
        <v>36.709626463586098</v>
      </c>
      <c r="B4693">
        <v>-122.190265103025</v>
      </c>
      <c r="C4693" t="s">
        <v>25</v>
      </c>
      <c r="D4693">
        <v>17.8372674634033</v>
      </c>
      <c r="E4693">
        <v>6</v>
      </c>
      <c r="F4693">
        <v>3075</v>
      </c>
      <c r="G4693">
        <v>1</v>
      </c>
      <c r="H4693">
        <v>1</v>
      </c>
      <c r="I4693">
        <v>1989</v>
      </c>
      <c r="J4693">
        <v>0</v>
      </c>
      <c r="K4693">
        <v>1</v>
      </c>
      <c r="L4693">
        <v>1</v>
      </c>
      <c r="M4693">
        <v>2</v>
      </c>
      <c r="N4693" t="s">
        <v>35</v>
      </c>
      <c r="O4693" t="s">
        <v>27</v>
      </c>
      <c r="P4693">
        <v>14.2068337138905</v>
      </c>
      <c r="Q4693">
        <v>2.2582958740852299</v>
      </c>
      <c r="R4693">
        <v>4.5321073356506103</v>
      </c>
      <c r="S4693">
        <v>99</v>
      </c>
      <c r="T4693">
        <v>26</v>
      </c>
      <c r="U4693">
        <v>920.658355567017</v>
      </c>
      <c r="V4693">
        <v>6.5040650406504E-4</v>
      </c>
      <c r="W4693">
        <v>3051874.04486039</v>
      </c>
      <c r="X4693" t="s">
        <v>38</v>
      </c>
      <c r="Y4693">
        <f>1-727-191-1965</f>
        <v>-2882</v>
      </c>
    </row>
    <row r="4694" spans="1:25" x14ac:dyDescent="0.35">
      <c r="A4694">
        <v>41.2144216259152</v>
      </c>
      <c r="B4694">
        <v>-124.345263748788</v>
      </c>
      <c r="C4694" t="s">
        <v>29</v>
      </c>
      <c r="D4694">
        <v>19.503167233472201</v>
      </c>
      <c r="E4694">
        <v>8</v>
      </c>
      <c r="F4694">
        <v>1857</v>
      </c>
      <c r="G4694">
        <v>3</v>
      </c>
      <c r="H4694">
        <v>1</v>
      </c>
      <c r="I4694">
        <v>2017</v>
      </c>
      <c r="J4694">
        <v>1</v>
      </c>
      <c r="K4694">
        <v>1</v>
      </c>
      <c r="L4694">
        <v>1</v>
      </c>
      <c r="M4694">
        <v>10</v>
      </c>
      <c r="N4694" t="s">
        <v>41</v>
      </c>
      <c r="O4694" t="s">
        <v>30</v>
      </c>
      <c r="P4694">
        <v>14.4376246929051</v>
      </c>
      <c r="Q4694">
        <v>1.8612634772105701</v>
      </c>
      <c r="R4694">
        <v>8.9026184610071102</v>
      </c>
      <c r="S4694">
        <v>103</v>
      </c>
      <c r="T4694">
        <v>79</v>
      </c>
      <c r="U4694">
        <v>652.84886340257799</v>
      </c>
      <c r="V4694">
        <v>5.38502961766289E-3</v>
      </c>
      <c r="W4694">
        <v>1630933.3751787101</v>
      </c>
      <c r="X4694" t="s">
        <v>31</v>
      </c>
      <c r="Y4694">
        <f>1-929-625-7445</f>
        <v>-8998</v>
      </c>
    </row>
    <row r="4695" spans="1:25" x14ac:dyDescent="0.35">
      <c r="A4695">
        <v>41.871411760264401</v>
      </c>
      <c r="B4695">
        <v>-120.694307783837</v>
      </c>
      <c r="C4695" t="s">
        <v>29</v>
      </c>
      <c r="D4695">
        <v>41.019026818000199</v>
      </c>
      <c r="E4695">
        <v>4</v>
      </c>
      <c r="F4695">
        <v>3175</v>
      </c>
      <c r="G4695">
        <v>4</v>
      </c>
      <c r="H4695">
        <v>2</v>
      </c>
      <c r="I4695">
        <v>2010</v>
      </c>
      <c r="J4695">
        <v>0</v>
      </c>
      <c r="K4695">
        <v>1</v>
      </c>
      <c r="L4695">
        <v>1</v>
      </c>
      <c r="M4695">
        <v>3</v>
      </c>
      <c r="N4695" t="s">
        <v>35</v>
      </c>
      <c r="O4695" t="s">
        <v>32</v>
      </c>
      <c r="P4695">
        <v>6.9387898709981402</v>
      </c>
      <c r="Q4695">
        <v>2.03279655046533</v>
      </c>
      <c r="R4695">
        <v>2.3777305430063702</v>
      </c>
      <c r="S4695">
        <v>176</v>
      </c>
      <c r="T4695">
        <v>44</v>
      </c>
      <c r="U4695">
        <v>764.96290293046502</v>
      </c>
      <c r="V4695">
        <v>9.4488188976377899E-4</v>
      </c>
      <c r="W4695">
        <v>2730142.4740077201</v>
      </c>
      <c r="X4695" t="s">
        <v>39</v>
      </c>
      <c r="Y4695">
        <f>1-408-710-6831</f>
        <v>-7948</v>
      </c>
    </row>
    <row r="4696" spans="1:25" x14ac:dyDescent="0.35">
      <c r="A4696">
        <v>35.982864235461101</v>
      </c>
      <c r="B4696">
        <v>-115.592897074135</v>
      </c>
      <c r="C4696" t="s">
        <v>25</v>
      </c>
      <c r="D4696">
        <v>3.3644268386837002</v>
      </c>
      <c r="E4696">
        <v>9</v>
      </c>
      <c r="F4696">
        <v>2816</v>
      </c>
      <c r="G4696">
        <v>5</v>
      </c>
      <c r="H4696">
        <v>2</v>
      </c>
      <c r="I4696">
        <v>1969</v>
      </c>
      <c r="J4696">
        <v>1</v>
      </c>
      <c r="K4696">
        <v>0</v>
      </c>
      <c r="L4696">
        <v>0</v>
      </c>
      <c r="M4696">
        <v>2</v>
      </c>
      <c r="N4696" t="s">
        <v>41</v>
      </c>
      <c r="O4696" t="s">
        <v>30</v>
      </c>
      <c r="P4696">
        <v>2.2264887218303202</v>
      </c>
      <c r="Q4696">
        <v>1.14977720863107</v>
      </c>
      <c r="R4696">
        <v>4.6928984635301196</v>
      </c>
      <c r="S4696">
        <v>13</v>
      </c>
      <c r="T4696">
        <v>75</v>
      </c>
      <c r="U4696">
        <v>823.11141120344496</v>
      </c>
      <c r="V4696">
        <v>7.1022727272727199E-4</v>
      </c>
      <c r="W4696">
        <v>2594116.20512013</v>
      </c>
      <c r="X4696" t="s">
        <v>43</v>
      </c>
      <c r="Y4696">
        <f>1-459-591-9341</f>
        <v>-10390</v>
      </c>
    </row>
    <row r="4697" spans="1:25" x14ac:dyDescent="0.35">
      <c r="A4697">
        <v>40.429439103845603</v>
      </c>
      <c r="B4697">
        <v>-117.595525500094</v>
      </c>
      <c r="C4697" t="s">
        <v>29</v>
      </c>
      <c r="D4697">
        <v>49.626608656134202</v>
      </c>
      <c r="E4697">
        <v>5</v>
      </c>
      <c r="F4697">
        <v>1545</v>
      </c>
      <c r="G4697">
        <v>5</v>
      </c>
      <c r="H4697">
        <v>3</v>
      </c>
      <c r="I4697">
        <v>1985</v>
      </c>
      <c r="J4697">
        <v>1</v>
      </c>
      <c r="K4697">
        <v>0</v>
      </c>
      <c r="L4697">
        <v>0</v>
      </c>
      <c r="M4697">
        <v>5</v>
      </c>
      <c r="N4697" t="s">
        <v>26</v>
      </c>
      <c r="O4697" t="s">
        <v>32</v>
      </c>
      <c r="P4697">
        <v>5.8768958578347696</v>
      </c>
      <c r="Q4697">
        <v>1.4788843852023801</v>
      </c>
      <c r="R4697">
        <v>1.7571648913205999</v>
      </c>
      <c r="S4697">
        <v>173</v>
      </c>
      <c r="T4697">
        <v>40</v>
      </c>
      <c r="U4697">
        <v>255.467617171814</v>
      </c>
      <c r="V4697">
        <v>3.2362459546925498E-3</v>
      </c>
      <c r="W4697">
        <v>674988.99087865697</v>
      </c>
      <c r="X4697" t="s">
        <v>31</v>
      </c>
      <c r="Y4697">
        <f>1-958-308-9739</f>
        <v>-11004</v>
      </c>
    </row>
    <row r="4698" spans="1:25" x14ac:dyDescent="0.35">
      <c r="A4698">
        <v>39.228702573734203</v>
      </c>
      <c r="B4698">
        <v>-124.263328689426</v>
      </c>
      <c r="C4698" t="s">
        <v>25</v>
      </c>
      <c r="D4698">
        <v>20.649163206275698</v>
      </c>
      <c r="E4698">
        <v>4</v>
      </c>
      <c r="F4698">
        <v>2496</v>
      </c>
      <c r="G4698">
        <v>5</v>
      </c>
      <c r="H4698">
        <v>3</v>
      </c>
      <c r="I4698">
        <v>2005</v>
      </c>
      <c r="J4698">
        <v>1</v>
      </c>
      <c r="K4698">
        <v>0</v>
      </c>
      <c r="L4698">
        <v>1</v>
      </c>
      <c r="M4698">
        <v>7</v>
      </c>
      <c r="N4698" t="s">
        <v>26</v>
      </c>
      <c r="O4698" t="s">
        <v>27</v>
      </c>
      <c r="P4698">
        <v>5.6494267811640704</v>
      </c>
      <c r="Q4698">
        <v>2.3871001497062299</v>
      </c>
      <c r="R4698">
        <v>0.32147373254497502</v>
      </c>
      <c r="S4698">
        <v>83</v>
      </c>
      <c r="T4698">
        <v>43</v>
      </c>
      <c r="U4698">
        <v>394.64811024470401</v>
      </c>
      <c r="V4698">
        <v>2.80448717948717E-3</v>
      </c>
      <c r="W4698">
        <v>1413630.6153092801</v>
      </c>
      <c r="X4698" t="s">
        <v>40</v>
      </c>
      <c r="Y4698">
        <f>1-725-555-6435</f>
        <v>-7714</v>
      </c>
    </row>
    <row r="4699" spans="1:25" x14ac:dyDescent="0.35">
      <c r="A4699">
        <v>36.1441772282597</v>
      </c>
      <c r="B4699">
        <v>-118.995244757572</v>
      </c>
      <c r="C4699" t="s">
        <v>34</v>
      </c>
      <c r="D4699">
        <v>23.273429570673201</v>
      </c>
      <c r="E4699">
        <v>4</v>
      </c>
      <c r="F4699">
        <v>3329</v>
      </c>
      <c r="G4699">
        <v>1</v>
      </c>
      <c r="H4699">
        <v>2</v>
      </c>
      <c r="I4699">
        <v>2020</v>
      </c>
      <c r="J4699">
        <v>1</v>
      </c>
      <c r="K4699">
        <v>0</v>
      </c>
      <c r="L4699">
        <v>0</v>
      </c>
      <c r="M4699">
        <v>4</v>
      </c>
      <c r="N4699" t="s">
        <v>41</v>
      </c>
      <c r="O4699" t="s">
        <v>30</v>
      </c>
      <c r="P4699">
        <v>4.6955662690908699</v>
      </c>
      <c r="Q4699">
        <v>0.51771782222819296</v>
      </c>
      <c r="R4699">
        <v>8.4246925950654994</v>
      </c>
      <c r="S4699">
        <v>191</v>
      </c>
      <c r="T4699">
        <v>24</v>
      </c>
      <c r="U4699">
        <v>463.57393395106499</v>
      </c>
      <c r="V4699">
        <v>1.2015620306398301E-3</v>
      </c>
      <c r="W4699">
        <v>1731378.1409263299</v>
      </c>
      <c r="X4699" t="s">
        <v>43</v>
      </c>
      <c r="Y4699">
        <f>1-743-434-2730</f>
        <v>-3906</v>
      </c>
    </row>
    <row r="4700" spans="1:25" x14ac:dyDescent="0.35">
      <c r="A4700">
        <v>36.216453014686998</v>
      </c>
      <c r="B4700">
        <v>-121.483609125832</v>
      </c>
      <c r="C4700" t="s">
        <v>29</v>
      </c>
      <c r="D4700">
        <v>19.572613632156799</v>
      </c>
      <c r="E4700">
        <v>5</v>
      </c>
      <c r="F4700">
        <v>2002</v>
      </c>
      <c r="G4700">
        <v>5</v>
      </c>
      <c r="H4700">
        <v>2</v>
      </c>
      <c r="I4700">
        <v>1965</v>
      </c>
      <c r="J4700">
        <v>0</v>
      </c>
      <c r="K4700">
        <v>1</v>
      </c>
      <c r="L4700">
        <v>0</v>
      </c>
      <c r="M4700">
        <v>11</v>
      </c>
      <c r="N4700" t="s">
        <v>41</v>
      </c>
      <c r="O4700" t="s">
        <v>30</v>
      </c>
      <c r="P4700">
        <v>13.682659076271699</v>
      </c>
      <c r="Q4700">
        <v>2.13346735798343</v>
      </c>
      <c r="R4700">
        <v>1.9534060216482001</v>
      </c>
      <c r="S4700">
        <v>10</v>
      </c>
      <c r="T4700">
        <v>22</v>
      </c>
      <c r="U4700">
        <v>386.29962647601502</v>
      </c>
      <c r="V4700">
        <v>5.4945054945054897E-3</v>
      </c>
      <c r="W4700">
        <v>1257605.27506963</v>
      </c>
      <c r="X4700" t="s">
        <v>33</v>
      </c>
      <c r="Y4700">
        <f>1-231-575-2182</f>
        <v>-2987</v>
      </c>
    </row>
    <row r="4701" spans="1:25" x14ac:dyDescent="0.35">
      <c r="A4701">
        <v>36.146185987655201</v>
      </c>
      <c r="B4701">
        <v>-116.884676544108</v>
      </c>
      <c r="C4701" t="s">
        <v>25</v>
      </c>
      <c r="D4701">
        <v>49.556894321380199</v>
      </c>
      <c r="E4701">
        <v>1</v>
      </c>
      <c r="F4701">
        <v>1790</v>
      </c>
      <c r="G4701">
        <v>5</v>
      </c>
      <c r="H4701">
        <v>1</v>
      </c>
      <c r="I4701">
        <v>1990</v>
      </c>
      <c r="J4701">
        <v>1</v>
      </c>
      <c r="K4701">
        <v>1</v>
      </c>
      <c r="L4701">
        <v>0</v>
      </c>
      <c r="M4701">
        <v>10</v>
      </c>
      <c r="N4701" t="s">
        <v>37</v>
      </c>
      <c r="O4701" t="s">
        <v>32</v>
      </c>
      <c r="P4701">
        <v>4.4098016375661304</v>
      </c>
      <c r="Q4701">
        <v>1.62184880854529</v>
      </c>
      <c r="R4701">
        <v>7.2760198847077797</v>
      </c>
      <c r="S4701">
        <v>104</v>
      </c>
      <c r="T4701">
        <v>69</v>
      </c>
      <c r="U4701">
        <v>605.34416814724796</v>
      </c>
      <c r="V4701">
        <v>5.5865921787709499E-3</v>
      </c>
      <c r="W4701">
        <v>1391600.5289491799</v>
      </c>
      <c r="X4701" t="s">
        <v>39</v>
      </c>
      <c r="Y4701">
        <f>1-223-806-9734</f>
        <v>-10762</v>
      </c>
    </row>
    <row r="4702" spans="1:25" x14ac:dyDescent="0.35">
      <c r="A4702">
        <v>32.674630351124797</v>
      </c>
      <c r="B4702">
        <v>-116.529725902246</v>
      </c>
      <c r="C4702" t="s">
        <v>34</v>
      </c>
      <c r="D4702">
        <v>27.4547024625452</v>
      </c>
      <c r="E4702">
        <v>0</v>
      </c>
      <c r="F4702">
        <v>3898</v>
      </c>
      <c r="G4702">
        <v>3</v>
      </c>
      <c r="H4702">
        <v>1</v>
      </c>
      <c r="I4702">
        <v>2007</v>
      </c>
      <c r="J4702">
        <v>1</v>
      </c>
      <c r="K4702">
        <v>0</v>
      </c>
      <c r="L4702">
        <v>0</v>
      </c>
      <c r="M4702">
        <v>10</v>
      </c>
      <c r="N4702" t="s">
        <v>35</v>
      </c>
      <c r="O4702" t="s">
        <v>30</v>
      </c>
      <c r="P4702">
        <v>10.3096531778982</v>
      </c>
      <c r="Q4702">
        <v>2.2534902172654299</v>
      </c>
      <c r="R4702">
        <v>4.6436253988883101</v>
      </c>
      <c r="S4702">
        <v>133</v>
      </c>
      <c r="T4702">
        <v>72</v>
      </c>
      <c r="U4702">
        <v>296.50285806744301</v>
      </c>
      <c r="V4702">
        <v>2.5654181631605899E-3</v>
      </c>
      <c r="W4702">
        <v>1391008.24116481</v>
      </c>
      <c r="X4702" t="s">
        <v>39</v>
      </c>
      <c r="Y4702">
        <f>1-679-792-2561</f>
        <v>-4031</v>
      </c>
    </row>
    <row r="4703" spans="1:25" x14ac:dyDescent="0.35">
      <c r="A4703">
        <v>37.652660309168503</v>
      </c>
      <c r="B4703">
        <v>-119.06018214110701</v>
      </c>
      <c r="C4703" t="s">
        <v>29</v>
      </c>
      <c r="D4703">
        <v>42.357030625241599</v>
      </c>
      <c r="E4703">
        <v>9</v>
      </c>
      <c r="F4703">
        <v>1630</v>
      </c>
      <c r="G4703">
        <v>5</v>
      </c>
      <c r="H4703">
        <v>3</v>
      </c>
      <c r="I4703">
        <v>2008</v>
      </c>
      <c r="J4703">
        <v>1</v>
      </c>
      <c r="K4703">
        <v>1</v>
      </c>
      <c r="L4703">
        <v>0</v>
      </c>
      <c r="M4703">
        <v>5</v>
      </c>
      <c r="N4703" t="s">
        <v>35</v>
      </c>
      <c r="O4703" t="s">
        <v>30</v>
      </c>
      <c r="P4703">
        <v>13.4879166808175</v>
      </c>
      <c r="Q4703">
        <v>2.0902667436819602</v>
      </c>
      <c r="R4703">
        <v>9.2288001048807295</v>
      </c>
      <c r="S4703">
        <v>181</v>
      </c>
      <c r="T4703">
        <v>28</v>
      </c>
      <c r="U4703">
        <v>964.97192794922796</v>
      </c>
      <c r="V4703">
        <v>3.0674846625766798E-3</v>
      </c>
      <c r="W4703">
        <v>2002113.68332552</v>
      </c>
      <c r="X4703" t="s">
        <v>40</v>
      </c>
      <c r="Y4703">
        <f>1-828-709-7218</f>
        <v>-8754</v>
      </c>
    </row>
    <row r="4704" spans="1:25" x14ac:dyDescent="0.35">
      <c r="A4704">
        <v>36.794803652089797</v>
      </c>
      <c r="B4704">
        <v>-121.168371859614</v>
      </c>
      <c r="C4704" t="s">
        <v>25</v>
      </c>
      <c r="D4704">
        <v>5.8436590906159998</v>
      </c>
      <c r="E4704">
        <v>8</v>
      </c>
      <c r="F4704">
        <v>2277</v>
      </c>
      <c r="G4704">
        <v>4</v>
      </c>
      <c r="H4704">
        <v>2</v>
      </c>
      <c r="I4704">
        <v>2004</v>
      </c>
      <c r="J4704">
        <v>0</v>
      </c>
      <c r="K4704">
        <v>1</v>
      </c>
      <c r="L4704">
        <v>1</v>
      </c>
      <c r="M4704">
        <v>13</v>
      </c>
      <c r="N4704" t="s">
        <v>26</v>
      </c>
      <c r="O4704" t="s">
        <v>27</v>
      </c>
      <c r="P4704">
        <v>6.6527395611189997</v>
      </c>
      <c r="Q4704">
        <v>1.64836673664797</v>
      </c>
      <c r="R4704">
        <v>4.2609581967889003</v>
      </c>
      <c r="S4704">
        <v>139</v>
      </c>
      <c r="T4704">
        <v>49</v>
      </c>
      <c r="U4704">
        <v>713.09260462695897</v>
      </c>
      <c r="V4704">
        <v>5.70926657883179E-3</v>
      </c>
      <c r="W4704">
        <v>1987778.3877684199</v>
      </c>
      <c r="X4704" t="s">
        <v>33</v>
      </c>
      <c r="Y4704">
        <f>1-374-348-5717</f>
        <v>-6438</v>
      </c>
    </row>
    <row r="4705" spans="1:25" x14ac:dyDescent="0.35">
      <c r="A4705">
        <v>34.5039665307824</v>
      </c>
      <c r="B4705">
        <v>-114.579433877398</v>
      </c>
      <c r="C4705" t="s">
        <v>29</v>
      </c>
      <c r="D4705">
        <v>48.287287772938399</v>
      </c>
      <c r="E4705">
        <v>5</v>
      </c>
      <c r="F4705">
        <v>3112</v>
      </c>
      <c r="G4705">
        <v>5</v>
      </c>
      <c r="H4705">
        <v>3</v>
      </c>
      <c r="I4705">
        <v>1976</v>
      </c>
      <c r="J4705">
        <v>1</v>
      </c>
      <c r="K4705">
        <v>0</v>
      </c>
      <c r="L4705">
        <v>0</v>
      </c>
      <c r="M4705">
        <v>6</v>
      </c>
      <c r="N4705" t="s">
        <v>41</v>
      </c>
      <c r="O4705" t="s">
        <v>32</v>
      </c>
      <c r="P4705">
        <v>6.6302210781015596</v>
      </c>
      <c r="Q4705">
        <v>2.3325849081432701</v>
      </c>
      <c r="R4705">
        <v>1.17574218743471</v>
      </c>
      <c r="S4705">
        <v>143</v>
      </c>
      <c r="T4705">
        <v>35</v>
      </c>
      <c r="U4705">
        <v>773.95003684068502</v>
      </c>
      <c r="V4705">
        <v>1.9280205655526901E-3</v>
      </c>
      <c r="W4705">
        <v>2782397.6608207398</v>
      </c>
      <c r="X4705" t="s">
        <v>28</v>
      </c>
      <c r="Y4705">
        <f>1-726-782-6880</f>
        <v>-8387</v>
      </c>
    </row>
    <row r="4706" spans="1:25" x14ac:dyDescent="0.35">
      <c r="A4706">
        <v>41.5536158381421</v>
      </c>
      <c r="B4706">
        <v>-124.493806469213</v>
      </c>
      <c r="C4706" t="s">
        <v>29</v>
      </c>
      <c r="D4706">
        <v>2.9324653518640602</v>
      </c>
      <c r="E4706">
        <v>1</v>
      </c>
      <c r="F4706">
        <v>4542</v>
      </c>
      <c r="G4706">
        <v>5</v>
      </c>
      <c r="H4706">
        <v>1</v>
      </c>
      <c r="I4706">
        <v>1958</v>
      </c>
      <c r="J4706">
        <v>1</v>
      </c>
      <c r="K4706">
        <v>0</v>
      </c>
      <c r="L4706">
        <v>0</v>
      </c>
      <c r="M4706">
        <v>14</v>
      </c>
      <c r="N4706" t="s">
        <v>37</v>
      </c>
      <c r="O4706" t="s">
        <v>32</v>
      </c>
      <c r="P4706">
        <v>2.5322094061120701</v>
      </c>
      <c r="Q4706">
        <v>2.0561643028857799</v>
      </c>
      <c r="R4706">
        <v>9.4248963327010102</v>
      </c>
      <c r="S4706">
        <v>113</v>
      </c>
      <c r="T4706">
        <v>66</v>
      </c>
      <c r="U4706">
        <v>317.741522908028</v>
      </c>
      <c r="V4706">
        <v>3.08234258036107E-3</v>
      </c>
      <c r="W4706">
        <v>1656427.56093229</v>
      </c>
      <c r="X4706" t="s">
        <v>44</v>
      </c>
      <c r="Y4706">
        <f>1-315-447-4792</f>
        <v>-5553</v>
      </c>
    </row>
    <row r="4707" spans="1:25" x14ac:dyDescent="0.35">
      <c r="A4707">
        <v>41.270331457057402</v>
      </c>
      <c r="B4707">
        <v>-119.228084225835</v>
      </c>
      <c r="C4707" t="s">
        <v>29</v>
      </c>
      <c r="D4707">
        <v>33.8347481903591</v>
      </c>
      <c r="E4707">
        <v>0</v>
      </c>
      <c r="F4707">
        <v>3935</v>
      </c>
      <c r="G4707">
        <v>4</v>
      </c>
      <c r="H4707">
        <v>2</v>
      </c>
      <c r="I4707">
        <v>1968</v>
      </c>
      <c r="J4707">
        <v>1</v>
      </c>
      <c r="K4707">
        <v>0</v>
      </c>
      <c r="L4707">
        <v>1</v>
      </c>
      <c r="M4707">
        <v>12</v>
      </c>
      <c r="N4707" t="s">
        <v>26</v>
      </c>
      <c r="O4707" t="s">
        <v>30</v>
      </c>
      <c r="P4707">
        <v>3.4259236855927702</v>
      </c>
      <c r="Q4707">
        <v>1.1161610196385401</v>
      </c>
      <c r="R4707">
        <v>3.39569413718865</v>
      </c>
      <c r="S4707">
        <v>187</v>
      </c>
      <c r="T4707">
        <v>38</v>
      </c>
      <c r="U4707">
        <v>456.35346207036901</v>
      </c>
      <c r="V4707">
        <v>3.0495552731893199E-3</v>
      </c>
      <c r="W4707">
        <v>2023924.1303725401</v>
      </c>
      <c r="X4707" t="s">
        <v>42</v>
      </c>
      <c r="Y4707">
        <f>1-433-710-4607</f>
        <v>-5749</v>
      </c>
    </row>
    <row r="4708" spans="1:25" x14ac:dyDescent="0.35">
      <c r="A4708">
        <v>38.439711319933899</v>
      </c>
      <c r="B4708">
        <v>-124.092369404683</v>
      </c>
      <c r="C4708" t="s">
        <v>29</v>
      </c>
      <c r="D4708">
        <v>20.6490015754697</v>
      </c>
      <c r="E4708">
        <v>5</v>
      </c>
      <c r="F4708">
        <v>4613</v>
      </c>
      <c r="G4708">
        <v>3</v>
      </c>
      <c r="H4708">
        <v>2</v>
      </c>
      <c r="I4708">
        <v>2013</v>
      </c>
      <c r="J4708">
        <v>1</v>
      </c>
      <c r="K4708">
        <v>0</v>
      </c>
      <c r="L4708">
        <v>1</v>
      </c>
      <c r="M4708">
        <v>5</v>
      </c>
      <c r="N4708" t="s">
        <v>35</v>
      </c>
      <c r="O4708" t="s">
        <v>27</v>
      </c>
      <c r="P4708">
        <v>14.0783706586899</v>
      </c>
      <c r="Q4708">
        <v>1.4676840449455799</v>
      </c>
      <c r="R4708">
        <v>6.0496823360471899</v>
      </c>
      <c r="S4708">
        <v>13</v>
      </c>
      <c r="T4708">
        <v>79</v>
      </c>
      <c r="U4708">
        <v>925.68896099558503</v>
      </c>
      <c r="V4708">
        <v>1.0838933448948599E-3</v>
      </c>
      <c r="W4708">
        <v>4667749.0650843298</v>
      </c>
      <c r="X4708" t="s">
        <v>40</v>
      </c>
      <c r="Y4708">
        <f>1-265-498-2448</f>
        <v>-3210</v>
      </c>
    </row>
    <row r="4709" spans="1:25" x14ac:dyDescent="0.35">
      <c r="A4709">
        <v>41.451148908516103</v>
      </c>
      <c r="B4709">
        <v>-121.618918237306</v>
      </c>
      <c r="C4709" t="s">
        <v>25</v>
      </c>
      <c r="D4709">
        <v>4.9610632265364503</v>
      </c>
      <c r="E4709">
        <v>5</v>
      </c>
      <c r="F4709">
        <v>3713</v>
      </c>
      <c r="G4709">
        <v>3</v>
      </c>
      <c r="H4709">
        <v>3</v>
      </c>
      <c r="I4709">
        <v>2016</v>
      </c>
      <c r="J4709">
        <v>1</v>
      </c>
      <c r="K4709">
        <v>1</v>
      </c>
      <c r="L4709">
        <v>1</v>
      </c>
      <c r="M4709">
        <v>2</v>
      </c>
      <c r="N4709" t="s">
        <v>26</v>
      </c>
      <c r="O4709" t="s">
        <v>30</v>
      </c>
      <c r="P4709">
        <v>8.5986206730554304</v>
      </c>
      <c r="Q4709">
        <v>2.1582427470063399</v>
      </c>
      <c r="R4709">
        <v>0.14227254802654599</v>
      </c>
      <c r="S4709">
        <v>109</v>
      </c>
      <c r="T4709">
        <v>56</v>
      </c>
      <c r="U4709">
        <v>308.64123695430999</v>
      </c>
      <c r="V4709">
        <v>5.3864799353622395E-4</v>
      </c>
      <c r="W4709">
        <v>1656233.22933118</v>
      </c>
      <c r="X4709" t="s">
        <v>42</v>
      </c>
      <c r="Y4709">
        <f>1-293-377-6101</f>
        <v>-6770</v>
      </c>
    </row>
    <row r="4710" spans="1:25" x14ac:dyDescent="0.35">
      <c r="A4710">
        <v>38.811556142015398</v>
      </c>
      <c r="B4710">
        <v>-115.09401281790601</v>
      </c>
      <c r="C4710" t="s">
        <v>29</v>
      </c>
      <c r="D4710">
        <v>18.609261602568999</v>
      </c>
      <c r="E4710">
        <v>3</v>
      </c>
      <c r="F4710">
        <v>2293</v>
      </c>
      <c r="G4710">
        <v>2</v>
      </c>
      <c r="H4710">
        <v>1</v>
      </c>
      <c r="I4710">
        <v>1992</v>
      </c>
      <c r="J4710">
        <v>0</v>
      </c>
      <c r="K4710">
        <v>0</v>
      </c>
      <c r="L4710">
        <v>0</v>
      </c>
      <c r="M4710">
        <v>3</v>
      </c>
      <c r="N4710" t="s">
        <v>26</v>
      </c>
      <c r="O4710" t="s">
        <v>30</v>
      </c>
      <c r="P4710">
        <v>5.3336555869625402</v>
      </c>
      <c r="Q4710">
        <v>1.03872411608305</v>
      </c>
      <c r="R4710">
        <v>4.18488899545736</v>
      </c>
      <c r="S4710">
        <v>131</v>
      </c>
      <c r="T4710">
        <v>67</v>
      </c>
      <c r="U4710">
        <v>434.52379703246402</v>
      </c>
      <c r="V4710">
        <v>1.3083296990841599E-3</v>
      </c>
      <c r="W4710">
        <v>1095339.63870673</v>
      </c>
      <c r="X4710" t="s">
        <v>44</v>
      </c>
      <c r="Y4710">
        <f>1-327-315-6002</f>
        <v>-6643</v>
      </c>
    </row>
    <row r="4711" spans="1:25" x14ac:dyDescent="0.35">
      <c r="A4711">
        <v>33.002494661443002</v>
      </c>
      <c r="B4711">
        <v>-124.48680992583</v>
      </c>
      <c r="C4711" t="s">
        <v>25</v>
      </c>
      <c r="D4711">
        <v>26.7609630351688</v>
      </c>
      <c r="E4711">
        <v>7</v>
      </c>
      <c r="F4711">
        <v>2987</v>
      </c>
      <c r="G4711">
        <v>4</v>
      </c>
      <c r="H4711">
        <v>2</v>
      </c>
      <c r="I4711">
        <v>1979</v>
      </c>
      <c r="J4711">
        <v>0</v>
      </c>
      <c r="K4711">
        <v>0</v>
      </c>
      <c r="L4711">
        <v>0</v>
      </c>
      <c r="M4711">
        <v>11</v>
      </c>
      <c r="N4711" t="s">
        <v>35</v>
      </c>
      <c r="O4711" t="s">
        <v>27</v>
      </c>
      <c r="P4711">
        <v>5.1401477551336701</v>
      </c>
      <c r="Q4711">
        <v>0.65258547594623695</v>
      </c>
      <c r="R4711">
        <v>1.8093241251080201</v>
      </c>
      <c r="S4711">
        <v>6</v>
      </c>
      <c r="T4711">
        <v>32</v>
      </c>
      <c r="U4711">
        <v>987.63704224119397</v>
      </c>
      <c r="V4711">
        <v>3.6826247070639402E-3</v>
      </c>
      <c r="W4711">
        <v>3112532.4298439799</v>
      </c>
      <c r="X4711" t="s">
        <v>42</v>
      </c>
      <c r="Y4711">
        <f>1-551-956-6782</f>
        <v>-8288</v>
      </c>
    </row>
    <row r="4712" spans="1:25" x14ac:dyDescent="0.35">
      <c r="A4712">
        <v>41.163405710601197</v>
      </c>
      <c r="B4712">
        <v>-119.426631396006</v>
      </c>
      <c r="C4712" t="s">
        <v>34</v>
      </c>
      <c r="D4712">
        <v>24.5298212487398</v>
      </c>
      <c r="E4712">
        <v>2</v>
      </c>
      <c r="F4712">
        <v>4391</v>
      </c>
      <c r="G4712">
        <v>1</v>
      </c>
      <c r="H4712">
        <v>2</v>
      </c>
      <c r="I4712">
        <v>2016</v>
      </c>
      <c r="J4712">
        <v>1</v>
      </c>
      <c r="K4712">
        <v>1</v>
      </c>
      <c r="L4712">
        <v>0</v>
      </c>
      <c r="M4712">
        <v>12</v>
      </c>
      <c r="N4712" t="s">
        <v>35</v>
      </c>
      <c r="O4712" t="s">
        <v>27</v>
      </c>
      <c r="P4712">
        <v>8.1225006049736699</v>
      </c>
      <c r="Q4712">
        <v>2.3765559395026998</v>
      </c>
      <c r="R4712">
        <v>4.3115431460384404</v>
      </c>
      <c r="S4712">
        <v>136</v>
      </c>
      <c r="T4712">
        <v>64</v>
      </c>
      <c r="U4712">
        <v>442.59848477143299</v>
      </c>
      <c r="V4712">
        <v>2.73286267365064E-3</v>
      </c>
      <c r="W4712">
        <v>2268868.4025399601</v>
      </c>
      <c r="X4712" t="s">
        <v>36</v>
      </c>
      <c r="Y4712">
        <f>1-972-457-2898</f>
        <v>-4326</v>
      </c>
    </row>
    <row r="4713" spans="1:25" x14ac:dyDescent="0.35">
      <c r="A4713">
        <v>37.852123534408101</v>
      </c>
      <c r="B4713">
        <v>-124.46260841420801</v>
      </c>
      <c r="C4713" t="s">
        <v>29</v>
      </c>
      <c r="D4713">
        <v>32.337832976733701</v>
      </c>
      <c r="E4713">
        <v>0</v>
      </c>
      <c r="F4713">
        <v>4043</v>
      </c>
      <c r="G4713">
        <v>1</v>
      </c>
      <c r="H4713">
        <v>3</v>
      </c>
      <c r="I4713">
        <v>1984</v>
      </c>
      <c r="J4713">
        <v>0</v>
      </c>
      <c r="K4713">
        <v>1</v>
      </c>
      <c r="L4713">
        <v>0</v>
      </c>
      <c r="M4713">
        <v>4</v>
      </c>
      <c r="N4713" t="s">
        <v>26</v>
      </c>
      <c r="O4713" t="s">
        <v>32</v>
      </c>
      <c r="P4713">
        <v>8.6659017452478704</v>
      </c>
      <c r="Q4713">
        <v>1.1491551432118701</v>
      </c>
      <c r="R4713">
        <v>5.5355147983104001</v>
      </c>
      <c r="S4713">
        <v>27</v>
      </c>
      <c r="T4713">
        <v>28</v>
      </c>
      <c r="U4713">
        <v>430.99144588142599</v>
      </c>
      <c r="V4713">
        <v>9.8936433341577997E-4</v>
      </c>
      <c r="W4713">
        <v>1990367.8784529399</v>
      </c>
      <c r="X4713" t="s">
        <v>40</v>
      </c>
      <c r="Y4713">
        <f>1-903-493-4640</f>
        <v>-6035</v>
      </c>
    </row>
    <row r="4714" spans="1:25" x14ac:dyDescent="0.35">
      <c r="A4714">
        <v>36.050890681644802</v>
      </c>
      <c r="B4714">
        <v>-122.207447082442</v>
      </c>
      <c r="C4714" t="s">
        <v>29</v>
      </c>
      <c r="D4714">
        <v>24.245038738013999</v>
      </c>
      <c r="E4714">
        <v>5</v>
      </c>
      <c r="F4714">
        <v>2708</v>
      </c>
      <c r="G4714">
        <v>3</v>
      </c>
      <c r="H4714">
        <v>3</v>
      </c>
      <c r="I4714">
        <v>1993</v>
      </c>
      <c r="J4714">
        <v>0</v>
      </c>
      <c r="K4714">
        <v>0</v>
      </c>
      <c r="L4714">
        <v>0</v>
      </c>
      <c r="M4714">
        <v>5</v>
      </c>
      <c r="N4714" t="s">
        <v>26</v>
      </c>
      <c r="O4714" t="s">
        <v>30</v>
      </c>
      <c r="P4714">
        <v>10.809742796579201</v>
      </c>
      <c r="Q4714">
        <v>1.69177947421063</v>
      </c>
      <c r="R4714">
        <v>3.6803301551679199</v>
      </c>
      <c r="S4714">
        <v>31</v>
      </c>
      <c r="T4714">
        <v>70</v>
      </c>
      <c r="U4714">
        <v>401.84114022279101</v>
      </c>
      <c r="V4714">
        <v>1.8463810930576001E-3</v>
      </c>
      <c r="W4714">
        <v>1273890.69832022</v>
      </c>
      <c r="X4714" t="s">
        <v>31</v>
      </c>
      <c r="Y4714">
        <f>1-202-667-2455</f>
        <v>-3323</v>
      </c>
    </row>
    <row r="4715" spans="1:25" x14ac:dyDescent="0.35">
      <c r="A4715">
        <v>40.180070784849399</v>
      </c>
      <c r="B4715">
        <v>-118.088761842791</v>
      </c>
      <c r="C4715" t="s">
        <v>25</v>
      </c>
      <c r="D4715">
        <v>30.990137933232599</v>
      </c>
      <c r="E4715">
        <v>3</v>
      </c>
      <c r="F4715">
        <v>1228</v>
      </c>
      <c r="G4715">
        <v>3</v>
      </c>
      <c r="H4715">
        <v>3</v>
      </c>
      <c r="I4715">
        <v>1964</v>
      </c>
      <c r="J4715">
        <v>1</v>
      </c>
      <c r="K4715">
        <v>0</v>
      </c>
      <c r="L4715">
        <v>0</v>
      </c>
      <c r="M4715">
        <v>6</v>
      </c>
      <c r="N4715" t="s">
        <v>35</v>
      </c>
      <c r="O4715" t="s">
        <v>32</v>
      </c>
      <c r="P4715">
        <v>7.7474943818563897</v>
      </c>
      <c r="Q4715">
        <v>1.9568127527933901</v>
      </c>
      <c r="R4715">
        <v>8.0993548799931698</v>
      </c>
      <c r="S4715">
        <v>164</v>
      </c>
      <c r="T4715">
        <v>77</v>
      </c>
      <c r="U4715">
        <v>580.11087289251304</v>
      </c>
      <c r="V4715">
        <v>4.8859934853420096E-3</v>
      </c>
      <c r="W4715">
        <v>861543.28353137698</v>
      </c>
      <c r="X4715" t="s">
        <v>43</v>
      </c>
      <c r="Y4715">
        <f>1-960-272-2159</f>
        <v>-3390</v>
      </c>
    </row>
    <row r="4716" spans="1:25" x14ac:dyDescent="0.35">
      <c r="A4716">
        <v>35.760252947577399</v>
      </c>
      <c r="B4716">
        <v>-121.952433053367</v>
      </c>
      <c r="C4716" t="s">
        <v>29</v>
      </c>
      <c r="D4716">
        <v>42.080559746100597</v>
      </c>
      <c r="E4716">
        <v>8</v>
      </c>
      <c r="F4716">
        <v>1108</v>
      </c>
      <c r="G4716">
        <v>3</v>
      </c>
      <c r="H4716">
        <v>3</v>
      </c>
      <c r="I4716">
        <v>1981</v>
      </c>
      <c r="J4716">
        <v>0</v>
      </c>
      <c r="K4716">
        <v>1</v>
      </c>
      <c r="L4716">
        <v>0</v>
      </c>
      <c r="M4716">
        <v>10</v>
      </c>
      <c r="N4716" t="s">
        <v>37</v>
      </c>
      <c r="O4716" t="s">
        <v>27</v>
      </c>
      <c r="P4716">
        <v>13.2979051005569</v>
      </c>
      <c r="Q4716">
        <v>1.9004915803631599</v>
      </c>
      <c r="R4716">
        <v>2.7611451360386101</v>
      </c>
      <c r="S4716">
        <v>103</v>
      </c>
      <c r="T4716">
        <v>34</v>
      </c>
      <c r="U4716">
        <v>819.37857006227205</v>
      </c>
      <c r="V4716">
        <v>9.0252707581227401E-3</v>
      </c>
      <c r="W4716">
        <v>1278983.9901467899</v>
      </c>
      <c r="X4716" t="s">
        <v>36</v>
      </c>
      <c r="Y4716">
        <f>1-841-922-8724</f>
        <v>-10486</v>
      </c>
    </row>
    <row r="4717" spans="1:25" x14ac:dyDescent="0.35">
      <c r="A4717">
        <v>39.980812125273197</v>
      </c>
      <c r="B4717">
        <v>-116.151547150686</v>
      </c>
      <c r="C4717" t="s">
        <v>25</v>
      </c>
      <c r="D4717">
        <v>38.316287623102703</v>
      </c>
      <c r="E4717">
        <v>0</v>
      </c>
      <c r="F4717">
        <v>3900</v>
      </c>
      <c r="G4717">
        <v>1</v>
      </c>
      <c r="H4717">
        <v>3</v>
      </c>
      <c r="I4717">
        <v>2000</v>
      </c>
      <c r="J4717">
        <v>0</v>
      </c>
      <c r="K4717">
        <v>1</v>
      </c>
      <c r="L4717">
        <v>1</v>
      </c>
      <c r="M4717">
        <v>7</v>
      </c>
      <c r="N4717" t="s">
        <v>41</v>
      </c>
      <c r="O4717" t="s">
        <v>27</v>
      </c>
      <c r="P4717">
        <v>11.622879974955101</v>
      </c>
      <c r="Q4717">
        <v>0.87763058024898499</v>
      </c>
      <c r="R4717">
        <v>5.88796017101693</v>
      </c>
      <c r="S4717">
        <v>163</v>
      </c>
      <c r="T4717">
        <v>71</v>
      </c>
      <c r="U4717">
        <v>452.13781315760798</v>
      </c>
      <c r="V4717">
        <v>1.7948717948717901E-3</v>
      </c>
      <c r="W4717">
        <v>2138428.3608716698</v>
      </c>
      <c r="X4717" t="s">
        <v>42</v>
      </c>
      <c r="Y4717">
        <f>1-429-265-3188</f>
        <v>-3881</v>
      </c>
    </row>
    <row r="4718" spans="1:25" x14ac:dyDescent="0.35">
      <c r="A4718">
        <v>33.852311428820101</v>
      </c>
      <c r="B4718">
        <v>-115.266407990552</v>
      </c>
      <c r="C4718" t="s">
        <v>29</v>
      </c>
      <c r="D4718">
        <v>34.190801235480997</v>
      </c>
      <c r="E4718">
        <v>0</v>
      </c>
      <c r="F4718">
        <v>2549</v>
      </c>
      <c r="G4718">
        <v>4</v>
      </c>
      <c r="H4718">
        <v>2</v>
      </c>
      <c r="I4718">
        <v>2016</v>
      </c>
      <c r="J4718">
        <v>1</v>
      </c>
      <c r="K4718">
        <v>0</v>
      </c>
      <c r="L4718">
        <v>0</v>
      </c>
      <c r="M4718">
        <v>2</v>
      </c>
      <c r="N4718" t="s">
        <v>26</v>
      </c>
      <c r="O4718" t="s">
        <v>32</v>
      </c>
      <c r="P4718">
        <v>10.574696187330501</v>
      </c>
      <c r="Q4718">
        <v>2.2491603250819199</v>
      </c>
      <c r="R4718">
        <v>7.63893926004181</v>
      </c>
      <c r="S4718">
        <v>10</v>
      </c>
      <c r="T4718">
        <v>29</v>
      </c>
      <c r="U4718">
        <v>411.798139246311</v>
      </c>
      <c r="V4718">
        <v>7.8462142016477005E-4</v>
      </c>
      <c r="W4718">
        <v>1462290.6598348401</v>
      </c>
      <c r="X4718" t="s">
        <v>36</v>
      </c>
      <c r="Y4718">
        <f>1-578-217-8490</f>
        <v>-9284</v>
      </c>
    </row>
    <row r="4719" spans="1:25" x14ac:dyDescent="0.35">
      <c r="A4719">
        <v>39.376224673238802</v>
      </c>
      <c r="B4719">
        <v>-120.8552151391</v>
      </c>
      <c r="C4719" t="s">
        <v>34</v>
      </c>
      <c r="D4719">
        <v>7.9515204573569704</v>
      </c>
      <c r="E4719">
        <v>9</v>
      </c>
      <c r="F4719">
        <v>1594</v>
      </c>
      <c r="G4719">
        <v>3</v>
      </c>
      <c r="H4719">
        <v>1</v>
      </c>
      <c r="I4719">
        <v>2021</v>
      </c>
      <c r="J4719">
        <v>1</v>
      </c>
      <c r="K4719">
        <v>1</v>
      </c>
      <c r="L4719">
        <v>0</v>
      </c>
      <c r="M4719">
        <v>10</v>
      </c>
      <c r="N4719" t="s">
        <v>26</v>
      </c>
      <c r="O4719" t="s">
        <v>32</v>
      </c>
      <c r="P4719">
        <v>14.98190441617</v>
      </c>
      <c r="Q4719">
        <v>0.99411264852373005</v>
      </c>
      <c r="R4719">
        <v>9.1840778605036508</v>
      </c>
      <c r="S4719">
        <v>91</v>
      </c>
      <c r="T4719">
        <v>30</v>
      </c>
      <c r="U4719">
        <v>494.58625415641598</v>
      </c>
      <c r="V4719">
        <v>6.2735257214554504E-3</v>
      </c>
      <c r="W4719">
        <v>1148288.4037365301</v>
      </c>
      <c r="X4719" t="s">
        <v>28</v>
      </c>
      <c r="Y4719">
        <f>1-724-347-4821</f>
        <v>-5891</v>
      </c>
    </row>
    <row r="4720" spans="1:25" x14ac:dyDescent="0.35">
      <c r="A4720">
        <v>34.954108824116702</v>
      </c>
      <c r="B4720">
        <v>-116.456646246524</v>
      </c>
      <c r="C4720" t="s">
        <v>25</v>
      </c>
      <c r="D4720">
        <v>39.048579247035001</v>
      </c>
      <c r="E4720">
        <v>5</v>
      </c>
      <c r="F4720">
        <v>4376</v>
      </c>
      <c r="G4720">
        <v>3</v>
      </c>
      <c r="H4720">
        <v>3</v>
      </c>
      <c r="I4720">
        <v>2019</v>
      </c>
      <c r="J4720">
        <v>0</v>
      </c>
      <c r="K4720">
        <v>0</v>
      </c>
      <c r="L4720">
        <v>0</v>
      </c>
      <c r="M4720">
        <v>10</v>
      </c>
      <c r="N4720" t="s">
        <v>26</v>
      </c>
      <c r="O4720" t="s">
        <v>32</v>
      </c>
      <c r="P4720">
        <v>9.6097514963249697</v>
      </c>
      <c r="Q4720">
        <v>0.95592084565658797</v>
      </c>
      <c r="R4720">
        <v>7.87973601180017</v>
      </c>
      <c r="S4720">
        <v>37</v>
      </c>
      <c r="T4720">
        <v>39</v>
      </c>
      <c r="U4720">
        <v>635.443398081287</v>
      </c>
      <c r="V4720">
        <v>2.2851919561243102E-3</v>
      </c>
      <c r="W4720">
        <v>3084225.1787704998</v>
      </c>
      <c r="X4720" t="s">
        <v>42</v>
      </c>
      <c r="Y4720">
        <f>1-557-483-3597</f>
        <v>-4636</v>
      </c>
    </row>
    <row r="4721" spans="1:25" x14ac:dyDescent="0.35">
      <c r="A4721">
        <v>35.4968752166751</v>
      </c>
      <c r="B4721">
        <v>-120.843476194815</v>
      </c>
      <c r="C4721" t="s">
        <v>25</v>
      </c>
      <c r="D4721">
        <v>30.6471725913174</v>
      </c>
      <c r="E4721">
        <v>8</v>
      </c>
      <c r="F4721">
        <v>2077</v>
      </c>
      <c r="G4721">
        <v>3</v>
      </c>
      <c r="H4721">
        <v>3</v>
      </c>
      <c r="I4721">
        <v>1955</v>
      </c>
      <c r="J4721">
        <v>0</v>
      </c>
      <c r="K4721">
        <v>1</v>
      </c>
      <c r="L4721">
        <v>0</v>
      </c>
      <c r="M4721">
        <v>12</v>
      </c>
      <c r="N4721" t="s">
        <v>37</v>
      </c>
      <c r="O4721" t="s">
        <v>27</v>
      </c>
      <c r="P4721">
        <v>4.4141704905859402</v>
      </c>
      <c r="Q4721">
        <v>1.0712217023761501</v>
      </c>
      <c r="R4721">
        <v>1.9064064083104</v>
      </c>
      <c r="S4721">
        <v>23</v>
      </c>
      <c r="T4721">
        <v>32</v>
      </c>
      <c r="U4721">
        <v>922.14057562862695</v>
      </c>
      <c r="V4721">
        <v>5.7775637939335503E-3</v>
      </c>
      <c r="W4721">
        <v>2201912.73747908</v>
      </c>
      <c r="X4721" t="s">
        <v>40</v>
      </c>
      <c r="Y4721">
        <f>1-241-756-9979</f>
        <v>-10975</v>
      </c>
    </row>
    <row r="4722" spans="1:25" x14ac:dyDescent="0.35">
      <c r="A4722">
        <v>39.366620206610001</v>
      </c>
      <c r="B4722">
        <v>-124.40455607929</v>
      </c>
      <c r="C4722" t="s">
        <v>29</v>
      </c>
      <c r="D4722">
        <v>36.590054317540101</v>
      </c>
      <c r="E4722">
        <v>7</v>
      </c>
      <c r="F4722">
        <v>3266</v>
      </c>
      <c r="G4722">
        <v>4</v>
      </c>
      <c r="H4722">
        <v>2</v>
      </c>
      <c r="I4722">
        <v>2007</v>
      </c>
      <c r="J4722">
        <v>1</v>
      </c>
      <c r="K4722">
        <v>1</v>
      </c>
      <c r="L4722">
        <v>1</v>
      </c>
      <c r="M4722">
        <v>9</v>
      </c>
      <c r="N4722" t="s">
        <v>41</v>
      </c>
      <c r="O4722" t="s">
        <v>30</v>
      </c>
      <c r="P4722">
        <v>4.5499303330619698</v>
      </c>
      <c r="Q4722">
        <v>2.0191922039855199</v>
      </c>
      <c r="R4722">
        <v>6.28584566542734</v>
      </c>
      <c r="S4722">
        <v>85</v>
      </c>
      <c r="T4722">
        <v>50</v>
      </c>
      <c r="U4722">
        <v>955.58294578124003</v>
      </c>
      <c r="V4722">
        <v>2.7556644213104701E-3</v>
      </c>
      <c r="W4722">
        <v>3521873.57990479</v>
      </c>
      <c r="X4722" t="s">
        <v>40</v>
      </c>
      <c r="Y4722">
        <f>1-812-832-9178</f>
        <v>-10821</v>
      </c>
    </row>
    <row r="4723" spans="1:25" x14ac:dyDescent="0.35">
      <c r="A4723">
        <v>40.042190974705697</v>
      </c>
      <c r="B4723">
        <v>-122.328528850968</v>
      </c>
      <c r="C4723" t="s">
        <v>25</v>
      </c>
      <c r="D4723">
        <v>45.402659895390698</v>
      </c>
      <c r="E4723">
        <v>0</v>
      </c>
      <c r="F4723">
        <v>1892</v>
      </c>
      <c r="G4723">
        <v>1</v>
      </c>
      <c r="H4723">
        <v>1</v>
      </c>
      <c r="I4723">
        <v>1971</v>
      </c>
      <c r="J4723">
        <v>1</v>
      </c>
      <c r="K4723">
        <v>0</v>
      </c>
      <c r="L4723">
        <v>0</v>
      </c>
      <c r="M4723">
        <v>11</v>
      </c>
      <c r="N4723" t="s">
        <v>37</v>
      </c>
      <c r="O4723" t="s">
        <v>32</v>
      </c>
      <c r="P4723">
        <v>12.6797966823062</v>
      </c>
      <c r="Q4723">
        <v>1.9651029426366999</v>
      </c>
      <c r="R4723">
        <v>6.8680490153046803</v>
      </c>
      <c r="S4723">
        <v>32</v>
      </c>
      <c r="T4723">
        <v>37</v>
      </c>
      <c r="U4723">
        <v>823.74145912782501</v>
      </c>
      <c r="V4723">
        <v>5.8139534883720903E-3</v>
      </c>
      <c r="W4723">
        <v>1710431.22982934</v>
      </c>
      <c r="X4723" t="s">
        <v>42</v>
      </c>
      <c r="Y4723">
        <f>1-608-680-9550</f>
        <v>-10837</v>
      </c>
    </row>
    <row r="4724" spans="1:25" x14ac:dyDescent="0.35">
      <c r="A4724">
        <v>36.319496960166902</v>
      </c>
      <c r="B4724">
        <v>-116.008341172022</v>
      </c>
      <c r="C4724" t="s">
        <v>25</v>
      </c>
      <c r="D4724">
        <v>15.7713833321796</v>
      </c>
      <c r="E4724">
        <v>1</v>
      </c>
      <c r="F4724">
        <v>2389</v>
      </c>
      <c r="G4724">
        <v>2</v>
      </c>
      <c r="H4724">
        <v>3</v>
      </c>
      <c r="I4724">
        <v>2015</v>
      </c>
      <c r="J4724">
        <v>1</v>
      </c>
      <c r="K4724">
        <v>1</v>
      </c>
      <c r="L4724">
        <v>0</v>
      </c>
      <c r="M4724">
        <v>5</v>
      </c>
      <c r="N4724" t="s">
        <v>37</v>
      </c>
      <c r="O4724" t="s">
        <v>32</v>
      </c>
      <c r="P4724">
        <v>6.0587097947402997</v>
      </c>
      <c r="Q4724">
        <v>2.0615268780673</v>
      </c>
      <c r="R4724">
        <v>6.96629550277141</v>
      </c>
      <c r="S4724">
        <v>112</v>
      </c>
      <c r="T4724">
        <v>73</v>
      </c>
      <c r="U4724">
        <v>600.25972506518406</v>
      </c>
      <c r="V4724">
        <v>2.09292591042277E-3</v>
      </c>
      <c r="W4724">
        <v>1817229.1337133499</v>
      </c>
      <c r="X4724" t="s">
        <v>36</v>
      </c>
      <c r="Y4724">
        <f>1-734-181-9614</f>
        <v>-10528</v>
      </c>
    </row>
    <row r="4725" spans="1:25" x14ac:dyDescent="0.35">
      <c r="A4725">
        <v>33.648716345200597</v>
      </c>
      <c r="B4725">
        <v>-116.564178935662</v>
      </c>
      <c r="C4725" t="s">
        <v>34</v>
      </c>
      <c r="D4725">
        <v>3.3571425917126199</v>
      </c>
      <c r="E4725">
        <v>4</v>
      </c>
      <c r="F4725">
        <v>4064</v>
      </c>
      <c r="G4725">
        <v>3</v>
      </c>
      <c r="H4725">
        <v>1</v>
      </c>
      <c r="I4725">
        <v>1968</v>
      </c>
      <c r="J4725">
        <v>1</v>
      </c>
      <c r="K4725">
        <v>0</v>
      </c>
      <c r="L4725">
        <v>1</v>
      </c>
      <c r="M4725">
        <v>8</v>
      </c>
      <c r="N4725" t="s">
        <v>26</v>
      </c>
      <c r="O4725" t="s">
        <v>30</v>
      </c>
      <c r="P4725">
        <v>11.3297093947889</v>
      </c>
      <c r="Q4725">
        <v>1.92048892979255</v>
      </c>
      <c r="R4725">
        <v>2.9894702507586599</v>
      </c>
      <c r="S4725">
        <v>75</v>
      </c>
      <c r="T4725">
        <v>24</v>
      </c>
      <c r="U4725">
        <v>387.58047203920398</v>
      </c>
      <c r="V4725">
        <v>1.9685039370078701E-3</v>
      </c>
      <c r="W4725">
        <v>1852595.7214872299</v>
      </c>
      <c r="X4725" t="s">
        <v>38</v>
      </c>
      <c r="Y4725">
        <f>1-375-758-7841</f>
        <v>-8973</v>
      </c>
    </row>
    <row r="4726" spans="1:25" x14ac:dyDescent="0.35">
      <c r="A4726">
        <v>40.188546385730703</v>
      </c>
      <c r="B4726">
        <v>-115.236009554153</v>
      </c>
      <c r="C4726" t="s">
        <v>25</v>
      </c>
      <c r="D4726">
        <v>13.3469367277588</v>
      </c>
      <c r="E4726">
        <v>7</v>
      </c>
      <c r="F4726">
        <v>4786</v>
      </c>
      <c r="G4726">
        <v>1</v>
      </c>
      <c r="H4726">
        <v>2</v>
      </c>
      <c r="I4726">
        <v>1995</v>
      </c>
      <c r="J4726">
        <v>0</v>
      </c>
      <c r="K4726">
        <v>1</v>
      </c>
      <c r="L4726">
        <v>0</v>
      </c>
      <c r="M4726">
        <v>14</v>
      </c>
      <c r="N4726" t="s">
        <v>26</v>
      </c>
      <c r="O4726" t="s">
        <v>32</v>
      </c>
      <c r="P4726">
        <v>8.6510885031188103</v>
      </c>
      <c r="Q4726">
        <v>1.17952646796434</v>
      </c>
      <c r="R4726">
        <v>0.159614272356256</v>
      </c>
      <c r="S4726">
        <v>73</v>
      </c>
      <c r="T4726">
        <v>59</v>
      </c>
      <c r="U4726">
        <v>519.51070768811201</v>
      </c>
      <c r="V4726">
        <v>2.9251984956122001E-3</v>
      </c>
      <c r="W4726">
        <v>2718185.4117801199</v>
      </c>
      <c r="X4726" t="s">
        <v>36</v>
      </c>
      <c r="Y4726">
        <f>1-930-409-9153</f>
        <v>-10491</v>
      </c>
    </row>
    <row r="4727" spans="1:25" x14ac:dyDescent="0.35">
      <c r="A4727">
        <v>40.772676019369101</v>
      </c>
      <c r="B4727">
        <v>-118.39207485644501</v>
      </c>
      <c r="C4727" t="s">
        <v>25</v>
      </c>
      <c r="D4727">
        <v>11.043509607111501</v>
      </c>
      <c r="E4727">
        <v>7</v>
      </c>
      <c r="F4727">
        <v>3251</v>
      </c>
      <c r="G4727">
        <v>4</v>
      </c>
      <c r="H4727">
        <v>1</v>
      </c>
      <c r="I4727">
        <v>2012</v>
      </c>
      <c r="J4727">
        <v>1</v>
      </c>
      <c r="K4727">
        <v>0</v>
      </c>
      <c r="L4727">
        <v>0</v>
      </c>
      <c r="M4727">
        <v>10</v>
      </c>
      <c r="N4727" t="s">
        <v>37</v>
      </c>
      <c r="O4727" t="s">
        <v>32</v>
      </c>
      <c r="P4727">
        <v>3.2165888390426902</v>
      </c>
      <c r="Q4727">
        <v>2.45723096436959</v>
      </c>
      <c r="R4727">
        <v>3.5198323224050401</v>
      </c>
      <c r="S4727">
        <v>199</v>
      </c>
      <c r="T4727">
        <v>76</v>
      </c>
      <c r="U4727">
        <v>683.21334728987904</v>
      </c>
      <c r="V4727">
        <v>3.0759766225776598E-3</v>
      </c>
      <c r="W4727">
        <v>2542788.8724398101</v>
      </c>
      <c r="X4727" t="s">
        <v>39</v>
      </c>
      <c r="Y4727">
        <f>1-998-171-2723</f>
        <v>-3891</v>
      </c>
    </row>
    <row r="4728" spans="1:25" x14ac:dyDescent="0.35">
      <c r="A4728">
        <v>40.167385673658003</v>
      </c>
      <c r="B4728">
        <v>-119.88076937112599</v>
      </c>
      <c r="C4728" t="s">
        <v>34</v>
      </c>
      <c r="D4728">
        <v>1.1629183137758301</v>
      </c>
      <c r="E4728">
        <v>2</v>
      </c>
      <c r="F4728">
        <v>2406</v>
      </c>
      <c r="G4728">
        <v>2</v>
      </c>
      <c r="H4728">
        <v>3</v>
      </c>
      <c r="I4728">
        <v>1967</v>
      </c>
      <c r="J4728">
        <v>1</v>
      </c>
      <c r="K4728">
        <v>0</v>
      </c>
      <c r="L4728">
        <v>0</v>
      </c>
      <c r="M4728">
        <v>6</v>
      </c>
      <c r="N4728" t="s">
        <v>35</v>
      </c>
      <c r="O4728" t="s">
        <v>32</v>
      </c>
      <c r="P4728">
        <v>4.3839495907266199</v>
      </c>
      <c r="Q4728">
        <v>2.26148969485256</v>
      </c>
      <c r="R4728">
        <v>1.42238598869845</v>
      </c>
      <c r="S4728">
        <v>150</v>
      </c>
      <c r="T4728">
        <v>79</v>
      </c>
      <c r="U4728">
        <v>277.20571199134201</v>
      </c>
      <c r="V4728">
        <v>2.4937655860349101E-3</v>
      </c>
      <c r="W4728">
        <v>863237.049547081</v>
      </c>
      <c r="X4728" t="s">
        <v>43</v>
      </c>
      <c r="Y4728">
        <f>1-946-211-6139</f>
        <v>-7295</v>
      </c>
    </row>
    <row r="4729" spans="1:25" x14ac:dyDescent="0.35">
      <c r="A4729">
        <v>32.973396416540197</v>
      </c>
      <c r="B4729">
        <v>-119.437397724679</v>
      </c>
      <c r="C4729" t="s">
        <v>29</v>
      </c>
      <c r="D4729">
        <v>4.3334731702707101</v>
      </c>
      <c r="E4729">
        <v>0</v>
      </c>
      <c r="F4729">
        <v>3703</v>
      </c>
      <c r="G4729">
        <v>4</v>
      </c>
      <c r="H4729">
        <v>3</v>
      </c>
      <c r="I4729">
        <v>2022</v>
      </c>
      <c r="J4729">
        <v>0</v>
      </c>
      <c r="K4729">
        <v>0</v>
      </c>
      <c r="L4729">
        <v>0</v>
      </c>
      <c r="M4729">
        <v>3</v>
      </c>
      <c r="N4729" t="s">
        <v>35</v>
      </c>
      <c r="O4729" t="s">
        <v>32</v>
      </c>
      <c r="P4729">
        <v>13.726730258521</v>
      </c>
      <c r="Q4729">
        <v>2.3645824157300401</v>
      </c>
      <c r="R4729">
        <v>4.3846010731313898</v>
      </c>
      <c r="S4729">
        <v>143</v>
      </c>
      <c r="T4729">
        <v>62</v>
      </c>
      <c r="U4729">
        <v>582.53719833158902</v>
      </c>
      <c r="V4729">
        <v>8.1015392924655598E-4</v>
      </c>
      <c r="W4729">
        <v>2513323.0712600499</v>
      </c>
      <c r="X4729" t="s">
        <v>31</v>
      </c>
      <c r="Y4729">
        <f>1-568-332-4247</f>
        <v>-5146</v>
      </c>
    </row>
    <row r="4730" spans="1:25" x14ac:dyDescent="0.35">
      <c r="A4730">
        <v>33.735845957322802</v>
      </c>
      <c r="B4730">
        <v>-117.407984409326</v>
      </c>
      <c r="C4730" t="s">
        <v>25</v>
      </c>
      <c r="D4730">
        <v>7.1718849817534602</v>
      </c>
      <c r="E4730">
        <v>9</v>
      </c>
      <c r="F4730">
        <v>4210</v>
      </c>
      <c r="G4730">
        <v>5</v>
      </c>
      <c r="H4730">
        <v>1</v>
      </c>
      <c r="I4730">
        <v>1967</v>
      </c>
      <c r="J4730">
        <v>1</v>
      </c>
      <c r="K4730">
        <v>1</v>
      </c>
      <c r="L4730">
        <v>0</v>
      </c>
      <c r="M4730">
        <v>14</v>
      </c>
      <c r="N4730" t="s">
        <v>26</v>
      </c>
      <c r="O4730" t="s">
        <v>32</v>
      </c>
      <c r="P4730">
        <v>2.1387516340811001</v>
      </c>
      <c r="Q4730">
        <v>0.58918458401545903</v>
      </c>
      <c r="R4730">
        <v>4.4423549680094396</v>
      </c>
      <c r="S4730">
        <v>33</v>
      </c>
      <c r="T4730">
        <v>26</v>
      </c>
      <c r="U4730">
        <v>445.71492543515802</v>
      </c>
      <c r="V4730">
        <v>3.3254156769596198E-3</v>
      </c>
      <c r="W4730">
        <v>2207973.3568344298</v>
      </c>
      <c r="X4730" t="s">
        <v>38</v>
      </c>
      <c r="Y4730">
        <f>1-981-294-8523</f>
        <v>-9797</v>
      </c>
    </row>
    <row r="4731" spans="1:25" x14ac:dyDescent="0.35">
      <c r="A4731">
        <v>41.615265285606299</v>
      </c>
      <c r="B4731">
        <v>-122.738659529385</v>
      </c>
      <c r="C4731" t="s">
        <v>29</v>
      </c>
      <c r="D4731">
        <v>34.377769685130602</v>
      </c>
      <c r="E4731">
        <v>1</v>
      </c>
      <c r="F4731">
        <v>3251</v>
      </c>
      <c r="G4731">
        <v>1</v>
      </c>
      <c r="H4731">
        <v>2</v>
      </c>
      <c r="I4731">
        <v>1985</v>
      </c>
      <c r="J4731">
        <v>1</v>
      </c>
      <c r="K4731">
        <v>0</v>
      </c>
      <c r="L4731">
        <v>0</v>
      </c>
      <c r="M4731">
        <v>7</v>
      </c>
      <c r="N4731" t="s">
        <v>35</v>
      </c>
      <c r="O4731" t="s">
        <v>32</v>
      </c>
      <c r="P4731">
        <v>2.2681758332030002</v>
      </c>
      <c r="Q4731">
        <v>1.39888632091085</v>
      </c>
      <c r="R4731">
        <v>2.5395105348816598</v>
      </c>
      <c r="S4731">
        <v>71</v>
      </c>
      <c r="T4731">
        <v>73</v>
      </c>
      <c r="U4731">
        <v>685.42732103127105</v>
      </c>
      <c r="V4731">
        <v>2.15318363580436E-3</v>
      </c>
      <c r="W4731">
        <v>2294602.71930891</v>
      </c>
      <c r="X4731" t="s">
        <v>31</v>
      </c>
      <c r="Y4731">
        <f>1-807-264-2236</f>
        <v>-3306</v>
      </c>
    </row>
    <row r="4732" spans="1:25" x14ac:dyDescent="0.35">
      <c r="A4732">
        <v>32.582812687593901</v>
      </c>
      <c r="B4732">
        <v>-115.084073848881</v>
      </c>
      <c r="C4732" t="s">
        <v>25</v>
      </c>
      <c r="D4732">
        <v>11.895259110437101</v>
      </c>
      <c r="E4732">
        <v>2</v>
      </c>
      <c r="F4732">
        <v>3722</v>
      </c>
      <c r="G4732">
        <v>3</v>
      </c>
      <c r="H4732">
        <v>2</v>
      </c>
      <c r="I4732">
        <v>1964</v>
      </c>
      <c r="J4732">
        <v>0</v>
      </c>
      <c r="K4732">
        <v>0</v>
      </c>
      <c r="L4732">
        <v>1</v>
      </c>
      <c r="M4732">
        <v>6</v>
      </c>
      <c r="N4732" t="s">
        <v>41</v>
      </c>
      <c r="O4732" t="s">
        <v>32</v>
      </c>
      <c r="P4732">
        <v>2.8313332067297998</v>
      </c>
      <c r="Q4732">
        <v>1.82824643196753</v>
      </c>
      <c r="R4732">
        <v>0.67181524093273803</v>
      </c>
      <c r="S4732">
        <v>110</v>
      </c>
      <c r="T4732">
        <v>41</v>
      </c>
      <c r="U4732">
        <v>883.12539432394999</v>
      </c>
      <c r="V4732">
        <v>1.61203653949489E-3</v>
      </c>
      <c r="W4732">
        <v>3481406.1525491499</v>
      </c>
      <c r="X4732" t="s">
        <v>40</v>
      </c>
      <c r="Y4732">
        <f>1-509-271-7860</f>
        <v>-8639</v>
      </c>
    </row>
    <row r="4733" spans="1:25" x14ac:dyDescent="0.35">
      <c r="A4733">
        <v>41.619348628416397</v>
      </c>
      <c r="B4733">
        <v>-118.504704412533</v>
      </c>
      <c r="C4733" t="s">
        <v>29</v>
      </c>
      <c r="D4733">
        <v>21.747884922146898</v>
      </c>
      <c r="E4733">
        <v>0</v>
      </c>
      <c r="F4733">
        <v>2065</v>
      </c>
      <c r="G4733">
        <v>4</v>
      </c>
      <c r="H4733">
        <v>2</v>
      </c>
      <c r="I4733">
        <v>1971</v>
      </c>
      <c r="J4733">
        <v>0</v>
      </c>
      <c r="K4733">
        <v>0</v>
      </c>
      <c r="L4733">
        <v>0</v>
      </c>
      <c r="M4733">
        <v>3</v>
      </c>
      <c r="N4733" t="s">
        <v>26</v>
      </c>
      <c r="O4733" t="s">
        <v>30</v>
      </c>
      <c r="P4733">
        <v>6.84392114798694</v>
      </c>
      <c r="Q4733">
        <v>0.82656240024639704</v>
      </c>
      <c r="R4733">
        <v>2.21915452761447</v>
      </c>
      <c r="S4733">
        <v>43</v>
      </c>
      <c r="T4733">
        <v>69</v>
      </c>
      <c r="U4733">
        <v>582.31053113080895</v>
      </c>
      <c r="V4733">
        <v>1.4527845036319601E-3</v>
      </c>
      <c r="W4733">
        <v>1440612.7168545199</v>
      </c>
      <c r="X4733" t="s">
        <v>28</v>
      </c>
      <c r="Y4733">
        <f>1-913-276-1313</f>
        <v>-2501</v>
      </c>
    </row>
    <row r="4734" spans="1:25" x14ac:dyDescent="0.35">
      <c r="A4734">
        <v>34.425255121253599</v>
      </c>
      <c r="B4734">
        <v>-122.054327978289</v>
      </c>
      <c r="C4734" t="s">
        <v>25</v>
      </c>
      <c r="D4734">
        <v>49.427242092108202</v>
      </c>
      <c r="E4734">
        <v>4</v>
      </c>
      <c r="F4734">
        <v>2057</v>
      </c>
      <c r="G4734">
        <v>5</v>
      </c>
      <c r="H4734">
        <v>1</v>
      </c>
      <c r="I4734">
        <v>2011</v>
      </c>
      <c r="J4734">
        <v>1</v>
      </c>
      <c r="K4734">
        <v>0</v>
      </c>
      <c r="L4734">
        <v>0</v>
      </c>
      <c r="M4734">
        <v>8</v>
      </c>
      <c r="N4734" t="s">
        <v>35</v>
      </c>
      <c r="O4734" t="s">
        <v>30</v>
      </c>
      <c r="P4734">
        <v>11.4116707707958</v>
      </c>
      <c r="Q4734">
        <v>2.2185059470019999</v>
      </c>
      <c r="R4734">
        <v>2.5561613872850502</v>
      </c>
      <c r="S4734">
        <v>88</v>
      </c>
      <c r="T4734">
        <v>36</v>
      </c>
      <c r="U4734">
        <v>389.32659074149501</v>
      </c>
      <c r="V4734">
        <v>3.8891589693728699E-3</v>
      </c>
      <c r="W4734">
        <v>1280597.8191947499</v>
      </c>
      <c r="X4734" t="s">
        <v>33</v>
      </c>
      <c r="Y4734">
        <f>1-205-915-8162</f>
        <v>-9281</v>
      </c>
    </row>
    <row r="4735" spans="1:25" x14ac:dyDescent="0.35">
      <c r="A4735">
        <v>36.892178838242103</v>
      </c>
      <c r="B4735">
        <v>-119.51463007241099</v>
      </c>
      <c r="C4735" t="s">
        <v>34</v>
      </c>
      <c r="D4735">
        <v>14.1028643575629</v>
      </c>
      <c r="E4735">
        <v>0</v>
      </c>
      <c r="F4735">
        <v>4428</v>
      </c>
      <c r="G4735">
        <v>4</v>
      </c>
      <c r="H4735">
        <v>1</v>
      </c>
      <c r="I4735">
        <v>1984</v>
      </c>
      <c r="J4735">
        <v>0</v>
      </c>
      <c r="K4735">
        <v>0</v>
      </c>
      <c r="L4735">
        <v>1</v>
      </c>
      <c r="M4735">
        <v>14</v>
      </c>
      <c r="N4735" t="s">
        <v>41</v>
      </c>
      <c r="O4735" t="s">
        <v>32</v>
      </c>
      <c r="P4735">
        <v>11.6041618639664</v>
      </c>
      <c r="Q4735">
        <v>0.77096666915485501</v>
      </c>
      <c r="R4735">
        <v>8.9350077316800096</v>
      </c>
      <c r="S4735">
        <v>189</v>
      </c>
      <c r="T4735">
        <v>55</v>
      </c>
      <c r="U4735">
        <v>652.03768286580203</v>
      </c>
      <c r="V4735">
        <v>3.1616982836494998E-3</v>
      </c>
      <c r="W4735">
        <v>3104592.0326692401</v>
      </c>
      <c r="X4735" t="s">
        <v>36</v>
      </c>
      <c r="Y4735">
        <f>1-399-102-2826</f>
        <v>-3326</v>
      </c>
    </row>
    <row r="4736" spans="1:25" x14ac:dyDescent="0.35">
      <c r="A4736">
        <v>33.170399707562403</v>
      </c>
      <c r="B4736">
        <v>-123.25935600001699</v>
      </c>
      <c r="C4736" t="s">
        <v>34</v>
      </c>
      <c r="D4736">
        <v>32.681722635633299</v>
      </c>
      <c r="E4736">
        <v>1</v>
      </c>
      <c r="F4736">
        <v>2491</v>
      </c>
      <c r="G4736">
        <v>1</v>
      </c>
      <c r="H4736">
        <v>1</v>
      </c>
      <c r="I4736">
        <v>1982</v>
      </c>
      <c r="J4736">
        <v>1</v>
      </c>
      <c r="K4736">
        <v>0</v>
      </c>
      <c r="L4736">
        <v>0</v>
      </c>
      <c r="M4736">
        <v>8</v>
      </c>
      <c r="N4736" t="s">
        <v>41</v>
      </c>
      <c r="O4736" t="s">
        <v>32</v>
      </c>
      <c r="P4736">
        <v>9.3729538432875508</v>
      </c>
      <c r="Q4736">
        <v>2.0720873491131999</v>
      </c>
      <c r="R4736">
        <v>7.1859590666900699</v>
      </c>
      <c r="S4736">
        <v>101</v>
      </c>
      <c r="T4736">
        <v>57</v>
      </c>
      <c r="U4736">
        <v>708.03901846195004</v>
      </c>
      <c r="V4736">
        <v>3.21156162183861E-3</v>
      </c>
      <c r="W4736">
        <v>1821830.1856404</v>
      </c>
      <c r="X4736" t="s">
        <v>31</v>
      </c>
      <c r="Y4736">
        <f>1-469-574-2877</f>
        <v>-3919</v>
      </c>
    </row>
    <row r="4737" spans="1:25" x14ac:dyDescent="0.35">
      <c r="A4737">
        <v>34.827393071625401</v>
      </c>
      <c r="B4737">
        <v>-123.06836374907699</v>
      </c>
      <c r="C4737" t="s">
        <v>25</v>
      </c>
      <c r="D4737">
        <v>38.015834262529602</v>
      </c>
      <c r="E4737">
        <v>0</v>
      </c>
      <c r="F4737">
        <v>1767</v>
      </c>
      <c r="G4737">
        <v>3</v>
      </c>
      <c r="H4737">
        <v>2</v>
      </c>
      <c r="I4737">
        <v>1961</v>
      </c>
      <c r="J4737">
        <v>1</v>
      </c>
      <c r="K4737">
        <v>1</v>
      </c>
      <c r="L4737">
        <v>0</v>
      </c>
      <c r="M4737">
        <v>13</v>
      </c>
      <c r="N4737" t="s">
        <v>26</v>
      </c>
      <c r="O4737" t="s">
        <v>30</v>
      </c>
      <c r="P4737">
        <v>2.75909157830786</v>
      </c>
      <c r="Q4737">
        <v>2.0371276444398299</v>
      </c>
      <c r="R4737">
        <v>5.6203302766424601</v>
      </c>
      <c r="S4737">
        <v>182</v>
      </c>
      <c r="T4737">
        <v>72</v>
      </c>
      <c r="U4737">
        <v>484.18278086607199</v>
      </c>
      <c r="V4737">
        <v>7.3571024335031101E-3</v>
      </c>
      <c r="W4737">
        <v>1094559.4771769801</v>
      </c>
      <c r="X4737" t="s">
        <v>38</v>
      </c>
      <c r="Y4737">
        <f>1-334-854-1679</f>
        <v>-2866</v>
      </c>
    </row>
    <row r="4738" spans="1:25" x14ac:dyDescent="0.35">
      <c r="A4738">
        <v>35.285309457544798</v>
      </c>
      <c r="B4738">
        <v>-117.23925986371199</v>
      </c>
      <c r="C4738" t="s">
        <v>25</v>
      </c>
      <c r="D4738">
        <v>9.8186124536558204</v>
      </c>
      <c r="E4738">
        <v>1</v>
      </c>
      <c r="F4738">
        <v>1593</v>
      </c>
      <c r="G4738">
        <v>1</v>
      </c>
      <c r="H4738">
        <v>2</v>
      </c>
      <c r="I4738">
        <v>1974</v>
      </c>
      <c r="J4738">
        <v>1</v>
      </c>
      <c r="K4738">
        <v>1</v>
      </c>
      <c r="L4738">
        <v>0</v>
      </c>
      <c r="M4738">
        <v>7</v>
      </c>
      <c r="N4738" t="s">
        <v>35</v>
      </c>
      <c r="O4738" t="s">
        <v>30</v>
      </c>
      <c r="P4738">
        <v>13.6153061907424</v>
      </c>
      <c r="Q4738">
        <v>1.89651636722251</v>
      </c>
      <c r="R4738">
        <v>5.4407899535619002</v>
      </c>
      <c r="S4738">
        <v>124</v>
      </c>
      <c r="T4738">
        <v>42</v>
      </c>
      <c r="U4738">
        <v>774.35873263310395</v>
      </c>
      <c r="V4738">
        <v>4.3942247332077796E-3</v>
      </c>
      <c r="W4738">
        <v>1533336.3209944</v>
      </c>
      <c r="X4738" t="s">
        <v>36</v>
      </c>
      <c r="Y4738">
        <f>1-394-620-5589</f>
        <v>-6602</v>
      </c>
    </row>
    <row r="4739" spans="1:25" x14ac:dyDescent="0.35">
      <c r="A4739">
        <v>33.9969185030616</v>
      </c>
      <c r="B4739">
        <v>-122.31429727697</v>
      </c>
      <c r="C4739" t="s">
        <v>25</v>
      </c>
      <c r="D4739">
        <v>12.752481542284499</v>
      </c>
      <c r="E4739">
        <v>8</v>
      </c>
      <c r="F4739">
        <v>1008</v>
      </c>
      <c r="G4739">
        <v>1</v>
      </c>
      <c r="H4739">
        <v>3</v>
      </c>
      <c r="I4739">
        <v>1962</v>
      </c>
      <c r="J4739">
        <v>1</v>
      </c>
      <c r="K4739">
        <v>1</v>
      </c>
      <c r="L4739">
        <v>0</v>
      </c>
      <c r="M4739">
        <v>4</v>
      </c>
      <c r="N4739" t="s">
        <v>35</v>
      </c>
      <c r="O4739" t="s">
        <v>27</v>
      </c>
      <c r="P4739">
        <v>12.907691240476799</v>
      </c>
      <c r="Q4739">
        <v>1.16372577388887</v>
      </c>
      <c r="R4739">
        <v>0.93573441105893895</v>
      </c>
      <c r="S4739">
        <v>160</v>
      </c>
      <c r="T4739">
        <v>68</v>
      </c>
      <c r="U4739">
        <v>718.64991662246302</v>
      </c>
      <c r="V4739">
        <v>3.9682539682539602E-3</v>
      </c>
      <c r="W4739">
        <v>1016310.85526094</v>
      </c>
      <c r="X4739" t="s">
        <v>40</v>
      </c>
      <c r="Y4739">
        <f>1-642-209-6698</f>
        <v>-7548</v>
      </c>
    </row>
    <row r="4740" spans="1:25" x14ac:dyDescent="0.35">
      <c r="A4740">
        <v>38.567200583799497</v>
      </c>
      <c r="B4740">
        <v>-119.25875731014099</v>
      </c>
      <c r="C4740" t="s">
        <v>25</v>
      </c>
      <c r="D4740">
        <v>23.372202185618601</v>
      </c>
      <c r="E4740">
        <v>2</v>
      </c>
      <c r="F4740">
        <v>3156</v>
      </c>
      <c r="G4740">
        <v>4</v>
      </c>
      <c r="H4740">
        <v>1</v>
      </c>
      <c r="I4740">
        <v>1990</v>
      </c>
      <c r="J4740">
        <v>0</v>
      </c>
      <c r="K4740">
        <v>1</v>
      </c>
      <c r="L4740">
        <v>1</v>
      </c>
      <c r="M4740">
        <v>7</v>
      </c>
      <c r="N4740" t="s">
        <v>41</v>
      </c>
      <c r="O4740" t="s">
        <v>27</v>
      </c>
      <c r="P4740">
        <v>5.9677592944659796</v>
      </c>
      <c r="Q4740">
        <v>1.00220427089373</v>
      </c>
      <c r="R4740">
        <v>3.1488355940480801</v>
      </c>
      <c r="S4740">
        <v>193</v>
      </c>
      <c r="T4740">
        <v>63</v>
      </c>
      <c r="U4740">
        <v>863.21179276049804</v>
      </c>
      <c r="V4740">
        <v>2.2179974651457498E-3</v>
      </c>
      <c r="W4740">
        <v>3025551.58927863</v>
      </c>
      <c r="X4740" t="s">
        <v>38</v>
      </c>
      <c r="Y4740">
        <f>1-736-750-9662</f>
        <v>-11147</v>
      </c>
    </row>
    <row r="4741" spans="1:25" x14ac:dyDescent="0.35">
      <c r="A4741">
        <v>36.571849983509502</v>
      </c>
      <c r="B4741">
        <v>-123.033786061707</v>
      </c>
      <c r="C4741" t="s">
        <v>29</v>
      </c>
      <c r="D4741">
        <v>5.0453160528490404</v>
      </c>
      <c r="E4741">
        <v>9</v>
      </c>
      <c r="F4741">
        <v>3285</v>
      </c>
      <c r="G4741">
        <v>4</v>
      </c>
      <c r="H4741">
        <v>1</v>
      </c>
      <c r="I4741">
        <v>1955</v>
      </c>
      <c r="J4741">
        <v>1</v>
      </c>
      <c r="K4741">
        <v>1</v>
      </c>
      <c r="L4741">
        <v>1</v>
      </c>
      <c r="M4741">
        <v>12</v>
      </c>
      <c r="N4741" t="s">
        <v>41</v>
      </c>
      <c r="O4741" t="s">
        <v>30</v>
      </c>
      <c r="P4741">
        <v>10.3779840172592</v>
      </c>
      <c r="Q4741">
        <v>2.4632887479573302</v>
      </c>
      <c r="R4741">
        <v>2.8996870506960999</v>
      </c>
      <c r="S4741">
        <v>146</v>
      </c>
      <c r="T4741">
        <v>27</v>
      </c>
      <c r="U4741">
        <v>304.152564683631</v>
      </c>
      <c r="V4741">
        <v>3.6529680365296798E-3</v>
      </c>
      <c r="W4741">
        <v>1391697.5980267399</v>
      </c>
      <c r="X4741" t="s">
        <v>28</v>
      </c>
      <c r="Y4741">
        <f>1-752-385-7404</f>
        <v>-8540</v>
      </c>
    </row>
    <row r="4742" spans="1:25" x14ac:dyDescent="0.35">
      <c r="A4742">
        <v>36.253447331656702</v>
      </c>
      <c r="B4742">
        <v>-124.032875282164</v>
      </c>
      <c r="C4742" t="s">
        <v>25</v>
      </c>
      <c r="D4742">
        <v>9.1007354098342699</v>
      </c>
      <c r="E4742">
        <v>7</v>
      </c>
      <c r="F4742">
        <v>2982</v>
      </c>
      <c r="G4742">
        <v>1</v>
      </c>
      <c r="H4742">
        <v>3</v>
      </c>
      <c r="I4742">
        <v>1983</v>
      </c>
      <c r="J4742">
        <v>0</v>
      </c>
      <c r="K4742">
        <v>1</v>
      </c>
      <c r="L4742">
        <v>0</v>
      </c>
      <c r="M4742">
        <v>7</v>
      </c>
      <c r="N4742" t="s">
        <v>26</v>
      </c>
      <c r="O4742" t="s">
        <v>32</v>
      </c>
      <c r="P4742">
        <v>6.6569227805959104</v>
      </c>
      <c r="Q4742">
        <v>2.34706005117831</v>
      </c>
      <c r="R4742">
        <v>5.9640188538764596</v>
      </c>
      <c r="S4742">
        <v>129</v>
      </c>
      <c r="T4742">
        <v>54</v>
      </c>
      <c r="U4742">
        <v>940.99845826208104</v>
      </c>
      <c r="V4742">
        <v>2.34741784037558E-3</v>
      </c>
      <c r="W4742">
        <v>2967488.71451587</v>
      </c>
      <c r="X4742" t="s">
        <v>38</v>
      </c>
      <c r="Y4742">
        <f>1-503-483-7147</f>
        <v>-8132</v>
      </c>
    </row>
    <row r="4743" spans="1:25" x14ac:dyDescent="0.35">
      <c r="A4743">
        <v>32.757062896031698</v>
      </c>
      <c r="B4743">
        <v>-123.560483037037</v>
      </c>
      <c r="C4743" t="s">
        <v>25</v>
      </c>
      <c r="D4743">
        <v>2.2482804474607501</v>
      </c>
      <c r="E4743">
        <v>8</v>
      </c>
      <c r="F4743">
        <v>3119</v>
      </c>
      <c r="G4743">
        <v>2</v>
      </c>
      <c r="H4743">
        <v>2</v>
      </c>
      <c r="I4743">
        <v>2015</v>
      </c>
      <c r="J4743">
        <v>1</v>
      </c>
      <c r="K4743">
        <v>1</v>
      </c>
      <c r="L4743">
        <v>1</v>
      </c>
      <c r="M4743">
        <v>9</v>
      </c>
      <c r="N4743" t="s">
        <v>35</v>
      </c>
      <c r="O4743" t="s">
        <v>32</v>
      </c>
      <c r="P4743">
        <v>6.7310152664454099</v>
      </c>
      <c r="Q4743">
        <v>0.97138241713765205</v>
      </c>
      <c r="R4743">
        <v>0.98064155754230997</v>
      </c>
      <c r="S4743">
        <v>42</v>
      </c>
      <c r="T4743">
        <v>31</v>
      </c>
      <c r="U4743">
        <v>436.97691646806601</v>
      </c>
      <c r="V4743">
        <v>2.8855402372555301E-3</v>
      </c>
      <c r="W4743">
        <v>1688941.16346935</v>
      </c>
      <c r="X4743" t="s">
        <v>39</v>
      </c>
      <c r="Y4743">
        <f>1-261-394-7318</f>
        <v>-7972</v>
      </c>
    </row>
    <row r="4744" spans="1:25" x14ac:dyDescent="0.35">
      <c r="A4744">
        <v>34.558750632573897</v>
      </c>
      <c r="B4744">
        <v>-116.566250144466</v>
      </c>
      <c r="C4744" t="s">
        <v>25</v>
      </c>
      <c r="D4744">
        <v>5.5528929570125403</v>
      </c>
      <c r="E4744">
        <v>7</v>
      </c>
      <c r="F4744">
        <v>4179</v>
      </c>
      <c r="G4744">
        <v>5</v>
      </c>
      <c r="H4744">
        <v>1</v>
      </c>
      <c r="I4744">
        <v>1972</v>
      </c>
      <c r="J4744">
        <v>0</v>
      </c>
      <c r="K4744">
        <v>1</v>
      </c>
      <c r="L4744">
        <v>0</v>
      </c>
      <c r="M4744">
        <v>12</v>
      </c>
      <c r="N4744" t="s">
        <v>41</v>
      </c>
      <c r="O4744" t="s">
        <v>30</v>
      </c>
      <c r="P4744">
        <v>8.3074787167934794</v>
      </c>
      <c r="Q4744">
        <v>1.94130220369696</v>
      </c>
      <c r="R4744">
        <v>2.39207666791726</v>
      </c>
      <c r="S4744">
        <v>8</v>
      </c>
      <c r="T4744">
        <v>74</v>
      </c>
      <c r="U4744">
        <v>528.93153006070702</v>
      </c>
      <c r="V4744">
        <v>2.8715003589375402E-3</v>
      </c>
      <c r="W4744">
        <v>2514768.64880295</v>
      </c>
      <c r="X4744" t="s">
        <v>43</v>
      </c>
      <c r="Y4744">
        <f>1-407-113-4234</f>
        <v>-4753</v>
      </c>
    </row>
    <row r="4745" spans="1:25" x14ac:dyDescent="0.35">
      <c r="A4745">
        <v>41.340000756332202</v>
      </c>
      <c r="B4745">
        <v>-124.421873029767</v>
      </c>
      <c r="C4745" t="s">
        <v>25</v>
      </c>
      <c r="D4745">
        <v>15.3410050288064</v>
      </c>
      <c r="E4745">
        <v>2</v>
      </c>
      <c r="F4745">
        <v>2204</v>
      </c>
      <c r="G4745">
        <v>5</v>
      </c>
      <c r="H4745">
        <v>1</v>
      </c>
      <c r="I4745">
        <v>2010</v>
      </c>
      <c r="J4745">
        <v>0</v>
      </c>
      <c r="K4745">
        <v>0</v>
      </c>
      <c r="L4745">
        <v>0</v>
      </c>
      <c r="M4745">
        <v>13</v>
      </c>
      <c r="N4745" t="s">
        <v>37</v>
      </c>
      <c r="O4745" t="s">
        <v>27</v>
      </c>
      <c r="P4745">
        <v>6.9332759041672203</v>
      </c>
      <c r="Q4745">
        <v>2.1042730388886102</v>
      </c>
      <c r="R4745">
        <v>0.64438280809308301</v>
      </c>
      <c r="S4745">
        <v>197</v>
      </c>
      <c r="T4745">
        <v>44</v>
      </c>
      <c r="U4745">
        <v>855.82265306890997</v>
      </c>
      <c r="V4745">
        <v>5.8983666061705898E-3</v>
      </c>
      <c r="W4745">
        <v>2170967.7938833199</v>
      </c>
      <c r="X4745" t="s">
        <v>39</v>
      </c>
      <c r="Y4745">
        <f>1-443-335-8941</f>
        <v>-9718</v>
      </c>
    </row>
    <row r="4746" spans="1:25" x14ac:dyDescent="0.35">
      <c r="A4746">
        <v>41.585940529465702</v>
      </c>
      <c r="B4746">
        <v>-114.531960037659</v>
      </c>
      <c r="C4746" t="s">
        <v>34</v>
      </c>
      <c r="D4746">
        <v>20.6108396212515</v>
      </c>
      <c r="E4746">
        <v>3</v>
      </c>
      <c r="F4746">
        <v>4624</v>
      </c>
      <c r="G4746">
        <v>1</v>
      </c>
      <c r="H4746">
        <v>1</v>
      </c>
      <c r="I4746">
        <v>1999</v>
      </c>
      <c r="J4746">
        <v>1</v>
      </c>
      <c r="K4746">
        <v>1</v>
      </c>
      <c r="L4746">
        <v>0</v>
      </c>
      <c r="M4746">
        <v>14</v>
      </c>
      <c r="N4746" t="s">
        <v>37</v>
      </c>
      <c r="O4746" t="s">
        <v>30</v>
      </c>
      <c r="P4746">
        <v>7.3374669148414604</v>
      </c>
      <c r="Q4746">
        <v>1.33728593124369</v>
      </c>
      <c r="R4746">
        <v>2.2448042133890298</v>
      </c>
      <c r="S4746">
        <v>4</v>
      </c>
      <c r="T4746">
        <v>25</v>
      </c>
      <c r="U4746">
        <v>273.18416936465297</v>
      </c>
      <c r="V4746">
        <v>3.0276816608996501E-3</v>
      </c>
      <c r="W4746">
        <v>1479902.7572508501</v>
      </c>
      <c r="X4746" t="s">
        <v>42</v>
      </c>
      <c r="Y4746">
        <f>1-563-807-1400</f>
        <v>-2769</v>
      </c>
    </row>
    <row r="4747" spans="1:25" x14ac:dyDescent="0.35">
      <c r="A4747">
        <v>35.096170568511198</v>
      </c>
      <c r="B4747">
        <v>-122.84398014157701</v>
      </c>
      <c r="C4747" t="s">
        <v>29</v>
      </c>
      <c r="D4747">
        <v>1.8827845104202301</v>
      </c>
      <c r="E4747">
        <v>7</v>
      </c>
      <c r="F4747">
        <v>1327</v>
      </c>
      <c r="G4747">
        <v>3</v>
      </c>
      <c r="H4747">
        <v>1</v>
      </c>
      <c r="I4747">
        <v>1987</v>
      </c>
      <c r="J4747">
        <v>0</v>
      </c>
      <c r="K4747">
        <v>1</v>
      </c>
      <c r="L4747">
        <v>0</v>
      </c>
      <c r="M4747">
        <v>6</v>
      </c>
      <c r="N4747" t="s">
        <v>35</v>
      </c>
      <c r="O4747" t="s">
        <v>32</v>
      </c>
      <c r="P4747">
        <v>11.736136009081999</v>
      </c>
      <c r="Q4747">
        <v>1.72363974924941</v>
      </c>
      <c r="R4747">
        <v>4.3415361632642604</v>
      </c>
      <c r="S4747">
        <v>20</v>
      </c>
      <c r="T4747">
        <v>40</v>
      </c>
      <c r="U4747">
        <v>242.501744135846</v>
      </c>
      <c r="V4747">
        <v>4.5214770158251696E-3</v>
      </c>
      <c r="W4747">
        <v>610573.93275150505</v>
      </c>
      <c r="X4747" t="s">
        <v>38</v>
      </c>
      <c r="Y4747">
        <f>1-979-372-4363</f>
        <v>-5713</v>
      </c>
    </row>
    <row r="4748" spans="1:25" x14ac:dyDescent="0.35">
      <c r="A4748">
        <v>33.368799586470502</v>
      </c>
      <c r="B4748">
        <v>-123.837772558689</v>
      </c>
      <c r="C4748" t="s">
        <v>34</v>
      </c>
      <c r="D4748">
        <v>29.387079444336202</v>
      </c>
      <c r="E4748">
        <v>4</v>
      </c>
      <c r="F4748">
        <v>1440</v>
      </c>
      <c r="G4748">
        <v>1</v>
      </c>
      <c r="H4748">
        <v>1</v>
      </c>
      <c r="I4748">
        <v>2002</v>
      </c>
      <c r="J4748">
        <v>1</v>
      </c>
      <c r="K4748">
        <v>0</v>
      </c>
      <c r="L4748">
        <v>1</v>
      </c>
      <c r="M4748">
        <v>9</v>
      </c>
      <c r="N4748" t="s">
        <v>35</v>
      </c>
      <c r="O4748" t="s">
        <v>27</v>
      </c>
      <c r="P4748">
        <v>3.7999691523701702</v>
      </c>
      <c r="Q4748">
        <v>1.90393825359313</v>
      </c>
      <c r="R4748">
        <v>7.7960538579852496</v>
      </c>
      <c r="S4748">
        <v>1</v>
      </c>
      <c r="T4748">
        <v>76</v>
      </c>
      <c r="U4748">
        <v>730.31400204000795</v>
      </c>
      <c r="V4748">
        <v>6.2500000000000003E-3</v>
      </c>
      <c r="W4748">
        <v>1206342.89047021</v>
      </c>
      <c r="X4748" t="s">
        <v>36</v>
      </c>
      <c r="Y4748">
        <f>1-346-933-4953</f>
        <v>-6231</v>
      </c>
    </row>
    <row r="4749" spans="1:25" x14ac:dyDescent="0.35">
      <c r="A4749">
        <v>35.714822360043001</v>
      </c>
      <c r="B4749">
        <v>-122.181756381108</v>
      </c>
      <c r="C4749" t="s">
        <v>34</v>
      </c>
      <c r="D4749">
        <v>13.111699847902001</v>
      </c>
      <c r="E4749">
        <v>4</v>
      </c>
      <c r="F4749">
        <v>4996</v>
      </c>
      <c r="G4749">
        <v>5</v>
      </c>
      <c r="H4749">
        <v>3</v>
      </c>
      <c r="I4749">
        <v>1970</v>
      </c>
      <c r="J4749">
        <v>1</v>
      </c>
      <c r="K4749">
        <v>0</v>
      </c>
      <c r="L4749">
        <v>1</v>
      </c>
      <c r="M4749">
        <v>12</v>
      </c>
      <c r="N4749" t="s">
        <v>41</v>
      </c>
      <c r="O4749" t="s">
        <v>27</v>
      </c>
      <c r="P4749">
        <v>12.555475126037599</v>
      </c>
      <c r="Q4749">
        <v>1.6695935515095801</v>
      </c>
      <c r="R4749">
        <v>7.8567039271655901</v>
      </c>
      <c r="S4749">
        <v>194</v>
      </c>
      <c r="T4749">
        <v>42</v>
      </c>
      <c r="U4749">
        <v>281.87928644963898</v>
      </c>
      <c r="V4749">
        <v>2.4019215372297802E-3</v>
      </c>
      <c r="W4749">
        <v>1826904.7315419</v>
      </c>
      <c r="X4749" t="s">
        <v>39</v>
      </c>
      <c r="Y4749">
        <f>1-607-435-1216</f>
        <v>-2257</v>
      </c>
    </row>
    <row r="4750" spans="1:25" x14ac:dyDescent="0.35">
      <c r="A4750">
        <v>40.334680868969301</v>
      </c>
      <c r="B4750">
        <v>-116.323081790188</v>
      </c>
      <c r="C4750" t="s">
        <v>29</v>
      </c>
      <c r="D4750">
        <v>15.6468977928655</v>
      </c>
      <c r="E4750">
        <v>0</v>
      </c>
      <c r="F4750">
        <v>2407</v>
      </c>
      <c r="G4750">
        <v>1</v>
      </c>
      <c r="H4750">
        <v>3</v>
      </c>
      <c r="I4750">
        <v>1957</v>
      </c>
      <c r="J4750">
        <v>0</v>
      </c>
      <c r="K4750">
        <v>1</v>
      </c>
      <c r="L4750">
        <v>1</v>
      </c>
      <c r="M4750">
        <v>8</v>
      </c>
      <c r="N4750" t="s">
        <v>26</v>
      </c>
      <c r="O4750" t="s">
        <v>27</v>
      </c>
      <c r="P4750">
        <v>2.4798325656358999</v>
      </c>
      <c r="Q4750">
        <v>0.86784770418935098</v>
      </c>
      <c r="R4750">
        <v>4.9165156068601403</v>
      </c>
      <c r="S4750">
        <v>158</v>
      </c>
      <c r="T4750">
        <v>65</v>
      </c>
      <c r="U4750">
        <v>829.171922785422</v>
      </c>
      <c r="V4750">
        <v>3.3236393851267098E-3</v>
      </c>
      <c r="W4750">
        <v>2138687.71294097</v>
      </c>
      <c r="X4750" t="s">
        <v>33</v>
      </c>
      <c r="Y4750">
        <f>1-854-894-3703</f>
        <v>-5450</v>
      </c>
    </row>
    <row r="4751" spans="1:25" x14ac:dyDescent="0.35">
      <c r="A4751">
        <v>38.592841657452396</v>
      </c>
      <c r="B4751">
        <v>-120.74593581093799</v>
      </c>
      <c r="C4751" t="s">
        <v>29</v>
      </c>
      <c r="D4751">
        <v>39.872498701462902</v>
      </c>
      <c r="E4751">
        <v>1</v>
      </c>
      <c r="F4751">
        <v>985</v>
      </c>
      <c r="G4751">
        <v>2</v>
      </c>
      <c r="H4751">
        <v>1</v>
      </c>
      <c r="I4751">
        <v>1951</v>
      </c>
      <c r="J4751">
        <v>1</v>
      </c>
      <c r="K4751">
        <v>0</v>
      </c>
      <c r="L4751">
        <v>0</v>
      </c>
      <c r="M4751">
        <v>7</v>
      </c>
      <c r="N4751" t="s">
        <v>41</v>
      </c>
      <c r="O4751" t="s">
        <v>32</v>
      </c>
      <c r="P4751">
        <v>3.9711684733016601</v>
      </c>
      <c r="Q4751">
        <v>1.1391413341418499</v>
      </c>
      <c r="R4751">
        <v>0.79097969741434304</v>
      </c>
      <c r="S4751">
        <v>138</v>
      </c>
      <c r="T4751">
        <v>25</v>
      </c>
      <c r="U4751">
        <v>425.72349753242298</v>
      </c>
      <c r="V4751">
        <v>7.1065989847715703E-3</v>
      </c>
      <c r="W4751">
        <v>556730.56924531504</v>
      </c>
      <c r="X4751" t="s">
        <v>44</v>
      </c>
      <c r="Y4751">
        <f>1-944-751-7257</f>
        <v>-8951</v>
      </c>
    </row>
    <row r="4752" spans="1:25" x14ac:dyDescent="0.35">
      <c r="A4752">
        <v>39.657766887658497</v>
      </c>
      <c r="B4752">
        <v>-121.324913908027</v>
      </c>
      <c r="C4752" t="s">
        <v>25</v>
      </c>
      <c r="D4752">
        <v>11.1888264055909</v>
      </c>
      <c r="E4752">
        <v>7</v>
      </c>
      <c r="F4752">
        <v>2846</v>
      </c>
      <c r="G4752">
        <v>3</v>
      </c>
      <c r="H4752">
        <v>1</v>
      </c>
      <c r="I4752">
        <v>2022</v>
      </c>
      <c r="J4752">
        <v>0</v>
      </c>
      <c r="K4752">
        <v>0</v>
      </c>
      <c r="L4752">
        <v>1</v>
      </c>
      <c r="M4752">
        <v>7</v>
      </c>
      <c r="N4752" t="s">
        <v>35</v>
      </c>
      <c r="O4752" t="s">
        <v>27</v>
      </c>
      <c r="P4752">
        <v>13.294359471029599</v>
      </c>
      <c r="Q4752">
        <v>1.7987568195891901</v>
      </c>
      <c r="R4752">
        <v>9.6713857392638296</v>
      </c>
      <c r="S4752">
        <v>112</v>
      </c>
      <c r="T4752">
        <v>40</v>
      </c>
      <c r="U4752">
        <v>721.86923577378502</v>
      </c>
      <c r="V4752">
        <v>2.4595924104005599E-3</v>
      </c>
      <c r="W4752">
        <v>2289005.96655758</v>
      </c>
      <c r="X4752" t="s">
        <v>38</v>
      </c>
      <c r="Y4752">
        <f>1-349-819-5154</f>
        <v>-6321</v>
      </c>
    </row>
    <row r="4753" spans="1:25" x14ac:dyDescent="0.35">
      <c r="A4753">
        <v>38.702910746580599</v>
      </c>
      <c r="B4753">
        <v>-120.43379796196599</v>
      </c>
      <c r="C4753" t="s">
        <v>29</v>
      </c>
      <c r="D4753">
        <v>14.7022070430064</v>
      </c>
      <c r="E4753">
        <v>1</v>
      </c>
      <c r="F4753">
        <v>901</v>
      </c>
      <c r="G4753">
        <v>5</v>
      </c>
      <c r="H4753">
        <v>3</v>
      </c>
      <c r="I4753">
        <v>2003</v>
      </c>
      <c r="J4753">
        <v>0</v>
      </c>
      <c r="K4753">
        <v>0</v>
      </c>
      <c r="L4753">
        <v>0</v>
      </c>
      <c r="M4753">
        <v>13</v>
      </c>
      <c r="N4753" t="s">
        <v>35</v>
      </c>
      <c r="O4753" t="s">
        <v>27</v>
      </c>
      <c r="P4753">
        <v>3.1370099999343402</v>
      </c>
      <c r="Q4753">
        <v>1.7831575455986199</v>
      </c>
      <c r="R4753">
        <v>8.4728815472082992</v>
      </c>
      <c r="S4753">
        <v>25</v>
      </c>
      <c r="T4753">
        <v>71</v>
      </c>
      <c r="U4753">
        <v>375.01045161463998</v>
      </c>
      <c r="V4753">
        <v>1.44284128745837E-2</v>
      </c>
      <c r="W4753">
        <v>604912.77400217298</v>
      </c>
      <c r="X4753" t="s">
        <v>33</v>
      </c>
      <c r="Y4753">
        <f>1-503-451-2521</f>
        <v>-3474</v>
      </c>
    </row>
    <row r="4754" spans="1:25" x14ac:dyDescent="0.35">
      <c r="A4754">
        <v>35.166547046537303</v>
      </c>
      <c r="B4754">
        <v>-118.948259076291</v>
      </c>
      <c r="C4754" t="s">
        <v>25</v>
      </c>
      <c r="D4754">
        <v>31.669953668218401</v>
      </c>
      <c r="E4754">
        <v>4</v>
      </c>
      <c r="F4754">
        <v>4265</v>
      </c>
      <c r="G4754">
        <v>2</v>
      </c>
      <c r="H4754">
        <v>3</v>
      </c>
      <c r="I4754">
        <v>1977</v>
      </c>
      <c r="J4754">
        <v>1</v>
      </c>
      <c r="K4754">
        <v>0</v>
      </c>
      <c r="L4754">
        <v>0</v>
      </c>
      <c r="M4754">
        <v>6</v>
      </c>
      <c r="N4754" t="s">
        <v>37</v>
      </c>
      <c r="O4754" t="s">
        <v>27</v>
      </c>
      <c r="P4754">
        <v>13.5321188121608</v>
      </c>
      <c r="Q4754">
        <v>1.09743175391922</v>
      </c>
      <c r="R4754">
        <v>8.1838769848705404</v>
      </c>
      <c r="S4754">
        <v>62</v>
      </c>
      <c r="T4754">
        <v>74</v>
      </c>
      <c r="U4754">
        <v>595.11323169797004</v>
      </c>
      <c r="V4754">
        <v>1.4067995310668201E-3</v>
      </c>
      <c r="W4754">
        <v>2842264.2592086499</v>
      </c>
      <c r="X4754" t="s">
        <v>31</v>
      </c>
      <c r="Y4754">
        <f>1-203-304-9410</f>
        <v>-9916</v>
      </c>
    </row>
    <row r="4755" spans="1:25" x14ac:dyDescent="0.35">
      <c r="A4755">
        <v>35.933070523690702</v>
      </c>
      <c r="B4755">
        <v>-116.698749002496</v>
      </c>
      <c r="C4755" t="s">
        <v>34</v>
      </c>
      <c r="D4755">
        <v>41.103868545603198</v>
      </c>
      <c r="E4755">
        <v>8</v>
      </c>
      <c r="F4755">
        <v>2328</v>
      </c>
      <c r="G4755">
        <v>1</v>
      </c>
      <c r="H4755">
        <v>1</v>
      </c>
      <c r="I4755">
        <v>1963</v>
      </c>
      <c r="J4755">
        <v>0</v>
      </c>
      <c r="K4755">
        <v>1</v>
      </c>
      <c r="L4755">
        <v>0</v>
      </c>
      <c r="M4755">
        <v>5</v>
      </c>
      <c r="N4755" t="s">
        <v>26</v>
      </c>
      <c r="O4755" t="s">
        <v>27</v>
      </c>
      <c r="P4755">
        <v>4.4533695510954798</v>
      </c>
      <c r="Q4755">
        <v>0.647015662895713</v>
      </c>
      <c r="R4755">
        <v>6.7781631308714001</v>
      </c>
      <c r="S4755">
        <v>23</v>
      </c>
      <c r="T4755">
        <v>51</v>
      </c>
      <c r="U4755">
        <v>988.28190517633095</v>
      </c>
      <c r="V4755">
        <v>2.14776632302405E-3</v>
      </c>
      <c r="W4755">
        <v>2375985.47006738</v>
      </c>
      <c r="X4755" t="s">
        <v>28</v>
      </c>
      <c r="Y4755">
        <f>1-655-740-7922</f>
        <v>-9316</v>
      </c>
    </row>
    <row r="4756" spans="1:25" x14ac:dyDescent="0.35">
      <c r="A4756">
        <v>33.2263689992417</v>
      </c>
      <c r="B4756">
        <v>-124.248304848944</v>
      </c>
      <c r="C4756" t="s">
        <v>25</v>
      </c>
      <c r="D4756">
        <v>48.382374470802901</v>
      </c>
      <c r="E4756">
        <v>5</v>
      </c>
      <c r="F4756">
        <v>3884</v>
      </c>
      <c r="G4756">
        <v>2</v>
      </c>
      <c r="H4756">
        <v>1</v>
      </c>
      <c r="I4756">
        <v>1959</v>
      </c>
      <c r="J4756">
        <v>1</v>
      </c>
      <c r="K4756">
        <v>1</v>
      </c>
      <c r="L4756">
        <v>0</v>
      </c>
      <c r="M4756">
        <v>14</v>
      </c>
      <c r="N4756" t="s">
        <v>26</v>
      </c>
      <c r="O4756" t="s">
        <v>30</v>
      </c>
      <c r="P4756">
        <v>2.8670826358913</v>
      </c>
      <c r="Q4756">
        <v>2.1731453548728998</v>
      </c>
      <c r="R4756">
        <v>7.4290184282569403</v>
      </c>
      <c r="S4756">
        <v>76</v>
      </c>
      <c r="T4756">
        <v>32</v>
      </c>
      <c r="U4756">
        <v>323.77344127618301</v>
      </c>
      <c r="V4756">
        <v>3.6045314109165801E-3</v>
      </c>
      <c r="W4756">
        <v>1421938.19808056</v>
      </c>
      <c r="X4756" t="s">
        <v>43</v>
      </c>
      <c r="Y4756">
        <f>1-241-119-4730</f>
        <v>-5089</v>
      </c>
    </row>
    <row r="4757" spans="1:25" x14ac:dyDescent="0.35">
      <c r="A4757">
        <v>35.278896776597598</v>
      </c>
      <c r="B4757">
        <v>-122.959619492531</v>
      </c>
      <c r="C4757" t="s">
        <v>29</v>
      </c>
      <c r="D4757">
        <v>46.257377389923597</v>
      </c>
      <c r="E4757">
        <v>5</v>
      </c>
      <c r="F4757">
        <v>1798</v>
      </c>
      <c r="G4757">
        <v>4</v>
      </c>
      <c r="H4757">
        <v>2</v>
      </c>
      <c r="I4757">
        <v>2019</v>
      </c>
      <c r="J4757">
        <v>0</v>
      </c>
      <c r="K4757">
        <v>1</v>
      </c>
      <c r="L4757">
        <v>1</v>
      </c>
      <c r="M4757">
        <v>3</v>
      </c>
      <c r="N4757" t="s">
        <v>37</v>
      </c>
      <c r="O4757" t="s">
        <v>27</v>
      </c>
      <c r="P4757">
        <v>9.6892575021371492</v>
      </c>
      <c r="Q4757">
        <v>0.91767055181532298</v>
      </c>
      <c r="R4757">
        <v>8.0018241431381991</v>
      </c>
      <c r="S4757">
        <v>137</v>
      </c>
      <c r="T4757">
        <v>42</v>
      </c>
      <c r="U4757">
        <v>813.00007827869194</v>
      </c>
      <c r="V4757">
        <v>1.6685205784204599E-3</v>
      </c>
      <c r="W4757">
        <v>1887720.55959918</v>
      </c>
      <c r="X4757" t="s">
        <v>33</v>
      </c>
      <c r="Y4757">
        <f>1-684-658-9068</f>
        <v>-10409</v>
      </c>
    </row>
    <row r="4758" spans="1:25" x14ac:dyDescent="0.35">
      <c r="A4758">
        <v>33.548438595320498</v>
      </c>
      <c r="B4758">
        <v>-116.999993890626</v>
      </c>
      <c r="C4758" t="s">
        <v>29</v>
      </c>
      <c r="D4758">
        <v>30.938779287772501</v>
      </c>
      <c r="E4758">
        <v>6</v>
      </c>
      <c r="F4758">
        <v>2415</v>
      </c>
      <c r="G4758">
        <v>3</v>
      </c>
      <c r="H4758">
        <v>2</v>
      </c>
      <c r="I4758">
        <v>1998</v>
      </c>
      <c r="J4758">
        <v>0</v>
      </c>
      <c r="K4758">
        <v>0</v>
      </c>
      <c r="L4758">
        <v>1</v>
      </c>
      <c r="M4758">
        <v>11</v>
      </c>
      <c r="N4758" t="s">
        <v>37</v>
      </c>
      <c r="O4758" t="s">
        <v>30</v>
      </c>
      <c r="P4758">
        <v>9.1440195275860603</v>
      </c>
      <c r="Q4758">
        <v>0.74972150680329697</v>
      </c>
      <c r="R4758">
        <v>8.6907448695345408</v>
      </c>
      <c r="S4758">
        <v>155</v>
      </c>
      <c r="T4758">
        <v>38</v>
      </c>
      <c r="U4758">
        <v>949.58335331785804</v>
      </c>
      <c r="V4758">
        <v>4.5548654244306399E-3</v>
      </c>
      <c r="W4758">
        <v>2487870.6679828502</v>
      </c>
      <c r="X4758" t="s">
        <v>28</v>
      </c>
      <c r="Y4758">
        <f>1-546-151-6497</f>
        <v>-7193</v>
      </c>
    </row>
    <row r="4759" spans="1:25" x14ac:dyDescent="0.35">
      <c r="A4759">
        <v>41.989191231730203</v>
      </c>
      <c r="B4759">
        <v>-114.37805855793</v>
      </c>
      <c r="C4759" t="s">
        <v>29</v>
      </c>
      <c r="D4759">
        <v>49.073918387076901</v>
      </c>
      <c r="E4759">
        <v>8</v>
      </c>
      <c r="F4759">
        <v>903</v>
      </c>
      <c r="G4759">
        <v>5</v>
      </c>
      <c r="H4759">
        <v>2</v>
      </c>
      <c r="I4759">
        <v>1952</v>
      </c>
      <c r="J4759">
        <v>1</v>
      </c>
      <c r="K4759">
        <v>0</v>
      </c>
      <c r="L4759">
        <v>1</v>
      </c>
      <c r="M4759">
        <v>4</v>
      </c>
      <c r="N4759" t="s">
        <v>37</v>
      </c>
      <c r="O4759" t="s">
        <v>30</v>
      </c>
      <c r="P4759">
        <v>3.9237873215705799</v>
      </c>
      <c r="Q4759">
        <v>2.3955449541377898</v>
      </c>
      <c r="R4759">
        <v>4.8430751654088802</v>
      </c>
      <c r="S4759">
        <v>136</v>
      </c>
      <c r="T4759">
        <v>53</v>
      </c>
      <c r="U4759">
        <v>640.23805469146305</v>
      </c>
      <c r="V4759">
        <v>4.4296788482834897E-3</v>
      </c>
      <c r="W4759">
        <v>900964.52846968104</v>
      </c>
      <c r="X4759" t="s">
        <v>40</v>
      </c>
      <c r="Y4759">
        <f>1-727-139-3780</f>
        <v>-4645</v>
      </c>
    </row>
    <row r="4760" spans="1:25" x14ac:dyDescent="0.35">
      <c r="A4760">
        <v>38.275026907311997</v>
      </c>
      <c r="B4760">
        <v>-117.76375413513399</v>
      </c>
      <c r="C4760" t="s">
        <v>29</v>
      </c>
      <c r="D4760">
        <v>39.784733591432101</v>
      </c>
      <c r="E4760">
        <v>0</v>
      </c>
      <c r="F4760">
        <v>1328</v>
      </c>
      <c r="G4760">
        <v>3</v>
      </c>
      <c r="H4760">
        <v>2</v>
      </c>
      <c r="I4760">
        <v>1958</v>
      </c>
      <c r="J4760">
        <v>1</v>
      </c>
      <c r="K4760">
        <v>0</v>
      </c>
      <c r="L4760">
        <v>0</v>
      </c>
      <c r="M4760">
        <v>4</v>
      </c>
      <c r="N4760" t="s">
        <v>26</v>
      </c>
      <c r="O4760" t="s">
        <v>27</v>
      </c>
      <c r="P4760">
        <v>4.0441291418563496</v>
      </c>
      <c r="Q4760">
        <v>2.3281896055085198</v>
      </c>
      <c r="R4760">
        <v>5.36188911027548</v>
      </c>
      <c r="S4760">
        <v>20</v>
      </c>
      <c r="T4760">
        <v>26</v>
      </c>
      <c r="U4760">
        <v>681.00857845545795</v>
      </c>
      <c r="V4760">
        <v>3.0120481927710802E-3</v>
      </c>
      <c r="W4760">
        <v>1083481.1670335201</v>
      </c>
      <c r="X4760" t="s">
        <v>38</v>
      </c>
      <c r="Y4760">
        <f>1-653-289-7738</f>
        <v>-8679</v>
      </c>
    </row>
    <row r="4761" spans="1:25" x14ac:dyDescent="0.35">
      <c r="A4761">
        <v>36.118007189832703</v>
      </c>
      <c r="B4761">
        <v>-117.102617027653</v>
      </c>
      <c r="C4761" t="s">
        <v>34</v>
      </c>
      <c r="D4761">
        <v>38.1784505512083</v>
      </c>
      <c r="E4761">
        <v>1</v>
      </c>
      <c r="F4761">
        <v>2887</v>
      </c>
      <c r="G4761">
        <v>1</v>
      </c>
      <c r="H4761">
        <v>2</v>
      </c>
      <c r="I4761">
        <v>1994</v>
      </c>
      <c r="J4761">
        <v>0</v>
      </c>
      <c r="K4761">
        <v>1</v>
      </c>
      <c r="L4761">
        <v>1</v>
      </c>
      <c r="M4761">
        <v>8</v>
      </c>
      <c r="N4761" t="s">
        <v>26</v>
      </c>
      <c r="O4761" t="s">
        <v>30</v>
      </c>
      <c r="P4761">
        <v>2.54643488429666</v>
      </c>
      <c r="Q4761">
        <v>1.58775095538142</v>
      </c>
      <c r="R4761">
        <v>5.6835037808843696</v>
      </c>
      <c r="S4761">
        <v>145</v>
      </c>
      <c r="T4761">
        <v>47</v>
      </c>
      <c r="U4761">
        <v>598.941344193296</v>
      </c>
      <c r="V4761">
        <v>2.7710426047800399E-3</v>
      </c>
      <c r="W4761">
        <v>1864859.9712660899</v>
      </c>
      <c r="X4761" t="s">
        <v>36</v>
      </c>
      <c r="Y4761">
        <f>1-231-840-5216</f>
        <v>-6286</v>
      </c>
    </row>
    <row r="4762" spans="1:25" x14ac:dyDescent="0.35">
      <c r="A4762">
        <v>38.286709364633303</v>
      </c>
      <c r="B4762">
        <v>-122.52408498753201</v>
      </c>
      <c r="C4762" t="s">
        <v>34</v>
      </c>
      <c r="D4762">
        <v>26.046879923127999</v>
      </c>
      <c r="E4762">
        <v>2</v>
      </c>
      <c r="F4762">
        <v>1744</v>
      </c>
      <c r="G4762">
        <v>4</v>
      </c>
      <c r="H4762">
        <v>3</v>
      </c>
      <c r="I4762">
        <v>1963</v>
      </c>
      <c r="J4762">
        <v>1</v>
      </c>
      <c r="K4762">
        <v>0</v>
      </c>
      <c r="L4762">
        <v>1</v>
      </c>
      <c r="M4762">
        <v>9</v>
      </c>
      <c r="N4762" t="s">
        <v>41</v>
      </c>
      <c r="O4762" t="s">
        <v>30</v>
      </c>
      <c r="P4762">
        <v>8.9823110824071097</v>
      </c>
      <c r="Q4762">
        <v>1.26248310891766</v>
      </c>
      <c r="R4762">
        <v>2.56002102983325</v>
      </c>
      <c r="S4762">
        <v>187</v>
      </c>
      <c r="T4762">
        <v>68</v>
      </c>
      <c r="U4762">
        <v>372.546313850351</v>
      </c>
      <c r="V4762">
        <v>5.1605504587155897E-3</v>
      </c>
      <c r="W4762">
        <v>934956.04421882704</v>
      </c>
      <c r="X4762" t="s">
        <v>43</v>
      </c>
      <c r="Y4762">
        <f>1-966-746-8126</f>
        <v>-9837</v>
      </c>
    </row>
    <row r="4763" spans="1:25" x14ac:dyDescent="0.35">
      <c r="A4763">
        <v>41.981005108183297</v>
      </c>
      <c r="B4763">
        <v>-120.022577108769</v>
      </c>
      <c r="C4763" t="s">
        <v>34</v>
      </c>
      <c r="D4763">
        <v>40.792958521974597</v>
      </c>
      <c r="E4763">
        <v>4</v>
      </c>
      <c r="F4763">
        <v>4972</v>
      </c>
      <c r="G4763">
        <v>1</v>
      </c>
      <c r="H4763">
        <v>2</v>
      </c>
      <c r="I4763">
        <v>1980</v>
      </c>
      <c r="J4763">
        <v>1</v>
      </c>
      <c r="K4763">
        <v>1</v>
      </c>
      <c r="L4763">
        <v>1</v>
      </c>
      <c r="M4763">
        <v>13</v>
      </c>
      <c r="N4763" t="s">
        <v>41</v>
      </c>
      <c r="O4763" t="s">
        <v>27</v>
      </c>
      <c r="P4763">
        <v>6.7985484073398696</v>
      </c>
      <c r="Q4763">
        <v>2.1684412227391299</v>
      </c>
      <c r="R4763">
        <v>1.26764689786609</v>
      </c>
      <c r="S4763">
        <v>77</v>
      </c>
      <c r="T4763">
        <v>52</v>
      </c>
      <c r="U4763">
        <v>746.94717092841699</v>
      </c>
      <c r="V4763">
        <v>2.6146419951729601E-3</v>
      </c>
      <c r="W4763">
        <v>3965765.3300493802</v>
      </c>
      <c r="X4763" t="s">
        <v>42</v>
      </c>
      <c r="Y4763">
        <f>1-436-539-1957</f>
        <v>-2931</v>
      </c>
    </row>
    <row r="4764" spans="1:25" x14ac:dyDescent="0.35">
      <c r="A4764">
        <v>33.925091815718901</v>
      </c>
      <c r="B4764">
        <v>-114.236545438832</v>
      </c>
      <c r="C4764" t="s">
        <v>29</v>
      </c>
      <c r="D4764">
        <v>48.423951238425097</v>
      </c>
      <c r="E4764">
        <v>6</v>
      </c>
      <c r="F4764">
        <v>959</v>
      </c>
      <c r="G4764">
        <v>3</v>
      </c>
      <c r="H4764">
        <v>2</v>
      </c>
      <c r="I4764">
        <v>1956</v>
      </c>
      <c r="J4764">
        <v>0</v>
      </c>
      <c r="K4764">
        <v>0</v>
      </c>
      <c r="L4764">
        <v>0</v>
      </c>
      <c r="M4764">
        <v>14</v>
      </c>
      <c r="N4764" t="s">
        <v>26</v>
      </c>
      <c r="O4764" t="s">
        <v>30</v>
      </c>
      <c r="P4764">
        <v>12.843815036366999</v>
      </c>
      <c r="Q4764">
        <v>2.2667739422423998</v>
      </c>
      <c r="R4764">
        <v>0.70911071308606599</v>
      </c>
      <c r="S4764">
        <v>57</v>
      </c>
      <c r="T4764">
        <v>76</v>
      </c>
      <c r="U4764">
        <v>289.46170284938199</v>
      </c>
      <c r="V4764">
        <v>1.4598540145985399E-2</v>
      </c>
      <c r="W4764">
        <v>422694.907457783</v>
      </c>
      <c r="X4764" t="s">
        <v>40</v>
      </c>
      <c r="Y4764">
        <f>1-429-738-3209</f>
        <v>-4375</v>
      </c>
    </row>
    <row r="4765" spans="1:25" x14ac:dyDescent="0.35">
      <c r="A4765">
        <v>41.937533801455999</v>
      </c>
      <c r="B4765">
        <v>-116.207752708047</v>
      </c>
      <c r="C4765" t="s">
        <v>25</v>
      </c>
      <c r="D4765">
        <v>33.6082205210447</v>
      </c>
      <c r="E4765">
        <v>7</v>
      </c>
      <c r="F4765">
        <v>4087</v>
      </c>
      <c r="G4765">
        <v>2</v>
      </c>
      <c r="H4765">
        <v>1</v>
      </c>
      <c r="I4765">
        <v>1958</v>
      </c>
      <c r="J4765">
        <v>1</v>
      </c>
      <c r="K4765">
        <v>0</v>
      </c>
      <c r="L4765">
        <v>0</v>
      </c>
      <c r="M4765">
        <v>3</v>
      </c>
      <c r="N4765" t="s">
        <v>41</v>
      </c>
      <c r="O4765" t="s">
        <v>30</v>
      </c>
      <c r="P4765">
        <v>14.8968633536929</v>
      </c>
      <c r="Q4765">
        <v>2.4920600552127601</v>
      </c>
      <c r="R4765">
        <v>8.1353578077131896</v>
      </c>
      <c r="S4765">
        <v>65</v>
      </c>
      <c r="T4765">
        <v>52</v>
      </c>
      <c r="U4765">
        <v>884.97105166378196</v>
      </c>
      <c r="V4765">
        <v>7.3403474431123E-4</v>
      </c>
      <c r="W4765">
        <v>3767020.528103</v>
      </c>
      <c r="X4765" t="s">
        <v>42</v>
      </c>
      <c r="Y4765">
        <f>1-600-513-8430</f>
        <v>-9542</v>
      </c>
    </row>
    <row r="4766" spans="1:25" x14ac:dyDescent="0.35">
      <c r="A4766">
        <v>37.903292717740499</v>
      </c>
      <c r="B4766">
        <v>-116.80264944818499</v>
      </c>
      <c r="C4766" t="s">
        <v>29</v>
      </c>
      <c r="D4766">
        <v>17.201895197279899</v>
      </c>
      <c r="E4766">
        <v>5</v>
      </c>
      <c r="F4766">
        <v>761</v>
      </c>
      <c r="G4766">
        <v>3</v>
      </c>
      <c r="H4766">
        <v>3</v>
      </c>
      <c r="I4766">
        <v>1988</v>
      </c>
      <c r="J4766">
        <v>1</v>
      </c>
      <c r="K4766">
        <v>0</v>
      </c>
      <c r="L4766">
        <v>0</v>
      </c>
      <c r="M4766">
        <v>13</v>
      </c>
      <c r="N4766" t="s">
        <v>41</v>
      </c>
      <c r="O4766" t="s">
        <v>32</v>
      </c>
      <c r="P4766">
        <v>14.037561945683599</v>
      </c>
      <c r="Q4766">
        <v>1.85033488928476</v>
      </c>
      <c r="R4766">
        <v>2.0766530814400399</v>
      </c>
      <c r="S4766">
        <v>104</v>
      </c>
      <c r="T4766">
        <v>22</v>
      </c>
      <c r="U4766">
        <v>886.15836617919695</v>
      </c>
      <c r="V4766">
        <v>1.7082785808147101E-2</v>
      </c>
      <c r="W4766">
        <v>1117900.4364303299</v>
      </c>
      <c r="X4766" t="s">
        <v>36</v>
      </c>
      <c r="Y4766">
        <f>1-386-641-1313</f>
        <v>-2339</v>
      </c>
    </row>
    <row r="4767" spans="1:25" x14ac:dyDescent="0.35">
      <c r="A4767">
        <v>33.525278605072401</v>
      </c>
      <c r="B4767">
        <v>-121.58042087027999</v>
      </c>
      <c r="C4767" t="s">
        <v>25</v>
      </c>
      <c r="D4767">
        <v>10.1546186627853</v>
      </c>
      <c r="E4767">
        <v>1</v>
      </c>
      <c r="F4767">
        <v>2612</v>
      </c>
      <c r="G4767">
        <v>2</v>
      </c>
      <c r="H4767">
        <v>2</v>
      </c>
      <c r="I4767">
        <v>1957</v>
      </c>
      <c r="J4767">
        <v>0</v>
      </c>
      <c r="K4767">
        <v>1</v>
      </c>
      <c r="L4767">
        <v>0</v>
      </c>
      <c r="M4767">
        <v>5</v>
      </c>
      <c r="N4767" t="s">
        <v>41</v>
      </c>
      <c r="O4767" t="s">
        <v>30</v>
      </c>
      <c r="P4767">
        <v>4.3840059276289498</v>
      </c>
      <c r="Q4767">
        <v>1.4590209785219901</v>
      </c>
      <c r="R4767">
        <v>3.1060257100563202</v>
      </c>
      <c r="S4767">
        <v>101</v>
      </c>
      <c r="T4767">
        <v>40</v>
      </c>
      <c r="U4767">
        <v>849.56278086464397</v>
      </c>
      <c r="V4767">
        <v>1.9142419601837601E-3</v>
      </c>
      <c r="W4767">
        <v>2410823.21126098</v>
      </c>
      <c r="X4767" t="s">
        <v>38</v>
      </c>
      <c r="Y4767">
        <f>1-766-752-9385</f>
        <v>-10902</v>
      </c>
    </row>
    <row r="4768" spans="1:25" x14ac:dyDescent="0.35">
      <c r="A4768">
        <v>36.935776600700599</v>
      </c>
      <c r="B4768">
        <v>-123.76020082727899</v>
      </c>
      <c r="C4768" t="s">
        <v>34</v>
      </c>
      <c r="D4768">
        <v>23.162564326758801</v>
      </c>
      <c r="E4768">
        <v>4</v>
      </c>
      <c r="F4768">
        <v>1641</v>
      </c>
      <c r="G4768">
        <v>5</v>
      </c>
      <c r="H4768">
        <v>2</v>
      </c>
      <c r="I4768">
        <v>1975</v>
      </c>
      <c r="J4768">
        <v>0</v>
      </c>
      <c r="K4768">
        <v>1</v>
      </c>
      <c r="L4768">
        <v>1</v>
      </c>
      <c r="M4768">
        <v>11</v>
      </c>
      <c r="N4768" t="s">
        <v>37</v>
      </c>
      <c r="O4768" t="s">
        <v>32</v>
      </c>
      <c r="P4768">
        <v>3.3251760935367201</v>
      </c>
      <c r="Q4768">
        <v>1.5260215175747101</v>
      </c>
      <c r="R4768">
        <v>4.1281449139548902</v>
      </c>
      <c r="S4768">
        <v>18</v>
      </c>
      <c r="T4768">
        <v>78</v>
      </c>
      <c r="U4768">
        <v>496.05502613662497</v>
      </c>
      <c r="V4768">
        <v>6.7032297379646501E-3</v>
      </c>
      <c r="W4768">
        <v>1178148.7850977301</v>
      </c>
      <c r="X4768" t="s">
        <v>31</v>
      </c>
      <c r="Y4768">
        <f>1-579-534-8839</f>
        <v>-9951</v>
      </c>
    </row>
    <row r="4769" spans="1:25" x14ac:dyDescent="0.35">
      <c r="A4769">
        <v>33.368767358671398</v>
      </c>
      <c r="B4769">
        <v>-115.53285414977201</v>
      </c>
      <c r="C4769" t="s">
        <v>29</v>
      </c>
      <c r="D4769">
        <v>36.355503468951703</v>
      </c>
      <c r="E4769">
        <v>8</v>
      </c>
      <c r="F4769">
        <v>1269</v>
      </c>
      <c r="G4769">
        <v>4</v>
      </c>
      <c r="H4769">
        <v>2</v>
      </c>
      <c r="I4769">
        <v>1961</v>
      </c>
      <c r="J4769">
        <v>1</v>
      </c>
      <c r="K4769">
        <v>0</v>
      </c>
      <c r="L4769">
        <v>1</v>
      </c>
      <c r="M4769">
        <v>5</v>
      </c>
      <c r="N4769" t="s">
        <v>35</v>
      </c>
      <c r="O4769" t="s">
        <v>32</v>
      </c>
      <c r="P4769">
        <v>14.2944818520076</v>
      </c>
      <c r="Q4769">
        <v>1.3969609725467</v>
      </c>
      <c r="R4769">
        <v>1.4118378623602199</v>
      </c>
      <c r="S4769">
        <v>132</v>
      </c>
      <c r="T4769">
        <v>27</v>
      </c>
      <c r="U4769">
        <v>610.98333578420602</v>
      </c>
      <c r="V4769">
        <v>3.94011032308904E-3</v>
      </c>
      <c r="W4769">
        <v>1091455.7609034299</v>
      </c>
      <c r="X4769" t="s">
        <v>33</v>
      </c>
      <c r="Y4769">
        <f>1-905-273-9649</f>
        <v>-10826</v>
      </c>
    </row>
    <row r="4770" spans="1:25" x14ac:dyDescent="0.35">
      <c r="A4770">
        <v>35.481735123591299</v>
      </c>
      <c r="B4770">
        <v>-115.014049658308</v>
      </c>
      <c r="C4770" t="s">
        <v>29</v>
      </c>
      <c r="D4770">
        <v>27.375400710612801</v>
      </c>
      <c r="E4770">
        <v>2</v>
      </c>
      <c r="F4770">
        <v>4374</v>
      </c>
      <c r="G4770">
        <v>3</v>
      </c>
      <c r="H4770">
        <v>2</v>
      </c>
      <c r="I4770">
        <v>1978</v>
      </c>
      <c r="J4770">
        <v>1</v>
      </c>
      <c r="K4770">
        <v>1</v>
      </c>
      <c r="L4770">
        <v>0</v>
      </c>
      <c r="M4770">
        <v>9</v>
      </c>
      <c r="N4770" t="s">
        <v>35</v>
      </c>
      <c r="O4770" t="s">
        <v>27</v>
      </c>
      <c r="P4770">
        <v>7.6944540395158896</v>
      </c>
      <c r="Q4770">
        <v>0.71232311266685799</v>
      </c>
      <c r="R4770">
        <v>1.8854529207002599</v>
      </c>
      <c r="S4770">
        <v>52</v>
      </c>
      <c r="T4770">
        <v>59</v>
      </c>
      <c r="U4770">
        <v>957.89417076398797</v>
      </c>
      <c r="V4770">
        <v>2.05761316872428E-3</v>
      </c>
      <c r="W4770">
        <v>4509198.2987117302</v>
      </c>
      <c r="X4770" t="s">
        <v>42</v>
      </c>
      <c r="Y4770">
        <f>1-890-773-7632</f>
        <v>-9294</v>
      </c>
    </row>
    <row r="4771" spans="1:25" x14ac:dyDescent="0.35">
      <c r="A4771">
        <v>41.484114167699502</v>
      </c>
      <c r="B4771">
        <v>-116.68274843244799</v>
      </c>
      <c r="C4771" t="s">
        <v>25</v>
      </c>
      <c r="D4771">
        <v>41.803355916065598</v>
      </c>
      <c r="E4771">
        <v>9</v>
      </c>
      <c r="F4771">
        <v>715</v>
      </c>
      <c r="G4771">
        <v>2</v>
      </c>
      <c r="H4771">
        <v>2</v>
      </c>
      <c r="I4771">
        <v>1959</v>
      </c>
      <c r="J4771">
        <v>1</v>
      </c>
      <c r="K4771">
        <v>0</v>
      </c>
      <c r="L4771">
        <v>0</v>
      </c>
      <c r="M4771">
        <v>6</v>
      </c>
      <c r="N4771" t="s">
        <v>37</v>
      </c>
      <c r="O4771" t="s">
        <v>30</v>
      </c>
      <c r="P4771">
        <v>13.8576086910066</v>
      </c>
      <c r="Q4771">
        <v>1.35498722766127</v>
      </c>
      <c r="R4771">
        <v>5.4635846184250996</v>
      </c>
      <c r="S4771">
        <v>112</v>
      </c>
      <c r="T4771">
        <v>26</v>
      </c>
      <c r="U4771">
        <v>527.05344378237396</v>
      </c>
      <c r="V4771">
        <v>8.3916083916083899E-3</v>
      </c>
      <c r="W4771">
        <v>553113.57924366603</v>
      </c>
      <c r="X4771" t="s">
        <v>42</v>
      </c>
      <c r="Y4771">
        <f>1-864-927-5590</f>
        <v>-7380</v>
      </c>
    </row>
    <row r="4772" spans="1:25" x14ac:dyDescent="0.35">
      <c r="A4772">
        <v>38.098079648028097</v>
      </c>
      <c r="B4772">
        <v>-114.787298888563</v>
      </c>
      <c r="C4772" t="s">
        <v>34</v>
      </c>
      <c r="D4772">
        <v>15.7979255700398</v>
      </c>
      <c r="E4772">
        <v>3</v>
      </c>
      <c r="F4772">
        <v>1076</v>
      </c>
      <c r="G4772">
        <v>1</v>
      </c>
      <c r="H4772">
        <v>3</v>
      </c>
      <c r="I4772">
        <v>1957</v>
      </c>
      <c r="J4772">
        <v>0</v>
      </c>
      <c r="K4772">
        <v>0</v>
      </c>
      <c r="L4772">
        <v>1</v>
      </c>
      <c r="M4772">
        <v>10</v>
      </c>
      <c r="N4772" t="s">
        <v>35</v>
      </c>
      <c r="O4772" t="s">
        <v>27</v>
      </c>
      <c r="P4772">
        <v>13.335600668868199</v>
      </c>
      <c r="Q4772">
        <v>2.36026900632586</v>
      </c>
      <c r="R4772">
        <v>7.20819141438127</v>
      </c>
      <c r="S4772">
        <v>101</v>
      </c>
      <c r="T4772">
        <v>32</v>
      </c>
      <c r="U4772">
        <v>399.216107749885</v>
      </c>
      <c r="V4772">
        <v>9.2936802973977699E-3</v>
      </c>
      <c r="W4772">
        <v>548096.94665633806</v>
      </c>
      <c r="X4772" t="s">
        <v>44</v>
      </c>
      <c r="Y4772">
        <f>1-465-830-3586</f>
        <v>-4880</v>
      </c>
    </row>
    <row r="4773" spans="1:25" x14ac:dyDescent="0.35">
      <c r="A4773">
        <v>34.132300251066901</v>
      </c>
      <c r="B4773">
        <v>-122.64419818193601</v>
      </c>
      <c r="C4773" t="s">
        <v>25</v>
      </c>
      <c r="D4773">
        <v>14.1525530374795</v>
      </c>
      <c r="E4773">
        <v>0</v>
      </c>
      <c r="F4773">
        <v>1861</v>
      </c>
      <c r="G4773">
        <v>3</v>
      </c>
      <c r="H4773">
        <v>3</v>
      </c>
      <c r="I4773">
        <v>2012</v>
      </c>
      <c r="J4773">
        <v>1</v>
      </c>
      <c r="K4773">
        <v>1</v>
      </c>
      <c r="L4773">
        <v>0</v>
      </c>
      <c r="M4773">
        <v>13</v>
      </c>
      <c r="N4773" t="s">
        <v>35</v>
      </c>
      <c r="O4773" t="s">
        <v>27</v>
      </c>
      <c r="P4773">
        <v>8.0657036371632707</v>
      </c>
      <c r="Q4773">
        <v>1.90431560015099</v>
      </c>
      <c r="R4773">
        <v>0.141585527640154</v>
      </c>
      <c r="S4773">
        <v>182</v>
      </c>
      <c r="T4773">
        <v>20</v>
      </c>
      <c r="U4773">
        <v>261.58391738538199</v>
      </c>
      <c r="V4773">
        <v>6.98549167114454E-3</v>
      </c>
      <c r="W4773">
        <v>867017.02855419298</v>
      </c>
      <c r="X4773" t="s">
        <v>42</v>
      </c>
      <c r="Y4773">
        <f>1-713-350-9423</f>
        <v>-10485</v>
      </c>
    </row>
    <row r="4774" spans="1:25" x14ac:dyDescent="0.35">
      <c r="A4774">
        <v>34.976777209163998</v>
      </c>
      <c r="B4774">
        <v>-122.212041163889</v>
      </c>
      <c r="C4774" t="s">
        <v>29</v>
      </c>
      <c r="D4774">
        <v>48.959681436792103</v>
      </c>
      <c r="E4774">
        <v>9</v>
      </c>
      <c r="F4774">
        <v>2395</v>
      </c>
      <c r="G4774">
        <v>2</v>
      </c>
      <c r="H4774">
        <v>1</v>
      </c>
      <c r="I4774">
        <v>2020</v>
      </c>
      <c r="J4774">
        <v>0</v>
      </c>
      <c r="K4774">
        <v>1</v>
      </c>
      <c r="L4774">
        <v>0</v>
      </c>
      <c r="M4774">
        <v>7</v>
      </c>
      <c r="N4774" t="s">
        <v>26</v>
      </c>
      <c r="O4774" t="s">
        <v>27</v>
      </c>
      <c r="P4774">
        <v>5.0714512635209497</v>
      </c>
      <c r="Q4774">
        <v>1.4416930552532601</v>
      </c>
      <c r="R4774">
        <v>1.2738448342450299</v>
      </c>
      <c r="S4774">
        <v>93</v>
      </c>
      <c r="T4774">
        <v>64</v>
      </c>
      <c r="U4774">
        <v>722.03922936507399</v>
      </c>
      <c r="V4774">
        <v>2.92275574112734E-3</v>
      </c>
      <c r="W4774">
        <v>1966881.00944201</v>
      </c>
      <c r="X4774" t="s">
        <v>43</v>
      </c>
      <c r="Y4774">
        <f>1-561-621-5624</f>
        <v>-6805</v>
      </c>
    </row>
    <row r="4775" spans="1:25" x14ac:dyDescent="0.35">
      <c r="A4775">
        <v>38.1558138276419</v>
      </c>
      <c r="B4775">
        <v>-115.007698905601</v>
      </c>
      <c r="C4775" t="s">
        <v>25</v>
      </c>
      <c r="D4775">
        <v>3.2977700058166</v>
      </c>
      <c r="E4775">
        <v>1</v>
      </c>
      <c r="F4775">
        <v>875</v>
      </c>
      <c r="G4775">
        <v>3</v>
      </c>
      <c r="H4775">
        <v>1</v>
      </c>
      <c r="I4775">
        <v>1955</v>
      </c>
      <c r="J4775">
        <v>0</v>
      </c>
      <c r="K4775">
        <v>0</v>
      </c>
      <c r="L4775">
        <v>1</v>
      </c>
      <c r="M4775">
        <v>6</v>
      </c>
      <c r="N4775" t="s">
        <v>26</v>
      </c>
      <c r="O4775" t="s">
        <v>30</v>
      </c>
      <c r="P4775">
        <v>4.3221347081807497</v>
      </c>
      <c r="Q4775">
        <v>2.1151253885785199</v>
      </c>
      <c r="R4775">
        <v>9.5490447216315602</v>
      </c>
      <c r="S4775">
        <v>115</v>
      </c>
      <c r="T4775">
        <v>74</v>
      </c>
      <c r="U4775">
        <v>771.02151616231697</v>
      </c>
      <c r="V4775">
        <v>6.8571428571428499E-3</v>
      </c>
      <c r="W4775">
        <v>744890.990426281</v>
      </c>
      <c r="X4775" t="s">
        <v>40</v>
      </c>
      <c r="Y4775">
        <f>1-471-791-1437</f>
        <v>-2698</v>
      </c>
    </row>
    <row r="4776" spans="1:25" x14ac:dyDescent="0.35">
      <c r="A4776">
        <v>41.067833873176397</v>
      </c>
      <c r="B4776">
        <v>-117.543771253439</v>
      </c>
      <c r="C4776" t="s">
        <v>29</v>
      </c>
      <c r="D4776">
        <v>41.066036057723402</v>
      </c>
      <c r="E4776">
        <v>5</v>
      </c>
      <c r="F4776">
        <v>3944</v>
      </c>
      <c r="G4776">
        <v>5</v>
      </c>
      <c r="H4776">
        <v>1</v>
      </c>
      <c r="I4776">
        <v>1980</v>
      </c>
      <c r="J4776">
        <v>1</v>
      </c>
      <c r="K4776">
        <v>0</v>
      </c>
      <c r="L4776">
        <v>1</v>
      </c>
      <c r="M4776">
        <v>8</v>
      </c>
      <c r="N4776" t="s">
        <v>35</v>
      </c>
      <c r="O4776" t="s">
        <v>30</v>
      </c>
      <c r="P4776">
        <v>11.004215651264801</v>
      </c>
      <c r="Q4776">
        <v>1.95757493429158</v>
      </c>
      <c r="R4776">
        <v>1.02106160170311</v>
      </c>
      <c r="S4776">
        <v>106</v>
      </c>
      <c r="T4776">
        <v>63</v>
      </c>
      <c r="U4776">
        <v>868.88630706825199</v>
      </c>
      <c r="V4776">
        <v>2.02839756592292E-3</v>
      </c>
      <c r="W4776">
        <v>3732990.6720983102</v>
      </c>
      <c r="X4776" t="s">
        <v>40</v>
      </c>
      <c r="Y4776">
        <f>1-677-438-1726</f>
        <v>-2840</v>
      </c>
    </row>
    <row r="4777" spans="1:25" x14ac:dyDescent="0.35">
      <c r="A4777">
        <v>41.148810213781303</v>
      </c>
      <c r="B4777">
        <v>-117.816624843235</v>
      </c>
      <c r="C4777" t="s">
        <v>34</v>
      </c>
      <c r="D4777">
        <v>11.793884984517801</v>
      </c>
      <c r="E4777">
        <v>6</v>
      </c>
      <c r="F4777">
        <v>667</v>
      </c>
      <c r="G4777">
        <v>4</v>
      </c>
      <c r="H4777">
        <v>2</v>
      </c>
      <c r="I4777">
        <v>1958</v>
      </c>
      <c r="J4777">
        <v>1</v>
      </c>
      <c r="K4777">
        <v>1</v>
      </c>
      <c r="L4777">
        <v>1</v>
      </c>
      <c r="M4777">
        <v>9</v>
      </c>
      <c r="N4777" t="s">
        <v>37</v>
      </c>
      <c r="O4777" t="s">
        <v>30</v>
      </c>
      <c r="P4777">
        <v>3.22566194137594</v>
      </c>
      <c r="Q4777">
        <v>0.53756944729902301</v>
      </c>
      <c r="R4777">
        <v>7.4964904521317903</v>
      </c>
      <c r="S4777">
        <v>154</v>
      </c>
      <c r="T4777">
        <v>50</v>
      </c>
      <c r="U4777">
        <v>542.51005728214</v>
      </c>
      <c r="V4777">
        <v>1.3493253373313301E-2</v>
      </c>
      <c r="W4777">
        <v>760439.75685556501</v>
      </c>
      <c r="X4777" t="s">
        <v>42</v>
      </c>
      <c r="Y4777">
        <f>1-997-284-6763</f>
        <v>-8043</v>
      </c>
    </row>
    <row r="4778" spans="1:25" x14ac:dyDescent="0.35">
      <c r="A4778">
        <v>37.1367134072932</v>
      </c>
      <c r="B4778">
        <v>-119.041820708061</v>
      </c>
      <c r="C4778" t="s">
        <v>29</v>
      </c>
      <c r="D4778">
        <v>12.7671927660548</v>
      </c>
      <c r="E4778">
        <v>2</v>
      </c>
      <c r="F4778">
        <v>2006</v>
      </c>
      <c r="G4778">
        <v>3</v>
      </c>
      <c r="H4778">
        <v>1</v>
      </c>
      <c r="I4778">
        <v>1983</v>
      </c>
      <c r="J4778">
        <v>0</v>
      </c>
      <c r="K4778">
        <v>1</v>
      </c>
      <c r="L4778">
        <v>1</v>
      </c>
      <c r="M4778">
        <v>12</v>
      </c>
      <c r="N4778" t="s">
        <v>35</v>
      </c>
      <c r="O4778" t="s">
        <v>27</v>
      </c>
      <c r="P4778">
        <v>5.5854735772481598</v>
      </c>
      <c r="Q4778">
        <v>1.2893874899873301</v>
      </c>
      <c r="R4778">
        <v>3.3401842845518899</v>
      </c>
      <c r="S4778">
        <v>21</v>
      </c>
      <c r="T4778">
        <v>62</v>
      </c>
      <c r="U4778">
        <v>841.16252118912598</v>
      </c>
      <c r="V4778">
        <v>5.9820538384845398E-3</v>
      </c>
      <c r="W4778">
        <v>1897421.5021274399</v>
      </c>
      <c r="X4778" t="s">
        <v>38</v>
      </c>
      <c r="Y4778">
        <f>1-574-452-6637</f>
        <v>-7662</v>
      </c>
    </row>
    <row r="4779" spans="1:25" x14ac:dyDescent="0.35">
      <c r="A4779">
        <v>35.014253366284201</v>
      </c>
      <c r="B4779">
        <v>-121.57143789553101</v>
      </c>
      <c r="C4779" t="s">
        <v>34</v>
      </c>
      <c r="D4779">
        <v>3.8843857294582702</v>
      </c>
      <c r="E4779">
        <v>5</v>
      </c>
      <c r="F4779">
        <v>3395</v>
      </c>
      <c r="G4779">
        <v>5</v>
      </c>
      <c r="H4779">
        <v>2</v>
      </c>
      <c r="I4779">
        <v>1984</v>
      </c>
      <c r="J4779">
        <v>0</v>
      </c>
      <c r="K4779">
        <v>1</v>
      </c>
      <c r="L4779">
        <v>1</v>
      </c>
      <c r="M4779">
        <v>4</v>
      </c>
      <c r="N4779" t="s">
        <v>26</v>
      </c>
      <c r="O4779" t="s">
        <v>30</v>
      </c>
      <c r="P4779">
        <v>10.8215472558638</v>
      </c>
      <c r="Q4779">
        <v>1.5075426652330599</v>
      </c>
      <c r="R4779">
        <v>5.3858415757574498</v>
      </c>
      <c r="S4779">
        <v>154</v>
      </c>
      <c r="T4779">
        <v>22</v>
      </c>
      <c r="U4779">
        <v>873.58093491327702</v>
      </c>
      <c r="V4779">
        <v>1.1782032400589101E-3</v>
      </c>
      <c r="W4779">
        <v>3470824.0667645698</v>
      </c>
      <c r="X4779" t="s">
        <v>40</v>
      </c>
      <c r="Y4779">
        <f>1-617-571-2322</f>
        <v>-3509</v>
      </c>
    </row>
    <row r="4780" spans="1:25" x14ac:dyDescent="0.35">
      <c r="A4780">
        <v>39.124978171119601</v>
      </c>
      <c r="B4780">
        <v>-120.594374384384</v>
      </c>
      <c r="C4780" t="s">
        <v>25</v>
      </c>
      <c r="D4780">
        <v>30.476201349503199</v>
      </c>
      <c r="E4780">
        <v>6</v>
      </c>
      <c r="F4780">
        <v>1064</v>
      </c>
      <c r="G4780">
        <v>2</v>
      </c>
      <c r="H4780">
        <v>2</v>
      </c>
      <c r="I4780">
        <v>2007</v>
      </c>
      <c r="J4780">
        <v>1</v>
      </c>
      <c r="K4780">
        <v>1</v>
      </c>
      <c r="L4780">
        <v>1</v>
      </c>
      <c r="M4780">
        <v>14</v>
      </c>
      <c r="N4780" t="s">
        <v>26</v>
      </c>
      <c r="O4780" t="s">
        <v>27</v>
      </c>
      <c r="P4780">
        <v>10.069904105931499</v>
      </c>
      <c r="Q4780">
        <v>1.90609320281273</v>
      </c>
      <c r="R4780">
        <v>0.47795829568387099</v>
      </c>
      <c r="S4780">
        <v>168</v>
      </c>
      <c r="T4780">
        <v>71</v>
      </c>
      <c r="U4780">
        <v>878.12165943014304</v>
      </c>
      <c r="V4780">
        <v>1.3157894736842099E-2</v>
      </c>
      <c r="W4780">
        <v>1284726.79288349</v>
      </c>
      <c r="X4780" t="s">
        <v>36</v>
      </c>
      <c r="Y4780">
        <f>1-648-458-2868</f>
        <v>-3973</v>
      </c>
    </row>
    <row r="4781" spans="1:25" x14ac:dyDescent="0.35">
      <c r="A4781">
        <v>41.402532972452903</v>
      </c>
      <c r="B4781">
        <v>-119.046119475504</v>
      </c>
      <c r="C4781" t="s">
        <v>29</v>
      </c>
      <c r="D4781">
        <v>35.708723481927997</v>
      </c>
      <c r="E4781">
        <v>9</v>
      </c>
      <c r="F4781">
        <v>2158</v>
      </c>
      <c r="G4781">
        <v>4</v>
      </c>
      <c r="H4781">
        <v>1</v>
      </c>
      <c r="I4781">
        <v>1996</v>
      </c>
      <c r="J4781">
        <v>0</v>
      </c>
      <c r="K4781">
        <v>0</v>
      </c>
      <c r="L4781">
        <v>0</v>
      </c>
      <c r="M4781">
        <v>13</v>
      </c>
      <c r="N4781" t="s">
        <v>26</v>
      </c>
      <c r="O4781" t="s">
        <v>32</v>
      </c>
      <c r="P4781">
        <v>13.292543797070399</v>
      </c>
      <c r="Q4781">
        <v>1.0728428478930701</v>
      </c>
      <c r="R4781">
        <v>9.5841975436806592</v>
      </c>
      <c r="S4781">
        <v>128</v>
      </c>
      <c r="T4781">
        <v>49</v>
      </c>
      <c r="U4781">
        <v>370.17721190245601</v>
      </c>
      <c r="V4781">
        <v>6.0240963855421603E-3</v>
      </c>
      <c r="W4781">
        <v>1086810.3011991701</v>
      </c>
      <c r="X4781" t="s">
        <v>43</v>
      </c>
      <c r="Y4781">
        <f>1-285-587-3330</f>
        <v>-4201</v>
      </c>
    </row>
    <row r="4782" spans="1:25" x14ac:dyDescent="0.35">
      <c r="A4782">
        <v>34.5645525194318</v>
      </c>
      <c r="B4782">
        <v>-116.008386134517</v>
      </c>
      <c r="C4782" t="s">
        <v>25</v>
      </c>
      <c r="D4782">
        <v>10.430884006029199</v>
      </c>
      <c r="E4782">
        <v>7</v>
      </c>
      <c r="F4782">
        <v>4519</v>
      </c>
      <c r="G4782">
        <v>3</v>
      </c>
      <c r="H4782">
        <v>3</v>
      </c>
      <c r="I4782">
        <v>1988</v>
      </c>
      <c r="J4782">
        <v>0</v>
      </c>
      <c r="K4782">
        <v>1</v>
      </c>
      <c r="L4782">
        <v>1</v>
      </c>
      <c r="M4782">
        <v>5</v>
      </c>
      <c r="N4782" t="s">
        <v>26</v>
      </c>
      <c r="O4782" t="s">
        <v>27</v>
      </c>
      <c r="P4782">
        <v>8.3513122683213901</v>
      </c>
      <c r="Q4782">
        <v>2.1295262331297402</v>
      </c>
      <c r="R4782">
        <v>7.6528076117454704</v>
      </c>
      <c r="S4782">
        <v>33</v>
      </c>
      <c r="T4782">
        <v>79</v>
      </c>
      <c r="U4782">
        <v>959.79366675602705</v>
      </c>
      <c r="V4782">
        <v>1.1064394777605599E-3</v>
      </c>
      <c r="W4782">
        <v>4735131.2342354199</v>
      </c>
      <c r="X4782" t="s">
        <v>31</v>
      </c>
      <c r="Y4782">
        <f>1-976-306-5779</f>
        <v>-7060</v>
      </c>
    </row>
    <row r="4783" spans="1:25" x14ac:dyDescent="0.35">
      <c r="A4783">
        <v>39.187245337313698</v>
      </c>
      <c r="B4783">
        <v>-122.457919033157</v>
      </c>
      <c r="C4783" t="s">
        <v>25</v>
      </c>
      <c r="D4783">
        <v>29.613748631079101</v>
      </c>
      <c r="E4783">
        <v>5</v>
      </c>
      <c r="F4783">
        <v>1063</v>
      </c>
      <c r="G4783">
        <v>4</v>
      </c>
      <c r="H4783">
        <v>3</v>
      </c>
      <c r="I4783">
        <v>1981</v>
      </c>
      <c r="J4783">
        <v>1</v>
      </c>
      <c r="K4783">
        <v>1</v>
      </c>
      <c r="L4783">
        <v>0</v>
      </c>
      <c r="M4783">
        <v>7</v>
      </c>
      <c r="N4783" t="s">
        <v>41</v>
      </c>
      <c r="O4783" t="s">
        <v>30</v>
      </c>
      <c r="P4783">
        <v>12.133635537802901</v>
      </c>
      <c r="Q4783">
        <v>1.4589067645268501</v>
      </c>
      <c r="R4783">
        <v>1.99923702123376</v>
      </c>
      <c r="S4783">
        <v>197</v>
      </c>
      <c r="T4783">
        <v>34</v>
      </c>
      <c r="U4783">
        <v>222.345733920421</v>
      </c>
      <c r="V4783">
        <v>6.58513640639699E-3</v>
      </c>
      <c r="W4783">
        <v>701251.32680253801</v>
      </c>
      <c r="X4783" t="s">
        <v>43</v>
      </c>
      <c r="Y4783">
        <f>1-829-750-1546</f>
        <v>-3124</v>
      </c>
    </row>
    <row r="4784" spans="1:25" x14ac:dyDescent="0.35">
      <c r="A4784">
        <v>36.103131178750097</v>
      </c>
      <c r="B4784">
        <v>-119.727828459821</v>
      </c>
      <c r="C4784" t="s">
        <v>29</v>
      </c>
      <c r="D4784">
        <v>29.291602692746501</v>
      </c>
      <c r="E4784">
        <v>6</v>
      </c>
      <c r="F4784">
        <v>3411</v>
      </c>
      <c r="G4784">
        <v>2</v>
      </c>
      <c r="H4784">
        <v>3</v>
      </c>
      <c r="I4784">
        <v>1984</v>
      </c>
      <c r="J4784">
        <v>1</v>
      </c>
      <c r="K4784">
        <v>0</v>
      </c>
      <c r="L4784">
        <v>0</v>
      </c>
      <c r="M4784">
        <v>10</v>
      </c>
      <c r="N4784" t="s">
        <v>37</v>
      </c>
      <c r="O4784" t="s">
        <v>32</v>
      </c>
      <c r="P4784">
        <v>14.4804503333797</v>
      </c>
      <c r="Q4784">
        <v>1.31613948379747</v>
      </c>
      <c r="R4784">
        <v>0.474259058390472</v>
      </c>
      <c r="S4784">
        <v>62</v>
      </c>
      <c r="T4784">
        <v>53</v>
      </c>
      <c r="U4784">
        <v>743.975953415493</v>
      </c>
      <c r="V4784">
        <v>2.9316915860451401E-3</v>
      </c>
      <c r="W4784">
        <v>2812890.9947704901</v>
      </c>
      <c r="X4784" t="s">
        <v>40</v>
      </c>
      <c r="Y4784">
        <f>1-923-200-7248</f>
        <v>-8370</v>
      </c>
    </row>
    <row r="4785" spans="1:25" x14ac:dyDescent="0.35">
      <c r="A4785">
        <v>37.768393471316898</v>
      </c>
      <c r="B4785">
        <v>-123.435077918795</v>
      </c>
      <c r="C4785" t="s">
        <v>29</v>
      </c>
      <c r="D4785">
        <v>8.3530394650487594</v>
      </c>
      <c r="E4785">
        <v>6</v>
      </c>
      <c r="F4785">
        <v>4734</v>
      </c>
      <c r="G4785">
        <v>1</v>
      </c>
      <c r="H4785">
        <v>1</v>
      </c>
      <c r="I4785">
        <v>1971</v>
      </c>
      <c r="J4785">
        <v>1</v>
      </c>
      <c r="K4785">
        <v>0</v>
      </c>
      <c r="L4785">
        <v>1</v>
      </c>
      <c r="M4785">
        <v>7</v>
      </c>
      <c r="N4785" t="s">
        <v>35</v>
      </c>
      <c r="O4785" t="s">
        <v>30</v>
      </c>
      <c r="P4785">
        <v>2.0120618246875699</v>
      </c>
      <c r="Q4785">
        <v>2.1959465494156798</v>
      </c>
      <c r="R4785">
        <v>4.7509727673366502</v>
      </c>
      <c r="S4785">
        <v>143</v>
      </c>
      <c r="T4785">
        <v>74</v>
      </c>
      <c r="U4785">
        <v>577.78750872888702</v>
      </c>
      <c r="V4785">
        <v>1.47866497676383E-3</v>
      </c>
      <c r="W4785">
        <v>2841325.5039481199</v>
      </c>
      <c r="X4785" t="s">
        <v>42</v>
      </c>
      <c r="Y4785">
        <f>1-410-699-5431</f>
        <v>-6539</v>
      </c>
    </row>
    <row r="4786" spans="1:25" x14ac:dyDescent="0.35">
      <c r="A4786">
        <v>34.131099697463398</v>
      </c>
      <c r="B4786">
        <v>-121.742989043333</v>
      </c>
      <c r="C4786" t="s">
        <v>34</v>
      </c>
      <c r="D4786">
        <v>45.191528335025602</v>
      </c>
      <c r="E4786">
        <v>7</v>
      </c>
      <c r="F4786">
        <v>4688</v>
      </c>
      <c r="G4786">
        <v>1</v>
      </c>
      <c r="H4786">
        <v>2</v>
      </c>
      <c r="I4786">
        <v>1985</v>
      </c>
      <c r="J4786">
        <v>0</v>
      </c>
      <c r="K4786">
        <v>1</v>
      </c>
      <c r="L4786">
        <v>1</v>
      </c>
      <c r="M4786">
        <v>6</v>
      </c>
      <c r="N4786" t="s">
        <v>37</v>
      </c>
      <c r="O4786" t="s">
        <v>32</v>
      </c>
      <c r="P4786">
        <v>11.740877236766501</v>
      </c>
      <c r="Q4786">
        <v>1.75587690695665</v>
      </c>
      <c r="R4786">
        <v>9.4623250127069305</v>
      </c>
      <c r="S4786">
        <v>118</v>
      </c>
      <c r="T4786">
        <v>75</v>
      </c>
      <c r="U4786">
        <v>433.94631185601799</v>
      </c>
      <c r="V4786">
        <v>1.27986348122866E-3</v>
      </c>
      <c r="W4786">
        <v>2255137.2252777</v>
      </c>
      <c r="X4786" t="s">
        <v>36</v>
      </c>
      <c r="Y4786">
        <f>1-411-396-5296</f>
        <v>-6102</v>
      </c>
    </row>
    <row r="4787" spans="1:25" x14ac:dyDescent="0.35">
      <c r="A4787">
        <v>35.464091499648603</v>
      </c>
      <c r="B4787">
        <v>-123.55931208703799</v>
      </c>
      <c r="C4787" t="s">
        <v>34</v>
      </c>
      <c r="D4787">
        <v>25.2428812884589</v>
      </c>
      <c r="E4787">
        <v>7</v>
      </c>
      <c r="F4787">
        <v>4709</v>
      </c>
      <c r="G4787">
        <v>4</v>
      </c>
      <c r="H4787">
        <v>1</v>
      </c>
      <c r="I4787">
        <v>1979</v>
      </c>
      <c r="J4787">
        <v>0</v>
      </c>
      <c r="K4787">
        <v>0</v>
      </c>
      <c r="L4787">
        <v>0</v>
      </c>
      <c r="M4787">
        <v>9</v>
      </c>
      <c r="N4787" t="s">
        <v>26</v>
      </c>
      <c r="O4787" t="s">
        <v>32</v>
      </c>
      <c r="P4787">
        <v>10.348359576186001</v>
      </c>
      <c r="Q4787">
        <v>2.27761767338421</v>
      </c>
      <c r="R4787">
        <v>2.7366912313805698</v>
      </c>
      <c r="S4787">
        <v>50</v>
      </c>
      <c r="T4787">
        <v>58</v>
      </c>
      <c r="U4787">
        <v>874.27040752375001</v>
      </c>
      <c r="V4787">
        <v>1.91123380760246E-3</v>
      </c>
      <c r="W4787">
        <v>4347605.0984512903</v>
      </c>
      <c r="X4787" t="s">
        <v>40</v>
      </c>
      <c r="Y4787">
        <f>1-324-381-5541</f>
        <v>-6245</v>
      </c>
    </row>
    <row r="4788" spans="1:25" x14ac:dyDescent="0.35">
      <c r="A4788">
        <v>33.941906159768301</v>
      </c>
      <c r="B4788">
        <v>-123.439744847469</v>
      </c>
      <c r="C4788" t="s">
        <v>34</v>
      </c>
      <c r="D4788">
        <v>22.032135184641302</v>
      </c>
      <c r="E4788">
        <v>4</v>
      </c>
      <c r="F4788">
        <v>4743</v>
      </c>
      <c r="G4788">
        <v>1</v>
      </c>
      <c r="H4788">
        <v>1</v>
      </c>
      <c r="I4788">
        <v>1954</v>
      </c>
      <c r="J4788">
        <v>1</v>
      </c>
      <c r="K4788">
        <v>1</v>
      </c>
      <c r="L4788">
        <v>1</v>
      </c>
      <c r="M4788">
        <v>13</v>
      </c>
      <c r="N4788" t="s">
        <v>35</v>
      </c>
      <c r="O4788" t="s">
        <v>30</v>
      </c>
      <c r="P4788">
        <v>11.2362608750764</v>
      </c>
      <c r="Q4788">
        <v>1.9393053482037801</v>
      </c>
      <c r="R4788">
        <v>3.3237345895979198</v>
      </c>
      <c r="S4788">
        <v>20</v>
      </c>
      <c r="T4788">
        <v>27</v>
      </c>
      <c r="U4788">
        <v>885.86607245819005</v>
      </c>
      <c r="V4788">
        <v>2.74088129875606E-3</v>
      </c>
      <c r="W4788">
        <v>4451988.5521283997</v>
      </c>
      <c r="X4788" t="s">
        <v>38</v>
      </c>
      <c r="Y4788">
        <f>1-738-723-4368</f>
        <v>-5828</v>
      </c>
    </row>
    <row r="4789" spans="1:25" x14ac:dyDescent="0.35">
      <c r="A4789">
        <v>38.870781611940998</v>
      </c>
      <c r="B4789">
        <v>-122.512752969172</v>
      </c>
      <c r="C4789" t="s">
        <v>29</v>
      </c>
      <c r="D4789">
        <v>12.2192012884286</v>
      </c>
      <c r="E4789">
        <v>8</v>
      </c>
      <c r="F4789">
        <v>789</v>
      </c>
      <c r="G4789">
        <v>1</v>
      </c>
      <c r="H4789">
        <v>2</v>
      </c>
      <c r="I4789">
        <v>1971</v>
      </c>
      <c r="J4789">
        <v>1</v>
      </c>
      <c r="K4789">
        <v>1</v>
      </c>
      <c r="L4789">
        <v>0</v>
      </c>
      <c r="M4789">
        <v>2</v>
      </c>
      <c r="N4789" t="s">
        <v>35</v>
      </c>
      <c r="O4789" t="s">
        <v>32</v>
      </c>
      <c r="P4789">
        <v>7.1403146736240997</v>
      </c>
      <c r="Q4789">
        <v>2.4236855987081198</v>
      </c>
      <c r="R4789">
        <v>0.58598278233530798</v>
      </c>
      <c r="S4789">
        <v>7</v>
      </c>
      <c r="T4789">
        <v>72</v>
      </c>
      <c r="U4789">
        <v>854.14767522829698</v>
      </c>
      <c r="V4789">
        <v>2.53485424588086E-3</v>
      </c>
      <c r="W4789">
        <v>879075.14975085703</v>
      </c>
      <c r="X4789" t="s">
        <v>40</v>
      </c>
      <c r="Y4789">
        <f>1-986-299-1243</f>
        <v>-2527</v>
      </c>
    </row>
    <row r="4790" spans="1:25" x14ac:dyDescent="0.35">
      <c r="A4790">
        <v>35.377680914102598</v>
      </c>
      <c r="B4790">
        <v>-114.060486064334</v>
      </c>
      <c r="C4790" t="s">
        <v>29</v>
      </c>
      <c r="D4790">
        <v>21.784364382127901</v>
      </c>
      <c r="E4790">
        <v>9</v>
      </c>
      <c r="F4790">
        <v>2627</v>
      </c>
      <c r="G4790">
        <v>2</v>
      </c>
      <c r="H4790">
        <v>1</v>
      </c>
      <c r="I4790">
        <v>2017</v>
      </c>
      <c r="J4790">
        <v>0</v>
      </c>
      <c r="K4790">
        <v>1</v>
      </c>
      <c r="L4790">
        <v>1</v>
      </c>
      <c r="M4790">
        <v>10</v>
      </c>
      <c r="N4790" t="s">
        <v>35</v>
      </c>
      <c r="O4790" t="s">
        <v>27</v>
      </c>
      <c r="P4790">
        <v>9.29580458130817</v>
      </c>
      <c r="Q4790">
        <v>1.10446863396897</v>
      </c>
      <c r="R4790">
        <v>4.9160594016225101</v>
      </c>
      <c r="S4790">
        <v>16</v>
      </c>
      <c r="T4790">
        <v>42</v>
      </c>
      <c r="U4790">
        <v>214.55856331792</v>
      </c>
      <c r="V4790">
        <v>3.80662352493338E-3</v>
      </c>
      <c r="W4790">
        <v>800501.496775846</v>
      </c>
      <c r="X4790" t="s">
        <v>39</v>
      </c>
      <c r="Y4790">
        <f>1-889-185-2029</f>
        <v>-3102</v>
      </c>
    </row>
    <row r="4791" spans="1:25" x14ac:dyDescent="0.35">
      <c r="A4791">
        <v>41.522704335282903</v>
      </c>
      <c r="B4791">
        <v>-119.47777047888501</v>
      </c>
      <c r="C4791" t="s">
        <v>29</v>
      </c>
      <c r="D4791">
        <v>48.819385350865097</v>
      </c>
      <c r="E4791">
        <v>8</v>
      </c>
      <c r="F4791">
        <v>2317</v>
      </c>
      <c r="G4791">
        <v>4</v>
      </c>
      <c r="H4791">
        <v>2</v>
      </c>
      <c r="I4791">
        <v>2012</v>
      </c>
      <c r="J4791">
        <v>0</v>
      </c>
      <c r="K4791">
        <v>1</v>
      </c>
      <c r="L4791">
        <v>0</v>
      </c>
      <c r="M4791">
        <v>7</v>
      </c>
      <c r="N4791" t="s">
        <v>26</v>
      </c>
      <c r="O4791" t="s">
        <v>27</v>
      </c>
      <c r="P4791">
        <v>6.4019684836134401</v>
      </c>
      <c r="Q4791">
        <v>2.4726562837877601</v>
      </c>
      <c r="R4791">
        <v>4.8366347244351999</v>
      </c>
      <c r="S4791">
        <v>195</v>
      </c>
      <c r="T4791">
        <v>55</v>
      </c>
      <c r="U4791">
        <v>245.302267515072</v>
      </c>
      <c r="V4791">
        <v>3.0211480362537699E-3</v>
      </c>
      <c r="W4791">
        <v>833419.76394231303</v>
      </c>
      <c r="X4791" t="s">
        <v>28</v>
      </c>
      <c r="Y4791">
        <f>1-486-330-5156</f>
        <v>-5971</v>
      </c>
    </row>
    <row r="4792" spans="1:25" x14ac:dyDescent="0.35">
      <c r="A4792">
        <v>36.609456760076498</v>
      </c>
      <c r="B4792">
        <v>-115.74488744864</v>
      </c>
      <c r="C4792" t="s">
        <v>29</v>
      </c>
      <c r="D4792">
        <v>22.607804403714599</v>
      </c>
      <c r="E4792">
        <v>5</v>
      </c>
      <c r="F4792">
        <v>4393</v>
      </c>
      <c r="G4792">
        <v>4</v>
      </c>
      <c r="H4792">
        <v>2</v>
      </c>
      <c r="I4792">
        <v>2013</v>
      </c>
      <c r="J4792">
        <v>0</v>
      </c>
      <c r="K4792">
        <v>1</v>
      </c>
      <c r="L4792">
        <v>0</v>
      </c>
      <c r="M4792">
        <v>12</v>
      </c>
      <c r="N4792" t="s">
        <v>26</v>
      </c>
      <c r="O4792" t="s">
        <v>27</v>
      </c>
      <c r="P4792">
        <v>11.5747692147058</v>
      </c>
      <c r="Q4792">
        <v>1.75225489781704</v>
      </c>
      <c r="R4792">
        <v>1.9271209355047401</v>
      </c>
      <c r="S4792">
        <v>92</v>
      </c>
      <c r="T4792">
        <v>27</v>
      </c>
      <c r="U4792">
        <v>475.65754578308099</v>
      </c>
      <c r="V4792">
        <v>2.7316184839517401E-3</v>
      </c>
      <c r="W4792">
        <v>2541520.0384641099</v>
      </c>
      <c r="X4792" t="s">
        <v>33</v>
      </c>
      <c r="Y4792">
        <f>1-656-609-4825</f>
        <v>-6089</v>
      </c>
    </row>
    <row r="4793" spans="1:25" x14ac:dyDescent="0.35">
      <c r="A4793">
        <v>40.626438387283699</v>
      </c>
      <c r="B4793">
        <v>-123.437452409846</v>
      </c>
      <c r="C4793" t="s">
        <v>25</v>
      </c>
      <c r="D4793">
        <v>39.931825950308799</v>
      </c>
      <c r="E4793">
        <v>4</v>
      </c>
      <c r="F4793">
        <v>4121</v>
      </c>
      <c r="G4793">
        <v>3</v>
      </c>
      <c r="H4793">
        <v>1</v>
      </c>
      <c r="I4793">
        <v>2020</v>
      </c>
      <c r="J4793">
        <v>0</v>
      </c>
      <c r="K4793">
        <v>0</v>
      </c>
      <c r="L4793">
        <v>0</v>
      </c>
      <c r="M4793">
        <v>2</v>
      </c>
      <c r="N4793" t="s">
        <v>35</v>
      </c>
      <c r="O4793" t="s">
        <v>32</v>
      </c>
      <c r="P4793">
        <v>12.7068376544609</v>
      </c>
      <c r="Q4793">
        <v>1.1453442776870599</v>
      </c>
      <c r="R4793">
        <v>2.7115517943992899</v>
      </c>
      <c r="S4793">
        <v>44</v>
      </c>
      <c r="T4793">
        <v>52</v>
      </c>
      <c r="U4793">
        <v>476.94655607088202</v>
      </c>
      <c r="V4793">
        <v>4.8531909730647902E-4</v>
      </c>
      <c r="W4793">
        <v>2291159.5963090202</v>
      </c>
      <c r="X4793" t="s">
        <v>39</v>
      </c>
      <c r="Y4793">
        <f>1-429-278-2912</f>
        <v>-3618</v>
      </c>
    </row>
    <row r="4794" spans="1:25" x14ac:dyDescent="0.35">
      <c r="A4794">
        <v>36.8235760522238</v>
      </c>
      <c r="B4794">
        <v>-123.229806332895</v>
      </c>
      <c r="C4794" t="s">
        <v>34</v>
      </c>
      <c r="D4794">
        <v>5.6032060244880597</v>
      </c>
      <c r="E4794">
        <v>0</v>
      </c>
      <c r="F4794">
        <v>3356</v>
      </c>
      <c r="G4794">
        <v>2</v>
      </c>
      <c r="H4794">
        <v>1</v>
      </c>
      <c r="I4794">
        <v>1955</v>
      </c>
      <c r="J4794">
        <v>1</v>
      </c>
      <c r="K4794">
        <v>1</v>
      </c>
      <c r="L4794">
        <v>1</v>
      </c>
      <c r="M4794">
        <v>5</v>
      </c>
      <c r="N4794" t="s">
        <v>37</v>
      </c>
      <c r="O4794" t="s">
        <v>32</v>
      </c>
      <c r="P4794">
        <v>11.904404065777401</v>
      </c>
      <c r="Q4794">
        <v>1.5173649872677699</v>
      </c>
      <c r="R4794">
        <v>9.3842619317308902</v>
      </c>
      <c r="S4794">
        <v>103</v>
      </c>
      <c r="T4794">
        <v>56</v>
      </c>
      <c r="U4794">
        <v>596.80253775131803</v>
      </c>
      <c r="V4794">
        <v>1.4898688915375401E-3</v>
      </c>
      <c r="W4794">
        <v>2299269.4539153199</v>
      </c>
      <c r="X4794" t="s">
        <v>44</v>
      </c>
      <c r="Y4794">
        <f>1-275-295-6711</f>
        <v>-7280</v>
      </c>
    </row>
    <row r="4795" spans="1:25" x14ac:dyDescent="0.35">
      <c r="A4795">
        <v>35.250659239206001</v>
      </c>
      <c r="B4795">
        <v>-122.620828654305</v>
      </c>
      <c r="C4795" t="s">
        <v>25</v>
      </c>
      <c r="D4795">
        <v>14.8620033080112</v>
      </c>
      <c r="E4795">
        <v>3</v>
      </c>
      <c r="F4795">
        <v>4613</v>
      </c>
      <c r="G4795">
        <v>1</v>
      </c>
      <c r="H4795">
        <v>1</v>
      </c>
      <c r="I4795">
        <v>1998</v>
      </c>
      <c r="J4795">
        <v>0</v>
      </c>
      <c r="K4795">
        <v>1</v>
      </c>
      <c r="L4795">
        <v>1</v>
      </c>
      <c r="M4795">
        <v>9</v>
      </c>
      <c r="N4795" t="s">
        <v>26</v>
      </c>
      <c r="O4795" t="s">
        <v>32</v>
      </c>
      <c r="P4795">
        <v>9.5839765529662309</v>
      </c>
      <c r="Q4795">
        <v>1.49417294322709</v>
      </c>
      <c r="R4795">
        <v>4.3566686832311801</v>
      </c>
      <c r="S4795">
        <v>43</v>
      </c>
      <c r="T4795">
        <v>68</v>
      </c>
      <c r="U4795">
        <v>782.40243448847104</v>
      </c>
      <c r="V4795">
        <v>1.95100802081075E-3</v>
      </c>
      <c r="W4795">
        <v>3927401.3473737901</v>
      </c>
      <c r="X4795" t="s">
        <v>39</v>
      </c>
      <c r="Y4795">
        <f>1-595-997-5519</f>
        <v>-7110</v>
      </c>
    </row>
    <row r="4796" spans="1:25" x14ac:dyDescent="0.35">
      <c r="A4796">
        <v>35.367048081483098</v>
      </c>
      <c r="B4796">
        <v>-119.749717474555</v>
      </c>
      <c r="C4796" t="s">
        <v>29</v>
      </c>
      <c r="D4796">
        <v>48.7442439999774</v>
      </c>
      <c r="E4796">
        <v>1</v>
      </c>
      <c r="F4796">
        <v>2763</v>
      </c>
      <c r="G4796">
        <v>4</v>
      </c>
      <c r="H4796">
        <v>2</v>
      </c>
      <c r="I4796">
        <v>1996</v>
      </c>
      <c r="J4796">
        <v>0</v>
      </c>
      <c r="K4796">
        <v>0</v>
      </c>
      <c r="L4796">
        <v>0</v>
      </c>
      <c r="M4796">
        <v>5</v>
      </c>
      <c r="N4796" t="s">
        <v>35</v>
      </c>
      <c r="O4796" t="s">
        <v>27</v>
      </c>
      <c r="P4796">
        <v>8.8235878096982798</v>
      </c>
      <c r="Q4796">
        <v>0.970960772629198</v>
      </c>
      <c r="R4796">
        <v>2.7073921528080902</v>
      </c>
      <c r="S4796">
        <v>129</v>
      </c>
      <c r="T4796">
        <v>40</v>
      </c>
      <c r="U4796">
        <v>747.19508252127196</v>
      </c>
      <c r="V4796">
        <v>1.8096272167933401E-3</v>
      </c>
      <c r="W4796">
        <v>2353470.1957302298</v>
      </c>
      <c r="X4796" t="s">
        <v>40</v>
      </c>
      <c r="Y4796">
        <f>1-536-204-6201</f>
        <v>-6940</v>
      </c>
    </row>
    <row r="4797" spans="1:25" x14ac:dyDescent="0.35">
      <c r="A4797">
        <v>34.489690294652199</v>
      </c>
      <c r="B4797">
        <v>-114.647557672608</v>
      </c>
      <c r="C4797" t="s">
        <v>25</v>
      </c>
      <c r="D4797">
        <v>26.381879473473901</v>
      </c>
      <c r="E4797">
        <v>2</v>
      </c>
      <c r="F4797">
        <v>4221</v>
      </c>
      <c r="G4797">
        <v>3</v>
      </c>
      <c r="H4797">
        <v>3</v>
      </c>
      <c r="I4797">
        <v>1978</v>
      </c>
      <c r="J4797">
        <v>1</v>
      </c>
      <c r="K4797">
        <v>1</v>
      </c>
      <c r="L4797">
        <v>1</v>
      </c>
      <c r="M4797">
        <v>5</v>
      </c>
      <c r="N4797" t="s">
        <v>35</v>
      </c>
      <c r="O4797" t="s">
        <v>30</v>
      </c>
      <c r="P4797">
        <v>2.8612227419885201</v>
      </c>
      <c r="Q4797">
        <v>0.59199301777987001</v>
      </c>
      <c r="R4797">
        <v>2.8205899665357999</v>
      </c>
      <c r="S4797">
        <v>17</v>
      </c>
      <c r="T4797">
        <v>73</v>
      </c>
      <c r="U4797">
        <v>706.92348066234103</v>
      </c>
      <c r="V4797">
        <v>1.1845534233593899E-3</v>
      </c>
      <c r="W4797">
        <v>3369871.7313889102</v>
      </c>
      <c r="X4797" t="s">
        <v>39</v>
      </c>
      <c r="Y4797">
        <f>1-284-141-4043</f>
        <v>-4467</v>
      </c>
    </row>
    <row r="4798" spans="1:25" x14ac:dyDescent="0.35">
      <c r="A4798">
        <v>40.060547241237799</v>
      </c>
      <c r="B4798">
        <v>-122.837351138625</v>
      </c>
      <c r="C4798" t="s">
        <v>25</v>
      </c>
      <c r="D4798">
        <v>29.9717794925844</v>
      </c>
      <c r="E4798">
        <v>6</v>
      </c>
      <c r="F4798">
        <v>2004</v>
      </c>
      <c r="G4798">
        <v>4</v>
      </c>
      <c r="H4798">
        <v>1</v>
      </c>
      <c r="I4798">
        <v>2013</v>
      </c>
      <c r="J4798">
        <v>0</v>
      </c>
      <c r="K4798">
        <v>1</v>
      </c>
      <c r="L4798">
        <v>1</v>
      </c>
      <c r="M4798">
        <v>9</v>
      </c>
      <c r="N4798" t="s">
        <v>41</v>
      </c>
      <c r="O4798" t="s">
        <v>32</v>
      </c>
      <c r="P4798">
        <v>9.7257646381090197</v>
      </c>
      <c r="Q4798">
        <v>0.849162297818426</v>
      </c>
      <c r="R4798">
        <v>0.60349292558372902</v>
      </c>
      <c r="S4798">
        <v>162</v>
      </c>
      <c r="T4798">
        <v>42</v>
      </c>
      <c r="U4798">
        <v>647.51135712095504</v>
      </c>
      <c r="V4798">
        <v>4.4910179640718501E-3</v>
      </c>
      <c r="W4798">
        <v>1713496.9611585301</v>
      </c>
      <c r="X4798" t="s">
        <v>39</v>
      </c>
      <c r="Y4798">
        <f>1-649-609-9292</f>
        <v>-10549</v>
      </c>
    </row>
    <row r="4799" spans="1:25" x14ac:dyDescent="0.35">
      <c r="A4799">
        <v>37.938688714239603</v>
      </c>
      <c r="B4799">
        <v>-118.20828421026999</v>
      </c>
      <c r="C4799" t="s">
        <v>34</v>
      </c>
      <c r="D4799">
        <v>34.711685245677401</v>
      </c>
      <c r="E4799">
        <v>8</v>
      </c>
      <c r="F4799">
        <v>3416</v>
      </c>
      <c r="G4799">
        <v>3</v>
      </c>
      <c r="H4799">
        <v>2</v>
      </c>
      <c r="I4799">
        <v>1976</v>
      </c>
      <c r="J4799">
        <v>1</v>
      </c>
      <c r="K4799">
        <v>1</v>
      </c>
      <c r="L4799">
        <v>1</v>
      </c>
      <c r="M4799">
        <v>9</v>
      </c>
      <c r="N4799" t="s">
        <v>37</v>
      </c>
      <c r="O4799" t="s">
        <v>30</v>
      </c>
      <c r="P4799">
        <v>7.43859741592187</v>
      </c>
      <c r="Q4799">
        <v>2.1068992494902301</v>
      </c>
      <c r="R4799">
        <v>5.9546936908992301</v>
      </c>
      <c r="S4799">
        <v>11</v>
      </c>
      <c r="T4799">
        <v>46</v>
      </c>
      <c r="U4799">
        <v>963.65984550778899</v>
      </c>
      <c r="V4799">
        <v>2.63466042154566E-3</v>
      </c>
      <c r="W4799">
        <v>3669313.9705600101</v>
      </c>
      <c r="X4799" t="s">
        <v>38</v>
      </c>
      <c r="Y4799">
        <f>1-203-987-8568</f>
        <v>-9757</v>
      </c>
    </row>
    <row r="4800" spans="1:25" x14ac:dyDescent="0.35">
      <c r="A4800">
        <v>41.495781887963197</v>
      </c>
      <c r="B4800">
        <v>-114.601672933035</v>
      </c>
      <c r="C4800" t="s">
        <v>29</v>
      </c>
      <c r="D4800">
        <v>35.222060503316897</v>
      </c>
      <c r="E4800">
        <v>0</v>
      </c>
      <c r="F4800">
        <v>4467</v>
      </c>
      <c r="G4800">
        <v>2</v>
      </c>
      <c r="H4800">
        <v>2</v>
      </c>
      <c r="I4800">
        <v>1963</v>
      </c>
      <c r="J4800">
        <v>1</v>
      </c>
      <c r="K4800">
        <v>0</v>
      </c>
      <c r="L4800">
        <v>0</v>
      </c>
      <c r="M4800">
        <v>11</v>
      </c>
      <c r="N4800" t="s">
        <v>41</v>
      </c>
      <c r="O4800" t="s">
        <v>27</v>
      </c>
      <c r="P4800">
        <v>7.0975357219192698</v>
      </c>
      <c r="Q4800">
        <v>2.4700405349898098</v>
      </c>
      <c r="R4800">
        <v>5.2516851304419596</v>
      </c>
      <c r="S4800">
        <v>28</v>
      </c>
      <c r="T4800">
        <v>73</v>
      </c>
      <c r="U4800">
        <v>226.29865490330201</v>
      </c>
      <c r="V4800">
        <v>2.46250279829863E-3</v>
      </c>
      <c r="W4800">
        <v>1166677.81145801</v>
      </c>
      <c r="X4800" t="s">
        <v>40</v>
      </c>
      <c r="Y4800">
        <f>1-627-226-8833</f>
        <v>-9685</v>
      </c>
    </row>
    <row r="4801" spans="1:25" x14ac:dyDescent="0.35">
      <c r="A4801">
        <v>38.739799516139499</v>
      </c>
      <c r="B4801">
        <v>-116.871967131544</v>
      </c>
      <c r="C4801" t="s">
        <v>25</v>
      </c>
      <c r="D4801">
        <v>30.220414678674299</v>
      </c>
      <c r="E4801">
        <v>9</v>
      </c>
      <c r="F4801">
        <v>2222</v>
      </c>
      <c r="G4801">
        <v>1</v>
      </c>
      <c r="H4801">
        <v>1</v>
      </c>
      <c r="I4801">
        <v>1974</v>
      </c>
      <c r="J4801">
        <v>0</v>
      </c>
      <c r="K4801">
        <v>0</v>
      </c>
      <c r="L4801">
        <v>1</v>
      </c>
      <c r="M4801">
        <v>5</v>
      </c>
      <c r="N4801" t="s">
        <v>26</v>
      </c>
      <c r="O4801" t="s">
        <v>27</v>
      </c>
      <c r="P4801">
        <v>14.4330003749855</v>
      </c>
      <c r="Q4801">
        <v>0.89954454248821603</v>
      </c>
      <c r="R4801">
        <v>4.2072720234438901</v>
      </c>
      <c r="S4801">
        <v>144</v>
      </c>
      <c r="T4801">
        <v>39</v>
      </c>
      <c r="U4801">
        <v>330.95937463751898</v>
      </c>
      <c r="V4801">
        <v>2.2502250225022499E-3</v>
      </c>
      <c r="W4801">
        <v>864862.29782898899</v>
      </c>
      <c r="X4801" t="s">
        <v>43</v>
      </c>
      <c r="Y4801">
        <f>1-533-352-3263</f>
        <v>-4147</v>
      </c>
    </row>
    <row r="4802" spans="1:25" x14ac:dyDescent="0.35">
      <c r="A4802">
        <v>33.141090330325397</v>
      </c>
      <c r="B4802">
        <v>-117.916191140441</v>
      </c>
      <c r="C4802" t="s">
        <v>29</v>
      </c>
      <c r="D4802">
        <v>40.236032628325397</v>
      </c>
      <c r="E4802">
        <v>0</v>
      </c>
      <c r="F4802">
        <v>2722</v>
      </c>
      <c r="G4802">
        <v>1</v>
      </c>
      <c r="H4802">
        <v>1</v>
      </c>
      <c r="I4802">
        <v>1963</v>
      </c>
      <c r="J4802">
        <v>0</v>
      </c>
      <c r="K4802">
        <v>0</v>
      </c>
      <c r="L4802">
        <v>1</v>
      </c>
      <c r="M4802">
        <v>11</v>
      </c>
      <c r="N4802" t="s">
        <v>26</v>
      </c>
      <c r="O4802" t="s">
        <v>32</v>
      </c>
      <c r="P4802">
        <v>11.845200753406701</v>
      </c>
      <c r="Q4802">
        <v>1.69457756803796</v>
      </c>
      <c r="R4802">
        <v>6.7944568309654496</v>
      </c>
      <c r="S4802">
        <v>82</v>
      </c>
      <c r="T4802">
        <v>32</v>
      </c>
      <c r="U4802">
        <v>980.40226742451205</v>
      </c>
      <c r="V4802">
        <v>4.0411462160176298E-3</v>
      </c>
      <c r="W4802">
        <v>2763784.1203990998</v>
      </c>
      <c r="X4802" t="s">
        <v>38</v>
      </c>
      <c r="Y4802">
        <f>1-304-577-1650</f>
        <v>-2530</v>
      </c>
    </row>
    <row r="4803" spans="1:25" x14ac:dyDescent="0.35">
      <c r="A4803">
        <v>39.764630961867702</v>
      </c>
      <c r="B4803">
        <v>-122.674667970809</v>
      </c>
      <c r="C4803" t="s">
        <v>34</v>
      </c>
      <c r="D4803">
        <v>4.7701689230797504</v>
      </c>
      <c r="E4803">
        <v>3</v>
      </c>
      <c r="F4803">
        <v>2086</v>
      </c>
      <c r="G4803">
        <v>4</v>
      </c>
      <c r="H4803">
        <v>3</v>
      </c>
      <c r="I4803">
        <v>1955</v>
      </c>
      <c r="J4803">
        <v>1</v>
      </c>
      <c r="K4803">
        <v>0</v>
      </c>
      <c r="L4803">
        <v>1</v>
      </c>
      <c r="M4803">
        <v>11</v>
      </c>
      <c r="N4803" t="s">
        <v>35</v>
      </c>
      <c r="O4803" t="s">
        <v>30</v>
      </c>
      <c r="P4803">
        <v>10.4530608865619</v>
      </c>
      <c r="Q4803">
        <v>2.0474929716944898</v>
      </c>
      <c r="R4803">
        <v>0.97075706724036703</v>
      </c>
      <c r="S4803">
        <v>108</v>
      </c>
      <c r="T4803">
        <v>32</v>
      </c>
      <c r="U4803">
        <v>763.78144213445705</v>
      </c>
      <c r="V4803">
        <v>5.2732502396931899E-3</v>
      </c>
      <c r="W4803">
        <v>1985485.38522096</v>
      </c>
      <c r="X4803" t="s">
        <v>39</v>
      </c>
      <c r="Y4803">
        <f>1-393-710-3962</f>
        <v>-5064</v>
      </c>
    </row>
    <row r="4804" spans="1:25" x14ac:dyDescent="0.35">
      <c r="A4804">
        <v>35.2354047695734</v>
      </c>
      <c r="B4804">
        <v>-123.486839856532</v>
      </c>
      <c r="C4804" t="s">
        <v>25</v>
      </c>
      <c r="D4804">
        <v>49.541129615025604</v>
      </c>
      <c r="E4804">
        <v>7</v>
      </c>
      <c r="F4804">
        <v>4445</v>
      </c>
      <c r="G4804">
        <v>3</v>
      </c>
      <c r="H4804">
        <v>2</v>
      </c>
      <c r="I4804">
        <v>2007</v>
      </c>
      <c r="J4804">
        <v>0</v>
      </c>
      <c r="K4804">
        <v>1</v>
      </c>
      <c r="L4804">
        <v>0</v>
      </c>
      <c r="M4804">
        <v>3</v>
      </c>
      <c r="N4804" t="s">
        <v>37</v>
      </c>
      <c r="O4804" t="s">
        <v>27</v>
      </c>
      <c r="P4804">
        <v>5.5139213923632502</v>
      </c>
      <c r="Q4804">
        <v>1.8189314778528001</v>
      </c>
      <c r="R4804">
        <v>9.5970473483734899</v>
      </c>
      <c r="S4804">
        <v>15</v>
      </c>
      <c r="T4804">
        <v>77</v>
      </c>
      <c r="U4804">
        <v>325.04332869266199</v>
      </c>
      <c r="V4804">
        <v>6.7491563554555596E-4</v>
      </c>
      <c r="W4804">
        <v>1802128.46115309</v>
      </c>
      <c r="X4804" t="s">
        <v>39</v>
      </c>
      <c r="Y4804">
        <f>1-657-138-7351</f>
        <v>-8145</v>
      </c>
    </row>
    <row r="4805" spans="1:25" x14ac:dyDescent="0.35">
      <c r="A4805">
        <v>41.210769409096002</v>
      </c>
      <c r="B4805">
        <v>-114.718978103729</v>
      </c>
      <c r="C4805" t="s">
        <v>25</v>
      </c>
      <c r="D4805">
        <v>16.095584319190799</v>
      </c>
      <c r="E4805">
        <v>9</v>
      </c>
      <c r="F4805">
        <v>602</v>
      </c>
      <c r="G4805">
        <v>3</v>
      </c>
      <c r="H4805">
        <v>2</v>
      </c>
      <c r="I4805">
        <v>1953</v>
      </c>
      <c r="J4805">
        <v>1</v>
      </c>
      <c r="K4805">
        <v>1</v>
      </c>
      <c r="L4805">
        <v>1</v>
      </c>
      <c r="M4805">
        <v>2</v>
      </c>
      <c r="N4805" t="s">
        <v>37</v>
      </c>
      <c r="O4805" t="s">
        <v>27</v>
      </c>
      <c r="P4805">
        <v>7.3975100960658899</v>
      </c>
      <c r="Q4805">
        <v>1.06409718731285</v>
      </c>
      <c r="R4805">
        <v>5.5275591588197104</v>
      </c>
      <c r="S4805">
        <v>119</v>
      </c>
      <c r="T4805">
        <v>63</v>
      </c>
      <c r="U4805">
        <v>267.38950468498098</v>
      </c>
      <c r="V4805">
        <v>3.3222591362126199E-3</v>
      </c>
      <c r="W4805">
        <v>458643.41598917497</v>
      </c>
      <c r="X4805" t="s">
        <v>33</v>
      </c>
      <c r="Y4805">
        <f>1-515-920-9668</f>
        <v>-11102</v>
      </c>
    </row>
    <row r="4806" spans="1:25" x14ac:dyDescent="0.35">
      <c r="A4806">
        <v>33.180365699449901</v>
      </c>
      <c r="B4806">
        <v>-121.55361164218699</v>
      </c>
      <c r="C4806" t="s">
        <v>34</v>
      </c>
      <c r="D4806">
        <v>44.449066752364203</v>
      </c>
      <c r="E4806">
        <v>8</v>
      </c>
      <c r="F4806">
        <v>3355</v>
      </c>
      <c r="G4806">
        <v>1</v>
      </c>
      <c r="H4806">
        <v>2</v>
      </c>
      <c r="I4806">
        <v>1973</v>
      </c>
      <c r="J4806">
        <v>1</v>
      </c>
      <c r="K4806">
        <v>0</v>
      </c>
      <c r="L4806">
        <v>0</v>
      </c>
      <c r="M4806">
        <v>11</v>
      </c>
      <c r="N4806" t="s">
        <v>41</v>
      </c>
      <c r="O4806" t="s">
        <v>27</v>
      </c>
      <c r="P4806">
        <v>5.2966339505551101</v>
      </c>
      <c r="Q4806">
        <v>1.16223464222755</v>
      </c>
      <c r="R4806">
        <v>7.72633460904561</v>
      </c>
      <c r="S4806">
        <v>30</v>
      </c>
      <c r="T4806">
        <v>50</v>
      </c>
      <c r="U4806">
        <v>956.83824695209796</v>
      </c>
      <c r="V4806">
        <v>3.27868852459016E-3</v>
      </c>
      <c r="W4806">
        <v>3261539.3443964398</v>
      </c>
      <c r="X4806" t="s">
        <v>40</v>
      </c>
      <c r="Y4806">
        <f>1-741-796-8012</f>
        <v>-9548</v>
      </c>
    </row>
    <row r="4807" spans="1:25" x14ac:dyDescent="0.35">
      <c r="A4807">
        <v>34.206126270948701</v>
      </c>
      <c r="B4807">
        <v>-120.508149481866</v>
      </c>
      <c r="C4807" t="s">
        <v>25</v>
      </c>
      <c r="D4807">
        <v>32.253635549155703</v>
      </c>
      <c r="E4807">
        <v>1</v>
      </c>
      <c r="F4807">
        <v>3072</v>
      </c>
      <c r="G4807">
        <v>5</v>
      </c>
      <c r="H4807">
        <v>1</v>
      </c>
      <c r="I4807">
        <v>1987</v>
      </c>
      <c r="J4807">
        <v>1</v>
      </c>
      <c r="K4807">
        <v>1</v>
      </c>
      <c r="L4807">
        <v>1</v>
      </c>
      <c r="M4807">
        <v>9</v>
      </c>
      <c r="N4807" t="s">
        <v>41</v>
      </c>
      <c r="O4807" t="s">
        <v>27</v>
      </c>
      <c r="P4807">
        <v>6.1131609019326598</v>
      </c>
      <c r="Q4807">
        <v>1.5451626321121501</v>
      </c>
      <c r="R4807">
        <v>6.2812195749070003</v>
      </c>
      <c r="S4807">
        <v>93</v>
      </c>
      <c r="T4807">
        <v>36</v>
      </c>
      <c r="U4807">
        <v>769.57781647552997</v>
      </c>
      <c r="V4807">
        <v>2.9296875E-3</v>
      </c>
      <c r="W4807">
        <v>2710305.35597446</v>
      </c>
      <c r="X4807" t="s">
        <v>44</v>
      </c>
      <c r="Y4807">
        <f>1-817-707-3624</f>
        <v>-5147</v>
      </c>
    </row>
    <row r="4808" spans="1:25" x14ac:dyDescent="0.35">
      <c r="A4808">
        <v>39.616461895966502</v>
      </c>
      <c r="B4808">
        <v>-114.785300110168</v>
      </c>
      <c r="C4808" t="s">
        <v>25</v>
      </c>
      <c r="D4808">
        <v>24.022936175255701</v>
      </c>
      <c r="E4808">
        <v>4</v>
      </c>
      <c r="F4808">
        <v>1937</v>
      </c>
      <c r="G4808">
        <v>4</v>
      </c>
      <c r="H4808">
        <v>3</v>
      </c>
      <c r="I4808">
        <v>1963</v>
      </c>
      <c r="J4808">
        <v>1</v>
      </c>
      <c r="K4808">
        <v>1</v>
      </c>
      <c r="L4808">
        <v>0</v>
      </c>
      <c r="M4808">
        <v>4</v>
      </c>
      <c r="N4808" t="s">
        <v>35</v>
      </c>
      <c r="O4808" t="s">
        <v>32</v>
      </c>
      <c r="P4808">
        <v>2.6527129786747299</v>
      </c>
      <c r="Q4808">
        <v>0.68096442590314099</v>
      </c>
      <c r="R4808">
        <v>9.7457464286509108</v>
      </c>
      <c r="S4808">
        <v>34</v>
      </c>
      <c r="T4808">
        <v>49</v>
      </c>
      <c r="U4808">
        <v>837.82152475693101</v>
      </c>
      <c r="V4808">
        <v>2.0650490449148099E-3</v>
      </c>
      <c r="W4808">
        <v>1939724.54192456</v>
      </c>
      <c r="X4808" t="s">
        <v>44</v>
      </c>
      <c r="Y4808">
        <f>1-362-557-5097</f>
        <v>-6015</v>
      </c>
    </row>
    <row r="4809" spans="1:25" x14ac:dyDescent="0.35">
      <c r="A4809">
        <v>33.865153854112002</v>
      </c>
      <c r="B4809">
        <v>-115.65104878209</v>
      </c>
      <c r="C4809" t="s">
        <v>25</v>
      </c>
      <c r="D4809">
        <v>39.016647260073398</v>
      </c>
      <c r="E4809">
        <v>7</v>
      </c>
      <c r="F4809">
        <v>767</v>
      </c>
      <c r="G4809">
        <v>5</v>
      </c>
      <c r="H4809">
        <v>3</v>
      </c>
      <c r="I4809">
        <v>1987</v>
      </c>
      <c r="J4809">
        <v>1</v>
      </c>
      <c r="K4809">
        <v>0</v>
      </c>
      <c r="L4809">
        <v>0</v>
      </c>
      <c r="M4809">
        <v>9</v>
      </c>
      <c r="N4809" t="s">
        <v>41</v>
      </c>
      <c r="O4809" t="s">
        <v>32</v>
      </c>
      <c r="P4809">
        <v>11.8349625511532</v>
      </c>
      <c r="Q4809">
        <v>2.49829671842779</v>
      </c>
      <c r="R4809">
        <v>5.9114645488680999</v>
      </c>
      <c r="S4809">
        <v>101</v>
      </c>
      <c r="T4809">
        <v>60</v>
      </c>
      <c r="U4809">
        <v>231.69044374596999</v>
      </c>
      <c r="V4809">
        <v>1.17340286831812E-2</v>
      </c>
      <c r="W4809">
        <v>530309.89712880296</v>
      </c>
      <c r="X4809" t="s">
        <v>43</v>
      </c>
      <c r="Y4809">
        <f>1-961-285-7502</f>
        <v>-8747</v>
      </c>
    </row>
    <row r="4810" spans="1:25" x14ac:dyDescent="0.35">
      <c r="A4810">
        <v>34.9330682784827</v>
      </c>
      <c r="B4810">
        <v>-118.027848861367</v>
      </c>
      <c r="C4810" t="s">
        <v>29</v>
      </c>
      <c r="D4810">
        <v>39.566927573149798</v>
      </c>
      <c r="E4810">
        <v>7</v>
      </c>
      <c r="F4810">
        <v>2203</v>
      </c>
      <c r="G4810">
        <v>4</v>
      </c>
      <c r="H4810">
        <v>2</v>
      </c>
      <c r="I4810">
        <v>1979</v>
      </c>
      <c r="J4810">
        <v>1</v>
      </c>
      <c r="K4810">
        <v>0</v>
      </c>
      <c r="L4810">
        <v>1</v>
      </c>
      <c r="M4810">
        <v>2</v>
      </c>
      <c r="N4810" t="s">
        <v>26</v>
      </c>
      <c r="O4810" t="s">
        <v>32</v>
      </c>
      <c r="P4810">
        <v>10.6731442903514</v>
      </c>
      <c r="Q4810">
        <v>0.78917478800850605</v>
      </c>
      <c r="R4810">
        <v>2.5738261340405901</v>
      </c>
      <c r="S4810">
        <v>21</v>
      </c>
      <c r="T4810">
        <v>63</v>
      </c>
      <c r="U4810">
        <v>391.60395008184599</v>
      </c>
      <c r="V4810">
        <v>9.0785292782569204E-4</v>
      </c>
      <c r="W4810">
        <v>1267700.7367903399</v>
      </c>
      <c r="X4810" t="s">
        <v>31</v>
      </c>
      <c r="Y4810">
        <f>1-649-462-3709</f>
        <v>-4819</v>
      </c>
    </row>
    <row r="4811" spans="1:25" x14ac:dyDescent="0.35">
      <c r="A4811">
        <v>40.086650240188803</v>
      </c>
      <c r="B4811">
        <v>-115.72565157240101</v>
      </c>
      <c r="C4811" t="s">
        <v>25</v>
      </c>
      <c r="D4811">
        <v>41.320869177784097</v>
      </c>
      <c r="E4811">
        <v>5</v>
      </c>
      <c r="F4811">
        <v>599</v>
      </c>
      <c r="G4811">
        <v>1</v>
      </c>
      <c r="H4811">
        <v>3</v>
      </c>
      <c r="I4811">
        <v>2012</v>
      </c>
      <c r="J4811">
        <v>1</v>
      </c>
      <c r="K4811">
        <v>1</v>
      </c>
      <c r="L4811">
        <v>1</v>
      </c>
      <c r="M4811">
        <v>10</v>
      </c>
      <c r="N4811" t="s">
        <v>26</v>
      </c>
      <c r="O4811" t="s">
        <v>27</v>
      </c>
      <c r="P4811">
        <v>8.3483966493050996</v>
      </c>
      <c r="Q4811">
        <v>1.36268937346515</v>
      </c>
      <c r="R4811">
        <v>4.1461786268994896</v>
      </c>
      <c r="S4811">
        <v>31</v>
      </c>
      <c r="T4811">
        <v>24</v>
      </c>
      <c r="U4811">
        <v>230.98798630720501</v>
      </c>
      <c r="V4811">
        <v>1.6694490818030001E-2</v>
      </c>
      <c r="W4811">
        <v>550391.73850459501</v>
      </c>
      <c r="X4811" t="s">
        <v>40</v>
      </c>
      <c r="Y4811">
        <f>1-273-272-1745</f>
        <v>-2289</v>
      </c>
    </row>
    <row r="4812" spans="1:25" x14ac:dyDescent="0.35">
      <c r="A4812">
        <v>41.524839313093203</v>
      </c>
      <c r="B4812">
        <v>-117.29544094126101</v>
      </c>
      <c r="C4812" t="s">
        <v>25</v>
      </c>
      <c r="D4812">
        <v>8.3778241499227093</v>
      </c>
      <c r="E4812">
        <v>7</v>
      </c>
      <c r="F4812">
        <v>985</v>
      </c>
      <c r="G4812">
        <v>3</v>
      </c>
      <c r="H4812">
        <v>3</v>
      </c>
      <c r="I4812">
        <v>1963</v>
      </c>
      <c r="J4812">
        <v>0</v>
      </c>
      <c r="K4812">
        <v>0</v>
      </c>
      <c r="L4812">
        <v>0</v>
      </c>
      <c r="M4812">
        <v>2</v>
      </c>
      <c r="N4812" t="s">
        <v>41</v>
      </c>
      <c r="O4812" t="s">
        <v>30</v>
      </c>
      <c r="P4812">
        <v>9.5849579576975898</v>
      </c>
      <c r="Q4812">
        <v>2.1312515517128001</v>
      </c>
      <c r="R4812">
        <v>0.74636087065936696</v>
      </c>
      <c r="S4812">
        <v>180</v>
      </c>
      <c r="T4812">
        <v>45</v>
      </c>
      <c r="U4812">
        <v>609.06320090841496</v>
      </c>
      <c r="V4812">
        <v>2.03045685279187E-3</v>
      </c>
      <c r="W4812">
        <v>806850.96120829496</v>
      </c>
      <c r="X4812" t="s">
        <v>28</v>
      </c>
      <c r="Y4812">
        <f>1-536-411-3016</f>
        <v>-3962</v>
      </c>
    </row>
    <row r="4813" spans="1:25" x14ac:dyDescent="0.35">
      <c r="A4813">
        <v>40.480674698849697</v>
      </c>
      <c r="B4813">
        <v>-115.602137600156</v>
      </c>
      <c r="C4813" t="s">
        <v>29</v>
      </c>
      <c r="D4813">
        <v>18.423359724206101</v>
      </c>
      <c r="E4813">
        <v>9</v>
      </c>
      <c r="F4813">
        <v>2898</v>
      </c>
      <c r="G4813">
        <v>1</v>
      </c>
      <c r="H4813">
        <v>3</v>
      </c>
      <c r="I4813">
        <v>1964</v>
      </c>
      <c r="J4813">
        <v>0</v>
      </c>
      <c r="K4813">
        <v>0</v>
      </c>
      <c r="L4813">
        <v>0</v>
      </c>
      <c r="M4813">
        <v>11</v>
      </c>
      <c r="N4813" t="s">
        <v>37</v>
      </c>
      <c r="O4813" t="s">
        <v>32</v>
      </c>
      <c r="P4813">
        <v>14.6527115050883</v>
      </c>
      <c r="Q4813">
        <v>2.09374003596393</v>
      </c>
      <c r="R4813">
        <v>2.1640608483002302</v>
      </c>
      <c r="S4813">
        <v>168</v>
      </c>
      <c r="T4813">
        <v>54</v>
      </c>
      <c r="U4813">
        <v>398.32335987568399</v>
      </c>
      <c r="V4813">
        <v>3.7957211870255302E-3</v>
      </c>
      <c r="W4813">
        <v>1379702.38109835</v>
      </c>
      <c r="X4813" t="s">
        <v>38</v>
      </c>
      <c r="Y4813">
        <f>1-616-321-7646</f>
        <v>-8582</v>
      </c>
    </row>
    <row r="4814" spans="1:25" x14ac:dyDescent="0.35">
      <c r="A4814">
        <v>35.706846188210697</v>
      </c>
      <c r="B4814">
        <v>-115.058742479438</v>
      </c>
      <c r="C4814" t="s">
        <v>34</v>
      </c>
      <c r="D4814">
        <v>34.682635280451599</v>
      </c>
      <c r="E4814">
        <v>0</v>
      </c>
      <c r="F4814">
        <v>3097</v>
      </c>
      <c r="G4814">
        <v>5</v>
      </c>
      <c r="H4814">
        <v>2</v>
      </c>
      <c r="I4814">
        <v>1997</v>
      </c>
      <c r="J4814">
        <v>1</v>
      </c>
      <c r="K4814">
        <v>1</v>
      </c>
      <c r="L4814">
        <v>0</v>
      </c>
      <c r="M4814">
        <v>12</v>
      </c>
      <c r="N4814" t="s">
        <v>26</v>
      </c>
      <c r="O4814" t="s">
        <v>32</v>
      </c>
      <c r="P4814">
        <v>14.775966945525999</v>
      </c>
      <c r="Q4814">
        <v>1.07531381660199</v>
      </c>
      <c r="R4814">
        <v>7.9075786604699099</v>
      </c>
      <c r="S4814">
        <v>25</v>
      </c>
      <c r="T4814">
        <v>69</v>
      </c>
      <c r="U4814">
        <v>487.166124907903</v>
      </c>
      <c r="V4814">
        <v>3.87471746851792E-3</v>
      </c>
      <c r="W4814">
        <v>2051808.3328060899</v>
      </c>
      <c r="X4814" t="s">
        <v>40</v>
      </c>
      <c r="Y4814">
        <f>1-669-971-4945</f>
        <v>-6584</v>
      </c>
    </row>
    <row r="4815" spans="1:25" x14ac:dyDescent="0.35">
      <c r="A4815">
        <v>35.839341811971003</v>
      </c>
      <c r="B4815">
        <v>-117.00948771194901</v>
      </c>
      <c r="C4815" t="s">
        <v>25</v>
      </c>
      <c r="D4815">
        <v>2.8729874910558699</v>
      </c>
      <c r="E4815">
        <v>8</v>
      </c>
      <c r="F4815">
        <v>4093</v>
      </c>
      <c r="G4815">
        <v>4</v>
      </c>
      <c r="H4815">
        <v>3</v>
      </c>
      <c r="I4815">
        <v>1974</v>
      </c>
      <c r="J4815">
        <v>1</v>
      </c>
      <c r="K4815">
        <v>1</v>
      </c>
      <c r="L4815">
        <v>0</v>
      </c>
      <c r="M4815">
        <v>4</v>
      </c>
      <c r="N4815" t="s">
        <v>26</v>
      </c>
      <c r="O4815" t="s">
        <v>27</v>
      </c>
      <c r="P4815">
        <v>14.6858187269853</v>
      </c>
      <c r="Q4815">
        <v>0.70349444275133799</v>
      </c>
      <c r="R4815">
        <v>8.1531943065960899</v>
      </c>
      <c r="S4815">
        <v>42</v>
      </c>
      <c r="T4815">
        <v>77</v>
      </c>
      <c r="U4815">
        <v>721.33440549545503</v>
      </c>
      <c r="V4815">
        <v>9.7727827999022701E-4</v>
      </c>
      <c r="W4815">
        <v>3392593.74405054</v>
      </c>
      <c r="X4815" t="s">
        <v>36</v>
      </c>
      <c r="Y4815">
        <f>1-207-979-9209</f>
        <v>-10394</v>
      </c>
    </row>
    <row r="4816" spans="1:25" x14ac:dyDescent="0.35">
      <c r="A4816">
        <v>35.4500936095139</v>
      </c>
      <c r="B4816">
        <v>-123.486804060764</v>
      </c>
      <c r="C4816" t="s">
        <v>29</v>
      </c>
      <c r="D4816">
        <v>5.8710393710375</v>
      </c>
      <c r="E4816">
        <v>6</v>
      </c>
      <c r="F4816">
        <v>1484</v>
      </c>
      <c r="G4816">
        <v>2</v>
      </c>
      <c r="H4816">
        <v>1</v>
      </c>
      <c r="I4816">
        <v>2016</v>
      </c>
      <c r="J4816">
        <v>1</v>
      </c>
      <c r="K4816">
        <v>0</v>
      </c>
      <c r="L4816">
        <v>0</v>
      </c>
      <c r="M4816">
        <v>8</v>
      </c>
      <c r="N4816" t="s">
        <v>37</v>
      </c>
      <c r="O4816" t="s">
        <v>32</v>
      </c>
      <c r="P4816">
        <v>10.4330869945512</v>
      </c>
      <c r="Q4816">
        <v>0.92786638021953705</v>
      </c>
      <c r="R4816">
        <v>0.4165787967106</v>
      </c>
      <c r="S4816">
        <v>157</v>
      </c>
      <c r="T4816">
        <v>51</v>
      </c>
      <c r="U4816">
        <v>958.93031290723002</v>
      </c>
      <c r="V4816">
        <v>5.3908355795148199E-3</v>
      </c>
      <c r="W4816">
        <v>1595699.6455800999</v>
      </c>
      <c r="X4816" t="s">
        <v>38</v>
      </c>
      <c r="Y4816">
        <f>1-448-596-3261</f>
        <v>-4304</v>
      </c>
    </row>
    <row r="4817" spans="1:25" x14ac:dyDescent="0.35">
      <c r="A4817">
        <v>38.303444135325002</v>
      </c>
      <c r="B4817">
        <v>-122.897519687547</v>
      </c>
      <c r="C4817" t="s">
        <v>25</v>
      </c>
      <c r="D4817">
        <v>13.792802889017601</v>
      </c>
      <c r="E4817">
        <v>4</v>
      </c>
      <c r="F4817">
        <v>4883</v>
      </c>
      <c r="G4817">
        <v>5</v>
      </c>
      <c r="H4817">
        <v>2</v>
      </c>
      <c r="I4817">
        <v>1983</v>
      </c>
      <c r="J4817">
        <v>1</v>
      </c>
      <c r="K4817">
        <v>1</v>
      </c>
      <c r="L4817">
        <v>0</v>
      </c>
      <c r="M4817">
        <v>6</v>
      </c>
      <c r="N4817" t="s">
        <v>37</v>
      </c>
      <c r="O4817" t="s">
        <v>30</v>
      </c>
      <c r="P4817">
        <v>7.3419193817961901</v>
      </c>
      <c r="Q4817">
        <v>1.1169802198763199</v>
      </c>
      <c r="R4817">
        <v>1.23569561056321</v>
      </c>
      <c r="S4817">
        <v>81</v>
      </c>
      <c r="T4817">
        <v>49</v>
      </c>
      <c r="U4817">
        <v>902.35063253531098</v>
      </c>
      <c r="V4817">
        <v>1.22875281589186E-3</v>
      </c>
      <c r="W4817">
        <v>4889376.6739274096</v>
      </c>
      <c r="X4817" t="s">
        <v>42</v>
      </c>
      <c r="Y4817">
        <f>1-743-804-4941</f>
        <v>-6487</v>
      </c>
    </row>
    <row r="4818" spans="1:25" x14ac:dyDescent="0.35">
      <c r="A4818">
        <v>41.852337798540098</v>
      </c>
      <c r="B4818">
        <v>-120.287460977962</v>
      </c>
      <c r="C4818" t="s">
        <v>29</v>
      </c>
      <c r="D4818">
        <v>20.242057495743602</v>
      </c>
      <c r="E4818">
        <v>3</v>
      </c>
      <c r="F4818">
        <v>3446</v>
      </c>
      <c r="G4818">
        <v>4</v>
      </c>
      <c r="H4818">
        <v>1</v>
      </c>
      <c r="I4818">
        <v>2015</v>
      </c>
      <c r="J4818">
        <v>1</v>
      </c>
      <c r="K4818">
        <v>1</v>
      </c>
      <c r="L4818">
        <v>1</v>
      </c>
      <c r="M4818">
        <v>10</v>
      </c>
      <c r="N4818" t="s">
        <v>26</v>
      </c>
      <c r="O4818" t="s">
        <v>27</v>
      </c>
      <c r="P4818">
        <v>14.565435309047899</v>
      </c>
      <c r="Q4818">
        <v>2.4029701337256202</v>
      </c>
      <c r="R4818">
        <v>2.8031944008343599</v>
      </c>
      <c r="S4818">
        <v>171</v>
      </c>
      <c r="T4818">
        <v>34</v>
      </c>
      <c r="U4818">
        <v>269.87094448341401</v>
      </c>
      <c r="V4818">
        <v>2.9019152640742799E-3</v>
      </c>
      <c r="W4818">
        <v>1424917.98330318</v>
      </c>
      <c r="X4818" t="s">
        <v>39</v>
      </c>
      <c r="Y4818">
        <f>1-740-706-5931</f>
        <v>-7376</v>
      </c>
    </row>
    <row r="4819" spans="1:25" x14ac:dyDescent="0.35">
      <c r="A4819">
        <v>33.534821008455602</v>
      </c>
      <c r="B4819">
        <v>-119.455429568284</v>
      </c>
      <c r="C4819" t="s">
        <v>29</v>
      </c>
      <c r="D4819">
        <v>7.7304253064892396</v>
      </c>
      <c r="E4819">
        <v>5</v>
      </c>
      <c r="F4819">
        <v>2697</v>
      </c>
      <c r="G4819">
        <v>5</v>
      </c>
      <c r="H4819">
        <v>2</v>
      </c>
      <c r="I4819">
        <v>1979</v>
      </c>
      <c r="J4819">
        <v>1</v>
      </c>
      <c r="K4819">
        <v>0</v>
      </c>
      <c r="L4819">
        <v>1</v>
      </c>
      <c r="M4819">
        <v>14</v>
      </c>
      <c r="N4819" t="s">
        <v>41</v>
      </c>
      <c r="O4819" t="s">
        <v>32</v>
      </c>
      <c r="P4819">
        <v>8.7734271345252903</v>
      </c>
      <c r="Q4819">
        <v>0.60217913889589603</v>
      </c>
      <c r="R4819">
        <v>7.7795367587839097</v>
      </c>
      <c r="S4819">
        <v>173</v>
      </c>
      <c r="T4819">
        <v>50</v>
      </c>
      <c r="U4819">
        <v>709.59334262007701</v>
      </c>
      <c r="V4819">
        <v>5.1909529106414498E-3</v>
      </c>
      <c r="W4819">
        <v>2256557.8388171401</v>
      </c>
      <c r="X4819" t="s">
        <v>42</v>
      </c>
      <c r="Y4819">
        <f>1-296-947-2082</f>
        <v>-3324</v>
      </c>
    </row>
    <row r="4820" spans="1:25" x14ac:dyDescent="0.35">
      <c r="A4820">
        <v>35.126450749401499</v>
      </c>
      <c r="B4820">
        <v>-120.20238341811501</v>
      </c>
      <c r="C4820" t="s">
        <v>29</v>
      </c>
      <c r="D4820">
        <v>35.108392731960699</v>
      </c>
      <c r="E4820">
        <v>7</v>
      </c>
      <c r="F4820">
        <v>1695</v>
      </c>
      <c r="G4820">
        <v>3</v>
      </c>
      <c r="H4820">
        <v>1</v>
      </c>
      <c r="I4820">
        <v>1982</v>
      </c>
      <c r="J4820">
        <v>1</v>
      </c>
      <c r="K4820">
        <v>1</v>
      </c>
      <c r="L4820">
        <v>0</v>
      </c>
      <c r="M4820">
        <v>5</v>
      </c>
      <c r="N4820" t="s">
        <v>41</v>
      </c>
      <c r="O4820" t="s">
        <v>32</v>
      </c>
      <c r="P4820">
        <v>12.2977535007985</v>
      </c>
      <c r="Q4820">
        <v>1.4508894456925201</v>
      </c>
      <c r="R4820">
        <v>5.7433174744286397</v>
      </c>
      <c r="S4820">
        <v>164</v>
      </c>
      <c r="T4820">
        <v>74</v>
      </c>
      <c r="U4820">
        <v>367.27794322683502</v>
      </c>
      <c r="V4820">
        <v>2.9498525073746299E-3</v>
      </c>
      <c r="W4820">
        <v>924304.84361058497</v>
      </c>
      <c r="X4820" t="s">
        <v>36</v>
      </c>
      <c r="Y4820">
        <f>1-763-251-9835</f>
        <v>-10848</v>
      </c>
    </row>
    <row r="4821" spans="1:25" x14ac:dyDescent="0.35">
      <c r="A4821">
        <v>33.782910580066599</v>
      </c>
      <c r="B4821">
        <v>-120.699786981068</v>
      </c>
      <c r="C4821" t="s">
        <v>29</v>
      </c>
      <c r="D4821">
        <v>38.171542842039401</v>
      </c>
      <c r="E4821">
        <v>2</v>
      </c>
      <c r="F4821">
        <v>4710</v>
      </c>
      <c r="G4821">
        <v>4</v>
      </c>
      <c r="H4821">
        <v>3</v>
      </c>
      <c r="I4821">
        <v>1985</v>
      </c>
      <c r="J4821">
        <v>0</v>
      </c>
      <c r="K4821">
        <v>1</v>
      </c>
      <c r="L4821">
        <v>0</v>
      </c>
      <c r="M4821">
        <v>10</v>
      </c>
      <c r="N4821" t="s">
        <v>26</v>
      </c>
      <c r="O4821" t="s">
        <v>30</v>
      </c>
      <c r="P4821">
        <v>6.1745036953683297</v>
      </c>
      <c r="Q4821">
        <v>1.23913326125318</v>
      </c>
      <c r="R4821">
        <v>6.3285388562604901</v>
      </c>
      <c r="S4821">
        <v>70</v>
      </c>
      <c r="T4821">
        <v>25</v>
      </c>
      <c r="U4821">
        <v>563.064876823178</v>
      </c>
      <c r="V4821">
        <v>2.1231422505307799E-3</v>
      </c>
      <c r="W4821">
        <v>2970522.2408839301</v>
      </c>
      <c r="X4821" t="s">
        <v>33</v>
      </c>
      <c r="Y4821">
        <f>1-959-522-5067</f>
        <v>-6547</v>
      </c>
    </row>
    <row r="4822" spans="1:25" x14ac:dyDescent="0.35">
      <c r="A4822">
        <v>38.846838714724498</v>
      </c>
      <c r="B4822">
        <v>-117.79457286522999</v>
      </c>
      <c r="C4822" t="s">
        <v>29</v>
      </c>
      <c r="D4822">
        <v>27.417255448179699</v>
      </c>
      <c r="E4822">
        <v>4</v>
      </c>
      <c r="F4822">
        <v>2090</v>
      </c>
      <c r="G4822">
        <v>5</v>
      </c>
      <c r="H4822">
        <v>2</v>
      </c>
      <c r="I4822">
        <v>1988</v>
      </c>
      <c r="J4822">
        <v>0</v>
      </c>
      <c r="K4822">
        <v>0</v>
      </c>
      <c r="L4822">
        <v>0</v>
      </c>
      <c r="M4822">
        <v>8</v>
      </c>
      <c r="N4822" t="s">
        <v>35</v>
      </c>
      <c r="O4822" t="s">
        <v>30</v>
      </c>
      <c r="P4822">
        <v>5.26232425706666</v>
      </c>
      <c r="Q4822">
        <v>1.2394605553940199</v>
      </c>
      <c r="R4822">
        <v>1.8256930193619201</v>
      </c>
      <c r="S4822">
        <v>176</v>
      </c>
      <c r="T4822">
        <v>43</v>
      </c>
      <c r="U4822">
        <v>939.97695522124195</v>
      </c>
      <c r="V4822">
        <v>3.8277511961722398E-3</v>
      </c>
      <c r="W4822">
        <v>2284943.3813959002</v>
      </c>
      <c r="X4822" t="s">
        <v>33</v>
      </c>
      <c r="Y4822">
        <f>1-509-138-6251</f>
        <v>-6897</v>
      </c>
    </row>
    <row r="4823" spans="1:25" x14ac:dyDescent="0.35">
      <c r="A4823">
        <v>37.084899499016799</v>
      </c>
      <c r="B4823">
        <v>-117.00393728056601</v>
      </c>
      <c r="C4823" t="s">
        <v>29</v>
      </c>
      <c r="D4823">
        <v>3.16009764859627</v>
      </c>
      <c r="E4823">
        <v>2</v>
      </c>
      <c r="F4823">
        <v>3608</v>
      </c>
      <c r="G4823">
        <v>1</v>
      </c>
      <c r="H4823">
        <v>1</v>
      </c>
      <c r="I4823">
        <v>1993</v>
      </c>
      <c r="J4823">
        <v>0</v>
      </c>
      <c r="K4823">
        <v>0</v>
      </c>
      <c r="L4823">
        <v>1</v>
      </c>
      <c r="M4823">
        <v>5</v>
      </c>
      <c r="N4823" t="s">
        <v>35</v>
      </c>
      <c r="O4823" t="s">
        <v>30</v>
      </c>
      <c r="P4823">
        <v>8.3472518356240695</v>
      </c>
      <c r="Q4823">
        <v>1.86930742120416</v>
      </c>
      <c r="R4823">
        <v>1.90006630193542</v>
      </c>
      <c r="S4823">
        <v>90</v>
      </c>
      <c r="T4823">
        <v>73</v>
      </c>
      <c r="U4823">
        <v>732.27385843748004</v>
      </c>
      <c r="V4823">
        <v>1.38580931263858E-3</v>
      </c>
      <c r="W4823">
        <v>2692197.8205792201</v>
      </c>
      <c r="X4823" t="s">
        <v>33</v>
      </c>
      <c r="Y4823">
        <f>1-902-842-7228</f>
        <v>-8971</v>
      </c>
    </row>
    <row r="4824" spans="1:25" x14ac:dyDescent="0.35">
      <c r="A4824">
        <v>32.9790350438047</v>
      </c>
      <c r="B4824">
        <v>-122.446162445851</v>
      </c>
      <c r="C4824" t="s">
        <v>25</v>
      </c>
      <c r="D4824">
        <v>48.119718539344298</v>
      </c>
      <c r="E4824">
        <v>3</v>
      </c>
      <c r="F4824">
        <v>4117</v>
      </c>
      <c r="G4824">
        <v>4</v>
      </c>
      <c r="H4824">
        <v>1</v>
      </c>
      <c r="I4824">
        <v>1973</v>
      </c>
      <c r="J4824">
        <v>0</v>
      </c>
      <c r="K4824">
        <v>0</v>
      </c>
      <c r="L4824">
        <v>1</v>
      </c>
      <c r="M4824">
        <v>8</v>
      </c>
      <c r="N4824" t="s">
        <v>41</v>
      </c>
      <c r="O4824" t="s">
        <v>27</v>
      </c>
      <c r="P4824">
        <v>2.0196959123709002</v>
      </c>
      <c r="Q4824">
        <v>0.97273529370966905</v>
      </c>
      <c r="R4824">
        <v>0.76255141691228301</v>
      </c>
      <c r="S4824">
        <v>84</v>
      </c>
      <c r="T4824">
        <v>66</v>
      </c>
      <c r="U4824">
        <v>935.10882391156701</v>
      </c>
      <c r="V4824">
        <v>1.9431624969638E-3</v>
      </c>
      <c r="W4824">
        <v>4070707.06709535</v>
      </c>
      <c r="X4824" t="s">
        <v>43</v>
      </c>
      <c r="Y4824">
        <f>1-260-564-9070</f>
        <v>-9893</v>
      </c>
    </row>
    <row r="4825" spans="1:25" x14ac:dyDescent="0.35">
      <c r="A4825">
        <v>41.657877542634701</v>
      </c>
      <c r="B4825">
        <v>-119.36027363517999</v>
      </c>
      <c r="C4825" t="s">
        <v>34</v>
      </c>
      <c r="D4825">
        <v>13.178579466785401</v>
      </c>
      <c r="E4825">
        <v>0</v>
      </c>
      <c r="F4825">
        <v>4068</v>
      </c>
      <c r="G4825">
        <v>2</v>
      </c>
      <c r="H4825">
        <v>1</v>
      </c>
      <c r="I4825">
        <v>1970</v>
      </c>
      <c r="J4825">
        <v>1</v>
      </c>
      <c r="K4825">
        <v>1</v>
      </c>
      <c r="L4825">
        <v>1</v>
      </c>
      <c r="M4825">
        <v>11</v>
      </c>
      <c r="N4825" t="s">
        <v>37</v>
      </c>
      <c r="O4825" t="s">
        <v>27</v>
      </c>
      <c r="P4825">
        <v>3.3313893828224099</v>
      </c>
      <c r="Q4825">
        <v>0.82861173883787897</v>
      </c>
      <c r="R4825">
        <v>8.2442122241480291</v>
      </c>
      <c r="S4825">
        <v>170</v>
      </c>
      <c r="T4825">
        <v>55</v>
      </c>
      <c r="U4825">
        <v>998.58117439251498</v>
      </c>
      <c r="V4825">
        <v>2.7040314650934099E-3</v>
      </c>
      <c r="W4825">
        <v>4288397.0186635004</v>
      </c>
      <c r="X4825" t="s">
        <v>39</v>
      </c>
      <c r="Y4825">
        <f>1-700-579-3103</f>
        <v>-4381</v>
      </c>
    </row>
    <row r="4826" spans="1:25" x14ac:dyDescent="0.35">
      <c r="A4826">
        <v>41.237432876637698</v>
      </c>
      <c r="B4826">
        <v>-115.898536894542</v>
      </c>
      <c r="C4826" t="s">
        <v>34</v>
      </c>
      <c r="D4826">
        <v>36.231822252599201</v>
      </c>
      <c r="E4826">
        <v>2</v>
      </c>
      <c r="F4826">
        <v>3769</v>
      </c>
      <c r="G4826">
        <v>1</v>
      </c>
      <c r="H4826">
        <v>3</v>
      </c>
      <c r="I4826">
        <v>2005</v>
      </c>
      <c r="J4826">
        <v>1</v>
      </c>
      <c r="K4826">
        <v>0</v>
      </c>
      <c r="L4826">
        <v>1</v>
      </c>
      <c r="M4826">
        <v>14</v>
      </c>
      <c r="N4826" t="s">
        <v>26</v>
      </c>
      <c r="O4826" t="s">
        <v>32</v>
      </c>
      <c r="P4826">
        <v>14.0721773804274</v>
      </c>
      <c r="Q4826">
        <v>2.3545439621318098</v>
      </c>
      <c r="R4826">
        <v>9.2228151309616795</v>
      </c>
      <c r="S4826">
        <v>105</v>
      </c>
      <c r="T4826">
        <v>48</v>
      </c>
      <c r="U4826">
        <v>844.98946694225697</v>
      </c>
      <c r="V4826">
        <v>3.7145131334571499E-3</v>
      </c>
      <c r="W4826">
        <v>3475529.23725138</v>
      </c>
      <c r="X4826" t="s">
        <v>31</v>
      </c>
      <c r="Y4826">
        <f>1-524-345-5662</f>
        <v>-6530</v>
      </c>
    </row>
    <row r="4827" spans="1:25" x14ac:dyDescent="0.35">
      <c r="A4827">
        <v>34.772973014376198</v>
      </c>
      <c r="B4827">
        <v>-123.018575934328</v>
      </c>
      <c r="C4827" t="s">
        <v>34</v>
      </c>
      <c r="D4827">
        <v>23.290014075387099</v>
      </c>
      <c r="E4827">
        <v>4</v>
      </c>
      <c r="F4827">
        <v>3924</v>
      </c>
      <c r="G4827">
        <v>2</v>
      </c>
      <c r="H4827">
        <v>1</v>
      </c>
      <c r="I4827">
        <v>2019</v>
      </c>
      <c r="J4827">
        <v>0</v>
      </c>
      <c r="K4827">
        <v>1</v>
      </c>
      <c r="L4827">
        <v>0</v>
      </c>
      <c r="M4827">
        <v>8</v>
      </c>
      <c r="N4827" t="s">
        <v>37</v>
      </c>
      <c r="O4827" t="s">
        <v>27</v>
      </c>
      <c r="P4827">
        <v>2.34979014554653</v>
      </c>
      <c r="Q4827">
        <v>1.2217067968255999</v>
      </c>
      <c r="R4827">
        <v>7.0103825296820501</v>
      </c>
      <c r="S4827">
        <v>49</v>
      </c>
      <c r="T4827">
        <v>75</v>
      </c>
      <c r="U4827">
        <v>551.82070788732301</v>
      </c>
      <c r="V4827">
        <v>2.0387359836901101E-3</v>
      </c>
      <c r="W4827">
        <v>2405039.52372741</v>
      </c>
      <c r="X4827" t="s">
        <v>40</v>
      </c>
      <c r="Y4827">
        <f>1-941-388-2782</f>
        <v>-4110</v>
      </c>
    </row>
    <row r="4828" spans="1:25" x14ac:dyDescent="0.35">
      <c r="A4828">
        <v>36.537722476568099</v>
      </c>
      <c r="B4828">
        <v>-124.17339893748201</v>
      </c>
      <c r="C4828" t="s">
        <v>29</v>
      </c>
      <c r="D4828">
        <v>23.3751694605997</v>
      </c>
      <c r="E4828">
        <v>5</v>
      </c>
      <c r="F4828">
        <v>2457</v>
      </c>
      <c r="G4828">
        <v>5</v>
      </c>
      <c r="H4828">
        <v>2</v>
      </c>
      <c r="I4828">
        <v>2017</v>
      </c>
      <c r="J4828">
        <v>1</v>
      </c>
      <c r="K4828">
        <v>1</v>
      </c>
      <c r="L4828">
        <v>1</v>
      </c>
      <c r="M4828">
        <v>14</v>
      </c>
      <c r="N4828" t="s">
        <v>41</v>
      </c>
      <c r="O4828" t="s">
        <v>30</v>
      </c>
      <c r="P4828">
        <v>6.1843352070502</v>
      </c>
      <c r="Q4828">
        <v>0.65490681664976802</v>
      </c>
      <c r="R4828">
        <v>2.11994108301062</v>
      </c>
      <c r="S4828">
        <v>101</v>
      </c>
      <c r="T4828">
        <v>75</v>
      </c>
      <c r="U4828">
        <v>943.58461251139602</v>
      </c>
      <c r="V4828">
        <v>5.6980056980056896E-3</v>
      </c>
      <c r="W4828">
        <v>2802647.2663519899</v>
      </c>
      <c r="X4828" t="s">
        <v>39</v>
      </c>
      <c r="Y4828">
        <f>1-286-246-4873</f>
        <v>-5404</v>
      </c>
    </row>
    <row r="4829" spans="1:25" x14ac:dyDescent="0.35">
      <c r="A4829">
        <v>35.697506805784002</v>
      </c>
      <c r="B4829">
        <v>-121.564373313129</v>
      </c>
      <c r="C4829" t="s">
        <v>34</v>
      </c>
      <c r="D4829">
        <v>47.763952550815098</v>
      </c>
      <c r="E4829">
        <v>5</v>
      </c>
      <c r="F4829">
        <v>4279</v>
      </c>
      <c r="G4829">
        <v>4</v>
      </c>
      <c r="H4829">
        <v>3</v>
      </c>
      <c r="I4829">
        <v>1962</v>
      </c>
      <c r="J4829">
        <v>1</v>
      </c>
      <c r="K4829">
        <v>1</v>
      </c>
      <c r="L4829">
        <v>0</v>
      </c>
      <c r="M4829">
        <v>4</v>
      </c>
      <c r="N4829" t="s">
        <v>26</v>
      </c>
      <c r="O4829" t="s">
        <v>32</v>
      </c>
      <c r="P4829">
        <v>5.8931237264648697</v>
      </c>
      <c r="Q4829">
        <v>2.3978514225913501</v>
      </c>
      <c r="R4829">
        <v>0.48133225497343701</v>
      </c>
      <c r="S4829">
        <v>140</v>
      </c>
      <c r="T4829">
        <v>51</v>
      </c>
      <c r="U4829">
        <v>872.77223470337196</v>
      </c>
      <c r="V4829">
        <v>9.3479784996494501E-4</v>
      </c>
      <c r="W4829">
        <v>4133824.6964328</v>
      </c>
      <c r="X4829" t="s">
        <v>36</v>
      </c>
      <c r="Y4829">
        <f>1-532-837-5554</f>
        <v>-6922</v>
      </c>
    </row>
    <row r="4830" spans="1:25" x14ac:dyDescent="0.35">
      <c r="A4830">
        <v>37.001512738585497</v>
      </c>
      <c r="B4830">
        <v>-115.059332822312</v>
      </c>
      <c r="C4830" t="s">
        <v>29</v>
      </c>
      <c r="D4830">
        <v>42.058262746666301</v>
      </c>
      <c r="E4830">
        <v>7</v>
      </c>
      <c r="F4830">
        <v>2385</v>
      </c>
      <c r="G4830">
        <v>3</v>
      </c>
      <c r="H4830">
        <v>3</v>
      </c>
      <c r="I4830">
        <v>1987</v>
      </c>
      <c r="J4830">
        <v>1</v>
      </c>
      <c r="K4830">
        <v>0</v>
      </c>
      <c r="L4830">
        <v>0</v>
      </c>
      <c r="M4830">
        <v>5</v>
      </c>
      <c r="N4830" t="s">
        <v>26</v>
      </c>
      <c r="O4830" t="s">
        <v>32</v>
      </c>
      <c r="P4830">
        <v>3.1315901382229301</v>
      </c>
      <c r="Q4830">
        <v>1.7015480623647199</v>
      </c>
      <c r="R4830">
        <v>5.6709373440832698</v>
      </c>
      <c r="S4830">
        <v>121</v>
      </c>
      <c r="T4830">
        <v>74</v>
      </c>
      <c r="U4830">
        <v>473.08824123008702</v>
      </c>
      <c r="V4830">
        <v>2.0964360587002002E-3</v>
      </c>
      <c r="W4830">
        <v>1311944.8810415501</v>
      </c>
      <c r="X4830" t="s">
        <v>42</v>
      </c>
      <c r="Y4830">
        <f>1-392-502-5368</f>
        <v>-6261</v>
      </c>
    </row>
    <row r="4831" spans="1:25" x14ac:dyDescent="0.35">
      <c r="A4831">
        <v>38.1549727051245</v>
      </c>
      <c r="B4831">
        <v>-118.707620352898</v>
      </c>
      <c r="C4831" t="s">
        <v>34</v>
      </c>
      <c r="D4831">
        <v>31.740259065064699</v>
      </c>
      <c r="E4831">
        <v>5</v>
      </c>
      <c r="F4831">
        <v>2556</v>
      </c>
      <c r="G4831">
        <v>1</v>
      </c>
      <c r="H4831">
        <v>2</v>
      </c>
      <c r="I4831">
        <v>1961</v>
      </c>
      <c r="J4831">
        <v>0</v>
      </c>
      <c r="K4831">
        <v>1</v>
      </c>
      <c r="L4831">
        <v>0</v>
      </c>
      <c r="M4831">
        <v>14</v>
      </c>
      <c r="N4831" t="s">
        <v>37</v>
      </c>
      <c r="O4831" t="s">
        <v>27</v>
      </c>
      <c r="P4831">
        <v>12.580200498958799</v>
      </c>
      <c r="Q4831">
        <v>2.1808212137393399</v>
      </c>
      <c r="R4831">
        <v>1.3392594343228501</v>
      </c>
      <c r="S4831">
        <v>167</v>
      </c>
      <c r="T4831">
        <v>41</v>
      </c>
      <c r="U4831">
        <v>713.55614427659202</v>
      </c>
      <c r="V4831">
        <v>5.4773082942097002E-3</v>
      </c>
      <c r="W4831">
        <v>2005796.11433079</v>
      </c>
      <c r="X4831" t="s">
        <v>28</v>
      </c>
      <c r="Y4831">
        <f>1-519-674-1348</f>
        <v>-2540</v>
      </c>
    </row>
    <row r="4832" spans="1:25" x14ac:dyDescent="0.35">
      <c r="A4832">
        <v>40.9442907155223</v>
      </c>
      <c r="B4832">
        <v>-116.923461588943</v>
      </c>
      <c r="C4832" t="s">
        <v>34</v>
      </c>
      <c r="D4832">
        <v>9.8871946855512807</v>
      </c>
      <c r="E4832">
        <v>0</v>
      </c>
      <c r="F4832">
        <v>2117</v>
      </c>
      <c r="G4832">
        <v>5</v>
      </c>
      <c r="H4832">
        <v>3</v>
      </c>
      <c r="I4832">
        <v>1989</v>
      </c>
      <c r="J4832">
        <v>1</v>
      </c>
      <c r="K4832">
        <v>1</v>
      </c>
      <c r="L4832">
        <v>1</v>
      </c>
      <c r="M4832">
        <v>5</v>
      </c>
      <c r="N4832" t="s">
        <v>41</v>
      </c>
      <c r="O4832" t="s">
        <v>32</v>
      </c>
      <c r="P4832">
        <v>3.1282210100796601</v>
      </c>
      <c r="Q4832">
        <v>1.3025448579691501</v>
      </c>
      <c r="R4832">
        <v>7.0384063996695696</v>
      </c>
      <c r="S4832">
        <v>157</v>
      </c>
      <c r="T4832">
        <v>22</v>
      </c>
      <c r="U4832">
        <v>966.81866859055697</v>
      </c>
      <c r="V4832">
        <v>2.36183278223901E-3</v>
      </c>
      <c r="W4832">
        <v>2483564.2312533399</v>
      </c>
      <c r="X4832" t="s">
        <v>44</v>
      </c>
      <c r="Y4832">
        <f>1-383-261-5782</f>
        <v>-6425</v>
      </c>
    </row>
    <row r="4833" spans="1:25" x14ac:dyDescent="0.35">
      <c r="A4833">
        <v>41.170961416616997</v>
      </c>
      <c r="B4833">
        <v>-115.797474455157</v>
      </c>
      <c r="C4833" t="s">
        <v>34</v>
      </c>
      <c r="D4833">
        <v>23.201350922817099</v>
      </c>
      <c r="E4833">
        <v>0</v>
      </c>
      <c r="F4833">
        <v>1020</v>
      </c>
      <c r="G4833">
        <v>2</v>
      </c>
      <c r="H4833">
        <v>3</v>
      </c>
      <c r="I4833">
        <v>1975</v>
      </c>
      <c r="J4833">
        <v>0</v>
      </c>
      <c r="K4833">
        <v>1</v>
      </c>
      <c r="L4833">
        <v>1</v>
      </c>
      <c r="M4833">
        <v>10</v>
      </c>
      <c r="N4833" t="s">
        <v>26</v>
      </c>
      <c r="O4833" t="s">
        <v>27</v>
      </c>
      <c r="P4833">
        <v>6.2179111976008903</v>
      </c>
      <c r="Q4833">
        <v>2.1743805712046802</v>
      </c>
      <c r="R4833">
        <v>0.33637387774911398</v>
      </c>
      <c r="S4833">
        <v>56</v>
      </c>
      <c r="T4833">
        <v>43</v>
      </c>
      <c r="U4833">
        <v>624.15959777596595</v>
      </c>
      <c r="V4833">
        <v>9.8039215686274508E-3</v>
      </c>
      <c r="W4833">
        <v>987320.56771965104</v>
      </c>
      <c r="X4833" t="s">
        <v>33</v>
      </c>
      <c r="Y4833">
        <f>1-985-717-8428</f>
        <v>-10129</v>
      </c>
    </row>
    <row r="4834" spans="1:25" x14ac:dyDescent="0.35">
      <c r="A4834">
        <v>39.739671098879199</v>
      </c>
      <c r="B4834">
        <v>-115.103635317151</v>
      </c>
      <c r="C4834" t="s">
        <v>25</v>
      </c>
      <c r="D4834">
        <v>13.280194086465601</v>
      </c>
      <c r="E4834">
        <v>9</v>
      </c>
      <c r="F4834">
        <v>1505</v>
      </c>
      <c r="G4834">
        <v>2</v>
      </c>
      <c r="H4834">
        <v>2</v>
      </c>
      <c r="I4834">
        <v>1958</v>
      </c>
      <c r="J4834">
        <v>1</v>
      </c>
      <c r="K4834">
        <v>1</v>
      </c>
      <c r="L4834">
        <v>1</v>
      </c>
      <c r="M4834">
        <v>7</v>
      </c>
      <c r="N4834" t="s">
        <v>37</v>
      </c>
      <c r="O4834" t="s">
        <v>27</v>
      </c>
      <c r="P4834">
        <v>13.175914571333999</v>
      </c>
      <c r="Q4834">
        <v>2.42331224148124</v>
      </c>
      <c r="R4834">
        <v>0.50713280485669099</v>
      </c>
      <c r="S4834">
        <v>179</v>
      </c>
      <c r="T4834">
        <v>36</v>
      </c>
      <c r="U4834">
        <v>810.04763263611005</v>
      </c>
      <c r="V4834">
        <v>4.65116279069767E-3</v>
      </c>
      <c r="W4834">
        <v>1554472.17925674</v>
      </c>
      <c r="X4834" t="s">
        <v>33</v>
      </c>
      <c r="Y4834">
        <f>1-973-311-1127</f>
        <v>-2410</v>
      </c>
    </row>
    <row r="4835" spans="1:25" x14ac:dyDescent="0.35">
      <c r="A4835">
        <v>35.574881243470898</v>
      </c>
      <c r="B4835">
        <v>-123.30181519720701</v>
      </c>
      <c r="C4835" t="s">
        <v>29</v>
      </c>
      <c r="D4835">
        <v>37.400040539217102</v>
      </c>
      <c r="E4835">
        <v>8</v>
      </c>
      <c r="F4835">
        <v>1543</v>
      </c>
      <c r="G4835">
        <v>2</v>
      </c>
      <c r="H4835">
        <v>2</v>
      </c>
      <c r="I4835">
        <v>1960</v>
      </c>
      <c r="J4835">
        <v>0</v>
      </c>
      <c r="K4835">
        <v>1</v>
      </c>
      <c r="L4835">
        <v>1</v>
      </c>
      <c r="M4835">
        <v>12</v>
      </c>
      <c r="N4835" t="s">
        <v>41</v>
      </c>
      <c r="O4835" t="s">
        <v>32</v>
      </c>
      <c r="P4835">
        <v>6.6450531665380099</v>
      </c>
      <c r="Q4835">
        <v>1.1285162395846999</v>
      </c>
      <c r="R4835">
        <v>7.92912950524964</v>
      </c>
      <c r="S4835">
        <v>70</v>
      </c>
      <c r="T4835">
        <v>53</v>
      </c>
      <c r="U4835">
        <v>289.078156470274</v>
      </c>
      <c r="V4835">
        <v>7.7770576798444502E-3</v>
      </c>
      <c r="W4835">
        <v>642468.25279327098</v>
      </c>
      <c r="X4835" t="s">
        <v>43</v>
      </c>
      <c r="Y4835">
        <f>1-616-300-3610</f>
        <v>-4525</v>
      </c>
    </row>
    <row r="4836" spans="1:25" x14ac:dyDescent="0.35">
      <c r="A4836">
        <v>32.712563972924102</v>
      </c>
      <c r="B4836">
        <v>-120.657017551916</v>
      </c>
      <c r="C4836" t="s">
        <v>29</v>
      </c>
      <c r="D4836">
        <v>41.142171402127701</v>
      </c>
      <c r="E4836">
        <v>1</v>
      </c>
      <c r="F4836">
        <v>3501</v>
      </c>
      <c r="G4836">
        <v>5</v>
      </c>
      <c r="H4836">
        <v>1</v>
      </c>
      <c r="I4836">
        <v>1998</v>
      </c>
      <c r="J4836">
        <v>0</v>
      </c>
      <c r="K4836">
        <v>0</v>
      </c>
      <c r="L4836">
        <v>0</v>
      </c>
      <c r="M4836">
        <v>7</v>
      </c>
      <c r="N4836" t="s">
        <v>41</v>
      </c>
      <c r="O4836" t="s">
        <v>32</v>
      </c>
      <c r="P4836">
        <v>6.4390996788065102</v>
      </c>
      <c r="Q4836">
        <v>1.8983588101025799</v>
      </c>
      <c r="R4836">
        <v>3.0952046921905101</v>
      </c>
      <c r="S4836">
        <v>153</v>
      </c>
      <c r="T4836">
        <v>49</v>
      </c>
      <c r="U4836">
        <v>385.62518488081798</v>
      </c>
      <c r="V4836">
        <v>1.9994287346472399E-3</v>
      </c>
      <c r="W4836">
        <v>1620983.89155774</v>
      </c>
      <c r="X4836" t="s">
        <v>38</v>
      </c>
      <c r="Y4836">
        <f>1-715-589-9421</f>
        <v>-10724</v>
      </c>
    </row>
    <row r="4837" spans="1:25" x14ac:dyDescent="0.35">
      <c r="A4837">
        <v>35.000996928001399</v>
      </c>
      <c r="B4837">
        <v>-119.136712963124</v>
      </c>
      <c r="C4837" t="s">
        <v>29</v>
      </c>
      <c r="D4837">
        <v>5.7952805331555997</v>
      </c>
      <c r="E4837">
        <v>3</v>
      </c>
      <c r="F4837">
        <v>4858</v>
      </c>
      <c r="G4837">
        <v>4</v>
      </c>
      <c r="H4837">
        <v>2</v>
      </c>
      <c r="I4837">
        <v>1955</v>
      </c>
      <c r="J4837">
        <v>0</v>
      </c>
      <c r="K4837">
        <v>1</v>
      </c>
      <c r="L4837">
        <v>1</v>
      </c>
      <c r="M4837">
        <v>10</v>
      </c>
      <c r="N4837" t="s">
        <v>41</v>
      </c>
      <c r="O4837" t="s">
        <v>27</v>
      </c>
      <c r="P4837">
        <v>5.7885500661702904</v>
      </c>
      <c r="Q4837">
        <v>1.75472073742506</v>
      </c>
      <c r="R4837">
        <v>8.7162859446768994</v>
      </c>
      <c r="S4837">
        <v>6</v>
      </c>
      <c r="T4837">
        <v>56</v>
      </c>
      <c r="U4837">
        <v>510.03636365223099</v>
      </c>
      <c r="V4837">
        <v>2.05846027171675E-3</v>
      </c>
      <c r="W4837">
        <v>2787546.41234418</v>
      </c>
      <c r="X4837" t="s">
        <v>44</v>
      </c>
      <c r="Y4837">
        <f>1-933-702-8096</f>
        <v>-9730</v>
      </c>
    </row>
    <row r="4838" spans="1:25" x14ac:dyDescent="0.35">
      <c r="A4838">
        <v>38.0262203347352</v>
      </c>
      <c r="B4838">
        <v>-121.689293678697</v>
      </c>
      <c r="C4838" t="s">
        <v>29</v>
      </c>
      <c r="D4838">
        <v>41.716059179148701</v>
      </c>
      <c r="E4838">
        <v>2</v>
      </c>
      <c r="F4838">
        <v>661</v>
      </c>
      <c r="G4838">
        <v>3</v>
      </c>
      <c r="H4838">
        <v>2</v>
      </c>
      <c r="I4838">
        <v>1964</v>
      </c>
      <c r="J4838">
        <v>0</v>
      </c>
      <c r="K4838">
        <v>1</v>
      </c>
      <c r="L4838">
        <v>0</v>
      </c>
      <c r="M4838">
        <v>7</v>
      </c>
      <c r="N4838" t="s">
        <v>35</v>
      </c>
      <c r="O4838" t="s">
        <v>27</v>
      </c>
      <c r="P4838">
        <v>4.8811208963463999</v>
      </c>
      <c r="Q4838">
        <v>1.0564992513518101</v>
      </c>
      <c r="R4838">
        <v>8.4252858928412397</v>
      </c>
      <c r="S4838">
        <v>32</v>
      </c>
      <c r="T4838">
        <v>65</v>
      </c>
      <c r="U4838">
        <v>726.73626930974001</v>
      </c>
      <c r="V4838">
        <v>1.0590015128593E-2</v>
      </c>
      <c r="W4838">
        <v>712026.46661675698</v>
      </c>
      <c r="X4838" t="s">
        <v>36</v>
      </c>
      <c r="Y4838">
        <f>1-674-655-9292</f>
        <v>-10620</v>
      </c>
    </row>
    <row r="4839" spans="1:25" x14ac:dyDescent="0.35">
      <c r="A4839">
        <v>39.665376979022</v>
      </c>
      <c r="B4839">
        <v>-114.167013207164</v>
      </c>
      <c r="C4839" t="s">
        <v>34</v>
      </c>
      <c r="D4839">
        <v>2.4073212556111998</v>
      </c>
      <c r="E4839">
        <v>2</v>
      </c>
      <c r="F4839">
        <v>4553</v>
      </c>
      <c r="G4839">
        <v>2</v>
      </c>
      <c r="H4839">
        <v>3</v>
      </c>
      <c r="I4839">
        <v>1984</v>
      </c>
      <c r="J4839">
        <v>1</v>
      </c>
      <c r="K4839">
        <v>0</v>
      </c>
      <c r="L4839">
        <v>1</v>
      </c>
      <c r="M4839">
        <v>12</v>
      </c>
      <c r="N4839" t="s">
        <v>37</v>
      </c>
      <c r="O4839" t="s">
        <v>32</v>
      </c>
      <c r="P4839">
        <v>14.174120835501901</v>
      </c>
      <c r="Q4839">
        <v>1.7956721644337099</v>
      </c>
      <c r="R4839">
        <v>1.74326035734448</v>
      </c>
      <c r="S4839">
        <v>103</v>
      </c>
      <c r="T4839">
        <v>23</v>
      </c>
      <c r="U4839">
        <v>539.58447260324704</v>
      </c>
      <c r="V4839">
        <v>2.6356248627278701E-3</v>
      </c>
      <c r="W4839">
        <v>2813601.6838978799</v>
      </c>
      <c r="X4839" t="s">
        <v>40</v>
      </c>
      <c r="Y4839">
        <f>1-494-800-3919</f>
        <v>-5212</v>
      </c>
    </row>
    <row r="4840" spans="1:25" x14ac:dyDescent="0.35">
      <c r="A4840">
        <v>41.3740785040156</v>
      </c>
      <c r="B4840">
        <v>-118.73122975008999</v>
      </c>
      <c r="C4840" t="s">
        <v>25</v>
      </c>
      <c r="D4840">
        <v>6.2337405892116902</v>
      </c>
      <c r="E4840">
        <v>5</v>
      </c>
      <c r="F4840">
        <v>3463</v>
      </c>
      <c r="G4840">
        <v>2</v>
      </c>
      <c r="H4840">
        <v>3</v>
      </c>
      <c r="I4840">
        <v>2005</v>
      </c>
      <c r="J4840">
        <v>0</v>
      </c>
      <c r="K4840">
        <v>1</v>
      </c>
      <c r="L4840">
        <v>1</v>
      </c>
      <c r="M4840">
        <v>2</v>
      </c>
      <c r="N4840" t="s">
        <v>41</v>
      </c>
      <c r="O4840" t="s">
        <v>32</v>
      </c>
      <c r="P4840">
        <v>14.7797827328596</v>
      </c>
      <c r="Q4840">
        <v>1.60600126019442</v>
      </c>
      <c r="R4840">
        <v>4.2808359140576799</v>
      </c>
      <c r="S4840">
        <v>42</v>
      </c>
      <c r="T4840">
        <v>76</v>
      </c>
      <c r="U4840">
        <v>424.41383416693998</v>
      </c>
      <c r="V4840">
        <v>5.7753393011839395E-4</v>
      </c>
      <c r="W4840">
        <v>1933740.92860379</v>
      </c>
      <c r="X4840" t="s">
        <v>42</v>
      </c>
      <c r="Y4840">
        <f>1-751-717-2053</f>
        <v>-3520</v>
      </c>
    </row>
    <row r="4841" spans="1:25" x14ac:dyDescent="0.35">
      <c r="A4841">
        <v>33.133737037719499</v>
      </c>
      <c r="B4841">
        <v>-114.708003358805</v>
      </c>
      <c r="C4841" t="s">
        <v>25</v>
      </c>
      <c r="D4841">
        <v>31.1667515808359</v>
      </c>
      <c r="E4841">
        <v>0</v>
      </c>
      <c r="F4841">
        <v>1907</v>
      </c>
      <c r="G4841">
        <v>4</v>
      </c>
      <c r="H4841">
        <v>2</v>
      </c>
      <c r="I4841">
        <v>2011</v>
      </c>
      <c r="J4841">
        <v>1</v>
      </c>
      <c r="K4841">
        <v>0</v>
      </c>
      <c r="L4841">
        <v>0</v>
      </c>
      <c r="M4841">
        <v>10</v>
      </c>
      <c r="N4841" t="s">
        <v>41</v>
      </c>
      <c r="O4841" t="s">
        <v>27</v>
      </c>
      <c r="P4841">
        <v>6.3566547597167</v>
      </c>
      <c r="Q4841">
        <v>1.2381240466218899</v>
      </c>
      <c r="R4841">
        <v>9.92340519805723</v>
      </c>
      <c r="S4841">
        <v>193</v>
      </c>
      <c r="T4841">
        <v>60</v>
      </c>
      <c r="U4841">
        <v>834.56774206029297</v>
      </c>
      <c r="V4841">
        <v>5.2438384897745098E-3</v>
      </c>
      <c r="W4841">
        <v>1862238.89856426</v>
      </c>
      <c r="X4841" t="s">
        <v>31</v>
      </c>
      <c r="Y4841">
        <f>1-393-825-7590</f>
        <v>-8807</v>
      </c>
    </row>
    <row r="4842" spans="1:25" x14ac:dyDescent="0.35">
      <c r="A4842">
        <v>41.182845478134503</v>
      </c>
      <c r="B4842">
        <v>-119.214172721821</v>
      </c>
      <c r="C4842" t="s">
        <v>34</v>
      </c>
      <c r="D4842">
        <v>27.6495068691707</v>
      </c>
      <c r="E4842">
        <v>8</v>
      </c>
      <c r="F4842">
        <v>1241</v>
      </c>
      <c r="G4842">
        <v>4</v>
      </c>
      <c r="H4842">
        <v>3</v>
      </c>
      <c r="I4842">
        <v>1962</v>
      </c>
      <c r="J4842">
        <v>0</v>
      </c>
      <c r="K4842">
        <v>1</v>
      </c>
      <c r="L4842">
        <v>1</v>
      </c>
      <c r="M4842">
        <v>14</v>
      </c>
      <c r="N4842" t="s">
        <v>37</v>
      </c>
      <c r="O4842" t="s">
        <v>30</v>
      </c>
      <c r="P4842">
        <v>8.2153319328573708</v>
      </c>
      <c r="Q4842">
        <v>0.51325625101261096</v>
      </c>
      <c r="R4842">
        <v>3.8563850881344601</v>
      </c>
      <c r="S4842">
        <v>23</v>
      </c>
      <c r="T4842">
        <v>38</v>
      </c>
      <c r="U4842">
        <v>519.61290680268496</v>
      </c>
      <c r="V4842">
        <v>1.1281224818694599E-2</v>
      </c>
      <c r="W4842">
        <v>1068022.09427161</v>
      </c>
      <c r="X4842" t="s">
        <v>43</v>
      </c>
      <c r="Y4842">
        <f>1-630-139-2120</f>
        <v>-2888</v>
      </c>
    </row>
    <row r="4843" spans="1:25" x14ac:dyDescent="0.35">
      <c r="A4843">
        <v>37.400377292873102</v>
      </c>
      <c r="B4843">
        <v>-122.80906927082</v>
      </c>
      <c r="C4843" t="s">
        <v>25</v>
      </c>
      <c r="D4843">
        <v>34.9210602780024</v>
      </c>
      <c r="E4843">
        <v>9</v>
      </c>
      <c r="F4843">
        <v>2192</v>
      </c>
      <c r="G4843">
        <v>5</v>
      </c>
      <c r="H4843">
        <v>3</v>
      </c>
      <c r="I4843">
        <v>1996</v>
      </c>
      <c r="J4843">
        <v>1</v>
      </c>
      <c r="K4843">
        <v>0</v>
      </c>
      <c r="L4843">
        <v>1</v>
      </c>
      <c r="M4843">
        <v>6</v>
      </c>
      <c r="N4843" t="s">
        <v>41</v>
      </c>
      <c r="O4843" t="s">
        <v>30</v>
      </c>
      <c r="P4843">
        <v>7.5354475431150396</v>
      </c>
      <c r="Q4843">
        <v>0.65919404225851796</v>
      </c>
      <c r="R4843">
        <v>4.1472946835360496</v>
      </c>
      <c r="S4843">
        <v>181</v>
      </c>
      <c r="T4843">
        <v>67</v>
      </c>
      <c r="U4843">
        <v>432.24670471380199</v>
      </c>
      <c r="V4843">
        <v>2.7372262773722599E-3</v>
      </c>
      <c r="W4843">
        <v>1379996.1159677301</v>
      </c>
      <c r="X4843" t="s">
        <v>28</v>
      </c>
      <c r="Y4843">
        <f>1-721-164-2821</f>
        <v>-3705</v>
      </c>
    </row>
    <row r="4844" spans="1:25" x14ac:dyDescent="0.35">
      <c r="A4844">
        <v>39.3929889634584</v>
      </c>
      <c r="B4844">
        <v>-120.16968069050201</v>
      </c>
      <c r="C4844" t="s">
        <v>29</v>
      </c>
      <c r="D4844">
        <v>27.3362516187346</v>
      </c>
      <c r="E4844">
        <v>1</v>
      </c>
      <c r="F4844">
        <v>2528</v>
      </c>
      <c r="G4844">
        <v>5</v>
      </c>
      <c r="H4844">
        <v>3</v>
      </c>
      <c r="I4844">
        <v>1994</v>
      </c>
      <c r="J4844">
        <v>1</v>
      </c>
      <c r="K4844">
        <v>0</v>
      </c>
      <c r="L4844">
        <v>1</v>
      </c>
      <c r="M4844">
        <v>11</v>
      </c>
      <c r="N4844" t="s">
        <v>35</v>
      </c>
      <c r="O4844" t="s">
        <v>32</v>
      </c>
      <c r="P4844">
        <v>7.1386688410448604</v>
      </c>
      <c r="Q4844">
        <v>2.10625097317395</v>
      </c>
      <c r="R4844">
        <v>0.57283600289944603</v>
      </c>
      <c r="S4844">
        <v>173</v>
      </c>
      <c r="T4844">
        <v>22</v>
      </c>
      <c r="U4844">
        <v>616.75513208070799</v>
      </c>
      <c r="V4844">
        <v>4.3512658227848099E-3</v>
      </c>
      <c r="W4844">
        <v>1942710.0935255501</v>
      </c>
      <c r="X4844" t="s">
        <v>31</v>
      </c>
      <c r="Y4844">
        <f>1-379-355-6052</f>
        <v>-6785</v>
      </c>
    </row>
    <row r="4845" spans="1:25" x14ac:dyDescent="0.35">
      <c r="A4845">
        <v>36.974147300371499</v>
      </c>
      <c r="B4845">
        <v>-123.184968751441</v>
      </c>
      <c r="C4845" t="s">
        <v>34</v>
      </c>
      <c r="D4845">
        <v>7.5463503267685299</v>
      </c>
      <c r="E4845">
        <v>7</v>
      </c>
      <c r="F4845">
        <v>4566</v>
      </c>
      <c r="G4845">
        <v>3</v>
      </c>
      <c r="H4845">
        <v>3</v>
      </c>
      <c r="I4845">
        <v>2017</v>
      </c>
      <c r="J4845">
        <v>1</v>
      </c>
      <c r="K4845">
        <v>1</v>
      </c>
      <c r="L4845">
        <v>1</v>
      </c>
      <c r="M4845">
        <v>6</v>
      </c>
      <c r="N4845" t="s">
        <v>26</v>
      </c>
      <c r="O4845" t="s">
        <v>30</v>
      </c>
      <c r="P4845">
        <v>5.1011985825925601</v>
      </c>
      <c r="Q4845">
        <v>2.22694254667462</v>
      </c>
      <c r="R4845">
        <v>2.1092869018559699</v>
      </c>
      <c r="S4845">
        <v>88</v>
      </c>
      <c r="T4845">
        <v>64</v>
      </c>
      <c r="U4845">
        <v>748.43935543896703</v>
      </c>
      <c r="V4845">
        <v>1.31406044678055E-3</v>
      </c>
      <c r="W4845">
        <v>3787955.92651784</v>
      </c>
      <c r="X4845" t="s">
        <v>36</v>
      </c>
      <c r="Y4845">
        <f>1-947-168-3592</f>
        <v>-4706</v>
      </c>
    </row>
    <row r="4846" spans="1:25" x14ac:dyDescent="0.35">
      <c r="A4846">
        <v>35.373744835234397</v>
      </c>
      <c r="B4846">
        <v>-119.28069920730699</v>
      </c>
      <c r="C4846" t="s">
        <v>29</v>
      </c>
      <c r="D4846">
        <v>40.2638585933828</v>
      </c>
      <c r="E4846">
        <v>3</v>
      </c>
      <c r="F4846">
        <v>1161</v>
      </c>
      <c r="G4846">
        <v>5</v>
      </c>
      <c r="H4846">
        <v>1</v>
      </c>
      <c r="I4846">
        <v>2013</v>
      </c>
      <c r="J4846">
        <v>1</v>
      </c>
      <c r="K4846">
        <v>1</v>
      </c>
      <c r="L4846">
        <v>0</v>
      </c>
      <c r="M4846">
        <v>13</v>
      </c>
      <c r="N4846" t="s">
        <v>41</v>
      </c>
      <c r="O4846" t="s">
        <v>27</v>
      </c>
      <c r="P4846">
        <v>6.0992145402720004</v>
      </c>
      <c r="Q4846">
        <v>1.74306342144038</v>
      </c>
      <c r="R4846">
        <v>6.0958410419948299</v>
      </c>
      <c r="S4846">
        <v>59</v>
      </c>
      <c r="T4846">
        <v>49</v>
      </c>
      <c r="U4846">
        <v>850.88487764999195</v>
      </c>
      <c r="V4846">
        <v>1.11972437553832E-2</v>
      </c>
      <c r="W4846">
        <v>1414278.18681789</v>
      </c>
      <c r="X4846" t="s">
        <v>31</v>
      </c>
      <c r="Y4846">
        <f>1-366-219-1054</f>
        <v>-1638</v>
      </c>
    </row>
    <row r="4847" spans="1:25" x14ac:dyDescent="0.35">
      <c r="A4847">
        <v>37.475515900060401</v>
      </c>
      <c r="B4847">
        <v>-121.466274525364</v>
      </c>
      <c r="C4847" t="s">
        <v>29</v>
      </c>
      <c r="D4847">
        <v>31.453849612058999</v>
      </c>
      <c r="E4847">
        <v>6</v>
      </c>
      <c r="F4847">
        <v>3457</v>
      </c>
      <c r="G4847">
        <v>1</v>
      </c>
      <c r="H4847">
        <v>2</v>
      </c>
      <c r="I4847">
        <v>1997</v>
      </c>
      <c r="J4847">
        <v>1</v>
      </c>
      <c r="K4847">
        <v>0</v>
      </c>
      <c r="L4847">
        <v>1</v>
      </c>
      <c r="M4847">
        <v>12</v>
      </c>
      <c r="N4847" t="s">
        <v>41</v>
      </c>
      <c r="O4847" t="s">
        <v>32</v>
      </c>
      <c r="P4847">
        <v>4.1697723728087199</v>
      </c>
      <c r="Q4847">
        <v>0.92187853842197098</v>
      </c>
      <c r="R4847">
        <v>5.9218653431140202</v>
      </c>
      <c r="S4847">
        <v>40</v>
      </c>
      <c r="T4847">
        <v>61</v>
      </c>
      <c r="U4847">
        <v>368.67696546092702</v>
      </c>
      <c r="V4847">
        <v>3.4712178189181299E-3</v>
      </c>
      <c r="W4847">
        <v>1573143.91510428</v>
      </c>
      <c r="X4847" t="s">
        <v>36</v>
      </c>
      <c r="Y4847">
        <f>1-413-175-5527</f>
        <v>-6114</v>
      </c>
    </row>
    <row r="4848" spans="1:25" x14ac:dyDescent="0.35">
      <c r="A4848">
        <v>37.8483132501567</v>
      </c>
      <c r="B4848">
        <v>-123.41738599443499</v>
      </c>
      <c r="C4848" t="s">
        <v>34</v>
      </c>
      <c r="D4848">
        <v>42.871817992519603</v>
      </c>
      <c r="E4848">
        <v>8</v>
      </c>
      <c r="F4848">
        <v>2012</v>
      </c>
      <c r="G4848">
        <v>1</v>
      </c>
      <c r="H4848">
        <v>2</v>
      </c>
      <c r="I4848">
        <v>2013</v>
      </c>
      <c r="J4848">
        <v>0</v>
      </c>
      <c r="K4848">
        <v>1</v>
      </c>
      <c r="L4848">
        <v>1</v>
      </c>
      <c r="M4848">
        <v>12</v>
      </c>
      <c r="N4848" t="s">
        <v>41</v>
      </c>
      <c r="O4848" t="s">
        <v>32</v>
      </c>
      <c r="P4848">
        <v>9.7528810237845995</v>
      </c>
      <c r="Q4848">
        <v>2.0014986567691802</v>
      </c>
      <c r="R4848">
        <v>7.8514336537713802</v>
      </c>
      <c r="S4848">
        <v>137</v>
      </c>
      <c r="T4848">
        <v>58</v>
      </c>
      <c r="U4848">
        <v>916.29735350190799</v>
      </c>
      <c r="V4848">
        <v>5.9642147117296204E-3</v>
      </c>
      <c r="W4848">
        <v>2117763.5380803701</v>
      </c>
      <c r="X4848" t="s">
        <v>39</v>
      </c>
      <c r="Y4848">
        <f>1-659-939-3519</f>
        <v>-5116</v>
      </c>
    </row>
    <row r="4849" spans="1:25" x14ac:dyDescent="0.35">
      <c r="A4849">
        <v>33.282845289013899</v>
      </c>
      <c r="B4849">
        <v>-117.117735178761</v>
      </c>
      <c r="C4849" t="s">
        <v>29</v>
      </c>
      <c r="D4849">
        <v>22.290341395477501</v>
      </c>
      <c r="E4849">
        <v>8</v>
      </c>
      <c r="F4849">
        <v>4493</v>
      </c>
      <c r="G4849">
        <v>1</v>
      </c>
      <c r="H4849">
        <v>3</v>
      </c>
      <c r="I4849">
        <v>1986</v>
      </c>
      <c r="J4849">
        <v>1</v>
      </c>
      <c r="K4849">
        <v>1</v>
      </c>
      <c r="L4849">
        <v>1</v>
      </c>
      <c r="M4849">
        <v>3</v>
      </c>
      <c r="N4849" t="s">
        <v>35</v>
      </c>
      <c r="O4849" t="s">
        <v>32</v>
      </c>
      <c r="P4849">
        <v>5.4762235283902303</v>
      </c>
      <c r="Q4849">
        <v>1.83419100068024</v>
      </c>
      <c r="R4849">
        <v>4.1604362006370499</v>
      </c>
      <c r="S4849">
        <v>17</v>
      </c>
      <c r="T4849">
        <v>65</v>
      </c>
      <c r="U4849">
        <v>306.10087796512602</v>
      </c>
      <c r="V4849">
        <v>6.6770531938571101E-4</v>
      </c>
      <c r="W4849">
        <v>1646816.41016416</v>
      </c>
      <c r="X4849" t="s">
        <v>44</v>
      </c>
      <c r="Y4849">
        <f>1-218-856-3524</f>
        <v>-4597</v>
      </c>
    </row>
    <row r="4850" spans="1:25" x14ac:dyDescent="0.35">
      <c r="A4850">
        <v>34.320260907514999</v>
      </c>
      <c r="B4850">
        <v>-119.87922061303</v>
      </c>
      <c r="C4850" t="s">
        <v>34</v>
      </c>
      <c r="D4850">
        <v>46.036743836066499</v>
      </c>
      <c r="E4850">
        <v>5</v>
      </c>
      <c r="F4850">
        <v>3749</v>
      </c>
      <c r="G4850">
        <v>5</v>
      </c>
      <c r="H4850">
        <v>2</v>
      </c>
      <c r="I4850">
        <v>1999</v>
      </c>
      <c r="J4850">
        <v>0</v>
      </c>
      <c r="K4850">
        <v>0</v>
      </c>
      <c r="L4850">
        <v>0</v>
      </c>
      <c r="M4850">
        <v>8</v>
      </c>
      <c r="N4850" t="s">
        <v>35</v>
      </c>
      <c r="O4850" t="s">
        <v>30</v>
      </c>
      <c r="P4850">
        <v>5.5424302421478702</v>
      </c>
      <c r="Q4850">
        <v>0.723479877727499</v>
      </c>
      <c r="R4850">
        <v>4.4136324657229196</v>
      </c>
      <c r="S4850">
        <v>75</v>
      </c>
      <c r="T4850">
        <v>27</v>
      </c>
      <c r="U4850">
        <v>997.60472498947695</v>
      </c>
      <c r="V4850">
        <v>2.13390237396639E-3</v>
      </c>
      <c r="W4850">
        <v>4054680.2487325198</v>
      </c>
      <c r="X4850" t="s">
        <v>28</v>
      </c>
      <c r="Y4850">
        <f>1-819-611-2038</f>
        <v>-3467</v>
      </c>
    </row>
    <row r="4851" spans="1:25" x14ac:dyDescent="0.35">
      <c r="A4851">
        <v>39.323262856413002</v>
      </c>
      <c r="B4851">
        <v>-114.55627676509199</v>
      </c>
      <c r="C4851" t="s">
        <v>29</v>
      </c>
      <c r="D4851">
        <v>14.9819768212882</v>
      </c>
      <c r="E4851">
        <v>5</v>
      </c>
      <c r="F4851">
        <v>4588</v>
      </c>
      <c r="G4851">
        <v>5</v>
      </c>
      <c r="H4851">
        <v>2</v>
      </c>
      <c r="I4851">
        <v>1980</v>
      </c>
      <c r="J4851">
        <v>0</v>
      </c>
      <c r="K4851">
        <v>1</v>
      </c>
      <c r="L4851">
        <v>0</v>
      </c>
      <c r="M4851">
        <v>9</v>
      </c>
      <c r="N4851" t="s">
        <v>41</v>
      </c>
      <c r="O4851" t="s">
        <v>27</v>
      </c>
      <c r="P4851">
        <v>13.286072000928201</v>
      </c>
      <c r="Q4851">
        <v>1.92682782584361</v>
      </c>
      <c r="R4851">
        <v>0.270612545959526</v>
      </c>
      <c r="S4851">
        <v>104</v>
      </c>
      <c r="T4851">
        <v>43</v>
      </c>
      <c r="U4851">
        <v>502.63279246871099</v>
      </c>
      <c r="V4851">
        <v>1.9616390584132502E-3</v>
      </c>
      <c r="W4851">
        <v>2786983.5219221599</v>
      </c>
      <c r="X4851" t="s">
        <v>36</v>
      </c>
      <c r="Y4851">
        <f>1-501-225-2105</f>
        <v>-2830</v>
      </c>
    </row>
    <row r="4852" spans="1:25" x14ac:dyDescent="0.35">
      <c r="A4852">
        <v>35.5233077772209</v>
      </c>
      <c r="B4852">
        <v>-124.049275647843</v>
      </c>
      <c r="C4852" t="s">
        <v>34</v>
      </c>
      <c r="D4852">
        <v>4.5382097626069102</v>
      </c>
      <c r="E4852">
        <v>6</v>
      </c>
      <c r="F4852">
        <v>3507</v>
      </c>
      <c r="G4852">
        <v>2</v>
      </c>
      <c r="H4852">
        <v>2</v>
      </c>
      <c r="I4852">
        <v>1972</v>
      </c>
      <c r="J4852">
        <v>0</v>
      </c>
      <c r="K4852">
        <v>0</v>
      </c>
      <c r="L4852">
        <v>0</v>
      </c>
      <c r="M4852">
        <v>8</v>
      </c>
      <c r="N4852" t="s">
        <v>37</v>
      </c>
      <c r="O4852" t="s">
        <v>30</v>
      </c>
      <c r="P4852">
        <v>2.0427280179766001</v>
      </c>
      <c r="Q4852">
        <v>1.4679121765866201</v>
      </c>
      <c r="R4852">
        <v>2.3778353398351801</v>
      </c>
      <c r="S4852">
        <v>144</v>
      </c>
      <c r="T4852">
        <v>75</v>
      </c>
      <c r="U4852">
        <v>890.37523022987102</v>
      </c>
      <c r="V4852">
        <v>2.28115198175078E-3</v>
      </c>
      <c r="W4852">
        <v>3208743.1746662902</v>
      </c>
      <c r="X4852" t="s">
        <v>38</v>
      </c>
      <c r="Y4852">
        <f>1-974-761-1324</f>
        <v>-3058</v>
      </c>
    </row>
    <row r="4853" spans="1:25" x14ac:dyDescent="0.35">
      <c r="A4853">
        <v>33.133721156157698</v>
      </c>
      <c r="B4853">
        <v>-124.36131801969201</v>
      </c>
      <c r="C4853" t="s">
        <v>29</v>
      </c>
      <c r="D4853">
        <v>12.224486425625701</v>
      </c>
      <c r="E4853">
        <v>6</v>
      </c>
      <c r="F4853">
        <v>4912</v>
      </c>
      <c r="G4853">
        <v>2</v>
      </c>
      <c r="H4853">
        <v>2</v>
      </c>
      <c r="I4853">
        <v>1987</v>
      </c>
      <c r="J4853">
        <v>0</v>
      </c>
      <c r="K4853">
        <v>0</v>
      </c>
      <c r="L4853">
        <v>1</v>
      </c>
      <c r="M4853">
        <v>13</v>
      </c>
      <c r="N4853" t="s">
        <v>35</v>
      </c>
      <c r="O4853" t="s">
        <v>30</v>
      </c>
      <c r="P4853">
        <v>7.1417620046920298</v>
      </c>
      <c r="Q4853">
        <v>0.95528259950333805</v>
      </c>
      <c r="R4853">
        <v>9.8222440223767702</v>
      </c>
      <c r="S4853">
        <v>134</v>
      </c>
      <c r="T4853">
        <v>57</v>
      </c>
      <c r="U4853">
        <v>311.58983509515502</v>
      </c>
      <c r="V4853">
        <v>2.64657980456026E-3</v>
      </c>
      <c r="W4853">
        <v>1769885.4018824699</v>
      </c>
      <c r="X4853" t="s">
        <v>39</v>
      </c>
      <c r="Y4853">
        <f>1-425-985-8863</f>
        <v>-10272</v>
      </c>
    </row>
    <row r="4854" spans="1:25" x14ac:dyDescent="0.35">
      <c r="A4854">
        <v>38.864200552831797</v>
      </c>
      <c r="B4854">
        <v>-120.36843527766</v>
      </c>
      <c r="C4854" t="s">
        <v>29</v>
      </c>
      <c r="D4854">
        <v>9.4639872645914398</v>
      </c>
      <c r="E4854">
        <v>2</v>
      </c>
      <c r="F4854">
        <v>3796</v>
      </c>
      <c r="G4854">
        <v>2</v>
      </c>
      <c r="H4854">
        <v>2</v>
      </c>
      <c r="I4854">
        <v>1959</v>
      </c>
      <c r="J4854">
        <v>0</v>
      </c>
      <c r="K4854">
        <v>0</v>
      </c>
      <c r="L4854">
        <v>0</v>
      </c>
      <c r="M4854">
        <v>7</v>
      </c>
      <c r="N4854" t="s">
        <v>37</v>
      </c>
      <c r="O4854" t="s">
        <v>27</v>
      </c>
      <c r="P4854">
        <v>9.2545130759397694</v>
      </c>
      <c r="Q4854">
        <v>1.2121890543729399</v>
      </c>
      <c r="R4854">
        <v>9.4716546821770695</v>
      </c>
      <c r="S4854">
        <v>77</v>
      </c>
      <c r="T4854">
        <v>77</v>
      </c>
      <c r="U4854">
        <v>887.13263027184405</v>
      </c>
      <c r="V4854">
        <v>1.8440463645943001E-3</v>
      </c>
      <c r="W4854">
        <v>3510466.5001722099</v>
      </c>
      <c r="X4854" t="s">
        <v>43</v>
      </c>
      <c r="Y4854">
        <f>1-659-967-7438</f>
        <v>-9063</v>
      </c>
    </row>
    <row r="4855" spans="1:25" x14ac:dyDescent="0.35">
      <c r="A4855">
        <v>35.687133910431001</v>
      </c>
      <c r="B4855">
        <v>-115.06643140590801</v>
      </c>
      <c r="C4855" t="s">
        <v>29</v>
      </c>
      <c r="D4855">
        <v>13.0536459069414</v>
      </c>
      <c r="E4855">
        <v>9</v>
      </c>
      <c r="F4855">
        <v>2374</v>
      </c>
      <c r="G4855">
        <v>4</v>
      </c>
      <c r="H4855">
        <v>3</v>
      </c>
      <c r="I4855">
        <v>1987</v>
      </c>
      <c r="J4855">
        <v>1</v>
      </c>
      <c r="K4855">
        <v>0</v>
      </c>
      <c r="L4855">
        <v>0</v>
      </c>
      <c r="M4855">
        <v>12</v>
      </c>
      <c r="N4855" t="s">
        <v>37</v>
      </c>
      <c r="O4855" t="s">
        <v>32</v>
      </c>
      <c r="P4855">
        <v>3.06190026881651</v>
      </c>
      <c r="Q4855">
        <v>0.96760252380460499</v>
      </c>
      <c r="R4855">
        <v>3.4454441126428201</v>
      </c>
      <c r="S4855">
        <v>65</v>
      </c>
      <c r="T4855">
        <v>38</v>
      </c>
      <c r="U4855">
        <v>336.33750782785302</v>
      </c>
      <c r="V4855">
        <v>5.0547598989048002E-3</v>
      </c>
      <c r="W4855">
        <v>1089827.3121672201</v>
      </c>
      <c r="X4855" t="s">
        <v>39</v>
      </c>
      <c r="Y4855">
        <f>1-544-924-7588</f>
        <v>-9055</v>
      </c>
    </row>
    <row r="4856" spans="1:25" x14ac:dyDescent="0.35">
      <c r="A4856">
        <v>39.592812200143797</v>
      </c>
      <c r="B4856">
        <v>-114.940688570785</v>
      </c>
      <c r="C4856" t="s">
        <v>25</v>
      </c>
      <c r="D4856">
        <v>19.4111088211484</v>
      </c>
      <c r="E4856">
        <v>3</v>
      </c>
      <c r="F4856">
        <v>2578</v>
      </c>
      <c r="G4856">
        <v>5</v>
      </c>
      <c r="H4856">
        <v>3</v>
      </c>
      <c r="I4856">
        <v>1996</v>
      </c>
      <c r="J4856">
        <v>0</v>
      </c>
      <c r="K4856">
        <v>1</v>
      </c>
      <c r="L4856">
        <v>0</v>
      </c>
      <c r="M4856">
        <v>9</v>
      </c>
      <c r="N4856" t="s">
        <v>41</v>
      </c>
      <c r="O4856" t="s">
        <v>30</v>
      </c>
      <c r="P4856">
        <v>8.0832650646862305</v>
      </c>
      <c r="Q4856">
        <v>1.50686273761234</v>
      </c>
      <c r="R4856">
        <v>3.55288391725243</v>
      </c>
      <c r="S4856">
        <v>150</v>
      </c>
      <c r="T4856">
        <v>22</v>
      </c>
      <c r="U4856">
        <v>811.38761586211399</v>
      </c>
      <c r="V4856">
        <v>3.4910783553141899E-3</v>
      </c>
      <c r="W4856">
        <v>2541917.4703395101</v>
      </c>
      <c r="X4856" t="s">
        <v>39</v>
      </c>
      <c r="Y4856">
        <f>1-707-900-6597</f>
        <v>-8203</v>
      </c>
    </row>
    <row r="4857" spans="1:25" x14ac:dyDescent="0.35">
      <c r="A4857">
        <v>41.043608396684199</v>
      </c>
      <c r="B4857">
        <v>-122.531076970464</v>
      </c>
      <c r="C4857" t="s">
        <v>25</v>
      </c>
      <c r="D4857">
        <v>32.349020940732501</v>
      </c>
      <c r="E4857">
        <v>5</v>
      </c>
      <c r="F4857">
        <v>3318</v>
      </c>
      <c r="G4857">
        <v>2</v>
      </c>
      <c r="H4857">
        <v>2</v>
      </c>
      <c r="I4857">
        <v>2013</v>
      </c>
      <c r="J4857">
        <v>0</v>
      </c>
      <c r="K4857">
        <v>1</v>
      </c>
      <c r="L4857">
        <v>0</v>
      </c>
      <c r="M4857">
        <v>13</v>
      </c>
      <c r="N4857" t="s">
        <v>26</v>
      </c>
      <c r="O4857" t="s">
        <v>27</v>
      </c>
      <c r="P4857">
        <v>9.9369471813875307</v>
      </c>
      <c r="Q4857">
        <v>0.68229854927779099</v>
      </c>
      <c r="R4857">
        <v>6.5750371064261</v>
      </c>
      <c r="S4857">
        <v>198</v>
      </c>
      <c r="T4857">
        <v>40</v>
      </c>
      <c r="U4857">
        <v>487.91608988685499</v>
      </c>
      <c r="V4857">
        <v>3.9180229053646697E-3</v>
      </c>
      <c r="W4857">
        <v>1932575.11366437</v>
      </c>
      <c r="X4857" t="s">
        <v>28</v>
      </c>
      <c r="Y4857">
        <f>1-396-728-2489</f>
        <v>-3612</v>
      </c>
    </row>
    <row r="4858" spans="1:25" x14ac:dyDescent="0.35">
      <c r="A4858">
        <v>34.212195633079801</v>
      </c>
      <c r="B4858">
        <v>-120.749315496774</v>
      </c>
      <c r="C4858" t="s">
        <v>34</v>
      </c>
      <c r="D4858">
        <v>11.256768758857801</v>
      </c>
      <c r="E4858">
        <v>3</v>
      </c>
      <c r="F4858">
        <v>2987</v>
      </c>
      <c r="G4858">
        <v>5</v>
      </c>
      <c r="H4858">
        <v>2</v>
      </c>
      <c r="I4858">
        <v>2011</v>
      </c>
      <c r="J4858">
        <v>0</v>
      </c>
      <c r="K4858">
        <v>0</v>
      </c>
      <c r="L4858">
        <v>0</v>
      </c>
      <c r="M4858">
        <v>3</v>
      </c>
      <c r="N4858" t="s">
        <v>26</v>
      </c>
      <c r="O4858" t="s">
        <v>30</v>
      </c>
      <c r="P4858">
        <v>14.8614512262712</v>
      </c>
      <c r="Q4858">
        <v>0.62789821772306298</v>
      </c>
      <c r="R4858">
        <v>1.2543205858817199</v>
      </c>
      <c r="S4858">
        <v>188</v>
      </c>
      <c r="T4858">
        <v>70</v>
      </c>
      <c r="U4858">
        <v>679.66491049957006</v>
      </c>
      <c r="V4858">
        <v>1.0043521928356201E-3</v>
      </c>
      <c r="W4858">
        <v>2435914.0048099202</v>
      </c>
      <c r="X4858" t="s">
        <v>31</v>
      </c>
      <c r="Y4858">
        <f>1-588-541-5543</f>
        <v>-6671</v>
      </c>
    </row>
    <row r="4859" spans="1:25" x14ac:dyDescent="0.35">
      <c r="A4859">
        <v>33.469462259182002</v>
      </c>
      <c r="B4859">
        <v>-115.579823070573</v>
      </c>
      <c r="C4859" t="s">
        <v>34</v>
      </c>
      <c r="D4859">
        <v>6.1132518458851397</v>
      </c>
      <c r="E4859">
        <v>1</v>
      </c>
      <c r="F4859">
        <v>4389</v>
      </c>
      <c r="G4859">
        <v>4</v>
      </c>
      <c r="H4859">
        <v>2</v>
      </c>
      <c r="I4859">
        <v>2017</v>
      </c>
      <c r="J4859">
        <v>1</v>
      </c>
      <c r="K4859">
        <v>0</v>
      </c>
      <c r="L4859">
        <v>1</v>
      </c>
      <c r="M4859">
        <v>14</v>
      </c>
      <c r="N4859" t="s">
        <v>41</v>
      </c>
      <c r="O4859" t="s">
        <v>27</v>
      </c>
      <c r="P4859">
        <v>6.2863510903269999</v>
      </c>
      <c r="Q4859">
        <v>0.71160177200790597</v>
      </c>
      <c r="R4859">
        <v>0.55483135842460496</v>
      </c>
      <c r="S4859">
        <v>79</v>
      </c>
      <c r="T4859">
        <v>28</v>
      </c>
      <c r="U4859">
        <v>512.07970725060704</v>
      </c>
      <c r="V4859">
        <v>3.1897926634768701E-3</v>
      </c>
      <c r="W4859">
        <v>2631781.45340539</v>
      </c>
      <c r="X4859" t="s">
        <v>31</v>
      </c>
      <c r="Y4859">
        <f>1-501-123-1715</f>
        <v>-2338</v>
      </c>
    </row>
    <row r="4860" spans="1:25" x14ac:dyDescent="0.35">
      <c r="A4860">
        <v>34.904892988202</v>
      </c>
      <c r="B4860">
        <v>-114.91936959668401</v>
      </c>
      <c r="C4860" t="s">
        <v>29</v>
      </c>
      <c r="D4860">
        <v>18.786547792346699</v>
      </c>
      <c r="E4860">
        <v>5</v>
      </c>
      <c r="F4860">
        <v>3776</v>
      </c>
      <c r="G4860">
        <v>3</v>
      </c>
      <c r="H4860">
        <v>1</v>
      </c>
      <c r="I4860">
        <v>1957</v>
      </c>
      <c r="J4860">
        <v>1</v>
      </c>
      <c r="K4860">
        <v>1</v>
      </c>
      <c r="L4860">
        <v>0</v>
      </c>
      <c r="M4860">
        <v>9</v>
      </c>
      <c r="N4860" t="s">
        <v>26</v>
      </c>
      <c r="O4860" t="s">
        <v>27</v>
      </c>
      <c r="P4860">
        <v>13.334775495565401</v>
      </c>
      <c r="Q4860">
        <v>1.85244704717259</v>
      </c>
      <c r="R4860">
        <v>0.878622378798666</v>
      </c>
      <c r="S4860">
        <v>178</v>
      </c>
      <c r="T4860">
        <v>21</v>
      </c>
      <c r="U4860">
        <v>666.18121756185496</v>
      </c>
      <c r="V4860">
        <v>2.3834745762711801E-3</v>
      </c>
      <c r="W4860">
        <v>2859675.36204969</v>
      </c>
      <c r="X4860" t="s">
        <v>33</v>
      </c>
      <c r="Y4860">
        <f>1-632-746-1341</f>
        <v>-2718</v>
      </c>
    </row>
    <row r="4861" spans="1:25" x14ac:dyDescent="0.35">
      <c r="A4861">
        <v>41.485023582353797</v>
      </c>
      <c r="B4861">
        <v>-115.898092095639</v>
      </c>
      <c r="C4861" t="s">
        <v>34</v>
      </c>
      <c r="D4861">
        <v>28.1280058644404</v>
      </c>
      <c r="E4861">
        <v>3</v>
      </c>
      <c r="F4861">
        <v>4794</v>
      </c>
      <c r="G4861">
        <v>1</v>
      </c>
      <c r="H4861">
        <v>3</v>
      </c>
      <c r="I4861">
        <v>2005</v>
      </c>
      <c r="J4861">
        <v>1</v>
      </c>
      <c r="K4861">
        <v>0</v>
      </c>
      <c r="L4861">
        <v>1</v>
      </c>
      <c r="M4861">
        <v>9</v>
      </c>
      <c r="N4861" t="s">
        <v>35</v>
      </c>
      <c r="O4861" t="s">
        <v>27</v>
      </c>
      <c r="P4861">
        <v>4.7390783158172702</v>
      </c>
      <c r="Q4861">
        <v>2.0973076112804301</v>
      </c>
      <c r="R4861">
        <v>7.2484307309757199</v>
      </c>
      <c r="S4861">
        <v>90</v>
      </c>
      <c r="T4861">
        <v>25</v>
      </c>
      <c r="U4861">
        <v>891.64126178014806</v>
      </c>
      <c r="V4861">
        <v>1.8773466833541901E-3</v>
      </c>
      <c r="W4861">
        <v>4300897.3109780001</v>
      </c>
      <c r="X4861" t="s">
        <v>36</v>
      </c>
      <c r="Y4861">
        <f>1-703-360-6953</f>
        <v>-8015</v>
      </c>
    </row>
    <row r="4862" spans="1:25" x14ac:dyDescent="0.35">
      <c r="A4862">
        <v>34.326096641986197</v>
      </c>
      <c r="B4862">
        <v>-120.71157050222899</v>
      </c>
      <c r="C4862" t="s">
        <v>34</v>
      </c>
      <c r="D4862">
        <v>4.4727169321462901</v>
      </c>
      <c r="E4862">
        <v>6</v>
      </c>
      <c r="F4862">
        <v>946</v>
      </c>
      <c r="G4862">
        <v>5</v>
      </c>
      <c r="H4862">
        <v>3</v>
      </c>
      <c r="I4862">
        <v>1956</v>
      </c>
      <c r="J4862">
        <v>0</v>
      </c>
      <c r="K4862">
        <v>1</v>
      </c>
      <c r="L4862">
        <v>1</v>
      </c>
      <c r="M4862">
        <v>7</v>
      </c>
      <c r="N4862" t="s">
        <v>37</v>
      </c>
      <c r="O4862" t="s">
        <v>32</v>
      </c>
      <c r="P4862">
        <v>14.878628187594799</v>
      </c>
      <c r="Q4862">
        <v>1.8614900471712501</v>
      </c>
      <c r="R4862">
        <v>6.2581917686465802</v>
      </c>
      <c r="S4862">
        <v>35</v>
      </c>
      <c r="T4862">
        <v>23</v>
      </c>
      <c r="U4862">
        <v>226.728119290357</v>
      </c>
      <c r="V4862">
        <v>7.3995771670190202E-3</v>
      </c>
      <c r="W4862">
        <v>752734.04589469905</v>
      </c>
      <c r="X4862" t="s">
        <v>39</v>
      </c>
      <c r="Y4862">
        <f>1-200-252-7250</f>
        <v>-7701</v>
      </c>
    </row>
    <row r="4863" spans="1:25" x14ac:dyDescent="0.35">
      <c r="A4863">
        <v>34.462919627943698</v>
      </c>
      <c r="B4863">
        <v>-114.03167246447801</v>
      </c>
      <c r="C4863" t="s">
        <v>29</v>
      </c>
      <c r="D4863">
        <v>46.774883205882297</v>
      </c>
      <c r="E4863">
        <v>2</v>
      </c>
      <c r="F4863">
        <v>1537</v>
      </c>
      <c r="G4863">
        <v>1</v>
      </c>
      <c r="H4863">
        <v>3</v>
      </c>
      <c r="I4863">
        <v>1991</v>
      </c>
      <c r="J4863">
        <v>1</v>
      </c>
      <c r="K4863">
        <v>0</v>
      </c>
      <c r="L4863">
        <v>0</v>
      </c>
      <c r="M4863">
        <v>11</v>
      </c>
      <c r="N4863" t="s">
        <v>41</v>
      </c>
      <c r="O4863" t="s">
        <v>32</v>
      </c>
      <c r="P4863">
        <v>11.3655860484585</v>
      </c>
      <c r="Q4863">
        <v>1.68202771505388</v>
      </c>
      <c r="R4863">
        <v>3.3068725280761599</v>
      </c>
      <c r="S4863">
        <v>7</v>
      </c>
      <c r="T4863">
        <v>59</v>
      </c>
      <c r="U4863">
        <v>471.392584830261</v>
      </c>
      <c r="V4863">
        <v>7.1567989590110596E-3</v>
      </c>
      <c r="W4863">
        <v>998209.93832314305</v>
      </c>
      <c r="X4863" t="s">
        <v>38</v>
      </c>
      <c r="Y4863">
        <f>1-921-940-4114</f>
        <v>-5974</v>
      </c>
    </row>
    <row r="4864" spans="1:25" x14ac:dyDescent="0.35">
      <c r="A4864">
        <v>36.6116722895989</v>
      </c>
      <c r="B4864">
        <v>-114.790697966471</v>
      </c>
      <c r="C4864" t="s">
        <v>29</v>
      </c>
      <c r="D4864">
        <v>42.176679215226699</v>
      </c>
      <c r="E4864">
        <v>1</v>
      </c>
      <c r="F4864">
        <v>1661</v>
      </c>
      <c r="G4864">
        <v>5</v>
      </c>
      <c r="H4864">
        <v>2</v>
      </c>
      <c r="I4864">
        <v>2004</v>
      </c>
      <c r="J4864">
        <v>0</v>
      </c>
      <c r="K4864">
        <v>0</v>
      </c>
      <c r="L4864">
        <v>1</v>
      </c>
      <c r="M4864">
        <v>12</v>
      </c>
      <c r="N4864" t="s">
        <v>35</v>
      </c>
      <c r="O4864" t="s">
        <v>32</v>
      </c>
      <c r="P4864">
        <v>14.213480177483399</v>
      </c>
      <c r="Q4864">
        <v>0.97953152584360104</v>
      </c>
      <c r="R4864">
        <v>4.7235807902748199</v>
      </c>
      <c r="S4864">
        <v>15</v>
      </c>
      <c r="T4864">
        <v>49</v>
      </c>
      <c r="U4864">
        <v>771.03209933213202</v>
      </c>
      <c r="V4864">
        <v>7.2245635159542401E-3</v>
      </c>
      <c r="W4864">
        <v>1692014.3130721501</v>
      </c>
      <c r="X4864" t="s">
        <v>33</v>
      </c>
      <c r="Y4864">
        <f>1-923-459-7675</f>
        <v>-9056</v>
      </c>
    </row>
    <row r="4865" spans="1:25" x14ac:dyDescent="0.35">
      <c r="A4865">
        <v>37.116986921838503</v>
      </c>
      <c r="B4865">
        <v>-117.47661051476101</v>
      </c>
      <c r="C4865" t="s">
        <v>25</v>
      </c>
      <c r="D4865">
        <v>48.854724984055601</v>
      </c>
      <c r="E4865">
        <v>4</v>
      </c>
      <c r="F4865">
        <v>2448</v>
      </c>
      <c r="G4865">
        <v>4</v>
      </c>
      <c r="H4865">
        <v>3</v>
      </c>
      <c r="I4865">
        <v>1957</v>
      </c>
      <c r="J4865">
        <v>1</v>
      </c>
      <c r="K4865">
        <v>1</v>
      </c>
      <c r="L4865">
        <v>0</v>
      </c>
      <c r="M4865">
        <v>9</v>
      </c>
      <c r="N4865" t="s">
        <v>26</v>
      </c>
      <c r="O4865" t="s">
        <v>30</v>
      </c>
      <c r="P4865">
        <v>4.4517836404481601</v>
      </c>
      <c r="Q4865">
        <v>1.24272864000961</v>
      </c>
      <c r="R4865">
        <v>8.4600416093079094</v>
      </c>
      <c r="S4865">
        <v>138</v>
      </c>
      <c r="T4865">
        <v>56</v>
      </c>
      <c r="U4865">
        <v>217.69307886010799</v>
      </c>
      <c r="V4865">
        <v>3.6764705882352902E-3</v>
      </c>
      <c r="W4865">
        <v>750006.155791839</v>
      </c>
      <c r="X4865" t="s">
        <v>38</v>
      </c>
      <c r="Y4865">
        <f>1-982-418-8002</f>
        <v>-9401</v>
      </c>
    </row>
    <row r="4866" spans="1:25" x14ac:dyDescent="0.35">
      <c r="A4866">
        <v>41.652969136214899</v>
      </c>
      <c r="B4866">
        <v>-120.130330679352</v>
      </c>
      <c r="C4866" t="s">
        <v>29</v>
      </c>
      <c r="D4866">
        <v>24.937382484227701</v>
      </c>
      <c r="E4866">
        <v>8</v>
      </c>
      <c r="F4866">
        <v>2971</v>
      </c>
      <c r="G4866">
        <v>2</v>
      </c>
      <c r="H4866">
        <v>1</v>
      </c>
      <c r="I4866">
        <v>1981</v>
      </c>
      <c r="J4866">
        <v>0</v>
      </c>
      <c r="K4866">
        <v>1</v>
      </c>
      <c r="L4866">
        <v>1</v>
      </c>
      <c r="M4866">
        <v>9</v>
      </c>
      <c r="N4866" t="s">
        <v>35</v>
      </c>
      <c r="O4866" t="s">
        <v>32</v>
      </c>
      <c r="P4866">
        <v>12.6962314038218</v>
      </c>
      <c r="Q4866">
        <v>1.7977205840971799</v>
      </c>
      <c r="R4866">
        <v>7.6031328858495204</v>
      </c>
      <c r="S4866">
        <v>33</v>
      </c>
      <c r="T4866">
        <v>53</v>
      </c>
      <c r="U4866">
        <v>206.21950476946799</v>
      </c>
      <c r="V4866">
        <v>3.0292830696735098E-3</v>
      </c>
      <c r="W4866">
        <v>971683.26301488106</v>
      </c>
      <c r="X4866" t="s">
        <v>31</v>
      </c>
      <c r="Y4866">
        <f>1-863-584-1293</f>
        <v>-2739</v>
      </c>
    </row>
    <row r="4867" spans="1:25" x14ac:dyDescent="0.35">
      <c r="A4867">
        <v>34.854098149998002</v>
      </c>
      <c r="B4867">
        <v>-123.72608613331499</v>
      </c>
      <c r="C4867" t="s">
        <v>34</v>
      </c>
      <c r="D4867">
        <v>2.0233229961327202</v>
      </c>
      <c r="E4867">
        <v>0</v>
      </c>
      <c r="F4867">
        <v>3326</v>
      </c>
      <c r="G4867">
        <v>1</v>
      </c>
      <c r="H4867">
        <v>3</v>
      </c>
      <c r="I4867">
        <v>1962</v>
      </c>
      <c r="J4867">
        <v>0</v>
      </c>
      <c r="K4867">
        <v>1</v>
      </c>
      <c r="L4867">
        <v>1</v>
      </c>
      <c r="M4867">
        <v>11</v>
      </c>
      <c r="N4867" t="s">
        <v>26</v>
      </c>
      <c r="O4867" t="s">
        <v>32</v>
      </c>
      <c r="P4867">
        <v>11.658544625300699</v>
      </c>
      <c r="Q4867">
        <v>2.05187886722103</v>
      </c>
      <c r="R4867">
        <v>8.2697903102080002</v>
      </c>
      <c r="S4867">
        <v>182</v>
      </c>
      <c r="T4867">
        <v>57</v>
      </c>
      <c r="U4867">
        <v>782.69434152412703</v>
      </c>
      <c r="V4867">
        <v>3.3072760072158699E-3</v>
      </c>
      <c r="W4867">
        <v>2766305.8303411598</v>
      </c>
      <c r="X4867" t="s">
        <v>39</v>
      </c>
      <c r="Y4867">
        <f>1-512-332-5020</f>
        <v>-5863</v>
      </c>
    </row>
    <row r="4868" spans="1:25" x14ac:dyDescent="0.35">
      <c r="A4868">
        <v>35.376913496041603</v>
      </c>
      <c r="B4868">
        <v>-122.659618896811</v>
      </c>
      <c r="C4868" t="s">
        <v>25</v>
      </c>
      <c r="D4868">
        <v>31.090965483464998</v>
      </c>
      <c r="E4868">
        <v>5</v>
      </c>
      <c r="F4868">
        <v>4552</v>
      </c>
      <c r="G4868">
        <v>3</v>
      </c>
      <c r="H4868">
        <v>3</v>
      </c>
      <c r="I4868">
        <v>2011</v>
      </c>
      <c r="J4868">
        <v>1</v>
      </c>
      <c r="K4868">
        <v>0</v>
      </c>
      <c r="L4868">
        <v>1</v>
      </c>
      <c r="M4868">
        <v>10</v>
      </c>
      <c r="N4868" t="s">
        <v>41</v>
      </c>
      <c r="O4868" t="s">
        <v>32</v>
      </c>
      <c r="P4868">
        <v>7.6161518195992297</v>
      </c>
      <c r="Q4868">
        <v>1.4698173917659001</v>
      </c>
      <c r="R4868">
        <v>2.0371673501038199</v>
      </c>
      <c r="S4868">
        <v>46</v>
      </c>
      <c r="T4868">
        <v>27</v>
      </c>
      <c r="U4868">
        <v>781.40238256042505</v>
      </c>
      <c r="V4868">
        <v>2.1968365553602801E-3</v>
      </c>
      <c r="W4868">
        <v>3876760.7953393199</v>
      </c>
      <c r="X4868" t="s">
        <v>28</v>
      </c>
      <c r="Y4868">
        <f>1-868-542-8019</f>
        <v>-9428</v>
      </c>
    </row>
    <row r="4869" spans="1:25" x14ac:dyDescent="0.35">
      <c r="A4869">
        <v>40.576022634683198</v>
      </c>
      <c r="B4869">
        <v>-115.45158449525699</v>
      </c>
      <c r="C4869" t="s">
        <v>25</v>
      </c>
      <c r="D4869">
        <v>11.280261549806401</v>
      </c>
      <c r="E4869">
        <v>4</v>
      </c>
      <c r="F4869">
        <v>2030</v>
      </c>
      <c r="G4869">
        <v>2</v>
      </c>
      <c r="H4869">
        <v>2</v>
      </c>
      <c r="I4869">
        <v>1962</v>
      </c>
      <c r="J4869">
        <v>1</v>
      </c>
      <c r="K4869">
        <v>1</v>
      </c>
      <c r="L4869">
        <v>1</v>
      </c>
      <c r="M4869">
        <v>4</v>
      </c>
      <c r="N4869" t="s">
        <v>26</v>
      </c>
      <c r="O4869" t="s">
        <v>27</v>
      </c>
      <c r="P4869">
        <v>9.7769295879303098</v>
      </c>
      <c r="Q4869">
        <v>0.90561279541659001</v>
      </c>
      <c r="R4869">
        <v>6.1755048514579398</v>
      </c>
      <c r="S4869">
        <v>103</v>
      </c>
      <c r="T4869">
        <v>75</v>
      </c>
      <c r="U4869">
        <v>475.42111558897801</v>
      </c>
      <c r="V4869">
        <v>1.9704433497536901E-3</v>
      </c>
      <c r="W4869">
        <v>1294817.4577258499</v>
      </c>
      <c r="X4869" t="s">
        <v>31</v>
      </c>
      <c r="Y4869">
        <f>1-496-618-7069</f>
        <v>-8182</v>
      </c>
    </row>
    <row r="4870" spans="1:25" x14ac:dyDescent="0.35">
      <c r="A4870">
        <v>40.798073120223698</v>
      </c>
      <c r="B4870">
        <v>-115.646501156486</v>
      </c>
      <c r="C4870" t="s">
        <v>25</v>
      </c>
      <c r="D4870">
        <v>26.551164051891799</v>
      </c>
      <c r="E4870">
        <v>5</v>
      </c>
      <c r="F4870">
        <v>1421</v>
      </c>
      <c r="G4870">
        <v>5</v>
      </c>
      <c r="H4870">
        <v>2</v>
      </c>
      <c r="I4870">
        <v>1962</v>
      </c>
      <c r="J4870">
        <v>0</v>
      </c>
      <c r="K4870">
        <v>0</v>
      </c>
      <c r="L4870">
        <v>0</v>
      </c>
      <c r="M4870">
        <v>2</v>
      </c>
      <c r="N4870" t="s">
        <v>41</v>
      </c>
      <c r="O4870" t="s">
        <v>27</v>
      </c>
      <c r="P4870">
        <v>6.1371266107868703</v>
      </c>
      <c r="Q4870">
        <v>2.0903239722287501</v>
      </c>
      <c r="R4870">
        <v>8.9444473578641102</v>
      </c>
      <c r="S4870">
        <v>35</v>
      </c>
      <c r="T4870">
        <v>53</v>
      </c>
      <c r="U4870">
        <v>958.79346741420204</v>
      </c>
      <c r="V4870">
        <v>1.40745953553835E-3</v>
      </c>
      <c r="W4870">
        <v>1573422.27586896</v>
      </c>
      <c r="X4870" t="s">
        <v>36</v>
      </c>
      <c r="Y4870">
        <f>1-833-413-2441</f>
        <v>-3686</v>
      </c>
    </row>
    <row r="4871" spans="1:25" x14ac:dyDescent="0.35">
      <c r="A4871">
        <v>37.014501200369899</v>
      </c>
      <c r="B4871">
        <v>-116.88507227086799</v>
      </c>
      <c r="C4871" t="s">
        <v>25</v>
      </c>
      <c r="D4871">
        <v>12.2334456422915</v>
      </c>
      <c r="E4871">
        <v>1</v>
      </c>
      <c r="F4871">
        <v>1571</v>
      </c>
      <c r="G4871">
        <v>2</v>
      </c>
      <c r="H4871">
        <v>1</v>
      </c>
      <c r="I4871">
        <v>2002</v>
      </c>
      <c r="J4871">
        <v>0</v>
      </c>
      <c r="K4871">
        <v>1</v>
      </c>
      <c r="L4871">
        <v>1</v>
      </c>
      <c r="M4871">
        <v>8</v>
      </c>
      <c r="N4871" t="s">
        <v>37</v>
      </c>
      <c r="O4871" t="s">
        <v>27</v>
      </c>
      <c r="P4871">
        <v>10.718099123309599</v>
      </c>
      <c r="Q4871">
        <v>1.7928659439194501</v>
      </c>
      <c r="R4871">
        <v>9.6196607831622405</v>
      </c>
      <c r="S4871">
        <v>108</v>
      </c>
      <c r="T4871">
        <v>71</v>
      </c>
      <c r="U4871">
        <v>935.72706839808995</v>
      </c>
      <c r="V4871">
        <v>5.09229789942711E-3</v>
      </c>
      <c r="W4871">
        <v>1683233.9713351601</v>
      </c>
      <c r="X4871" t="s">
        <v>40</v>
      </c>
      <c r="Y4871">
        <f>1-254-511-5807</f>
        <v>-6571</v>
      </c>
    </row>
    <row r="4872" spans="1:25" x14ac:dyDescent="0.35">
      <c r="A4872">
        <v>38.639690198801503</v>
      </c>
      <c r="B4872">
        <v>-121.94897120630201</v>
      </c>
      <c r="C4872" t="s">
        <v>29</v>
      </c>
      <c r="D4872">
        <v>38.698771344319297</v>
      </c>
      <c r="E4872">
        <v>2</v>
      </c>
      <c r="F4872">
        <v>2090</v>
      </c>
      <c r="G4872">
        <v>4</v>
      </c>
      <c r="H4872">
        <v>1</v>
      </c>
      <c r="I4872">
        <v>1985</v>
      </c>
      <c r="J4872">
        <v>0</v>
      </c>
      <c r="K4872">
        <v>0</v>
      </c>
      <c r="L4872">
        <v>1</v>
      </c>
      <c r="M4872">
        <v>10</v>
      </c>
      <c r="N4872" t="s">
        <v>26</v>
      </c>
      <c r="O4872" t="s">
        <v>27</v>
      </c>
      <c r="P4872">
        <v>6.7144457930221204</v>
      </c>
      <c r="Q4872">
        <v>1.5696181586972</v>
      </c>
      <c r="R4872">
        <v>9.0187852742270298</v>
      </c>
      <c r="S4872">
        <v>173</v>
      </c>
      <c r="T4872">
        <v>76</v>
      </c>
      <c r="U4872">
        <v>230.07323606432499</v>
      </c>
      <c r="V4872">
        <v>4.78468899521531E-3</v>
      </c>
      <c r="W4872">
        <v>650348.42602748505</v>
      </c>
      <c r="X4872" t="s">
        <v>38</v>
      </c>
      <c r="Y4872">
        <f>1-783-992-8608</f>
        <v>-10382</v>
      </c>
    </row>
    <row r="4873" spans="1:25" x14ac:dyDescent="0.35">
      <c r="A4873">
        <v>35.570071316659501</v>
      </c>
      <c r="B4873">
        <v>-118.123848957847</v>
      </c>
      <c r="C4873" t="s">
        <v>25</v>
      </c>
      <c r="D4873">
        <v>3.1469129218701202</v>
      </c>
      <c r="E4873">
        <v>0</v>
      </c>
      <c r="F4873">
        <v>4223</v>
      </c>
      <c r="G4873">
        <v>4</v>
      </c>
      <c r="H4873">
        <v>1</v>
      </c>
      <c r="I4873">
        <v>1961</v>
      </c>
      <c r="J4873">
        <v>1</v>
      </c>
      <c r="K4873">
        <v>0</v>
      </c>
      <c r="L4873">
        <v>1</v>
      </c>
      <c r="M4873">
        <v>3</v>
      </c>
      <c r="N4873" t="s">
        <v>35</v>
      </c>
      <c r="O4873" t="s">
        <v>30</v>
      </c>
      <c r="P4873">
        <v>5.1741531120238502</v>
      </c>
      <c r="Q4873">
        <v>2.12164571447338</v>
      </c>
      <c r="R4873">
        <v>5.1139239539796799</v>
      </c>
      <c r="S4873">
        <v>187</v>
      </c>
      <c r="T4873">
        <v>51</v>
      </c>
      <c r="U4873">
        <v>522.16113717868097</v>
      </c>
      <c r="V4873">
        <v>7.1039545346909697E-4</v>
      </c>
      <c r="W4873">
        <v>2422577.9096805402</v>
      </c>
      <c r="X4873" t="s">
        <v>33</v>
      </c>
      <c r="Y4873">
        <f>1-360-589-9828</f>
        <v>-10776</v>
      </c>
    </row>
    <row r="4874" spans="1:25" x14ac:dyDescent="0.35">
      <c r="A4874">
        <v>38.666896674594099</v>
      </c>
      <c r="B4874">
        <v>-117.115420915361</v>
      </c>
      <c r="C4874" t="s">
        <v>25</v>
      </c>
      <c r="D4874">
        <v>33.822523810630699</v>
      </c>
      <c r="E4874">
        <v>8</v>
      </c>
      <c r="F4874">
        <v>2794</v>
      </c>
      <c r="G4874">
        <v>4</v>
      </c>
      <c r="H4874">
        <v>3</v>
      </c>
      <c r="I4874">
        <v>1987</v>
      </c>
      <c r="J4874">
        <v>1</v>
      </c>
      <c r="K4874">
        <v>1</v>
      </c>
      <c r="L4874">
        <v>0</v>
      </c>
      <c r="M4874">
        <v>6</v>
      </c>
      <c r="N4874" t="s">
        <v>37</v>
      </c>
      <c r="O4874" t="s">
        <v>32</v>
      </c>
      <c r="P4874">
        <v>13.6061898836638</v>
      </c>
      <c r="Q4874">
        <v>0.99726584845542599</v>
      </c>
      <c r="R4874">
        <v>5.2465191440691203</v>
      </c>
      <c r="S4874">
        <v>94</v>
      </c>
      <c r="T4874">
        <v>71</v>
      </c>
      <c r="U4874">
        <v>837.03873396210304</v>
      </c>
      <c r="V4874">
        <v>2.1474588403722198E-3</v>
      </c>
      <c r="W4874">
        <v>2861359.6629963899</v>
      </c>
      <c r="X4874" t="s">
        <v>33</v>
      </c>
      <c r="Y4874">
        <f>1-797-595-7791</f>
        <v>-9182</v>
      </c>
    </row>
    <row r="4875" spans="1:25" x14ac:dyDescent="0.35">
      <c r="A4875">
        <v>40.087315454965498</v>
      </c>
      <c r="B4875">
        <v>-123.570276018304</v>
      </c>
      <c r="C4875" t="s">
        <v>29</v>
      </c>
      <c r="D4875">
        <v>43.061285294701001</v>
      </c>
      <c r="E4875">
        <v>3</v>
      </c>
      <c r="F4875">
        <v>1488</v>
      </c>
      <c r="G4875">
        <v>5</v>
      </c>
      <c r="H4875">
        <v>2</v>
      </c>
      <c r="I4875">
        <v>1985</v>
      </c>
      <c r="J4875">
        <v>0</v>
      </c>
      <c r="K4875">
        <v>1</v>
      </c>
      <c r="L4875">
        <v>1</v>
      </c>
      <c r="M4875">
        <v>12</v>
      </c>
      <c r="N4875" t="s">
        <v>35</v>
      </c>
      <c r="O4875" t="s">
        <v>30</v>
      </c>
      <c r="P4875">
        <v>10.864874514402</v>
      </c>
      <c r="Q4875">
        <v>1.8925963946840001</v>
      </c>
      <c r="R4875">
        <v>8.5954050657592802</v>
      </c>
      <c r="S4875">
        <v>60</v>
      </c>
      <c r="T4875">
        <v>65</v>
      </c>
      <c r="U4875">
        <v>778.25383092994002</v>
      </c>
      <c r="V4875">
        <v>8.0645161290322492E-3</v>
      </c>
      <c r="W4875">
        <v>1576406.1329392099</v>
      </c>
      <c r="X4875" t="s">
        <v>38</v>
      </c>
      <c r="Y4875">
        <f>1-593-901-6445</f>
        <v>-7938</v>
      </c>
    </row>
    <row r="4876" spans="1:25" x14ac:dyDescent="0.35">
      <c r="A4876">
        <v>38.884386292579798</v>
      </c>
      <c r="B4876">
        <v>-121.029591368596</v>
      </c>
      <c r="C4876" t="s">
        <v>34</v>
      </c>
      <c r="D4876">
        <v>42.234123477382198</v>
      </c>
      <c r="E4876">
        <v>0</v>
      </c>
      <c r="F4876">
        <v>1126</v>
      </c>
      <c r="G4876">
        <v>4</v>
      </c>
      <c r="H4876">
        <v>2</v>
      </c>
      <c r="I4876">
        <v>2019</v>
      </c>
      <c r="J4876">
        <v>0</v>
      </c>
      <c r="K4876">
        <v>0</v>
      </c>
      <c r="L4876">
        <v>1</v>
      </c>
      <c r="M4876">
        <v>14</v>
      </c>
      <c r="N4876" t="s">
        <v>41</v>
      </c>
      <c r="O4876" t="s">
        <v>32</v>
      </c>
      <c r="P4876">
        <v>10.541463445499501</v>
      </c>
      <c r="Q4876">
        <v>1.4267235656601001</v>
      </c>
      <c r="R4876">
        <v>5.2814417931047801</v>
      </c>
      <c r="S4876">
        <v>159</v>
      </c>
      <c r="T4876">
        <v>62</v>
      </c>
      <c r="U4876">
        <v>850.91113136158594</v>
      </c>
      <c r="V4876">
        <v>1.2433392539964399E-2</v>
      </c>
      <c r="W4876">
        <v>1203252.8990175601</v>
      </c>
      <c r="X4876" t="s">
        <v>36</v>
      </c>
      <c r="Y4876">
        <f>1-652-437-5829</f>
        <v>-6917</v>
      </c>
    </row>
    <row r="4877" spans="1:25" x14ac:dyDescent="0.35">
      <c r="A4877">
        <v>39.609836498529198</v>
      </c>
      <c r="B4877">
        <v>-122.984923913899</v>
      </c>
      <c r="C4877" t="s">
        <v>34</v>
      </c>
      <c r="D4877">
        <v>1.8603750704398001</v>
      </c>
      <c r="E4877">
        <v>5</v>
      </c>
      <c r="F4877">
        <v>4280</v>
      </c>
      <c r="G4877">
        <v>3</v>
      </c>
      <c r="H4877">
        <v>2</v>
      </c>
      <c r="I4877">
        <v>1962</v>
      </c>
      <c r="J4877">
        <v>0</v>
      </c>
      <c r="K4877">
        <v>0</v>
      </c>
      <c r="L4877">
        <v>0</v>
      </c>
      <c r="M4877">
        <v>10</v>
      </c>
      <c r="N4877" t="s">
        <v>26</v>
      </c>
      <c r="O4877" t="s">
        <v>32</v>
      </c>
      <c r="P4877">
        <v>2.30150763661721</v>
      </c>
      <c r="Q4877">
        <v>2.3148932187039102</v>
      </c>
      <c r="R4877">
        <v>9.2359777991982206</v>
      </c>
      <c r="S4877">
        <v>22</v>
      </c>
      <c r="T4877">
        <v>59</v>
      </c>
      <c r="U4877">
        <v>332.92147932484897</v>
      </c>
      <c r="V4877">
        <v>2.3364485981308401E-3</v>
      </c>
      <c r="W4877">
        <v>1541400.17530593</v>
      </c>
      <c r="X4877" t="s">
        <v>31</v>
      </c>
      <c r="Y4877">
        <f>1-829-879-5984</f>
        <v>-7691</v>
      </c>
    </row>
    <row r="4878" spans="1:25" x14ac:dyDescent="0.35">
      <c r="A4878">
        <v>39.812296891488899</v>
      </c>
      <c r="B4878">
        <v>-119.779261798552</v>
      </c>
      <c r="C4878" t="s">
        <v>34</v>
      </c>
      <c r="D4878">
        <v>5.5292733294109899</v>
      </c>
      <c r="E4878">
        <v>7</v>
      </c>
      <c r="F4878">
        <v>4981</v>
      </c>
      <c r="G4878">
        <v>3</v>
      </c>
      <c r="H4878">
        <v>3</v>
      </c>
      <c r="I4878">
        <v>1999</v>
      </c>
      <c r="J4878">
        <v>0</v>
      </c>
      <c r="K4878">
        <v>0</v>
      </c>
      <c r="L4878">
        <v>0</v>
      </c>
      <c r="M4878">
        <v>3</v>
      </c>
      <c r="N4878" t="s">
        <v>41</v>
      </c>
      <c r="O4878" t="s">
        <v>30</v>
      </c>
      <c r="P4878">
        <v>6.1486141866691799</v>
      </c>
      <c r="Q4878">
        <v>1.4712242408754099</v>
      </c>
      <c r="R4878">
        <v>9.84622885228484</v>
      </c>
      <c r="S4878">
        <v>128</v>
      </c>
      <c r="T4878">
        <v>26</v>
      </c>
      <c r="U4878">
        <v>499.02270199948799</v>
      </c>
      <c r="V4878">
        <v>6.0228869704878499E-4</v>
      </c>
      <c r="W4878">
        <v>2698734.6113444399</v>
      </c>
      <c r="X4878" t="s">
        <v>44</v>
      </c>
      <c r="Y4878">
        <f>1-704-709-4974</f>
        <v>-6386</v>
      </c>
    </row>
    <row r="4879" spans="1:25" x14ac:dyDescent="0.35">
      <c r="A4879">
        <v>34.672545721031099</v>
      </c>
      <c r="B4879">
        <v>-118.787085500506</v>
      </c>
      <c r="C4879" t="s">
        <v>34</v>
      </c>
      <c r="D4879">
        <v>25.254752997849</v>
      </c>
      <c r="E4879">
        <v>4</v>
      </c>
      <c r="F4879">
        <v>916</v>
      </c>
      <c r="G4879">
        <v>1</v>
      </c>
      <c r="H4879">
        <v>3</v>
      </c>
      <c r="I4879">
        <v>2021</v>
      </c>
      <c r="J4879">
        <v>1</v>
      </c>
      <c r="K4879">
        <v>1</v>
      </c>
      <c r="L4879">
        <v>1</v>
      </c>
      <c r="M4879">
        <v>9</v>
      </c>
      <c r="N4879" t="s">
        <v>41</v>
      </c>
      <c r="O4879" t="s">
        <v>30</v>
      </c>
      <c r="P4879">
        <v>2.8215628459256199</v>
      </c>
      <c r="Q4879">
        <v>1.0443916764812999</v>
      </c>
      <c r="R4879">
        <v>5.6208394540697899</v>
      </c>
      <c r="S4879">
        <v>82</v>
      </c>
      <c r="T4879">
        <v>38</v>
      </c>
      <c r="U4879">
        <v>818.32257472515096</v>
      </c>
      <c r="V4879">
        <v>9.8253275109170292E-3</v>
      </c>
      <c r="W4879">
        <v>1123669.13996575</v>
      </c>
      <c r="X4879" t="s">
        <v>42</v>
      </c>
      <c r="Y4879">
        <f>1-713-896-5480</f>
        <v>-7088</v>
      </c>
    </row>
    <row r="4880" spans="1:25" x14ac:dyDescent="0.35">
      <c r="A4880">
        <v>33.4551821390979</v>
      </c>
      <c r="B4880">
        <v>-122.399339644118</v>
      </c>
      <c r="C4880" t="s">
        <v>34</v>
      </c>
      <c r="D4880">
        <v>6.6432695163790099</v>
      </c>
      <c r="E4880">
        <v>5</v>
      </c>
      <c r="F4880">
        <v>2884</v>
      </c>
      <c r="G4880">
        <v>4</v>
      </c>
      <c r="H4880">
        <v>2</v>
      </c>
      <c r="I4880">
        <v>1966</v>
      </c>
      <c r="J4880">
        <v>1</v>
      </c>
      <c r="K4880">
        <v>0</v>
      </c>
      <c r="L4880">
        <v>0</v>
      </c>
      <c r="M4880">
        <v>9</v>
      </c>
      <c r="N4880" t="s">
        <v>37</v>
      </c>
      <c r="O4880" t="s">
        <v>30</v>
      </c>
      <c r="P4880">
        <v>14.1028733462209</v>
      </c>
      <c r="Q4880">
        <v>1.0230442886484601</v>
      </c>
      <c r="R4880">
        <v>7.2211657232749298</v>
      </c>
      <c r="S4880">
        <v>84</v>
      </c>
      <c r="T4880">
        <v>54</v>
      </c>
      <c r="U4880">
        <v>788.50432448257698</v>
      </c>
      <c r="V4880">
        <v>3.12066574202496E-3</v>
      </c>
      <c r="W4880">
        <v>2533289.2902711201</v>
      </c>
      <c r="X4880" t="s">
        <v>42</v>
      </c>
      <c r="Y4880">
        <f>1-944-662-2944</f>
        <v>-4549</v>
      </c>
    </row>
    <row r="4881" spans="1:25" x14ac:dyDescent="0.35">
      <c r="A4881">
        <v>37.537264710939503</v>
      </c>
      <c r="B4881">
        <v>-119.89410142470901</v>
      </c>
      <c r="C4881" t="s">
        <v>25</v>
      </c>
      <c r="D4881">
        <v>36.384967809735102</v>
      </c>
      <c r="E4881">
        <v>5</v>
      </c>
      <c r="F4881">
        <v>2032</v>
      </c>
      <c r="G4881">
        <v>5</v>
      </c>
      <c r="H4881">
        <v>1</v>
      </c>
      <c r="I4881">
        <v>1991</v>
      </c>
      <c r="J4881">
        <v>0</v>
      </c>
      <c r="K4881">
        <v>1</v>
      </c>
      <c r="L4881">
        <v>1</v>
      </c>
      <c r="M4881">
        <v>9</v>
      </c>
      <c r="N4881" t="s">
        <v>35</v>
      </c>
      <c r="O4881" t="s">
        <v>32</v>
      </c>
      <c r="P4881">
        <v>5.7315213964987501</v>
      </c>
      <c r="Q4881">
        <v>1.1837232028050999</v>
      </c>
      <c r="R4881">
        <v>7.0232859228063598</v>
      </c>
      <c r="S4881">
        <v>146</v>
      </c>
      <c r="T4881">
        <v>23</v>
      </c>
      <c r="U4881">
        <v>558.054635182531</v>
      </c>
      <c r="V4881">
        <v>4.4291338582677104E-3</v>
      </c>
      <c r="W4881">
        <v>1552899.93811037</v>
      </c>
      <c r="X4881" t="s">
        <v>36</v>
      </c>
      <c r="Y4881">
        <f>1-971-898-4344</f>
        <v>-6212</v>
      </c>
    </row>
    <row r="4882" spans="1:25" x14ac:dyDescent="0.35">
      <c r="A4882">
        <v>32.8359119678314</v>
      </c>
      <c r="B4882">
        <v>-120.75189695697</v>
      </c>
      <c r="C4882" t="s">
        <v>34</v>
      </c>
      <c r="D4882">
        <v>45.717247415406199</v>
      </c>
      <c r="E4882">
        <v>9</v>
      </c>
      <c r="F4882">
        <v>631</v>
      </c>
      <c r="G4882">
        <v>1</v>
      </c>
      <c r="H4882">
        <v>3</v>
      </c>
      <c r="I4882">
        <v>1970</v>
      </c>
      <c r="J4882">
        <v>0</v>
      </c>
      <c r="K4882">
        <v>0</v>
      </c>
      <c r="L4882">
        <v>0</v>
      </c>
      <c r="M4882">
        <v>2</v>
      </c>
      <c r="N4882" t="s">
        <v>26</v>
      </c>
      <c r="O4882" t="s">
        <v>32</v>
      </c>
      <c r="P4882">
        <v>13.864448466057</v>
      </c>
      <c r="Q4882">
        <v>1.79773487471025</v>
      </c>
      <c r="R4882">
        <v>1.2745068565464599</v>
      </c>
      <c r="S4882">
        <v>125</v>
      </c>
      <c r="T4882">
        <v>45</v>
      </c>
      <c r="U4882">
        <v>964.87782191924896</v>
      </c>
      <c r="V4882">
        <v>3.1695721077654501E-3</v>
      </c>
      <c r="W4882">
        <v>717711.65558191296</v>
      </c>
      <c r="X4882" t="s">
        <v>36</v>
      </c>
      <c r="Y4882">
        <f>1-449-710-5900</f>
        <v>-7058</v>
      </c>
    </row>
    <row r="4883" spans="1:25" x14ac:dyDescent="0.35">
      <c r="A4883">
        <v>39.132135625613401</v>
      </c>
      <c r="B4883">
        <v>-122.904548612068</v>
      </c>
      <c r="C4883" t="s">
        <v>29</v>
      </c>
      <c r="D4883">
        <v>16.672358334686201</v>
      </c>
      <c r="E4883">
        <v>0</v>
      </c>
      <c r="F4883">
        <v>2144</v>
      </c>
      <c r="G4883">
        <v>1</v>
      </c>
      <c r="H4883">
        <v>3</v>
      </c>
      <c r="I4883">
        <v>2008</v>
      </c>
      <c r="J4883">
        <v>0</v>
      </c>
      <c r="K4883">
        <v>1</v>
      </c>
      <c r="L4883">
        <v>0</v>
      </c>
      <c r="M4883">
        <v>4</v>
      </c>
      <c r="N4883" t="s">
        <v>37</v>
      </c>
      <c r="O4883" t="s">
        <v>30</v>
      </c>
      <c r="P4883">
        <v>2.5747827974587101</v>
      </c>
      <c r="Q4883">
        <v>2.2383015106964002</v>
      </c>
      <c r="R4883">
        <v>0.50765200685075496</v>
      </c>
      <c r="S4883">
        <v>89</v>
      </c>
      <c r="T4883">
        <v>56</v>
      </c>
      <c r="U4883">
        <v>805.63723291324504</v>
      </c>
      <c r="V4883">
        <v>1.86567164179104E-3</v>
      </c>
      <c r="W4883">
        <v>1943754.0066220099</v>
      </c>
      <c r="X4883" t="s">
        <v>33</v>
      </c>
      <c r="Y4883">
        <f>1-215-998-1066</f>
        <v>-2278</v>
      </c>
    </row>
    <row r="4884" spans="1:25" x14ac:dyDescent="0.35">
      <c r="A4884">
        <v>41.083875400376797</v>
      </c>
      <c r="B4884">
        <v>-121.45803313541199</v>
      </c>
      <c r="C4884" t="s">
        <v>34</v>
      </c>
      <c r="D4884">
        <v>36.217364305542098</v>
      </c>
      <c r="E4884">
        <v>9</v>
      </c>
      <c r="F4884">
        <v>4916</v>
      </c>
      <c r="G4884">
        <v>5</v>
      </c>
      <c r="H4884">
        <v>3</v>
      </c>
      <c r="I4884">
        <v>1991</v>
      </c>
      <c r="J4884">
        <v>1</v>
      </c>
      <c r="K4884">
        <v>0</v>
      </c>
      <c r="L4884">
        <v>0</v>
      </c>
      <c r="M4884">
        <v>13</v>
      </c>
      <c r="N4884" t="s">
        <v>37</v>
      </c>
      <c r="O4884" t="s">
        <v>27</v>
      </c>
      <c r="P4884">
        <v>14.046475612924599</v>
      </c>
      <c r="Q4884">
        <v>0.59591030660573896</v>
      </c>
      <c r="R4884">
        <v>7.4317259812973004</v>
      </c>
      <c r="S4884">
        <v>63</v>
      </c>
      <c r="T4884">
        <v>60</v>
      </c>
      <c r="U4884">
        <v>985.19542370872705</v>
      </c>
      <c r="V4884">
        <v>2.6444263628966598E-3</v>
      </c>
      <c r="W4884">
        <v>5265768.8169371402</v>
      </c>
      <c r="X4884" t="s">
        <v>31</v>
      </c>
      <c r="Y4884">
        <f>1-627-427-3555</f>
        <v>-4608</v>
      </c>
    </row>
    <row r="4885" spans="1:25" x14ac:dyDescent="0.35">
      <c r="A4885">
        <v>33.002973862887401</v>
      </c>
      <c r="B4885">
        <v>-116.779772318903</v>
      </c>
      <c r="C4885" t="s">
        <v>34</v>
      </c>
      <c r="D4885">
        <v>17.2185784473333</v>
      </c>
      <c r="E4885">
        <v>8</v>
      </c>
      <c r="F4885">
        <v>3050</v>
      </c>
      <c r="G4885">
        <v>2</v>
      </c>
      <c r="H4885">
        <v>3</v>
      </c>
      <c r="I4885">
        <v>1999</v>
      </c>
      <c r="J4885">
        <v>1</v>
      </c>
      <c r="K4885">
        <v>0</v>
      </c>
      <c r="L4885">
        <v>0</v>
      </c>
      <c r="M4885">
        <v>7</v>
      </c>
      <c r="N4885" t="s">
        <v>37</v>
      </c>
      <c r="O4885" t="s">
        <v>27</v>
      </c>
      <c r="P4885">
        <v>8.7369843278478605</v>
      </c>
      <c r="Q4885">
        <v>1.2869408487435801</v>
      </c>
      <c r="R4885">
        <v>4.6018882952668898</v>
      </c>
      <c r="S4885">
        <v>26</v>
      </c>
      <c r="T4885">
        <v>39</v>
      </c>
      <c r="U4885">
        <v>545.81942884733303</v>
      </c>
      <c r="V4885">
        <v>2.29508196721311E-3</v>
      </c>
      <c r="W4885">
        <v>1850326.26743672</v>
      </c>
      <c r="X4885" t="s">
        <v>39</v>
      </c>
      <c r="Y4885">
        <f>1-841-587-5503</f>
        <v>-6930</v>
      </c>
    </row>
    <row r="4886" spans="1:25" x14ac:dyDescent="0.35">
      <c r="A4886">
        <v>33.555465634515599</v>
      </c>
      <c r="B4886">
        <v>-119.166145990378</v>
      </c>
      <c r="C4886" t="s">
        <v>25</v>
      </c>
      <c r="D4886">
        <v>34.5896825926296</v>
      </c>
      <c r="E4886">
        <v>7</v>
      </c>
      <c r="F4886">
        <v>576</v>
      </c>
      <c r="G4886">
        <v>1</v>
      </c>
      <c r="H4886">
        <v>1</v>
      </c>
      <c r="I4886">
        <v>1976</v>
      </c>
      <c r="J4886">
        <v>1</v>
      </c>
      <c r="K4886">
        <v>1</v>
      </c>
      <c r="L4886">
        <v>1</v>
      </c>
      <c r="M4886">
        <v>6</v>
      </c>
      <c r="N4886" t="s">
        <v>26</v>
      </c>
      <c r="O4886" t="s">
        <v>30</v>
      </c>
      <c r="P4886">
        <v>2.2678966855890899</v>
      </c>
      <c r="Q4886">
        <v>1.25837206907249</v>
      </c>
      <c r="R4886">
        <v>8.3617089326641096</v>
      </c>
      <c r="S4886">
        <v>60</v>
      </c>
      <c r="T4886">
        <v>46</v>
      </c>
      <c r="U4886">
        <v>921.20011581184599</v>
      </c>
      <c r="V4886">
        <v>1.04166666666666E-2</v>
      </c>
      <c r="W4886">
        <v>729968.90480677597</v>
      </c>
      <c r="X4886" t="s">
        <v>33</v>
      </c>
      <c r="Y4886">
        <f>1-683-364-7259</f>
        <v>-8305</v>
      </c>
    </row>
    <row r="4887" spans="1:25" x14ac:dyDescent="0.35">
      <c r="A4887">
        <v>34.3863128753136</v>
      </c>
      <c r="B4887">
        <v>-123.660162739371</v>
      </c>
      <c r="C4887" t="s">
        <v>29</v>
      </c>
      <c r="D4887">
        <v>24.975956847591501</v>
      </c>
      <c r="E4887">
        <v>1</v>
      </c>
      <c r="F4887">
        <v>1951</v>
      </c>
      <c r="G4887">
        <v>5</v>
      </c>
      <c r="H4887">
        <v>1</v>
      </c>
      <c r="I4887">
        <v>1963</v>
      </c>
      <c r="J4887">
        <v>1</v>
      </c>
      <c r="K4887">
        <v>1</v>
      </c>
      <c r="L4887">
        <v>0</v>
      </c>
      <c r="M4887">
        <v>9</v>
      </c>
      <c r="N4887" t="s">
        <v>41</v>
      </c>
      <c r="O4887" t="s">
        <v>32</v>
      </c>
      <c r="P4887">
        <v>12.576009469443999</v>
      </c>
      <c r="Q4887">
        <v>2.0203065329121301</v>
      </c>
      <c r="R4887">
        <v>8.8533587328103103</v>
      </c>
      <c r="S4887">
        <v>50</v>
      </c>
      <c r="T4887">
        <v>28</v>
      </c>
      <c r="U4887">
        <v>604.79195739122702</v>
      </c>
      <c r="V4887">
        <v>4.6130189646335197E-3</v>
      </c>
      <c r="W4887">
        <v>1591394.4474992501</v>
      </c>
      <c r="X4887" t="s">
        <v>42</v>
      </c>
      <c r="Y4887">
        <f>1-802-502-7796</f>
        <v>-9099</v>
      </c>
    </row>
    <row r="4888" spans="1:25" x14ac:dyDescent="0.35">
      <c r="A4888">
        <v>35.770361638000601</v>
      </c>
      <c r="B4888">
        <v>-119.773918994412</v>
      </c>
      <c r="C4888" t="s">
        <v>34</v>
      </c>
      <c r="D4888">
        <v>18.780723803238502</v>
      </c>
      <c r="E4888">
        <v>9</v>
      </c>
      <c r="F4888">
        <v>3531</v>
      </c>
      <c r="G4888">
        <v>4</v>
      </c>
      <c r="H4888">
        <v>2</v>
      </c>
      <c r="I4888">
        <v>1999</v>
      </c>
      <c r="J4888">
        <v>0</v>
      </c>
      <c r="K4888">
        <v>1</v>
      </c>
      <c r="L4888">
        <v>0</v>
      </c>
      <c r="M4888">
        <v>8</v>
      </c>
      <c r="N4888" t="s">
        <v>35</v>
      </c>
      <c r="O4888" t="s">
        <v>27</v>
      </c>
      <c r="P4888">
        <v>5.8652428158697196</v>
      </c>
      <c r="Q4888">
        <v>1.5976665724883901</v>
      </c>
      <c r="R4888">
        <v>9.1640176594390503</v>
      </c>
      <c r="S4888">
        <v>126</v>
      </c>
      <c r="T4888">
        <v>21</v>
      </c>
      <c r="U4888">
        <v>553.00166035001405</v>
      </c>
      <c r="V4888">
        <v>2.2656471254601999E-3</v>
      </c>
      <c r="W4888">
        <v>2226823.8960183901</v>
      </c>
      <c r="X4888" t="s">
        <v>33</v>
      </c>
      <c r="Y4888">
        <f>1-911-615-5609</f>
        <v>-7134</v>
      </c>
    </row>
    <row r="4889" spans="1:25" x14ac:dyDescent="0.35">
      <c r="A4889">
        <v>37.131597545713902</v>
      </c>
      <c r="B4889">
        <v>-116.61922698935101</v>
      </c>
      <c r="C4889" t="s">
        <v>25</v>
      </c>
      <c r="D4889">
        <v>4.8046255125780801</v>
      </c>
      <c r="E4889">
        <v>9</v>
      </c>
      <c r="F4889">
        <v>2383</v>
      </c>
      <c r="G4889">
        <v>4</v>
      </c>
      <c r="H4889">
        <v>2</v>
      </c>
      <c r="I4889">
        <v>1986</v>
      </c>
      <c r="J4889">
        <v>0</v>
      </c>
      <c r="K4889">
        <v>1</v>
      </c>
      <c r="L4889">
        <v>1</v>
      </c>
      <c r="M4889">
        <v>13</v>
      </c>
      <c r="N4889" t="s">
        <v>37</v>
      </c>
      <c r="O4889" t="s">
        <v>30</v>
      </c>
      <c r="P4889">
        <v>12.655822844151301</v>
      </c>
      <c r="Q4889">
        <v>2.4660085507281</v>
      </c>
      <c r="R4889">
        <v>3.7275743993966199</v>
      </c>
      <c r="S4889">
        <v>42</v>
      </c>
      <c r="T4889">
        <v>70</v>
      </c>
      <c r="U4889">
        <v>383.17584455623</v>
      </c>
      <c r="V4889">
        <v>5.4553084347461096E-3</v>
      </c>
      <c r="W4889">
        <v>1315129.3321787899</v>
      </c>
      <c r="X4889" t="s">
        <v>42</v>
      </c>
      <c r="Y4889">
        <f>1-594-194-1251</f>
        <v>-2038</v>
      </c>
    </row>
    <row r="4890" spans="1:25" x14ac:dyDescent="0.35">
      <c r="A4890">
        <v>36.417107716044903</v>
      </c>
      <c r="B4890">
        <v>-118.218001190431</v>
      </c>
      <c r="C4890" t="s">
        <v>29</v>
      </c>
      <c r="D4890">
        <v>46.359677611512602</v>
      </c>
      <c r="E4890">
        <v>4</v>
      </c>
      <c r="F4890">
        <v>1419</v>
      </c>
      <c r="G4890">
        <v>2</v>
      </c>
      <c r="H4890">
        <v>2</v>
      </c>
      <c r="I4890">
        <v>1997</v>
      </c>
      <c r="J4890">
        <v>1</v>
      </c>
      <c r="K4890">
        <v>1</v>
      </c>
      <c r="L4890">
        <v>1</v>
      </c>
      <c r="M4890">
        <v>7</v>
      </c>
      <c r="N4890" t="s">
        <v>35</v>
      </c>
      <c r="O4890" t="s">
        <v>27</v>
      </c>
      <c r="P4890">
        <v>13.5184848427568</v>
      </c>
      <c r="Q4890">
        <v>1.87540678324341</v>
      </c>
      <c r="R4890">
        <v>5.6114040751649403</v>
      </c>
      <c r="S4890">
        <v>59</v>
      </c>
      <c r="T4890">
        <v>20</v>
      </c>
      <c r="U4890">
        <v>726.66735684474202</v>
      </c>
      <c r="V4890">
        <v>4.9330514446793497E-3</v>
      </c>
      <c r="W4890">
        <v>1396641.7731894499</v>
      </c>
      <c r="X4890" t="s">
        <v>31</v>
      </c>
      <c r="Y4890">
        <f>1-798-832-5701</f>
        <v>-7330</v>
      </c>
    </row>
    <row r="4891" spans="1:25" x14ac:dyDescent="0.35">
      <c r="A4891">
        <v>40.327773404427901</v>
      </c>
      <c r="B4891">
        <v>-117.89638416641699</v>
      </c>
      <c r="C4891" t="s">
        <v>29</v>
      </c>
      <c r="D4891">
        <v>33.115154293323599</v>
      </c>
      <c r="E4891">
        <v>7</v>
      </c>
      <c r="F4891">
        <v>2905</v>
      </c>
      <c r="G4891">
        <v>1</v>
      </c>
      <c r="H4891">
        <v>3</v>
      </c>
      <c r="I4891">
        <v>1995</v>
      </c>
      <c r="J4891">
        <v>1</v>
      </c>
      <c r="K4891">
        <v>0</v>
      </c>
      <c r="L4891">
        <v>1</v>
      </c>
      <c r="M4891">
        <v>4</v>
      </c>
      <c r="N4891" t="s">
        <v>37</v>
      </c>
      <c r="O4891" t="s">
        <v>30</v>
      </c>
      <c r="P4891">
        <v>12.025663521921899</v>
      </c>
      <c r="Q4891">
        <v>1.8911502706527801</v>
      </c>
      <c r="R4891">
        <v>3.6098166373839602</v>
      </c>
      <c r="S4891">
        <v>28</v>
      </c>
      <c r="T4891">
        <v>48</v>
      </c>
      <c r="U4891">
        <v>838.78758574792005</v>
      </c>
      <c r="V4891">
        <v>1.3769363166953499E-3</v>
      </c>
      <c r="W4891">
        <v>2693500.9068993502</v>
      </c>
      <c r="X4891" t="s">
        <v>33</v>
      </c>
      <c r="Y4891">
        <f>1-876-930-6901</f>
        <v>-8706</v>
      </c>
    </row>
    <row r="4892" spans="1:25" x14ac:dyDescent="0.35">
      <c r="A4892">
        <v>34.770069193175502</v>
      </c>
      <c r="B4892">
        <v>-123.62646512297199</v>
      </c>
      <c r="C4892" t="s">
        <v>25</v>
      </c>
      <c r="D4892">
        <v>43.936044057935199</v>
      </c>
      <c r="E4892">
        <v>5</v>
      </c>
      <c r="F4892">
        <v>4416</v>
      </c>
      <c r="G4892">
        <v>1</v>
      </c>
      <c r="H4892">
        <v>3</v>
      </c>
      <c r="I4892">
        <v>1994</v>
      </c>
      <c r="J4892">
        <v>0</v>
      </c>
      <c r="K4892">
        <v>0</v>
      </c>
      <c r="L4892">
        <v>0</v>
      </c>
      <c r="M4892">
        <v>2</v>
      </c>
      <c r="N4892" t="s">
        <v>41</v>
      </c>
      <c r="O4892" t="s">
        <v>32</v>
      </c>
      <c r="P4892">
        <v>11.3613282008382</v>
      </c>
      <c r="Q4892">
        <v>0.69974338813176795</v>
      </c>
      <c r="R4892">
        <v>8.1990722386281192</v>
      </c>
      <c r="S4892">
        <v>9</v>
      </c>
      <c r="T4892">
        <v>68</v>
      </c>
      <c r="U4892">
        <v>510.24280173250798</v>
      </c>
      <c r="V4892">
        <v>4.5289855072463698E-4</v>
      </c>
      <c r="W4892">
        <v>2435538.1408272702</v>
      </c>
      <c r="X4892" t="s">
        <v>36</v>
      </c>
      <c r="Y4892">
        <f>1-586-305-1379</f>
        <v>-2269</v>
      </c>
    </row>
    <row r="4893" spans="1:25" x14ac:dyDescent="0.35">
      <c r="A4893">
        <v>35.298954149734001</v>
      </c>
      <c r="B4893">
        <v>-117.549175498954</v>
      </c>
      <c r="C4893" t="s">
        <v>29</v>
      </c>
      <c r="D4893">
        <v>25.9240756986995</v>
      </c>
      <c r="E4893">
        <v>6</v>
      </c>
      <c r="F4893">
        <v>4858</v>
      </c>
      <c r="G4893">
        <v>4</v>
      </c>
      <c r="H4893">
        <v>1</v>
      </c>
      <c r="I4893">
        <v>2004</v>
      </c>
      <c r="J4893">
        <v>1</v>
      </c>
      <c r="K4893">
        <v>0</v>
      </c>
      <c r="L4893">
        <v>1</v>
      </c>
      <c r="M4893">
        <v>5</v>
      </c>
      <c r="N4893" t="s">
        <v>26</v>
      </c>
      <c r="O4893" t="s">
        <v>30</v>
      </c>
      <c r="P4893">
        <v>5.9084360134817997</v>
      </c>
      <c r="Q4893">
        <v>0.92685006625850597</v>
      </c>
      <c r="R4893">
        <v>4.0133710136713496</v>
      </c>
      <c r="S4893">
        <v>51</v>
      </c>
      <c r="T4893">
        <v>65</v>
      </c>
      <c r="U4893">
        <v>208.752690162552</v>
      </c>
      <c r="V4893">
        <v>1.02923013585837E-3</v>
      </c>
      <c r="W4893">
        <v>1341615.5520357799</v>
      </c>
      <c r="X4893" t="s">
        <v>42</v>
      </c>
      <c r="Y4893">
        <f>1-468-552-2164</f>
        <v>-3183</v>
      </c>
    </row>
    <row r="4894" spans="1:25" x14ac:dyDescent="0.35">
      <c r="A4894">
        <v>40.348423070433803</v>
      </c>
      <c r="B4894">
        <v>-123.981009791399</v>
      </c>
      <c r="C4894" t="s">
        <v>25</v>
      </c>
      <c r="D4894">
        <v>11.338034589445201</v>
      </c>
      <c r="E4894">
        <v>8</v>
      </c>
      <c r="F4894">
        <v>1871</v>
      </c>
      <c r="G4894">
        <v>4</v>
      </c>
      <c r="H4894">
        <v>2</v>
      </c>
      <c r="I4894">
        <v>2000</v>
      </c>
      <c r="J4894">
        <v>1</v>
      </c>
      <c r="K4894">
        <v>0</v>
      </c>
      <c r="L4894">
        <v>0</v>
      </c>
      <c r="M4894">
        <v>11</v>
      </c>
      <c r="N4894" t="s">
        <v>35</v>
      </c>
      <c r="O4894" t="s">
        <v>30</v>
      </c>
      <c r="P4894">
        <v>5.07271691099705</v>
      </c>
      <c r="Q4894">
        <v>2.3643578833104901</v>
      </c>
      <c r="R4894">
        <v>9.0440114326566707</v>
      </c>
      <c r="S4894">
        <v>149</v>
      </c>
      <c r="T4894">
        <v>64</v>
      </c>
      <c r="U4894">
        <v>514.41552783412999</v>
      </c>
      <c r="V4894">
        <v>5.8792089791555296E-3</v>
      </c>
      <c r="W4894">
        <v>1174040.5632114201</v>
      </c>
      <c r="X4894" t="s">
        <v>39</v>
      </c>
      <c r="Y4894">
        <f>1-977-651-2815</f>
        <v>-4442</v>
      </c>
    </row>
    <row r="4895" spans="1:25" x14ac:dyDescent="0.35">
      <c r="A4895">
        <v>39.927273702412997</v>
      </c>
      <c r="B4895">
        <v>-114.443657629051</v>
      </c>
      <c r="C4895" t="s">
        <v>29</v>
      </c>
      <c r="D4895">
        <v>41.072672704745301</v>
      </c>
      <c r="E4895">
        <v>8</v>
      </c>
      <c r="F4895">
        <v>4382</v>
      </c>
      <c r="G4895">
        <v>2</v>
      </c>
      <c r="H4895">
        <v>1</v>
      </c>
      <c r="I4895">
        <v>2018</v>
      </c>
      <c r="J4895">
        <v>0</v>
      </c>
      <c r="K4895">
        <v>0</v>
      </c>
      <c r="L4895">
        <v>1</v>
      </c>
      <c r="M4895">
        <v>6</v>
      </c>
      <c r="N4895" t="s">
        <v>41</v>
      </c>
      <c r="O4895" t="s">
        <v>32</v>
      </c>
      <c r="P4895">
        <v>10.6031660620549</v>
      </c>
      <c r="Q4895">
        <v>0.546315947986452</v>
      </c>
      <c r="R4895">
        <v>1.1368294868083999</v>
      </c>
      <c r="S4895">
        <v>167</v>
      </c>
      <c r="T4895">
        <v>51</v>
      </c>
      <c r="U4895">
        <v>839.83819776342898</v>
      </c>
      <c r="V4895">
        <v>1.36923779096303E-3</v>
      </c>
      <c r="W4895">
        <v>3937969.7482688399</v>
      </c>
      <c r="X4895" t="s">
        <v>33</v>
      </c>
      <c r="Y4895">
        <f>1-758-288-3680</f>
        <v>-4725</v>
      </c>
    </row>
    <row r="4896" spans="1:25" x14ac:dyDescent="0.35">
      <c r="A4896">
        <v>40.684685274825398</v>
      </c>
      <c r="B4896">
        <v>-115.841418928873</v>
      </c>
      <c r="C4896" t="s">
        <v>25</v>
      </c>
      <c r="D4896">
        <v>46.785996488095499</v>
      </c>
      <c r="E4896">
        <v>1</v>
      </c>
      <c r="F4896">
        <v>4840</v>
      </c>
      <c r="G4896">
        <v>3</v>
      </c>
      <c r="H4896">
        <v>1</v>
      </c>
      <c r="I4896">
        <v>1979</v>
      </c>
      <c r="J4896">
        <v>0</v>
      </c>
      <c r="K4896">
        <v>0</v>
      </c>
      <c r="L4896">
        <v>0</v>
      </c>
      <c r="M4896">
        <v>11</v>
      </c>
      <c r="N4896" t="s">
        <v>37</v>
      </c>
      <c r="O4896" t="s">
        <v>32</v>
      </c>
      <c r="P4896">
        <v>3.6248835637724501</v>
      </c>
      <c r="Q4896">
        <v>1.4399820831827901</v>
      </c>
      <c r="R4896">
        <v>5.9805504445523097</v>
      </c>
      <c r="S4896">
        <v>141</v>
      </c>
      <c r="T4896">
        <v>26</v>
      </c>
      <c r="U4896">
        <v>706.72943761537294</v>
      </c>
      <c r="V4896">
        <v>2.27272727272727E-3</v>
      </c>
      <c r="W4896">
        <v>3502095.23692215</v>
      </c>
      <c r="X4896" t="s">
        <v>40</v>
      </c>
      <c r="Y4896">
        <f>1-805-338-9901</f>
        <v>-11043</v>
      </c>
    </row>
    <row r="4897" spans="1:25" x14ac:dyDescent="0.35">
      <c r="A4897">
        <v>35.223182615953696</v>
      </c>
      <c r="B4897">
        <v>-121.883259175493</v>
      </c>
      <c r="C4897" t="s">
        <v>29</v>
      </c>
      <c r="D4897">
        <v>20.356111761582898</v>
      </c>
      <c r="E4897">
        <v>5</v>
      </c>
      <c r="F4897">
        <v>1131</v>
      </c>
      <c r="G4897">
        <v>2</v>
      </c>
      <c r="H4897">
        <v>1</v>
      </c>
      <c r="I4897">
        <v>1986</v>
      </c>
      <c r="J4897">
        <v>0</v>
      </c>
      <c r="K4897">
        <v>1</v>
      </c>
      <c r="L4897">
        <v>0</v>
      </c>
      <c r="M4897">
        <v>5</v>
      </c>
      <c r="N4897" t="s">
        <v>35</v>
      </c>
      <c r="O4897" t="s">
        <v>30</v>
      </c>
      <c r="P4897">
        <v>4.9720074979693401</v>
      </c>
      <c r="Q4897">
        <v>2.4245327173378399</v>
      </c>
      <c r="R4897">
        <v>1.6349148244712499</v>
      </c>
      <c r="S4897">
        <v>168</v>
      </c>
      <c r="T4897">
        <v>55</v>
      </c>
      <c r="U4897">
        <v>836.372297925216</v>
      </c>
      <c r="V4897">
        <v>4.4208664898320003E-3</v>
      </c>
      <c r="W4897">
        <v>1103665.1761213699</v>
      </c>
      <c r="X4897" t="s">
        <v>42</v>
      </c>
      <c r="Y4897">
        <f>1-357-590-6506</f>
        <v>-7452</v>
      </c>
    </row>
    <row r="4898" spans="1:25" x14ac:dyDescent="0.35">
      <c r="A4898">
        <v>33.209982426665803</v>
      </c>
      <c r="B4898">
        <v>-121.07176717263199</v>
      </c>
      <c r="C4898" t="s">
        <v>25</v>
      </c>
      <c r="D4898">
        <v>42.574623887337403</v>
      </c>
      <c r="E4898">
        <v>7</v>
      </c>
      <c r="F4898">
        <v>4362</v>
      </c>
      <c r="G4898">
        <v>3</v>
      </c>
      <c r="H4898">
        <v>1</v>
      </c>
      <c r="I4898">
        <v>1975</v>
      </c>
      <c r="J4898">
        <v>0</v>
      </c>
      <c r="K4898">
        <v>0</v>
      </c>
      <c r="L4898">
        <v>0</v>
      </c>
      <c r="M4898">
        <v>12</v>
      </c>
      <c r="N4898" t="s">
        <v>41</v>
      </c>
      <c r="O4898" t="s">
        <v>27</v>
      </c>
      <c r="P4898">
        <v>2.25474019636256</v>
      </c>
      <c r="Q4898">
        <v>2.0639658952170601</v>
      </c>
      <c r="R4898">
        <v>9.3971591651148607</v>
      </c>
      <c r="S4898">
        <v>161</v>
      </c>
      <c r="T4898">
        <v>75</v>
      </c>
      <c r="U4898">
        <v>929.79908261277399</v>
      </c>
      <c r="V4898">
        <v>2.7510316368638201E-3</v>
      </c>
      <c r="W4898">
        <v>4189796.8318966599</v>
      </c>
      <c r="X4898" t="s">
        <v>43</v>
      </c>
      <c r="Y4898">
        <f>1-338-200-6029</f>
        <v>-6566</v>
      </c>
    </row>
    <row r="4899" spans="1:25" x14ac:dyDescent="0.35">
      <c r="A4899">
        <v>33.9241040338216</v>
      </c>
      <c r="B4899">
        <v>-116.015933365271</v>
      </c>
      <c r="C4899" t="s">
        <v>29</v>
      </c>
      <c r="D4899">
        <v>29.2092921809984</v>
      </c>
      <c r="E4899">
        <v>5</v>
      </c>
      <c r="F4899">
        <v>3696</v>
      </c>
      <c r="G4899">
        <v>3</v>
      </c>
      <c r="H4899">
        <v>2</v>
      </c>
      <c r="I4899">
        <v>2003</v>
      </c>
      <c r="J4899">
        <v>0</v>
      </c>
      <c r="K4899">
        <v>0</v>
      </c>
      <c r="L4899">
        <v>1</v>
      </c>
      <c r="M4899">
        <v>13</v>
      </c>
      <c r="N4899" t="s">
        <v>37</v>
      </c>
      <c r="O4899" t="s">
        <v>27</v>
      </c>
      <c r="P4899">
        <v>2.3559157945537699</v>
      </c>
      <c r="Q4899">
        <v>1.84426998961429</v>
      </c>
      <c r="R4899">
        <v>7.3432108433681398</v>
      </c>
      <c r="S4899">
        <v>13</v>
      </c>
      <c r="T4899">
        <v>54</v>
      </c>
      <c r="U4899">
        <v>693.09031909129396</v>
      </c>
      <c r="V4899">
        <v>3.5173160173160101E-3</v>
      </c>
      <c r="W4899">
        <v>2709435.7156040198</v>
      </c>
      <c r="X4899" t="s">
        <v>36</v>
      </c>
      <c r="Y4899">
        <f>1-663-800-9739</f>
        <v>-11201</v>
      </c>
    </row>
    <row r="4900" spans="1:25" x14ac:dyDescent="0.35">
      <c r="A4900">
        <v>33.846277366312599</v>
      </c>
      <c r="B4900">
        <v>-114.67538826926101</v>
      </c>
      <c r="C4900" t="s">
        <v>29</v>
      </c>
      <c r="D4900">
        <v>33.543688212284003</v>
      </c>
      <c r="E4900">
        <v>5</v>
      </c>
      <c r="F4900">
        <v>3218</v>
      </c>
      <c r="G4900">
        <v>2</v>
      </c>
      <c r="H4900">
        <v>3</v>
      </c>
      <c r="I4900">
        <v>2011</v>
      </c>
      <c r="J4900">
        <v>1</v>
      </c>
      <c r="K4900">
        <v>0</v>
      </c>
      <c r="L4900">
        <v>1</v>
      </c>
      <c r="M4900">
        <v>11</v>
      </c>
      <c r="N4900" t="s">
        <v>37</v>
      </c>
      <c r="O4900" t="s">
        <v>32</v>
      </c>
      <c r="P4900">
        <v>12.0557760367877</v>
      </c>
      <c r="Q4900">
        <v>2.1810217127099101</v>
      </c>
      <c r="R4900">
        <v>0.125011330027468</v>
      </c>
      <c r="S4900">
        <v>32</v>
      </c>
      <c r="T4900">
        <v>25</v>
      </c>
      <c r="U4900">
        <v>362.88311216848098</v>
      </c>
      <c r="V4900">
        <v>3.4182722187694201E-3</v>
      </c>
      <c r="W4900">
        <v>1491289.64390213</v>
      </c>
      <c r="X4900" t="s">
        <v>31</v>
      </c>
      <c r="Y4900">
        <f>1-635-706-5410</f>
        <v>-6750</v>
      </c>
    </row>
    <row r="4901" spans="1:25" x14ac:dyDescent="0.35">
      <c r="A4901">
        <v>39.058940566289202</v>
      </c>
      <c r="B4901">
        <v>-114.47187443811799</v>
      </c>
      <c r="C4901" t="s">
        <v>25</v>
      </c>
      <c r="D4901">
        <v>14.6904334612617</v>
      </c>
      <c r="E4901">
        <v>3</v>
      </c>
      <c r="F4901">
        <v>3780</v>
      </c>
      <c r="G4901">
        <v>1</v>
      </c>
      <c r="H4901">
        <v>2</v>
      </c>
      <c r="I4901">
        <v>2018</v>
      </c>
      <c r="J4901">
        <v>1</v>
      </c>
      <c r="K4901">
        <v>0</v>
      </c>
      <c r="L4901">
        <v>0</v>
      </c>
      <c r="M4901">
        <v>12</v>
      </c>
      <c r="N4901" t="s">
        <v>26</v>
      </c>
      <c r="O4901" t="s">
        <v>27</v>
      </c>
      <c r="P4901">
        <v>14.842046824411099</v>
      </c>
      <c r="Q4901">
        <v>1.4644160390346701</v>
      </c>
      <c r="R4901">
        <v>7.81490713039911</v>
      </c>
      <c r="S4901">
        <v>181</v>
      </c>
      <c r="T4901">
        <v>25</v>
      </c>
      <c r="U4901">
        <v>930.60361190095705</v>
      </c>
      <c r="V4901">
        <v>3.1746031746031698E-3</v>
      </c>
      <c r="W4901">
        <v>3766809.77505433</v>
      </c>
      <c r="X4901" t="s">
        <v>43</v>
      </c>
      <c r="Y4901">
        <f>1-289-705-4393</f>
        <v>-5386</v>
      </c>
    </row>
    <row r="4902" spans="1:25" x14ac:dyDescent="0.35">
      <c r="A4902">
        <v>37.856178221117602</v>
      </c>
      <c r="B4902">
        <v>-122.678528096839</v>
      </c>
      <c r="C4902" t="s">
        <v>29</v>
      </c>
      <c r="D4902">
        <v>9.2139718788309093</v>
      </c>
      <c r="E4902">
        <v>7</v>
      </c>
      <c r="F4902">
        <v>1093</v>
      </c>
      <c r="G4902">
        <v>4</v>
      </c>
      <c r="H4902">
        <v>3</v>
      </c>
      <c r="I4902">
        <v>1954</v>
      </c>
      <c r="J4902">
        <v>0</v>
      </c>
      <c r="K4902">
        <v>0</v>
      </c>
      <c r="L4902">
        <v>0</v>
      </c>
      <c r="M4902">
        <v>9</v>
      </c>
      <c r="N4902" t="s">
        <v>37</v>
      </c>
      <c r="O4902" t="s">
        <v>30</v>
      </c>
      <c r="P4902">
        <v>11.6723067964358</v>
      </c>
      <c r="Q4902">
        <v>2.4202922548998802</v>
      </c>
      <c r="R4902">
        <v>5.8688182511340603</v>
      </c>
      <c r="S4902">
        <v>53</v>
      </c>
      <c r="T4902">
        <v>24</v>
      </c>
      <c r="U4902">
        <v>206.76157238019599</v>
      </c>
      <c r="V4902">
        <v>8.2342177493138092E-3</v>
      </c>
      <c r="W4902">
        <v>407447.07834442798</v>
      </c>
      <c r="X4902" t="s">
        <v>31</v>
      </c>
      <c r="Y4902">
        <f>1-521-231-4662</f>
        <v>-5413</v>
      </c>
    </row>
    <row r="4903" spans="1:25" x14ac:dyDescent="0.35">
      <c r="A4903">
        <v>37.835568514219098</v>
      </c>
      <c r="B4903">
        <v>-117.015203984804</v>
      </c>
      <c r="C4903" t="s">
        <v>34</v>
      </c>
      <c r="D4903">
        <v>9.3461918153966597</v>
      </c>
      <c r="E4903">
        <v>9</v>
      </c>
      <c r="F4903">
        <v>1766</v>
      </c>
      <c r="G4903">
        <v>5</v>
      </c>
      <c r="H4903">
        <v>3</v>
      </c>
      <c r="I4903">
        <v>2004</v>
      </c>
      <c r="J4903">
        <v>1</v>
      </c>
      <c r="K4903">
        <v>1</v>
      </c>
      <c r="L4903">
        <v>0</v>
      </c>
      <c r="M4903">
        <v>13</v>
      </c>
      <c r="N4903" t="s">
        <v>37</v>
      </c>
      <c r="O4903" t="s">
        <v>27</v>
      </c>
      <c r="P4903">
        <v>9.9661739008086201</v>
      </c>
      <c r="Q4903">
        <v>0.55019842720713896</v>
      </c>
      <c r="R4903">
        <v>8.42841584279304</v>
      </c>
      <c r="S4903">
        <v>133</v>
      </c>
      <c r="T4903">
        <v>76</v>
      </c>
      <c r="U4903">
        <v>940.44768664651599</v>
      </c>
      <c r="V4903">
        <v>7.3612684031709999E-3</v>
      </c>
      <c r="W4903">
        <v>2277736.1104215998</v>
      </c>
      <c r="X4903" t="s">
        <v>28</v>
      </c>
      <c r="Y4903">
        <f>1-261-147-3291</f>
        <v>-3698</v>
      </c>
    </row>
    <row r="4904" spans="1:25" x14ac:dyDescent="0.35">
      <c r="A4904">
        <v>32.598569973300798</v>
      </c>
      <c r="B4904">
        <v>-115.520129648991</v>
      </c>
      <c r="C4904" t="s">
        <v>25</v>
      </c>
      <c r="D4904">
        <v>8.8644725733499392</v>
      </c>
      <c r="E4904">
        <v>7</v>
      </c>
      <c r="F4904">
        <v>2174</v>
      </c>
      <c r="G4904">
        <v>2</v>
      </c>
      <c r="H4904">
        <v>2</v>
      </c>
      <c r="I4904">
        <v>1951</v>
      </c>
      <c r="J4904">
        <v>1</v>
      </c>
      <c r="K4904">
        <v>1</v>
      </c>
      <c r="L4904">
        <v>0</v>
      </c>
      <c r="M4904">
        <v>6</v>
      </c>
      <c r="N4904" t="s">
        <v>26</v>
      </c>
      <c r="O4904" t="s">
        <v>27</v>
      </c>
      <c r="P4904">
        <v>11.084925084076101</v>
      </c>
      <c r="Q4904">
        <v>0.75558307683960702</v>
      </c>
      <c r="R4904">
        <v>5.0881143461457903</v>
      </c>
      <c r="S4904">
        <v>144</v>
      </c>
      <c r="T4904">
        <v>60</v>
      </c>
      <c r="U4904">
        <v>244.34807547516101</v>
      </c>
      <c r="V4904">
        <v>2.7598896044158201E-3</v>
      </c>
      <c r="W4904">
        <v>760176.99962648004</v>
      </c>
      <c r="X4904" t="s">
        <v>40</v>
      </c>
      <c r="Y4904">
        <f>1-407-397-5465</f>
        <v>-6268</v>
      </c>
    </row>
    <row r="4905" spans="1:25" x14ac:dyDescent="0.35">
      <c r="A4905">
        <v>33.671515421749298</v>
      </c>
      <c r="B4905">
        <v>-122.812376358807</v>
      </c>
      <c r="C4905" t="s">
        <v>34</v>
      </c>
      <c r="D4905">
        <v>12.690880289281001</v>
      </c>
      <c r="E4905">
        <v>7</v>
      </c>
      <c r="F4905">
        <v>1903</v>
      </c>
      <c r="G4905">
        <v>1</v>
      </c>
      <c r="H4905">
        <v>3</v>
      </c>
      <c r="I4905">
        <v>1981</v>
      </c>
      <c r="J4905">
        <v>0</v>
      </c>
      <c r="K4905">
        <v>1</v>
      </c>
      <c r="L4905">
        <v>1</v>
      </c>
      <c r="M4905">
        <v>9</v>
      </c>
      <c r="N4905" t="s">
        <v>26</v>
      </c>
      <c r="O4905" t="s">
        <v>30</v>
      </c>
      <c r="P4905">
        <v>6.6333819417984703</v>
      </c>
      <c r="Q4905">
        <v>0.68045028608360203</v>
      </c>
      <c r="R4905">
        <v>7.3461154449230701</v>
      </c>
      <c r="S4905">
        <v>142</v>
      </c>
      <c r="T4905">
        <v>58</v>
      </c>
      <c r="U4905">
        <v>457.92121336057397</v>
      </c>
      <c r="V4905">
        <v>4.7293746715712003E-3</v>
      </c>
      <c r="W4905">
        <v>1167995.90205619</v>
      </c>
      <c r="X4905" t="s">
        <v>36</v>
      </c>
      <c r="Y4905">
        <f>1-723-366-4769</f>
        <v>-5857</v>
      </c>
    </row>
    <row r="4906" spans="1:25" x14ac:dyDescent="0.35">
      <c r="A4906">
        <v>34.293956432225798</v>
      </c>
      <c r="B4906">
        <v>-124.342566805491</v>
      </c>
      <c r="C4906" t="s">
        <v>29</v>
      </c>
      <c r="D4906">
        <v>26.888211127652301</v>
      </c>
      <c r="E4906">
        <v>6</v>
      </c>
      <c r="F4906">
        <v>3056</v>
      </c>
      <c r="G4906">
        <v>4</v>
      </c>
      <c r="H4906">
        <v>3</v>
      </c>
      <c r="I4906">
        <v>1997</v>
      </c>
      <c r="J4906">
        <v>1</v>
      </c>
      <c r="K4906">
        <v>0</v>
      </c>
      <c r="L4906">
        <v>0</v>
      </c>
      <c r="M4906">
        <v>14</v>
      </c>
      <c r="N4906" t="s">
        <v>26</v>
      </c>
      <c r="O4906" t="s">
        <v>30</v>
      </c>
      <c r="P4906">
        <v>8.4245076921907796</v>
      </c>
      <c r="Q4906">
        <v>1.2438259385964701</v>
      </c>
      <c r="R4906">
        <v>8.9779062079926604</v>
      </c>
      <c r="S4906">
        <v>112</v>
      </c>
      <c r="T4906">
        <v>25</v>
      </c>
      <c r="U4906">
        <v>561.85465642109796</v>
      </c>
      <c r="V4906">
        <v>4.58115183246073E-3</v>
      </c>
      <c r="W4906">
        <v>2070385.3155582701</v>
      </c>
      <c r="X4906" t="s">
        <v>44</v>
      </c>
      <c r="Y4906">
        <f>1-861-344-5109</f>
        <v>-6313</v>
      </c>
    </row>
    <row r="4907" spans="1:25" x14ac:dyDescent="0.35">
      <c r="A4907">
        <v>41.073372358405798</v>
      </c>
      <c r="B4907">
        <v>-122.588077301795</v>
      </c>
      <c r="C4907" t="s">
        <v>29</v>
      </c>
      <c r="D4907">
        <v>43.871909969522399</v>
      </c>
      <c r="E4907">
        <v>7</v>
      </c>
      <c r="F4907">
        <v>3356</v>
      </c>
      <c r="G4907">
        <v>1</v>
      </c>
      <c r="H4907">
        <v>1</v>
      </c>
      <c r="I4907">
        <v>1953</v>
      </c>
      <c r="J4907">
        <v>0</v>
      </c>
      <c r="K4907">
        <v>0</v>
      </c>
      <c r="L4907">
        <v>1</v>
      </c>
      <c r="M4907">
        <v>8</v>
      </c>
      <c r="N4907" t="s">
        <v>35</v>
      </c>
      <c r="O4907" t="s">
        <v>30</v>
      </c>
      <c r="P4907">
        <v>7.8740479779801902</v>
      </c>
      <c r="Q4907">
        <v>1.65823469578619</v>
      </c>
      <c r="R4907">
        <v>8.0810451760573301</v>
      </c>
      <c r="S4907">
        <v>86</v>
      </c>
      <c r="T4907">
        <v>24</v>
      </c>
      <c r="U4907">
        <v>378.56227107535</v>
      </c>
      <c r="V4907">
        <v>2.3837902264600701E-3</v>
      </c>
      <c r="W4907">
        <v>1267910.24072505</v>
      </c>
      <c r="X4907" t="s">
        <v>36</v>
      </c>
      <c r="Y4907">
        <f>1-722-642-1834</f>
        <v>-3197</v>
      </c>
    </row>
    <row r="4908" spans="1:25" x14ac:dyDescent="0.35">
      <c r="A4908">
        <v>40.825234560772103</v>
      </c>
      <c r="B4908">
        <v>-116.174973743829</v>
      </c>
      <c r="C4908" t="s">
        <v>34</v>
      </c>
      <c r="D4908">
        <v>49.731887209278597</v>
      </c>
      <c r="E4908">
        <v>0</v>
      </c>
      <c r="F4908">
        <v>3308</v>
      </c>
      <c r="G4908">
        <v>1</v>
      </c>
      <c r="H4908">
        <v>3</v>
      </c>
      <c r="I4908">
        <v>1975</v>
      </c>
      <c r="J4908">
        <v>1</v>
      </c>
      <c r="K4908">
        <v>1</v>
      </c>
      <c r="L4908">
        <v>0</v>
      </c>
      <c r="M4908">
        <v>12</v>
      </c>
      <c r="N4908" t="s">
        <v>35</v>
      </c>
      <c r="O4908" t="s">
        <v>30</v>
      </c>
      <c r="P4908">
        <v>5.6104824099982196</v>
      </c>
      <c r="Q4908">
        <v>1.8646376173088499</v>
      </c>
      <c r="R4908">
        <v>4.4033766998800896</v>
      </c>
      <c r="S4908">
        <v>155</v>
      </c>
      <c r="T4908">
        <v>57</v>
      </c>
      <c r="U4908">
        <v>949.25669217715995</v>
      </c>
      <c r="V4908">
        <v>3.6275695284159601E-3</v>
      </c>
      <c r="W4908">
        <v>3312624.4964234498</v>
      </c>
      <c r="X4908" t="s">
        <v>33</v>
      </c>
      <c r="Y4908">
        <f>1-985-410-3498</f>
        <v>-4892</v>
      </c>
    </row>
    <row r="4909" spans="1:25" x14ac:dyDescent="0.35">
      <c r="A4909">
        <v>35.616819393297902</v>
      </c>
      <c r="B4909">
        <v>-118.77343601082499</v>
      </c>
      <c r="C4909" t="s">
        <v>25</v>
      </c>
      <c r="D4909">
        <v>39.5056604157528</v>
      </c>
      <c r="E4909">
        <v>0</v>
      </c>
      <c r="F4909">
        <v>1959</v>
      </c>
      <c r="G4909">
        <v>5</v>
      </c>
      <c r="H4909">
        <v>3</v>
      </c>
      <c r="I4909">
        <v>1990</v>
      </c>
      <c r="J4909">
        <v>0</v>
      </c>
      <c r="K4909">
        <v>1</v>
      </c>
      <c r="L4909">
        <v>1</v>
      </c>
      <c r="M4909">
        <v>5</v>
      </c>
      <c r="N4909" t="s">
        <v>41</v>
      </c>
      <c r="O4909" t="s">
        <v>30</v>
      </c>
      <c r="P4909">
        <v>11.7555202231596</v>
      </c>
      <c r="Q4909">
        <v>1.9877958688789901</v>
      </c>
      <c r="R4909">
        <v>9.4291184921458093</v>
      </c>
      <c r="S4909">
        <v>41</v>
      </c>
      <c r="T4909">
        <v>65</v>
      </c>
      <c r="U4909">
        <v>400.31416683531597</v>
      </c>
      <c r="V4909">
        <v>2.5523226135783501E-3</v>
      </c>
      <c r="W4909">
        <v>1285833.22199635</v>
      </c>
      <c r="X4909" t="s">
        <v>39</v>
      </c>
      <c r="Y4909">
        <f>1-477-105-9225</f>
        <v>-9806</v>
      </c>
    </row>
    <row r="4910" spans="1:25" x14ac:dyDescent="0.35">
      <c r="A4910">
        <v>32.772221977054699</v>
      </c>
      <c r="B4910">
        <v>-124.28082825988599</v>
      </c>
      <c r="C4910" t="s">
        <v>29</v>
      </c>
      <c r="D4910">
        <v>32.939474509191001</v>
      </c>
      <c r="E4910">
        <v>0</v>
      </c>
      <c r="F4910">
        <v>4622</v>
      </c>
      <c r="G4910">
        <v>1</v>
      </c>
      <c r="H4910">
        <v>2</v>
      </c>
      <c r="I4910">
        <v>1955</v>
      </c>
      <c r="J4910">
        <v>0</v>
      </c>
      <c r="K4910">
        <v>1</v>
      </c>
      <c r="L4910">
        <v>1</v>
      </c>
      <c r="M4910">
        <v>5</v>
      </c>
      <c r="N4910" t="s">
        <v>37</v>
      </c>
      <c r="O4910" t="s">
        <v>30</v>
      </c>
      <c r="P4910">
        <v>14.463086678968599</v>
      </c>
      <c r="Q4910">
        <v>1.5696817413076301</v>
      </c>
      <c r="R4910">
        <v>9.2860554859298094</v>
      </c>
      <c r="S4910">
        <v>58</v>
      </c>
      <c r="T4910">
        <v>51</v>
      </c>
      <c r="U4910">
        <v>449.85037239482301</v>
      </c>
      <c r="V4910">
        <v>1.08178277801817E-3</v>
      </c>
      <c r="W4910">
        <v>2307759.0186075401</v>
      </c>
      <c r="X4910" t="s">
        <v>33</v>
      </c>
      <c r="Y4910">
        <f>1-785-611-7415</f>
        <v>-8810</v>
      </c>
    </row>
    <row r="4911" spans="1:25" x14ac:dyDescent="0.35">
      <c r="A4911">
        <v>33.288997711718402</v>
      </c>
      <c r="B4911">
        <v>-122.777691507556</v>
      </c>
      <c r="C4911" t="s">
        <v>29</v>
      </c>
      <c r="D4911">
        <v>45.320682924591402</v>
      </c>
      <c r="E4911">
        <v>9</v>
      </c>
      <c r="F4911">
        <v>1288</v>
      </c>
      <c r="G4911">
        <v>1</v>
      </c>
      <c r="H4911">
        <v>1</v>
      </c>
      <c r="I4911">
        <v>1963</v>
      </c>
      <c r="J4911">
        <v>1</v>
      </c>
      <c r="K4911">
        <v>0</v>
      </c>
      <c r="L4911">
        <v>0</v>
      </c>
      <c r="M4911">
        <v>12</v>
      </c>
      <c r="N4911" t="s">
        <v>41</v>
      </c>
      <c r="O4911" t="s">
        <v>30</v>
      </c>
      <c r="P4911">
        <v>10.360820473033501</v>
      </c>
      <c r="Q4911">
        <v>2.2832433598823498</v>
      </c>
      <c r="R4911">
        <v>5.5689548805488798</v>
      </c>
      <c r="S4911">
        <v>71</v>
      </c>
      <c r="T4911">
        <v>68</v>
      </c>
      <c r="U4911">
        <v>495.38266077774199</v>
      </c>
      <c r="V4911">
        <v>9.3167701863354005E-3</v>
      </c>
      <c r="W4911">
        <v>794102.683271638</v>
      </c>
      <c r="X4911" t="s">
        <v>44</v>
      </c>
      <c r="Y4911">
        <f>1-771-509-1919</f>
        <v>-3198</v>
      </c>
    </row>
    <row r="4912" spans="1:25" x14ac:dyDescent="0.35">
      <c r="A4912">
        <v>37.863906997109801</v>
      </c>
      <c r="B4912">
        <v>-117.94558667650401</v>
      </c>
      <c r="C4912" t="s">
        <v>34</v>
      </c>
      <c r="D4912">
        <v>47.296957866808697</v>
      </c>
      <c r="E4912">
        <v>5</v>
      </c>
      <c r="F4912">
        <v>3476</v>
      </c>
      <c r="G4912">
        <v>2</v>
      </c>
      <c r="H4912">
        <v>3</v>
      </c>
      <c r="I4912">
        <v>1952</v>
      </c>
      <c r="J4912">
        <v>0</v>
      </c>
      <c r="K4912">
        <v>0</v>
      </c>
      <c r="L4912">
        <v>1</v>
      </c>
      <c r="M4912">
        <v>2</v>
      </c>
      <c r="N4912" t="s">
        <v>37</v>
      </c>
      <c r="O4912" t="s">
        <v>30</v>
      </c>
      <c r="P4912">
        <v>10.6541703151834</v>
      </c>
      <c r="Q4912">
        <v>2.2314690371092301</v>
      </c>
      <c r="R4912">
        <v>3.37800149900638</v>
      </c>
      <c r="S4912">
        <v>140</v>
      </c>
      <c r="T4912">
        <v>65</v>
      </c>
      <c r="U4912">
        <v>648.88413422985104</v>
      </c>
      <c r="V4912">
        <v>5.7537399309551198E-4</v>
      </c>
      <c r="W4912">
        <v>2432121.5193302999</v>
      </c>
      <c r="X4912" t="s">
        <v>44</v>
      </c>
      <c r="Y4912">
        <f>1-938-602-5410</f>
        <v>-6949</v>
      </c>
    </row>
    <row r="4913" spans="1:25" x14ac:dyDescent="0.35">
      <c r="A4913">
        <v>40.400419082767101</v>
      </c>
      <c r="B4913">
        <v>-116.53651392777699</v>
      </c>
      <c r="C4913" t="s">
        <v>25</v>
      </c>
      <c r="D4913">
        <v>47.047620875090701</v>
      </c>
      <c r="E4913">
        <v>7</v>
      </c>
      <c r="F4913">
        <v>1032</v>
      </c>
      <c r="G4913">
        <v>3</v>
      </c>
      <c r="H4913">
        <v>3</v>
      </c>
      <c r="I4913">
        <v>2013</v>
      </c>
      <c r="J4913">
        <v>1</v>
      </c>
      <c r="K4913">
        <v>0</v>
      </c>
      <c r="L4913">
        <v>0</v>
      </c>
      <c r="M4913">
        <v>11</v>
      </c>
      <c r="N4913" t="s">
        <v>41</v>
      </c>
      <c r="O4913" t="s">
        <v>32</v>
      </c>
      <c r="P4913">
        <v>6.6900176609336297</v>
      </c>
      <c r="Q4913">
        <v>2.4184859854373801</v>
      </c>
      <c r="R4913">
        <v>0.49251916642835297</v>
      </c>
      <c r="S4913">
        <v>38</v>
      </c>
      <c r="T4913">
        <v>78</v>
      </c>
      <c r="U4913">
        <v>549.398906081429</v>
      </c>
      <c r="V4913">
        <v>1.0658914728682099E-2</v>
      </c>
      <c r="W4913">
        <v>766733.51368231699</v>
      </c>
      <c r="X4913" t="s">
        <v>42</v>
      </c>
      <c r="Y4913">
        <f>1-408-640-4439</f>
        <v>-5486</v>
      </c>
    </row>
    <row r="4914" spans="1:25" x14ac:dyDescent="0.35">
      <c r="A4914">
        <v>34.7297966823661</v>
      </c>
      <c r="B4914">
        <v>-114.361644162953</v>
      </c>
      <c r="C4914" t="s">
        <v>29</v>
      </c>
      <c r="D4914">
        <v>39.251648476318501</v>
      </c>
      <c r="E4914">
        <v>1</v>
      </c>
      <c r="F4914">
        <v>625</v>
      </c>
      <c r="G4914">
        <v>3</v>
      </c>
      <c r="H4914">
        <v>1</v>
      </c>
      <c r="I4914">
        <v>1971</v>
      </c>
      <c r="J4914">
        <v>0</v>
      </c>
      <c r="K4914">
        <v>1</v>
      </c>
      <c r="L4914">
        <v>0</v>
      </c>
      <c r="M4914">
        <v>10</v>
      </c>
      <c r="N4914" t="s">
        <v>35</v>
      </c>
      <c r="O4914" t="s">
        <v>30</v>
      </c>
      <c r="P4914">
        <v>13.4037853292548</v>
      </c>
      <c r="Q4914">
        <v>2.28636098050201</v>
      </c>
      <c r="R4914">
        <v>2.3479982773966799</v>
      </c>
      <c r="S4914">
        <v>74</v>
      </c>
      <c r="T4914">
        <v>58</v>
      </c>
      <c r="U4914">
        <v>394.225826013394</v>
      </c>
      <c r="V4914">
        <v>1.6E-2</v>
      </c>
      <c r="W4914">
        <v>527146.36364324403</v>
      </c>
      <c r="X4914" t="s">
        <v>44</v>
      </c>
      <c r="Y4914">
        <f>1-998-120-2378</f>
        <v>-3495</v>
      </c>
    </row>
    <row r="4915" spans="1:25" x14ac:dyDescent="0.35">
      <c r="A4915">
        <v>33.693911444603401</v>
      </c>
      <c r="B4915">
        <v>-118.716952468739</v>
      </c>
      <c r="C4915" t="s">
        <v>25</v>
      </c>
      <c r="D4915">
        <v>1.5216277117416199</v>
      </c>
      <c r="E4915">
        <v>4</v>
      </c>
      <c r="F4915">
        <v>3487</v>
      </c>
      <c r="G4915">
        <v>3</v>
      </c>
      <c r="H4915">
        <v>3</v>
      </c>
      <c r="I4915">
        <v>1959</v>
      </c>
      <c r="J4915">
        <v>1</v>
      </c>
      <c r="K4915">
        <v>0</v>
      </c>
      <c r="L4915">
        <v>0</v>
      </c>
      <c r="M4915">
        <v>3</v>
      </c>
      <c r="N4915" t="s">
        <v>35</v>
      </c>
      <c r="O4915" t="s">
        <v>32</v>
      </c>
      <c r="P4915">
        <v>8.2971551221938</v>
      </c>
      <c r="Q4915">
        <v>1.80662568851179</v>
      </c>
      <c r="R4915">
        <v>8.8877940714096795</v>
      </c>
      <c r="S4915">
        <v>57</v>
      </c>
      <c r="T4915">
        <v>63</v>
      </c>
      <c r="U4915">
        <v>867.97599999891895</v>
      </c>
      <c r="V4915">
        <v>8.6033839977057601E-4</v>
      </c>
      <c r="W4915">
        <v>3344865.95396116</v>
      </c>
      <c r="X4915" t="s">
        <v>33</v>
      </c>
      <c r="Y4915">
        <f>1-592-861-3515</f>
        <v>-4967</v>
      </c>
    </row>
    <row r="4916" spans="1:25" x14ac:dyDescent="0.35">
      <c r="A4916">
        <v>38.695629132949797</v>
      </c>
      <c r="B4916">
        <v>-115.852466935579</v>
      </c>
      <c r="C4916" t="s">
        <v>34</v>
      </c>
      <c r="D4916">
        <v>27.203541097025902</v>
      </c>
      <c r="E4916">
        <v>1</v>
      </c>
      <c r="F4916">
        <v>1186</v>
      </c>
      <c r="G4916">
        <v>1</v>
      </c>
      <c r="H4916">
        <v>2</v>
      </c>
      <c r="I4916">
        <v>1991</v>
      </c>
      <c r="J4916">
        <v>1</v>
      </c>
      <c r="K4916">
        <v>0</v>
      </c>
      <c r="L4916">
        <v>1</v>
      </c>
      <c r="M4916">
        <v>5</v>
      </c>
      <c r="N4916" t="s">
        <v>35</v>
      </c>
      <c r="O4916" t="s">
        <v>27</v>
      </c>
      <c r="P4916">
        <v>5.4671514857003896</v>
      </c>
      <c r="Q4916">
        <v>2.4937491711435098</v>
      </c>
      <c r="R4916">
        <v>9.3316931085228791</v>
      </c>
      <c r="S4916">
        <v>12</v>
      </c>
      <c r="T4916">
        <v>26</v>
      </c>
      <c r="U4916">
        <v>899.12853349908596</v>
      </c>
      <c r="V4916">
        <v>4.2158516020235999E-3</v>
      </c>
      <c r="W4916">
        <v>1138623.5088983399</v>
      </c>
      <c r="X4916" t="s">
        <v>39</v>
      </c>
      <c r="Y4916">
        <f>1-966-452-5081</f>
        <v>-6498</v>
      </c>
    </row>
    <row r="4917" spans="1:25" x14ac:dyDescent="0.35">
      <c r="A4917">
        <v>37.172402469543499</v>
      </c>
      <c r="B4917">
        <v>-116.997556503545</v>
      </c>
      <c r="C4917" t="s">
        <v>29</v>
      </c>
      <c r="D4917">
        <v>48.6715515092761</v>
      </c>
      <c r="E4917">
        <v>1</v>
      </c>
      <c r="F4917">
        <v>2502</v>
      </c>
      <c r="G4917">
        <v>1</v>
      </c>
      <c r="H4917">
        <v>1</v>
      </c>
      <c r="I4917">
        <v>1988</v>
      </c>
      <c r="J4917">
        <v>1</v>
      </c>
      <c r="K4917">
        <v>0</v>
      </c>
      <c r="L4917">
        <v>0</v>
      </c>
      <c r="M4917">
        <v>13</v>
      </c>
      <c r="N4917" t="s">
        <v>37</v>
      </c>
      <c r="O4917" t="s">
        <v>27</v>
      </c>
      <c r="P4917">
        <v>14.7041826017087</v>
      </c>
      <c r="Q4917">
        <v>1.7617511459300099</v>
      </c>
      <c r="R4917">
        <v>5.0780573009525396</v>
      </c>
      <c r="S4917">
        <v>34</v>
      </c>
      <c r="T4917">
        <v>34</v>
      </c>
      <c r="U4917">
        <v>436.17716428556798</v>
      </c>
      <c r="V4917">
        <v>5.1958433253397199E-3</v>
      </c>
      <c r="W4917">
        <v>1268624.6679698799</v>
      </c>
      <c r="X4917" t="s">
        <v>43</v>
      </c>
      <c r="Y4917">
        <f>1-948-673-9954</f>
        <v>-11574</v>
      </c>
    </row>
    <row r="4918" spans="1:25" x14ac:dyDescent="0.35">
      <c r="A4918">
        <v>41.6282664017873</v>
      </c>
      <c r="B4918">
        <v>-114.322233884263</v>
      </c>
      <c r="C4918" t="s">
        <v>34</v>
      </c>
      <c r="D4918">
        <v>47.375603489392901</v>
      </c>
      <c r="E4918">
        <v>4</v>
      </c>
      <c r="F4918">
        <v>1247</v>
      </c>
      <c r="G4918">
        <v>1</v>
      </c>
      <c r="H4918">
        <v>2</v>
      </c>
      <c r="I4918">
        <v>1950</v>
      </c>
      <c r="J4918">
        <v>0</v>
      </c>
      <c r="K4918">
        <v>0</v>
      </c>
      <c r="L4918">
        <v>1</v>
      </c>
      <c r="M4918">
        <v>10</v>
      </c>
      <c r="N4918" t="s">
        <v>41</v>
      </c>
      <c r="O4918" t="s">
        <v>27</v>
      </c>
      <c r="P4918">
        <v>10.874821140690401</v>
      </c>
      <c r="Q4918">
        <v>1.4555643205669899</v>
      </c>
      <c r="R4918">
        <v>3.2278247750787101</v>
      </c>
      <c r="S4918">
        <v>85</v>
      </c>
      <c r="T4918">
        <v>68</v>
      </c>
      <c r="U4918">
        <v>639.60851012086403</v>
      </c>
      <c r="V4918">
        <v>8.0192461908580592E-3</v>
      </c>
      <c r="W4918">
        <v>848652.163839972</v>
      </c>
      <c r="X4918" t="s">
        <v>43</v>
      </c>
      <c r="Y4918">
        <f>1-539-227-4326</f>
        <v>-5091</v>
      </c>
    </row>
    <row r="4919" spans="1:25" x14ac:dyDescent="0.35">
      <c r="A4919">
        <v>37.310590682525799</v>
      </c>
      <c r="B4919">
        <v>-117.427540506188</v>
      </c>
      <c r="C4919" t="s">
        <v>25</v>
      </c>
      <c r="D4919">
        <v>15.665910975636001</v>
      </c>
      <c r="E4919">
        <v>9</v>
      </c>
      <c r="F4919">
        <v>2224</v>
      </c>
      <c r="G4919">
        <v>1</v>
      </c>
      <c r="H4919">
        <v>2</v>
      </c>
      <c r="I4919">
        <v>1950</v>
      </c>
      <c r="J4919">
        <v>1</v>
      </c>
      <c r="K4919">
        <v>1</v>
      </c>
      <c r="L4919">
        <v>0</v>
      </c>
      <c r="M4919">
        <v>11</v>
      </c>
      <c r="N4919" t="s">
        <v>41</v>
      </c>
      <c r="O4919" t="s">
        <v>30</v>
      </c>
      <c r="P4919">
        <v>11.8948516670965</v>
      </c>
      <c r="Q4919">
        <v>0.62540045093516605</v>
      </c>
      <c r="R4919">
        <v>8.7839580407526991</v>
      </c>
      <c r="S4919">
        <v>192</v>
      </c>
      <c r="T4919">
        <v>78</v>
      </c>
      <c r="U4919">
        <v>512.85764537745399</v>
      </c>
      <c r="V4919">
        <v>4.9460431654676203E-3</v>
      </c>
      <c r="W4919">
        <v>1347081.99879965</v>
      </c>
      <c r="X4919" t="s">
        <v>38</v>
      </c>
      <c r="Y4919">
        <f>1-346-611-3596</f>
        <v>-4552</v>
      </c>
    </row>
    <row r="4920" spans="1:25" x14ac:dyDescent="0.35">
      <c r="A4920">
        <v>36.399004060547703</v>
      </c>
      <c r="B4920">
        <v>-123.51568580895299</v>
      </c>
      <c r="C4920" t="s">
        <v>29</v>
      </c>
      <c r="D4920">
        <v>22.673018437545501</v>
      </c>
      <c r="E4920">
        <v>5</v>
      </c>
      <c r="F4920">
        <v>4315</v>
      </c>
      <c r="G4920">
        <v>5</v>
      </c>
      <c r="H4920">
        <v>2</v>
      </c>
      <c r="I4920">
        <v>1950</v>
      </c>
      <c r="J4920">
        <v>0</v>
      </c>
      <c r="K4920">
        <v>0</v>
      </c>
      <c r="L4920">
        <v>0</v>
      </c>
      <c r="M4920">
        <v>11</v>
      </c>
      <c r="N4920" t="s">
        <v>37</v>
      </c>
      <c r="O4920" t="s">
        <v>27</v>
      </c>
      <c r="P4920">
        <v>4.9175452103687798</v>
      </c>
      <c r="Q4920">
        <v>1.7396760288247599</v>
      </c>
      <c r="R4920">
        <v>2.4739515330394402</v>
      </c>
      <c r="S4920">
        <v>176</v>
      </c>
      <c r="T4920">
        <v>51</v>
      </c>
      <c r="U4920">
        <v>387.31424493769799</v>
      </c>
      <c r="V4920">
        <v>2.5492468134414802E-3</v>
      </c>
      <c r="W4920">
        <v>1932838.0941705101</v>
      </c>
      <c r="X4920" t="s">
        <v>33</v>
      </c>
      <c r="Y4920">
        <f>1-286-655-3138</f>
        <v>-4078</v>
      </c>
    </row>
    <row r="4921" spans="1:25" x14ac:dyDescent="0.35">
      <c r="A4921">
        <v>37.735385368420097</v>
      </c>
      <c r="B4921">
        <v>-121.386393670743</v>
      </c>
      <c r="C4921" t="s">
        <v>25</v>
      </c>
      <c r="D4921">
        <v>47.594591611658103</v>
      </c>
      <c r="E4921">
        <v>1</v>
      </c>
      <c r="F4921">
        <v>1632</v>
      </c>
      <c r="G4921">
        <v>1</v>
      </c>
      <c r="H4921">
        <v>2</v>
      </c>
      <c r="I4921">
        <v>2016</v>
      </c>
      <c r="J4921">
        <v>1</v>
      </c>
      <c r="K4921">
        <v>0</v>
      </c>
      <c r="L4921">
        <v>1</v>
      </c>
      <c r="M4921">
        <v>5</v>
      </c>
      <c r="N4921" t="s">
        <v>41</v>
      </c>
      <c r="O4921" t="s">
        <v>27</v>
      </c>
      <c r="P4921">
        <v>2.0782850811476701</v>
      </c>
      <c r="Q4921">
        <v>1.94366139347857</v>
      </c>
      <c r="R4921">
        <v>0.50433263132603601</v>
      </c>
      <c r="S4921">
        <v>109</v>
      </c>
      <c r="T4921">
        <v>65</v>
      </c>
      <c r="U4921">
        <v>840.45185531087998</v>
      </c>
      <c r="V4921">
        <v>3.0637254901960701E-3</v>
      </c>
      <c r="W4921">
        <v>1538979.5335029999</v>
      </c>
      <c r="X4921" t="s">
        <v>33</v>
      </c>
      <c r="Y4921">
        <f>1-856-240-6393</f>
        <v>-7488</v>
      </c>
    </row>
    <row r="4922" spans="1:25" x14ac:dyDescent="0.35">
      <c r="A4922">
        <v>41.190465268285799</v>
      </c>
      <c r="B4922">
        <v>-124.376693475553</v>
      </c>
      <c r="C4922" t="s">
        <v>34</v>
      </c>
      <c r="D4922">
        <v>10.0314057500802</v>
      </c>
      <c r="E4922">
        <v>9</v>
      </c>
      <c r="F4922">
        <v>1574</v>
      </c>
      <c r="G4922">
        <v>2</v>
      </c>
      <c r="H4922">
        <v>2</v>
      </c>
      <c r="I4922">
        <v>1991</v>
      </c>
      <c r="J4922">
        <v>0</v>
      </c>
      <c r="K4922">
        <v>1</v>
      </c>
      <c r="L4922">
        <v>0</v>
      </c>
      <c r="M4922">
        <v>8</v>
      </c>
      <c r="N4922" t="s">
        <v>37</v>
      </c>
      <c r="O4922" t="s">
        <v>32</v>
      </c>
      <c r="P4922">
        <v>3.1348167663496498</v>
      </c>
      <c r="Q4922">
        <v>1.6349587709262901</v>
      </c>
      <c r="R4922">
        <v>5.651055173274</v>
      </c>
      <c r="S4922">
        <v>179</v>
      </c>
      <c r="T4922">
        <v>45</v>
      </c>
      <c r="U4922">
        <v>514.51314704841604</v>
      </c>
      <c r="V4922">
        <v>5.0825921219822103E-3</v>
      </c>
      <c r="W4922">
        <v>1026864.96167621</v>
      </c>
      <c r="X4922" t="s">
        <v>44</v>
      </c>
      <c r="Y4922">
        <f>1-348-134-5155</f>
        <v>-5636</v>
      </c>
    </row>
    <row r="4923" spans="1:25" x14ac:dyDescent="0.35">
      <c r="A4923">
        <v>35.709895256848398</v>
      </c>
      <c r="B4923">
        <v>-124.451395447255</v>
      </c>
      <c r="C4923" t="s">
        <v>29</v>
      </c>
      <c r="D4923">
        <v>48.309260586697398</v>
      </c>
      <c r="E4923">
        <v>9</v>
      </c>
      <c r="F4923">
        <v>4229</v>
      </c>
      <c r="G4923">
        <v>5</v>
      </c>
      <c r="H4923">
        <v>1</v>
      </c>
      <c r="I4923">
        <v>1996</v>
      </c>
      <c r="J4923">
        <v>0</v>
      </c>
      <c r="K4923">
        <v>0</v>
      </c>
      <c r="L4923">
        <v>1</v>
      </c>
      <c r="M4923">
        <v>14</v>
      </c>
      <c r="N4923" t="s">
        <v>35</v>
      </c>
      <c r="O4923" t="s">
        <v>32</v>
      </c>
      <c r="P4923">
        <v>12.8046723064411</v>
      </c>
      <c r="Q4923">
        <v>2.2837732227918699</v>
      </c>
      <c r="R4923">
        <v>6.0733391431902497</v>
      </c>
      <c r="S4923">
        <v>10</v>
      </c>
      <c r="T4923">
        <v>26</v>
      </c>
      <c r="U4923">
        <v>247.39963828921199</v>
      </c>
      <c r="V4923">
        <v>3.31047528966658E-3</v>
      </c>
      <c r="W4923">
        <v>1389907.99970893</v>
      </c>
      <c r="X4923" t="s">
        <v>39</v>
      </c>
      <c r="Y4923">
        <f>1-888-775-8779</f>
        <v>-10441</v>
      </c>
    </row>
    <row r="4924" spans="1:25" x14ac:dyDescent="0.35">
      <c r="A4924">
        <v>33.1818531900416</v>
      </c>
      <c r="B4924">
        <v>-122.925788435436</v>
      </c>
      <c r="C4924" t="s">
        <v>25</v>
      </c>
      <c r="D4924">
        <v>13.5261125489692</v>
      </c>
      <c r="E4924">
        <v>7</v>
      </c>
      <c r="F4924">
        <v>990</v>
      </c>
      <c r="G4924">
        <v>3</v>
      </c>
      <c r="H4924">
        <v>1</v>
      </c>
      <c r="I4924">
        <v>2008</v>
      </c>
      <c r="J4924">
        <v>1</v>
      </c>
      <c r="K4924">
        <v>0</v>
      </c>
      <c r="L4924">
        <v>1</v>
      </c>
      <c r="M4924">
        <v>14</v>
      </c>
      <c r="N4924" t="s">
        <v>26</v>
      </c>
      <c r="O4924" t="s">
        <v>32</v>
      </c>
      <c r="P4924">
        <v>12.516774840375399</v>
      </c>
      <c r="Q4924">
        <v>1.17811971670826</v>
      </c>
      <c r="R4924">
        <v>1.6616751493151101</v>
      </c>
      <c r="S4924">
        <v>117</v>
      </c>
      <c r="T4924">
        <v>33</v>
      </c>
      <c r="U4924">
        <v>901.69894734286095</v>
      </c>
      <c r="V4924">
        <v>1.4141414141414101E-2</v>
      </c>
      <c r="W4924">
        <v>1236936.7553075899</v>
      </c>
      <c r="X4924" t="s">
        <v>39</v>
      </c>
      <c r="Y4924">
        <f>1-594-323-1776</f>
        <v>-2692</v>
      </c>
    </row>
    <row r="4925" spans="1:25" x14ac:dyDescent="0.35">
      <c r="A4925">
        <v>33.367126783977</v>
      </c>
      <c r="B4925">
        <v>-120.805600085054</v>
      </c>
      <c r="C4925" t="s">
        <v>29</v>
      </c>
      <c r="D4925">
        <v>10.0231993481096</v>
      </c>
      <c r="E4925">
        <v>1</v>
      </c>
      <c r="F4925">
        <v>1625</v>
      </c>
      <c r="G4925">
        <v>2</v>
      </c>
      <c r="H4925">
        <v>1</v>
      </c>
      <c r="I4925">
        <v>1977</v>
      </c>
      <c r="J4925">
        <v>0</v>
      </c>
      <c r="K4925">
        <v>0</v>
      </c>
      <c r="L4925">
        <v>0</v>
      </c>
      <c r="M4925">
        <v>2</v>
      </c>
      <c r="N4925" t="s">
        <v>35</v>
      </c>
      <c r="O4925" t="s">
        <v>30</v>
      </c>
      <c r="P4925">
        <v>13.1016791894554</v>
      </c>
      <c r="Q4925">
        <v>2.1355010944556501</v>
      </c>
      <c r="R4925">
        <v>6.2200417991700396</v>
      </c>
      <c r="S4925">
        <v>175</v>
      </c>
      <c r="T4925">
        <v>61</v>
      </c>
      <c r="U4925">
        <v>403.814671329102</v>
      </c>
      <c r="V4925">
        <v>1.2307692307692299E-3</v>
      </c>
      <c r="W4925">
        <v>853323.58746471303</v>
      </c>
      <c r="X4925" t="s">
        <v>28</v>
      </c>
      <c r="Y4925">
        <f>1-895-669-9233</f>
        <v>-10796</v>
      </c>
    </row>
    <row r="4926" spans="1:25" x14ac:dyDescent="0.35">
      <c r="A4926">
        <v>33.090385878810402</v>
      </c>
      <c r="B4926">
        <v>-115.552762081323</v>
      </c>
      <c r="C4926" t="s">
        <v>29</v>
      </c>
      <c r="D4926">
        <v>22.842198047532101</v>
      </c>
      <c r="E4926">
        <v>5</v>
      </c>
      <c r="F4926">
        <v>573</v>
      </c>
      <c r="G4926">
        <v>2</v>
      </c>
      <c r="H4926">
        <v>3</v>
      </c>
      <c r="I4926">
        <v>1975</v>
      </c>
      <c r="J4926">
        <v>0</v>
      </c>
      <c r="K4926">
        <v>1</v>
      </c>
      <c r="L4926">
        <v>1</v>
      </c>
      <c r="M4926">
        <v>11</v>
      </c>
      <c r="N4926" t="s">
        <v>37</v>
      </c>
      <c r="O4926" t="s">
        <v>30</v>
      </c>
      <c r="P4926">
        <v>14.569013342367899</v>
      </c>
      <c r="Q4926">
        <v>1.03133533450314</v>
      </c>
      <c r="R4926">
        <v>3.3297109083490701</v>
      </c>
      <c r="S4926">
        <v>151</v>
      </c>
      <c r="T4926">
        <v>56</v>
      </c>
      <c r="U4926">
        <v>323.98442543093398</v>
      </c>
      <c r="V4926">
        <v>1.9197207678882999E-2</v>
      </c>
      <c r="W4926">
        <v>643291.81415378198</v>
      </c>
      <c r="X4926" t="s">
        <v>36</v>
      </c>
      <c r="Y4926">
        <f>1-444-865-5437</f>
        <v>-6745</v>
      </c>
    </row>
    <row r="4927" spans="1:25" x14ac:dyDescent="0.35">
      <c r="A4927">
        <v>36.242009084424197</v>
      </c>
      <c r="B4927">
        <v>-122.706474850105</v>
      </c>
      <c r="C4927" t="s">
        <v>25</v>
      </c>
      <c r="D4927">
        <v>2.8508969776239899</v>
      </c>
      <c r="E4927">
        <v>0</v>
      </c>
      <c r="F4927">
        <v>1275</v>
      </c>
      <c r="G4927">
        <v>2</v>
      </c>
      <c r="H4927">
        <v>2</v>
      </c>
      <c r="I4927">
        <v>1973</v>
      </c>
      <c r="J4927">
        <v>0</v>
      </c>
      <c r="K4927">
        <v>0</v>
      </c>
      <c r="L4927">
        <v>0</v>
      </c>
      <c r="M4927">
        <v>13</v>
      </c>
      <c r="N4927" t="s">
        <v>35</v>
      </c>
      <c r="O4927" t="s">
        <v>27</v>
      </c>
      <c r="P4927">
        <v>7.2818682490077196</v>
      </c>
      <c r="Q4927">
        <v>0.83589852032948597</v>
      </c>
      <c r="R4927">
        <v>2.9225820221702499</v>
      </c>
      <c r="S4927">
        <v>36</v>
      </c>
      <c r="T4927">
        <v>64</v>
      </c>
      <c r="U4927">
        <v>982.77256331595004</v>
      </c>
      <c r="V4927">
        <v>1.0196078431372499E-2</v>
      </c>
      <c r="W4927">
        <v>1448406.0913648801</v>
      </c>
      <c r="X4927" t="s">
        <v>40</v>
      </c>
      <c r="Y4927">
        <f>1-419-432-5635</f>
        <v>-6485</v>
      </c>
    </row>
    <row r="4928" spans="1:25" x14ac:dyDescent="0.35">
      <c r="A4928">
        <v>33.425036354149498</v>
      </c>
      <c r="B4928">
        <v>-124.199141613558</v>
      </c>
      <c r="C4928" t="s">
        <v>29</v>
      </c>
      <c r="D4928">
        <v>25.9815173176247</v>
      </c>
      <c r="E4928">
        <v>2</v>
      </c>
      <c r="F4928">
        <v>1436</v>
      </c>
      <c r="G4928">
        <v>4</v>
      </c>
      <c r="H4928">
        <v>3</v>
      </c>
      <c r="I4928">
        <v>1991</v>
      </c>
      <c r="J4928">
        <v>0</v>
      </c>
      <c r="K4928">
        <v>1</v>
      </c>
      <c r="L4928">
        <v>0</v>
      </c>
      <c r="M4928">
        <v>3</v>
      </c>
      <c r="N4928" t="s">
        <v>41</v>
      </c>
      <c r="O4928" t="s">
        <v>27</v>
      </c>
      <c r="P4928">
        <v>3.8122144627863301</v>
      </c>
      <c r="Q4928">
        <v>2.4612390725807698</v>
      </c>
      <c r="R4928">
        <v>4.96641867492463</v>
      </c>
      <c r="S4928">
        <v>122</v>
      </c>
      <c r="T4928">
        <v>35</v>
      </c>
      <c r="U4928">
        <v>749.41078147400901</v>
      </c>
      <c r="V4928">
        <v>2.08913649025069E-3</v>
      </c>
      <c r="W4928">
        <v>1371218.3764636701</v>
      </c>
      <c r="X4928" t="s">
        <v>42</v>
      </c>
      <c r="Y4928">
        <f>1-469-898-9688</f>
        <v>-11054</v>
      </c>
    </row>
    <row r="4929" spans="1:25" x14ac:dyDescent="0.35">
      <c r="A4929">
        <v>33.697092543873502</v>
      </c>
      <c r="B4929">
        <v>-115.595667869602</v>
      </c>
      <c r="C4929" t="s">
        <v>25</v>
      </c>
      <c r="D4929">
        <v>17.725675719555301</v>
      </c>
      <c r="E4929">
        <v>3</v>
      </c>
      <c r="F4929">
        <v>4216</v>
      </c>
      <c r="G4929">
        <v>5</v>
      </c>
      <c r="H4929">
        <v>3</v>
      </c>
      <c r="I4929">
        <v>1957</v>
      </c>
      <c r="J4929">
        <v>1</v>
      </c>
      <c r="K4929">
        <v>1</v>
      </c>
      <c r="L4929">
        <v>1</v>
      </c>
      <c r="M4929">
        <v>14</v>
      </c>
      <c r="N4929" t="s">
        <v>37</v>
      </c>
      <c r="O4929" t="s">
        <v>27</v>
      </c>
      <c r="P4929">
        <v>8.5464662927735908</v>
      </c>
      <c r="Q4929">
        <v>2.1182802612953902</v>
      </c>
      <c r="R4929">
        <v>1.05774661414181E-2</v>
      </c>
      <c r="S4929">
        <v>26</v>
      </c>
      <c r="T4929">
        <v>70</v>
      </c>
      <c r="U4929">
        <v>424.258695897682</v>
      </c>
      <c r="V4929">
        <v>3.3206831119544501E-3</v>
      </c>
      <c r="W4929">
        <v>2286589.6680130102</v>
      </c>
      <c r="X4929" t="s">
        <v>44</v>
      </c>
      <c r="Y4929">
        <f>1-255-568-5210</f>
        <v>-6032</v>
      </c>
    </row>
    <row r="4930" spans="1:25" x14ac:dyDescent="0.35">
      <c r="A4930">
        <v>39.294605887159399</v>
      </c>
      <c r="B4930">
        <v>-120.95554936820299</v>
      </c>
      <c r="C4930" t="s">
        <v>34</v>
      </c>
      <c r="D4930">
        <v>5.6447524588373703</v>
      </c>
      <c r="E4930">
        <v>5</v>
      </c>
      <c r="F4930">
        <v>1495</v>
      </c>
      <c r="G4930">
        <v>3</v>
      </c>
      <c r="H4930">
        <v>2</v>
      </c>
      <c r="I4930">
        <v>1983</v>
      </c>
      <c r="J4930">
        <v>0</v>
      </c>
      <c r="K4930">
        <v>1</v>
      </c>
      <c r="L4930">
        <v>0</v>
      </c>
      <c r="M4930">
        <v>14</v>
      </c>
      <c r="N4930" t="s">
        <v>37</v>
      </c>
      <c r="O4930" t="s">
        <v>30</v>
      </c>
      <c r="P4930">
        <v>4.1571910212327996</v>
      </c>
      <c r="Q4930">
        <v>1.0929173780030701</v>
      </c>
      <c r="R4930">
        <v>6.8283728043024796</v>
      </c>
      <c r="S4930">
        <v>167</v>
      </c>
      <c r="T4930">
        <v>52</v>
      </c>
      <c r="U4930">
        <v>683.92588119955894</v>
      </c>
      <c r="V4930">
        <v>9.36454849498327E-3</v>
      </c>
      <c r="W4930">
        <v>1288744.0777058899</v>
      </c>
      <c r="X4930" t="s">
        <v>38</v>
      </c>
      <c r="Y4930">
        <f>1-348-293-3994</f>
        <v>-4634</v>
      </c>
    </row>
    <row r="4931" spans="1:25" x14ac:dyDescent="0.35">
      <c r="A4931">
        <v>33.171406453838998</v>
      </c>
      <c r="B4931">
        <v>-117.67293261620399</v>
      </c>
      <c r="C4931" t="s">
        <v>29</v>
      </c>
      <c r="D4931">
        <v>44.593297000070599</v>
      </c>
      <c r="E4931">
        <v>4</v>
      </c>
      <c r="F4931">
        <v>3737</v>
      </c>
      <c r="G4931">
        <v>4</v>
      </c>
      <c r="H4931">
        <v>1</v>
      </c>
      <c r="I4931">
        <v>2013</v>
      </c>
      <c r="J4931">
        <v>0</v>
      </c>
      <c r="K4931">
        <v>0</v>
      </c>
      <c r="L4931">
        <v>1</v>
      </c>
      <c r="M4931">
        <v>14</v>
      </c>
      <c r="N4931" t="s">
        <v>35</v>
      </c>
      <c r="O4931" t="s">
        <v>32</v>
      </c>
      <c r="P4931">
        <v>6.3667568912252097</v>
      </c>
      <c r="Q4931">
        <v>1.6575692125030901</v>
      </c>
      <c r="R4931">
        <v>2.2012818129840399</v>
      </c>
      <c r="S4931">
        <v>191</v>
      </c>
      <c r="T4931">
        <v>25</v>
      </c>
      <c r="U4931">
        <v>841.54512160811703</v>
      </c>
      <c r="V4931">
        <v>3.74632057800374E-3</v>
      </c>
      <c r="W4931">
        <v>3404808.5185265099</v>
      </c>
      <c r="X4931" t="s">
        <v>36</v>
      </c>
      <c r="Y4931">
        <f>1-406-923-2875</f>
        <v>-4203</v>
      </c>
    </row>
    <row r="4932" spans="1:25" x14ac:dyDescent="0.35">
      <c r="A4932">
        <v>41.528709955433797</v>
      </c>
      <c r="B4932">
        <v>-123.871886409542</v>
      </c>
      <c r="C4932" t="s">
        <v>29</v>
      </c>
      <c r="D4932">
        <v>28.015042247986699</v>
      </c>
      <c r="E4932">
        <v>0</v>
      </c>
      <c r="F4932">
        <v>2172</v>
      </c>
      <c r="G4932">
        <v>1</v>
      </c>
      <c r="H4932">
        <v>2</v>
      </c>
      <c r="I4932">
        <v>2009</v>
      </c>
      <c r="J4932">
        <v>1</v>
      </c>
      <c r="K4932">
        <v>0</v>
      </c>
      <c r="L4932">
        <v>0</v>
      </c>
      <c r="M4932">
        <v>13</v>
      </c>
      <c r="N4932" t="s">
        <v>35</v>
      </c>
      <c r="O4932" t="s">
        <v>30</v>
      </c>
      <c r="P4932">
        <v>13.002856406346</v>
      </c>
      <c r="Q4932">
        <v>0.58644718154129005</v>
      </c>
      <c r="R4932">
        <v>5.4399451014612499</v>
      </c>
      <c r="S4932">
        <v>196</v>
      </c>
      <c r="T4932">
        <v>36</v>
      </c>
      <c r="U4932">
        <v>947.24912794932402</v>
      </c>
      <c r="V4932">
        <v>5.9852670349907896E-3</v>
      </c>
      <c r="W4932">
        <v>2198342.98174997</v>
      </c>
      <c r="X4932" t="s">
        <v>39</v>
      </c>
      <c r="Y4932">
        <f>1-554-896-6519</f>
        <v>-7968</v>
      </c>
    </row>
    <row r="4933" spans="1:25" x14ac:dyDescent="0.35">
      <c r="A4933">
        <v>36.105163039712799</v>
      </c>
      <c r="B4933">
        <v>-116.380394750479</v>
      </c>
      <c r="C4933" t="s">
        <v>29</v>
      </c>
      <c r="D4933">
        <v>40.883073702064998</v>
      </c>
      <c r="E4933">
        <v>7</v>
      </c>
      <c r="F4933">
        <v>1264</v>
      </c>
      <c r="G4933">
        <v>4</v>
      </c>
      <c r="H4933">
        <v>1</v>
      </c>
      <c r="I4933">
        <v>2004</v>
      </c>
      <c r="J4933">
        <v>0</v>
      </c>
      <c r="K4933">
        <v>1</v>
      </c>
      <c r="L4933">
        <v>1</v>
      </c>
      <c r="M4933">
        <v>14</v>
      </c>
      <c r="N4933" t="s">
        <v>26</v>
      </c>
      <c r="O4933" t="s">
        <v>30</v>
      </c>
      <c r="P4933">
        <v>7.9710407648065997</v>
      </c>
      <c r="Q4933">
        <v>1.26428188599054</v>
      </c>
      <c r="R4933">
        <v>3.0205731232535098</v>
      </c>
      <c r="S4933">
        <v>112</v>
      </c>
      <c r="T4933">
        <v>71</v>
      </c>
      <c r="U4933">
        <v>723.01571288176399</v>
      </c>
      <c r="V4933">
        <v>1.1075949367088601E-2</v>
      </c>
      <c r="W4933">
        <v>1247742.92853699</v>
      </c>
      <c r="X4933" t="s">
        <v>42</v>
      </c>
      <c r="Y4933">
        <f>1-269-804-7106</f>
        <v>-8178</v>
      </c>
    </row>
    <row r="4934" spans="1:25" x14ac:dyDescent="0.35">
      <c r="A4934">
        <v>34.140875173168901</v>
      </c>
      <c r="B4934">
        <v>-123.489953127729</v>
      </c>
      <c r="C4934" t="s">
        <v>29</v>
      </c>
      <c r="D4934">
        <v>15.682221179483999</v>
      </c>
      <c r="E4934">
        <v>5</v>
      </c>
      <c r="F4934">
        <v>1379</v>
      </c>
      <c r="G4934">
        <v>3</v>
      </c>
      <c r="H4934">
        <v>3</v>
      </c>
      <c r="I4934">
        <v>1965</v>
      </c>
      <c r="J4934">
        <v>0</v>
      </c>
      <c r="K4934">
        <v>1</v>
      </c>
      <c r="L4934">
        <v>1</v>
      </c>
      <c r="M4934">
        <v>14</v>
      </c>
      <c r="N4934" t="s">
        <v>41</v>
      </c>
      <c r="O4934" t="s">
        <v>30</v>
      </c>
      <c r="P4934">
        <v>10.349587794886499</v>
      </c>
      <c r="Q4934">
        <v>1.9797902124808699</v>
      </c>
      <c r="R4934">
        <v>5.8230105691893197</v>
      </c>
      <c r="S4934">
        <v>71</v>
      </c>
      <c r="T4934">
        <v>24</v>
      </c>
      <c r="U4934">
        <v>933.53783238918902</v>
      </c>
      <c r="V4934">
        <v>1.01522842639593E-2</v>
      </c>
      <c r="W4934">
        <v>1501900.00687008</v>
      </c>
      <c r="X4934" t="s">
        <v>28</v>
      </c>
      <c r="Y4934">
        <f>1-783-357-8803</f>
        <v>-9942</v>
      </c>
    </row>
    <row r="4935" spans="1:25" x14ac:dyDescent="0.35">
      <c r="A4935">
        <v>33.944826154808098</v>
      </c>
      <c r="B4935">
        <v>-118.383006539761</v>
      </c>
      <c r="C4935" t="s">
        <v>34</v>
      </c>
      <c r="D4935">
        <v>13.503294332391601</v>
      </c>
      <c r="E4935">
        <v>6</v>
      </c>
      <c r="F4935">
        <v>3279</v>
      </c>
      <c r="G4935">
        <v>2</v>
      </c>
      <c r="H4935">
        <v>3</v>
      </c>
      <c r="I4935">
        <v>2013</v>
      </c>
      <c r="J4935">
        <v>0</v>
      </c>
      <c r="K4935">
        <v>1</v>
      </c>
      <c r="L4935">
        <v>0</v>
      </c>
      <c r="M4935">
        <v>8</v>
      </c>
      <c r="N4935" t="s">
        <v>26</v>
      </c>
      <c r="O4935" t="s">
        <v>32</v>
      </c>
      <c r="P4935">
        <v>3.8051888369491902</v>
      </c>
      <c r="Q4935">
        <v>2.3099405227569099</v>
      </c>
      <c r="R4935">
        <v>2.8886985142757799</v>
      </c>
      <c r="S4935">
        <v>193</v>
      </c>
      <c r="T4935">
        <v>40</v>
      </c>
      <c r="U4935">
        <v>537.52477309162998</v>
      </c>
      <c r="V4935">
        <v>2.4397682220188999E-3</v>
      </c>
      <c r="W4935">
        <v>2042048.3127449399</v>
      </c>
      <c r="X4935" t="s">
        <v>36</v>
      </c>
      <c r="Y4935">
        <f>1-287-493-7022</f>
        <v>-7801</v>
      </c>
    </row>
    <row r="4936" spans="1:25" x14ac:dyDescent="0.35">
      <c r="A4936">
        <v>41.372441823127403</v>
      </c>
      <c r="B4936">
        <v>-114.506513723711</v>
      </c>
      <c r="C4936" t="s">
        <v>25</v>
      </c>
      <c r="D4936">
        <v>33.752312846048198</v>
      </c>
      <c r="E4936">
        <v>1</v>
      </c>
      <c r="F4936">
        <v>3696</v>
      </c>
      <c r="G4936">
        <v>5</v>
      </c>
      <c r="H4936">
        <v>2</v>
      </c>
      <c r="I4936">
        <v>1959</v>
      </c>
      <c r="J4936">
        <v>1</v>
      </c>
      <c r="K4936">
        <v>0</v>
      </c>
      <c r="L4936">
        <v>0</v>
      </c>
      <c r="M4936">
        <v>3</v>
      </c>
      <c r="N4936" t="s">
        <v>35</v>
      </c>
      <c r="O4936" t="s">
        <v>30</v>
      </c>
      <c r="P4936">
        <v>12.630011129925</v>
      </c>
      <c r="Q4936">
        <v>1.2046742160249599</v>
      </c>
      <c r="R4936">
        <v>7.2846308771799899</v>
      </c>
      <c r="S4936">
        <v>77</v>
      </c>
      <c r="T4936">
        <v>54</v>
      </c>
      <c r="U4936">
        <v>829.72442651813503</v>
      </c>
      <c r="V4936">
        <v>8.1168831168831098E-4</v>
      </c>
      <c r="W4936">
        <v>3353939.2563812099</v>
      </c>
      <c r="X4936" t="s">
        <v>43</v>
      </c>
      <c r="Y4936">
        <f>1-419-940-9436</f>
        <v>-10794</v>
      </c>
    </row>
    <row r="4937" spans="1:25" x14ac:dyDescent="0.35">
      <c r="A4937">
        <v>38.286573868041501</v>
      </c>
      <c r="B4937">
        <v>-122.123953617075</v>
      </c>
      <c r="C4937" t="s">
        <v>34</v>
      </c>
      <c r="D4937">
        <v>20.0432421928191</v>
      </c>
      <c r="E4937">
        <v>5</v>
      </c>
      <c r="F4937">
        <v>3391</v>
      </c>
      <c r="G4937">
        <v>3</v>
      </c>
      <c r="H4937">
        <v>1</v>
      </c>
      <c r="I4937">
        <v>2015</v>
      </c>
      <c r="J4937">
        <v>0</v>
      </c>
      <c r="K4937">
        <v>0</v>
      </c>
      <c r="L4937">
        <v>0</v>
      </c>
      <c r="M4937">
        <v>10</v>
      </c>
      <c r="N4937" t="s">
        <v>26</v>
      </c>
      <c r="O4937" t="s">
        <v>27</v>
      </c>
      <c r="P4937">
        <v>13.7932504281374</v>
      </c>
      <c r="Q4937">
        <v>0.84621481593736003</v>
      </c>
      <c r="R4937">
        <v>5.1955446045303804</v>
      </c>
      <c r="S4937">
        <v>73</v>
      </c>
      <c r="T4937">
        <v>34</v>
      </c>
      <c r="U4937">
        <v>594.08304442435804</v>
      </c>
      <c r="V4937">
        <v>2.9489826010026502E-3</v>
      </c>
      <c r="W4937">
        <v>2377357.2283133701</v>
      </c>
      <c r="X4937" t="s">
        <v>42</v>
      </c>
      <c r="Y4937">
        <f>1-432-550-7670</f>
        <v>-8651</v>
      </c>
    </row>
    <row r="4938" spans="1:25" x14ac:dyDescent="0.35">
      <c r="A4938">
        <v>41.323347580366899</v>
      </c>
      <c r="B4938">
        <v>-114.23252899927699</v>
      </c>
      <c r="C4938" t="s">
        <v>34</v>
      </c>
      <c r="D4938">
        <v>2.0732917422019299</v>
      </c>
      <c r="E4938">
        <v>5</v>
      </c>
      <c r="F4938">
        <v>3237</v>
      </c>
      <c r="G4938">
        <v>3</v>
      </c>
      <c r="H4938">
        <v>2</v>
      </c>
      <c r="I4938">
        <v>1985</v>
      </c>
      <c r="J4938">
        <v>1</v>
      </c>
      <c r="K4938">
        <v>0</v>
      </c>
      <c r="L4938">
        <v>0</v>
      </c>
      <c r="M4938">
        <v>10</v>
      </c>
      <c r="N4938" t="s">
        <v>26</v>
      </c>
      <c r="O4938" t="s">
        <v>30</v>
      </c>
      <c r="P4938">
        <v>8.0969104734526791</v>
      </c>
      <c r="Q4938">
        <v>2.4827302782565601</v>
      </c>
      <c r="R4938">
        <v>4.38282347629276</v>
      </c>
      <c r="S4938">
        <v>38</v>
      </c>
      <c r="T4938">
        <v>22</v>
      </c>
      <c r="U4938">
        <v>853.80181241088201</v>
      </c>
      <c r="V4938">
        <v>3.0892801977139301E-3</v>
      </c>
      <c r="W4938">
        <v>3044465.74810939</v>
      </c>
      <c r="X4938" t="s">
        <v>44</v>
      </c>
      <c r="Y4938">
        <f>1-794-497-4949</f>
        <v>-6239</v>
      </c>
    </row>
    <row r="4939" spans="1:25" x14ac:dyDescent="0.35">
      <c r="A4939">
        <v>41.963862376171697</v>
      </c>
      <c r="B4939">
        <v>-118.101279377474</v>
      </c>
      <c r="C4939" t="s">
        <v>29</v>
      </c>
      <c r="D4939">
        <v>18.915429423136001</v>
      </c>
      <c r="E4939">
        <v>4</v>
      </c>
      <c r="F4939">
        <v>3575</v>
      </c>
      <c r="G4939">
        <v>3</v>
      </c>
      <c r="H4939">
        <v>1</v>
      </c>
      <c r="I4939">
        <v>1983</v>
      </c>
      <c r="J4939">
        <v>0</v>
      </c>
      <c r="K4939">
        <v>0</v>
      </c>
      <c r="L4939">
        <v>1</v>
      </c>
      <c r="M4939">
        <v>8</v>
      </c>
      <c r="N4939" t="s">
        <v>41</v>
      </c>
      <c r="O4939" t="s">
        <v>30</v>
      </c>
      <c r="P4939">
        <v>14.6730320044761</v>
      </c>
      <c r="Q4939">
        <v>1.35975709404158</v>
      </c>
      <c r="R4939">
        <v>7.2665001712568804</v>
      </c>
      <c r="S4939">
        <v>139</v>
      </c>
      <c r="T4939">
        <v>60</v>
      </c>
      <c r="U4939">
        <v>399.989845826455</v>
      </c>
      <c r="V4939">
        <v>2.23776223776223E-3</v>
      </c>
      <c r="W4939">
        <v>1669650.3798767601</v>
      </c>
      <c r="X4939" t="s">
        <v>42</v>
      </c>
      <c r="Y4939">
        <f>1-201-525-3455</f>
        <v>-4180</v>
      </c>
    </row>
    <row r="4940" spans="1:25" x14ac:dyDescent="0.35">
      <c r="A4940">
        <v>33.313966918887601</v>
      </c>
      <c r="B4940">
        <v>-114.11725840395199</v>
      </c>
      <c r="C4940" t="s">
        <v>34</v>
      </c>
      <c r="D4940">
        <v>40.8628075940385</v>
      </c>
      <c r="E4940">
        <v>7</v>
      </c>
      <c r="F4940">
        <v>1285</v>
      </c>
      <c r="G4940">
        <v>1</v>
      </c>
      <c r="H4940">
        <v>1</v>
      </c>
      <c r="I4940">
        <v>1970</v>
      </c>
      <c r="J4940">
        <v>1</v>
      </c>
      <c r="K4940">
        <v>0</v>
      </c>
      <c r="L4940">
        <v>0</v>
      </c>
      <c r="M4940">
        <v>6</v>
      </c>
      <c r="N4940" t="s">
        <v>26</v>
      </c>
      <c r="O4940" t="s">
        <v>32</v>
      </c>
      <c r="P4940">
        <v>2.3927980931905899</v>
      </c>
      <c r="Q4940">
        <v>1.7963224283878401</v>
      </c>
      <c r="R4940">
        <v>0.339502155169081</v>
      </c>
      <c r="S4940">
        <v>42</v>
      </c>
      <c r="T4940">
        <v>31</v>
      </c>
      <c r="U4940">
        <v>954.32845975243799</v>
      </c>
      <c r="V4940">
        <v>4.6692607003890997E-3</v>
      </c>
      <c r="W4940">
        <v>1215304.1736441599</v>
      </c>
      <c r="X4940" t="s">
        <v>33</v>
      </c>
      <c r="Y4940">
        <f>1-593-563-3153</f>
        <v>-4308</v>
      </c>
    </row>
    <row r="4941" spans="1:25" x14ac:dyDescent="0.35">
      <c r="A4941">
        <v>32.640184066030002</v>
      </c>
      <c r="B4941">
        <v>-122.229121009143</v>
      </c>
      <c r="C4941" t="s">
        <v>34</v>
      </c>
      <c r="D4941">
        <v>45.9814598227521</v>
      </c>
      <c r="E4941">
        <v>0</v>
      </c>
      <c r="F4941">
        <v>1598</v>
      </c>
      <c r="G4941">
        <v>4</v>
      </c>
      <c r="H4941">
        <v>3</v>
      </c>
      <c r="I4941">
        <v>1951</v>
      </c>
      <c r="J4941">
        <v>0</v>
      </c>
      <c r="K4941">
        <v>1</v>
      </c>
      <c r="L4941">
        <v>1</v>
      </c>
      <c r="M4941">
        <v>4</v>
      </c>
      <c r="N4941" t="s">
        <v>41</v>
      </c>
      <c r="O4941" t="s">
        <v>27</v>
      </c>
      <c r="P4941">
        <v>3.3550577623439999</v>
      </c>
      <c r="Q4941">
        <v>1.9675426727294201</v>
      </c>
      <c r="R4941">
        <v>4.4526315695164103</v>
      </c>
      <c r="S4941">
        <v>175</v>
      </c>
      <c r="T4941">
        <v>20</v>
      </c>
      <c r="U4941">
        <v>490.29723886416502</v>
      </c>
      <c r="V4941">
        <v>2.5031289111389198E-3</v>
      </c>
      <c r="W4941">
        <v>1055456.0901705199</v>
      </c>
      <c r="X4941" t="s">
        <v>44</v>
      </c>
      <c r="Y4941">
        <f>1-961-977-3824</f>
        <v>-5761</v>
      </c>
    </row>
    <row r="4942" spans="1:25" x14ac:dyDescent="0.35">
      <c r="A4942">
        <v>39.4994286890282</v>
      </c>
      <c r="B4942">
        <v>-118.815211625766</v>
      </c>
      <c r="C4942" t="s">
        <v>34</v>
      </c>
      <c r="D4942">
        <v>8.0567073772219704</v>
      </c>
      <c r="E4942">
        <v>4</v>
      </c>
      <c r="F4942">
        <v>3318</v>
      </c>
      <c r="G4942">
        <v>3</v>
      </c>
      <c r="H4942">
        <v>1</v>
      </c>
      <c r="I4942">
        <v>2005</v>
      </c>
      <c r="J4942">
        <v>1</v>
      </c>
      <c r="K4942">
        <v>1</v>
      </c>
      <c r="L4942">
        <v>0</v>
      </c>
      <c r="M4942">
        <v>13</v>
      </c>
      <c r="N4942" t="s">
        <v>26</v>
      </c>
      <c r="O4942" t="s">
        <v>30</v>
      </c>
      <c r="P4942">
        <v>9.5313543117020707</v>
      </c>
      <c r="Q4942">
        <v>1.99245887376881</v>
      </c>
      <c r="R4942">
        <v>4.19047432542202</v>
      </c>
      <c r="S4942">
        <v>32</v>
      </c>
      <c r="T4942">
        <v>71</v>
      </c>
      <c r="U4942">
        <v>526.75084791200004</v>
      </c>
      <c r="V4942">
        <v>3.9180229053646697E-3</v>
      </c>
      <c r="W4942">
        <v>2141057.51086534</v>
      </c>
      <c r="X4942" t="s">
        <v>43</v>
      </c>
      <c r="Y4942">
        <f>1-758-502-1149</f>
        <v>-2408</v>
      </c>
    </row>
    <row r="4943" spans="1:25" x14ac:dyDescent="0.35">
      <c r="A4943">
        <v>32.521560902988902</v>
      </c>
      <c r="B4943">
        <v>-124.395351338948</v>
      </c>
      <c r="C4943" t="s">
        <v>29</v>
      </c>
      <c r="D4943">
        <v>11.6746914442858</v>
      </c>
      <c r="E4943">
        <v>1</v>
      </c>
      <c r="F4943">
        <v>1286</v>
      </c>
      <c r="G4943">
        <v>4</v>
      </c>
      <c r="H4943">
        <v>3</v>
      </c>
      <c r="I4943">
        <v>2004</v>
      </c>
      <c r="J4943">
        <v>0</v>
      </c>
      <c r="K4943">
        <v>1</v>
      </c>
      <c r="L4943">
        <v>1</v>
      </c>
      <c r="M4943">
        <v>2</v>
      </c>
      <c r="N4943" t="s">
        <v>26</v>
      </c>
      <c r="O4943" t="s">
        <v>32</v>
      </c>
      <c r="P4943">
        <v>3.1952848385727499</v>
      </c>
      <c r="Q4943">
        <v>0.51478253575807897</v>
      </c>
      <c r="R4943">
        <v>6.1456103861436802</v>
      </c>
      <c r="S4943">
        <v>127</v>
      </c>
      <c r="T4943">
        <v>36</v>
      </c>
      <c r="U4943">
        <v>345.558299619107</v>
      </c>
      <c r="V4943">
        <v>1.5552099533437001E-3</v>
      </c>
      <c r="W4943">
        <v>829116.76506478805</v>
      </c>
      <c r="X4943" t="s">
        <v>38</v>
      </c>
      <c r="Y4943">
        <f>1-937-783-9202</f>
        <v>-10921</v>
      </c>
    </row>
    <row r="4944" spans="1:25" x14ac:dyDescent="0.35">
      <c r="A4944">
        <v>37.499776023922301</v>
      </c>
      <c r="B4944">
        <v>-120.356908578562</v>
      </c>
      <c r="C4944" t="s">
        <v>29</v>
      </c>
      <c r="D4944">
        <v>27.800822695263999</v>
      </c>
      <c r="E4944">
        <v>2</v>
      </c>
      <c r="F4944">
        <v>2355</v>
      </c>
      <c r="G4944">
        <v>2</v>
      </c>
      <c r="H4944">
        <v>3</v>
      </c>
      <c r="I4944">
        <v>1979</v>
      </c>
      <c r="J4944">
        <v>1</v>
      </c>
      <c r="K4944">
        <v>1</v>
      </c>
      <c r="L4944">
        <v>0</v>
      </c>
      <c r="M4944">
        <v>8</v>
      </c>
      <c r="N4944" t="s">
        <v>26</v>
      </c>
      <c r="O4944" t="s">
        <v>30</v>
      </c>
      <c r="P4944">
        <v>9.8060970869968003</v>
      </c>
      <c r="Q4944">
        <v>1.6174388229793699</v>
      </c>
      <c r="R4944">
        <v>0.76480804873441699</v>
      </c>
      <c r="S4944">
        <v>11</v>
      </c>
      <c r="T4944">
        <v>74</v>
      </c>
      <c r="U4944">
        <v>993.97167576598099</v>
      </c>
      <c r="V4944">
        <v>3.3970276008492501E-3</v>
      </c>
      <c r="W4944">
        <v>2718224.89666809</v>
      </c>
      <c r="X4944" t="s">
        <v>36</v>
      </c>
      <c r="Y4944">
        <f>1-291-850-2065</f>
        <v>-3205</v>
      </c>
    </row>
    <row r="4945" spans="1:25" x14ac:dyDescent="0.35">
      <c r="A4945">
        <v>40.415683203738404</v>
      </c>
      <c r="B4945">
        <v>-114.035393698532</v>
      </c>
      <c r="C4945" t="s">
        <v>25</v>
      </c>
      <c r="D4945">
        <v>40.674489041643099</v>
      </c>
      <c r="E4945">
        <v>1</v>
      </c>
      <c r="F4945">
        <v>3946</v>
      </c>
      <c r="G4945">
        <v>3</v>
      </c>
      <c r="H4945">
        <v>1</v>
      </c>
      <c r="I4945">
        <v>1958</v>
      </c>
      <c r="J4945">
        <v>0</v>
      </c>
      <c r="K4945">
        <v>0</v>
      </c>
      <c r="L4945">
        <v>1</v>
      </c>
      <c r="M4945">
        <v>2</v>
      </c>
      <c r="N4945" t="s">
        <v>26</v>
      </c>
      <c r="O4945" t="s">
        <v>30</v>
      </c>
      <c r="P4945">
        <v>8.8401791437583004</v>
      </c>
      <c r="Q4945">
        <v>1.8657129731803701</v>
      </c>
      <c r="R4945">
        <v>0.47140737153203899</v>
      </c>
      <c r="S4945">
        <v>17</v>
      </c>
      <c r="T4945">
        <v>58</v>
      </c>
      <c r="U4945">
        <v>977.68374671209995</v>
      </c>
      <c r="V4945">
        <v>5.0684237202230096E-4</v>
      </c>
      <c r="W4945">
        <v>4004738.5032658898</v>
      </c>
      <c r="X4945" t="s">
        <v>33</v>
      </c>
      <c r="Y4945">
        <f>1-656-911-4755</f>
        <v>-6321</v>
      </c>
    </row>
    <row r="4946" spans="1:25" x14ac:dyDescent="0.35">
      <c r="A4946">
        <v>41.494252202315501</v>
      </c>
      <c r="B4946">
        <v>-115.05017995093399</v>
      </c>
      <c r="C4946" t="s">
        <v>34</v>
      </c>
      <c r="D4946">
        <v>34.294713675058503</v>
      </c>
      <c r="E4946">
        <v>9</v>
      </c>
      <c r="F4946">
        <v>4480</v>
      </c>
      <c r="G4946">
        <v>2</v>
      </c>
      <c r="H4946">
        <v>3</v>
      </c>
      <c r="I4946">
        <v>1981</v>
      </c>
      <c r="J4946">
        <v>1</v>
      </c>
      <c r="K4946">
        <v>1</v>
      </c>
      <c r="L4946">
        <v>0</v>
      </c>
      <c r="M4946">
        <v>14</v>
      </c>
      <c r="N4946" t="s">
        <v>26</v>
      </c>
      <c r="O4946" t="s">
        <v>30</v>
      </c>
      <c r="P4946">
        <v>8.39191395371091</v>
      </c>
      <c r="Q4946">
        <v>1.5248752592680499</v>
      </c>
      <c r="R4946">
        <v>9.8314161437385899</v>
      </c>
      <c r="S4946">
        <v>86</v>
      </c>
      <c r="T4946">
        <v>74</v>
      </c>
      <c r="U4946">
        <v>730.21650700420003</v>
      </c>
      <c r="V4946">
        <v>3.1250000000000002E-3</v>
      </c>
      <c r="W4946">
        <v>3614582.9988295399</v>
      </c>
      <c r="X4946" t="s">
        <v>42</v>
      </c>
      <c r="Y4946">
        <f>1-974-745-2825</f>
        <v>-4543</v>
      </c>
    </row>
    <row r="4947" spans="1:25" x14ac:dyDescent="0.35">
      <c r="A4947">
        <v>37.992529197426599</v>
      </c>
      <c r="B4947">
        <v>-114.16007889396199</v>
      </c>
      <c r="C4947" t="s">
        <v>29</v>
      </c>
      <c r="D4947">
        <v>44.495610122431998</v>
      </c>
      <c r="E4947">
        <v>1</v>
      </c>
      <c r="F4947">
        <v>4655</v>
      </c>
      <c r="G4947">
        <v>4</v>
      </c>
      <c r="H4947">
        <v>1</v>
      </c>
      <c r="I4947">
        <v>1984</v>
      </c>
      <c r="J4947">
        <v>0</v>
      </c>
      <c r="K4947">
        <v>1</v>
      </c>
      <c r="L4947">
        <v>1</v>
      </c>
      <c r="M4947">
        <v>9</v>
      </c>
      <c r="N4947" t="s">
        <v>41</v>
      </c>
      <c r="O4947" t="s">
        <v>32</v>
      </c>
      <c r="P4947">
        <v>12.0550531655871</v>
      </c>
      <c r="Q4947">
        <v>1.2698953792254399</v>
      </c>
      <c r="R4947">
        <v>1.2959567680600199</v>
      </c>
      <c r="S4947">
        <v>52</v>
      </c>
      <c r="T4947">
        <v>41</v>
      </c>
      <c r="U4947">
        <v>538.66298566164403</v>
      </c>
      <c r="V4947">
        <v>1.9334049409237301E-3</v>
      </c>
      <c r="W4947">
        <v>2886973.1460762601</v>
      </c>
      <c r="X4947" t="s">
        <v>36</v>
      </c>
      <c r="Y4947">
        <f>1-227-556-6474</f>
        <v>-7256</v>
      </c>
    </row>
    <row r="4948" spans="1:25" x14ac:dyDescent="0.35">
      <c r="A4948">
        <v>34.438904559490801</v>
      </c>
      <c r="B4948">
        <v>-123.895689091668</v>
      </c>
      <c r="C4948" t="s">
        <v>29</v>
      </c>
      <c r="D4948">
        <v>10.3811862918188</v>
      </c>
      <c r="E4948">
        <v>1</v>
      </c>
      <c r="F4948">
        <v>2206</v>
      </c>
      <c r="G4948">
        <v>5</v>
      </c>
      <c r="H4948">
        <v>2</v>
      </c>
      <c r="I4948">
        <v>2019</v>
      </c>
      <c r="J4948">
        <v>0</v>
      </c>
      <c r="K4948">
        <v>0</v>
      </c>
      <c r="L4948">
        <v>0</v>
      </c>
      <c r="M4948">
        <v>14</v>
      </c>
      <c r="N4948" t="s">
        <v>35</v>
      </c>
      <c r="O4948" t="s">
        <v>27</v>
      </c>
      <c r="P4948">
        <v>12.4914947342776</v>
      </c>
      <c r="Q4948">
        <v>2.4355285400006199</v>
      </c>
      <c r="R4948">
        <v>0.70397176967618202</v>
      </c>
      <c r="S4948">
        <v>155</v>
      </c>
      <c r="T4948">
        <v>22</v>
      </c>
      <c r="U4948">
        <v>942.27222784903802</v>
      </c>
      <c r="V4948">
        <v>6.3463281958295497E-3</v>
      </c>
      <c r="W4948">
        <v>2459325.3218211401</v>
      </c>
      <c r="X4948" t="s">
        <v>36</v>
      </c>
      <c r="Y4948">
        <f>1-913-597-9254</f>
        <v>-10763</v>
      </c>
    </row>
    <row r="4949" spans="1:25" x14ac:dyDescent="0.35">
      <c r="A4949">
        <v>33.223417689989802</v>
      </c>
      <c r="B4949">
        <v>-118.452920099122</v>
      </c>
      <c r="C4949" t="s">
        <v>29</v>
      </c>
      <c r="D4949">
        <v>1.3195767333406601</v>
      </c>
      <c r="E4949">
        <v>4</v>
      </c>
      <c r="F4949">
        <v>4565</v>
      </c>
      <c r="G4949">
        <v>5</v>
      </c>
      <c r="H4949">
        <v>2</v>
      </c>
      <c r="I4949">
        <v>2021</v>
      </c>
      <c r="J4949">
        <v>1</v>
      </c>
      <c r="K4949">
        <v>0</v>
      </c>
      <c r="L4949">
        <v>1</v>
      </c>
      <c r="M4949">
        <v>12</v>
      </c>
      <c r="N4949" t="s">
        <v>26</v>
      </c>
      <c r="O4949" t="s">
        <v>27</v>
      </c>
      <c r="P4949">
        <v>11.168863799716901</v>
      </c>
      <c r="Q4949">
        <v>0.78669382367797103</v>
      </c>
      <c r="R4949">
        <v>4.8400093013140504</v>
      </c>
      <c r="S4949">
        <v>88</v>
      </c>
      <c r="T4949">
        <v>21</v>
      </c>
      <c r="U4949">
        <v>761.55052416090302</v>
      </c>
      <c r="V4949">
        <v>2.62869660460021E-3</v>
      </c>
      <c r="W4949">
        <v>3850388.9641798199</v>
      </c>
      <c r="X4949" t="s">
        <v>42</v>
      </c>
      <c r="Y4949">
        <f>1-579-597-2703</f>
        <v>-3878</v>
      </c>
    </row>
    <row r="4950" spans="1:25" x14ac:dyDescent="0.35">
      <c r="A4950">
        <v>41.137897318435698</v>
      </c>
      <c r="B4950">
        <v>-119.968851976512</v>
      </c>
      <c r="C4950" t="s">
        <v>25</v>
      </c>
      <c r="D4950">
        <v>10.746827948918099</v>
      </c>
      <c r="E4950">
        <v>1</v>
      </c>
      <c r="F4950">
        <v>3056</v>
      </c>
      <c r="G4950">
        <v>5</v>
      </c>
      <c r="H4950">
        <v>3</v>
      </c>
      <c r="I4950">
        <v>1994</v>
      </c>
      <c r="J4950">
        <v>1</v>
      </c>
      <c r="K4950">
        <v>0</v>
      </c>
      <c r="L4950">
        <v>0</v>
      </c>
      <c r="M4950">
        <v>3</v>
      </c>
      <c r="N4950" t="s">
        <v>37</v>
      </c>
      <c r="O4950" t="s">
        <v>27</v>
      </c>
      <c r="P4950">
        <v>10.802780303538499</v>
      </c>
      <c r="Q4950">
        <v>0.86867799758504405</v>
      </c>
      <c r="R4950">
        <v>1.5908605713230599</v>
      </c>
      <c r="S4950">
        <v>61</v>
      </c>
      <c r="T4950">
        <v>36</v>
      </c>
      <c r="U4950">
        <v>429.68407293988503</v>
      </c>
      <c r="V4950">
        <v>9.8167539267015702E-4</v>
      </c>
      <c r="W4950">
        <v>1743643.6038358801</v>
      </c>
      <c r="X4950" t="s">
        <v>42</v>
      </c>
      <c r="Y4950">
        <f>1-644-236-3963</f>
        <v>-4842</v>
      </c>
    </row>
    <row r="4951" spans="1:25" x14ac:dyDescent="0.35">
      <c r="A4951">
        <v>37.574953766431904</v>
      </c>
      <c r="B4951">
        <v>-120.271700263317</v>
      </c>
      <c r="C4951" t="s">
        <v>34</v>
      </c>
      <c r="D4951">
        <v>41.6164279340408</v>
      </c>
      <c r="E4951">
        <v>7</v>
      </c>
      <c r="F4951">
        <v>1377</v>
      </c>
      <c r="G4951">
        <v>4</v>
      </c>
      <c r="H4951">
        <v>1</v>
      </c>
      <c r="I4951">
        <v>1997</v>
      </c>
      <c r="J4951">
        <v>1</v>
      </c>
      <c r="K4951">
        <v>1</v>
      </c>
      <c r="L4951">
        <v>0</v>
      </c>
      <c r="M4951">
        <v>5</v>
      </c>
      <c r="N4951" t="s">
        <v>37</v>
      </c>
      <c r="O4951" t="s">
        <v>30</v>
      </c>
      <c r="P4951">
        <v>8.9487520071643907</v>
      </c>
      <c r="Q4951">
        <v>1.24798485540965</v>
      </c>
      <c r="R4951">
        <v>7.9674769401746204</v>
      </c>
      <c r="S4951">
        <v>42</v>
      </c>
      <c r="T4951">
        <v>29</v>
      </c>
      <c r="U4951">
        <v>708.52252704448802</v>
      </c>
      <c r="V4951">
        <v>3.6310820624546099E-3</v>
      </c>
      <c r="W4951">
        <v>1296241.8924080699</v>
      </c>
      <c r="X4951" t="s">
        <v>44</v>
      </c>
      <c r="Y4951">
        <f>1-583-779-5143</f>
        <v>-6504</v>
      </c>
    </row>
    <row r="4952" spans="1:25" x14ac:dyDescent="0.35">
      <c r="A4952">
        <v>38.567149822736297</v>
      </c>
      <c r="B4952">
        <v>-114.757927475957</v>
      </c>
      <c r="C4952" t="s">
        <v>34</v>
      </c>
      <c r="D4952">
        <v>2.4000123169493799</v>
      </c>
      <c r="E4952">
        <v>6</v>
      </c>
      <c r="F4952">
        <v>4533</v>
      </c>
      <c r="G4952">
        <v>4</v>
      </c>
      <c r="H4952">
        <v>3</v>
      </c>
      <c r="I4952">
        <v>1968</v>
      </c>
      <c r="J4952">
        <v>0</v>
      </c>
      <c r="K4952">
        <v>0</v>
      </c>
      <c r="L4952">
        <v>1</v>
      </c>
      <c r="M4952">
        <v>14</v>
      </c>
      <c r="N4952" t="s">
        <v>41</v>
      </c>
      <c r="O4952" t="s">
        <v>27</v>
      </c>
      <c r="P4952">
        <v>4.5256326539669596</v>
      </c>
      <c r="Q4952">
        <v>2.0305879141883301</v>
      </c>
      <c r="R4952">
        <v>5.1663327728653003</v>
      </c>
      <c r="S4952">
        <v>62</v>
      </c>
      <c r="T4952">
        <v>67</v>
      </c>
      <c r="U4952">
        <v>827.52475355111596</v>
      </c>
      <c r="V4952">
        <v>3.0884623869402101E-3</v>
      </c>
      <c r="W4952">
        <v>3993760.2129058801</v>
      </c>
      <c r="X4952" t="s">
        <v>33</v>
      </c>
      <c r="Y4952">
        <f>1-489-135-5331</f>
        <v>-5954</v>
      </c>
    </row>
    <row r="4953" spans="1:25" x14ac:dyDescent="0.35">
      <c r="A4953">
        <v>40.8633743705984</v>
      </c>
      <c r="B4953">
        <v>-122.82080617855399</v>
      </c>
      <c r="C4953" t="s">
        <v>25</v>
      </c>
      <c r="D4953">
        <v>21.106447965943602</v>
      </c>
      <c r="E4953">
        <v>7</v>
      </c>
      <c r="F4953">
        <v>2083</v>
      </c>
      <c r="G4953">
        <v>3</v>
      </c>
      <c r="H4953">
        <v>1</v>
      </c>
      <c r="I4953">
        <v>1982</v>
      </c>
      <c r="J4953">
        <v>0</v>
      </c>
      <c r="K4953">
        <v>1</v>
      </c>
      <c r="L4953">
        <v>1</v>
      </c>
      <c r="M4953">
        <v>5</v>
      </c>
      <c r="N4953" t="s">
        <v>37</v>
      </c>
      <c r="O4953" t="s">
        <v>30</v>
      </c>
      <c r="P4953">
        <v>11.9939705456644</v>
      </c>
      <c r="Q4953">
        <v>1.93230201962563</v>
      </c>
      <c r="R4953">
        <v>8.4782197336768697</v>
      </c>
      <c r="S4953">
        <v>93</v>
      </c>
      <c r="T4953">
        <v>71</v>
      </c>
      <c r="U4953">
        <v>788.09646365361402</v>
      </c>
      <c r="V4953">
        <v>2.4003840614498298E-3</v>
      </c>
      <c r="W4953">
        <v>2006719.2115043399</v>
      </c>
      <c r="X4953" t="s">
        <v>40</v>
      </c>
      <c r="Y4953">
        <f>1-260-683-9666</f>
        <v>-10608</v>
      </c>
    </row>
    <row r="4954" spans="1:25" x14ac:dyDescent="0.35">
      <c r="A4954">
        <v>34.644046786925003</v>
      </c>
      <c r="B4954">
        <v>-122.799223072221</v>
      </c>
      <c r="C4954" t="s">
        <v>25</v>
      </c>
      <c r="D4954">
        <v>45.979670135159303</v>
      </c>
      <c r="E4954">
        <v>5</v>
      </c>
      <c r="F4954">
        <v>3223</v>
      </c>
      <c r="G4954">
        <v>4</v>
      </c>
      <c r="H4954">
        <v>3</v>
      </c>
      <c r="I4954">
        <v>1998</v>
      </c>
      <c r="J4954">
        <v>1</v>
      </c>
      <c r="K4954">
        <v>0</v>
      </c>
      <c r="L4954">
        <v>0</v>
      </c>
      <c r="M4954">
        <v>7</v>
      </c>
      <c r="N4954" t="s">
        <v>35</v>
      </c>
      <c r="O4954" t="s">
        <v>27</v>
      </c>
      <c r="P4954">
        <v>7.9016782600355997</v>
      </c>
      <c r="Q4954">
        <v>2.4203188059273999</v>
      </c>
      <c r="R4954">
        <v>3.0336102814030999</v>
      </c>
      <c r="S4954">
        <v>122</v>
      </c>
      <c r="T4954">
        <v>50</v>
      </c>
      <c r="U4954">
        <v>619.76488545998404</v>
      </c>
      <c r="V4954">
        <v>2.17188954390319E-3</v>
      </c>
      <c r="W4954">
        <v>2396088.2768850802</v>
      </c>
      <c r="X4954" t="s">
        <v>39</v>
      </c>
      <c r="Y4954">
        <f>1-439-809-5224</f>
        <v>-6471</v>
      </c>
    </row>
    <row r="4955" spans="1:25" x14ac:dyDescent="0.35">
      <c r="A4955">
        <v>35.068670972960298</v>
      </c>
      <c r="B4955">
        <v>-114.936503563627</v>
      </c>
      <c r="C4955" t="s">
        <v>29</v>
      </c>
      <c r="D4955">
        <v>37.178236545644197</v>
      </c>
      <c r="E4955">
        <v>9</v>
      </c>
      <c r="F4955">
        <v>989</v>
      </c>
      <c r="G4955">
        <v>3</v>
      </c>
      <c r="H4955">
        <v>3</v>
      </c>
      <c r="I4955">
        <v>1997</v>
      </c>
      <c r="J4955">
        <v>0</v>
      </c>
      <c r="K4955">
        <v>1</v>
      </c>
      <c r="L4955">
        <v>1</v>
      </c>
      <c r="M4955">
        <v>10</v>
      </c>
      <c r="N4955" t="s">
        <v>26</v>
      </c>
      <c r="O4955" t="s">
        <v>30</v>
      </c>
      <c r="P4955">
        <v>7.7678249692238301</v>
      </c>
      <c r="Q4955">
        <v>1.6906759285972801</v>
      </c>
      <c r="R4955">
        <v>3.1539882298844901</v>
      </c>
      <c r="S4955">
        <v>127</v>
      </c>
      <c r="T4955">
        <v>63</v>
      </c>
      <c r="U4955">
        <v>925.26879643498705</v>
      </c>
      <c r="V4955">
        <v>1.01112234580384E-2</v>
      </c>
      <c r="W4955">
        <v>1355699.1672185599</v>
      </c>
      <c r="X4955" t="s">
        <v>38</v>
      </c>
      <c r="Y4955">
        <f>1-857-417-2082</f>
        <v>-3355</v>
      </c>
    </row>
    <row r="4956" spans="1:25" x14ac:dyDescent="0.35">
      <c r="A4956">
        <v>32.805297660482097</v>
      </c>
      <c r="B4956">
        <v>-117.492200624817</v>
      </c>
      <c r="C4956" t="s">
        <v>34</v>
      </c>
      <c r="D4956">
        <v>29.0302374124824</v>
      </c>
      <c r="E4956">
        <v>0</v>
      </c>
      <c r="F4956">
        <v>3342</v>
      </c>
      <c r="G4956">
        <v>1</v>
      </c>
      <c r="H4956">
        <v>2</v>
      </c>
      <c r="I4956">
        <v>1955</v>
      </c>
      <c r="J4956">
        <v>0</v>
      </c>
      <c r="K4956">
        <v>1</v>
      </c>
      <c r="L4956">
        <v>0</v>
      </c>
      <c r="M4956">
        <v>8</v>
      </c>
      <c r="N4956" t="s">
        <v>37</v>
      </c>
      <c r="O4956" t="s">
        <v>30</v>
      </c>
      <c r="P4956">
        <v>7.0353453926656702</v>
      </c>
      <c r="Q4956">
        <v>2.2103632102331301</v>
      </c>
      <c r="R4956">
        <v>0.66361367588186004</v>
      </c>
      <c r="S4956">
        <v>196</v>
      </c>
      <c r="T4956">
        <v>38</v>
      </c>
      <c r="U4956">
        <v>260.95502041960299</v>
      </c>
      <c r="V4956">
        <v>2.3937761819269798E-3</v>
      </c>
      <c r="W4956">
        <v>1029702.8166368901</v>
      </c>
      <c r="X4956" t="s">
        <v>39</v>
      </c>
      <c r="Y4956">
        <f>1-724-886-5935</f>
        <v>-7544</v>
      </c>
    </row>
    <row r="4957" spans="1:25" x14ac:dyDescent="0.35">
      <c r="A4957">
        <v>35.738849912222001</v>
      </c>
      <c r="B4957">
        <v>-118.658282048293</v>
      </c>
      <c r="C4957" t="s">
        <v>29</v>
      </c>
      <c r="D4957">
        <v>9.3623404873751994</v>
      </c>
      <c r="E4957">
        <v>7</v>
      </c>
      <c r="F4957">
        <v>4217</v>
      </c>
      <c r="G4957">
        <v>1</v>
      </c>
      <c r="H4957">
        <v>1</v>
      </c>
      <c r="I4957">
        <v>1957</v>
      </c>
      <c r="J4957">
        <v>0</v>
      </c>
      <c r="K4957">
        <v>1</v>
      </c>
      <c r="L4957">
        <v>0</v>
      </c>
      <c r="M4957">
        <v>6</v>
      </c>
      <c r="N4957" t="s">
        <v>41</v>
      </c>
      <c r="O4957" t="s">
        <v>32</v>
      </c>
      <c r="P4957">
        <v>3.3532170823277601</v>
      </c>
      <c r="Q4957">
        <v>2.2728161490497598</v>
      </c>
      <c r="R4957">
        <v>2.9190896214842499</v>
      </c>
      <c r="S4957">
        <v>49</v>
      </c>
      <c r="T4957">
        <v>66</v>
      </c>
      <c r="U4957">
        <v>470.711143912544</v>
      </c>
      <c r="V4957">
        <v>1.4228124258951801E-3</v>
      </c>
      <c r="W4957">
        <v>2102828.70136713</v>
      </c>
      <c r="X4957" t="s">
        <v>42</v>
      </c>
      <c r="Y4957">
        <f>1-473-310-8848</f>
        <v>-9630</v>
      </c>
    </row>
    <row r="4958" spans="1:25" x14ac:dyDescent="0.35">
      <c r="A4958">
        <v>36.7221934020059</v>
      </c>
      <c r="B4958">
        <v>-118.650647285715</v>
      </c>
      <c r="C4958" t="s">
        <v>34</v>
      </c>
      <c r="D4958">
        <v>11.0899261171328</v>
      </c>
      <c r="E4958">
        <v>3</v>
      </c>
      <c r="F4958">
        <v>685</v>
      </c>
      <c r="G4958">
        <v>2</v>
      </c>
      <c r="H4958">
        <v>3</v>
      </c>
      <c r="I4958">
        <v>1984</v>
      </c>
      <c r="J4958">
        <v>1</v>
      </c>
      <c r="K4958">
        <v>1</v>
      </c>
      <c r="L4958">
        <v>0</v>
      </c>
      <c r="M4958">
        <v>7</v>
      </c>
      <c r="N4958" t="s">
        <v>26</v>
      </c>
      <c r="O4958" t="s">
        <v>32</v>
      </c>
      <c r="P4958">
        <v>13.5939180003591</v>
      </c>
      <c r="Q4958">
        <v>1.5019971233827101</v>
      </c>
      <c r="R4958">
        <v>6.7232784270317101</v>
      </c>
      <c r="S4958">
        <v>71</v>
      </c>
      <c r="T4958">
        <v>73</v>
      </c>
      <c r="U4958">
        <v>985.44304595267795</v>
      </c>
      <c r="V4958">
        <v>1.02189781021897E-2</v>
      </c>
      <c r="W4958">
        <v>1062068.4856426499</v>
      </c>
      <c r="X4958" t="s">
        <v>28</v>
      </c>
      <c r="Y4958">
        <f>1-221-451-2568</f>
        <v>-3239</v>
      </c>
    </row>
    <row r="4959" spans="1:25" x14ac:dyDescent="0.35">
      <c r="A4959">
        <v>36.5570677860686</v>
      </c>
      <c r="B4959">
        <v>-117.74232667198601</v>
      </c>
      <c r="C4959" t="s">
        <v>25</v>
      </c>
      <c r="D4959">
        <v>41.229335546622998</v>
      </c>
      <c r="E4959">
        <v>6</v>
      </c>
      <c r="F4959">
        <v>506</v>
      </c>
      <c r="G4959">
        <v>4</v>
      </c>
      <c r="H4959">
        <v>2</v>
      </c>
      <c r="I4959">
        <v>2011</v>
      </c>
      <c r="J4959">
        <v>1</v>
      </c>
      <c r="K4959">
        <v>1</v>
      </c>
      <c r="L4959">
        <v>0</v>
      </c>
      <c r="M4959">
        <v>13</v>
      </c>
      <c r="N4959" t="s">
        <v>35</v>
      </c>
      <c r="O4959" t="s">
        <v>30</v>
      </c>
      <c r="P4959">
        <v>12.249538633981</v>
      </c>
      <c r="Q4959">
        <v>2.0655670160363502</v>
      </c>
      <c r="R4959">
        <v>6.6766808141643397</v>
      </c>
      <c r="S4959">
        <v>59</v>
      </c>
      <c r="T4959">
        <v>39</v>
      </c>
      <c r="U4959">
        <v>506.75580600630099</v>
      </c>
      <c r="V4959">
        <v>2.5691699604743001E-2</v>
      </c>
      <c r="W4959">
        <v>722468.14271647797</v>
      </c>
      <c r="X4959" t="s">
        <v>40</v>
      </c>
      <c r="Y4959">
        <f>1-218-580-3094</f>
        <v>-3891</v>
      </c>
    </row>
    <row r="4960" spans="1:25" x14ac:dyDescent="0.35">
      <c r="A4960">
        <v>35.872580293130099</v>
      </c>
      <c r="B4960">
        <v>-121.956909011004</v>
      </c>
      <c r="C4960" t="s">
        <v>34</v>
      </c>
      <c r="D4960">
        <v>16.168401534577601</v>
      </c>
      <c r="E4960">
        <v>9</v>
      </c>
      <c r="F4960">
        <v>3219</v>
      </c>
      <c r="G4960">
        <v>4</v>
      </c>
      <c r="H4960">
        <v>3</v>
      </c>
      <c r="I4960">
        <v>2016</v>
      </c>
      <c r="J4960">
        <v>1</v>
      </c>
      <c r="K4960">
        <v>1</v>
      </c>
      <c r="L4960">
        <v>0</v>
      </c>
      <c r="M4960">
        <v>12</v>
      </c>
      <c r="N4960" t="s">
        <v>26</v>
      </c>
      <c r="O4960" t="s">
        <v>32</v>
      </c>
      <c r="P4960">
        <v>3.7323344181738598</v>
      </c>
      <c r="Q4960">
        <v>2.0333093634068198</v>
      </c>
      <c r="R4960">
        <v>7.5076700545206299</v>
      </c>
      <c r="S4960">
        <v>121</v>
      </c>
      <c r="T4960">
        <v>60</v>
      </c>
      <c r="U4960">
        <v>234.219372826761</v>
      </c>
      <c r="V4960">
        <v>3.72786579683131E-3</v>
      </c>
      <c r="W4960">
        <v>1107686.1821851099</v>
      </c>
      <c r="X4960" t="s">
        <v>40</v>
      </c>
      <c r="Y4960">
        <f>1-281-888-6520</f>
        <v>-7688</v>
      </c>
    </row>
    <row r="4961" spans="1:25" x14ac:dyDescent="0.35">
      <c r="A4961">
        <v>38.361508787954698</v>
      </c>
      <c r="B4961">
        <v>-115.85976787308</v>
      </c>
      <c r="C4961" t="s">
        <v>29</v>
      </c>
      <c r="D4961">
        <v>2.6886211375109101</v>
      </c>
      <c r="E4961">
        <v>1</v>
      </c>
      <c r="F4961">
        <v>2838</v>
      </c>
      <c r="G4961">
        <v>1</v>
      </c>
      <c r="H4961">
        <v>1</v>
      </c>
      <c r="I4961">
        <v>1999</v>
      </c>
      <c r="J4961">
        <v>0</v>
      </c>
      <c r="K4961">
        <v>1</v>
      </c>
      <c r="L4961">
        <v>0</v>
      </c>
      <c r="M4961">
        <v>11</v>
      </c>
      <c r="N4961" t="s">
        <v>37</v>
      </c>
      <c r="O4961" t="s">
        <v>32</v>
      </c>
      <c r="P4961">
        <v>3.4693291576363698</v>
      </c>
      <c r="Q4961">
        <v>2.1584266662440599</v>
      </c>
      <c r="R4961">
        <v>5.7109946957792603</v>
      </c>
      <c r="S4961">
        <v>124</v>
      </c>
      <c r="T4961">
        <v>52</v>
      </c>
      <c r="U4961">
        <v>270.106608092849</v>
      </c>
      <c r="V4961">
        <v>3.8759689922480598E-3</v>
      </c>
      <c r="W4961">
        <v>933832.65292477002</v>
      </c>
      <c r="X4961" t="s">
        <v>31</v>
      </c>
      <c r="Y4961">
        <f>1-835-861-1241</f>
        <v>-2936</v>
      </c>
    </row>
    <row r="4962" spans="1:25" x14ac:dyDescent="0.35">
      <c r="A4962">
        <v>36.348855466271097</v>
      </c>
      <c r="B4962">
        <v>-116.548861498734</v>
      </c>
      <c r="C4962" t="s">
        <v>29</v>
      </c>
      <c r="D4962">
        <v>21.0398973058705</v>
      </c>
      <c r="E4962">
        <v>1</v>
      </c>
      <c r="F4962">
        <v>1125</v>
      </c>
      <c r="G4962">
        <v>2</v>
      </c>
      <c r="H4962">
        <v>1</v>
      </c>
      <c r="I4962">
        <v>1996</v>
      </c>
      <c r="J4962">
        <v>0</v>
      </c>
      <c r="K4962">
        <v>0</v>
      </c>
      <c r="L4962">
        <v>0</v>
      </c>
      <c r="M4962">
        <v>10</v>
      </c>
      <c r="N4962" t="s">
        <v>37</v>
      </c>
      <c r="O4962" t="s">
        <v>27</v>
      </c>
      <c r="P4962">
        <v>12.8442687464901</v>
      </c>
      <c r="Q4962">
        <v>2.1961086998035402</v>
      </c>
      <c r="R4962">
        <v>5.1936882686372696</v>
      </c>
      <c r="S4962">
        <v>152</v>
      </c>
      <c r="T4962">
        <v>73</v>
      </c>
      <c r="U4962">
        <v>492.75764353571498</v>
      </c>
      <c r="V4962">
        <v>8.8888888888888802E-3</v>
      </c>
      <c r="W4962">
        <v>752594.61120705295</v>
      </c>
      <c r="X4962" t="s">
        <v>38</v>
      </c>
      <c r="Y4962">
        <f>1-486-892-9838</f>
        <v>-11215</v>
      </c>
    </row>
    <row r="4963" spans="1:25" x14ac:dyDescent="0.35">
      <c r="A4963">
        <v>34.484119538956001</v>
      </c>
      <c r="B4963">
        <v>-119.945589242474</v>
      </c>
      <c r="C4963" t="s">
        <v>34</v>
      </c>
      <c r="D4963">
        <v>48.793500635857399</v>
      </c>
      <c r="E4963">
        <v>0</v>
      </c>
      <c r="F4963">
        <v>2590</v>
      </c>
      <c r="G4963">
        <v>5</v>
      </c>
      <c r="H4963">
        <v>1</v>
      </c>
      <c r="I4963">
        <v>2014</v>
      </c>
      <c r="J4963">
        <v>1</v>
      </c>
      <c r="K4963">
        <v>0</v>
      </c>
      <c r="L4963">
        <v>1</v>
      </c>
      <c r="M4963">
        <v>3</v>
      </c>
      <c r="N4963" t="s">
        <v>37</v>
      </c>
      <c r="O4963" t="s">
        <v>30</v>
      </c>
      <c r="P4963">
        <v>9.1206239701244698</v>
      </c>
      <c r="Q4963">
        <v>1.5713809717470799</v>
      </c>
      <c r="R4963">
        <v>0.62523305214193603</v>
      </c>
      <c r="S4963">
        <v>1</v>
      </c>
      <c r="T4963">
        <v>33</v>
      </c>
      <c r="U4963">
        <v>666.19825062276902</v>
      </c>
      <c r="V4963">
        <v>1.15830115830115E-3</v>
      </c>
      <c r="W4963">
        <v>2185775.5558969602</v>
      </c>
      <c r="X4963" t="s">
        <v>40</v>
      </c>
      <c r="Y4963">
        <f>1-391-979-9795</f>
        <v>-11164</v>
      </c>
    </row>
    <row r="4964" spans="1:25" x14ac:dyDescent="0.35">
      <c r="A4964">
        <v>41.301070385674102</v>
      </c>
      <c r="B4964">
        <v>-120.194058948478</v>
      </c>
      <c r="C4964" t="s">
        <v>29</v>
      </c>
      <c r="D4964">
        <v>29.008098513476501</v>
      </c>
      <c r="E4964">
        <v>6</v>
      </c>
      <c r="F4964">
        <v>1661</v>
      </c>
      <c r="G4964">
        <v>3</v>
      </c>
      <c r="H4964">
        <v>1</v>
      </c>
      <c r="I4964">
        <v>2016</v>
      </c>
      <c r="J4964">
        <v>1</v>
      </c>
      <c r="K4964">
        <v>0</v>
      </c>
      <c r="L4964">
        <v>1</v>
      </c>
      <c r="M4964">
        <v>8</v>
      </c>
      <c r="N4964" t="s">
        <v>41</v>
      </c>
      <c r="O4964" t="s">
        <v>27</v>
      </c>
      <c r="P4964">
        <v>9.4767065352014797</v>
      </c>
      <c r="Q4964">
        <v>0.82040820488506605</v>
      </c>
      <c r="R4964">
        <v>7.2375971192067503</v>
      </c>
      <c r="S4964">
        <v>1</v>
      </c>
      <c r="T4964">
        <v>76</v>
      </c>
      <c r="U4964">
        <v>560.32052968674998</v>
      </c>
      <c r="V4964">
        <v>4.8163756773028296E-3</v>
      </c>
      <c r="W4964">
        <v>1262796.8249141199</v>
      </c>
      <c r="X4964" t="s">
        <v>40</v>
      </c>
      <c r="Y4964">
        <f>1-780-633-8125</f>
        <v>-9537</v>
      </c>
    </row>
    <row r="4965" spans="1:25" x14ac:dyDescent="0.35">
      <c r="A4965">
        <v>39.5758498647265</v>
      </c>
      <c r="B4965">
        <v>-119.517721789284</v>
      </c>
      <c r="C4965" t="s">
        <v>25</v>
      </c>
      <c r="D4965">
        <v>1.90785057352494</v>
      </c>
      <c r="E4965">
        <v>0</v>
      </c>
      <c r="F4965">
        <v>2634</v>
      </c>
      <c r="G4965">
        <v>2</v>
      </c>
      <c r="H4965">
        <v>2</v>
      </c>
      <c r="I4965">
        <v>1952</v>
      </c>
      <c r="J4965">
        <v>1</v>
      </c>
      <c r="K4965">
        <v>1</v>
      </c>
      <c r="L4965">
        <v>1</v>
      </c>
      <c r="M4965">
        <v>7</v>
      </c>
      <c r="N4965" t="s">
        <v>41</v>
      </c>
      <c r="O4965" t="s">
        <v>32</v>
      </c>
      <c r="P4965">
        <v>2.9288656834647502</v>
      </c>
      <c r="Q4965">
        <v>2.1112567348211599</v>
      </c>
      <c r="R4965">
        <v>2.2436387731979899</v>
      </c>
      <c r="S4965">
        <v>100</v>
      </c>
      <c r="T4965">
        <v>22</v>
      </c>
      <c r="U4965">
        <v>427.813675672128</v>
      </c>
      <c r="V4965">
        <v>2.6575550493545901E-3</v>
      </c>
      <c r="W4965">
        <v>1316397.4099693301</v>
      </c>
      <c r="X4965" t="s">
        <v>39</v>
      </c>
      <c r="Y4965">
        <f>1-617-880-5187</f>
        <v>-6683</v>
      </c>
    </row>
    <row r="4966" spans="1:25" x14ac:dyDescent="0.35">
      <c r="A4966">
        <v>37.098810957819303</v>
      </c>
      <c r="B4966">
        <v>-122.86205620378</v>
      </c>
      <c r="C4966" t="s">
        <v>34</v>
      </c>
      <c r="D4966">
        <v>37.585752370433497</v>
      </c>
      <c r="E4966">
        <v>9</v>
      </c>
      <c r="F4966">
        <v>1830</v>
      </c>
      <c r="G4966">
        <v>3</v>
      </c>
      <c r="H4966">
        <v>2</v>
      </c>
      <c r="I4966">
        <v>1952</v>
      </c>
      <c r="J4966">
        <v>1</v>
      </c>
      <c r="K4966">
        <v>0</v>
      </c>
      <c r="L4966">
        <v>1</v>
      </c>
      <c r="M4966">
        <v>2</v>
      </c>
      <c r="N4966" t="s">
        <v>35</v>
      </c>
      <c r="O4966" t="s">
        <v>32</v>
      </c>
      <c r="P4966">
        <v>13.2792942496501</v>
      </c>
      <c r="Q4966">
        <v>0.92444233071752202</v>
      </c>
      <c r="R4966">
        <v>7.6227302986135603</v>
      </c>
      <c r="S4966">
        <v>160</v>
      </c>
      <c r="T4966">
        <v>53</v>
      </c>
      <c r="U4966">
        <v>453.64748768619899</v>
      </c>
      <c r="V4966">
        <v>1.09289617486338E-3</v>
      </c>
      <c r="W4966">
        <v>1114351.05861497</v>
      </c>
      <c r="X4966" t="s">
        <v>42</v>
      </c>
      <c r="Y4966">
        <f>1-616-129-6399</f>
        <v>-7143</v>
      </c>
    </row>
    <row r="4967" spans="1:25" x14ac:dyDescent="0.35">
      <c r="A4967">
        <v>39.1368588980854</v>
      </c>
      <c r="B4967">
        <v>-114.477976552104</v>
      </c>
      <c r="C4967" t="s">
        <v>34</v>
      </c>
      <c r="D4967">
        <v>40.967957010722003</v>
      </c>
      <c r="E4967">
        <v>7</v>
      </c>
      <c r="F4967">
        <v>3593</v>
      </c>
      <c r="G4967">
        <v>5</v>
      </c>
      <c r="H4967">
        <v>2</v>
      </c>
      <c r="I4967">
        <v>1979</v>
      </c>
      <c r="J4967">
        <v>0</v>
      </c>
      <c r="K4967">
        <v>1</v>
      </c>
      <c r="L4967">
        <v>0</v>
      </c>
      <c r="M4967">
        <v>9</v>
      </c>
      <c r="N4967" t="s">
        <v>35</v>
      </c>
      <c r="O4967" t="s">
        <v>30</v>
      </c>
      <c r="P4967">
        <v>11.0897878020949</v>
      </c>
      <c r="Q4967">
        <v>1.2586724147747701</v>
      </c>
      <c r="R4967">
        <v>0.41250003140320002</v>
      </c>
      <c r="S4967">
        <v>13</v>
      </c>
      <c r="T4967">
        <v>71</v>
      </c>
      <c r="U4967">
        <v>666.80582142710296</v>
      </c>
      <c r="V4967">
        <v>2.5048705816866101E-3</v>
      </c>
      <c r="W4967">
        <v>2813729.9274021001</v>
      </c>
      <c r="X4967" t="s">
        <v>31</v>
      </c>
      <c r="Y4967">
        <f>1-761-306-9102</f>
        <v>-10168</v>
      </c>
    </row>
    <row r="4968" spans="1:25" x14ac:dyDescent="0.35">
      <c r="A4968">
        <v>32.778069471115202</v>
      </c>
      <c r="B4968">
        <v>-115.409960185061</v>
      </c>
      <c r="C4968" t="s">
        <v>34</v>
      </c>
      <c r="D4968">
        <v>4.0817983720435702</v>
      </c>
      <c r="E4968">
        <v>2</v>
      </c>
      <c r="F4968">
        <v>3704</v>
      </c>
      <c r="G4968">
        <v>5</v>
      </c>
      <c r="H4968">
        <v>3</v>
      </c>
      <c r="I4968">
        <v>2009</v>
      </c>
      <c r="J4968">
        <v>1</v>
      </c>
      <c r="K4968">
        <v>1</v>
      </c>
      <c r="L4968">
        <v>1</v>
      </c>
      <c r="M4968">
        <v>12</v>
      </c>
      <c r="N4968" t="s">
        <v>37</v>
      </c>
      <c r="O4968" t="s">
        <v>27</v>
      </c>
      <c r="P4968">
        <v>8.0339581038829007</v>
      </c>
      <c r="Q4968">
        <v>0.76597559136496396</v>
      </c>
      <c r="R4968">
        <v>0.91246790636951902</v>
      </c>
      <c r="S4968">
        <v>80</v>
      </c>
      <c r="T4968">
        <v>69</v>
      </c>
      <c r="U4968">
        <v>354.03969089115799</v>
      </c>
      <c r="V4968">
        <v>3.2397408207343399E-3</v>
      </c>
      <c r="W4968">
        <v>1929156.72578262</v>
      </c>
      <c r="X4968" t="s">
        <v>36</v>
      </c>
      <c r="Y4968">
        <f>1-848-560-6154</f>
        <v>-7561</v>
      </c>
    </row>
    <row r="4969" spans="1:25" x14ac:dyDescent="0.35">
      <c r="A4969">
        <v>36.311497932467098</v>
      </c>
      <c r="B4969">
        <v>-121.548401219841</v>
      </c>
      <c r="C4969" t="s">
        <v>25</v>
      </c>
      <c r="D4969">
        <v>21.091973485042999</v>
      </c>
      <c r="E4969">
        <v>5</v>
      </c>
      <c r="F4969">
        <v>2703</v>
      </c>
      <c r="G4969">
        <v>4</v>
      </c>
      <c r="H4969">
        <v>3</v>
      </c>
      <c r="I4969">
        <v>2006</v>
      </c>
      <c r="J4969">
        <v>0</v>
      </c>
      <c r="K4969">
        <v>0</v>
      </c>
      <c r="L4969">
        <v>0</v>
      </c>
      <c r="M4969">
        <v>13</v>
      </c>
      <c r="N4969" t="s">
        <v>35</v>
      </c>
      <c r="O4969" t="s">
        <v>30</v>
      </c>
      <c r="P4969">
        <v>3.0208807975224201</v>
      </c>
      <c r="Q4969">
        <v>2.1237086698750902</v>
      </c>
      <c r="R4969">
        <v>9.7059207558052094</v>
      </c>
      <c r="S4969">
        <v>102</v>
      </c>
      <c r="T4969">
        <v>45</v>
      </c>
      <c r="U4969">
        <v>735.48026971313197</v>
      </c>
      <c r="V4969">
        <v>4.8094709581945902E-3</v>
      </c>
      <c r="W4969">
        <v>2195032.1316631101</v>
      </c>
      <c r="X4969" t="s">
        <v>38</v>
      </c>
      <c r="Y4969">
        <f>1-228-993-5598</f>
        <v>-6818</v>
      </c>
    </row>
    <row r="4970" spans="1:25" x14ac:dyDescent="0.35">
      <c r="A4970">
        <v>39.072647084450303</v>
      </c>
      <c r="B4970">
        <v>-118.76430399611399</v>
      </c>
      <c r="C4970" t="s">
        <v>34</v>
      </c>
      <c r="D4970">
        <v>4.8986719093451301</v>
      </c>
      <c r="E4970">
        <v>4</v>
      </c>
      <c r="F4970">
        <v>2648</v>
      </c>
      <c r="G4970">
        <v>4</v>
      </c>
      <c r="H4970">
        <v>2</v>
      </c>
      <c r="I4970">
        <v>2021</v>
      </c>
      <c r="J4970">
        <v>0</v>
      </c>
      <c r="K4970">
        <v>1</v>
      </c>
      <c r="L4970">
        <v>1</v>
      </c>
      <c r="M4970">
        <v>5</v>
      </c>
      <c r="N4970" t="s">
        <v>41</v>
      </c>
      <c r="O4970" t="s">
        <v>30</v>
      </c>
      <c r="P4970">
        <v>6.01211989171086</v>
      </c>
      <c r="Q4970">
        <v>0.68606233701476405</v>
      </c>
      <c r="R4970">
        <v>5.7478841818343103</v>
      </c>
      <c r="S4970">
        <v>129</v>
      </c>
      <c r="T4970">
        <v>58</v>
      </c>
      <c r="U4970">
        <v>669.06134060604904</v>
      </c>
      <c r="V4970">
        <v>1.8882175226586099E-3</v>
      </c>
      <c r="W4970">
        <v>2279016.2897115499</v>
      </c>
      <c r="X4970" t="s">
        <v>33</v>
      </c>
      <c r="Y4970">
        <f>1-329-100-8852</f>
        <v>-9280</v>
      </c>
    </row>
    <row r="4971" spans="1:25" x14ac:dyDescent="0.35">
      <c r="A4971">
        <v>39.506456808824403</v>
      </c>
      <c r="B4971">
        <v>-123.09939746934199</v>
      </c>
      <c r="C4971" t="s">
        <v>34</v>
      </c>
      <c r="D4971">
        <v>44.084029919471902</v>
      </c>
      <c r="E4971">
        <v>2</v>
      </c>
      <c r="F4971">
        <v>4662</v>
      </c>
      <c r="G4971">
        <v>3</v>
      </c>
      <c r="H4971">
        <v>3</v>
      </c>
      <c r="I4971">
        <v>1995</v>
      </c>
      <c r="J4971">
        <v>1</v>
      </c>
      <c r="K4971">
        <v>1</v>
      </c>
      <c r="L4971">
        <v>0</v>
      </c>
      <c r="M4971">
        <v>11</v>
      </c>
      <c r="N4971" t="s">
        <v>37</v>
      </c>
      <c r="O4971" t="s">
        <v>27</v>
      </c>
      <c r="P4971">
        <v>9.4822634319705603</v>
      </c>
      <c r="Q4971">
        <v>1.1002256455177899</v>
      </c>
      <c r="R4971">
        <v>6.0928685356705001</v>
      </c>
      <c r="S4971">
        <v>124</v>
      </c>
      <c r="T4971">
        <v>45</v>
      </c>
      <c r="U4971">
        <v>335.55954867925101</v>
      </c>
      <c r="V4971">
        <v>2.3595023595023501E-3</v>
      </c>
      <c r="W4971">
        <v>1905640.9817114701</v>
      </c>
      <c r="X4971" t="s">
        <v>28</v>
      </c>
      <c r="Y4971">
        <f>1-848-426-8673</f>
        <v>-9946</v>
      </c>
    </row>
    <row r="4972" spans="1:25" x14ac:dyDescent="0.35">
      <c r="A4972">
        <v>40.995122527279896</v>
      </c>
      <c r="B4972">
        <v>-123.997008647524</v>
      </c>
      <c r="C4972" t="s">
        <v>34</v>
      </c>
      <c r="D4972">
        <v>8.9606582501069703</v>
      </c>
      <c r="E4972">
        <v>7</v>
      </c>
      <c r="F4972">
        <v>4141</v>
      </c>
      <c r="G4972">
        <v>1</v>
      </c>
      <c r="H4972">
        <v>2</v>
      </c>
      <c r="I4972">
        <v>1983</v>
      </c>
      <c r="J4972">
        <v>1</v>
      </c>
      <c r="K4972">
        <v>1</v>
      </c>
      <c r="L4972">
        <v>1</v>
      </c>
      <c r="M4972">
        <v>14</v>
      </c>
      <c r="N4972" t="s">
        <v>37</v>
      </c>
      <c r="O4972" t="s">
        <v>27</v>
      </c>
      <c r="P4972">
        <v>13.949505981938</v>
      </c>
      <c r="Q4972">
        <v>1.9964319307271201</v>
      </c>
      <c r="R4972">
        <v>2.7146353612837402</v>
      </c>
      <c r="S4972">
        <v>183</v>
      </c>
      <c r="T4972">
        <v>28</v>
      </c>
      <c r="U4972">
        <v>657.82330644093201</v>
      </c>
      <c r="V4972">
        <v>3.3808258874667898E-3</v>
      </c>
      <c r="W4972">
        <v>2946070.05135688</v>
      </c>
      <c r="X4972" t="s">
        <v>33</v>
      </c>
      <c r="Y4972">
        <f>1-485-588-7100</f>
        <v>-8172</v>
      </c>
    </row>
    <row r="4973" spans="1:25" x14ac:dyDescent="0.35">
      <c r="A4973">
        <v>40.841436110682999</v>
      </c>
      <c r="B4973">
        <v>-115.17769007878501</v>
      </c>
      <c r="C4973" t="s">
        <v>34</v>
      </c>
      <c r="D4973">
        <v>35.315064051183299</v>
      </c>
      <c r="E4973">
        <v>0</v>
      </c>
      <c r="F4973">
        <v>2212</v>
      </c>
      <c r="G4973">
        <v>4</v>
      </c>
      <c r="H4973">
        <v>2</v>
      </c>
      <c r="I4973">
        <v>1974</v>
      </c>
      <c r="J4973">
        <v>0</v>
      </c>
      <c r="K4973">
        <v>0</v>
      </c>
      <c r="L4973">
        <v>0</v>
      </c>
      <c r="M4973">
        <v>4</v>
      </c>
      <c r="N4973" t="s">
        <v>41</v>
      </c>
      <c r="O4973" t="s">
        <v>30</v>
      </c>
      <c r="P4973">
        <v>6.4246433544854602</v>
      </c>
      <c r="Q4973">
        <v>2.3496725099848401</v>
      </c>
      <c r="R4973">
        <v>3.8402656976929599</v>
      </c>
      <c r="S4973">
        <v>108</v>
      </c>
      <c r="T4973">
        <v>49</v>
      </c>
      <c r="U4973">
        <v>515.35254355538302</v>
      </c>
      <c r="V4973">
        <v>1.80831826401446E-3</v>
      </c>
      <c r="W4973">
        <v>1354594.3088150001</v>
      </c>
      <c r="X4973" t="s">
        <v>33</v>
      </c>
      <c r="Y4973">
        <f>1-434-737-9037</f>
        <v>-10207</v>
      </c>
    </row>
    <row r="4974" spans="1:25" x14ac:dyDescent="0.35">
      <c r="A4974">
        <v>36.406002242789299</v>
      </c>
      <c r="B4974">
        <v>-117.722427010178</v>
      </c>
      <c r="C4974" t="s">
        <v>34</v>
      </c>
      <c r="D4974">
        <v>2.4577764031593401</v>
      </c>
      <c r="E4974">
        <v>1</v>
      </c>
      <c r="F4974">
        <v>1827</v>
      </c>
      <c r="G4974">
        <v>5</v>
      </c>
      <c r="H4974">
        <v>1</v>
      </c>
      <c r="I4974">
        <v>1969</v>
      </c>
      <c r="J4974">
        <v>0</v>
      </c>
      <c r="K4974">
        <v>0</v>
      </c>
      <c r="L4974">
        <v>0</v>
      </c>
      <c r="M4974">
        <v>8</v>
      </c>
      <c r="N4974" t="s">
        <v>37</v>
      </c>
      <c r="O4974" t="s">
        <v>30</v>
      </c>
      <c r="P4974">
        <v>14.694282688497401</v>
      </c>
      <c r="Q4974">
        <v>2.1005175434937202</v>
      </c>
      <c r="R4974">
        <v>8.7592148917005002</v>
      </c>
      <c r="S4974">
        <v>74</v>
      </c>
      <c r="T4974">
        <v>60</v>
      </c>
      <c r="U4974">
        <v>928.19950700400204</v>
      </c>
      <c r="V4974">
        <v>4.3787629994526496E-3</v>
      </c>
      <c r="W4974">
        <v>1975247.9888350801</v>
      </c>
      <c r="X4974" t="s">
        <v>42</v>
      </c>
      <c r="Y4974">
        <f>1-793-452-3185</f>
        <v>-4429</v>
      </c>
    </row>
    <row r="4975" spans="1:25" x14ac:dyDescent="0.35">
      <c r="A4975">
        <v>38.136972776163603</v>
      </c>
      <c r="B4975">
        <v>-119.900775640066</v>
      </c>
      <c r="C4975" t="s">
        <v>34</v>
      </c>
      <c r="D4975">
        <v>19.041180660184601</v>
      </c>
      <c r="E4975">
        <v>1</v>
      </c>
      <c r="F4975">
        <v>2789</v>
      </c>
      <c r="G4975">
        <v>3</v>
      </c>
      <c r="H4975">
        <v>3</v>
      </c>
      <c r="I4975">
        <v>2016</v>
      </c>
      <c r="J4975">
        <v>1</v>
      </c>
      <c r="K4975">
        <v>1</v>
      </c>
      <c r="L4975">
        <v>0</v>
      </c>
      <c r="M4975">
        <v>5</v>
      </c>
      <c r="N4975" t="s">
        <v>41</v>
      </c>
      <c r="O4975" t="s">
        <v>27</v>
      </c>
      <c r="P4975">
        <v>10.615763296490099</v>
      </c>
      <c r="Q4975">
        <v>1.42418289751209</v>
      </c>
      <c r="R4975">
        <v>9.24358268559258</v>
      </c>
      <c r="S4975">
        <v>123</v>
      </c>
      <c r="T4975">
        <v>24</v>
      </c>
      <c r="U4975">
        <v>654.176390170182</v>
      </c>
      <c r="V4975">
        <v>1.7927572606669E-3</v>
      </c>
      <c r="W4975">
        <v>2267372.6046354398</v>
      </c>
      <c r="X4975" t="s">
        <v>36</v>
      </c>
      <c r="Y4975">
        <f>1-647-142-3661</f>
        <v>-4449</v>
      </c>
    </row>
    <row r="4976" spans="1:25" x14ac:dyDescent="0.35">
      <c r="A4976">
        <v>38.579709123850002</v>
      </c>
      <c r="B4976">
        <v>-118.15809013392099</v>
      </c>
      <c r="C4976" t="s">
        <v>34</v>
      </c>
      <c r="D4976">
        <v>42.985267358532198</v>
      </c>
      <c r="E4976">
        <v>9</v>
      </c>
      <c r="F4976">
        <v>4036</v>
      </c>
      <c r="G4976">
        <v>1</v>
      </c>
      <c r="H4976">
        <v>2</v>
      </c>
      <c r="I4976">
        <v>1963</v>
      </c>
      <c r="J4976">
        <v>0</v>
      </c>
      <c r="K4976">
        <v>1</v>
      </c>
      <c r="L4976">
        <v>0</v>
      </c>
      <c r="M4976">
        <v>13</v>
      </c>
      <c r="N4976" t="s">
        <v>35</v>
      </c>
      <c r="O4976" t="s">
        <v>27</v>
      </c>
      <c r="P4976">
        <v>14.900579635320399</v>
      </c>
      <c r="Q4976">
        <v>2.48061075830535</v>
      </c>
      <c r="R4976">
        <v>2.6132563065082199</v>
      </c>
      <c r="S4976">
        <v>195</v>
      </c>
      <c r="T4976">
        <v>48</v>
      </c>
      <c r="U4976">
        <v>545.27380865271004</v>
      </c>
      <c r="V4976">
        <v>3.2210109018830499E-3</v>
      </c>
      <c r="W4976">
        <v>2405748.2895567399</v>
      </c>
      <c r="X4976" t="s">
        <v>28</v>
      </c>
      <c r="Y4976">
        <f>1-535-963-9110</f>
        <v>-10607</v>
      </c>
    </row>
    <row r="4977" spans="1:25" x14ac:dyDescent="0.35">
      <c r="A4977">
        <v>32.564693379333001</v>
      </c>
      <c r="B4977">
        <v>-117.18614151972101</v>
      </c>
      <c r="C4977" t="s">
        <v>29</v>
      </c>
      <c r="D4977">
        <v>37.242305141677001</v>
      </c>
      <c r="E4977">
        <v>7</v>
      </c>
      <c r="F4977">
        <v>4808</v>
      </c>
      <c r="G4977">
        <v>4</v>
      </c>
      <c r="H4977">
        <v>3</v>
      </c>
      <c r="I4977">
        <v>1995</v>
      </c>
      <c r="J4977">
        <v>1</v>
      </c>
      <c r="K4977">
        <v>1</v>
      </c>
      <c r="L4977">
        <v>1</v>
      </c>
      <c r="M4977">
        <v>4</v>
      </c>
      <c r="N4977" t="s">
        <v>37</v>
      </c>
      <c r="O4977" t="s">
        <v>32</v>
      </c>
      <c r="P4977">
        <v>2.0484440117768901</v>
      </c>
      <c r="Q4977">
        <v>1.5347439516191901</v>
      </c>
      <c r="R4977">
        <v>0.87400509378740499</v>
      </c>
      <c r="S4977">
        <v>172</v>
      </c>
      <c r="T4977">
        <v>48</v>
      </c>
      <c r="U4977">
        <v>976.52164437937097</v>
      </c>
      <c r="V4977">
        <v>8.3194675540765295E-4</v>
      </c>
      <c r="W4977">
        <v>5058787.0582715804</v>
      </c>
      <c r="X4977" t="s">
        <v>33</v>
      </c>
      <c r="Y4977">
        <f>1-658-776-4141</f>
        <v>-5574</v>
      </c>
    </row>
    <row r="4978" spans="1:25" x14ac:dyDescent="0.35">
      <c r="A4978">
        <v>39.630784366924402</v>
      </c>
      <c r="B4978">
        <v>-122.341063144822</v>
      </c>
      <c r="C4978" t="s">
        <v>25</v>
      </c>
      <c r="D4978">
        <v>36.354896602756803</v>
      </c>
      <c r="E4978">
        <v>9</v>
      </c>
      <c r="F4978">
        <v>2816</v>
      </c>
      <c r="G4978">
        <v>4</v>
      </c>
      <c r="H4978">
        <v>1</v>
      </c>
      <c r="I4978">
        <v>1991</v>
      </c>
      <c r="J4978">
        <v>1</v>
      </c>
      <c r="K4978">
        <v>0</v>
      </c>
      <c r="L4978">
        <v>0</v>
      </c>
      <c r="M4978">
        <v>11</v>
      </c>
      <c r="N4978" t="s">
        <v>26</v>
      </c>
      <c r="O4978" t="s">
        <v>27</v>
      </c>
      <c r="P4978">
        <v>7.2520191690622502</v>
      </c>
      <c r="Q4978">
        <v>1.5201448205668699</v>
      </c>
      <c r="R4978">
        <v>6.6041623199195296</v>
      </c>
      <c r="S4978">
        <v>142</v>
      </c>
      <c r="T4978">
        <v>61</v>
      </c>
      <c r="U4978">
        <v>994.42569195496196</v>
      </c>
      <c r="V4978">
        <v>3.90625E-3</v>
      </c>
      <c r="W4978">
        <v>3047618.33721573</v>
      </c>
      <c r="X4978" t="s">
        <v>36</v>
      </c>
      <c r="Y4978">
        <f>1-924-876-7776</f>
        <v>-9575</v>
      </c>
    </row>
    <row r="4979" spans="1:25" x14ac:dyDescent="0.35">
      <c r="A4979">
        <v>33.7673321250222</v>
      </c>
      <c r="B4979">
        <v>-121.00040515339499</v>
      </c>
      <c r="C4979" t="s">
        <v>34</v>
      </c>
      <c r="D4979">
        <v>29.4974776225238</v>
      </c>
      <c r="E4979">
        <v>1</v>
      </c>
      <c r="F4979">
        <v>2174</v>
      </c>
      <c r="G4979">
        <v>4</v>
      </c>
      <c r="H4979">
        <v>3</v>
      </c>
      <c r="I4979">
        <v>1994</v>
      </c>
      <c r="J4979">
        <v>1</v>
      </c>
      <c r="K4979">
        <v>1</v>
      </c>
      <c r="L4979">
        <v>1</v>
      </c>
      <c r="M4979">
        <v>4</v>
      </c>
      <c r="N4979" t="s">
        <v>35</v>
      </c>
      <c r="O4979" t="s">
        <v>27</v>
      </c>
      <c r="P4979">
        <v>3.7291842646242701</v>
      </c>
      <c r="Q4979">
        <v>0.56923708647998805</v>
      </c>
      <c r="R4979">
        <v>2.9866060133916399</v>
      </c>
      <c r="S4979">
        <v>17</v>
      </c>
      <c r="T4979">
        <v>74</v>
      </c>
      <c r="U4979">
        <v>872.17027182309198</v>
      </c>
      <c r="V4979">
        <v>1.8399264029438801E-3</v>
      </c>
      <c r="W4979">
        <v>2354388.0253775599</v>
      </c>
      <c r="X4979" t="s">
        <v>43</v>
      </c>
      <c r="Y4979">
        <f>1-518-955-5188</f>
        <v>-6660</v>
      </c>
    </row>
    <row r="4980" spans="1:25" x14ac:dyDescent="0.35">
      <c r="A4980">
        <v>32.844315571910002</v>
      </c>
      <c r="B4980">
        <v>-117.2474892523</v>
      </c>
      <c r="C4980" t="s">
        <v>29</v>
      </c>
      <c r="D4980">
        <v>27.7572271147782</v>
      </c>
      <c r="E4980">
        <v>0</v>
      </c>
      <c r="F4980">
        <v>4406</v>
      </c>
      <c r="G4980">
        <v>2</v>
      </c>
      <c r="H4980">
        <v>1</v>
      </c>
      <c r="I4980">
        <v>2007</v>
      </c>
      <c r="J4980">
        <v>1</v>
      </c>
      <c r="K4980">
        <v>0</v>
      </c>
      <c r="L4980">
        <v>1</v>
      </c>
      <c r="M4980">
        <v>7</v>
      </c>
      <c r="N4980" t="s">
        <v>35</v>
      </c>
      <c r="O4980" t="s">
        <v>32</v>
      </c>
      <c r="P4980">
        <v>7.8094615186032303</v>
      </c>
      <c r="Q4980">
        <v>1.51941108762218</v>
      </c>
      <c r="R4980">
        <v>9.1390115623041606</v>
      </c>
      <c r="S4980">
        <v>32</v>
      </c>
      <c r="T4980">
        <v>75</v>
      </c>
      <c r="U4980">
        <v>816.000178090178</v>
      </c>
      <c r="V4980">
        <v>1.58874262369496E-3</v>
      </c>
      <c r="W4980">
        <v>3864628.86945352</v>
      </c>
      <c r="X4980" t="s">
        <v>28</v>
      </c>
      <c r="Y4980">
        <f>1-635-580-4446</f>
        <v>-5660</v>
      </c>
    </row>
    <row r="4981" spans="1:25" x14ac:dyDescent="0.35">
      <c r="A4981">
        <v>33.666045715789302</v>
      </c>
      <c r="B4981">
        <v>-123.772570266199</v>
      </c>
      <c r="C4981" t="s">
        <v>34</v>
      </c>
      <c r="D4981">
        <v>25.1210306103604</v>
      </c>
      <c r="E4981">
        <v>9</v>
      </c>
      <c r="F4981">
        <v>3281</v>
      </c>
      <c r="G4981">
        <v>4</v>
      </c>
      <c r="H4981">
        <v>2</v>
      </c>
      <c r="I4981">
        <v>2001</v>
      </c>
      <c r="J4981">
        <v>0</v>
      </c>
      <c r="K4981">
        <v>1</v>
      </c>
      <c r="L4981">
        <v>1</v>
      </c>
      <c r="M4981">
        <v>11</v>
      </c>
      <c r="N4981" t="s">
        <v>41</v>
      </c>
      <c r="O4981" t="s">
        <v>32</v>
      </c>
      <c r="P4981">
        <v>10.003855749834001</v>
      </c>
      <c r="Q4981">
        <v>1.56944338439444</v>
      </c>
      <c r="R4981">
        <v>7.4359484132056801</v>
      </c>
      <c r="S4981">
        <v>52</v>
      </c>
      <c r="T4981">
        <v>78</v>
      </c>
      <c r="U4981">
        <v>647.48182247346404</v>
      </c>
      <c r="V4981">
        <v>3.3526363913440999E-3</v>
      </c>
      <c r="W4981">
        <v>2558497.85292459</v>
      </c>
      <c r="X4981" t="s">
        <v>43</v>
      </c>
      <c r="Y4981">
        <f>1-714-406-8723</f>
        <v>-9842</v>
      </c>
    </row>
    <row r="4982" spans="1:25" x14ac:dyDescent="0.35">
      <c r="A4982">
        <v>40.957316401436699</v>
      </c>
      <c r="B4982">
        <v>-114.424801150525</v>
      </c>
      <c r="C4982" t="s">
        <v>34</v>
      </c>
      <c r="D4982">
        <v>42.164455986372303</v>
      </c>
      <c r="E4982">
        <v>4</v>
      </c>
      <c r="F4982">
        <v>4613</v>
      </c>
      <c r="G4982">
        <v>1</v>
      </c>
      <c r="H4982">
        <v>3</v>
      </c>
      <c r="I4982">
        <v>2021</v>
      </c>
      <c r="J4982">
        <v>0</v>
      </c>
      <c r="K4982">
        <v>1</v>
      </c>
      <c r="L4982">
        <v>1</v>
      </c>
      <c r="M4982">
        <v>10</v>
      </c>
      <c r="N4982" t="s">
        <v>41</v>
      </c>
      <c r="O4982" t="s">
        <v>30</v>
      </c>
      <c r="P4982">
        <v>9.1405124186789202</v>
      </c>
      <c r="Q4982">
        <v>2.3841117634038</v>
      </c>
      <c r="R4982">
        <v>7.5778260424303996</v>
      </c>
      <c r="S4982">
        <v>25</v>
      </c>
      <c r="T4982">
        <v>35</v>
      </c>
      <c r="U4982">
        <v>248.42051355841701</v>
      </c>
      <c r="V4982">
        <v>2.1677866897897198E-3</v>
      </c>
      <c r="W4982">
        <v>1491152.17099493</v>
      </c>
      <c r="X4982" t="s">
        <v>42</v>
      </c>
      <c r="Y4982">
        <f>1-699-518-9477</f>
        <v>-10693</v>
      </c>
    </row>
    <row r="4983" spans="1:25" x14ac:dyDescent="0.35">
      <c r="A4983">
        <v>39.739633711933003</v>
      </c>
      <c r="B4983">
        <v>-120.328307815811</v>
      </c>
      <c r="C4983" t="s">
        <v>34</v>
      </c>
      <c r="D4983">
        <v>32.656505032230697</v>
      </c>
      <c r="E4983">
        <v>7</v>
      </c>
      <c r="F4983">
        <v>972</v>
      </c>
      <c r="G4983">
        <v>3</v>
      </c>
      <c r="H4983">
        <v>2</v>
      </c>
      <c r="I4983">
        <v>1954</v>
      </c>
      <c r="J4983">
        <v>0</v>
      </c>
      <c r="K4983">
        <v>1</v>
      </c>
      <c r="L4983">
        <v>1</v>
      </c>
      <c r="M4983">
        <v>6</v>
      </c>
      <c r="N4983" t="s">
        <v>26</v>
      </c>
      <c r="O4983" t="s">
        <v>27</v>
      </c>
      <c r="P4983">
        <v>5.3822888146468104</v>
      </c>
      <c r="Q4983">
        <v>1.7775673946170301</v>
      </c>
      <c r="R4983">
        <v>4.4679248965662604</v>
      </c>
      <c r="S4983">
        <v>90</v>
      </c>
      <c r="T4983">
        <v>70</v>
      </c>
      <c r="U4983">
        <v>672.59148021923602</v>
      </c>
      <c r="V4983">
        <v>6.1728395061728296E-3</v>
      </c>
      <c r="W4983">
        <v>907299.91106352</v>
      </c>
      <c r="X4983" t="s">
        <v>36</v>
      </c>
      <c r="Y4983">
        <f>1-340-429-6550</f>
        <v>-7318</v>
      </c>
    </row>
    <row r="4984" spans="1:25" x14ac:dyDescent="0.35">
      <c r="A4984">
        <v>40.104008337353498</v>
      </c>
      <c r="B4984">
        <v>-122.97538063926</v>
      </c>
      <c r="C4984" t="s">
        <v>34</v>
      </c>
      <c r="D4984">
        <v>25.8263247419161</v>
      </c>
      <c r="E4984">
        <v>1</v>
      </c>
      <c r="F4984">
        <v>3860</v>
      </c>
      <c r="G4984">
        <v>5</v>
      </c>
      <c r="H4984">
        <v>1</v>
      </c>
      <c r="I4984">
        <v>1979</v>
      </c>
      <c r="J4984">
        <v>0</v>
      </c>
      <c r="K4984">
        <v>1</v>
      </c>
      <c r="L4984">
        <v>1</v>
      </c>
      <c r="M4984">
        <v>10</v>
      </c>
      <c r="N4984" t="s">
        <v>41</v>
      </c>
      <c r="O4984" t="s">
        <v>30</v>
      </c>
      <c r="P4984">
        <v>5.7280944061473296</v>
      </c>
      <c r="Q4984">
        <v>2.01619891265275</v>
      </c>
      <c r="R4984">
        <v>1.21661257479957</v>
      </c>
      <c r="S4984">
        <v>161</v>
      </c>
      <c r="T4984">
        <v>73</v>
      </c>
      <c r="U4984">
        <v>981.324507432269</v>
      </c>
      <c r="V4984">
        <v>2.5906735751295299E-3</v>
      </c>
      <c r="W4984">
        <v>4156852.2164571201</v>
      </c>
      <c r="X4984" t="s">
        <v>38</v>
      </c>
      <c r="Y4984">
        <f>1-924-200-7693</f>
        <v>-8816</v>
      </c>
    </row>
    <row r="4985" spans="1:25" x14ac:dyDescent="0.35">
      <c r="A4985">
        <v>41.153088598910799</v>
      </c>
      <c r="B4985">
        <v>-116.717704597329</v>
      </c>
      <c r="C4985" t="s">
        <v>34</v>
      </c>
      <c r="D4985">
        <v>35.987416271198001</v>
      </c>
      <c r="E4985">
        <v>7</v>
      </c>
      <c r="F4985">
        <v>1250</v>
      </c>
      <c r="G4985">
        <v>2</v>
      </c>
      <c r="H4985">
        <v>2</v>
      </c>
      <c r="I4985">
        <v>1994</v>
      </c>
      <c r="J4985">
        <v>1</v>
      </c>
      <c r="K4985">
        <v>1</v>
      </c>
      <c r="L4985">
        <v>1</v>
      </c>
      <c r="M4985">
        <v>14</v>
      </c>
      <c r="N4985" t="s">
        <v>37</v>
      </c>
      <c r="O4985" t="s">
        <v>27</v>
      </c>
      <c r="P4985">
        <v>7.1071786459697996</v>
      </c>
      <c r="Q4985">
        <v>0.76555785551951006</v>
      </c>
      <c r="R4985">
        <v>0.98283983712482803</v>
      </c>
      <c r="S4985">
        <v>105</v>
      </c>
      <c r="T4985">
        <v>22</v>
      </c>
      <c r="U4985">
        <v>874.84998179578997</v>
      </c>
      <c r="V4985">
        <v>1.12E-2</v>
      </c>
      <c r="W4985">
        <v>1409944.38848581</v>
      </c>
      <c r="X4985" t="s">
        <v>36</v>
      </c>
      <c r="Y4985">
        <f>1-229-734-6098</f>
        <v>-7060</v>
      </c>
    </row>
    <row r="4986" spans="1:25" x14ac:dyDescent="0.35">
      <c r="A4986">
        <v>41.407570178565003</v>
      </c>
      <c r="B4986">
        <v>-118.55817291109</v>
      </c>
      <c r="C4986" t="s">
        <v>34</v>
      </c>
      <c r="D4986">
        <v>43.893563375975504</v>
      </c>
      <c r="E4986">
        <v>8</v>
      </c>
      <c r="F4986">
        <v>2117</v>
      </c>
      <c r="G4986">
        <v>5</v>
      </c>
      <c r="H4986">
        <v>3</v>
      </c>
      <c r="I4986">
        <v>1958</v>
      </c>
      <c r="J4986">
        <v>1</v>
      </c>
      <c r="K4986">
        <v>1</v>
      </c>
      <c r="L4986">
        <v>0</v>
      </c>
      <c r="M4986">
        <v>5</v>
      </c>
      <c r="N4986" t="s">
        <v>26</v>
      </c>
      <c r="O4986" t="s">
        <v>32</v>
      </c>
      <c r="P4986">
        <v>8.8797468495672707</v>
      </c>
      <c r="Q4986">
        <v>0.92342715139702602</v>
      </c>
      <c r="R4986">
        <v>6.4633935118930896</v>
      </c>
      <c r="S4986">
        <v>170</v>
      </c>
      <c r="T4986">
        <v>67</v>
      </c>
      <c r="U4986">
        <v>704.46754011526298</v>
      </c>
      <c r="V4986">
        <v>2.36183278223901E-3</v>
      </c>
      <c r="W4986">
        <v>1937158.5160922101</v>
      </c>
      <c r="X4986" t="s">
        <v>42</v>
      </c>
      <c r="Y4986">
        <f>1-776-147-8407</f>
        <v>-9329</v>
      </c>
    </row>
    <row r="4987" spans="1:25" x14ac:dyDescent="0.35">
      <c r="A4987">
        <v>32.730808158719803</v>
      </c>
      <c r="B4987">
        <v>-120.32449977359499</v>
      </c>
      <c r="C4987" t="s">
        <v>29</v>
      </c>
      <c r="D4987">
        <v>11.6034123043819</v>
      </c>
      <c r="E4987">
        <v>4</v>
      </c>
      <c r="F4987">
        <v>1647</v>
      </c>
      <c r="G4987">
        <v>4</v>
      </c>
      <c r="H4987">
        <v>2</v>
      </c>
      <c r="I4987">
        <v>1956</v>
      </c>
      <c r="J4987">
        <v>0</v>
      </c>
      <c r="K4987">
        <v>1</v>
      </c>
      <c r="L4987">
        <v>0</v>
      </c>
      <c r="M4987">
        <v>2</v>
      </c>
      <c r="N4987" t="s">
        <v>26</v>
      </c>
      <c r="O4987" t="s">
        <v>32</v>
      </c>
      <c r="P4987">
        <v>2.3979382463649102</v>
      </c>
      <c r="Q4987">
        <v>1.0143797415592799</v>
      </c>
      <c r="R4987">
        <v>7.2438247973597498</v>
      </c>
      <c r="S4987">
        <v>138</v>
      </c>
      <c r="T4987">
        <v>47</v>
      </c>
      <c r="U4987">
        <v>854.03531247737806</v>
      </c>
      <c r="V4987">
        <v>1.2143290831815401E-3</v>
      </c>
      <c r="W4987">
        <v>1631034.8792827299</v>
      </c>
      <c r="X4987" t="s">
        <v>44</v>
      </c>
      <c r="Y4987">
        <f>1-482-878-1565</f>
        <v>-2924</v>
      </c>
    </row>
    <row r="4988" spans="1:25" x14ac:dyDescent="0.35">
      <c r="A4988">
        <v>34.531531017287499</v>
      </c>
      <c r="B4988">
        <v>-122.67555612058599</v>
      </c>
      <c r="C4988" t="s">
        <v>25</v>
      </c>
      <c r="D4988">
        <v>9.4746469752356592</v>
      </c>
      <c r="E4988">
        <v>9</v>
      </c>
      <c r="F4988">
        <v>4889</v>
      </c>
      <c r="G4988">
        <v>5</v>
      </c>
      <c r="H4988">
        <v>3</v>
      </c>
      <c r="I4988">
        <v>1952</v>
      </c>
      <c r="J4988">
        <v>0</v>
      </c>
      <c r="K4988">
        <v>1</v>
      </c>
      <c r="L4988">
        <v>1</v>
      </c>
      <c r="M4988">
        <v>3</v>
      </c>
      <c r="N4988" t="s">
        <v>37</v>
      </c>
      <c r="O4988" t="s">
        <v>32</v>
      </c>
      <c r="P4988">
        <v>8.2807529604140697</v>
      </c>
      <c r="Q4988">
        <v>1.2822155283144301</v>
      </c>
      <c r="R4988">
        <v>6.1083957395075297</v>
      </c>
      <c r="S4988">
        <v>105</v>
      </c>
      <c r="T4988">
        <v>70</v>
      </c>
      <c r="U4988">
        <v>345.169299810746</v>
      </c>
      <c r="V4988">
        <v>6.1362241767232498E-4</v>
      </c>
      <c r="W4988">
        <v>1986765.86380148</v>
      </c>
      <c r="X4988" t="s">
        <v>39</v>
      </c>
      <c r="Y4988">
        <f>1-577-320-8321</f>
        <v>-9217</v>
      </c>
    </row>
    <row r="4989" spans="1:25" x14ac:dyDescent="0.35">
      <c r="A4989">
        <v>39.436008013115497</v>
      </c>
      <c r="B4989">
        <v>-115.03783065311799</v>
      </c>
      <c r="C4989" t="s">
        <v>25</v>
      </c>
      <c r="D4989">
        <v>39.9651771393047</v>
      </c>
      <c r="E4989">
        <v>5</v>
      </c>
      <c r="F4989">
        <v>1609</v>
      </c>
      <c r="G4989">
        <v>1</v>
      </c>
      <c r="H4989">
        <v>3</v>
      </c>
      <c r="I4989">
        <v>1956</v>
      </c>
      <c r="J4989">
        <v>0</v>
      </c>
      <c r="K4989">
        <v>0</v>
      </c>
      <c r="L4989">
        <v>1</v>
      </c>
      <c r="M4989">
        <v>7</v>
      </c>
      <c r="N4989" t="s">
        <v>35</v>
      </c>
      <c r="O4989" t="s">
        <v>30</v>
      </c>
      <c r="P4989">
        <v>13.756105312499001</v>
      </c>
      <c r="Q4989">
        <v>0.79697980435697402</v>
      </c>
      <c r="R4989">
        <v>8.5037048171333005</v>
      </c>
      <c r="S4989">
        <v>84</v>
      </c>
      <c r="T4989">
        <v>51</v>
      </c>
      <c r="U4989">
        <v>305.541274735446</v>
      </c>
      <c r="V4989">
        <v>4.3505282784338101E-3</v>
      </c>
      <c r="W4989">
        <v>672649.03174223204</v>
      </c>
      <c r="X4989" t="s">
        <v>43</v>
      </c>
      <c r="Y4989">
        <f>1-851-818-1367</f>
        <v>-3035</v>
      </c>
    </row>
    <row r="4990" spans="1:25" x14ac:dyDescent="0.35">
      <c r="A4990">
        <v>36.598594700775699</v>
      </c>
      <c r="B4990">
        <v>-124.36170386972501</v>
      </c>
      <c r="C4990" t="s">
        <v>25</v>
      </c>
      <c r="D4990">
        <v>24.141344705605398</v>
      </c>
      <c r="E4990">
        <v>2</v>
      </c>
      <c r="F4990">
        <v>2667</v>
      </c>
      <c r="G4990">
        <v>1</v>
      </c>
      <c r="H4990">
        <v>2</v>
      </c>
      <c r="I4990">
        <v>1984</v>
      </c>
      <c r="J4990">
        <v>1</v>
      </c>
      <c r="K4990">
        <v>0</v>
      </c>
      <c r="L4990">
        <v>1</v>
      </c>
      <c r="M4990">
        <v>9</v>
      </c>
      <c r="N4990" t="s">
        <v>26</v>
      </c>
      <c r="O4990" t="s">
        <v>30</v>
      </c>
      <c r="P4990">
        <v>11.2167442933368</v>
      </c>
      <c r="Q4990">
        <v>0.57729305102176598</v>
      </c>
      <c r="R4990">
        <v>0.63560180279457201</v>
      </c>
      <c r="S4990">
        <v>54</v>
      </c>
      <c r="T4990">
        <v>78</v>
      </c>
      <c r="U4990">
        <v>463.68880841385601</v>
      </c>
      <c r="V4990">
        <v>3.37457817772778E-3</v>
      </c>
      <c r="W4990">
        <v>1514824.2042695601</v>
      </c>
      <c r="X4990" t="s">
        <v>44</v>
      </c>
      <c r="Y4990">
        <f>1-959-128-2363</f>
        <v>-3449</v>
      </c>
    </row>
    <row r="4991" spans="1:25" x14ac:dyDescent="0.35">
      <c r="A4991">
        <v>34.680643155029102</v>
      </c>
      <c r="B4991">
        <v>-119.06928692085199</v>
      </c>
      <c r="C4991" t="s">
        <v>34</v>
      </c>
      <c r="D4991">
        <v>43.718314477853902</v>
      </c>
      <c r="E4991">
        <v>2</v>
      </c>
      <c r="F4991">
        <v>669</v>
      </c>
      <c r="G4991">
        <v>2</v>
      </c>
      <c r="H4991">
        <v>1</v>
      </c>
      <c r="I4991">
        <v>1998</v>
      </c>
      <c r="J4991">
        <v>1</v>
      </c>
      <c r="K4991">
        <v>0</v>
      </c>
      <c r="L4991">
        <v>1</v>
      </c>
      <c r="M4991">
        <v>8</v>
      </c>
      <c r="N4991" t="s">
        <v>26</v>
      </c>
      <c r="O4991" t="s">
        <v>30</v>
      </c>
      <c r="P4991">
        <v>2.44665280305315</v>
      </c>
      <c r="Q4991">
        <v>2.0696390004512799</v>
      </c>
      <c r="R4991">
        <v>7.7991739161145004</v>
      </c>
      <c r="S4991">
        <v>10</v>
      </c>
      <c r="T4991">
        <v>42</v>
      </c>
      <c r="U4991">
        <v>321.594464181006</v>
      </c>
      <c r="V4991">
        <v>1.19581464872944E-2</v>
      </c>
      <c r="W4991">
        <v>377371.26940682699</v>
      </c>
      <c r="X4991" t="s">
        <v>40</v>
      </c>
      <c r="Y4991">
        <f>1-275-731-8532</f>
        <v>-9537</v>
      </c>
    </row>
    <row r="4992" spans="1:25" x14ac:dyDescent="0.35">
      <c r="A4992">
        <v>37.2411244488734</v>
      </c>
      <c r="B4992">
        <v>-121.521498207848</v>
      </c>
      <c r="C4992" t="s">
        <v>34</v>
      </c>
      <c r="D4992">
        <v>12.028807487804</v>
      </c>
      <c r="E4992">
        <v>1</v>
      </c>
      <c r="F4992">
        <v>4978</v>
      </c>
      <c r="G4992">
        <v>5</v>
      </c>
      <c r="H4992">
        <v>1</v>
      </c>
      <c r="I4992">
        <v>1999</v>
      </c>
      <c r="J4992">
        <v>1</v>
      </c>
      <c r="K4992">
        <v>0</v>
      </c>
      <c r="L4992">
        <v>0</v>
      </c>
      <c r="M4992">
        <v>11</v>
      </c>
      <c r="N4992" t="s">
        <v>41</v>
      </c>
      <c r="O4992" t="s">
        <v>27</v>
      </c>
      <c r="P4992">
        <v>6.2299372724520596</v>
      </c>
      <c r="Q4992">
        <v>1.8866848935061</v>
      </c>
      <c r="R4992">
        <v>7.6989421308628296</v>
      </c>
      <c r="S4992">
        <v>166</v>
      </c>
      <c r="T4992">
        <v>35</v>
      </c>
      <c r="U4992">
        <v>866.29402844329297</v>
      </c>
      <c r="V4992">
        <v>2.20972278023302E-3</v>
      </c>
      <c r="W4992">
        <v>4587114.3511159299</v>
      </c>
      <c r="X4992" t="s">
        <v>33</v>
      </c>
      <c r="Y4992">
        <f>1-944-599-5229</f>
        <v>-6771</v>
      </c>
    </row>
    <row r="4993" spans="1:25" x14ac:dyDescent="0.35">
      <c r="A4993">
        <v>39.1887722386817</v>
      </c>
      <c r="B4993">
        <v>-114.89434909942401</v>
      </c>
      <c r="C4993" t="s">
        <v>29</v>
      </c>
      <c r="D4993">
        <v>10.1075234009213</v>
      </c>
      <c r="E4993">
        <v>2</v>
      </c>
      <c r="F4993">
        <v>3243</v>
      </c>
      <c r="G4993">
        <v>1</v>
      </c>
      <c r="H4993">
        <v>1</v>
      </c>
      <c r="I4993">
        <v>1972</v>
      </c>
      <c r="J4993">
        <v>1</v>
      </c>
      <c r="K4993">
        <v>1</v>
      </c>
      <c r="L4993">
        <v>1</v>
      </c>
      <c r="M4993">
        <v>14</v>
      </c>
      <c r="N4993" t="s">
        <v>41</v>
      </c>
      <c r="O4993" t="s">
        <v>30</v>
      </c>
      <c r="P4993">
        <v>7.9490049702535801</v>
      </c>
      <c r="Q4993">
        <v>1.6233345619442301</v>
      </c>
      <c r="R4993">
        <v>7.2735081525413303</v>
      </c>
      <c r="S4993">
        <v>67</v>
      </c>
      <c r="T4993">
        <v>45</v>
      </c>
      <c r="U4993">
        <v>645.81237948587</v>
      </c>
      <c r="V4993">
        <v>4.3169904409497296E-3</v>
      </c>
      <c r="W4993">
        <v>2240767.2777426699</v>
      </c>
      <c r="X4993" t="s">
        <v>33</v>
      </c>
      <c r="Y4993">
        <f>1-334-991-9843</f>
        <v>-11167</v>
      </c>
    </row>
    <row r="4994" spans="1:25" x14ac:dyDescent="0.35">
      <c r="A4994">
        <v>41.087605936496203</v>
      </c>
      <c r="B4994">
        <v>-115.25497311974701</v>
      </c>
      <c r="C4994" t="s">
        <v>25</v>
      </c>
      <c r="D4994">
        <v>15.1666886986216</v>
      </c>
      <c r="E4994">
        <v>8</v>
      </c>
      <c r="F4994">
        <v>775</v>
      </c>
      <c r="G4994">
        <v>5</v>
      </c>
      <c r="H4994">
        <v>2</v>
      </c>
      <c r="I4994">
        <v>1993</v>
      </c>
      <c r="J4994">
        <v>0</v>
      </c>
      <c r="K4994">
        <v>1</v>
      </c>
      <c r="L4994">
        <v>0</v>
      </c>
      <c r="M4994">
        <v>7</v>
      </c>
      <c r="N4994" t="s">
        <v>35</v>
      </c>
      <c r="O4994" t="s">
        <v>30</v>
      </c>
      <c r="P4994">
        <v>14.1256554037051</v>
      </c>
      <c r="Q4994">
        <v>0.83634432675314996</v>
      </c>
      <c r="R4994">
        <v>6.8597302651110796</v>
      </c>
      <c r="S4994">
        <v>136</v>
      </c>
      <c r="T4994">
        <v>40</v>
      </c>
      <c r="U4994">
        <v>903.10591679943002</v>
      </c>
      <c r="V4994">
        <v>9.0322580645161299E-3</v>
      </c>
      <c r="W4994">
        <v>1063804.4098668001</v>
      </c>
      <c r="X4994" t="s">
        <v>28</v>
      </c>
      <c r="Y4994">
        <f>1-526-182-4071</f>
        <v>-4778</v>
      </c>
    </row>
    <row r="4995" spans="1:25" x14ac:dyDescent="0.35">
      <c r="A4995">
        <v>40.009269550211002</v>
      </c>
      <c r="B4995">
        <v>-117.43738193824301</v>
      </c>
      <c r="C4995" t="s">
        <v>29</v>
      </c>
      <c r="D4995">
        <v>14.274409611989</v>
      </c>
      <c r="E4995">
        <v>5</v>
      </c>
      <c r="F4995">
        <v>3497</v>
      </c>
      <c r="G4995">
        <v>4</v>
      </c>
      <c r="H4995">
        <v>1</v>
      </c>
      <c r="I4995">
        <v>2009</v>
      </c>
      <c r="J4995">
        <v>0</v>
      </c>
      <c r="K4995">
        <v>0</v>
      </c>
      <c r="L4995">
        <v>1</v>
      </c>
      <c r="M4995">
        <v>5</v>
      </c>
      <c r="N4995" t="s">
        <v>26</v>
      </c>
      <c r="O4995" t="s">
        <v>30</v>
      </c>
      <c r="P4995">
        <v>2.0552478602396098</v>
      </c>
      <c r="Q4995">
        <v>2.38306193637536</v>
      </c>
      <c r="R4995">
        <v>7.4052293553533097</v>
      </c>
      <c r="S4995">
        <v>163</v>
      </c>
      <c r="T4995">
        <v>38</v>
      </c>
      <c r="U4995">
        <v>393.55702695450799</v>
      </c>
      <c r="V4995">
        <v>1.4297969688304201E-3</v>
      </c>
      <c r="W4995">
        <v>1585629.88679243</v>
      </c>
      <c r="X4995" t="s">
        <v>31</v>
      </c>
      <c r="Y4995">
        <f>1-736-193-3790</f>
        <v>-4718</v>
      </c>
    </row>
    <row r="4996" spans="1:25" x14ac:dyDescent="0.35">
      <c r="A4996">
        <v>35.892421277065502</v>
      </c>
      <c r="B4996">
        <v>-115.54179933490801</v>
      </c>
      <c r="C4996" t="s">
        <v>25</v>
      </c>
      <c r="D4996">
        <v>8.6571327444541399</v>
      </c>
      <c r="E4996">
        <v>5</v>
      </c>
      <c r="F4996">
        <v>2363</v>
      </c>
      <c r="G4996">
        <v>3</v>
      </c>
      <c r="H4996">
        <v>1</v>
      </c>
      <c r="I4996">
        <v>1956</v>
      </c>
      <c r="J4996">
        <v>1</v>
      </c>
      <c r="K4996">
        <v>1</v>
      </c>
      <c r="L4996">
        <v>0</v>
      </c>
      <c r="M4996">
        <v>13</v>
      </c>
      <c r="N4996" t="s">
        <v>26</v>
      </c>
      <c r="O4996" t="s">
        <v>30</v>
      </c>
      <c r="P4996">
        <v>13.3025526411753</v>
      </c>
      <c r="Q4996">
        <v>1.12718337054176</v>
      </c>
      <c r="R4996">
        <v>7.7966167445956298</v>
      </c>
      <c r="S4996">
        <v>3</v>
      </c>
      <c r="T4996">
        <v>31</v>
      </c>
      <c r="U4996">
        <v>892.38088523992099</v>
      </c>
      <c r="V4996">
        <v>5.5014811680067699E-3</v>
      </c>
      <c r="W4996">
        <v>2458401.5655197199</v>
      </c>
      <c r="X4996" t="s">
        <v>31</v>
      </c>
      <c r="Y4996">
        <f>1-961-633-3703</f>
        <v>-5296</v>
      </c>
    </row>
    <row r="4997" spans="1:25" x14ac:dyDescent="0.35">
      <c r="A4997">
        <v>35.710993283236199</v>
      </c>
      <c r="B4997">
        <v>-119.507567751914</v>
      </c>
      <c r="C4997" t="s">
        <v>29</v>
      </c>
      <c r="D4997">
        <v>19.137245459932899</v>
      </c>
      <c r="E4997">
        <v>4</v>
      </c>
      <c r="F4997">
        <v>3615</v>
      </c>
      <c r="G4997">
        <v>4</v>
      </c>
      <c r="H4997">
        <v>1</v>
      </c>
      <c r="I4997">
        <v>1950</v>
      </c>
      <c r="J4997">
        <v>1</v>
      </c>
      <c r="K4997">
        <v>1</v>
      </c>
      <c r="L4997">
        <v>0</v>
      </c>
      <c r="M4997">
        <v>5</v>
      </c>
      <c r="N4997" t="s">
        <v>41</v>
      </c>
      <c r="O4997" t="s">
        <v>27</v>
      </c>
      <c r="P4997">
        <v>14.8277790408049</v>
      </c>
      <c r="Q4997">
        <v>1.9794598222423101</v>
      </c>
      <c r="R4997">
        <v>9.7379368382883804</v>
      </c>
      <c r="S4997">
        <v>171</v>
      </c>
      <c r="T4997">
        <v>51</v>
      </c>
      <c r="U4997">
        <v>798.60314439959802</v>
      </c>
      <c r="V4997">
        <v>1.3831258644536599E-3</v>
      </c>
      <c r="W4997">
        <v>3150146.41793238</v>
      </c>
      <c r="X4997" t="s">
        <v>36</v>
      </c>
      <c r="Y4997">
        <f>1-909-320-7306</f>
        <v>-8534</v>
      </c>
    </row>
    <row r="4998" spans="1:25" x14ac:dyDescent="0.35">
      <c r="A4998">
        <v>33.0184873368109</v>
      </c>
      <c r="B4998">
        <v>-119.594806857175</v>
      </c>
      <c r="C4998" t="s">
        <v>29</v>
      </c>
      <c r="D4998">
        <v>12.1811834525206</v>
      </c>
      <c r="E4998">
        <v>4</v>
      </c>
      <c r="F4998">
        <v>3938</v>
      </c>
      <c r="G4998">
        <v>4</v>
      </c>
      <c r="H4998">
        <v>2</v>
      </c>
      <c r="I4998">
        <v>2022</v>
      </c>
      <c r="J4998">
        <v>0</v>
      </c>
      <c r="K4998">
        <v>0</v>
      </c>
      <c r="L4998">
        <v>0</v>
      </c>
      <c r="M4998">
        <v>2</v>
      </c>
      <c r="N4998" t="s">
        <v>35</v>
      </c>
      <c r="O4998" t="s">
        <v>27</v>
      </c>
      <c r="P4998">
        <v>13.286230667618501</v>
      </c>
      <c r="Q4998">
        <v>2.45449751854912</v>
      </c>
      <c r="R4998">
        <v>7.5142258131944697</v>
      </c>
      <c r="S4998">
        <v>79</v>
      </c>
      <c r="T4998">
        <v>28</v>
      </c>
      <c r="U4998">
        <v>357.99707016519199</v>
      </c>
      <c r="V4998">
        <v>5.0787201625190404E-4</v>
      </c>
      <c r="W4998">
        <v>1728231.5980519799</v>
      </c>
      <c r="X4998" t="s">
        <v>38</v>
      </c>
      <c r="Y4998">
        <f>1-691-649-6772</f>
        <v>-8111</v>
      </c>
    </row>
    <row r="4999" spans="1:25" x14ac:dyDescent="0.35">
      <c r="A4999">
        <v>38.601346716878197</v>
      </c>
      <c r="B4999">
        <v>-121.65865710275099</v>
      </c>
      <c r="C4999" t="s">
        <v>25</v>
      </c>
      <c r="D4999">
        <v>22.8943017013912</v>
      </c>
      <c r="E4999">
        <v>8</v>
      </c>
      <c r="F4999">
        <v>559</v>
      </c>
      <c r="G4999">
        <v>1</v>
      </c>
      <c r="H4999">
        <v>1</v>
      </c>
      <c r="I4999">
        <v>1983</v>
      </c>
      <c r="J4999">
        <v>1</v>
      </c>
      <c r="K4999">
        <v>1</v>
      </c>
      <c r="L4999">
        <v>1</v>
      </c>
      <c r="M4999">
        <v>3</v>
      </c>
      <c r="N4999" t="s">
        <v>41</v>
      </c>
      <c r="O4999" t="s">
        <v>32</v>
      </c>
      <c r="P4999">
        <v>5.5337423925787803</v>
      </c>
      <c r="Q4999">
        <v>1.5760893166921699</v>
      </c>
      <c r="R4999">
        <v>1.8878070477039699</v>
      </c>
      <c r="S4999">
        <v>63</v>
      </c>
      <c r="T4999">
        <v>53</v>
      </c>
      <c r="U4999">
        <v>429.813155245281</v>
      </c>
      <c r="V4999">
        <v>5.3667262969588504E-3</v>
      </c>
      <c r="W4999">
        <v>446978.36732119101</v>
      </c>
      <c r="X4999" t="s">
        <v>42</v>
      </c>
      <c r="Y4999">
        <f>1-776-476-6631</f>
        <v>-7882</v>
      </c>
    </row>
    <row r="5000" spans="1:25" x14ac:dyDescent="0.35">
      <c r="A5000">
        <v>37.240109827258102</v>
      </c>
      <c r="B5000">
        <v>-120.637529107066</v>
      </c>
      <c r="C5000" t="s">
        <v>29</v>
      </c>
      <c r="D5000">
        <v>47.821349525932298</v>
      </c>
      <c r="E5000">
        <v>4</v>
      </c>
      <c r="F5000">
        <v>4086</v>
      </c>
      <c r="G5000">
        <v>2</v>
      </c>
      <c r="H5000">
        <v>2</v>
      </c>
      <c r="I5000">
        <v>1992</v>
      </c>
      <c r="J5000">
        <v>1</v>
      </c>
      <c r="K5000">
        <v>1</v>
      </c>
      <c r="L5000">
        <v>0</v>
      </c>
      <c r="M5000">
        <v>12</v>
      </c>
      <c r="N5000" t="s">
        <v>41</v>
      </c>
      <c r="O5000" t="s">
        <v>32</v>
      </c>
      <c r="P5000">
        <v>2.0112554795651798</v>
      </c>
      <c r="Q5000">
        <v>1.5219363097369001</v>
      </c>
      <c r="R5000">
        <v>0.92415369759616495</v>
      </c>
      <c r="S5000">
        <v>126</v>
      </c>
      <c r="T5000">
        <v>70</v>
      </c>
      <c r="U5000">
        <v>756.30179462611704</v>
      </c>
      <c r="V5000">
        <v>2.93685756240822E-3</v>
      </c>
      <c r="W5000">
        <v>3331949.5071639</v>
      </c>
      <c r="X5000" t="s">
        <v>31</v>
      </c>
      <c r="Y5000">
        <f>1-830-184-3268</f>
        <v>-4281</v>
      </c>
    </row>
    <row r="5001" spans="1:25" x14ac:dyDescent="0.35">
      <c r="A5001">
        <v>39.588040784159901</v>
      </c>
      <c r="B5001">
        <v>-121.60756527326799</v>
      </c>
      <c r="C5001" t="s">
        <v>25</v>
      </c>
      <c r="D5001">
        <v>9.8513612254459595</v>
      </c>
      <c r="E5001">
        <v>5</v>
      </c>
      <c r="F5001">
        <v>1607</v>
      </c>
      <c r="G5001">
        <v>3</v>
      </c>
      <c r="H5001">
        <v>3</v>
      </c>
      <c r="I5001">
        <v>1960</v>
      </c>
      <c r="J5001">
        <v>1</v>
      </c>
      <c r="K5001">
        <v>1</v>
      </c>
      <c r="L5001">
        <v>1</v>
      </c>
      <c r="M5001">
        <v>2</v>
      </c>
      <c r="N5001" t="s">
        <v>37</v>
      </c>
      <c r="O5001" t="s">
        <v>30</v>
      </c>
      <c r="P5001">
        <v>10.9402670183868</v>
      </c>
      <c r="Q5001">
        <v>2.1081973438785</v>
      </c>
      <c r="R5001">
        <v>6.6968503161055901</v>
      </c>
      <c r="S5001">
        <v>22</v>
      </c>
      <c r="T5001">
        <v>78</v>
      </c>
      <c r="U5001">
        <v>245.53124369140599</v>
      </c>
      <c r="V5001">
        <v>1.2445550715619101E-3</v>
      </c>
      <c r="W5001">
        <v>701192.91410769999</v>
      </c>
      <c r="X5001" t="s">
        <v>33</v>
      </c>
      <c r="Y5001">
        <f>1-586-600-8929</f>
        <v>-10114</v>
      </c>
    </row>
    <row r="5002" spans="1:25" x14ac:dyDescent="0.35">
      <c r="A5002">
        <v>34.684995973936402</v>
      </c>
      <c r="B5002">
        <v>-116.38704322316499</v>
      </c>
      <c r="C5002" t="s">
        <v>29</v>
      </c>
      <c r="D5002">
        <v>14.913547574494</v>
      </c>
      <c r="E5002">
        <v>8</v>
      </c>
      <c r="F5002">
        <v>1095</v>
      </c>
      <c r="G5002">
        <v>2</v>
      </c>
      <c r="H5002">
        <v>1</v>
      </c>
      <c r="I5002">
        <v>1955</v>
      </c>
      <c r="J5002">
        <v>1</v>
      </c>
      <c r="K5002">
        <v>1</v>
      </c>
      <c r="L5002">
        <v>0</v>
      </c>
      <c r="M5002">
        <v>13</v>
      </c>
      <c r="N5002" t="s">
        <v>35</v>
      </c>
      <c r="O5002" t="s">
        <v>32</v>
      </c>
      <c r="P5002">
        <v>10.825516966663701</v>
      </c>
      <c r="Q5002">
        <v>2.4859161040364999</v>
      </c>
      <c r="R5002">
        <v>1.2220036370793299</v>
      </c>
      <c r="S5002">
        <v>129</v>
      </c>
      <c r="T5002">
        <v>32</v>
      </c>
      <c r="U5002">
        <v>673.37774628576904</v>
      </c>
      <c r="V5002">
        <v>1.1872146118721401E-2</v>
      </c>
      <c r="W5002">
        <v>977751.05138824903</v>
      </c>
      <c r="X5002" t="s">
        <v>36</v>
      </c>
      <c r="Y5002">
        <f>1-938-485-9027</f>
        <v>-10449</v>
      </c>
    </row>
    <row r="5003" spans="1:25" x14ac:dyDescent="0.35">
      <c r="A5003">
        <v>37.9094685911776</v>
      </c>
      <c r="B5003">
        <v>-117.843037339955</v>
      </c>
      <c r="C5003" t="s">
        <v>29</v>
      </c>
      <c r="D5003">
        <v>25.619658827192399</v>
      </c>
      <c r="E5003">
        <v>8</v>
      </c>
      <c r="F5003">
        <v>2694</v>
      </c>
      <c r="G5003">
        <v>3</v>
      </c>
      <c r="H5003">
        <v>1</v>
      </c>
      <c r="I5003">
        <v>2009</v>
      </c>
      <c r="J5003">
        <v>1</v>
      </c>
      <c r="K5003">
        <v>0</v>
      </c>
      <c r="L5003">
        <v>0</v>
      </c>
      <c r="M5003">
        <v>8</v>
      </c>
      <c r="N5003" t="s">
        <v>26</v>
      </c>
      <c r="O5003" t="s">
        <v>32</v>
      </c>
      <c r="P5003">
        <v>10.015805259928801</v>
      </c>
      <c r="Q5003">
        <v>1.26173610193522</v>
      </c>
      <c r="R5003">
        <v>8.7062924175165897</v>
      </c>
      <c r="S5003">
        <v>30</v>
      </c>
      <c r="T5003">
        <v>36</v>
      </c>
      <c r="U5003">
        <v>622.87358851472504</v>
      </c>
      <c r="V5003">
        <v>2.9695619896065299E-3</v>
      </c>
      <c r="W5003">
        <v>1927549.62047814</v>
      </c>
      <c r="X5003" t="s">
        <v>33</v>
      </c>
      <c r="Y5003">
        <f>1-331-117-1351</f>
        <v>-1798</v>
      </c>
    </row>
    <row r="5004" spans="1:25" x14ac:dyDescent="0.35">
      <c r="A5004">
        <v>41.472586099845401</v>
      </c>
      <c r="B5004">
        <v>-119.077979557446</v>
      </c>
      <c r="C5004" t="s">
        <v>29</v>
      </c>
      <c r="D5004">
        <v>40.343636954468103</v>
      </c>
      <c r="E5004">
        <v>1</v>
      </c>
      <c r="F5004">
        <v>660</v>
      </c>
      <c r="G5004">
        <v>1</v>
      </c>
      <c r="H5004">
        <v>1</v>
      </c>
      <c r="I5004">
        <v>1972</v>
      </c>
      <c r="J5004">
        <v>1</v>
      </c>
      <c r="K5004">
        <v>1</v>
      </c>
      <c r="L5004">
        <v>1</v>
      </c>
      <c r="M5004">
        <v>12</v>
      </c>
      <c r="N5004" t="s">
        <v>41</v>
      </c>
      <c r="O5004" t="s">
        <v>30</v>
      </c>
      <c r="P5004">
        <v>10.270509057405301</v>
      </c>
      <c r="Q5004">
        <v>0.92944582616312699</v>
      </c>
      <c r="R5004">
        <v>1.6756244961378</v>
      </c>
      <c r="S5004">
        <v>162</v>
      </c>
      <c r="T5004">
        <v>61</v>
      </c>
      <c r="U5004">
        <v>552.753526176332</v>
      </c>
      <c r="V5004">
        <v>1.8181818181818101E-2</v>
      </c>
      <c r="W5004">
        <v>575210.09764141601</v>
      </c>
      <c r="X5004" t="s">
        <v>44</v>
      </c>
      <c r="Y5004">
        <f>1-548-664-6800</f>
        <v>-8011</v>
      </c>
    </row>
    <row r="5005" spans="1:25" x14ac:dyDescent="0.35">
      <c r="A5005">
        <v>36.110553927453303</v>
      </c>
      <c r="B5005">
        <v>-120.532056664943</v>
      </c>
      <c r="C5005" t="s">
        <v>34</v>
      </c>
      <c r="D5005">
        <v>42.352149302970403</v>
      </c>
      <c r="E5005">
        <v>1</v>
      </c>
      <c r="F5005">
        <v>3460</v>
      </c>
      <c r="G5005">
        <v>4</v>
      </c>
      <c r="H5005">
        <v>3</v>
      </c>
      <c r="I5005">
        <v>2008</v>
      </c>
      <c r="J5005">
        <v>1</v>
      </c>
      <c r="K5005">
        <v>0</v>
      </c>
      <c r="L5005">
        <v>1</v>
      </c>
      <c r="M5005">
        <v>8</v>
      </c>
      <c r="N5005" t="s">
        <v>26</v>
      </c>
      <c r="O5005" t="s">
        <v>27</v>
      </c>
      <c r="P5005">
        <v>12.706369190393399</v>
      </c>
      <c r="Q5005">
        <v>1.37192465559247</v>
      </c>
      <c r="R5005">
        <v>4.7459918096026703</v>
      </c>
      <c r="S5005">
        <v>105</v>
      </c>
      <c r="T5005">
        <v>79</v>
      </c>
      <c r="U5005">
        <v>656.29038338325404</v>
      </c>
      <c r="V5005">
        <v>2.31213872832369E-3</v>
      </c>
      <c r="W5005">
        <v>2639806.7011631299</v>
      </c>
      <c r="X5005" t="s">
        <v>39</v>
      </c>
      <c r="Y5005">
        <f>1-481-711-6148</f>
        <v>-7339</v>
      </c>
    </row>
    <row r="5006" spans="1:25" x14ac:dyDescent="0.35">
      <c r="A5006">
        <v>34.829241759507198</v>
      </c>
      <c r="B5006">
        <v>-117.553372932299</v>
      </c>
      <c r="C5006" t="s">
        <v>29</v>
      </c>
      <c r="D5006">
        <v>22.5300946697262</v>
      </c>
      <c r="E5006">
        <v>9</v>
      </c>
      <c r="F5006">
        <v>3295</v>
      </c>
      <c r="G5006">
        <v>4</v>
      </c>
      <c r="H5006">
        <v>1</v>
      </c>
      <c r="I5006">
        <v>1964</v>
      </c>
      <c r="J5006">
        <v>0</v>
      </c>
      <c r="K5006">
        <v>1</v>
      </c>
      <c r="L5006">
        <v>1</v>
      </c>
      <c r="M5006">
        <v>11</v>
      </c>
      <c r="N5006" t="s">
        <v>26</v>
      </c>
      <c r="O5006" t="s">
        <v>30</v>
      </c>
      <c r="P5006">
        <v>14.6331899743156</v>
      </c>
      <c r="Q5006">
        <v>1.2845149949599699</v>
      </c>
      <c r="R5006">
        <v>3.4454244584386502</v>
      </c>
      <c r="S5006">
        <v>24</v>
      </c>
      <c r="T5006">
        <v>76</v>
      </c>
      <c r="U5006">
        <v>913.00476983781596</v>
      </c>
      <c r="V5006">
        <v>3.3383915022761699E-3</v>
      </c>
      <c r="W5006">
        <v>3419501.8082136801</v>
      </c>
      <c r="X5006" t="s">
        <v>28</v>
      </c>
      <c r="Y5006">
        <f>1-791-505-5236</f>
        <v>-6531</v>
      </c>
    </row>
    <row r="5007" spans="1:25" x14ac:dyDescent="0.35">
      <c r="A5007">
        <v>38.8036961176334</v>
      </c>
      <c r="B5007">
        <v>-124.49088776727299</v>
      </c>
      <c r="C5007" t="s">
        <v>29</v>
      </c>
      <c r="D5007">
        <v>46.162354681709097</v>
      </c>
      <c r="E5007">
        <v>8</v>
      </c>
      <c r="F5007">
        <v>3138</v>
      </c>
      <c r="G5007">
        <v>2</v>
      </c>
      <c r="H5007">
        <v>3</v>
      </c>
      <c r="I5007">
        <v>1974</v>
      </c>
      <c r="J5007">
        <v>1</v>
      </c>
      <c r="K5007">
        <v>0</v>
      </c>
      <c r="L5007">
        <v>0</v>
      </c>
      <c r="M5007">
        <v>3</v>
      </c>
      <c r="N5007" t="s">
        <v>26</v>
      </c>
      <c r="O5007" t="s">
        <v>30</v>
      </c>
      <c r="P5007">
        <v>9.5682012043520306</v>
      </c>
      <c r="Q5007">
        <v>1.6265143149285599</v>
      </c>
      <c r="R5007">
        <v>5.9998506218437804</v>
      </c>
      <c r="S5007">
        <v>136</v>
      </c>
      <c r="T5007">
        <v>22</v>
      </c>
      <c r="U5007">
        <v>953.30124118712104</v>
      </c>
      <c r="V5007">
        <v>9.5602294455066896E-4</v>
      </c>
      <c r="W5007">
        <v>3221789.6158361202</v>
      </c>
      <c r="X5007" t="s">
        <v>39</v>
      </c>
      <c r="Y5007">
        <f>1-823-641-6841</f>
        <v>-8304</v>
      </c>
    </row>
    <row r="5008" spans="1:25" x14ac:dyDescent="0.35">
      <c r="A5008">
        <v>33.165773479113398</v>
      </c>
      <c r="B5008">
        <v>-115.456783137234</v>
      </c>
      <c r="C5008" t="s">
        <v>29</v>
      </c>
      <c r="D5008">
        <v>9.0604708464187897</v>
      </c>
      <c r="E5008">
        <v>0</v>
      </c>
      <c r="F5008">
        <v>3201</v>
      </c>
      <c r="G5008">
        <v>1</v>
      </c>
      <c r="H5008">
        <v>3</v>
      </c>
      <c r="I5008">
        <v>1984</v>
      </c>
      <c r="J5008">
        <v>1</v>
      </c>
      <c r="K5008">
        <v>0</v>
      </c>
      <c r="L5008">
        <v>1</v>
      </c>
      <c r="M5008">
        <v>13</v>
      </c>
      <c r="N5008" t="s">
        <v>26</v>
      </c>
      <c r="O5008" t="s">
        <v>27</v>
      </c>
      <c r="P5008">
        <v>6.6685151209777898</v>
      </c>
      <c r="Q5008">
        <v>0.63199343279285602</v>
      </c>
      <c r="R5008">
        <v>7.0287550797587297</v>
      </c>
      <c r="S5008">
        <v>148</v>
      </c>
      <c r="T5008">
        <v>75</v>
      </c>
      <c r="U5008">
        <v>751.59729914188699</v>
      </c>
      <c r="V5008">
        <v>4.06123086535457E-3</v>
      </c>
      <c r="W5008">
        <v>2626921.3391545601</v>
      </c>
      <c r="X5008" t="s">
        <v>44</v>
      </c>
      <c r="Y5008">
        <f>1-212-798-1048</f>
        <v>-2057</v>
      </c>
    </row>
    <row r="5009" spans="1:25" x14ac:dyDescent="0.35">
      <c r="A5009">
        <v>37.592844959215498</v>
      </c>
      <c r="B5009">
        <v>-114.166477419515</v>
      </c>
      <c r="C5009" t="s">
        <v>25</v>
      </c>
      <c r="D5009">
        <v>17.694863721212201</v>
      </c>
      <c r="E5009">
        <v>5</v>
      </c>
      <c r="F5009">
        <v>2018</v>
      </c>
      <c r="G5009">
        <v>1</v>
      </c>
      <c r="H5009">
        <v>1</v>
      </c>
      <c r="I5009">
        <v>1950</v>
      </c>
      <c r="J5009">
        <v>0</v>
      </c>
      <c r="K5009">
        <v>0</v>
      </c>
      <c r="L5009">
        <v>1</v>
      </c>
      <c r="M5009">
        <v>11</v>
      </c>
      <c r="N5009" t="s">
        <v>41</v>
      </c>
      <c r="O5009" t="s">
        <v>30</v>
      </c>
      <c r="P5009">
        <v>11.265976380709001</v>
      </c>
      <c r="Q5009">
        <v>1.8022976150552901</v>
      </c>
      <c r="R5009">
        <v>0.70219342463563195</v>
      </c>
      <c r="S5009">
        <v>91</v>
      </c>
      <c r="T5009">
        <v>54</v>
      </c>
      <c r="U5009">
        <v>844.15729521259595</v>
      </c>
      <c r="V5009">
        <v>5.4509415262636203E-3</v>
      </c>
      <c r="W5009">
        <v>1834582.7130549799</v>
      </c>
      <c r="X5009" t="s">
        <v>36</v>
      </c>
      <c r="Y5009">
        <f>1-548-101-1552</f>
        <v>-2200</v>
      </c>
    </row>
    <row r="5010" spans="1:25" x14ac:dyDescent="0.35">
      <c r="A5010">
        <v>37.847195291421798</v>
      </c>
      <c r="B5010">
        <v>-116.795062566322</v>
      </c>
      <c r="C5010" t="s">
        <v>25</v>
      </c>
      <c r="D5010">
        <v>33.968919702293398</v>
      </c>
      <c r="E5010">
        <v>8</v>
      </c>
      <c r="F5010">
        <v>4084</v>
      </c>
      <c r="G5010">
        <v>2</v>
      </c>
      <c r="H5010">
        <v>3</v>
      </c>
      <c r="I5010">
        <v>1984</v>
      </c>
      <c r="J5010">
        <v>0</v>
      </c>
      <c r="K5010">
        <v>0</v>
      </c>
      <c r="L5010">
        <v>1</v>
      </c>
      <c r="M5010">
        <v>4</v>
      </c>
      <c r="N5010" t="s">
        <v>35</v>
      </c>
      <c r="O5010" t="s">
        <v>32</v>
      </c>
      <c r="P5010">
        <v>2.52476106876101</v>
      </c>
      <c r="Q5010">
        <v>1.95957330678543</v>
      </c>
      <c r="R5010">
        <v>4.8006968100606997</v>
      </c>
      <c r="S5010">
        <v>34</v>
      </c>
      <c r="T5010">
        <v>32</v>
      </c>
      <c r="U5010">
        <v>612.43851158513598</v>
      </c>
      <c r="V5010">
        <v>9.7943192948090089E-4</v>
      </c>
      <c r="W5010">
        <v>2616313.7241362198</v>
      </c>
      <c r="X5010" t="s">
        <v>39</v>
      </c>
      <c r="Y5010">
        <f>1-613-192-5832</f>
        <v>-6636</v>
      </c>
    </row>
    <row r="5011" spans="1:25" x14ac:dyDescent="0.35">
      <c r="A5011">
        <v>40.175955918315097</v>
      </c>
      <c r="B5011">
        <v>-124.18059056229001</v>
      </c>
      <c r="C5011" t="s">
        <v>25</v>
      </c>
      <c r="D5011">
        <v>35.480268445338801</v>
      </c>
      <c r="E5011">
        <v>1</v>
      </c>
      <c r="F5011">
        <v>1464</v>
      </c>
      <c r="G5011">
        <v>5</v>
      </c>
      <c r="H5011">
        <v>3</v>
      </c>
      <c r="I5011">
        <v>1952</v>
      </c>
      <c r="J5011">
        <v>0</v>
      </c>
      <c r="K5011">
        <v>1</v>
      </c>
      <c r="L5011">
        <v>0</v>
      </c>
      <c r="M5011">
        <v>10</v>
      </c>
      <c r="N5011" t="s">
        <v>35</v>
      </c>
      <c r="O5011" t="s">
        <v>30</v>
      </c>
      <c r="P5011">
        <v>8.2042421658380693</v>
      </c>
      <c r="Q5011">
        <v>2.3236160305925999</v>
      </c>
      <c r="R5011">
        <v>2.9748363812081799</v>
      </c>
      <c r="S5011">
        <v>25</v>
      </c>
      <c r="T5011">
        <v>33</v>
      </c>
      <c r="U5011">
        <v>440.13700971308901</v>
      </c>
      <c r="V5011">
        <v>6.8306010928961703E-3</v>
      </c>
      <c r="W5011">
        <v>1019652.63725578</v>
      </c>
      <c r="X5011" t="s">
        <v>40</v>
      </c>
      <c r="Y5011">
        <f>1-919-570-8197</f>
        <v>-9685</v>
      </c>
    </row>
    <row r="5012" spans="1:25" x14ac:dyDescent="0.35">
      <c r="A5012">
        <v>41.0176745129138</v>
      </c>
      <c r="B5012">
        <v>-115.15516557123</v>
      </c>
      <c r="C5012" t="s">
        <v>25</v>
      </c>
      <c r="D5012">
        <v>36.404352198103403</v>
      </c>
      <c r="E5012">
        <v>2</v>
      </c>
      <c r="F5012">
        <v>4815</v>
      </c>
      <c r="G5012">
        <v>2</v>
      </c>
      <c r="H5012">
        <v>2</v>
      </c>
      <c r="I5012">
        <v>2016</v>
      </c>
      <c r="J5012">
        <v>1</v>
      </c>
      <c r="K5012">
        <v>1</v>
      </c>
      <c r="L5012">
        <v>0</v>
      </c>
      <c r="M5012">
        <v>5</v>
      </c>
      <c r="N5012" t="s">
        <v>37</v>
      </c>
      <c r="O5012" t="s">
        <v>32</v>
      </c>
      <c r="P5012">
        <v>4.7673884888823004</v>
      </c>
      <c r="Q5012">
        <v>1.0603761476612299</v>
      </c>
      <c r="R5012">
        <v>6.8577154467561101</v>
      </c>
      <c r="S5012">
        <v>186</v>
      </c>
      <c r="T5012">
        <v>32</v>
      </c>
      <c r="U5012">
        <v>567.25608471202497</v>
      </c>
      <c r="V5012">
        <v>1.0384215991692601E-3</v>
      </c>
      <c r="W5012">
        <v>3011348.76588629</v>
      </c>
      <c r="X5012" t="s">
        <v>38</v>
      </c>
      <c r="Y5012">
        <f>1-983-888-2832</f>
        <v>-4702</v>
      </c>
    </row>
    <row r="5013" spans="1:25" x14ac:dyDescent="0.35">
      <c r="A5013">
        <v>33.171957332207697</v>
      </c>
      <c r="B5013">
        <v>-114.512272292859</v>
      </c>
      <c r="C5013" t="s">
        <v>29</v>
      </c>
      <c r="D5013">
        <v>13.5616567890736</v>
      </c>
      <c r="E5013">
        <v>6</v>
      </c>
      <c r="F5013">
        <v>4767</v>
      </c>
      <c r="G5013">
        <v>1</v>
      </c>
      <c r="H5013">
        <v>3</v>
      </c>
      <c r="I5013">
        <v>1993</v>
      </c>
      <c r="J5013">
        <v>0</v>
      </c>
      <c r="K5013">
        <v>0</v>
      </c>
      <c r="L5013">
        <v>0</v>
      </c>
      <c r="M5013">
        <v>7</v>
      </c>
      <c r="N5013" t="s">
        <v>26</v>
      </c>
      <c r="O5013" t="s">
        <v>30</v>
      </c>
      <c r="P5013">
        <v>8.5910518835880296</v>
      </c>
      <c r="Q5013">
        <v>1.1994761849390601</v>
      </c>
      <c r="R5013">
        <v>5.8008713322035499</v>
      </c>
      <c r="S5013">
        <v>36</v>
      </c>
      <c r="T5013">
        <v>54</v>
      </c>
      <c r="U5013">
        <v>200.118457837265</v>
      </c>
      <c r="V5013">
        <v>1.46842878120411E-3</v>
      </c>
      <c r="W5013">
        <v>1097309.10818718</v>
      </c>
      <c r="X5013" t="s">
        <v>31</v>
      </c>
      <c r="Y5013">
        <f>1-485-222-6807</f>
        <v>-7513</v>
      </c>
    </row>
    <row r="5014" spans="1:25" x14ac:dyDescent="0.35">
      <c r="A5014">
        <v>39.530470887923201</v>
      </c>
      <c r="B5014">
        <v>-121.209534581699</v>
      </c>
      <c r="C5014" t="s">
        <v>34</v>
      </c>
      <c r="D5014">
        <v>18.9456500964769</v>
      </c>
      <c r="E5014">
        <v>9</v>
      </c>
      <c r="F5014">
        <v>4726</v>
      </c>
      <c r="G5014">
        <v>2</v>
      </c>
      <c r="H5014">
        <v>1</v>
      </c>
      <c r="I5014">
        <v>1956</v>
      </c>
      <c r="J5014">
        <v>0</v>
      </c>
      <c r="K5014">
        <v>0</v>
      </c>
      <c r="L5014">
        <v>1</v>
      </c>
      <c r="M5014">
        <v>4</v>
      </c>
      <c r="N5014" t="s">
        <v>26</v>
      </c>
      <c r="O5014" t="s">
        <v>32</v>
      </c>
      <c r="P5014">
        <v>12.4892946517179</v>
      </c>
      <c r="Q5014">
        <v>1.71124955518255</v>
      </c>
      <c r="R5014">
        <v>7.2154979958601304</v>
      </c>
      <c r="S5014">
        <v>77</v>
      </c>
      <c r="T5014">
        <v>40</v>
      </c>
      <c r="U5014">
        <v>292.56407967322502</v>
      </c>
      <c r="V5014">
        <v>8.4638171815488701E-4</v>
      </c>
      <c r="W5014">
        <v>1476881.8848999101</v>
      </c>
      <c r="X5014" t="s">
        <v>40</v>
      </c>
      <c r="Y5014">
        <f>1-910-962-7049</f>
        <v>-8920</v>
      </c>
    </row>
    <row r="5015" spans="1:25" x14ac:dyDescent="0.35">
      <c r="A5015">
        <v>41.684856443807597</v>
      </c>
      <c r="B5015">
        <v>-117.034149563209</v>
      </c>
      <c r="C5015" t="s">
        <v>29</v>
      </c>
      <c r="D5015">
        <v>1.0562824433934901</v>
      </c>
      <c r="E5015">
        <v>1</v>
      </c>
      <c r="F5015">
        <v>3664</v>
      </c>
      <c r="G5015">
        <v>1</v>
      </c>
      <c r="H5015">
        <v>1</v>
      </c>
      <c r="I5015">
        <v>2021</v>
      </c>
      <c r="J5015">
        <v>0</v>
      </c>
      <c r="K5015">
        <v>0</v>
      </c>
      <c r="L5015">
        <v>1</v>
      </c>
      <c r="M5015">
        <v>12</v>
      </c>
      <c r="N5015" t="s">
        <v>41</v>
      </c>
      <c r="O5015" t="s">
        <v>30</v>
      </c>
      <c r="P5015">
        <v>5.1868748748070601</v>
      </c>
      <c r="Q5015">
        <v>2.0748298177191402</v>
      </c>
      <c r="R5015">
        <v>9.5791116543812898</v>
      </c>
      <c r="S5015">
        <v>29</v>
      </c>
      <c r="T5015">
        <v>63</v>
      </c>
      <c r="U5015">
        <v>368.25730056667402</v>
      </c>
      <c r="V5015">
        <v>3.2751091703056702E-3</v>
      </c>
      <c r="W5015">
        <v>1462921.2458772601</v>
      </c>
      <c r="X5015" t="s">
        <v>33</v>
      </c>
      <c r="Y5015">
        <f>1-286-502-3750</f>
        <v>-4537</v>
      </c>
    </row>
    <row r="5016" spans="1:25" x14ac:dyDescent="0.35">
      <c r="A5016">
        <v>35.709036115407102</v>
      </c>
      <c r="B5016">
        <v>-120.429015852688</v>
      </c>
      <c r="C5016" t="s">
        <v>29</v>
      </c>
      <c r="D5016">
        <v>6.1405841870672404</v>
      </c>
      <c r="E5016">
        <v>3</v>
      </c>
      <c r="F5016">
        <v>1588</v>
      </c>
      <c r="G5016">
        <v>2</v>
      </c>
      <c r="H5016">
        <v>1</v>
      </c>
      <c r="I5016">
        <v>2018</v>
      </c>
      <c r="J5016">
        <v>1</v>
      </c>
      <c r="K5016">
        <v>1</v>
      </c>
      <c r="L5016">
        <v>0</v>
      </c>
      <c r="M5016">
        <v>10</v>
      </c>
      <c r="N5016" t="s">
        <v>37</v>
      </c>
      <c r="O5016" t="s">
        <v>27</v>
      </c>
      <c r="P5016">
        <v>14.1766315436728</v>
      </c>
      <c r="Q5016">
        <v>2.4265898253709102</v>
      </c>
      <c r="R5016">
        <v>7.8714894710508396</v>
      </c>
      <c r="S5016">
        <v>48</v>
      </c>
      <c r="T5016">
        <v>44</v>
      </c>
      <c r="U5016">
        <v>299.58761456900999</v>
      </c>
      <c r="V5016">
        <v>6.2972292191435702E-3</v>
      </c>
      <c r="W5016">
        <v>782893.06550803198</v>
      </c>
      <c r="X5016" t="s">
        <v>38</v>
      </c>
      <c r="Y5016">
        <f>1-409-173-8863</f>
        <v>-9444</v>
      </c>
    </row>
    <row r="5017" spans="1:25" x14ac:dyDescent="0.35">
      <c r="A5017">
        <v>33.004486703413498</v>
      </c>
      <c r="B5017">
        <v>-117.47344289066601</v>
      </c>
      <c r="C5017" t="s">
        <v>25</v>
      </c>
      <c r="D5017">
        <v>17.252136395471201</v>
      </c>
      <c r="E5017">
        <v>8</v>
      </c>
      <c r="F5017">
        <v>1263</v>
      </c>
      <c r="G5017">
        <v>1</v>
      </c>
      <c r="H5017">
        <v>3</v>
      </c>
      <c r="I5017">
        <v>2017</v>
      </c>
      <c r="J5017">
        <v>0</v>
      </c>
      <c r="K5017">
        <v>1</v>
      </c>
      <c r="L5017">
        <v>0</v>
      </c>
      <c r="M5017">
        <v>7</v>
      </c>
      <c r="N5017" t="s">
        <v>41</v>
      </c>
      <c r="O5017" t="s">
        <v>27</v>
      </c>
      <c r="P5017">
        <v>11.3292905123606</v>
      </c>
      <c r="Q5017">
        <v>2.1032521664649799</v>
      </c>
      <c r="R5017">
        <v>1.96587394228777</v>
      </c>
      <c r="S5017">
        <v>120</v>
      </c>
      <c r="T5017">
        <v>37</v>
      </c>
      <c r="U5017">
        <v>824.18005460722304</v>
      </c>
      <c r="V5017">
        <v>5.5423594615993596E-3</v>
      </c>
      <c r="W5017">
        <v>1328791.1348347201</v>
      </c>
      <c r="X5017" t="s">
        <v>38</v>
      </c>
      <c r="Y5017">
        <f>1-323-252-6383</f>
        <v>-6957</v>
      </c>
    </row>
    <row r="5018" spans="1:25" x14ac:dyDescent="0.35">
      <c r="A5018">
        <v>34.622234592908299</v>
      </c>
      <c r="B5018">
        <v>-122.51730920125701</v>
      </c>
      <c r="C5018" t="s">
        <v>34</v>
      </c>
      <c r="D5018">
        <v>18.558046735366801</v>
      </c>
      <c r="E5018">
        <v>9</v>
      </c>
      <c r="F5018">
        <v>987</v>
      </c>
      <c r="G5018">
        <v>4</v>
      </c>
      <c r="H5018">
        <v>3</v>
      </c>
      <c r="I5018">
        <v>1954</v>
      </c>
      <c r="J5018">
        <v>0</v>
      </c>
      <c r="K5018">
        <v>0</v>
      </c>
      <c r="L5018">
        <v>1</v>
      </c>
      <c r="M5018">
        <v>6</v>
      </c>
      <c r="N5018" t="s">
        <v>35</v>
      </c>
      <c r="O5018" t="s">
        <v>32</v>
      </c>
      <c r="P5018">
        <v>11.620101150255801</v>
      </c>
      <c r="Q5018">
        <v>0.82135247337301998</v>
      </c>
      <c r="R5018">
        <v>8.2917454387728409</v>
      </c>
      <c r="S5018">
        <v>138</v>
      </c>
      <c r="T5018">
        <v>61</v>
      </c>
      <c r="U5018">
        <v>952.446180874422</v>
      </c>
      <c r="V5018">
        <v>6.0790273556231003E-3</v>
      </c>
      <c r="W5018">
        <v>1206569.8968326801</v>
      </c>
      <c r="X5018" t="s">
        <v>38</v>
      </c>
      <c r="Y5018">
        <f>1-795-210-8282</f>
        <v>-9286</v>
      </c>
    </row>
    <row r="5019" spans="1:25" x14ac:dyDescent="0.35">
      <c r="A5019">
        <v>41.439097970137503</v>
      </c>
      <c r="B5019">
        <v>-116.69394988639699</v>
      </c>
      <c r="C5019" t="s">
        <v>34</v>
      </c>
      <c r="D5019">
        <v>40.283221168663196</v>
      </c>
      <c r="E5019">
        <v>4</v>
      </c>
      <c r="F5019">
        <v>4749</v>
      </c>
      <c r="G5019">
        <v>3</v>
      </c>
      <c r="H5019">
        <v>3</v>
      </c>
      <c r="I5019">
        <v>2014</v>
      </c>
      <c r="J5019">
        <v>0</v>
      </c>
      <c r="K5019">
        <v>0</v>
      </c>
      <c r="L5019">
        <v>0</v>
      </c>
      <c r="M5019">
        <v>9</v>
      </c>
      <c r="N5019" t="s">
        <v>37</v>
      </c>
      <c r="O5019" t="s">
        <v>30</v>
      </c>
      <c r="P5019">
        <v>3.5702459222678899</v>
      </c>
      <c r="Q5019">
        <v>1.38006151339258</v>
      </c>
      <c r="R5019">
        <v>2.6487225302537101</v>
      </c>
      <c r="S5019">
        <v>80</v>
      </c>
      <c r="T5019">
        <v>51</v>
      </c>
      <c r="U5019">
        <v>400.23062685432302</v>
      </c>
      <c r="V5019">
        <v>1.8951358180669599E-3</v>
      </c>
      <c r="W5019">
        <v>2036771.8185636201</v>
      </c>
      <c r="X5019" t="s">
        <v>43</v>
      </c>
      <c r="Y5019">
        <f>1-523-499-6687</f>
        <v>-7708</v>
      </c>
    </row>
    <row r="5020" spans="1:25" x14ac:dyDescent="0.35">
      <c r="A5020">
        <v>39.295852985446601</v>
      </c>
      <c r="B5020">
        <v>-117.589689244452</v>
      </c>
      <c r="C5020" t="s">
        <v>34</v>
      </c>
      <c r="D5020">
        <v>15.705975910133899</v>
      </c>
      <c r="E5020">
        <v>1</v>
      </c>
      <c r="F5020">
        <v>4520</v>
      </c>
      <c r="G5020">
        <v>5</v>
      </c>
      <c r="H5020">
        <v>1</v>
      </c>
      <c r="I5020">
        <v>2014</v>
      </c>
      <c r="J5020">
        <v>1</v>
      </c>
      <c r="K5020">
        <v>0</v>
      </c>
      <c r="L5020">
        <v>1</v>
      </c>
      <c r="M5020">
        <v>3</v>
      </c>
      <c r="N5020" t="s">
        <v>26</v>
      </c>
      <c r="O5020" t="s">
        <v>27</v>
      </c>
      <c r="P5020">
        <v>9.4795766035964206</v>
      </c>
      <c r="Q5020">
        <v>2.4249443543951701</v>
      </c>
      <c r="R5020">
        <v>0.37332968839367398</v>
      </c>
      <c r="S5020">
        <v>81</v>
      </c>
      <c r="T5020">
        <v>70</v>
      </c>
      <c r="U5020">
        <v>458.71632660852902</v>
      </c>
      <c r="V5020">
        <v>6.6371681415929203E-4</v>
      </c>
      <c r="W5020">
        <v>2457590.0991984298</v>
      </c>
      <c r="X5020" t="s">
        <v>39</v>
      </c>
      <c r="Y5020">
        <f>1-353-513-2158</f>
        <v>-3023</v>
      </c>
    </row>
    <row r="5021" spans="1:25" x14ac:dyDescent="0.35">
      <c r="A5021">
        <v>36.645829020424102</v>
      </c>
      <c r="B5021">
        <v>-122.011138060707</v>
      </c>
      <c r="C5021" t="s">
        <v>25</v>
      </c>
      <c r="D5021">
        <v>48.437093930357499</v>
      </c>
      <c r="E5021">
        <v>1</v>
      </c>
      <c r="F5021">
        <v>2302</v>
      </c>
      <c r="G5021">
        <v>3</v>
      </c>
      <c r="H5021">
        <v>3</v>
      </c>
      <c r="I5021">
        <v>1973</v>
      </c>
      <c r="J5021">
        <v>1</v>
      </c>
      <c r="K5021">
        <v>0</v>
      </c>
      <c r="L5021">
        <v>0</v>
      </c>
      <c r="M5021">
        <v>11</v>
      </c>
      <c r="N5021" t="s">
        <v>37</v>
      </c>
      <c r="O5021" t="s">
        <v>27</v>
      </c>
      <c r="P5021">
        <v>10.567962000880399</v>
      </c>
      <c r="Q5021">
        <v>0.89546892717404403</v>
      </c>
      <c r="R5021">
        <v>8.4205770331742809</v>
      </c>
      <c r="S5021">
        <v>120</v>
      </c>
      <c r="T5021">
        <v>53</v>
      </c>
      <c r="U5021">
        <v>599.83804576150897</v>
      </c>
      <c r="V5021">
        <v>4.7784535186794E-3</v>
      </c>
      <c r="W5021">
        <v>1707120.27418859</v>
      </c>
      <c r="X5021" t="s">
        <v>33</v>
      </c>
      <c r="Y5021">
        <f>1-660-946-1691</f>
        <v>-3296</v>
      </c>
    </row>
    <row r="5022" spans="1:25" x14ac:dyDescent="0.35">
      <c r="A5022">
        <v>34.240770021540897</v>
      </c>
      <c r="B5022">
        <v>-115.603500383304</v>
      </c>
      <c r="C5022" t="s">
        <v>34</v>
      </c>
      <c r="D5022">
        <v>39.462574212744201</v>
      </c>
      <c r="E5022">
        <v>3</v>
      </c>
      <c r="F5022">
        <v>617</v>
      </c>
      <c r="G5022">
        <v>1</v>
      </c>
      <c r="H5022">
        <v>3</v>
      </c>
      <c r="I5022">
        <v>2010</v>
      </c>
      <c r="J5022">
        <v>1</v>
      </c>
      <c r="K5022">
        <v>1</v>
      </c>
      <c r="L5022">
        <v>1</v>
      </c>
      <c r="M5022">
        <v>2</v>
      </c>
      <c r="N5022" t="s">
        <v>37</v>
      </c>
      <c r="O5022" t="s">
        <v>30</v>
      </c>
      <c r="P5022">
        <v>14.050006945379399</v>
      </c>
      <c r="Q5022">
        <v>1.6712958772901401</v>
      </c>
      <c r="R5022">
        <v>5.8474634773437302</v>
      </c>
      <c r="S5022">
        <v>44</v>
      </c>
      <c r="T5022">
        <v>78</v>
      </c>
      <c r="U5022">
        <v>853.41791427890303</v>
      </c>
      <c r="V5022">
        <v>3.2414910858995102E-3</v>
      </c>
      <c r="W5022">
        <v>893705.00539631105</v>
      </c>
      <c r="X5022" t="s">
        <v>39</v>
      </c>
      <c r="Y5022">
        <f>1-665-439-4785</f>
        <v>-5888</v>
      </c>
    </row>
    <row r="5023" spans="1:25" x14ac:dyDescent="0.35">
      <c r="A5023">
        <v>39.809812652293402</v>
      </c>
      <c r="B5023">
        <v>-115.57290888822401</v>
      </c>
      <c r="C5023" t="s">
        <v>34</v>
      </c>
      <c r="D5023">
        <v>24.829073449124099</v>
      </c>
      <c r="E5023">
        <v>1</v>
      </c>
      <c r="F5023">
        <v>1081</v>
      </c>
      <c r="G5023">
        <v>3</v>
      </c>
      <c r="H5023">
        <v>3</v>
      </c>
      <c r="I5023">
        <v>2014</v>
      </c>
      <c r="J5023">
        <v>0</v>
      </c>
      <c r="K5023">
        <v>0</v>
      </c>
      <c r="L5023">
        <v>0</v>
      </c>
      <c r="M5023">
        <v>9</v>
      </c>
      <c r="N5023" t="s">
        <v>37</v>
      </c>
      <c r="O5023" t="s">
        <v>27</v>
      </c>
      <c r="P5023">
        <v>8.4997133922866102</v>
      </c>
      <c r="Q5023">
        <v>1.3481929207221099</v>
      </c>
      <c r="R5023">
        <v>8.6924170952023996</v>
      </c>
      <c r="S5023">
        <v>164</v>
      </c>
      <c r="T5023">
        <v>76</v>
      </c>
      <c r="U5023">
        <v>773.95515688040098</v>
      </c>
      <c r="V5023">
        <v>8.3256244218316306E-3</v>
      </c>
      <c r="W5023">
        <v>997986.04195839202</v>
      </c>
      <c r="X5023" t="s">
        <v>38</v>
      </c>
      <c r="Y5023">
        <f>1-585-656-3754</f>
        <v>-4994</v>
      </c>
    </row>
    <row r="5024" spans="1:25" x14ac:dyDescent="0.35">
      <c r="A5024">
        <v>41.382995501823999</v>
      </c>
      <c r="B5024">
        <v>-115.90944679598699</v>
      </c>
      <c r="C5024" t="s">
        <v>34</v>
      </c>
      <c r="D5024">
        <v>25.3554009863334</v>
      </c>
      <c r="E5024">
        <v>9</v>
      </c>
      <c r="F5024">
        <v>4223</v>
      </c>
      <c r="G5024">
        <v>4</v>
      </c>
      <c r="H5024">
        <v>2</v>
      </c>
      <c r="I5024">
        <v>2018</v>
      </c>
      <c r="J5024">
        <v>1</v>
      </c>
      <c r="K5024">
        <v>0</v>
      </c>
      <c r="L5024">
        <v>1</v>
      </c>
      <c r="M5024">
        <v>13</v>
      </c>
      <c r="N5024" t="s">
        <v>26</v>
      </c>
      <c r="O5024" t="s">
        <v>32</v>
      </c>
      <c r="P5024">
        <v>5.9667127146074304</v>
      </c>
      <c r="Q5024">
        <v>0.79516741763193299</v>
      </c>
      <c r="R5024">
        <v>3.9800404007440302</v>
      </c>
      <c r="S5024">
        <v>10</v>
      </c>
      <c r="T5024">
        <v>56</v>
      </c>
      <c r="U5024">
        <v>361.431284317738</v>
      </c>
      <c r="V5024">
        <v>3.07838029836609E-3</v>
      </c>
      <c r="W5024">
        <v>1849188.0674729799</v>
      </c>
      <c r="X5024" t="s">
        <v>43</v>
      </c>
      <c r="Y5024">
        <f>1-943-832-9331</f>
        <v>-11105</v>
      </c>
    </row>
    <row r="5025" spans="1:25" x14ac:dyDescent="0.35">
      <c r="A5025">
        <v>40.7858110626008</v>
      </c>
      <c r="B5025">
        <v>-115.132594992246</v>
      </c>
      <c r="C5025" t="s">
        <v>34</v>
      </c>
      <c r="D5025">
        <v>11.6076022511117</v>
      </c>
      <c r="E5025">
        <v>1</v>
      </c>
      <c r="F5025">
        <v>892</v>
      </c>
      <c r="G5025">
        <v>1</v>
      </c>
      <c r="H5025">
        <v>1</v>
      </c>
      <c r="I5025">
        <v>1974</v>
      </c>
      <c r="J5025">
        <v>1</v>
      </c>
      <c r="K5025">
        <v>0</v>
      </c>
      <c r="L5025">
        <v>0</v>
      </c>
      <c r="M5025">
        <v>2</v>
      </c>
      <c r="N5025" t="s">
        <v>37</v>
      </c>
      <c r="O5025" t="s">
        <v>32</v>
      </c>
      <c r="P5025">
        <v>9.0567239506530193</v>
      </c>
      <c r="Q5025">
        <v>1.07535797442432</v>
      </c>
      <c r="R5025">
        <v>5.1114533456059297</v>
      </c>
      <c r="S5025">
        <v>186</v>
      </c>
      <c r="T5025">
        <v>48</v>
      </c>
      <c r="U5025">
        <v>662.77115612042098</v>
      </c>
      <c r="V5025">
        <v>2.2421524663677099E-3</v>
      </c>
      <c r="W5025">
        <v>698289.96890611295</v>
      </c>
      <c r="X5025" t="s">
        <v>33</v>
      </c>
      <c r="Y5025">
        <f>1-688-606-5209</f>
        <v>-6502</v>
      </c>
    </row>
    <row r="5026" spans="1:25" x14ac:dyDescent="0.35">
      <c r="A5026">
        <v>40.295824893213002</v>
      </c>
      <c r="B5026">
        <v>-122.760432610107</v>
      </c>
      <c r="C5026" t="s">
        <v>25</v>
      </c>
      <c r="D5026">
        <v>45.394718096235401</v>
      </c>
      <c r="E5026">
        <v>3</v>
      </c>
      <c r="F5026">
        <v>3664</v>
      </c>
      <c r="G5026">
        <v>3</v>
      </c>
      <c r="H5026">
        <v>3</v>
      </c>
      <c r="I5026">
        <v>2016</v>
      </c>
      <c r="J5026">
        <v>0</v>
      </c>
      <c r="K5026">
        <v>1</v>
      </c>
      <c r="L5026">
        <v>0</v>
      </c>
      <c r="M5026">
        <v>6</v>
      </c>
      <c r="N5026" t="s">
        <v>35</v>
      </c>
      <c r="O5026" t="s">
        <v>30</v>
      </c>
      <c r="P5026">
        <v>4.2320068537759896</v>
      </c>
      <c r="Q5026">
        <v>0.78232935175559903</v>
      </c>
      <c r="R5026">
        <v>3.4643886073925598</v>
      </c>
      <c r="S5026">
        <v>123</v>
      </c>
      <c r="T5026">
        <v>75</v>
      </c>
      <c r="U5026">
        <v>208.66419111467101</v>
      </c>
      <c r="V5026">
        <v>1.6375545851528301E-3</v>
      </c>
      <c r="W5026">
        <v>1060246.6633464701</v>
      </c>
      <c r="X5026" t="s">
        <v>43</v>
      </c>
      <c r="Y5026">
        <f>1-937-665-8949</f>
        <v>-10550</v>
      </c>
    </row>
    <row r="5027" spans="1:25" x14ac:dyDescent="0.35">
      <c r="A5027">
        <v>33.617685392798002</v>
      </c>
      <c r="B5027">
        <v>-118.422263705964</v>
      </c>
      <c r="C5027" t="s">
        <v>29</v>
      </c>
      <c r="D5027">
        <v>47.647795633636697</v>
      </c>
      <c r="E5027">
        <v>9</v>
      </c>
      <c r="F5027">
        <v>4139</v>
      </c>
      <c r="G5027">
        <v>1</v>
      </c>
      <c r="H5027">
        <v>2</v>
      </c>
      <c r="I5027">
        <v>2009</v>
      </c>
      <c r="J5027">
        <v>1</v>
      </c>
      <c r="K5027">
        <v>1</v>
      </c>
      <c r="L5027">
        <v>0</v>
      </c>
      <c r="M5027">
        <v>10</v>
      </c>
      <c r="N5027" t="s">
        <v>26</v>
      </c>
      <c r="O5027" t="s">
        <v>27</v>
      </c>
      <c r="P5027">
        <v>5.43742518356978</v>
      </c>
      <c r="Q5027">
        <v>2.2384313946988899</v>
      </c>
      <c r="R5027">
        <v>4.4326942108726701</v>
      </c>
      <c r="S5027">
        <v>29</v>
      </c>
      <c r="T5027">
        <v>53</v>
      </c>
      <c r="U5027">
        <v>821.06016272710303</v>
      </c>
      <c r="V5027">
        <v>2.41604252234839E-3</v>
      </c>
      <c r="W5027">
        <v>3687154.2748667202</v>
      </c>
      <c r="X5027" t="s">
        <v>28</v>
      </c>
      <c r="Y5027">
        <f>1-805-736-5186</f>
        <v>-6726</v>
      </c>
    </row>
    <row r="5028" spans="1:25" x14ac:dyDescent="0.35">
      <c r="A5028">
        <v>40.347930266118098</v>
      </c>
      <c r="B5028">
        <v>-119.088752677524</v>
      </c>
      <c r="C5028" t="s">
        <v>25</v>
      </c>
      <c r="D5028">
        <v>4.7905638048481096</v>
      </c>
      <c r="E5028">
        <v>1</v>
      </c>
      <c r="F5028">
        <v>4885</v>
      </c>
      <c r="G5028">
        <v>4</v>
      </c>
      <c r="H5028">
        <v>2</v>
      </c>
      <c r="I5028">
        <v>2014</v>
      </c>
      <c r="J5028">
        <v>1</v>
      </c>
      <c r="K5028">
        <v>0</v>
      </c>
      <c r="L5028">
        <v>0</v>
      </c>
      <c r="M5028">
        <v>12</v>
      </c>
      <c r="N5028" t="s">
        <v>37</v>
      </c>
      <c r="O5028" t="s">
        <v>30</v>
      </c>
      <c r="P5028">
        <v>6.8738605225238896</v>
      </c>
      <c r="Q5028">
        <v>0.88894560921166699</v>
      </c>
      <c r="R5028">
        <v>7.1490530471904696</v>
      </c>
      <c r="S5028">
        <v>76</v>
      </c>
      <c r="T5028">
        <v>43</v>
      </c>
      <c r="U5028">
        <v>449.369827864363</v>
      </c>
      <c r="V5028">
        <v>2.45649948822927E-3</v>
      </c>
      <c r="W5028">
        <v>2484217.8549922099</v>
      </c>
      <c r="X5028" t="s">
        <v>31</v>
      </c>
      <c r="Y5028">
        <f>1-250-961-7977</f>
        <v>-9187</v>
      </c>
    </row>
    <row r="5029" spans="1:25" x14ac:dyDescent="0.35">
      <c r="A5029">
        <v>36.325621360244902</v>
      </c>
      <c r="B5029">
        <v>-117.417183612671</v>
      </c>
      <c r="C5029" t="s">
        <v>34</v>
      </c>
      <c r="D5029">
        <v>24.321044092014699</v>
      </c>
      <c r="E5029">
        <v>1</v>
      </c>
      <c r="F5029">
        <v>4799</v>
      </c>
      <c r="G5029">
        <v>1</v>
      </c>
      <c r="H5029">
        <v>1</v>
      </c>
      <c r="I5029">
        <v>1984</v>
      </c>
      <c r="J5029">
        <v>0</v>
      </c>
      <c r="K5029">
        <v>0</v>
      </c>
      <c r="L5029">
        <v>1</v>
      </c>
      <c r="M5029">
        <v>5</v>
      </c>
      <c r="N5029" t="s">
        <v>26</v>
      </c>
      <c r="O5029" t="s">
        <v>27</v>
      </c>
      <c r="P5029">
        <v>4.4909003725906196</v>
      </c>
      <c r="Q5029">
        <v>1.44548984408848</v>
      </c>
      <c r="R5029">
        <v>2.4390402027907001</v>
      </c>
      <c r="S5029">
        <v>103</v>
      </c>
      <c r="T5029">
        <v>33</v>
      </c>
      <c r="U5029">
        <v>881.86691008487605</v>
      </c>
      <c r="V5029">
        <v>1.0418837257761999E-3</v>
      </c>
      <c r="W5029">
        <v>4250774.2233606502</v>
      </c>
      <c r="X5029" t="s">
        <v>40</v>
      </c>
      <c r="Y5029">
        <f>1-466-856-2111</f>
        <v>-3432</v>
      </c>
    </row>
    <row r="5030" spans="1:25" x14ac:dyDescent="0.35">
      <c r="A5030">
        <v>38.519932385762097</v>
      </c>
      <c r="B5030">
        <v>-117.70022435412901</v>
      </c>
      <c r="C5030" t="s">
        <v>25</v>
      </c>
      <c r="D5030">
        <v>45.311532862325002</v>
      </c>
      <c r="E5030">
        <v>8</v>
      </c>
      <c r="F5030">
        <v>1091</v>
      </c>
      <c r="G5030">
        <v>2</v>
      </c>
      <c r="H5030">
        <v>3</v>
      </c>
      <c r="I5030">
        <v>1976</v>
      </c>
      <c r="J5030">
        <v>1</v>
      </c>
      <c r="K5030">
        <v>0</v>
      </c>
      <c r="L5030">
        <v>0</v>
      </c>
      <c r="M5030">
        <v>6</v>
      </c>
      <c r="N5030" t="s">
        <v>26</v>
      </c>
      <c r="O5030" t="s">
        <v>32</v>
      </c>
      <c r="P5030">
        <v>9.1912719589639895</v>
      </c>
      <c r="Q5030">
        <v>1.86867716298146</v>
      </c>
      <c r="R5030">
        <v>5.3293914690770698</v>
      </c>
      <c r="S5030">
        <v>168</v>
      </c>
      <c r="T5030">
        <v>30</v>
      </c>
      <c r="U5030">
        <v>426.71945217351299</v>
      </c>
      <c r="V5030">
        <v>5.4995417048579196E-3</v>
      </c>
      <c r="W5030">
        <v>612233.27204850002</v>
      </c>
      <c r="X5030" t="s">
        <v>28</v>
      </c>
      <c r="Y5030">
        <f>1-450-296-2146</f>
        <v>-2891</v>
      </c>
    </row>
    <row r="5031" spans="1:25" x14ac:dyDescent="0.35">
      <c r="A5031">
        <v>36.972937754712099</v>
      </c>
      <c r="B5031">
        <v>-115.80353654114801</v>
      </c>
      <c r="C5031" t="s">
        <v>29</v>
      </c>
      <c r="D5031">
        <v>29.677621440372398</v>
      </c>
      <c r="E5031">
        <v>2</v>
      </c>
      <c r="F5031">
        <v>2008</v>
      </c>
      <c r="G5031">
        <v>2</v>
      </c>
      <c r="H5031">
        <v>3</v>
      </c>
      <c r="I5031">
        <v>1993</v>
      </c>
      <c r="J5031">
        <v>0</v>
      </c>
      <c r="K5031">
        <v>0</v>
      </c>
      <c r="L5031">
        <v>0</v>
      </c>
      <c r="M5031">
        <v>6</v>
      </c>
      <c r="N5031" t="s">
        <v>26</v>
      </c>
      <c r="O5031" t="s">
        <v>27</v>
      </c>
      <c r="P5031">
        <v>8.1640375638279394</v>
      </c>
      <c r="Q5031">
        <v>1.3204516515084701</v>
      </c>
      <c r="R5031">
        <v>8.8582680432839496</v>
      </c>
      <c r="S5031">
        <v>73</v>
      </c>
      <c r="T5031">
        <v>69</v>
      </c>
      <c r="U5031">
        <v>649.07741284013696</v>
      </c>
      <c r="V5031">
        <v>2.9880478087649402E-3</v>
      </c>
      <c r="W5031">
        <v>1429659.3833570001</v>
      </c>
      <c r="X5031" t="s">
        <v>44</v>
      </c>
      <c r="Y5031">
        <f>1-518-154-3660</f>
        <v>-4331</v>
      </c>
    </row>
    <row r="5032" spans="1:25" x14ac:dyDescent="0.35">
      <c r="A5032">
        <v>40.1892778963457</v>
      </c>
      <c r="B5032">
        <v>-118.447053677498</v>
      </c>
      <c r="C5032" t="s">
        <v>25</v>
      </c>
      <c r="D5032">
        <v>16.742132059737902</v>
      </c>
      <c r="E5032">
        <v>6</v>
      </c>
      <c r="F5032">
        <v>4432</v>
      </c>
      <c r="G5032">
        <v>1</v>
      </c>
      <c r="H5032">
        <v>3</v>
      </c>
      <c r="I5032">
        <v>1995</v>
      </c>
      <c r="J5032">
        <v>1</v>
      </c>
      <c r="K5032">
        <v>0</v>
      </c>
      <c r="L5032">
        <v>1</v>
      </c>
      <c r="M5032">
        <v>8</v>
      </c>
      <c r="N5032" t="s">
        <v>26</v>
      </c>
      <c r="O5032" t="s">
        <v>30</v>
      </c>
      <c r="P5032">
        <v>3.7847731565073399</v>
      </c>
      <c r="Q5032">
        <v>1.3394851319185399</v>
      </c>
      <c r="R5032">
        <v>4.8532703235187196</v>
      </c>
      <c r="S5032">
        <v>70</v>
      </c>
      <c r="T5032">
        <v>28</v>
      </c>
      <c r="U5032">
        <v>633.98130520939401</v>
      </c>
      <c r="V5032">
        <v>1.8050541516245399E-3</v>
      </c>
      <c r="W5032">
        <v>2967958.2609253898</v>
      </c>
      <c r="X5032" t="s">
        <v>28</v>
      </c>
      <c r="Y5032">
        <f>1-651-597-3085</f>
        <v>-4332</v>
      </c>
    </row>
    <row r="5033" spans="1:25" x14ac:dyDescent="0.35">
      <c r="A5033">
        <v>37.802426876277202</v>
      </c>
      <c r="B5033">
        <v>-118.73468797290801</v>
      </c>
      <c r="C5033" t="s">
        <v>29</v>
      </c>
      <c r="D5033">
        <v>38.544612520677902</v>
      </c>
      <c r="E5033">
        <v>4</v>
      </c>
      <c r="F5033">
        <v>589</v>
      </c>
      <c r="G5033">
        <v>5</v>
      </c>
      <c r="H5033">
        <v>2</v>
      </c>
      <c r="I5033">
        <v>2014</v>
      </c>
      <c r="J5033">
        <v>1</v>
      </c>
      <c r="K5033">
        <v>0</v>
      </c>
      <c r="L5033">
        <v>0</v>
      </c>
      <c r="M5033">
        <v>2</v>
      </c>
      <c r="N5033" t="s">
        <v>37</v>
      </c>
      <c r="O5033" t="s">
        <v>30</v>
      </c>
      <c r="P5033">
        <v>4.00574558529512</v>
      </c>
      <c r="Q5033">
        <v>1.6123923125845501</v>
      </c>
      <c r="R5033">
        <v>3.0908741211257098</v>
      </c>
      <c r="S5033">
        <v>23</v>
      </c>
      <c r="T5033">
        <v>61</v>
      </c>
      <c r="U5033">
        <v>946.96517518592202</v>
      </c>
      <c r="V5033">
        <v>3.3955857385398898E-3</v>
      </c>
      <c r="W5033">
        <v>904265.96868932503</v>
      </c>
      <c r="X5033" t="s">
        <v>31</v>
      </c>
      <c r="Y5033">
        <f>1-469-385-8083</f>
        <v>-8936</v>
      </c>
    </row>
    <row r="5034" spans="1:25" x14ac:dyDescent="0.35">
      <c r="A5034">
        <v>41.566521636650599</v>
      </c>
      <c r="B5034">
        <v>-114.221277942641</v>
      </c>
      <c r="C5034" t="s">
        <v>29</v>
      </c>
      <c r="D5034">
        <v>1.8816562633106799</v>
      </c>
      <c r="E5034">
        <v>9</v>
      </c>
      <c r="F5034">
        <v>2016</v>
      </c>
      <c r="G5034">
        <v>4</v>
      </c>
      <c r="H5034">
        <v>2</v>
      </c>
      <c r="I5034">
        <v>1965</v>
      </c>
      <c r="J5034">
        <v>0</v>
      </c>
      <c r="K5034">
        <v>1</v>
      </c>
      <c r="L5034">
        <v>1</v>
      </c>
      <c r="M5034">
        <v>9</v>
      </c>
      <c r="N5034" t="s">
        <v>37</v>
      </c>
      <c r="O5034" t="s">
        <v>32</v>
      </c>
      <c r="P5034">
        <v>7.5849022676790501</v>
      </c>
      <c r="Q5034">
        <v>0.80512920190701398</v>
      </c>
      <c r="R5034">
        <v>4.8893848736764101</v>
      </c>
      <c r="S5034">
        <v>193</v>
      </c>
      <c r="T5034">
        <v>74</v>
      </c>
      <c r="U5034">
        <v>804.33890038794402</v>
      </c>
      <c r="V5034">
        <v>4.4642857142857097E-3</v>
      </c>
      <c r="W5034">
        <v>1837717.9079981099</v>
      </c>
      <c r="X5034" t="s">
        <v>36</v>
      </c>
      <c r="Y5034">
        <f>1-655-687-8814</f>
        <v>-10155</v>
      </c>
    </row>
    <row r="5035" spans="1:25" x14ac:dyDescent="0.35">
      <c r="A5035">
        <v>39.696706772862498</v>
      </c>
      <c r="B5035">
        <v>-122.07330697261401</v>
      </c>
      <c r="C5035" t="s">
        <v>25</v>
      </c>
      <c r="D5035">
        <v>23.406856589018201</v>
      </c>
      <c r="E5035">
        <v>5</v>
      </c>
      <c r="F5035">
        <v>2099</v>
      </c>
      <c r="G5035">
        <v>3</v>
      </c>
      <c r="H5035">
        <v>1</v>
      </c>
      <c r="I5035">
        <v>1959</v>
      </c>
      <c r="J5035">
        <v>0</v>
      </c>
      <c r="K5035">
        <v>0</v>
      </c>
      <c r="L5035">
        <v>1</v>
      </c>
      <c r="M5035">
        <v>11</v>
      </c>
      <c r="N5035" t="s">
        <v>26</v>
      </c>
      <c r="O5035" t="s">
        <v>27</v>
      </c>
      <c r="P5035">
        <v>7.5045712936806197</v>
      </c>
      <c r="Q5035">
        <v>1.1913642391725601</v>
      </c>
      <c r="R5035">
        <v>5.8388263836209804</v>
      </c>
      <c r="S5035">
        <v>187</v>
      </c>
      <c r="T5035">
        <v>24</v>
      </c>
      <c r="U5035">
        <v>890.18454637474304</v>
      </c>
      <c r="V5035">
        <v>5.2405907575035701E-3</v>
      </c>
      <c r="W5035">
        <v>2070442.86174052</v>
      </c>
      <c r="X5035" t="s">
        <v>42</v>
      </c>
      <c r="Y5035">
        <f>1-677-201-6072</f>
        <v>-6949</v>
      </c>
    </row>
    <row r="5036" spans="1:25" x14ac:dyDescent="0.35">
      <c r="A5036">
        <v>33.225375764915</v>
      </c>
      <c r="B5036">
        <v>-115.95666528857301</v>
      </c>
      <c r="C5036" t="s">
        <v>25</v>
      </c>
      <c r="D5036">
        <v>35.287155723105101</v>
      </c>
      <c r="E5036">
        <v>9</v>
      </c>
      <c r="F5036">
        <v>3370</v>
      </c>
      <c r="G5036">
        <v>1</v>
      </c>
      <c r="H5036">
        <v>1</v>
      </c>
      <c r="I5036">
        <v>1995</v>
      </c>
      <c r="J5036">
        <v>1</v>
      </c>
      <c r="K5036">
        <v>0</v>
      </c>
      <c r="L5036">
        <v>1</v>
      </c>
      <c r="M5036">
        <v>10</v>
      </c>
      <c r="N5036" t="s">
        <v>26</v>
      </c>
      <c r="O5036" t="s">
        <v>27</v>
      </c>
      <c r="P5036">
        <v>13.0800693185179</v>
      </c>
      <c r="Q5036">
        <v>2.4561399170775799</v>
      </c>
      <c r="R5036">
        <v>3.2385015989624701</v>
      </c>
      <c r="S5036">
        <v>68</v>
      </c>
      <c r="T5036">
        <v>22</v>
      </c>
      <c r="U5036">
        <v>332.344539427906</v>
      </c>
      <c r="V5036">
        <v>2.9673590504451001E-3</v>
      </c>
      <c r="W5036">
        <v>1267309.8838608901</v>
      </c>
      <c r="X5036" t="s">
        <v>36</v>
      </c>
      <c r="Y5036">
        <f>1-811-611-1062</f>
        <v>-2483</v>
      </c>
    </row>
    <row r="5037" spans="1:25" x14ac:dyDescent="0.35">
      <c r="A5037">
        <v>38.4914938211259</v>
      </c>
      <c r="B5037">
        <v>-122.30449064001201</v>
      </c>
      <c r="C5037" t="s">
        <v>34</v>
      </c>
      <c r="D5037">
        <v>36.745547195495298</v>
      </c>
      <c r="E5037">
        <v>8</v>
      </c>
      <c r="F5037">
        <v>4320</v>
      </c>
      <c r="G5037">
        <v>2</v>
      </c>
      <c r="H5037">
        <v>2</v>
      </c>
      <c r="I5037">
        <v>1973</v>
      </c>
      <c r="J5037">
        <v>1</v>
      </c>
      <c r="K5037">
        <v>1</v>
      </c>
      <c r="L5037">
        <v>1</v>
      </c>
      <c r="M5037">
        <v>14</v>
      </c>
      <c r="N5037" t="s">
        <v>41</v>
      </c>
      <c r="O5037" t="s">
        <v>32</v>
      </c>
      <c r="P5037">
        <v>8.9910218851934403</v>
      </c>
      <c r="Q5037">
        <v>2.2314133525039601</v>
      </c>
      <c r="R5037">
        <v>4.1170102337074201</v>
      </c>
      <c r="S5037">
        <v>1</v>
      </c>
      <c r="T5037">
        <v>52</v>
      </c>
      <c r="U5037">
        <v>556.43232266782104</v>
      </c>
      <c r="V5037">
        <v>3.2407407407407402E-3</v>
      </c>
      <c r="W5037">
        <v>2595481.1735457699</v>
      </c>
      <c r="X5037" t="s">
        <v>31</v>
      </c>
      <c r="Y5037">
        <f>1-623-660-2048</f>
        <v>-3330</v>
      </c>
    </row>
    <row r="5038" spans="1:25" x14ac:dyDescent="0.35">
      <c r="A5038">
        <v>38.443379827537299</v>
      </c>
      <c r="B5038">
        <v>-124.182658733483</v>
      </c>
      <c r="C5038" t="s">
        <v>34</v>
      </c>
      <c r="D5038">
        <v>4.8085296816989702</v>
      </c>
      <c r="E5038">
        <v>2</v>
      </c>
      <c r="F5038">
        <v>1020</v>
      </c>
      <c r="G5038">
        <v>5</v>
      </c>
      <c r="H5038">
        <v>2</v>
      </c>
      <c r="I5038">
        <v>1969</v>
      </c>
      <c r="J5038">
        <v>0</v>
      </c>
      <c r="K5038">
        <v>0</v>
      </c>
      <c r="L5038">
        <v>0</v>
      </c>
      <c r="M5038">
        <v>10</v>
      </c>
      <c r="N5038" t="s">
        <v>41</v>
      </c>
      <c r="O5038" t="s">
        <v>32</v>
      </c>
      <c r="P5038">
        <v>2.2136716585837299</v>
      </c>
      <c r="Q5038">
        <v>2.0437002129813</v>
      </c>
      <c r="R5038">
        <v>7.2202764055218198</v>
      </c>
      <c r="S5038">
        <v>19</v>
      </c>
      <c r="T5038">
        <v>43</v>
      </c>
      <c r="U5038">
        <v>749.815933644295</v>
      </c>
      <c r="V5038">
        <v>9.8039215686274508E-3</v>
      </c>
      <c r="W5038">
        <v>979346.60940751096</v>
      </c>
      <c r="X5038" t="s">
        <v>33</v>
      </c>
      <c r="Y5038">
        <f>1-617-308-8495</f>
        <v>-9419</v>
      </c>
    </row>
    <row r="5039" spans="1:25" x14ac:dyDescent="0.35">
      <c r="A5039">
        <v>38.895920924591898</v>
      </c>
      <c r="B5039">
        <v>-116.732534757053</v>
      </c>
      <c r="C5039" t="s">
        <v>29</v>
      </c>
      <c r="D5039">
        <v>15.129991275604</v>
      </c>
      <c r="E5039">
        <v>4</v>
      </c>
      <c r="F5039">
        <v>2507</v>
      </c>
      <c r="G5039">
        <v>5</v>
      </c>
      <c r="H5039">
        <v>3</v>
      </c>
      <c r="I5039">
        <v>1983</v>
      </c>
      <c r="J5039">
        <v>1</v>
      </c>
      <c r="K5039">
        <v>1</v>
      </c>
      <c r="L5039">
        <v>0</v>
      </c>
      <c r="M5039">
        <v>4</v>
      </c>
      <c r="N5039" t="s">
        <v>26</v>
      </c>
      <c r="O5039" t="s">
        <v>27</v>
      </c>
      <c r="P5039">
        <v>9.82974300999037</v>
      </c>
      <c r="Q5039">
        <v>2.2754126722629899</v>
      </c>
      <c r="R5039">
        <v>7.3647625404798198</v>
      </c>
      <c r="S5039">
        <v>54</v>
      </c>
      <c r="T5039">
        <v>60</v>
      </c>
      <c r="U5039">
        <v>751.29603289798297</v>
      </c>
      <c r="V5039">
        <v>1.59553250897487E-3</v>
      </c>
      <c r="W5039">
        <v>2372701.4676021198</v>
      </c>
      <c r="X5039" t="s">
        <v>33</v>
      </c>
      <c r="Y5039">
        <f>1-616-125-9872</f>
        <v>-10612</v>
      </c>
    </row>
    <row r="5040" spans="1:25" x14ac:dyDescent="0.35">
      <c r="A5040">
        <v>37.366508588195103</v>
      </c>
      <c r="B5040">
        <v>-116.953593192048</v>
      </c>
      <c r="C5040" t="s">
        <v>29</v>
      </c>
      <c r="D5040">
        <v>2.1824453412324498</v>
      </c>
      <c r="E5040">
        <v>0</v>
      </c>
      <c r="F5040">
        <v>3429</v>
      </c>
      <c r="G5040">
        <v>4</v>
      </c>
      <c r="H5040">
        <v>3</v>
      </c>
      <c r="I5040">
        <v>1984</v>
      </c>
      <c r="J5040">
        <v>1</v>
      </c>
      <c r="K5040">
        <v>1</v>
      </c>
      <c r="L5040">
        <v>0</v>
      </c>
      <c r="M5040">
        <v>2</v>
      </c>
      <c r="N5040" t="s">
        <v>35</v>
      </c>
      <c r="O5040" t="s">
        <v>32</v>
      </c>
      <c r="P5040">
        <v>10.515614171842801</v>
      </c>
      <c r="Q5040">
        <v>2.30826776038736</v>
      </c>
      <c r="R5040">
        <v>1.67469071816218</v>
      </c>
      <c r="S5040">
        <v>150</v>
      </c>
      <c r="T5040">
        <v>34</v>
      </c>
      <c r="U5040">
        <v>536.58101130523596</v>
      </c>
      <c r="V5040">
        <v>5.8326042578011E-4</v>
      </c>
      <c r="W5040">
        <v>2301791.6994734001</v>
      </c>
      <c r="X5040" t="s">
        <v>36</v>
      </c>
      <c r="Y5040">
        <f>1-741-238-8212</f>
        <v>-9190</v>
      </c>
    </row>
    <row r="5041" spans="1:25" x14ac:dyDescent="0.35">
      <c r="A5041">
        <v>32.666774018625802</v>
      </c>
      <c r="B5041">
        <v>-114.056521690144</v>
      </c>
      <c r="C5041" t="s">
        <v>25</v>
      </c>
      <c r="D5041">
        <v>49.047297113504897</v>
      </c>
      <c r="E5041">
        <v>4</v>
      </c>
      <c r="F5041">
        <v>3279</v>
      </c>
      <c r="G5041">
        <v>2</v>
      </c>
      <c r="H5041">
        <v>3</v>
      </c>
      <c r="I5041">
        <v>1974</v>
      </c>
      <c r="J5041">
        <v>1</v>
      </c>
      <c r="K5041">
        <v>1</v>
      </c>
      <c r="L5041">
        <v>1</v>
      </c>
      <c r="M5041">
        <v>14</v>
      </c>
      <c r="N5041" t="s">
        <v>37</v>
      </c>
      <c r="O5041" t="s">
        <v>30</v>
      </c>
      <c r="P5041">
        <v>2.98806578367862</v>
      </c>
      <c r="Q5041">
        <v>0.91095391670911496</v>
      </c>
      <c r="R5041">
        <v>5.5902099007661397</v>
      </c>
      <c r="S5041">
        <v>82</v>
      </c>
      <c r="T5041">
        <v>37</v>
      </c>
      <c r="U5041">
        <v>220.90380079569201</v>
      </c>
      <c r="V5041">
        <v>4.2695943885330797E-3</v>
      </c>
      <c r="W5041">
        <v>1055700.31276364</v>
      </c>
      <c r="X5041" t="s">
        <v>36</v>
      </c>
      <c r="Y5041">
        <f>1-975-669-9104</f>
        <v>-10747</v>
      </c>
    </row>
    <row r="5042" spans="1:25" x14ac:dyDescent="0.35">
      <c r="A5042">
        <v>41.745989161358899</v>
      </c>
      <c r="B5042">
        <v>-119.12435109572</v>
      </c>
      <c r="C5042" t="s">
        <v>29</v>
      </c>
      <c r="D5042">
        <v>18.129490143188001</v>
      </c>
      <c r="E5042">
        <v>8</v>
      </c>
      <c r="F5042">
        <v>2256</v>
      </c>
      <c r="G5042">
        <v>2</v>
      </c>
      <c r="H5042">
        <v>2</v>
      </c>
      <c r="I5042">
        <v>2010</v>
      </c>
      <c r="J5042">
        <v>0</v>
      </c>
      <c r="K5042">
        <v>0</v>
      </c>
      <c r="L5042">
        <v>0</v>
      </c>
      <c r="M5042">
        <v>8</v>
      </c>
      <c r="N5042" t="s">
        <v>26</v>
      </c>
      <c r="O5042" t="s">
        <v>27</v>
      </c>
      <c r="P5042">
        <v>9.2678220259804096</v>
      </c>
      <c r="Q5042">
        <v>2.0404803083993799</v>
      </c>
      <c r="R5042">
        <v>1.78760791096086</v>
      </c>
      <c r="S5042">
        <v>145</v>
      </c>
      <c r="T5042">
        <v>74</v>
      </c>
      <c r="U5042">
        <v>378.50304039308202</v>
      </c>
      <c r="V5042">
        <v>3.54609929078014E-3</v>
      </c>
      <c r="W5042">
        <v>1034967.74091688</v>
      </c>
      <c r="X5042" t="s">
        <v>42</v>
      </c>
      <c r="Y5042">
        <f>1-645-247-5573</f>
        <v>-6464</v>
      </c>
    </row>
    <row r="5043" spans="1:25" x14ac:dyDescent="0.35">
      <c r="A5043">
        <v>33.3259945020543</v>
      </c>
      <c r="B5043">
        <v>-116.00538274264299</v>
      </c>
      <c r="C5043" t="s">
        <v>25</v>
      </c>
      <c r="D5043">
        <v>17.764251802814201</v>
      </c>
      <c r="E5043">
        <v>7</v>
      </c>
      <c r="F5043">
        <v>2674</v>
      </c>
      <c r="G5043">
        <v>2</v>
      </c>
      <c r="H5043">
        <v>1</v>
      </c>
      <c r="I5043">
        <v>1960</v>
      </c>
      <c r="J5043">
        <v>1</v>
      </c>
      <c r="K5043">
        <v>0</v>
      </c>
      <c r="L5043">
        <v>0</v>
      </c>
      <c r="M5043">
        <v>5</v>
      </c>
      <c r="N5043" t="s">
        <v>37</v>
      </c>
      <c r="O5043" t="s">
        <v>27</v>
      </c>
      <c r="P5043">
        <v>8.1725278768815208</v>
      </c>
      <c r="Q5043">
        <v>0.83995981219605897</v>
      </c>
      <c r="R5043">
        <v>7.8568663179796099</v>
      </c>
      <c r="S5043">
        <v>130</v>
      </c>
      <c r="T5043">
        <v>65</v>
      </c>
      <c r="U5043">
        <v>591.64526530062403</v>
      </c>
      <c r="V5043">
        <v>1.86985789080029E-3</v>
      </c>
      <c r="W5043">
        <v>1647323.4074460899</v>
      </c>
      <c r="X5043" t="s">
        <v>31</v>
      </c>
      <c r="Y5043">
        <f>1-795-341-1180</f>
        <v>-2315</v>
      </c>
    </row>
    <row r="5044" spans="1:25" x14ac:dyDescent="0.35">
      <c r="A5044">
        <v>37.399635094325298</v>
      </c>
      <c r="B5044">
        <v>-120.730490625947</v>
      </c>
      <c r="C5044" t="s">
        <v>29</v>
      </c>
      <c r="D5044">
        <v>24.264868028356702</v>
      </c>
      <c r="E5044">
        <v>7</v>
      </c>
      <c r="F5044">
        <v>4857</v>
      </c>
      <c r="G5044">
        <v>2</v>
      </c>
      <c r="H5044">
        <v>1</v>
      </c>
      <c r="I5044">
        <v>1967</v>
      </c>
      <c r="J5044">
        <v>1</v>
      </c>
      <c r="K5044">
        <v>1</v>
      </c>
      <c r="L5044">
        <v>1</v>
      </c>
      <c r="M5044">
        <v>4</v>
      </c>
      <c r="N5044" t="s">
        <v>41</v>
      </c>
      <c r="O5044" t="s">
        <v>30</v>
      </c>
      <c r="P5044">
        <v>8.1333674109833698</v>
      </c>
      <c r="Q5044">
        <v>0.67291420258725498</v>
      </c>
      <c r="R5044">
        <v>7.7866755775600698</v>
      </c>
      <c r="S5044">
        <v>69</v>
      </c>
      <c r="T5044">
        <v>40</v>
      </c>
      <c r="U5044">
        <v>604.59557655466995</v>
      </c>
      <c r="V5044">
        <v>8.2355363393040901E-4</v>
      </c>
      <c r="W5044">
        <v>3234673.8733905498</v>
      </c>
      <c r="X5044" t="s">
        <v>40</v>
      </c>
      <c r="Y5044">
        <f>1-459-289-6644</f>
        <v>-7391</v>
      </c>
    </row>
    <row r="5045" spans="1:25" x14ac:dyDescent="0.35">
      <c r="A5045">
        <v>40.738211121871601</v>
      </c>
      <c r="B5045">
        <v>-117.695552631415</v>
      </c>
      <c r="C5045" t="s">
        <v>25</v>
      </c>
      <c r="D5045">
        <v>10.641434091201299</v>
      </c>
      <c r="E5045">
        <v>8</v>
      </c>
      <c r="F5045">
        <v>2268</v>
      </c>
      <c r="G5045">
        <v>3</v>
      </c>
      <c r="H5045">
        <v>2</v>
      </c>
      <c r="I5045">
        <v>1963</v>
      </c>
      <c r="J5045">
        <v>0</v>
      </c>
      <c r="K5045">
        <v>0</v>
      </c>
      <c r="L5045">
        <v>0</v>
      </c>
      <c r="M5045">
        <v>9</v>
      </c>
      <c r="N5045" t="s">
        <v>41</v>
      </c>
      <c r="O5045" t="s">
        <v>30</v>
      </c>
      <c r="P5045">
        <v>7.73162463002026</v>
      </c>
      <c r="Q5045">
        <v>1.68651483877275</v>
      </c>
      <c r="R5045">
        <v>3.1419234662400002</v>
      </c>
      <c r="S5045">
        <v>51</v>
      </c>
      <c r="T5045">
        <v>74</v>
      </c>
      <c r="U5045">
        <v>334.68063426862102</v>
      </c>
      <c r="V5045">
        <v>3.9682539682539602E-3</v>
      </c>
      <c r="W5045">
        <v>966904.30206073297</v>
      </c>
      <c r="X5045" t="s">
        <v>39</v>
      </c>
      <c r="Y5045">
        <f>1-972-958-2230</f>
        <v>-4159</v>
      </c>
    </row>
    <row r="5046" spans="1:25" x14ac:dyDescent="0.35">
      <c r="A5046">
        <v>39.655656700943702</v>
      </c>
      <c r="B5046">
        <v>-121.81462212851299</v>
      </c>
      <c r="C5046" t="s">
        <v>29</v>
      </c>
      <c r="D5046">
        <v>13.4733074581076</v>
      </c>
      <c r="E5046">
        <v>5</v>
      </c>
      <c r="F5046">
        <v>1451</v>
      </c>
      <c r="G5046">
        <v>5</v>
      </c>
      <c r="H5046">
        <v>1</v>
      </c>
      <c r="I5046">
        <v>1951</v>
      </c>
      <c r="J5046">
        <v>1</v>
      </c>
      <c r="K5046">
        <v>1</v>
      </c>
      <c r="L5046">
        <v>0</v>
      </c>
      <c r="M5046">
        <v>2</v>
      </c>
      <c r="N5046" t="s">
        <v>35</v>
      </c>
      <c r="O5046" t="s">
        <v>27</v>
      </c>
      <c r="P5046">
        <v>12.9757283582911</v>
      </c>
      <c r="Q5046">
        <v>1.1186695771850701</v>
      </c>
      <c r="R5046">
        <v>7.0028568725861202</v>
      </c>
      <c r="S5046">
        <v>99</v>
      </c>
      <c r="T5046">
        <v>30</v>
      </c>
      <c r="U5046">
        <v>963.68464584533297</v>
      </c>
      <c r="V5046">
        <v>1.3783597518952401E-3</v>
      </c>
      <c r="W5046">
        <v>1831410.3399853799</v>
      </c>
      <c r="X5046" t="s">
        <v>33</v>
      </c>
      <c r="Y5046">
        <f>1-719-665-8444</f>
        <v>-9827</v>
      </c>
    </row>
    <row r="5047" spans="1:25" x14ac:dyDescent="0.35">
      <c r="A5047">
        <v>39.596749548807402</v>
      </c>
      <c r="B5047">
        <v>-117.402855539786</v>
      </c>
      <c r="C5047" t="s">
        <v>34</v>
      </c>
      <c r="D5047">
        <v>45.3574133226344</v>
      </c>
      <c r="E5047">
        <v>4</v>
      </c>
      <c r="F5047">
        <v>4070</v>
      </c>
      <c r="G5047">
        <v>1</v>
      </c>
      <c r="H5047">
        <v>1</v>
      </c>
      <c r="I5047">
        <v>1972</v>
      </c>
      <c r="J5047">
        <v>1</v>
      </c>
      <c r="K5047">
        <v>1</v>
      </c>
      <c r="L5047">
        <v>0</v>
      </c>
      <c r="M5047">
        <v>9</v>
      </c>
      <c r="N5047" t="s">
        <v>37</v>
      </c>
      <c r="O5047" t="s">
        <v>30</v>
      </c>
      <c r="P5047">
        <v>8.1552924503678401</v>
      </c>
      <c r="Q5047">
        <v>1.4634625536582899</v>
      </c>
      <c r="R5047">
        <v>9.1313261055936898</v>
      </c>
      <c r="S5047">
        <v>120</v>
      </c>
      <c r="T5047">
        <v>31</v>
      </c>
      <c r="U5047">
        <v>690.522875944411</v>
      </c>
      <c r="V5047">
        <v>2.2113022113022102E-3</v>
      </c>
      <c r="W5047">
        <v>2983555.3328253101</v>
      </c>
      <c r="X5047" t="s">
        <v>44</v>
      </c>
      <c r="Y5047">
        <f>1-537-368-9372</f>
        <v>-10276</v>
      </c>
    </row>
    <row r="5048" spans="1:25" x14ac:dyDescent="0.35">
      <c r="A5048">
        <v>40.353606393565201</v>
      </c>
      <c r="B5048">
        <v>-124.05215360533199</v>
      </c>
      <c r="C5048" t="s">
        <v>25</v>
      </c>
      <c r="D5048">
        <v>4.1231844331732503</v>
      </c>
      <c r="E5048">
        <v>8</v>
      </c>
      <c r="F5048">
        <v>2766</v>
      </c>
      <c r="G5048">
        <v>1</v>
      </c>
      <c r="H5048">
        <v>2</v>
      </c>
      <c r="I5048">
        <v>2021</v>
      </c>
      <c r="J5048">
        <v>0</v>
      </c>
      <c r="K5048">
        <v>1</v>
      </c>
      <c r="L5048">
        <v>1</v>
      </c>
      <c r="M5048">
        <v>14</v>
      </c>
      <c r="N5048" t="s">
        <v>37</v>
      </c>
      <c r="O5048" t="s">
        <v>30</v>
      </c>
      <c r="P5048">
        <v>14.9852441914768</v>
      </c>
      <c r="Q5048">
        <v>1.61684931681716</v>
      </c>
      <c r="R5048">
        <v>3.5475417226596599</v>
      </c>
      <c r="S5048">
        <v>144</v>
      </c>
      <c r="T5048">
        <v>61</v>
      </c>
      <c r="U5048">
        <v>617.19780593357802</v>
      </c>
      <c r="V5048">
        <v>5.06146059291395E-3</v>
      </c>
      <c r="W5048">
        <v>2024191.9665451201</v>
      </c>
      <c r="X5048" t="s">
        <v>31</v>
      </c>
      <c r="Y5048">
        <f>1-213-500-8600</f>
        <v>-9312</v>
      </c>
    </row>
    <row r="5049" spans="1:25" x14ac:dyDescent="0.35">
      <c r="A5049">
        <v>35.2693595421593</v>
      </c>
      <c r="B5049">
        <v>-121.827615479701</v>
      </c>
      <c r="C5049" t="s">
        <v>34</v>
      </c>
      <c r="D5049">
        <v>3.5113450624781399</v>
      </c>
      <c r="E5049">
        <v>9</v>
      </c>
      <c r="F5049">
        <v>3695</v>
      </c>
      <c r="G5049">
        <v>4</v>
      </c>
      <c r="H5049">
        <v>2</v>
      </c>
      <c r="I5049">
        <v>1996</v>
      </c>
      <c r="J5049">
        <v>1</v>
      </c>
      <c r="K5049">
        <v>0</v>
      </c>
      <c r="L5049">
        <v>0</v>
      </c>
      <c r="M5049">
        <v>12</v>
      </c>
      <c r="N5049" t="s">
        <v>26</v>
      </c>
      <c r="O5049" t="s">
        <v>30</v>
      </c>
      <c r="P5049">
        <v>11.5347882810375</v>
      </c>
      <c r="Q5049">
        <v>1.5077881854048001</v>
      </c>
      <c r="R5049">
        <v>0.82615504463102796</v>
      </c>
      <c r="S5049">
        <v>133</v>
      </c>
      <c r="T5049">
        <v>32</v>
      </c>
      <c r="U5049">
        <v>375.66799893945</v>
      </c>
      <c r="V5049">
        <v>3.2476319350473598E-3</v>
      </c>
      <c r="W5049">
        <v>1698042.03636335</v>
      </c>
      <c r="X5049" t="s">
        <v>33</v>
      </c>
      <c r="Y5049">
        <f>1-273-436-4221</f>
        <v>-4929</v>
      </c>
    </row>
    <row r="5050" spans="1:25" x14ac:dyDescent="0.35">
      <c r="A5050">
        <v>40.488786698773097</v>
      </c>
      <c r="B5050">
        <v>-122.479805590165</v>
      </c>
      <c r="C5050" t="s">
        <v>34</v>
      </c>
      <c r="D5050">
        <v>28.695054528017</v>
      </c>
      <c r="E5050">
        <v>7</v>
      </c>
      <c r="F5050">
        <v>4188</v>
      </c>
      <c r="G5050">
        <v>5</v>
      </c>
      <c r="H5050">
        <v>2</v>
      </c>
      <c r="I5050">
        <v>2015</v>
      </c>
      <c r="J5050">
        <v>1</v>
      </c>
      <c r="K5050">
        <v>0</v>
      </c>
      <c r="L5050">
        <v>0</v>
      </c>
      <c r="M5050">
        <v>12</v>
      </c>
      <c r="N5050" t="s">
        <v>35</v>
      </c>
      <c r="O5050" t="s">
        <v>27</v>
      </c>
      <c r="P5050">
        <v>10.0827123407093</v>
      </c>
      <c r="Q5050">
        <v>2.3933603468636901</v>
      </c>
      <c r="R5050">
        <v>9.2577146908108503</v>
      </c>
      <c r="S5050">
        <v>50</v>
      </c>
      <c r="T5050">
        <v>63</v>
      </c>
      <c r="U5050">
        <v>344.32928463933098</v>
      </c>
      <c r="V5050">
        <v>2.8653295128939801E-3</v>
      </c>
      <c r="W5050">
        <v>1747040.98691021</v>
      </c>
      <c r="X5050" t="s">
        <v>33</v>
      </c>
      <c r="Y5050">
        <f>1-810-875-5881</f>
        <v>-7565</v>
      </c>
    </row>
    <row r="5051" spans="1:25" x14ac:dyDescent="0.35">
      <c r="A5051">
        <v>37.5419872911407</v>
      </c>
      <c r="B5051">
        <v>-117.548698564918</v>
      </c>
      <c r="C5051" t="s">
        <v>29</v>
      </c>
      <c r="D5051">
        <v>34.3985897258328</v>
      </c>
      <c r="E5051">
        <v>7</v>
      </c>
      <c r="F5051">
        <v>587</v>
      </c>
      <c r="G5051">
        <v>3</v>
      </c>
      <c r="H5051">
        <v>2</v>
      </c>
      <c r="I5051">
        <v>1967</v>
      </c>
      <c r="J5051">
        <v>1</v>
      </c>
      <c r="K5051">
        <v>1</v>
      </c>
      <c r="L5051">
        <v>0</v>
      </c>
      <c r="M5051">
        <v>4</v>
      </c>
      <c r="N5051" t="s">
        <v>35</v>
      </c>
      <c r="O5051" t="s">
        <v>30</v>
      </c>
      <c r="P5051">
        <v>3.3951136905124</v>
      </c>
      <c r="Q5051">
        <v>0.69808899425056503</v>
      </c>
      <c r="R5051">
        <v>2.4108135136305902</v>
      </c>
      <c r="S5051">
        <v>20</v>
      </c>
      <c r="T5051">
        <v>49</v>
      </c>
      <c r="U5051">
        <v>625.12704534287195</v>
      </c>
      <c r="V5051">
        <v>6.8143100511073203E-3</v>
      </c>
      <c r="W5051">
        <v>642006.68905446003</v>
      </c>
      <c r="X5051" t="s">
        <v>39</v>
      </c>
      <c r="Y5051">
        <f>1-730-457-9173</f>
        <v>-10359</v>
      </c>
    </row>
    <row r="5052" spans="1:25" x14ac:dyDescent="0.35">
      <c r="A5052">
        <v>32.533348753351603</v>
      </c>
      <c r="B5052">
        <v>-116.14451557182301</v>
      </c>
      <c r="C5052" t="s">
        <v>25</v>
      </c>
      <c r="D5052">
        <v>20.727598752377698</v>
      </c>
      <c r="E5052">
        <v>9</v>
      </c>
      <c r="F5052">
        <v>3697</v>
      </c>
      <c r="G5052">
        <v>4</v>
      </c>
      <c r="H5052">
        <v>3</v>
      </c>
      <c r="I5052">
        <v>1968</v>
      </c>
      <c r="J5052">
        <v>1</v>
      </c>
      <c r="K5052">
        <v>1</v>
      </c>
      <c r="L5052">
        <v>0</v>
      </c>
      <c r="M5052">
        <v>13</v>
      </c>
      <c r="N5052" t="s">
        <v>41</v>
      </c>
      <c r="O5052" t="s">
        <v>30</v>
      </c>
      <c r="P5052">
        <v>13.399054065591301</v>
      </c>
      <c r="Q5052">
        <v>1.4676995337918799</v>
      </c>
      <c r="R5052">
        <v>4.3841384427692098</v>
      </c>
      <c r="S5052">
        <v>167</v>
      </c>
      <c r="T5052">
        <v>54</v>
      </c>
      <c r="U5052">
        <v>343.82340032910798</v>
      </c>
      <c r="V5052">
        <v>3.5163646199621299E-3</v>
      </c>
      <c r="W5052">
        <v>1749520.17379029</v>
      </c>
      <c r="X5052" t="s">
        <v>42</v>
      </c>
      <c r="Y5052">
        <f>1-383-633-3359</f>
        <v>-4374</v>
      </c>
    </row>
    <row r="5053" spans="1:25" x14ac:dyDescent="0.35">
      <c r="A5053">
        <v>35.168469257786697</v>
      </c>
      <c r="B5053">
        <v>-120.384100043853</v>
      </c>
      <c r="C5053" t="s">
        <v>25</v>
      </c>
      <c r="D5053">
        <v>7.1951687450609398</v>
      </c>
      <c r="E5053">
        <v>4</v>
      </c>
      <c r="F5053">
        <v>1509</v>
      </c>
      <c r="G5053">
        <v>2</v>
      </c>
      <c r="H5053">
        <v>2</v>
      </c>
      <c r="I5053">
        <v>2009</v>
      </c>
      <c r="J5053">
        <v>0</v>
      </c>
      <c r="K5053">
        <v>0</v>
      </c>
      <c r="L5053">
        <v>0</v>
      </c>
      <c r="M5053">
        <v>14</v>
      </c>
      <c r="N5053" t="s">
        <v>26</v>
      </c>
      <c r="O5053" t="s">
        <v>27</v>
      </c>
      <c r="P5053">
        <v>6.1734961921772298</v>
      </c>
      <c r="Q5053">
        <v>0.94387707279550104</v>
      </c>
      <c r="R5053">
        <v>5.1953869652122604</v>
      </c>
      <c r="S5053">
        <v>183</v>
      </c>
      <c r="T5053">
        <v>30</v>
      </c>
      <c r="U5053">
        <v>548.67824526070399</v>
      </c>
      <c r="V5053">
        <v>9.2776673293571907E-3</v>
      </c>
      <c r="W5053">
        <v>962960.83453454997</v>
      </c>
      <c r="X5053" t="s">
        <v>40</v>
      </c>
      <c r="Y5053">
        <f>1-688-599-6457</f>
        <v>-7743</v>
      </c>
    </row>
    <row r="5054" spans="1:25" x14ac:dyDescent="0.35">
      <c r="A5054">
        <v>36.118890938006203</v>
      </c>
      <c r="B5054">
        <v>-121.76396463528199</v>
      </c>
      <c r="C5054" t="s">
        <v>34</v>
      </c>
      <c r="D5054">
        <v>2.4873172036314299</v>
      </c>
      <c r="E5054">
        <v>1</v>
      </c>
      <c r="F5054">
        <v>1684</v>
      </c>
      <c r="G5054">
        <v>4</v>
      </c>
      <c r="H5054">
        <v>3</v>
      </c>
      <c r="I5054">
        <v>2014</v>
      </c>
      <c r="J5054">
        <v>0</v>
      </c>
      <c r="K5054">
        <v>1</v>
      </c>
      <c r="L5054">
        <v>0</v>
      </c>
      <c r="M5054">
        <v>10</v>
      </c>
      <c r="N5054" t="s">
        <v>35</v>
      </c>
      <c r="O5054" t="s">
        <v>30</v>
      </c>
      <c r="P5054">
        <v>11.1416016938502</v>
      </c>
      <c r="Q5054">
        <v>1.8886472801493099</v>
      </c>
      <c r="R5054">
        <v>1.7711877404248</v>
      </c>
      <c r="S5054">
        <v>182</v>
      </c>
      <c r="T5054">
        <v>55</v>
      </c>
      <c r="U5054">
        <v>262.21702987054402</v>
      </c>
      <c r="V5054">
        <v>5.9382422802850303E-3</v>
      </c>
      <c r="W5054">
        <v>867774.63654158404</v>
      </c>
      <c r="X5054" t="s">
        <v>33</v>
      </c>
      <c r="Y5054">
        <f>1-673-441-1178</f>
        <v>-2291</v>
      </c>
    </row>
    <row r="5055" spans="1:25" x14ac:dyDescent="0.35">
      <c r="A5055">
        <v>37.752585450359298</v>
      </c>
      <c r="B5055">
        <v>-120.30056126696</v>
      </c>
      <c r="C5055" t="s">
        <v>25</v>
      </c>
      <c r="D5055">
        <v>26.7578180368888</v>
      </c>
      <c r="E5055">
        <v>1</v>
      </c>
      <c r="F5055">
        <v>4737</v>
      </c>
      <c r="G5055">
        <v>1</v>
      </c>
      <c r="H5055">
        <v>3</v>
      </c>
      <c r="I5055">
        <v>1956</v>
      </c>
      <c r="J5055">
        <v>1</v>
      </c>
      <c r="K5055">
        <v>1</v>
      </c>
      <c r="L5055">
        <v>0</v>
      </c>
      <c r="M5055">
        <v>9</v>
      </c>
      <c r="N5055" t="s">
        <v>37</v>
      </c>
      <c r="O5055" t="s">
        <v>30</v>
      </c>
      <c r="P5055">
        <v>3.19546934166463</v>
      </c>
      <c r="Q5055">
        <v>1.73947384350071</v>
      </c>
      <c r="R5055">
        <v>6.5747986934168203</v>
      </c>
      <c r="S5055">
        <v>57</v>
      </c>
      <c r="T5055">
        <v>22</v>
      </c>
      <c r="U5055">
        <v>580.97408246564498</v>
      </c>
      <c r="V5055">
        <v>1.8999366687777E-3</v>
      </c>
      <c r="W5055">
        <v>2912309.65274635</v>
      </c>
      <c r="X5055" t="s">
        <v>33</v>
      </c>
      <c r="Y5055">
        <f>1-807-702-1764</f>
        <v>-3272</v>
      </c>
    </row>
    <row r="5056" spans="1:25" x14ac:dyDescent="0.35">
      <c r="A5056">
        <v>37.7058080016795</v>
      </c>
      <c r="B5056">
        <v>-114.257984085028</v>
      </c>
      <c r="C5056" t="s">
        <v>25</v>
      </c>
      <c r="D5056">
        <v>3.8322626641991002</v>
      </c>
      <c r="E5056">
        <v>9</v>
      </c>
      <c r="F5056">
        <v>3529</v>
      </c>
      <c r="G5056">
        <v>3</v>
      </c>
      <c r="H5056">
        <v>3</v>
      </c>
      <c r="I5056">
        <v>2008</v>
      </c>
      <c r="J5056">
        <v>0</v>
      </c>
      <c r="K5056">
        <v>1</v>
      </c>
      <c r="L5056">
        <v>1</v>
      </c>
      <c r="M5056">
        <v>5</v>
      </c>
      <c r="N5056" t="s">
        <v>41</v>
      </c>
      <c r="O5056" t="s">
        <v>32</v>
      </c>
      <c r="P5056">
        <v>4.1836832515316003</v>
      </c>
      <c r="Q5056">
        <v>0.65075612378408099</v>
      </c>
      <c r="R5056">
        <v>8.3012429897875499</v>
      </c>
      <c r="S5056">
        <v>130</v>
      </c>
      <c r="T5056">
        <v>52</v>
      </c>
      <c r="U5056">
        <v>439.50215759422701</v>
      </c>
      <c r="V5056">
        <v>1.4168319637290999E-3</v>
      </c>
      <c r="W5056">
        <v>1803287.5842373101</v>
      </c>
      <c r="X5056" t="s">
        <v>44</v>
      </c>
      <c r="Y5056">
        <f>1-967-178-7915</f>
        <v>-9059</v>
      </c>
    </row>
    <row r="5057" spans="1:25" x14ac:dyDescent="0.35">
      <c r="A5057">
        <v>38.332244067841899</v>
      </c>
      <c r="B5057">
        <v>-118.71916476257999</v>
      </c>
      <c r="C5057" t="s">
        <v>25</v>
      </c>
      <c r="D5057">
        <v>32.607470823358099</v>
      </c>
      <c r="E5057">
        <v>8</v>
      </c>
      <c r="F5057">
        <v>3437</v>
      </c>
      <c r="G5057">
        <v>3</v>
      </c>
      <c r="H5057">
        <v>3</v>
      </c>
      <c r="I5057">
        <v>1954</v>
      </c>
      <c r="J5057">
        <v>1</v>
      </c>
      <c r="K5057">
        <v>1</v>
      </c>
      <c r="L5057">
        <v>0</v>
      </c>
      <c r="M5057">
        <v>11</v>
      </c>
      <c r="N5057" t="s">
        <v>41</v>
      </c>
      <c r="O5057" t="s">
        <v>30</v>
      </c>
      <c r="P5057">
        <v>7.4566715508731498</v>
      </c>
      <c r="Q5057">
        <v>0.92277596564655795</v>
      </c>
      <c r="R5057">
        <v>4.1481111582742303</v>
      </c>
      <c r="S5057">
        <v>153</v>
      </c>
      <c r="T5057">
        <v>30</v>
      </c>
      <c r="U5057">
        <v>896.04305487075999</v>
      </c>
      <c r="V5057">
        <v>3.20046552225778E-3</v>
      </c>
      <c r="W5057">
        <v>3470228.2804483501</v>
      </c>
      <c r="X5057" t="s">
        <v>39</v>
      </c>
      <c r="Y5057">
        <f>1-706-252-8953</f>
        <v>-9910</v>
      </c>
    </row>
    <row r="5058" spans="1:25" x14ac:dyDescent="0.35">
      <c r="A5058">
        <v>36.657389135846401</v>
      </c>
      <c r="B5058">
        <v>-123.45354607783599</v>
      </c>
      <c r="C5058" t="s">
        <v>25</v>
      </c>
      <c r="D5058">
        <v>48.762134825240103</v>
      </c>
      <c r="E5058">
        <v>8</v>
      </c>
      <c r="F5058">
        <v>3239</v>
      </c>
      <c r="G5058">
        <v>4</v>
      </c>
      <c r="H5058">
        <v>1</v>
      </c>
      <c r="I5058">
        <v>1962</v>
      </c>
      <c r="J5058">
        <v>1</v>
      </c>
      <c r="K5058">
        <v>1</v>
      </c>
      <c r="L5058">
        <v>1</v>
      </c>
      <c r="M5058">
        <v>8</v>
      </c>
      <c r="N5058" t="s">
        <v>37</v>
      </c>
      <c r="O5058" t="s">
        <v>30</v>
      </c>
      <c r="P5058">
        <v>6.4528351601778402</v>
      </c>
      <c r="Q5058">
        <v>1.9536426964045699</v>
      </c>
      <c r="R5058">
        <v>1.0613620888595601</v>
      </c>
      <c r="S5058">
        <v>166</v>
      </c>
      <c r="T5058">
        <v>49</v>
      </c>
      <c r="U5058">
        <v>912.02208610242099</v>
      </c>
      <c r="V5058">
        <v>2.46989811670268E-3</v>
      </c>
      <c r="W5058">
        <v>3256376.35405875</v>
      </c>
      <c r="X5058" t="s">
        <v>31</v>
      </c>
      <c r="Y5058">
        <f>1-518-587-3469</f>
        <v>-4573</v>
      </c>
    </row>
    <row r="5059" spans="1:25" x14ac:dyDescent="0.35">
      <c r="A5059">
        <v>37.287288806164</v>
      </c>
      <c r="B5059">
        <v>-123.99141937842499</v>
      </c>
      <c r="C5059" t="s">
        <v>25</v>
      </c>
      <c r="D5059">
        <v>4.0673637587606999</v>
      </c>
      <c r="E5059">
        <v>3</v>
      </c>
      <c r="F5059">
        <v>1829</v>
      </c>
      <c r="G5059">
        <v>2</v>
      </c>
      <c r="H5059">
        <v>2</v>
      </c>
      <c r="I5059">
        <v>1987</v>
      </c>
      <c r="J5059">
        <v>0</v>
      </c>
      <c r="K5059">
        <v>1</v>
      </c>
      <c r="L5059">
        <v>0</v>
      </c>
      <c r="M5059">
        <v>5</v>
      </c>
      <c r="N5059" t="s">
        <v>41</v>
      </c>
      <c r="O5059" t="s">
        <v>32</v>
      </c>
      <c r="P5059">
        <v>2.64073400681092</v>
      </c>
      <c r="Q5059">
        <v>2.2335354022340401</v>
      </c>
      <c r="R5059">
        <v>0.163145820241579</v>
      </c>
      <c r="S5059">
        <v>185</v>
      </c>
      <c r="T5059">
        <v>72</v>
      </c>
      <c r="U5059">
        <v>519.17592894951804</v>
      </c>
      <c r="V5059">
        <v>2.73373428102788E-3</v>
      </c>
      <c r="W5059">
        <v>1161615.5236460699</v>
      </c>
      <c r="X5059" t="s">
        <v>42</v>
      </c>
      <c r="Y5059">
        <f>1-230-197-4083</f>
        <v>-4509</v>
      </c>
    </row>
    <row r="5060" spans="1:25" x14ac:dyDescent="0.35">
      <c r="A5060">
        <v>37.424718490099103</v>
      </c>
      <c r="B5060">
        <v>-123.99796761579</v>
      </c>
      <c r="C5060" t="s">
        <v>25</v>
      </c>
      <c r="D5060">
        <v>35.069525278868397</v>
      </c>
      <c r="E5060">
        <v>7</v>
      </c>
      <c r="F5060">
        <v>3315</v>
      </c>
      <c r="G5060">
        <v>1</v>
      </c>
      <c r="H5060">
        <v>1</v>
      </c>
      <c r="I5060">
        <v>1958</v>
      </c>
      <c r="J5060">
        <v>0</v>
      </c>
      <c r="K5060">
        <v>1</v>
      </c>
      <c r="L5060">
        <v>0</v>
      </c>
      <c r="M5060">
        <v>4</v>
      </c>
      <c r="N5060" t="s">
        <v>37</v>
      </c>
      <c r="O5060" t="s">
        <v>32</v>
      </c>
      <c r="P5060">
        <v>7.4031859286170896</v>
      </c>
      <c r="Q5060">
        <v>2.3002644403839598</v>
      </c>
      <c r="R5060">
        <v>6.8805325064651699</v>
      </c>
      <c r="S5060">
        <v>140</v>
      </c>
      <c r="T5060">
        <v>45</v>
      </c>
      <c r="U5060">
        <v>558.39592023031696</v>
      </c>
      <c r="V5060">
        <v>1.2066365007541401E-3</v>
      </c>
      <c r="W5060">
        <v>1942266.8640059601</v>
      </c>
      <c r="X5060" t="s">
        <v>42</v>
      </c>
      <c r="Y5060">
        <f>1-236-112-6781</f>
        <v>-7128</v>
      </c>
    </row>
    <row r="5061" spans="1:25" x14ac:dyDescent="0.35">
      <c r="A5061">
        <v>38.649864017276698</v>
      </c>
      <c r="B5061">
        <v>-116.347641224727</v>
      </c>
      <c r="C5061" t="s">
        <v>29</v>
      </c>
      <c r="D5061">
        <v>40.928649701471301</v>
      </c>
      <c r="E5061">
        <v>9</v>
      </c>
      <c r="F5061">
        <v>4913</v>
      </c>
      <c r="G5061">
        <v>1</v>
      </c>
      <c r="H5061">
        <v>3</v>
      </c>
      <c r="I5061">
        <v>1960</v>
      </c>
      <c r="J5061">
        <v>0</v>
      </c>
      <c r="K5061">
        <v>1</v>
      </c>
      <c r="L5061">
        <v>1</v>
      </c>
      <c r="M5061">
        <v>2</v>
      </c>
      <c r="N5061" t="s">
        <v>35</v>
      </c>
      <c r="O5061" t="s">
        <v>27</v>
      </c>
      <c r="P5061">
        <v>9.5888853150788798</v>
      </c>
      <c r="Q5061">
        <v>2.3514854544852901</v>
      </c>
      <c r="R5061">
        <v>5.1534854976015998</v>
      </c>
      <c r="S5061">
        <v>174</v>
      </c>
      <c r="T5061">
        <v>36</v>
      </c>
      <c r="U5061">
        <v>725.29991714804203</v>
      </c>
      <c r="V5061">
        <v>4.0708324852432301E-4</v>
      </c>
      <c r="W5061">
        <v>3772627.0599580701</v>
      </c>
      <c r="X5061" t="s">
        <v>42</v>
      </c>
      <c r="Y5061">
        <f>1-829-448-2974</f>
        <v>-4250</v>
      </c>
    </row>
    <row r="5062" spans="1:25" x14ac:dyDescent="0.35">
      <c r="A5062">
        <v>35.1791247465681</v>
      </c>
      <c r="B5062">
        <v>-121.84530294484099</v>
      </c>
      <c r="C5062" t="s">
        <v>29</v>
      </c>
      <c r="D5062">
        <v>17.551396366240098</v>
      </c>
      <c r="E5062">
        <v>3</v>
      </c>
      <c r="F5062">
        <v>4635</v>
      </c>
      <c r="G5062">
        <v>2</v>
      </c>
      <c r="H5062">
        <v>1</v>
      </c>
      <c r="I5062">
        <v>1986</v>
      </c>
      <c r="J5062">
        <v>1</v>
      </c>
      <c r="K5062">
        <v>1</v>
      </c>
      <c r="L5062">
        <v>0</v>
      </c>
      <c r="M5062">
        <v>13</v>
      </c>
      <c r="N5062" t="s">
        <v>41</v>
      </c>
      <c r="O5062" t="s">
        <v>32</v>
      </c>
      <c r="P5062">
        <v>11.167607254652999</v>
      </c>
      <c r="Q5062">
        <v>0.65902863517520305</v>
      </c>
      <c r="R5062">
        <v>7.7841057290599602</v>
      </c>
      <c r="S5062">
        <v>172</v>
      </c>
      <c r="T5062">
        <v>42</v>
      </c>
      <c r="U5062">
        <v>680.82637694493405</v>
      </c>
      <c r="V5062">
        <v>2.8047464940668802E-3</v>
      </c>
      <c r="W5062">
        <v>3430619.0748586198</v>
      </c>
      <c r="X5062" t="s">
        <v>28</v>
      </c>
      <c r="Y5062">
        <f>1-292-377-7441</f>
        <v>-8109</v>
      </c>
    </row>
    <row r="5063" spans="1:25" x14ac:dyDescent="0.35">
      <c r="A5063">
        <v>40.293924643626099</v>
      </c>
      <c r="B5063">
        <v>-121.428658988</v>
      </c>
      <c r="C5063" t="s">
        <v>25</v>
      </c>
      <c r="D5063">
        <v>19.0097166518634</v>
      </c>
      <c r="E5063">
        <v>2</v>
      </c>
      <c r="F5063">
        <v>4970</v>
      </c>
      <c r="G5063">
        <v>1</v>
      </c>
      <c r="H5063">
        <v>1</v>
      </c>
      <c r="I5063">
        <v>1951</v>
      </c>
      <c r="J5063">
        <v>0</v>
      </c>
      <c r="K5063">
        <v>1</v>
      </c>
      <c r="L5063">
        <v>0</v>
      </c>
      <c r="M5063">
        <v>9</v>
      </c>
      <c r="N5063" t="s">
        <v>35</v>
      </c>
      <c r="O5063" t="s">
        <v>27</v>
      </c>
      <c r="P5063">
        <v>12.6273857850524</v>
      </c>
      <c r="Q5063">
        <v>2.40617919272586</v>
      </c>
      <c r="R5063">
        <v>7.1000521895467203</v>
      </c>
      <c r="S5063">
        <v>177</v>
      </c>
      <c r="T5063">
        <v>77</v>
      </c>
      <c r="U5063">
        <v>360.93093356606801</v>
      </c>
      <c r="V5063">
        <v>1.8108651911468801E-3</v>
      </c>
      <c r="W5063">
        <v>1914771.05328347</v>
      </c>
      <c r="X5063" t="s">
        <v>31</v>
      </c>
      <c r="Y5063">
        <f>1-779-706-4339</f>
        <v>-5823</v>
      </c>
    </row>
    <row r="5064" spans="1:25" x14ac:dyDescent="0.35">
      <c r="A5064">
        <v>39.199181949624702</v>
      </c>
      <c r="B5064">
        <v>-116.60934176031699</v>
      </c>
      <c r="C5064" t="s">
        <v>25</v>
      </c>
      <c r="D5064">
        <v>38.044833124175497</v>
      </c>
      <c r="E5064">
        <v>2</v>
      </c>
      <c r="F5064">
        <v>3731</v>
      </c>
      <c r="G5064">
        <v>5</v>
      </c>
      <c r="H5064">
        <v>3</v>
      </c>
      <c r="I5064">
        <v>1969</v>
      </c>
      <c r="J5064">
        <v>1</v>
      </c>
      <c r="K5064">
        <v>0</v>
      </c>
      <c r="L5064">
        <v>1</v>
      </c>
      <c r="M5064">
        <v>10</v>
      </c>
      <c r="N5064" t="s">
        <v>35</v>
      </c>
      <c r="O5064" t="s">
        <v>27</v>
      </c>
      <c r="P5064">
        <v>7.3455937508983</v>
      </c>
      <c r="Q5064">
        <v>1.0796714138263299</v>
      </c>
      <c r="R5064">
        <v>2.0009156551255298</v>
      </c>
      <c r="S5064">
        <v>22</v>
      </c>
      <c r="T5064">
        <v>62</v>
      </c>
      <c r="U5064">
        <v>526.255156420503</v>
      </c>
      <c r="V5064">
        <v>2.6802465826856001E-3</v>
      </c>
      <c r="W5064">
        <v>2338948.68070147</v>
      </c>
      <c r="X5064" t="s">
        <v>31</v>
      </c>
      <c r="Y5064">
        <f>1-692-165-9900</f>
        <v>-10756</v>
      </c>
    </row>
    <row r="5065" spans="1:25" x14ac:dyDescent="0.35">
      <c r="A5065">
        <v>36.115495375191401</v>
      </c>
      <c r="B5065">
        <v>-119.456420155107</v>
      </c>
      <c r="C5065" t="s">
        <v>34</v>
      </c>
      <c r="D5065">
        <v>38.980115720895498</v>
      </c>
      <c r="E5065">
        <v>3</v>
      </c>
      <c r="F5065">
        <v>3459</v>
      </c>
      <c r="G5065">
        <v>3</v>
      </c>
      <c r="H5065">
        <v>2</v>
      </c>
      <c r="I5065">
        <v>1999</v>
      </c>
      <c r="J5065">
        <v>1</v>
      </c>
      <c r="K5065">
        <v>0</v>
      </c>
      <c r="L5065">
        <v>0</v>
      </c>
      <c r="M5065">
        <v>10</v>
      </c>
      <c r="N5065" t="s">
        <v>37</v>
      </c>
      <c r="O5065" t="s">
        <v>30</v>
      </c>
      <c r="P5065">
        <v>14.2791114142913</v>
      </c>
      <c r="Q5065">
        <v>1.7986905833253199</v>
      </c>
      <c r="R5065">
        <v>2.2814404107720301</v>
      </c>
      <c r="S5065">
        <v>10</v>
      </c>
      <c r="T5065">
        <v>29</v>
      </c>
      <c r="U5065">
        <v>413.51142243181903</v>
      </c>
      <c r="V5065">
        <v>2.8910089621277798E-3</v>
      </c>
      <c r="W5065">
        <v>1796261.6516730001</v>
      </c>
      <c r="X5065" t="s">
        <v>28</v>
      </c>
      <c r="Y5065">
        <f>1-520-767-4383</f>
        <v>-5669</v>
      </c>
    </row>
    <row r="5066" spans="1:25" x14ac:dyDescent="0.35">
      <c r="A5066">
        <v>41.6923144828707</v>
      </c>
      <c r="B5066">
        <v>-116.19108872386801</v>
      </c>
      <c r="C5066" t="s">
        <v>25</v>
      </c>
      <c r="D5066">
        <v>34.427431066148699</v>
      </c>
      <c r="E5066">
        <v>6</v>
      </c>
      <c r="F5066">
        <v>4225</v>
      </c>
      <c r="G5066">
        <v>2</v>
      </c>
      <c r="H5066">
        <v>3</v>
      </c>
      <c r="I5066">
        <v>1984</v>
      </c>
      <c r="J5066">
        <v>0</v>
      </c>
      <c r="K5066">
        <v>0</v>
      </c>
      <c r="L5066">
        <v>0</v>
      </c>
      <c r="M5066">
        <v>12</v>
      </c>
      <c r="N5066" t="s">
        <v>37</v>
      </c>
      <c r="O5066" t="s">
        <v>27</v>
      </c>
      <c r="P5066">
        <v>7.8255158663699298</v>
      </c>
      <c r="Q5066">
        <v>1.55918820223652</v>
      </c>
      <c r="R5066">
        <v>1.5319001249555499</v>
      </c>
      <c r="S5066">
        <v>156</v>
      </c>
      <c r="T5066">
        <v>26</v>
      </c>
      <c r="U5066">
        <v>845.593735864976</v>
      </c>
      <c r="V5066">
        <v>2.8402366863905298E-3</v>
      </c>
      <c r="W5066">
        <v>3812909.14523941</v>
      </c>
      <c r="X5066" t="s">
        <v>42</v>
      </c>
      <c r="Y5066">
        <f>1-234-830-8648</f>
        <v>-9711</v>
      </c>
    </row>
    <row r="5067" spans="1:25" x14ac:dyDescent="0.35">
      <c r="A5067">
        <v>32.940012581921202</v>
      </c>
      <c r="B5067">
        <v>-122.298775835181</v>
      </c>
      <c r="C5067" t="s">
        <v>34</v>
      </c>
      <c r="D5067">
        <v>38.185412107946</v>
      </c>
      <c r="E5067">
        <v>2</v>
      </c>
      <c r="F5067">
        <v>4055</v>
      </c>
      <c r="G5067">
        <v>2</v>
      </c>
      <c r="H5067">
        <v>2</v>
      </c>
      <c r="I5067">
        <v>1987</v>
      </c>
      <c r="J5067">
        <v>0</v>
      </c>
      <c r="K5067">
        <v>0</v>
      </c>
      <c r="L5067">
        <v>0</v>
      </c>
      <c r="M5067">
        <v>9</v>
      </c>
      <c r="N5067" t="s">
        <v>26</v>
      </c>
      <c r="O5067" t="s">
        <v>32</v>
      </c>
      <c r="P5067">
        <v>3.09341422702028</v>
      </c>
      <c r="Q5067">
        <v>0.77519407898722803</v>
      </c>
      <c r="R5067">
        <v>2.21263174457675</v>
      </c>
      <c r="S5067">
        <v>41</v>
      </c>
      <c r="T5067">
        <v>51</v>
      </c>
      <c r="U5067">
        <v>696.74249463759202</v>
      </c>
      <c r="V5067">
        <v>2.2194821208384699E-3</v>
      </c>
      <c r="W5067">
        <v>2852892.9774408299</v>
      </c>
      <c r="X5067" t="s">
        <v>33</v>
      </c>
      <c r="Y5067">
        <f>1-272-243-8685</f>
        <v>-9199</v>
      </c>
    </row>
    <row r="5068" spans="1:25" x14ac:dyDescent="0.35">
      <c r="A5068">
        <v>36.530161346992898</v>
      </c>
      <c r="B5068">
        <v>-123.329000550872</v>
      </c>
      <c r="C5068" t="s">
        <v>34</v>
      </c>
      <c r="D5068">
        <v>28.690583867499701</v>
      </c>
      <c r="E5068">
        <v>2</v>
      </c>
      <c r="F5068">
        <v>899</v>
      </c>
      <c r="G5068">
        <v>2</v>
      </c>
      <c r="H5068">
        <v>1</v>
      </c>
      <c r="I5068">
        <v>1970</v>
      </c>
      <c r="J5068">
        <v>0</v>
      </c>
      <c r="K5068">
        <v>0</v>
      </c>
      <c r="L5068">
        <v>0</v>
      </c>
      <c r="M5068">
        <v>6</v>
      </c>
      <c r="N5068" t="s">
        <v>41</v>
      </c>
      <c r="O5068" t="s">
        <v>27</v>
      </c>
      <c r="P5068">
        <v>2.93487055435999</v>
      </c>
      <c r="Q5068">
        <v>1.05321395229461</v>
      </c>
      <c r="R5068">
        <v>8.1931338438750405</v>
      </c>
      <c r="S5068">
        <v>107</v>
      </c>
      <c r="T5068">
        <v>22</v>
      </c>
      <c r="U5068">
        <v>691.731516474611</v>
      </c>
      <c r="V5068">
        <v>6.6740823136818596E-3</v>
      </c>
      <c r="W5068">
        <v>637428.63794836996</v>
      </c>
      <c r="X5068" t="s">
        <v>40</v>
      </c>
      <c r="Y5068">
        <f>1-480-353-2107</f>
        <v>-2939</v>
      </c>
    </row>
    <row r="5069" spans="1:25" x14ac:dyDescent="0.35">
      <c r="A5069">
        <v>36.864952451248499</v>
      </c>
      <c r="B5069">
        <v>-116.28877774361101</v>
      </c>
      <c r="C5069" t="s">
        <v>34</v>
      </c>
      <c r="D5069">
        <v>17.0260217450966</v>
      </c>
      <c r="E5069">
        <v>9</v>
      </c>
      <c r="F5069">
        <v>4015</v>
      </c>
      <c r="G5069">
        <v>1</v>
      </c>
      <c r="H5069">
        <v>1</v>
      </c>
      <c r="I5069">
        <v>1957</v>
      </c>
      <c r="J5069">
        <v>1</v>
      </c>
      <c r="K5069">
        <v>0</v>
      </c>
      <c r="L5069">
        <v>0</v>
      </c>
      <c r="M5069">
        <v>2</v>
      </c>
      <c r="N5069" t="s">
        <v>41</v>
      </c>
      <c r="O5069" t="s">
        <v>30</v>
      </c>
      <c r="P5069">
        <v>7.1602045976299902</v>
      </c>
      <c r="Q5069">
        <v>2.1454250874475198</v>
      </c>
      <c r="R5069">
        <v>8.3930280677426001</v>
      </c>
      <c r="S5069">
        <v>68</v>
      </c>
      <c r="T5069">
        <v>21</v>
      </c>
      <c r="U5069">
        <v>684.88168345475901</v>
      </c>
      <c r="V5069">
        <v>4.9813200498132002E-4</v>
      </c>
      <c r="W5069">
        <v>2752981.1440142002</v>
      </c>
      <c r="X5069" t="s">
        <v>40</v>
      </c>
      <c r="Y5069">
        <f>1-606-245-3609</f>
        <v>-4459</v>
      </c>
    </row>
    <row r="5070" spans="1:25" x14ac:dyDescent="0.35">
      <c r="A5070">
        <v>41.652907769184097</v>
      </c>
      <c r="B5070">
        <v>-124.286207409558</v>
      </c>
      <c r="C5070" t="s">
        <v>25</v>
      </c>
      <c r="D5070">
        <v>13.035285872821101</v>
      </c>
      <c r="E5070">
        <v>1</v>
      </c>
      <c r="F5070">
        <v>2887</v>
      </c>
      <c r="G5070">
        <v>2</v>
      </c>
      <c r="H5070">
        <v>2</v>
      </c>
      <c r="I5070">
        <v>1983</v>
      </c>
      <c r="J5070">
        <v>1</v>
      </c>
      <c r="K5070">
        <v>1</v>
      </c>
      <c r="L5070">
        <v>1</v>
      </c>
      <c r="M5070">
        <v>10</v>
      </c>
      <c r="N5070" t="s">
        <v>35</v>
      </c>
      <c r="O5070" t="s">
        <v>32</v>
      </c>
      <c r="P5070">
        <v>12.435730973295099</v>
      </c>
      <c r="Q5070">
        <v>1.1171754041241799</v>
      </c>
      <c r="R5070">
        <v>2.4183072903225402</v>
      </c>
      <c r="S5070">
        <v>118</v>
      </c>
      <c r="T5070">
        <v>60</v>
      </c>
      <c r="U5070">
        <v>678.91135158245299</v>
      </c>
      <c r="V5070">
        <v>3.4638032559750598E-3</v>
      </c>
      <c r="W5070">
        <v>2271986.3736323901</v>
      </c>
      <c r="X5070" t="s">
        <v>31</v>
      </c>
      <c r="Y5070">
        <f>1-554-834-1313</f>
        <v>-2700</v>
      </c>
    </row>
    <row r="5071" spans="1:25" x14ac:dyDescent="0.35">
      <c r="A5071">
        <v>35.580455667391803</v>
      </c>
      <c r="B5071">
        <v>-119.18209823316199</v>
      </c>
      <c r="C5071" t="s">
        <v>34</v>
      </c>
      <c r="D5071">
        <v>7.9192334432040496</v>
      </c>
      <c r="E5071">
        <v>0</v>
      </c>
      <c r="F5071">
        <v>4486</v>
      </c>
      <c r="G5071">
        <v>1</v>
      </c>
      <c r="H5071">
        <v>2</v>
      </c>
      <c r="I5071">
        <v>1961</v>
      </c>
      <c r="J5071">
        <v>1</v>
      </c>
      <c r="K5071">
        <v>0</v>
      </c>
      <c r="L5071">
        <v>0</v>
      </c>
      <c r="M5071">
        <v>11</v>
      </c>
      <c r="N5071" t="s">
        <v>26</v>
      </c>
      <c r="O5071" t="s">
        <v>32</v>
      </c>
      <c r="P5071">
        <v>8.8224606270607495</v>
      </c>
      <c r="Q5071">
        <v>1.18800187741338</v>
      </c>
      <c r="R5071">
        <v>8.6423184772355501</v>
      </c>
      <c r="S5071">
        <v>195</v>
      </c>
      <c r="T5071">
        <v>29</v>
      </c>
      <c r="U5071">
        <v>259.87423084762497</v>
      </c>
      <c r="V5071">
        <v>2.4520731163620098E-3</v>
      </c>
      <c r="W5071">
        <v>1244097.15280676</v>
      </c>
      <c r="X5071" t="s">
        <v>38</v>
      </c>
      <c r="Y5071">
        <f>1-667-984-6277</f>
        <v>-7927</v>
      </c>
    </row>
    <row r="5072" spans="1:25" x14ac:dyDescent="0.35">
      <c r="A5072">
        <v>38.250458788753797</v>
      </c>
      <c r="B5072">
        <v>-118.813131173592</v>
      </c>
      <c r="C5072" t="s">
        <v>29</v>
      </c>
      <c r="D5072">
        <v>8.2647508497833808</v>
      </c>
      <c r="E5072">
        <v>1</v>
      </c>
      <c r="F5072">
        <v>1224</v>
      </c>
      <c r="G5072">
        <v>3</v>
      </c>
      <c r="H5072">
        <v>2</v>
      </c>
      <c r="I5072">
        <v>1968</v>
      </c>
      <c r="J5072">
        <v>0</v>
      </c>
      <c r="K5072">
        <v>0</v>
      </c>
      <c r="L5072">
        <v>0</v>
      </c>
      <c r="M5072">
        <v>3</v>
      </c>
      <c r="N5072" t="s">
        <v>26</v>
      </c>
      <c r="O5072" t="s">
        <v>27</v>
      </c>
      <c r="P5072">
        <v>4.74577728718271</v>
      </c>
      <c r="Q5072">
        <v>2.00394528786068</v>
      </c>
      <c r="R5072">
        <v>4.7209564005634297</v>
      </c>
      <c r="S5072">
        <v>47</v>
      </c>
      <c r="T5072">
        <v>69</v>
      </c>
      <c r="U5072">
        <v>936.33376658812404</v>
      </c>
      <c r="V5072">
        <v>2.4509803921568601E-3</v>
      </c>
      <c r="W5072">
        <v>1305480.1450448199</v>
      </c>
      <c r="X5072" t="s">
        <v>31</v>
      </c>
      <c r="Y5072">
        <f>1-224-780-9425</f>
        <v>-10428</v>
      </c>
    </row>
    <row r="5073" spans="1:25" x14ac:dyDescent="0.35">
      <c r="A5073">
        <v>40.824804215638103</v>
      </c>
      <c r="B5073">
        <v>-117.254541892666</v>
      </c>
      <c r="C5073" t="s">
        <v>29</v>
      </c>
      <c r="D5073">
        <v>26.515657540882401</v>
      </c>
      <c r="E5073">
        <v>7</v>
      </c>
      <c r="F5073">
        <v>2944</v>
      </c>
      <c r="G5073">
        <v>3</v>
      </c>
      <c r="H5073">
        <v>2</v>
      </c>
      <c r="I5073">
        <v>1986</v>
      </c>
      <c r="J5073">
        <v>1</v>
      </c>
      <c r="K5073">
        <v>1</v>
      </c>
      <c r="L5073">
        <v>1</v>
      </c>
      <c r="M5073">
        <v>14</v>
      </c>
      <c r="N5073" t="s">
        <v>37</v>
      </c>
      <c r="O5073" t="s">
        <v>27</v>
      </c>
      <c r="P5073">
        <v>8.3734120315254401</v>
      </c>
      <c r="Q5073">
        <v>0.77660758415762399</v>
      </c>
      <c r="R5073">
        <v>4.8479058282444303</v>
      </c>
      <c r="S5073">
        <v>69</v>
      </c>
      <c r="T5073">
        <v>69</v>
      </c>
      <c r="U5073">
        <v>324.253357830136</v>
      </c>
      <c r="V5073">
        <v>4.7554347826086899E-3</v>
      </c>
      <c r="W5073">
        <v>1363507.3089747699</v>
      </c>
      <c r="X5073" t="s">
        <v>33</v>
      </c>
      <c r="Y5073">
        <f>1-262-607-4789</f>
        <v>-5657</v>
      </c>
    </row>
    <row r="5074" spans="1:25" x14ac:dyDescent="0.35">
      <c r="A5074">
        <v>38.289111978206797</v>
      </c>
      <c r="B5074">
        <v>-114.668215813</v>
      </c>
      <c r="C5074" t="s">
        <v>34</v>
      </c>
      <c r="D5074">
        <v>14.8020281578553</v>
      </c>
      <c r="E5074">
        <v>9</v>
      </c>
      <c r="F5074">
        <v>3680</v>
      </c>
      <c r="G5074">
        <v>1</v>
      </c>
      <c r="H5074">
        <v>2</v>
      </c>
      <c r="I5074">
        <v>1998</v>
      </c>
      <c r="J5074">
        <v>1</v>
      </c>
      <c r="K5074">
        <v>0</v>
      </c>
      <c r="L5074">
        <v>1</v>
      </c>
      <c r="M5074">
        <v>10</v>
      </c>
      <c r="N5074" t="s">
        <v>35</v>
      </c>
      <c r="O5074" t="s">
        <v>32</v>
      </c>
      <c r="P5074">
        <v>10.2034567980934</v>
      </c>
      <c r="Q5074">
        <v>0.68515500937360296</v>
      </c>
      <c r="R5074">
        <v>2.4229300362725699</v>
      </c>
      <c r="S5074">
        <v>72</v>
      </c>
      <c r="T5074">
        <v>36</v>
      </c>
      <c r="U5074">
        <v>839.821182816548</v>
      </c>
      <c r="V5074">
        <v>2.7173913043478199E-3</v>
      </c>
      <c r="W5074">
        <v>3314767.41765643</v>
      </c>
      <c r="X5074" t="s">
        <v>33</v>
      </c>
      <c r="Y5074">
        <f>1-772-415-4540</f>
        <v>-5726</v>
      </c>
    </row>
    <row r="5075" spans="1:25" x14ac:dyDescent="0.35">
      <c r="A5075">
        <v>41.918137023657401</v>
      </c>
      <c r="B5075">
        <v>-118.86784250650599</v>
      </c>
      <c r="C5075" t="s">
        <v>25</v>
      </c>
      <c r="D5075">
        <v>6.0658829088848902</v>
      </c>
      <c r="E5075">
        <v>9</v>
      </c>
      <c r="F5075">
        <v>1889</v>
      </c>
      <c r="G5075">
        <v>2</v>
      </c>
      <c r="H5075">
        <v>1</v>
      </c>
      <c r="I5075">
        <v>2021</v>
      </c>
      <c r="J5075">
        <v>1</v>
      </c>
      <c r="K5075">
        <v>1</v>
      </c>
      <c r="L5075">
        <v>1</v>
      </c>
      <c r="M5075">
        <v>11</v>
      </c>
      <c r="N5075" t="s">
        <v>35</v>
      </c>
      <c r="O5075" t="s">
        <v>32</v>
      </c>
      <c r="P5075">
        <v>11.8529073681845</v>
      </c>
      <c r="Q5075">
        <v>1.62464377255558</v>
      </c>
      <c r="R5075">
        <v>5.0602958799822204</v>
      </c>
      <c r="S5075">
        <v>27</v>
      </c>
      <c r="T5075">
        <v>66</v>
      </c>
      <c r="U5075">
        <v>560.58264975362397</v>
      </c>
      <c r="V5075">
        <v>5.8231868713605004E-3</v>
      </c>
      <c r="W5075">
        <v>1429791.9202247199</v>
      </c>
      <c r="X5075" t="s">
        <v>36</v>
      </c>
      <c r="Y5075">
        <f>1-938-871-5982</f>
        <v>-7790</v>
      </c>
    </row>
    <row r="5076" spans="1:25" x14ac:dyDescent="0.35">
      <c r="A5076">
        <v>34.902072677403602</v>
      </c>
      <c r="B5076">
        <v>-115.68459237741401</v>
      </c>
      <c r="C5076" t="s">
        <v>34</v>
      </c>
      <c r="D5076">
        <v>15.555847484115001</v>
      </c>
      <c r="E5076">
        <v>4</v>
      </c>
      <c r="F5076">
        <v>4352</v>
      </c>
      <c r="G5076">
        <v>2</v>
      </c>
      <c r="H5076">
        <v>2</v>
      </c>
      <c r="I5076">
        <v>2018</v>
      </c>
      <c r="J5076">
        <v>1</v>
      </c>
      <c r="K5076">
        <v>0</v>
      </c>
      <c r="L5076">
        <v>0</v>
      </c>
      <c r="M5076">
        <v>7</v>
      </c>
      <c r="N5076" t="s">
        <v>41</v>
      </c>
      <c r="O5076" t="s">
        <v>30</v>
      </c>
      <c r="P5076">
        <v>9.7847035699149103</v>
      </c>
      <c r="Q5076">
        <v>0.59734782450761603</v>
      </c>
      <c r="R5076">
        <v>9.9443440912410193</v>
      </c>
      <c r="S5076">
        <v>32</v>
      </c>
      <c r="T5076">
        <v>32</v>
      </c>
      <c r="U5076">
        <v>345.23404552977701</v>
      </c>
      <c r="V5076">
        <v>1.60845588235294E-3</v>
      </c>
      <c r="W5076">
        <v>1741984.90700587</v>
      </c>
      <c r="X5076" t="s">
        <v>42</v>
      </c>
      <c r="Y5076">
        <f>1-310-241-5162</f>
        <v>-5712</v>
      </c>
    </row>
    <row r="5077" spans="1:25" x14ac:dyDescent="0.35">
      <c r="A5077">
        <v>35.359100826847801</v>
      </c>
      <c r="B5077">
        <v>-118.490757462361</v>
      </c>
      <c r="C5077" t="s">
        <v>34</v>
      </c>
      <c r="D5077">
        <v>38.946612757477901</v>
      </c>
      <c r="E5077">
        <v>9</v>
      </c>
      <c r="F5077">
        <v>2755</v>
      </c>
      <c r="G5077">
        <v>2</v>
      </c>
      <c r="H5077">
        <v>1</v>
      </c>
      <c r="I5077">
        <v>1990</v>
      </c>
      <c r="J5077">
        <v>0</v>
      </c>
      <c r="K5077">
        <v>0</v>
      </c>
      <c r="L5077">
        <v>0</v>
      </c>
      <c r="M5077">
        <v>7</v>
      </c>
      <c r="N5077" t="s">
        <v>37</v>
      </c>
      <c r="O5077" t="s">
        <v>32</v>
      </c>
      <c r="P5077">
        <v>7.6246942821610499</v>
      </c>
      <c r="Q5077">
        <v>2.00195167694429</v>
      </c>
      <c r="R5077">
        <v>6.8758926741648603</v>
      </c>
      <c r="S5077">
        <v>127</v>
      </c>
      <c r="T5077">
        <v>58</v>
      </c>
      <c r="U5077">
        <v>388.77816924470602</v>
      </c>
      <c r="V5077">
        <v>2.5408348457350198E-3</v>
      </c>
      <c r="W5077">
        <v>1130713.19885652</v>
      </c>
      <c r="X5077" t="s">
        <v>42</v>
      </c>
      <c r="Y5077">
        <f>1-609-392-3879</f>
        <v>-4879</v>
      </c>
    </row>
    <row r="5078" spans="1:25" x14ac:dyDescent="0.35">
      <c r="A5078">
        <v>41.556298245274398</v>
      </c>
      <c r="B5078">
        <v>-116.180462203571</v>
      </c>
      <c r="C5078" t="s">
        <v>34</v>
      </c>
      <c r="D5078">
        <v>4.8431514636955102</v>
      </c>
      <c r="E5078">
        <v>8</v>
      </c>
      <c r="F5078">
        <v>2826</v>
      </c>
      <c r="G5078">
        <v>1</v>
      </c>
      <c r="H5078">
        <v>2</v>
      </c>
      <c r="I5078">
        <v>2015</v>
      </c>
      <c r="J5078">
        <v>0</v>
      </c>
      <c r="K5078">
        <v>0</v>
      </c>
      <c r="L5078">
        <v>0</v>
      </c>
      <c r="M5078">
        <v>14</v>
      </c>
      <c r="N5078" t="s">
        <v>41</v>
      </c>
      <c r="O5078" t="s">
        <v>32</v>
      </c>
      <c r="P5078">
        <v>2.96598782337463</v>
      </c>
      <c r="Q5078">
        <v>0.87886921549070396</v>
      </c>
      <c r="R5078">
        <v>5.16183922878737</v>
      </c>
      <c r="S5078">
        <v>75</v>
      </c>
      <c r="T5078">
        <v>49</v>
      </c>
      <c r="U5078">
        <v>856.42062349425896</v>
      </c>
      <c r="V5078">
        <v>4.9539985845718296E-3</v>
      </c>
      <c r="W5078">
        <v>2538030.0358923599</v>
      </c>
      <c r="X5078" t="s">
        <v>43</v>
      </c>
      <c r="Y5078">
        <f>1-259-211-9675</f>
        <v>-10144</v>
      </c>
    </row>
    <row r="5079" spans="1:25" x14ac:dyDescent="0.35">
      <c r="A5079">
        <v>34.7622648715788</v>
      </c>
      <c r="B5079">
        <v>-119.923874041858</v>
      </c>
      <c r="C5079" t="s">
        <v>34</v>
      </c>
      <c r="D5079">
        <v>28.467319061071201</v>
      </c>
      <c r="E5079">
        <v>8</v>
      </c>
      <c r="F5079">
        <v>1915</v>
      </c>
      <c r="G5079">
        <v>1</v>
      </c>
      <c r="H5079">
        <v>3</v>
      </c>
      <c r="I5079">
        <v>1990</v>
      </c>
      <c r="J5079">
        <v>0</v>
      </c>
      <c r="K5079">
        <v>1</v>
      </c>
      <c r="L5079">
        <v>1</v>
      </c>
      <c r="M5079">
        <v>14</v>
      </c>
      <c r="N5079" t="s">
        <v>37</v>
      </c>
      <c r="O5079" t="s">
        <v>30</v>
      </c>
      <c r="P5079">
        <v>4.9284262502056402</v>
      </c>
      <c r="Q5079">
        <v>1.65424391567497</v>
      </c>
      <c r="R5079">
        <v>2.8807933108419301</v>
      </c>
      <c r="S5079">
        <v>105</v>
      </c>
      <c r="T5079">
        <v>76</v>
      </c>
      <c r="U5079">
        <v>253.413560067411</v>
      </c>
      <c r="V5079">
        <v>7.3107049608355E-3</v>
      </c>
      <c r="W5079">
        <v>680900.41823422106</v>
      </c>
      <c r="X5079" t="s">
        <v>31</v>
      </c>
      <c r="Y5079">
        <f>1-907-779-7561</f>
        <v>-9246</v>
      </c>
    </row>
    <row r="5080" spans="1:25" x14ac:dyDescent="0.35">
      <c r="A5080">
        <v>35.270829328266103</v>
      </c>
      <c r="B5080">
        <v>-117.186776484169</v>
      </c>
      <c r="C5080" t="s">
        <v>34</v>
      </c>
      <c r="D5080">
        <v>45.811244222667597</v>
      </c>
      <c r="E5080">
        <v>7</v>
      </c>
      <c r="F5080">
        <v>2211</v>
      </c>
      <c r="G5080">
        <v>4</v>
      </c>
      <c r="H5080">
        <v>2</v>
      </c>
      <c r="I5080">
        <v>1978</v>
      </c>
      <c r="J5080">
        <v>0</v>
      </c>
      <c r="K5080">
        <v>1</v>
      </c>
      <c r="L5080">
        <v>1</v>
      </c>
      <c r="M5080">
        <v>5</v>
      </c>
      <c r="N5080" t="s">
        <v>26</v>
      </c>
      <c r="O5080" t="s">
        <v>27</v>
      </c>
      <c r="P5080">
        <v>12.408067443293501</v>
      </c>
      <c r="Q5080">
        <v>0.51375088271957903</v>
      </c>
      <c r="R5080">
        <v>0.73115712733799998</v>
      </c>
      <c r="S5080">
        <v>72</v>
      </c>
      <c r="T5080">
        <v>69</v>
      </c>
      <c r="U5080">
        <v>855.756229441502</v>
      </c>
      <c r="V5080">
        <v>2.2614201718679301E-3</v>
      </c>
      <c r="W5080">
        <v>2286858.9312330699</v>
      </c>
      <c r="X5080" t="s">
        <v>33</v>
      </c>
      <c r="Y5080">
        <f>1-607-846-4323</f>
        <v>-5775</v>
      </c>
    </row>
    <row r="5081" spans="1:25" x14ac:dyDescent="0.35">
      <c r="A5081">
        <v>34.9472292505436</v>
      </c>
      <c r="B5081">
        <v>-116.717141875442</v>
      </c>
      <c r="C5081" t="s">
        <v>29</v>
      </c>
      <c r="D5081">
        <v>39.3253627887877</v>
      </c>
      <c r="E5081">
        <v>0</v>
      </c>
      <c r="F5081">
        <v>3875</v>
      </c>
      <c r="G5081">
        <v>2</v>
      </c>
      <c r="H5081">
        <v>1</v>
      </c>
      <c r="I5081">
        <v>2003</v>
      </c>
      <c r="J5081">
        <v>0</v>
      </c>
      <c r="K5081">
        <v>1</v>
      </c>
      <c r="L5081">
        <v>1</v>
      </c>
      <c r="M5081">
        <v>11</v>
      </c>
      <c r="N5081" t="s">
        <v>35</v>
      </c>
      <c r="O5081" t="s">
        <v>27</v>
      </c>
      <c r="P5081">
        <v>10.115922233253499</v>
      </c>
      <c r="Q5081">
        <v>0.63504661285735198</v>
      </c>
      <c r="R5081">
        <v>0.802079794399571</v>
      </c>
      <c r="S5081">
        <v>183</v>
      </c>
      <c r="T5081">
        <v>57</v>
      </c>
      <c r="U5081">
        <v>525.64861631723704</v>
      </c>
      <c r="V5081">
        <v>2.8387096774193498E-3</v>
      </c>
      <c r="W5081">
        <v>2261608.1933145998</v>
      </c>
      <c r="X5081" t="s">
        <v>28</v>
      </c>
      <c r="Y5081">
        <f>1-761-992-6340</f>
        <v>-8092</v>
      </c>
    </row>
    <row r="5082" spans="1:25" x14ac:dyDescent="0.35">
      <c r="A5082">
        <v>39.176153302401403</v>
      </c>
      <c r="B5082">
        <v>-114.374555378143</v>
      </c>
      <c r="C5082" t="s">
        <v>34</v>
      </c>
      <c r="D5082">
        <v>35.803590099693999</v>
      </c>
      <c r="E5082">
        <v>1</v>
      </c>
      <c r="F5082">
        <v>2867</v>
      </c>
      <c r="G5082">
        <v>1</v>
      </c>
      <c r="H5082">
        <v>1</v>
      </c>
      <c r="I5082">
        <v>1954</v>
      </c>
      <c r="J5082">
        <v>1</v>
      </c>
      <c r="K5082">
        <v>0</v>
      </c>
      <c r="L5082">
        <v>1</v>
      </c>
      <c r="M5082">
        <v>7</v>
      </c>
      <c r="N5082" t="s">
        <v>41</v>
      </c>
      <c r="O5082" t="s">
        <v>27</v>
      </c>
      <c r="P5082">
        <v>9.1108558688435792</v>
      </c>
      <c r="Q5082">
        <v>1.0606022976046201</v>
      </c>
      <c r="R5082">
        <v>0.98401071257864703</v>
      </c>
      <c r="S5082">
        <v>16</v>
      </c>
      <c r="T5082">
        <v>49</v>
      </c>
      <c r="U5082">
        <v>285.759410727687</v>
      </c>
      <c r="V5082">
        <v>2.4415765608650098E-3</v>
      </c>
      <c r="W5082">
        <v>997170.638824614</v>
      </c>
      <c r="X5082" t="s">
        <v>33</v>
      </c>
      <c r="Y5082">
        <f>1-602-128-6335</f>
        <v>-7064</v>
      </c>
    </row>
    <row r="5083" spans="1:25" x14ac:dyDescent="0.35">
      <c r="A5083">
        <v>36.5899657499901</v>
      </c>
      <c r="B5083">
        <v>-120.802432522765</v>
      </c>
      <c r="C5083" t="s">
        <v>29</v>
      </c>
      <c r="D5083">
        <v>26.437923618670499</v>
      </c>
      <c r="E5083">
        <v>4</v>
      </c>
      <c r="F5083">
        <v>1813</v>
      </c>
      <c r="G5083">
        <v>3</v>
      </c>
      <c r="H5083">
        <v>2</v>
      </c>
      <c r="I5083">
        <v>1956</v>
      </c>
      <c r="J5083">
        <v>1</v>
      </c>
      <c r="K5083">
        <v>1</v>
      </c>
      <c r="L5083">
        <v>0</v>
      </c>
      <c r="M5083">
        <v>7</v>
      </c>
      <c r="N5083" t="s">
        <v>41</v>
      </c>
      <c r="O5083" t="s">
        <v>27</v>
      </c>
      <c r="P5083">
        <v>12.5682413942198</v>
      </c>
      <c r="Q5083">
        <v>1.40352542556649</v>
      </c>
      <c r="R5083">
        <v>0.82895107909705001</v>
      </c>
      <c r="S5083">
        <v>88</v>
      </c>
      <c r="T5083">
        <v>58</v>
      </c>
      <c r="U5083">
        <v>540.95716447292398</v>
      </c>
      <c r="V5083">
        <v>3.8610038610038598E-3</v>
      </c>
      <c r="W5083">
        <v>1327626.6559023601</v>
      </c>
      <c r="X5083" t="s">
        <v>33</v>
      </c>
      <c r="Y5083">
        <f>1-681-627-7944</f>
        <v>-9251</v>
      </c>
    </row>
    <row r="5084" spans="1:25" x14ac:dyDescent="0.35">
      <c r="A5084">
        <v>37.3540881158087</v>
      </c>
      <c r="B5084">
        <v>-118.116659703256</v>
      </c>
      <c r="C5084" t="s">
        <v>34</v>
      </c>
      <c r="D5084">
        <v>37.908950427251298</v>
      </c>
      <c r="E5084">
        <v>4</v>
      </c>
      <c r="F5084">
        <v>3081</v>
      </c>
      <c r="G5084">
        <v>1</v>
      </c>
      <c r="H5084">
        <v>1</v>
      </c>
      <c r="I5084">
        <v>2017</v>
      </c>
      <c r="J5084">
        <v>1</v>
      </c>
      <c r="K5084">
        <v>1</v>
      </c>
      <c r="L5084">
        <v>0</v>
      </c>
      <c r="M5084">
        <v>11</v>
      </c>
      <c r="N5084" t="s">
        <v>35</v>
      </c>
      <c r="O5084" t="s">
        <v>30</v>
      </c>
      <c r="P5084">
        <v>3.4892141135694001</v>
      </c>
      <c r="Q5084">
        <v>2.23697267192864</v>
      </c>
      <c r="R5084">
        <v>2.6453875002113598</v>
      </c>
      <c r="S5084">
        <v>75</v>
      </c>
      <c r="T5084">
        <v>61</v>
      </c>
      <c r="U5084">
        <v>710.29913030584703</v>
      </c>
      <c r="V5084">
        <v>3.5702693930541999E-3</v>
      </c>
      <c r="W5084">
        <v>2319036.39485648</v>
      </c>
      <c r="X5084" t="s">
        <v>40</v>
      </c>
      <c r="Y5084">
        <f>1-669-933-9262</f>
        <v>-10863</v>
      </c>
    </row>
    <row r="5085" spans="1:25" x14ac:dyDescent="0.35">
      <c r="A5085">
        <v>40.606447375115799</v>
      </c>
      <c r="B5085">
        <v>-123.667765337007</v>
      </c>
      <c r="C5085" t="s">
        <v>29</v>
      </c>
      <c r="D5085">
        <v>37.517627955092102</v>
      </c>
      <c r="E5085">
        <v>7</v>
      </c>
      <c r="F5085">
        <v>2124</v>
      </c>
      <c r="G5085">
        <v>2</v>
      </c>
      <c r="H5085">
        <v>3</v>
      </c>
      <c r="I5085">
        <v>1973</v>
      </c>
      <c r="J5085">
        <v>0</v>
      </c>
      <c r="K5085">
        <v>0</v>
      </c>
      <c r="L5085">
        <v>0</v>
      </c>
      <c r="M5085">
        <v>10</v>
      </c>
      <c r="N5085" t="s">
        <v>26</v>
      </c>
      <c r="O5085" t="s">
        <v>32</v>
      </c>
      <c r="P5085">
        <v>10.842239898737301</v>
      </c>
      <c r="Q5085">
        <v>0.93650078174940499</v>
      </c>
      <c r="R5085">
        <v>3.7609784964484199</v>
      </c>
      <c r="S5085">
        <v>168</v>
      </c>
      <c r="T5085">
        <v>66</v>
      </c>
      <c r="U5085">
        <v>624.62696839104206</v>
      </c>
      <c r="V5085">
        <v>4.7080979284369103E-3</v>
      </c>
      <c r="W5085">
        <v>1375774.77065037</v>
      </c>
      <c r="X5085" t="s">
        <v>28</v>
      </c>
      <c r="Y5085">
        <f>1-882-476-6058</f>
        <v>-7415</v>
      </c>
    </row>
    <row r="5086" spans="1:25" x14ac:dyDescent="0.35">
      <c r="A5086">
        <v>41.135391838449301</v>
      </c>
      <c r="B5086">
        <v>-116.156882730684</v>
      </c>
      <c r="C5086" t="s">
        <v>34</v>
      </c>
      <c r="D5086">
        <v>45.487209549181998</v>
      </c>
      <c r="E5086">
        <v>7</v>
      </c>
      <c r="F5086">
        <v>2801</v>
      </c>
      <c r="G5086">
        <v>5</v>
      </c>
      <c r="H5086">
        <v>2</v>
      </c>
      <c r="I5086">
        <v>2009</v>
      </c>
      <c r="J5086">
        <v>0</v>
      </c>
      <c r="K5086">
        <v>0</v>
      </c>
      <c r="L5086">
        <v>1</v>
      </c>
      <c r="M5086">
        <v>11</v>
      </c>
      <c r="N5086" t="s">
        <v>35</v>
      </c>
      <c r="O5086" t="s">
        <v>32</v>
      </c>
      <c r="P5086">
        <v>5.0034545022618397</v>
      </c>
      <c r="Q5086">
        <v>1.7540081042578</v>
      </c>
      <c r="R5086">
        <v>9.9510173828976392</v>
      </c>
      <c r="S5086">
        <v>9</v>
      </c>
      <c r="T5086">
        <v>23</v>
      </c>
      <c r="U5086">
        <v>370.891404885741</v>
      </c>
      <c r="V5086">
        <v>3.92716886826133E-3</v>
      </c>
      <c r="W5086">
        <v>1333890.7654122</v>
      </c>
      <c r="X5086" t="s">
        <v>44</v>
      </c>
      <c r="Y5086">
        <f>1-577-720-7077</f>
        <v>-8373</v>
      </c>
    </row>
    <row r="5087" spans="1:25" x14ac:dyDescent="0.35">
      <c r="A5087">
        <v>40.753864589034698</v>
      </c>
      <c r="B5087">
        <v>-114.91006358294</v>
      </c>
      <c r="C5087" t="s">
        <v>34</v>
      </c>
      <c r="D5087">
        <v>17.950209210095998</v>
      </c>
      <c r="E5087">
        <v>7</v>
      </c>
      <c r="F5087">
        <v>1843</v>
      </c>
      <c r="G5087">
        <v>5</v>
      </c>
      <c r="H5087">
        <v>1</v>
      </c>
      <c r="I5087">
        <v>1975</v>
      </c>
      <c r="J5087">
        <v>0</v>
      </c>
      <c r="K5087">
        <v>0</v>
      </c>
      <c r="L5087">
        <v>0</v>
      </c>
      <c r="M5087">
        <v>14</v>
      </c>
      <c r="N5087" t="s">
        <v>26</v>
      </c>
      <c r="O5087" t="s">
        <v>30</v>
      </c>
      <c r="P5087">
        <v>11.392511465004899</v>
      </c>
      <c r="Q5087">
        <v>1.0253318324359599</v>
      </c>
      <c r="R5087">
        <v>5.0589206376470699</v>
      </c>
      <c r="S5087">
        <v>96</v>
      </c>
      <c r="T5087">
        <v>72</v>
      </c>
      <c r="U5087">
        <v>831.27607346048796</v>
      </c>
      <c r="V5087">
        <v>7.5963103635377097E-3</v>
      </c>
      <c r="W5087">
        <v>1769213.8271648199</v>
      </c>
      <c r="X5087" t="s">
        <v>33</v>
      </c>
      <c r="Y5087">
        <f>1-478-684-8059</f>
        <v>-9220</v>
      </c>
    </row>
    <row r="5088" spans="1:25" x14ac:dyDescent="0.35">
      <c r="A5088">
        <v>41.075643381010202</v>
      </c>
      <c r="B5088">
        <v>-115.38559608083</v>
      </c>
      <c r="C5088" t="s">
        <v>25</v>
      </c>
      <c r="D5088">
        <v>35.968336587386901</v>
      </c>
      <c r="E5088">
        <v>9</v>
      </c>
      <c r="F5088">
        <v>3618</v>
      </c>
      <c r="G5088">
        <v>2</v>
      </c>
      <c r="H5088">
        <v>1</v>
      </c>
      <c r="I5088">
        <v>1965</v>
      </c>
      <c r="J5088">
        <v>1</v>
      </c>
      <c r="K5088">
        <v>0</v>
      </c>
      <c r="L5088">
        <v>0</v>
      </c>
      <c r="M5088">
        <v>3</v>
      </c>
      <c r="N5088" t="s">
        <v>41</v>
      </c>
      <c r="O5088" t="s">
        <v>30</v>
      </c>
      <c r="P5088">
        <v>7.67377252016583</v>
      </c>
      <c r="Q5088">
        <v>1.4830051971511999</v>
      </c>
      <c r="R5088">
        <v>6.8326805859246997</v>
      </c>
      <c r="S5088">
        <v>181</v>
      </c>
      <c r="T5088">
        <v>35</v>
      </c>
      <c r="U5088">
        <v>298.32288308321301</v>
      </c>
      <c r="V5088">
        <v>8.2918739635157504E-4</v>
      </c>
      <c r="W5088">
        <v>1165941.8296237199</v>
      </c>
      <c r="X5088" t="s">
        <v>42</v>
      </c>
      <c r="Y5088">
        <f>1-984-218-6235</f>
        <v>-7436</v>
      </c>
    </row>
    <row r="5089" spans="1:25" x14ac:dyDescent="0.35">
      <c r="A5089">
        <v>39.303698458427597</v>
      </c>
      <c r="B5089">
        <v>-116.759659854003</v>
      </c>
      <c r="C5089" t="s">
        <v>25</v>
      </c>
      <c r="D5089">
        <v>49.215675507643901</v>
      </c>
      <c r="E5089">
        <v>9</v>
      </c>
      <c r="F5089">
        <v>3193</v>
      </c>
      <c r="G5089">
        <v>4</v>
      </c>
      <c r="H5089">
        <v>1</v>
      </c>
      <c r="I5089">
        <v>2010</v>
      </c>
      <c r="J5089">
        <v>1</v>
      </c>
      <c r="K5089">
        <v>1</v>
      </c>
      <c r="L5089">
        <v>1</v>
      </c>
      <c r="M5089">
        <v>14</v>
      </c>
      <c r="N5089" t="s">
        <v>37</v>
      </c>
      <c r="O5089" t="s">
        <v>27</v>
      </c>
      <c r="P5089">
        <v>3.46742192383662</v>
      </c>
      <c r="Q5089">
        <v>1.82336609327164</v>
      </c>
      <c r="R5089">
        <v>0.240979464568646</v>
      </c>
      <c r="S5089">
        <v>180</v>
      </c>
      <c r="T5089">
        <v>77</v>
      </c>
      <c r="U5089">
        <v>254.226640009026</v>
      </c>
      <c r="V5089">
        <v>4.3845912934544302E-3</v>
      </c>
      <c r="W5089">
        <v>1130843.35726063</v>
      </c>
      <c r="X5089" t="s">
        <v>44</v>
      </c>
      <c r="Y5089">
        <f>1-522-560-4156</f>
        <v>-5237</v>
      </c>
    </row>
    <row r="5090" spans="1:25" x14ac:dyDescent="0.35">
      <c r="A5090">
        <v>38.599504200208401</v>
      </c>
      <c r="B5090">
        <v>-115.269393581545</v>
      </c>
      <c r="C5090" t="s">
        <v>34</v>
      </c>
      <c r="D5090">
        <v>18.980929284232001</v>
      </c>
      <c r="E5090">
        <v>1</v>
      </c>
      <c r="F5090">
        <v>1517</v>
      </c>
      <c r="G5090">
        <v>4</v>
      </c>
      <c r="H5090">
        <v>3</v>
      </c>
      <c r="I5090">
        <v>2018</v>
      </c>
      <c r="J5090">
        <v>0</v>
      </c>
      <c r="K5090">
        <v>1</v>
      </c>
      <c r="L5090">
        <v>1</v>
      </c>
      <c r="M5090">
        <v>9</v>
      </c>
      <c r="N5090" t="s">
        <v>37</v>
      </c>
      <c r="O5090" t="s">
        <v>27</v>
      </c>
      <c r="P5090">
        <v>3.3587018893725902</v>
      </c>
      <c r="Q5090">
        <v>0.84243458701739304</v>
      </c>
      <c r="R5090">
        <v>9.7796736006244096</v>
      </c>
      <c r="S5090">
        <v>0</v>
      </c>
      <c r="T5090">
        <v>60</v>
      </c>
      <c r="U5090">
        <v>620.14602397976205</v>
      </c>
      <c r="V5090">
        <v>5.9327620303229996E-3</v>
      </c>
      <c r="W5090">
        <v>1300821.43179615</v>
      </c>
      <c r="X5090" t="s">
        <v>43</v>
      </c>
      <c r="Y5090">
        <f>1-859-227-6053</f>
        <v>-7138</v>
      </c>
    </row>
    <row r="5091" spans="1:25" x14ac:dyDescent="0.35">
      <c r="A5091">
        <v>37.415753618609997</v>
      </c>
      <c r="B5091">
        <v>-117.689537555779</v>
      </c>
      <c r="C5091" t="s">
        <v>25</v>
      </c>
      <c r="D5091">
        <v>31.921480733423699</v>
      </c>
      <c r="E5091">
        <v>7</v>
      </c>
      <c r="F5091">
        <v>2150</v>
      </c>
      <c r="G5091">
        <v>3</v>
      </c>
      <c r="H5091">
        <v>2</v>
      </c>
      <c r="I5091">
        <v>1991</v>
      </c>
      <c r="J5091">
        <v>1</v>
      </c>
      <c r="K5091">
        <v>1</v>
      </c>
      <c r="L5091">
        <v>0</v>
      </c>
      <c r="M5091">
        <v>13</v>
      </c>
      <c r="N5091" t="s">
        <v>35</v>
      </c>
      <c r="O5091" t="s">
        <v>30</v>
      </c>
      <c r="P5091">
        <v>14.5254740995075</v>
      </c>
      <c r="Q5091">
        <v>1.78087764047418</v>
      </c>
      <c r="R5091">
        <v>6.0319980624277898</v>
      </c>
      <c r="S5091">
        <v>160</v>
      </c>
      <c r="T5091">
        <v>59</v>
      </c>
      <c r="U5091">
        <v>889.77940079701398</v>
      </c>
      <c r="V5091">
        <v>6.0465116279069704E-3</v>
      </c>
      <c r="W5091">
        <v>2266002.56128141</v>
      </c>
      <c r="X5091" t="s">
        <v>43</v>
      </c>
      <c r="Y5091">
        <f>1-344-122-7377</f>
        <v>-7842</v>
      </c>
    </row>
    <row r="5092" spans="1:25" x14ac:dyDescent="0.35">
      <c r="A5092">
        <v>37.667555896689102</v>
      </c>
      <c r="B5092">
        <v>-121.69929568392899</v>
      </c>
      <c r="C5092" t="s">
        <v>25</v>
      </c>
      <c r="D5092">
        <v>46.966037074357999</v>
      </c>
      <c r="E5092">
        <v>9</v>
      </c>
      <c r="F5092">
        <v>3042</v>
      </c>
      <c r="G5092">
        <v>4</v>
      </c>
      <c r="H5092">
        <v>2</v>
      </c>
      <c r="I5092">
        <v>1952</v>
      </c>
      <c r="J5092">
        <v>1</v>
      </c>
      <c r="K5092">
        <v>0</v>
      </c>
      <c r="L5092">
        <v>0</v>
      </c>
      <c r="M5092">
        <v>12</v>
      </c>
      <c r="N5092" t="s">
        <v>41</v>
      </c>
      <c r="O5092" t="s">
        <v>27</v>
      </c>
      <c r="P5092">
        <v>5.8558193365139504</v>
      </c>
      <c r="Q5092">
        <v>1.0372205065658699</v>
      </c>
      <c r="R5092">
        <v>1.00779341612414</v>
      </c>
      <c r="S5092">
        <v>124</v>
      </c>
      <c r="T5092">
        <v>59</v>
      </c>
      <c r="U5092">
        <v>233.49713274600501</v>
      </c>
      <c r="V5092">
        <v>3.9447731755423996E-3</v>
      </c>
      <c r="W5092">
        <v>909060.14311519999</v>
      </c>
      <c r="X5092" t="s">
        <v>38</v>
      </c>
      <c r="Y5092">
        <f>1-731-863-3351</f>
        <v>-4944</v>
      </c>
    </row>
    <row r="5093" spans="1:25" x14ac:dyDescent="0.35">
      <c r="A5093">
        <v>40.547887886363</v>
      </c>
      <c r="B5093">
        <v>-114.777294186356</v>
      </c>
      <c r="C5093" t="s">
        <v>34</v>
      </c>
      <c r="D5093">
        <v>16.048833165578401</v>
      </c>
      <c r="E5093">
        <v>4</v>
      </c>
      <c r="F5093">
        <v>830</v>
      </c>
      <c r="G5093">
        <v>5</v>
      </c>
      <c r="H5093">
        <v>1</v>
      </c>
      <c r="I5093">
        <v>1964</v>
      </c>
      <c r="J5093">
        <v>1</v>
      </c>
      <c r="K5093">
        <v>1</v>
      </c>
      <c r="L5093">
        <v>1</v>
      </c>
      <c r="M5093">
        <v>12</v>
      </c>
      <c r="N5093" t="s">
        <v>41</v>
      </c>
      <c r="O5093" t="s">
        <v>32</v>
      </c>
      <c r="P5093">
        <v>8.0918585121743103</v>
      </c>
      <c r="Q5093">
        <v>2.4621483807436202</v>
      </c>
      <c r="R5093">
        <v>2.27575509089657</v>
      </c>
      <c r="S5093">
        <v>20</v>
      </c>
      <c r="T5093">
        <v>77</v>
      </c>
      <c r="U5093">
        <v>653.18620669980999</v>
      </c>
      <c r="V5093">
        <v>1.44578313253012E-2</v>
      </c>
      <c r="W5093">
        <v>994792.937430272</v>
      </c>
      <c r="X5093" t="s">
        <v>39</v>
      </c>
      <c r="Y5093">
        <f>1-292-894-8985</f>
        <v>-10170</v>
      </c>
    </row>
    <row r="5094" spans="1:25" x14ac:dyDescent="0.35">
      <c r="A5094">
        <v>38.116715976598599</v>
      </c>
      <c r="B5094">
        <v>-120.403156171455</v>
      </c>
      <c r="C5094" t="s">
        <v>25</v>
      </c>
      <c r="D5094">
        <v>14.1964752525015</v>
      </c>
      <c r="E5094">
        <v>8</v>
      </c>
      <c r="F5094">
        <v>3377</v>
      </c>
      <c r="G5094">
        <v>5</v>
      </c>
      <c r="H5094">
        <v>1</v>
      </c>
      <c r="I5094">
        <v>1985</v>
      </c>
      <c r="J5094">
        <v>1</v>
      </c>
      <c r="K5094">
        <v>1</v>
      </c>
      <c r="L5094">
        <v>1</v>
      </c>
      <c r="M5094">
        <v>13</v>
      </c>
      <c r="N5094" t="s">
        <v>35</v>
      </c>
      <c r="O5094" t="s">
        <v>30</v>
      </c>
      <c r="P5094">
        <v>7.53531494605825</v>
      </c>
      <c r="Q5094">
        <v>1.2571418791602</v>
      </c>
      <c r="R5094">
        <v>9.0087016163868192</v>
      </c>
      <c r="S5094">
        <v>103</v>
      </c>
      <c r="T5094">
        <v>21</v>
      </c>
      <c r="U5094">
        <v>512.86945902235902</v>
      </c>
      <c r="V5094">
        <v>3.8495706248149199E-3</v>
      </c>
      <c r="W5094">
        <v>2157498.9193338798</v>
      </c>
      <c r="X5094" t="s">
        <v>40</v>
      </c>
      <c r="Y5094">
        <f>1-551-448-8929</f>
        <v>-9927</v>
      </c>
    </row>
    <row r="5095" spans="1:25" x14ac:dyDescent="0.35">
      <c r="A5095">
        <v>33.358197489123199</v>
      </c>
      <c r="B5095">
        <v>-121.48011409527599</v>
      </c>
      <c r="C5095" t="s">
        <v>25</v>
      </c>
      <c r="D5095">
        <v>13.0255233176873</v>
      </c>
      <c r="E5095">
        <v>3</v>
      </c>
      <c r="F5095">
        <v>3030</v>
      </c>
      <c r="G5095">
        <v>5</v>
      </c>
      <c r="H5095">
        <v>1</v>
      </c>
      <c r="I5095">
        <v>2004</v>
      </c>
      <c r="J5095">
        <v>0</v>
      </c>
      <c r="K5095">
        <v>1</v>
      </c>
      <c r="L5095">
        <v>1</v>
      </c>
      <c r="M5095">
        <v>12</v>
      </c>
      <c r="N5095" t="s">
        <v>37</v>
      </c>
      <c r="O5095" t="s">
        <v>32</v>
      </c>
      <c r="P5095">
        <v>10.804996916102199</v>
      </c>
      <c r="Q5095">
        <v>1.5564409899545399</v>
      </c>
      <c r="R5095">
        <v>5.1460703993762396</v>
      </c>
      <c r="S5095">
        <v>32</v>
      </c>
      <c r="T5095">
        <v>33</v>
      </c>
      <c r="U5095">
        <v>647.31655085457203</v>
      </c>
      <c r="V5095">
        <v>3.9603960396039596E-3</v>
      </c>
      <c r="W5095">
        <v>2341028.2631146102</v>
      </c>
      <c r="X5095" t="s">
        <v>43</v>
      </c>
      <c r="Y5095">
        <f>1-841-237-1646</f>
        <v>-2723</v>
      </c>
    </row>
    <row r="5096" spans="1:25" x14ac:dyDescent="0.35">
      <c r="A5096">
        <v>41.8595695056351</v>
      </c>
      <c r="B5096">
        <v>-118.34726828891699</v>
      </c>
      <c r="C5096" t="s">
        <v>34</v>
      </c>
      <c r="D5096">
        <v>48.170832718349601</v>
      </c>
      <c r="E5096">
        <v>0</v>
      </c>
      <c r="F5096">
        <v>1621</v>
      </c>
      <c r="G5096">
        <v>5</v>
      </c>
      <c r="H5096">
        <v>1</v>
      </c>
      <c r="I5096">
        <v>1993</v>
      </c>
      <c r="J5096">
        <v>1</v>
      </c>
      <c r="K5096">
        <v>1</v>
      </c>
      <c r="L5096">
        <v>1</v>
      </c>
      <c r="M5096">
        <v>5</v>
      </c>
      <c r="N5096" t="s">
        <v>26</v>
      </c>
      <c r="O5096" t="s">
        <v>27</v>
      </c>
      <c r="P5096">
        <v>8.6174825729078606</v>
      </c>
      <c r="Q5096">
        <v>1.1076626103365199</v>
      </c>
      <c r="R5096">
        <v>5.2995399248772097</v>
      </c>
      <c r="S5096">
        <v>39</v>
      </c>
      <c r="T5096">
        <v>58</v>
      </c>
      <c r="U5096">
        <v>229.749252653035</v>
      </c>
      <c r="V5096">
        <v>3.0845157310302202E-3</v>
      </c>
      <c r="W5096">
        <v>832375.64442829601</v>
      </c>
      <c r="X5096" t="s">
        <v>44</v>
      </c>
      <c r="Y5096">
        <f>1-655-949-8958</f>
        <v>-10561</v>
      </c>
    </row>
    <row r="5097" spans="1:25" x14ac:dyDescent="0.35">
      <c r="A5097">
        <v>35.405448420049403</v>
      </c>
      <c r="B5097">
        <v>-122.790402350476</v>
      </c>
      <c r="C5097" t="s">
        <v>25</v>
      </c>
      <c r="D5097">
        <v>42.841290069747103</v>
      </c>
      <c r="E5097">
        <v>6</v>
      </c>
      <c r="F5097">
        <v>2890</v>
      </c>
      <c r="G5097">
        <v>2</v>
      </c>
      <c r="H5097">
        <v>1</v>
      </c>
      <c r="I5097">
        <v>1964</v>
      </c>
      <c r="J5097">
        <v>0</v>
      </c>
      <c r="K5097">
        <v>1</v>
      </c>
      <c r="L5097">
        <v>1</v>
      </c>
      <c r="M5097">
        <v>11</v>
      </c>
      <c r="N5097" t="s">
        <v>41</v>
      </c>
      <c r="O5097" t="s">
        <v>30</v>
      </c>
      <c r="P5097">
        <v>9.3624517015320396</v>
      </c>
      <c r="Q5097">
        <v>1.1553718734278</v>
      </c>
      <c r="R5097">
        <v>3.1849131875125098</v>
      </c>
      <c r="S5097">
        <v>165</v>
      </c>
      <c r="T5097">
        <v>61</v>
      </c>
      <c r="U5097">
        <v>879.50627818998396</v>
      </c>
      <c r="V5097">
        <v>3.8062283737024202E-3</v>
      </c>
      <c r="W5097">
        <v>2754418.2145610098</v>
      </c>
      <c r="X5097" t="s">
        <v>39</v>
      </c>
      <c r="Y5097">
        <f>1-493-267-3428</f>
        <v>-4187</v>
      </c>
    </row>
    <row r="5098" spans="1:25" x14ac:dyDescent="0.35">
      <c r="A5098">
        <v>35.014796142610003</v>
      </c>
      <c r="B5098">
        <v>-118.10582191628799</v>
      </c>
      <c r="C5098" t="s">
        <v>25</v>
      </c>
      <c r="D5098">
        <v>33.210534039212298</v>
      </c>
      <c r="E5098">
        <v>2</v>
      </c>
      <c r="F5098">
        <v>1144</v>
      </c>
      <c r="G5098">
        <v>5</v>
      </c>
      <c r="H5098">
        <v>3</v>
      </c>
      <c r="I5098">
        <v>2020</v>
      </c>
      <c r="J5098">
        <v>1</v>
      </c>
      <c r="K5098">
        <v>0</v>
      </c>
      <c r="L5098">
        <v>1</v>
      </c>
      <c r="M5098">
        <v>13</v>
      </c>
      <c r="N5098" t="s">
        <v>35</v>
      </c>
      <c r="O5098" t="s">
        <v>32</v>
      </c>
      <c r="P5098">
        <v>13.6813555135312</v>
      </c>
      <c r="Q5098">
        <v>1.5009489973319601</v>
      </c>
      <c r="R5098">
        <v>0.76435072353690803</v>
      </c>
      <c r="S5098">
        <v>180</v>
      </c>
      <c r="T5098">
        <v>49</v>
      </c>
      <c r="U5098">
        <v>251.90266968533899</v>
      </c>
      <c r="V5098">
        <v>1.13636363636363E-2</v>
      </c>
      <c r="W5098">
        <v>719360.86226408801</v>
      </c>
      <c r="X5098" t="s">
        <v>31</v>
      </c>
      <c r="Y5098">
        <f>1-567-690-9183</f>
        <v>-10439</v>
      </c>
    </row>
    <row r="5099" spans="1:25" x14ac:dyDescent="0.35">
      <c r="A5099">
        <v>40.926640439089603</v>
      </c>
      <c r="B5099">
        <v>-123.11977427934799</v>
      </c>
      <c r="C5099" t="s">
        <v>25</v>
      </c>
      <c r="D5099">
        <v>26.691416190831401</v>
      </c>
      <c r="E5099">
        <v>3</v>
      </c>
      <c r="F5099">
        <v>809</v>
      </c>
      <c r="G5099">
        <v>3</v>
      </c>
      <c r="H5099">
        <v>1</v>
      </c>
      <c r="I5099">
        <v>1970</v>
      </c>
      <c r="J5099">
        <v>0</v>
      </c>
      <c r="K5099">
        <v>1</v>
      </c>
      <c r="L5099">
        <v>1</v>
      </c>
      <c r="M5099">
        <v>4</v>
      </c>
      <c r="N5099" t="s">
        <v>41</v>
      </c>
      <c r="O5099" t="s">
        <v>32</v>
      </c>
      <c r="P5099">
        <v>4.4129931262764401</v>
      </c>
      <c r="Q5099">
        <v>0.78787520754197204</v>
      </c>
      <c r="R5099">
        <v>2.4658895796080502</v>
      </c>
      <c r="S5099">
        <v>2</v>
      </c>
      <c r="T5099">
        <v>23</v>
      </c>
      <c r="U5099">
        <v>745.06951124439797</v>
      </c>
      <c r="V5099">
        <v>4.9443757725587097E-3</v>
      </c>
      <c r="W5099">
        <v>865769.06035990897</v>
      </c>
      <c r="X5099" t="s">
        <v>33</v>
      </c>
      <c r="Y5099">
        <f>1-391-889-2611</f>
        <v>-3890</v>
      </c>
    </row>
    <row r="5100" spans="1:25" x14ac:dyDescent="0.35">
      <c r="A5100">
        <v>35.634485437307902</v>
      </c>
      <c r="B5100">
        <v>-115.473055589368</v>
      </c>
      <c r="C5100" t="s">
        <v>25</v>
      </c>
      <c r="D5100">
        <v>14.780816205024699</v>
      </c>
      <c r="E5100">
        <v>1</v>
      </c>
      <c r="F5100">
        <v>844</v>
      </c>
      <c r="G5100">
        <v>5</v>
      </c>
      <c r="H5100">
        <v>2</v>
      </c>
      <c r="I5100">
        <v>2019</v>
      </c>
      <c r="J5100">
        <v>1</v>
      </c>
      <c r="K5100">
        <v>1</v>
      </c>
      <c r="L5100">
        <v>1</v>
      </c>
      <c r="M5100">
        <v>14</v>
      </c>
      <c r="N5100" t="s">
        <v>41</v>
      </c>
      <c r="O5100" t="s">
        <v>32</v>
      </c>
      <c r="P5100">
        <v>7.0147063326652503</v>
      </c>
      <c r="Q5100">
        <v>2.30461436656626</v>
      </c>
      <c r="R5100">
        <v>5.7745039774353204</v>
      </c>
      <c r="S5100">
        <v>133</v>
      </c>
      <c r="T5100">
        <v>28</v>
      </c>
      <c r="U5100">
        <v>830.70966517608304</v>
      </c>
      <c r="V5100">
        <v>1.6587677725118401E-2</v>
      </c>
      <c r="W5100">
        <v>1141454.1040084001</v>
      </c>
      <c r="X5100" t="s">
        <v>38</v>
      </c>
      <c r="Y5100">
        <f>1-287-182-5309</f>
        <v>-5777</v>
      </c>
    </row>
    <row r="5101" spans="1:25" x14ac:dyDescent="0.35">
      <c r="A5101">
        <v>33.223358509151403</v>
      </c>
      <c r="B5101">
        <v>-123.665702441316</v>
      </c>
      <c r="C5101" t="s">
        <v>34</v>
      </c>
      <c r="D5101">
        <v>17.265137783332399</v>
      </c>
      <c r="E5101">
        <v>3</v>
      </c>
      <c r="F5101">
        <v>2514</v>
      </c>
      <c r="G5101">
        <v>4</v>
      </c>
      <c r="H5101">
        <v>1</v>
      </c>
      <c r="I5101">
        <v>1974</v>
      </c>
      <c r="J5101">
        <v>0</v>
      </c>
      <c r="K5101">
        <v>0</v>
      </c>
      <c r="L5101">
        <v>1</v>
      </c>
      <c r="M5101">
        <v>5</v>
      </c>
      <c r="N5101" t="s">
        <v>37</v>
      </c>
      <c r="O5101" t="s">
        <v>32</v>
      </c>
      <c r="P5101">
        <v>7.9299309624618202</v>
      </c>
      <c r="Q5101">
        <v>2.4420215075514098</v>
      </c>
      <c r="R5101">
        <v>4.3937892723032004</v>
      </c>
      <c r="S5101">
        <v>127</v>
      </c>
      <c r="T5101">
        <v>65</v>
      </c>
      <c r="U5101">
        <v>211.33942529605801</v>
      </c>
      <c r="V5101">
        <v>1.9888623707239399E-3</v>
      </c>
      <c r="W5101">
        <v>669816.81375607499</v>
      </c>
      <c r="X5101" t="s">
        <v>31</v>
      </c>
      <c r="Y5101">
        <f>1-734-103-4402</f>
        <v>-5238</v>
      </c>
    </row>
    <row r="5102" spans="1:25" x14ac:dyDescent="0.35">
      <c r="A5102">
        <v>36.691248161855803</v>
      </c>
      <c r="B5102">
        <v>-120.51998624166499</v>
      </c>
      <c r="C5102" t="s">
        <v>34</v>
      </c>
      <c r="D5102">
        <v>31.498126329582298</v>
      </c>
      <c r="E5102">
        <v>3</v>
      </c>
      <c r="F5102">
        <v>4835</v>
      </c>
      <c r="G5102">
        <v>5</v>
      </c>
      <c r="H5102">
        <v>3</v>
      </c>
      <c r="I5102">
        <v>1969</v>
      </c>
      <c r="J5102">
        <v>1</v>
      </c>
      <c r="K5102">
        <v>0</v>
      </c>
      <c r="L5102">
        <v>1</v>
      </c>
      <c r="M5102">
        <v>5</v>
      </c>
      <c r="N5102" t="s">
        <v>26</v>
      </c>
      <c r="O5102" t="s">
        <v>32</v>
      </c>
      <c r="P5102">
        <v>14.2506657025635</v>
      </c>
      <c r="Q5102">
        <v>1.9822551979068701</v>
      </c>
      <c r="R5102">
        <v>8.0312228627265192</v>
      </c>
      <c r="S5102">
        <v>10</v>
      </c>
      <c r="T5102">
        <v>33</v>
      </c>
      <c r="U5102">
        <v>235.89499205978299</v>
      </c>
      <c r="V5102">
        <v>1.03412616339193E-3</v>
      </c>
      <c r="W5102">
        <v>1507413.0268260201</v>
      </c>
      <c r="X5102" t="s">
        <v>42</v>
      </c>
      <c r="Y5102">
        <f>1-393-902-6977</f>
        <v>-8271</v>
      </c>
    </row>
    <row r="5103" spans="1:25" x14ac:dyDescent="0.35">
      <c r="A5103">
        <v>41.999685000119797</v>
      </c>
      <c r="B5103">
        <v>-114.554072020725</v>
      </c>
      <c r="C5103" t="s">
        <v>34</v>
      </c>
      <c r="D5103">
        <v>7.9027591648419202</v>
      </c>
      <c r="E5103">
        <v>5</v>
      </c>
      <c r="F5103">
        <v>3735</v>
      </c>
      <c r="G5103">
        <v>3</v>
      </c>
      <c r="H5103">
        <v>1</v>
      </c>
      <c r="I5103">
        <v>1958</v>
      </c>
      <c r="J5103">
        <v>0</v>
      </c>
      <c r="K5103">
        <v>1</v>
      </c>
      <c r="L5103">
        <v>1</v>
      </c>
      <c r="M5103">
        <v>7</v>
      </c>
      <c r="N5103" t="s">
        <v>26</v>
      </c>
      <c r="O5103" t="s">
        <v>27</v>
      </c>
      <c r="P5103">
        <v>11.420773119616999</v>
      </c>
      <c r="Q5103">
        <v>0.96123469705294795</v>
      </c>
      <c r="R5103">
        <v>7.2893431859867199</v>
      </c>
      <c r="S5103">
        <v>110</v>
      </c>
      <c r="T5103">
        <v>73</v>
      </c>
      <c r="U5103">
        <v>514.52125518607397</v>
      </c>
      <c r="V5103">
        <v>1.8741633199464501E-3</v>
      </c>
      <c r="W5103">
        <v>2142264.62985243</v>
      </c>
      <c r="X5103" t="s">
        <v>38</v>
      </c>
      <c r="Y5103">
        <f>1-422-587-7374</f>
        <v>-8382</v>
      </c>
    </row>
    <row r="5104" spans="1:25" x14ac:dyDescent="0.35">
      <c r="A5104">
        <v>35.2877053059117</v>
      </c>
      <c r="B5104">
        <v>-121.465331648527</v>
      </c>
      <c r="C5104" t="s">
        <v>25</v>
      </c>
      <c r="D5104">
        <v>10.619044703249299</v>
      </c>
      <c r="E5104">
        <v>6</v>
      </c>
      <c r="F5104">
        <v>4850</v>
      </c>
      <c r="G5104">
        <v>4</v>
      </c>
      <c r="H5104">
        <v>2</v>
      </c>
      <c r="I5104">
        <v>1950</v>
      </c>
      <c r="J5104">
        <v>1</v>
      </c>
      <c r="K5104">
        <v>1</v>
      </c>
      <c r="L5104">
        <v>1</v>
      </c>
      <c r="M5104">
        <v>14</v>
      </c>
      <c r="N5104" t="s">
        <v>37</v>
      </c>
      <c r="O5104" t="s">
        <v>27</v>
      </c>
      <c r="P5104">
        <v>2.14435262180963</v>
      </c>
      <c r="Q5104">
        <v>1.4571897201763599</v>
      </c>
      <c r="R5104">
        <v>2.08262729539757</v>
      </c>
      <c r="S5104">
        <v>172</v>
      </c>
      <c r="T5104">
        <v>52</v>
      </c>
      <c r="U5104">
        <v>966.27611764027597</v>
      </c>
      <c r="V5104">
        <v>2.8865979381443299E-3</v>
      </c>
      <c r="W5104">
        <v>4954620.4768802701</v>
      </c>
      <c r="X5104" t="s">
        <v>31</v>
      </c>
      <c r="Y5104">
        <f>1-412-715-5881</f>
        <v>-7007</v>
      </c>
    </row>
    <row r="5105" spans="1:25" x14ac:dyDescent="0.35">
      <c r="A5105">
        <v>34.015857288738999</v>
      </c>
      <c r="B5105">
        <v>-115.999853064086</v>
      </c>
      <c r="C5105" t="s">
        <v>34</v>
      </c>
      <c r="D5105">
        <v>12.8039225233621</v>
      </c>
      <c r="E5105">
        <v>7</v>
      </c>
      <c r="F5105">
        <v>1846</v>
      </c>
      <c r="G5105">
        <v>4</v>
      </c>
      <c r="H5105">
        <v>3</v>
      </c>
      <c r="I5105">
        <v>1989</v>
      </c>
      <c r="J5105">
        <v>1</v>
      </c>
      <c r="K5105">
        <v>0</v>
      </c>
      <c r="L5105">
        <v>0</v>
      </c>
      <c r="M5105">
        <v>5</v>
      </c>
      <c r="N5105" t="s">
        <v>41</v>
      </c>
      <c r="O5105" t="s">
        <v>32</v>
      </c>
      <c r="P5105">
        <v>10.296154590221199</v>
      </c>
      <c r="Q5105">
        <v>1.98997930700862</v>
      </c>
      <c r="R5105">
        <v>5.8729838863241799</v>
      </c>
      <c r="S5105">
        <v>50</v>
      </c>
      <c r="T5105">
        <v>57</v>
      </c>
      <c r="U5105">
        <v>928.96731809382902</v>
      </c>
      <c r="V5105">
        <v>2.7085590465872099E-3</v>
      </c>
      <c r="W5105">
        <v>2047050.4225168701</v>
      </c>
      <c r="X5105" t="s">
        <v>42</v>
      </c>
      <c r="Y5105">
        <f>1-201-104-8711</f>
        <v>-9015</v>
      </c>
    </row>
    <row r="5106" spans="1:25" x14ac:dyDescent="0.35">
      <c r="A5106">
        <v>41.784591036242901</v>
      </c>
      <c r="B5106">
        <v>-116.532884120552</v>
      </c>
      <c r="C5106" t="s">
        <v>25</v>
      </c>
      <c r="D5106">
        <v>28.3716659045791</v>
      </c>
      <c r="E5106">
        <v>8</v>
      </c>
      <c r="F5106">
        <v>4042</v>
      </c>
      <c r="G5106">
        <v>1</v>
      </c>
      <c r="H5106">
        <v>3</v>
      </c>
      <c r="I5106">
        <v>1957</v>
      </c>
      <c r="J5106">
        <v>0</v>
      </c>
      <c r="K5106">
        <v>1</v>
      </c>
      <c r="L5106">
        <v>1</v>
      </c>
      <c r="M5106">
        <v>14</v>
      </c>
      <c r="N5106" t="s">
        <v>41</v>
      </c>
      <c r="O5106" t="s">
        <v>30</v>
      </c>
      <c r="P5106">
        <v>4.2857216677421404</v>
      </c>
      <c r="Q5106">
        <v>1.14350540924733</v>
      </c>
      <c r="R5106">
        <v>6.6099426154419803</v>
      </c>
      <c r="S5106">
        <v>44</v>
      </c>
      <c r="T5106">
        <v>72</v>
      </c>
      <c r="U5106">
        <v>458.18709310586502</v>
      </c>
      <c r="V5106">
        <v>3.46363186541316E-3</v>
      </c>
      <c r="W5106">
        <v>1988042.7081255601</v>
      </c>
      <c r="X5106" t="s">
        <v>40</v>
      </c>
      <c r="Y5106">
        <f>1-593-856-3176</f>
        <v>-4624</v>
      </c>
    </row>
    <row r="5107" spans="1:25" x14ac:dyDescent="0.35">
      <c r="A5107">
        <v>38.7505817281981</v>
      </c>
      <c r="B5107">
        <v>-123.426269059502</v>
      </c>
      <c r="C5107" t="s">
        <v>25</v>
      </c>
      <c r="D5107">
        <v>49.266659196741898</v>
      </c>
      <c r="E5107">
        <v>2</v>
      </c>
      <c r="F5107">
        <v>3019</v>
      </c>
      <c r="G5107">
        <v>2</v>
      </c>
      <c r="H5107">
        <v>3</v>
      </c>
      <c r="I5107">
        <v>2017</v>
      </c>
      <c r="J5107">
        <v>1</v>
      </c>
      <c r="K5107">
        <v>0</v>
      </c>
      <c r="L5107">
        <v>0</v>
      </c>
      <c r="M5107">
        <v>12</v>
      </c>
      <c r="N5107" t="s">
        <v>26</v>
      </c>
      <c r="O5107" t="s">
        <v>32</v>
      </c>
      <c r="P5107">
        <v>7.1637272827795497</v>
      </c>
      <c r="Q5107">
        <v>2.1900321686678699</v>
      </c>
      <c r="R5107">
        <v>6.4426642058902797</v>
      </c>
      <c r="S5107">
        <v>144</v>
      </c>
      <c r="T5107">
        <v>75</v>
      </c>
      <c r="U5107">
        <v>344.80210460526303</v>
      </c>
      <c r="V5107">
        <v>3.9748261013580598E-3</v>
      </c>
      <c r="W5107">
        <v>1230800.39872721</v>
      </c>
      <c r="X5107" t="s">
        <v>43</v>
      </c>
      <c r="Y5107">
        <f>1-738-217-8652</f>
        <v>-9606</v>
      </c>
    </row>
    <row r="5108" spans="1:25" x14ac:dyDescent="0.35">
      <c r="A5108">
        <v>33.576398314567903</v>
      </c>
      <c r="B5108">
        <v>-115.900470009342</v>
      </c>
      <c r="C5108" t="s">
        <v>29</v>
      </c>
      <c r="D5108">
        <v>8.8110867609960195</v>
      </c>
      <c r="E5108">
        <v>3</v>
      </c>
      <c r="F5108">
        <v>2922</v>
      </c>
      <c r="G5108">
        <v>3</v>
      </c>
      <c r="H5108">
        <v>3</v>
      </c>
      <c r="I5108">
        <v>2003</v>
      </c>
      <c r="J5108">
        <v>1</v>
      </c>
      <c r="K5108">
        <v>1</v>
      </c>
      <c r="L5108">
        <v>1</v>
      </c>
      <c r="M5108">
        <v>6</v>
      </c>
      <c r="N5108" t="s">
        <v>35</v>
      </c>
      <c r="O5108" t="s">
        <v>27</v>
      </c>
      <c r="P5108">
        <v>2.0672131765084298</v>
      </c>
      <c r="Q5108">
        <v>0.89620792044195496</v>
      </c>
      <c r="R5108">
        <v>8.6955048301464704</v>
      </c>
      <c r="S5108">
        <v>60</v>
      </c>
      <c r="T5108">
        <v>34</v>
      </c>
      <c r="U5108">
        <v>636.95518513278296</v>
      </c>
      <c r="V5108">
        <v>2.05338809034907E-3</v>
      </c>
      <c r="W5108">
        <v>2265903.7434433899</v>
      </c>
      <c r="X5108" t="s">
        <v>40</v>
      </c>
      <c r="Y5108">
        <f>1-984-429-1205</f>
        <v>-2617</v>
      </c>
    </row>
    <row r="5109" spans="1:25" x14ac:dyDescent="0.35">
      <c r="A5109">
        <v>38.200831450746897</v>
      </c>
      <c r="B5109">
        <v>-115.641047632604</v>
      </c>
      <c r="C5109" t="s">
        <v>34</v>
      </c>
      <c r="D5109">
        <v>39.407104187555703</v>
      </c>
      <c r="E5109">
        <v>2</v>
      </c>
      <c r="F5109">
        <v>4520</v>
      </c>
      <c r="G5109">
        <v>2</v>
      </c>
      <c r="H5109">
        <v>1</v>
      </c>
      <c r="I5109">
        <v>2019</v>
      </c>
      <c r="J5109">
        <v>1</v>
      </c>
      <c r="K5109">
        <v>0</v>
      </c>
      <c r="L5109">
        <v>0</v>
      </c>
      <c r="M5109">
        <v>13</v>
      </c>
      <c r="N5109" t="s">
        <v>37</v>
      </c>
      <c r="O5109" t="s">
        <v>27</v>
      </c>
      <c r="P5109">
        <v>14.825880269104101</v>
      </c>
      <c r="Q5109">
        <v>1.7748701199675101</v>
      </c>
      <c r="R5109">
        <v>8.2977292167974603</v>
      </c>
      <c r="S5109">
        <v>112</v>
      </c>
      <c r="T5109">
        <v>65</v>
      </c>
      <c r="U5109">
        <v>371.93693490572701</v>
      </c>
      <c r="V5109">
        <v>2.8761061946902598E-3</v>
      </c>
      <c r="W5109">
        <v>2051964.5710543899</v>
      </c>
      <c r="X5109" t="s">
        <v>43</v>
      </c>
      <c r="Y5109">
        <f>1-608-623-2543</f>
        <v>-3773</v>
      </c>
    </row>
    <row r="5110" spans="1:25" x14ac:dyDescent="0.35">
      <c r="A5110">
        <v>34.376764934397798</v>
      </c>
      <c r="B5110">
        <v>-116.46215464910701</v>
      </c>
      <c r="C5110" t="s">
        <v>29</v>
      </c>
      <c r="D5110">
        <v>39.944405788607597</v>
      </c>
      <c r="E5110">
        <v>9</v>
      </c>
      <c r="F5110">
        <v>1220</v>
      </c>
      <c r="G5110">
        <v>4</v>
      </c>
      <c r="H5110">
        <v>1</v>
      </c>
      <c r="I5110">
        <v>1957</v>
      </c>
      <c r="J5110">
        <v>0</v>
      </c>
      <c r="K5110">
        <v>0</v>
      </c>
      <c r="L5110">
        <v>1</v>
      </c>
      <c r="M5110">
        <v>14</v>
      </c>
      <c r="N5110" t="s">
        <v>35</v>
      </c>
      <c r="O5110" t="s">
        <v>32</v>
      </c>
      <c r="P5110">
        <v>3.6422318861591099</v>
      </c>
      <c r="Q5110">
        <v>1.13100323357604</v>
      </c>
      <c r="R5110">
        <v>8.3679854402943405</v>
      </c>
      <c r="S5110">
        <v>163</v>
      </c>
      <c r="T5110">
        <v>46</v>
      </c>
      <c r="U5110">
        <v>673.43171656857101</v>
      </c>
      <c r="V5110">
        <v>1.14754098360655E-2</v>
      </c>
      <c r="W5110">
        <v>1030038.77757978</v>
      </c>
      <c r="X5110" t="s">
        <v>44</v>
      </c>
      <c r="Y5110">
        <f>1-428-465-8167</f>
        <v>-9059</v>
      </c>
    </row>
    <row r="5111" spans="1:25" x14ac:dyDescent="0.35">
      <c r="A5111">
        <v>40.499386916199697</v>
      </c>
      <c r="B5111">
        <v>-123.986803281332</v>
      </c>
      <c r="C5111" t="s">
        <v>29</v>
      </c>
      <c r="D5111">
        <v>17.438560339253399</v>
      </c>
      <c r="E5111">
        <v>9</v>
      </c>
      <c r="F5111">
        <v>2922</v>
      </c>
      <c r="G5111">
        <v>2</v>
      </c>
      <c r="H5111">
        <v>1</v>
      </c>
      <c r="I5111">
        <v>2003</v>
      </c>
      <c r="J5111">
        <v>1</v>
      </c>
      <c r="K5111">
        <v>1</v>
      </c>
      <c r="L5111">
        <v>1</v>
      </c>
      <c r="M5111">
        <v>6</v>
      </c>
      <c r="N5111" t="s">
        <v>26</v>
      </c>
      <c r="O5111" t="s">
        <v>32</v>
      </c>
      <c r="P5111">
        <v>5.8030796867706904</v>
      </c>
      <c r="Q5111">
        <v>1.1571451274237701</v>
      </c>
      <c r="R5111">
        <v>2.0027361803366799</v>
      </c>
      <c r="S5111">
        <v>70</v>
      </c>
      <c r="T5111">
        <v>68</v>
      </c>
      <c r="U5111">
        <v>549.67433585814001</v>
      </c>
      <c r="V5111">
        <v>2.05338809034907E-3</v>
      </c>
      <c r="W5111">
        <v>1905750.21997739</v>
      </c>
      <c r="X5111" t="s">
        <v>39</v>
      </c>
      <c r="Y5111">
        <f>1-709-603-7444</f>
        <v>-8755</v>
      </c>
    </row>
    <row r="5112" spans="1:25" x14ac:dyDescent="0.35">
      <c r="A5112">
        <v>38.227465622225402</v>
      </c>
      <c r="B5112">
        <v>-115.897513430979</v>
      </c>
      <c r="C5112" t="s">
        <v>29</v>
      </c>
      <c r="D5112">
        <v>48.783782478722898</v>
      </c>
      <c r="E5112">
        <v>8</v>
      </c>
      <c r="F5112">
        <v>2754</v>
      </c>
      <c r="G5112">
        <v>5</v>
      </c>
      <c r="H5112">
        <v>2</v>
      </c>
      <c r="I5112">
        <v>1960</v>
      </c>
      <c r="J5112">
        <v>1</v>
      </c>
      <c r="K5112">
        <v>0</v>
      </c>
      <c r="L5112">
        <v>1</v>
      </c>
      <c r="M5112">
        <v>8</v>
      </c>
      <c r="N5112" t="s">
        <v>37</v>
      </c>
      <c r="O5112" t="s">
        <v>27</v>
      </c>
      <c r="P5112">
        <v>11.9507334434309</v>
      </c>
      <c r="Q5112">
        <v>0.56248144870402905</v>
      </c>
      <c r="R5112">
        <v>0.39334417598177501</v>
      </c>
      <c r="S5112">
        <v>117</v>
      </c>
      <c r="T5112">
        <v>36</v>
      </c>
      <c r="U5112">
        <v>218.930457117788</v>
      </c>
      <c r="V5112">
        <v>2.9048656499636801E-3</v>
      </c>
      <c r="W5112">
        <v>946778.38152629999</v>
      </c>
      <c r="X5112" t="s">
        <v>39</v>
      </c>
      <c r="Y5112">
        <f>1-306-526-6049</f>
        <v>-6880</v>
      </c>
    </row>
    <row r="5113" spans="1:25" x14ac:dyDescent="0.35">
      <c r="A5113">
        <v>38.359404489151302</v>
      </c>
      <c r="B5113">
        <v>-120.21697574932099</v>
      </c>
      <c r="C5113" t="s">
        <v>34</v>
      </c>
      <c r="D5113">
        <v>44.671624160289902</v>
      </c>
      <c r="E5113">
        <v>3</v>
      </c>
      <c r="F5113">
        <v>2589</v>
      </c>
      <c r="G5113">
        <v>3</v>
      </c>
      <c r="H5113">
        <v>1</v>
      </c>
      <c r="I5113">
        <v>2014</v>
      </c>
      <c r="J5113">
        <v>1</v>
      </c>
      <c r="K5113">
        <v>1</v>
      </c>
      <c r="L5113">
        <v>1</v>
      </c>
      <c r="M5113">
        <v>4</v>
      </c>
      <c r="N5113" t="s">
        <v>26</v>
      </c>
      <c r="O5113" t="s">
        <v>27</v>
      </c>
      <c r="P5113">
        <v>2.87434024458351</v>
      </c>
      <c r="Q5113">
        <v>1.0709525731606799</v>
      </c>
      <c r="R5113">
        <v>7.5670904551862401</v>
      </c>
      <c r="S5113">
        <v>29</v>
      </c>
      <c r="T5113">
        <v>74</v>
      </c>
      <c r="U5113">
        <v>770.78795552561496</v>
      </c>
      <c r="V5113">
        <v>1.5449980687524099E-3</v>
      </c>
      <c r="W5113">
        <v>2308664.25301624</v>
      </c>
      <c r="X5113" t="s">
        <v>31</v>
      </c>
      <c r="Y5113">
        <f>1-509-161-4209</f>
        <v>-4878</v>
      </c>
    </row>
    <row r="5114" spans="1:25" x14ac:dyDescent="0.35">
      <c r="A5114">
        <v>34.740052468359799</v>
      </c>
      <c r="B5114">
        <v>-121.615050284753</v>
      </c>
      <c r="C5114" t="s">
        <v>34</v>
      </c>
      <c r="D5114">
        <v>3.5803257156813899</v>
      </c>
      <c r="E5114">
        <v>5</v>
      </c>
      <c r="F5114">
        <v>3106</v>
      </c>
      <c r="G5114">
        <v>3</v>
      </c>
      <c r="H5114">
        <v>2</v>
      </c>
      <c r="I5114">
        <v>1997</v>
      </c>
      <c r="J5114">
        <v>1</v>
      </c>
      <c r="K5114">
        <v>1</v>
      </c>
      <c r="L5114">
        <v>0</v>
      </c>
      <c r="M5114">
        <v>7</v>
      </c>
      <c r="N5114" t="s">
        <v>35</v>
      </c>
      <c r="O5114" t="s">
        <v>30</v>
      </c>
      <c r="P5114">
        <v>11.2765744031135</v>
      </c>
      <c r="Q5114">
        <v>2.0765792408646102</v>
      </c>
      <c r="R5114">
        <v>4.0000642766844203</v>
      </c>
      <c r="S5114">
        <v>23</v>
      </c>
      <c r="T5114">
        <v>33</v>
      </c>
      <c r="U5114">
        <v>711.57996331879599</v>
      </c>
      <c r="V5114">
        <v>2.25370251126851E-3</v>
      </c>
      <c r="W5114">
        <v>2552077.4222941799</v>
      </c>
      <c r="X5114" t="s">
        <v>38</v>
      </c>
      <c r="Y5114">
        <f>1-570-962-6362</f>
        <v>-7893</v>
      </c>
    </row>
    <row r="5115" spans="1:25" x14ac:dyDescent="0.35">
      <c r="A5115">
        <v>37.804976727320302</v>
      </c>
      <c r="B5115">
        <v>-115.721223035305</v>
      </c>
      <c r="C5115" t="s">
        <v>29</v>
      </c>
      <c r="D5115">
        <v>48.454234558202202</v>
      </c>
      <c r="E5115">
        <v>1</v>
      </c>
      <c r="F5115">
        <v>4870</v>
      </c>
      <c r="G5115">
        <v>4</v>
      </c>
      <c r="H5115">
        <v>2</v>
      </c>
      <c r="I5115">
        <v>1967</v>
      </c>
      <c r="J5115">
        <v>0</v>
      </c>
      <c r="K5115">
        <v>1</v>
      </c>
      <c r="L5115">
        <v>0</v>
      </c>
      <c r="M5115">
        <v>7</v>
      </c>
      <c r="N5115" t="s">
        <v>26</v>
      </c>
      <c r="O5115" t="s">
        <v>32</v>
      </c>
      <c r="P5115">
        <v>10.603522910679301</v>
      </c>
      <c r="Q5115">
        <v>2.1932693846564102</v>
      </c>
      <c r="R5115">
        <v>5.0513107533002097</v>
      </c>
      <c r="S5115">
        <v>39</v>
      </c>
      <c r="T5115">
        <v>28</v>
      </c>
      <c r="U5115">
        <v>323.59369351618102</v>
      </c>
      <c r="V5115">
        <v>1.4373716632443501E-3</v>
      </c>
      <c r="W5115">
        <v>1879347.90588678</v>
      </c>
      <c r="X5115" t="s">
        <v>40</v>
      </c>
      <c r="Y5115">
        <f>1-313-832-3677</f>
        <v>-4821</v>
      </c>
    </row>
    <row r="5116" spans="1:25" x14ac:dyDescent="0.35">
      <c r="A5116">
        <v>36.802671493692202</v>
      </c>
      <c r="B5116">
        <v>-118.272375034284</v>
      </c>
      <c r="C5116" t="s">
        <v>29</v>
      </c>
      <c r="D5116">
        <v>43.0715763772955</v>
      </c>
      <c r="E5116">
        <v>8</v>
      </c>
      <c r="F5116">
        <v>1040</v>
      </c>
      <c r="G5116">
        <v>1</v>
      </c>
      <c r="H5116">
        <v>2</v>
      </c>
      <c r="I5116">
        <v>1982</v>
      </c>
      <c r="J5116">
        <v>0</v>
      </c>
      <c r="K5116">
        <v>1</v>
      </c>
      <c r="L5116">
        <v>0</v>
      </c>
      <c r="M5116">
        <v>13</v>
      </c>
      <c r="N5116" t="s">
        <v>41</v>
      </c>
      <c r="O5116" t="s">
        <v>30</v>
      </c>
      <c r="P5116">
        <v>10.2874857108364</v>
      </c>
      <c r="Q5116">
        <v>2.0874721695455198</v>
      </c>
      <c r="R5116">
        <v>4.7154713277803202</v>
      </c>
      <c r="S5116">
        <v>26</v>
      </c>
      <c r="T5116">
        <v>43</v>
      </c>
      <c r="U5116">
        <v>772.87083524050695</v>
      </c>
      <c r="V5116">
        <v>1.2500000000000001E-2</v>
      </c>
      <c r="W5116">
        <v>985473.74693334301</v>
      </c>
      <c r="X5116" t="s">
        <v>28</v>
      </c>
      <c r="Y5116">
        <f>1-904-194-4206</f>
        <v>-5303</v>
      </c>
    </row>
    <row r="5117" spans="1:25" x14ac:dyDescent="0.35">
      <c r="A5117">
        <v>40.017036441728798</v>
      </c>
      <c r="B5117">
        <v>-120.949284939046</v>
      </c>
      <c r="C5117" t="s">
        <v>25</v>
      </c>
      <c r="D5117">
        <v>40.035092766628402</v>
      </c>
      <c r="E5117">
        <v>3</v>
      </c>
      <c r="F5117">
        <v>1176</v>
      </c>
      <c r="G5117">
        <v>3</v>
      </c>
      <c r="H5117">
        <v>2</v>
      </c>
      <c r="I5117">
        <v>2009</v>
      </c>
      <c r="J5117">
        <v>0</v>
      </c>
      <c r="K5117">
        <v>0</v>
      </c>
      <c r="L5117">
        <v>1</v>
      </c>
      <c r="M5117">
        <v>9</v>
      </c>
      <c r="N5117" t="s">
        <v>41</v>
      </c>
      <c r="O5117" t="s">
        <v>30</v>
      </c>
      <c r="P5117">
        <v>4.5741938585776101</v>
      </c>
      <c r="Q5117">
        <v>2.3505771091128098</v>
      </c>
      <c r="R5117">
        <v>3.0646267086816699</v>
      </c>
      <c r="S5117">
        <v>82</v>
      </c>
      <c r="T5117">
        <v>62</v>
      </c>
      <c r="U5117">
        <v>502.60123355570499</v>
      </c>
      <c r="V5117">
        <v>7.6530612244897897E-3</v>
      </c>
      <c r="W5117">
        <v>750741.578923636</v>
      </c>
      <c r="X5117" t="s">
        <v>40</v>
      </c>
      <c r="Y5117">
        <f>1-304-423-3991</f>
        <v>-4717</v>
      </c>
    </row>
    <row r="5118" spans="1:25" x14ac:dyDescent="0.35">
      <c r="A5118">
        <v>33.748372439254801</v>
      </c>
      <c r="B5118">
        <v>-120.56408931318499</v>
      </c>
      <c r="C5118" t="s">
        <v>34</v>
      </c>
      <c r="D5118">
        <v>37.114194291625303</v>
      </c>
      <c r="E5118">
        <v>3</v>
      </c>
      <c r="F5118">
        <v>1771</v>
      </c>
      <c r="G5118">
        <v>5</v>
      </c>
      <c r="H5118">
        <v>3</v>
      </c>
      <c r="I5118">
        <v>2020</v>
      </c>
      <c r="J5118">
        <v>0</v>
      </c>
      <c r="K5118">
        <v>0</v>
      </c>
      <c r="L5118">
        <v>1</v>
      </c>
      <c r="M5118">
        <v>9</v>
      </c>
      <c r="N5118" t="s">
        <v>41</v>
      </c>
      <c r="O5118" t="s">
        <v>30</v>
      </c>
      <c r="P5118">
        <v>4.0533792242280304</v>
      </c>
      <c r="Q5118">
        <v>2.3047186217413902</v>
      </c>
      <c r="R5118">
        <v>1.5171104814448499</v>
      </c>
      <c r="S5118">
        <v>31</v>
      </c>
      <c r="T5118">
        <v>59</v>
      </c>
      <c r="U5118">
        <v>622.81408976651903</v>
      </c>
      <c r="V5118">
        <v>5.0818746470920302E-3</v>
      </c>
      <c r="W5118">
        <v>1503756.3933381101</v>
      </c>
      <c r="X5118" t="s">
        <v>44</v>
      </c>
      <c r="Y5118">
        <f>1-905-625-9278</f>
        <v>-10807</v>
      </c>
    </row>
    <row r="5119" spans="1:25" x14ac:dyDescent="0.35">
      <c r="A5119">
        <v>41.962524214929203</v>
      </c>
      <c r="B5119">
        <v>-123.24449546917501</v>
      </c>
      <c r="C5119" t="s">
        <v>34</v>
      </c>
      <c r="D5119">
        <v>14.148407274542301</v>
      </c>
      <c r="E5119">
        <v>6</v>
      </c>
      <c r="F5119">
        <v>4800</v>
      </c>
      <c r="G5119">
        <v>3</v>
      </c>
      <c r="H5119">
        <v>1</v>
      </c>
      <c r="I5119">
        <v>1985</v>
      </c>
      <c r="J5119">
        <v>1</v>
      </c>
      <c r="K5119">
        <v>0</v>
      </c>
      <c r="L5119">
        <v>1</v>
      </c>
      <c r="M5119">
        <v>11</v>
      </c>
      <c r="N5119" t="s">
        <v>26</v>
      </c>
      <c r="O5119" t="s">
        <v>30</v>
      </c>
      <c r="P5119">
        <v>9.1934746330272805</v>
      </c>
      <c r="Q5119">
        <v>1.7114012658887101</v>
      </c>
      <c r="R5119">
        <v>2.8999983828529001</v>
      </c>
      <c r="S5119">
        <v>15</v>
      </c>
      <c r="T5119">
        <v>39</v>
      </c>
      <c r="U5119">
        <v>758.35685935670801</v>
      </c>
      <c r="V5119">
        <v>2.2916666666666602E-3</v>
      </c>
      <c r="W5119">
        <v>3973350.34260746</v>
      </c>
      <c r="X5119" t="s">
        <v>42</v>
      </c>
      <c r="Y5119">
        <f>1-463-715-7986</f>
        <v>-9163</v>
      </c>
    </row>
    <row r="5120" spans="1:25" x14ac:dyDescent="0.35">
      <c r="A5120">
        <v>36.889395100467603</v>
      </c>
      <c r="B5120">
        <v>-115.54448247830101</v>
      </c>
      <c r="C5120" t="s">
        <v>25</v>
      </c>
      <c r="D5120">
        <v>42.9678499828997</v>
      </c>
      <c r="E5120">
        <v>2</v>
      </c>
      <c r="F5120">
        <v>4863</v>
      </c>
      <c r="G5120">
        <v>5</v>
      </c>
      <c r="H5120">
        <v>1</v>
      </c>
      <c r="I5120">
        <v>1978</v>
      </c>
      <c r="J5120">
        <v>0</v>
      </c>
      <c r="K5120">
        <v>1</v>
      </c>
      <c r="L5120">
        <v>0</v>
      </c>
      <c r="M5120">
        <v>13</v>
      </c>
      <c r="N5120" t="s">
        <v>35</v>
      </c>
      <c r="O5120" t="s">
        <v>30</v>
      </c>
      <c r="P5120">
        <v>2.4196212082719502</v>
      </c>
      <c r="Q5120">
        <v>1.0748868694528699</v>
      </c>
      <c r="R5120">
        <v>7.7436713575038203</v>
      </c>
      <c r="S5120">
        <v>113</v>
      </c>
      <c r="T5120">
        <v>65</v>
      </c>
      <c r="U5120">
        <v>685.36282473008202</v>
      </c>
      <c r="V5120">
        <v>2.6732469668928598E-3</v>
      </c>
      <c r="W5120">
        <v>3593253.1116636801</v>
      </c>
      <c r="X5120" t="s">
        <v>33</v>
      </c>
      <c r="Y5120">
        <f>1-496-763-7735</f>
        <v>-8993</v>
      </c>
    </row>
    <row r="5121" spans="1:25" x14ac:dyDescent="0.35">
      <c r="A5121">
        <v>37.3598751420149</v>
      </c>
      <c r="B5121">
        <v>-114.84925160177301</v>
      </c>
      <c r="C5121" t="s">
        <v>29</v>
      </c>
      <c r="D5121">
        <v>27.305158730926198</v>
      </c>
      <c r="E5121">
        <v>4</v>
      </c>
      <c r="F5121">
        <v>3180</v>
      </c>
      <c r="G5121">
        <v>3</v>
      </c>
      <c r="H5121">
        <v>2</v>
      </c>
      <c r="I5121">
        <v>2016</v>
      </c>
      <c r="J5121">
        <v>0</v>
      </c>
      <c r="K5121">
        <v>1</v>
      </c>
      <c r="L5121">
        <v>0</v>
      </c>
      <c r="M5121">
        <v>3</v>
      </c>
      <c r="N5121" t="s">
        <v>26</v>
      </c>
      <c r="O5121" t="s">
        <v>27</v>
      </c>
      <c r="P5121">
        <v>13.609408959462799</v>
      </c>
      <c r="Q5121">
        <v>0.98987013280042202</v>
      </c>
      <c r="R5121">
        <v>7.3041296315545896</v>
      </c>
      <c r="S5121">
        <v>173</v>
      </c>
      <c r="T5121">
        <v>65</v>
      </c>
      <c r="U5121">
        <v>503.21607052835498</v>
      </c>
      <c r="V5121">
        <v>9.4339622641509402E-4</v>
      </c>
      <c r="W5121">
        <v>1982572.03895204</v>
      </c>
      <c r="X5121" t="s">
        <v>31</v>
      </c>
      <c r="Y5121">
        <f>1-577-316-2152</f>
        <v>-3044</v>
      </c>
    </row>
    <row r="5122" spans="1:25" x14ac:dyDescent="0.35">
      <c r="A5122">
        <v>36.285755762437603</v>
      </c>
      <c r="B5122">
        <v>-123.229918363116</v>
      </c>
      <c r="C5122" t="s">
        <v>25</v>
      </c>
      <c r="D5122">
        <v>25.276385998393</v>
      </c>
      <c r="E5122">
        <v>6</v>
      </c>
      <c r="F5122">
        <v>2289</v>
      </c>
      <c r="G5122">
        <v>1</v>
      </c>
      <c r="H5122">
        <v>1</v>
      </c>
      <c r="I5122">
        <v>2000</v>
      </c>
      <c r="J5122">
        <v>1</v>
      </c>
      <c r="K5122">
        <v>1</v>
      </c>
      <c r="L5122">
        <v>1</v>
      </c>
      <c r="M5122">
        <v>11</v>
      </c>
      <c r="N5122" t="s">
        <v>35</v>
      </c>
      <c r="O5122" t="s">
        <v>32</v>
      </c>
      <c r="P5122">
        <v>12.2490270230628</v>
      </c>
      <c r="Q5122">
        <v>1.9922838160852101</v>
      </c>
      <c r="R5122">
        <v>9.5626529286646598</v>
      </c>
      <c r="S5122">
        <v>160</v>
      </c>
      <c r="T5122">
        <v>23</v>
      </c>
      <c r="U5122">
        <v>417.48038952931302</v>
      </c>
      <c r="V5122">
        <v>4.8055919615552596E-3</v>
      </c>
      <c r="W5122">
        <v>1171837.3772815201</v>
      </c>
      <c r="X5122" t="s">
        <v>28</v>
      </c>
      <c r="Y5122">
        <f>1-713-377-1972</f>
        <v>-3061</v>
      </c>
    </row>
    <row r="5123" spans="1:25" x14ac:dyDescent="0.35">
      <c r="A5123">
        <v>35.401001697551401</v>
      </c>
      <c r="B5123">
        <v>-119.84596023328599</v>
      </c>
      <c r="C5123" t="s">
        <v>25</v>
      </c>
      <c r="D5123">
        <v>4.9044833181064096</v>
      </c>
      <c r="E5123">
        <v>8</v>
      </c>
      <c r="F5123">
        <v>1147</v>
      </c>
      <c r="G5123">
        <v>2</v>
      </c>
      <c r="H5123">
        <v>2</v>
      </c>
      <c r="I5123">
        <v>1980</v>
      </c>
      <c r="J5123">
        <v>1</v>
      </c>
      <c r="K5123">
        <v>0</v>
      </c>
      <c r="L5123">
        <v>0</v>
      </c>
      <c r="M5123">
        <v>6</v>
      </c>
      <c r="N5123" t="s">
        <v>26</v>
      </c>
      <c r="O5123" t="s">
        <v>32</v>
      </c>
      <c r="P5123">
        <v>3.4711140079046201</v>
      </c>
      <c r="Q5123">
        <v>0.67195079694883397</v>
      </c>
      <c r="R5123">
        <v>3.66693002932247</v>
      </c>
      <c r="S5123">
        <v>70</v>
      </c>
      <c r="T5123">
        <v>33</v>
      </c>
      <c r="U5123">
        <v>320.988060287856</v>
      </c>
      <c r="V5123">
        <v>5.2310374891020002E-3</v>
      </c>
      <c r="W5123">
        <v>502324.65433988703</v>
      </c>
      <c r="X5123" t="s">
        <v>42</v>
      </c>
      <c r="Y5123">
        <f>1-955-314-1492</f>
        <v>-2760</v>
      </c>
    </row>
    <row r="5124" spans="1:25" x14ac:dyDescent="0.35">
      <c r="A5124">
        <v>39.149172663709898</v>
      </c>
      <c r="B5124">
        <v>-116.02530241385</v>
      </c>
      <c r="C5124" t="s">
        <v>29</v>
      </c>
      <c r="D5124">
        <v>17.519423504546999</v>
      </c>
      <c r="E5124">
        <v>4</v>
      </c>
      <c r="F5124">
        <v>3465</v>
      </c>
      <c r="G5124">
        <v>2</v>
      </c>
      <c r="H5124">
        <v>1</v>
      </c>
      <c r="I5124">
        <v>1986</v>
      </c>
      <c r="J5124">
        <v>0</v>
      </c>
      <c r="K5124">
        <v>0</v>
      </c>
      <c r="L5124">
        <v>0</v>
      </c>
      <c r="M5124">
        <v>14</v>
      </c>
      <c r="N5124" t="s">
        <v>41</v>
      </c>
      <c r="O5124" t="s">
        <v>30</v>
      </c>
      <c r="P5124">
        <v>4.3400159207530598</v>
      </c>
      <c r="Q5124">
        <v>1.5492869795915001</v>
      </c>
      <c r="R5124">
        <v>0.21895610436771901</v>
      </c>
      <c r="S5124">
        <v>34</v>
      </c>
      <c r="T5124">
        <v>71</v>
      </c>
      <c r="U5124">
        <v>760.63703461949206</v>
      </c>
      <c r="V5124">
        <v>4.0404040404040404E-3</v>
      </c>
      <c r="W5124">
        <v>2808917.6049872399</v>
      </c>
      <c r="X5124" t="s">
        <v>33</v>
      </c>
      <c r="Y5124">
        <f>1-283-792-1061</f>
        <v>-2135</v>
      </c>
    </row>
    <row r="5125" spans="1:25" x14ac:dyDescent="0.35">
      <c r="A5125">
        <v>37.682619322814297</v>
      </c>
      <c r="B5125">
        <v>-123.19501500354799</v>
      </c>
      <c r="C5125" t="s">
        <v>29</v>
      </c>
      <c r="D5125">
        <v>9.1597605732771594</v>
      </c>
      <c r="E5125">
        <v>4</v>
      </c>
      <c r="F5125">
        <v>4423</v>
      </c>
      <c r="G5125">
        <v>4</v>
      </c>
      <c r="H5125">
        <v>1</v>
      </c>
      <c r="I5125">
        <v>1973</v>
      </c>
      <c r="J5125">
        <v>0</v>
      </c>
      <c r="K5125">
        <v>0</v>
      </c>
      <c r="L5125">
        <v>1</v>
      </c>
      <c r="M5125">
        <v>2</v>
      </c>
      <c r="N5125" t="s">
        <v>37</v>
      </c>
      <c r="O5125" t="s">
        <v>27</v>
      </c>
      <c r="P5125">
        <v>4.8346003039824996</v>
      </c>
      <c r="Q5125">
        <v>1.90756253235151</v>
      </c>
      <c r="R5125">
        <v>2.5505472685420898</v>
      </c>
      <c r="S5125">
        <v>122</v>
      </c>
      <c r="T5125">
        <v>49</v>
      </c>
      <c r="U5125">
        <v>533.11318838714806</v>
      </c>
      <c r="V5125">
        <v>4.5218177707438299E-4</v>
      </c>
      <c r="W5125">
        <v>2539910.61245964</v>
      </c>
      <c r="X5125" t="s">
        <v>42</v>
      </c>
      <c r="Y5125">
        <f>1-808-207-1510</f>
        <v>-2524</v>
      </c>
    </row>
    <row r="5126" spans="1:25" x14ac:dyDescent="0.35">
      <c r="A5126">
        <v>36.4609298158664</v>
      </c>
      <c r="B5126">
        <v>-116.96647991928501</v>
      </c>
      <c r="C5126" t="s">
        <v>25</v>
      </c>
      <c r="D5126">
        <v>45.836594562333097</v>
      </c>
      <c r="E5126">
        <v>1</v>
      </c>
      <c r="F5126">
        <v>3467</v>
      </c>
      <c r="G5126">
        <v>2</v>
      </c>
      <c r="H5126">
        <v>2</v>
      </c>
      <c r="I5126">
        <v>2019</v>
      </c>
      <c r="J5126">
        <v>1</v>
      </c>
      <c r="K5126">
        <v>0</v>
      </c>
      <c r="L5126">
        <v>1</v>
      </c>
      <c r="M5126">
        <v>5</v>
      </c>
      <c r="N5126" t="s">
        <v>26</v>
      </c>
      <c r="O5126" t="s">
        <v>32</v>
      </c>
      <c r="P5126">
        <v>8.6552455155913606</v>
      </c>
      <c r="Q5126">
        <v>0.92018083270408102</v>
      </c>
      <c r="R5126">
        <v>5.3234873794090598</v>
      </c>
      <c r="S5126">
        <v>9</v>
      </c>
      <c r="T5126">
        <v>22</v>
      </c>
      <c r="U5126">
        <v>702.32300804944896</v>
      </c>
      <c r="V5126">
        <v>1.4421690222094E-3</v>
      </c>
      <c r="W5126">
        <v>2830151.45933699</v>
      </c>
      <c r="X5126" t="s">
        <v>39</v>
      </c>
      <c r="Y5126">
        <f>1-345-210-2367</f>
        <v>-2921</v>
      </c>
    </row>
    <row r="5127" spans="1:25" x14ac:dyDescent="0.35">
      <c r="A5127">
        <v>41.698023807728397</v>
      </c>
      <c r="B5127">
        <v>-123.48613800960899</v>
      </c>
      <c r="C5127" t="s">
        <v>34</v>
      </c>
      <c r="D5127">
        <v>48.990595020131799</v>
      </c>
      <c r="E5127">
        <v>1</v>
      </c>
      <c r="F5127">
        <v>3517</v>
      </c>
      <c r="G5127">
        <v>2</v>
      </c>
      <c r="H5127">
        <v>2</v>
      </c>
      <c r="I5127">
        <v>1962</v>
      </c>
      <c r="J5127">
        <v>1</v>
      </c>
      <c r="K5127">
        <v>1</v>
      </c>
      <c r="L5127">
        <v>0</v>
      </c>
      <c r="M5127">
        <v>7</v>
      </c>
      <c r="N5127" t="s">
        <v>35</v>
      </c>
      <c r="O5127" t="s">
        <v>32</v>
      </c>
      <c r="P5127">
        <v>14.258022929699299</v>
      </c>
      <c r="Q5127">
        <v>1.17855447323248</v>
      </c>
      <c r="R5127">
        <v>4.6160234348044096</v>
      </c>
      <c r="S5127">
        <v>51</v>
      </c>
      <c r="T5127">
        <v>73</v>
      </c>
      <c r="U5127">
        <v>774.28383031375495</v>
      </c>
      <c r="V5127">
        <v>1.9903326698891099E-3</v>
      </c>
      <c r="W5127">
        <v>2931854.0450237701</v>
      </c>
      <c r="X5127" t="s">
        <v>44</v>
      </c>
      <c r="Y5127">
        <f>1-350-584-5989</f>
        <v>-6922</v>
      </c>
    </row>
    <row r="5128" spans="1:25" x14ac:dyDescent="0.35">
      <c r="A5128">
        <v>39.079901218347104</v>
      </c>
      <c r="B5128">
        <v>-122.22826987751</v>
      </c>
      <c r="C5128" t="s">
        <v>25</v>
      </c>
      <c r="D5128">
        <v>31.094595928958999</v>
      </c>
      <c r="E5128">
        <v>1</v>
      </c>
      <c r="F5128">
        <v>3730</v>
      </c>
      <c r="G5128">
        <v>4</v>
      </c>
      <c r="H5128">
        <v>2</v>
      </c>
      <c r="I5128">
        <v>2021</v>
      </c>
      <c r="J5128">
        <v>0</v>
      </c>
      <c r="K5128">
        <v>1</v>
      </c>
      <c r="L5128">
        <v>0</v>
      </c>
      <c r="M5128">
        <v>12</v>
      </c>
      <c r="N5128" t="s">
        <v>26</v>
      </c>
      <c r="O5128" t="s">
        <v>32</v>
      </c>
      <c r="P5128">
        <v>11.905222326477601</v>
      </c>
      <c r="Q5128">
        <v>1.35506445768023</v>
      </c>
      <c r="R5128">
        <v>1.2430390311291499</v>
      </c>
      <c r="S5128">
        <v>49</v>
      </c>
      <c r="T5128">
        <v>28</v>
      </c>
      <c r="U5128">
        <v>400.26109273511798</v>
      </c>
      <c r="V5128">
        <v>3.2171581769436901E-3</v>
      </c>
      <c r="W5128">
        <v>2012370.6542605499</v>
      </c>
      <c r="X5128" t="s">
        <v>31</v>
      </c>
      <c r="Y5128">
        <f>1-705-373-9325</f>
        <v>-10402</v>
      </c>
    </row>
    <row r="5129" spans="1:25" x14ac:dyDescent="0.35">
      <c r="A5129">
        <v>34.818238187796197</v>
      </c>
      <c r="B5129">
        <v>-116.02071599382801</v>
      </c>
      <c r="C5129" t="s">
        <v>34</v>
      </c>
      <c r="D5129">
        <v>45.691319940341998</v>
      </c>
      <c r="E5129">
        <v>4</v>
      </c>
      <c r="F5129">
        <v>3884</v>
      </c>
      <c r="G5129">
        <v>2</v>
      </c>
      <c r="H5129">
        <v>2</v>
      </c>
      <c r="I5129">
        <v>1964</v>
      </c>
      <c r="J5129">
        <v>0</v>
      </c>
      <c r="K5129">
        <v>1</v>
      </c>
      <c r="L5129">
        <v>0</v>
      </c>
      <c r="M5129">
        <v>5</v>
      </c>
      <c r="N5129" t="s">
        <v>37</v>
      </c>
      <c r="O5129" t="s">
        <v>32</v>
      </c>
      <c r="P5129">
        <v>11.354963046318201</v>
      </c>
      <c r="Q5129">
        <v>1.6462573604808599</v>
      </c>
      <c r="R5129">
        <v>3.8662538512218898</v>
      </c>
      <c r="S5129">
        <v>170</v>
      </c>
      <c r="T5129">
        <v>20</v>
      </c>
      <c r="U5129">
        <v>743.78401998726702</v>
      </c>
      <c r="V5129">
        <v>1.2873326467559201E-3</v>
      </c>
      <c r="W5129">
        <v>3094072.8977210699</v>
      </c>
      <c r="X5129" t="s">
        <v>31</v>
      </c>
      <c r="Y5129">
        <f>1-350-803-2981</f>
        <v>-4133</v>
      </c>
    </row>
    <row r="5130" spans="1:25" x14ac:dyDescent="0.35">
      <c r="A5130">
        <v>38.963028470215498</v>
      </c>
      <c r="B5130">
        <v>-116.116816721782</v>
      </c>
      <c r="C5130" t="s">
        <v>34</v>
      </c>
      <c r="D5130">
        <v>22.525146373586999</v>
      </c>
      <c r="E5130">
        <v>9</v>
      </c>
      <c r="F5130">
        <v>2564</v>
      </c>
      <c r="G5130">
        <v>2</v>
      </c>
      <c r="H5130">
        <v>2</v>
      </c>
      <c r="I5130">
        <v>2016</v>
      </c>
      <c r="J5130">
        <v>0</v>
      </c>
      <c r="K5130">
        <v>0</v>
      </c>
      <c r="L5130">
        <v>1</v>
      </c>
      <c r="M5130">
        <v>4</v>
      </c>
      <c r="N5130" t="s">
        <v>37</v>
      </c>
      <c r="O5130" t="s">
        <v>32</v>
      </c>
      <c r="P5130">
        <v>6.9025078612598501</v>
      </c>
      <c r="Q5130">
        <v>1.80159542301252</v>
      </c>
      <c r="R5130">
        <v>2.9935489135528899</v>
      </c>
      <c r="S5130">
        <v>28</v>
      </c>
      <c r="T5130">
        <v>53</v>
      </c>
      <c r="U5130">
        <v>725.81629608931598</v>
      </c>
      <c r="V5130">
        <v>1.5600624024960999E-3</v>
      </c>
      <c r="W5130">
        <v>2112764.6682372401</v>
      </c>
      <c r="X5130" t="s">
        <v>39</v>
      </c>
      <c r="Y5130">
        <f>1-940-974-3583</f>
        <v>-5496</v>
      </c>
    </row>
    <row r="5131" spans="1:25" x14ac:dyDescent="0.35">
      <c r="A5131">
        <v>40.194219930991501</v>
      </c>
      <c r="B5131">
        <v>-117.78095034294699</v>
      </c>
      <c r="C5131" t="s">
        <v>34</v>
      </c>
      <c r="D5131">
        <v>44.173211571415401</v>
      </c>
      <c r="E5131">
        <v>2</v>
      </c>
      <c r="F5131">
        <v>2397</v>
      </c>
      <c r="G5131">
        <v>1</v>
      </c>
      <c r="H5131">
        <v>3</v>
      </c>
      <c r="I5131">
        <v>2021</v>
      </c>
      <c r="J5131">
        <v>1</v>
      </c>
      <c r="K5131">
        <v>1</v>
      </c>
      <c r="L5131">
        <v>0</v>
      </c>
      <c r="M5131">
        <v>12</v>
      </c>
      <c r="N5131" t="s">
        <v>35</v>
      </c>
      <c r="O5131" t="s">
        <v>32</v>
      </c>
      <c r="P5131">
        <v>12.388387032757199</v>
      </c>
      <c r="Q5131">
        <v>2.1693662561147602</v>
      </c>
      <c r="R5131">
        <v>2.8275395133313501</v>
      </c>
      <c r="S5131">
        <v>129</v>
      </c>
      <c r="T5131">
        <v>65</v>
      </c>
      <c r="U5131">
        <v>544.90754132168695</v>
      </c>
      <c r="V5131">
        <v>5.0062578222778396E-3</v>
      </c>
      <c r="W5131">
        <v>1661828.61775635</v>
      </c>
      <c r="X5131" t="s">
        <v>44</v>
      </c>
      <c r="Y5131">
        <f>1-510-935-9630</f>
        <v>-11074</v>
      </c>
    </row>
    <row r="5132" spans="1:25" x14ac:dyDescent="0.35">
      <c r="A5132">
        <v>34.7116804850628</v>
      </c>
      <c r="B5132">
        <v>-115.675315825761</v>
      </c>
      <c r="C5132" t="s">
        <v>25</v>
      </c>
      <c r="D5132">
        <v>7.1539327349109598</v>
      </c>
      <c r="E5132">
        <v>7</v>
      </c>
      <c r="F5132">
        <v>4729</v>
      </c>
      <c r="G5132">
        <v>2</v>
      </c>
      <c r="H5132">
        <v>1</v>
      </c>
      <c r="I5132">
        <v>1985</v>
      </c>
      <c r="J5132">
        <v>1</v>
      </c>
      <c r="K5132">
        <v>1</v>
      </c>
      <c r="L5132">
        <v>1</v>
      </c>
      <c r="M5132">
        <v>5</v>
      </c>
      <c r="N5132" t="s">
        <v>41</v>
      </c>
      <c r="O5132" t="s">
        <v>27</v>
      </c>
      <c r="P5132">
        <v>7.9902581018389904</v>
      </c>
      <c r="Q5132">
        <v>1.92666046427146</v>
      </c>
      <c r="R5132">
        <v>6.0366936246564604</v>
      </c>
      <c r="S5132">
        <v>138</v>
      </c>
      <c r="T5132">
        <v>63</v>
      </c>
      <c r="U5132">
        <v>312.29810574510299</v>
      </c>
      <c r="V5132">
        <v>1.0573059843518699E-3</v>
      </c>
      <c r="W5132">
        <v>1706939.02534144</v>
      </c>
      <c r="X5132" t="s">
        <v>42</v>
      </c>
      <c r="Y5132">
        <f>1-283-949-5116</f>
        <v>-6347</v>
      </c>
    </row>
    <row r="5133" spans="1:25" x14ac:dyDescent="0.35">
      <c r="A5133">
        <v>40.614113630461198</v>
      </c>
      <c r="B5133">
        <v>-117.31444250875499</v>
      </c>
      <c r="C5133" t="s">
        <v>34</v>
      </c>
      <c r="D5133">
        <v>16.545680588172001</v>
      </c>
      <c r="E5133">
        <v>2</v>
      </c>
      <c r="F5133">
        <v>2406</v>
      </c>
      <c r="G5133">
        <v>1</v>
      </c>
      <c r="H5133">
        <v>2</v>
      </c>
      <c r="I5133">
        <v>1956</v>
      </c>
      <c r="J5133">
        <v>1</v>
      </c>
      <c r="K5133">
        <v>1</v>
      </c>
      <c r="L5133">
        <v>0</v>
      </c>
      <c r="M5133">
        <v>9</v>
      </c>
      <c r="N5133" t="s">
        <v>41</v>
      </c>
      <c r="O5133" t="s">
        <v>27</v>
      </c>
      <c r="P5133">
        <v>3.2712812366478401</v>
      </c>
      <c r="Q5133">
        <v>1.1925596454012199</v>
      </c>
      <c r="R5133">
        <v>0.47418714040127802</v>
      </c>
      <c r="S5133">
        <v>162</v>
      </c>
      <c r="T5133">
        <v>33</v>
      </c>
      <c r="U5133">
        <v>667.79192065327095</v>
      </c>
      <c r="V5133">
        <v>3.7406483790523599E-3</v>
      </c>
      <c r="W5133">
        <v>1704080.4389396501</v>
      </c>
      <c r="X5133" t="s">
        <v>38</v>
      </c>
      <c r="Y5133">
        <f>1-375-929-8097</f>
        <v>-9400</v>
      </c>
    </row>
    <row r="5134" spans="1:25" x14ac:dyDescent="0.35">
      <c r="A5134">
        <v>40.975605422917702</v>
      </c>
      <c r="B5134">
        <v>-114.549033602424</v>
      </c>
      <c r="C5134" t="s">
        <v>34</v>
      </c>
      <c r="D5134">
        <v>39.864822303909101</v>
      </c>
      <c r="E5134">
        <v>4</v>
      </c>
      <c r="F5134">
        <v>2900</v>
      </c>
      <c r="G5134">
        <v>5</v>
      </c>
      <c r="H5134">
        <v>2</v>
      </c>
      <c r="I5134">
        <v>1959</v>
      </c>
      <c r="J5134">
        <v>1</v>
      </c>
      <c r="K5134">
        <v>0</v>
      </c>
      <c r="L5134">
        <v>0</v>
      </c>
      <c r="M5134">
        <v>6</v>
      </c>
      <c r="N5134" t="s">
        <v>41</v>
      </c>
      <c r="O5134" t="s">
        <v>27</v>
      </c>
      <c r="P5134">
        <v>10.479936374562699</v>
      </c>
      <c r="Q5134">
        <v>2.2369768734092199</v>
      </c>
      <c r="R5134">
        <v>1.74757139147772</v>
      </c>
      <c r="S5134">
        <v>72</v>
      </c>
      <c r="T5134">
        <v>64</v>
      </c>
      <c r="U5134">
        <v>861.28516459655305</v>
      </c>
      <c r="V5134">
        <v>2.0689655172413698E-3</v>
      </c>
      <c r="W5134">
        <v>2836885.6258249702</v>
      </c>
      <c r="X5134" t="s">
        <v>39</v>
      </c>
      <c r="Y5134">
        <f>1-506-634-5618</f>
        <v>-6757</v>
      </c>
    </row>
    <row r="5135" spans="1:25" x14ac:dyDescent="0.35">
      <c r="A5135">
        <v>41.534851210310201</v>
      </c>
      <c r="B5135">
        <v>-124.10144199947</v>
      </c>
      <c r="C5135" t="s">
        <v>29</v>
      </c>
      <c r="D5135">
        <v>31.5232315664643</v>
      </c>
      <c r="E5135">
        <v>6</v>
      </c>
      <c r="F5135">
        <v>4646</v>
      </c>
      <c r="G5135">
        <v>1</v>
      </c>
      <c r="H5135">
        <v>2</v>
      </c>
      <c r="I5135">
        <v>1956</v>
      </c>
      <c r="J5135">
        <v>0</v>
      </c>
      <c r="K5135">
        <v>1</v>
      </c>
      <c r="L5135">
        <v>0</v>
      </c>
      <c r="M5135">
        <v>6</v>
      </c>
      <c r="N5135" t="s">
        <v>41</v>
      </c>
      <c r="O5135" t="s">
        <v>30</v>
      </c>
      <c r="P5135">
        <v>10.3181799067948</v>
      </c>
      <c r="Q5135">
        <v>1.1848902522668701</v>
      </c>
      <c r="R5135">
        <v>8.9471904734553807</v>
      </c>
      <c r="S5135">
        <v>146</v>
      </c>
      <c r="T5135">
        <v>57</v>
      </c>
      <c r="U5135">
        <v>945.96100091352901</v>
      </c>
      <c r="V5135">
        <v>1.2914334911751999E-3</v>
      </c>
      <c r="W5135">
        <v>4559864.5291130496</v>
      </c>
      <c r="X5135" t="s">
        <v>39</v>
      </c>
      <c r="Y5135">
        <f>1-294-226-3296</f>
        <v>-3815</v>
      </c>
    </row>
    <row r="5136" spans="1:25" x14ac:dyDescent="0.35">
      <c r="A5136">
        <v>32.834373560344503</v>
      </c>
      <c r="B5136">
        <v>-122.532821721415</v>
      </c>
      <c r="C5136" t="s">
        <v>29</v>
      </c>
      <c r="D5136">
        <v>36.2199360540707</v>
      </c>
      <c r="E5136">
        <v>2</v>
      </c>
      <c r="F5136">
        <v>1497</v>
      </c>
      <c r="G5136">
        <v>4</v>
      </c>
      <c r="H5136">
        <v>1</v>
      </c>
      <c r="I5136">
        <v>2001</v>
      </c>
      <c r="J5136">
        <v>1</v>
      </c>
      <c r="K5136">
        <v>1</v>
      </c>
      <c r="L5136">
        <v>1</v>
      </c>
      <c r="M5136">
        <v>11</v>
      </c>
      <c r="N5136" t="s">
        <v>37</v>
      </c>
      <c r="O5136" t="s">
        <v>30</v>
      </c>
      <c r="P5136">
        <v>12.2958375049081</v>
      </c>
      <c r="Q5136">
        <v>0.99807871380921798</v>
      </c>
      <c r="R5136">
        <v>0.53659014915288195</v>
      </c>
      <c r="S5136">
        <v>81</v>
      </c>
      <c r="T5136">
        <v>34</v>
      </c>
      <c r="U5136">
        <v>913.78326088073902</v>
      </c>
      <c r="V5136">
        <v>7.3480293921175596E-3</v>
      </c>
      <c r="W5136">
        <v>1760363.64681831</v>
      </c>
      <c r="X5136" t="s">
        <v>36</v>
      </c>
      <c r="Y5136">
        <f>1-331-703-2978</f>
        <v>-4011</v>
      </c>
    </row>
    <row r="5137" spans="1:25" x14ac:dyDescent="0.35">
      <c r="A5137">
        <v>36.770120835680601</v>
      </c>
      <c r="B5137">
        <v>-117.787937429075</v>
      </c>
      <c r="C5137" t="s">
        <v>29</v>
      </c>
      <c r="D5137">
        <v>20.364571161762299</v>
      </c>
      <c r="E5137">
        <v>6</v>
      </c>
      <c r="F5137">
        <v>4979</v>
      </c>
      <c r="G5137">
        <v>5</v>
      </c>
      <c r="H5137">
        <v>3</v>
      </c>
      <c r="I5137">
        <v>1971</v>
      </c>
      <c r="J5137">
        <v>0</v>
      </c>
      <c r="K5137">
        <v>0</v>
      </c>
      <c r="L5137">
        <v>1</v>
      </c>
      <c r="M5137">
        <v>3</v>
      </c>
      <c r="N5137" t="s">
        <v>35</v>
      </c>
      <c r="O5137" t="s">
        <v>27</v>
      </c>
      <c r="P5137">
        <v>11.7987307194749</v>
      </c>
      <c r="Q5137">
        <v>1.16613296636743</v>
      </c>
      <c r="R5137">
        <v>1.87296148785149</v>
      </c>
      <c r="S5137">
        <v>34</v>
      </c>
      <c r="T5137">
        <v>50</v>
      </c>
      <c r="U5137">
        <v>557.18018082437095</v>
      </c>
      <c r="V5137">
        <v>6.0253062864028901E-4</v>
      </c>
      <c r="W5137">
        <v>3127497.79195377</v>
      </c>
      <c r="X5137" t="s">
        <v>36</v>
      </c>
      <c r="Y5137">
        <f>1-356-105-9584</f>
        <v>-10044</v>
      </c>
    </row>
    <row r="5138" spans="1:25" x14ac:dyDescent="0.35">
      <c r="A5138">
        <v>39.344356020187597</v>
      </c>
      <c r="B5138">
        <v>-119.907848575811</v>
      </c>
      <c r="C5138" t="s">
        <v>25</v>
      </c>
      <c r="D5138">
        <v>1.54538331791872</v>
      </c>
      <c r="E5138">
        <v>6</v>
      </c>
      <c r="F5138">
        <v>1805</v>
      </c>
      <c r="G5138">
        <v>5</v>
      </c>
      <c r="H5138">
        <v>1</v>
      </c>
      <c r="I5138">
        <v>2013</v>
      </c>
      <c r="J5138">
        <v>1</v>
      </c>
      <c r="K5138">
        <v>1</v>
      </c>
      <c r="L5138">
        <v>0</v>
      </c>
      <c r="M5138">
        <v>5</v>
      </c>
      <c r="N5138" t="s">
        <v>35</v>
      </c>
      <c r="O5138" t="s">
        <v>27</v>
      </c>
      <c r="P5138">
        <v>3.2522197472570298</v>
      </c>
      <c r="Q5138">
        <v>1.1927936874833101</v>
      </c>
      <c r="R5138">
        <v>9.7777835408101197</v>
      </c>
      <c r="S5138">
        <v>172</v>
      </c>
      <c r="T5138">
        <v>40</v>
      </c>
      <c r="U5138">
        <v>506.11624284755999</v>
      </c>
      <c r="V5138">
        <v>2.77008310249307E-3</v>
      </c>
      <c r="W5138">
        <v>1295056.9343623</v>
      </c>
      <c r="X5138" t="s">
        <v>28</v>
      </c>
      <c r="Y5138">
        <f>1-647-288-7225</f>
        <v>-8159</v>
      </c>
    </row>
    <row r="5139" spans="1:25" x14ac:dyDescent="0.35">
      <c r="A5139">
        <v>33.006662942363903</v>
      </c>
      <c r="B5139">
        <v>-115.41068998097499</v>
      </c>
      <c r="C5139" t="s">
        <v>25</v>
      </c>
      <c r="D5139">
        <v>36.852815505787198</v>
      </c>
      <c r="E5139">
        <v>0</v>
      </c>
      <c r="F5139">
        <v>1331</v>
      </c>
      <c r="G5139">
        <v>4</v>
      </c>
      <c r="H5139">
        <v>2</v>
      </c>
      <c r="I5139">
        <v>1961</v>
      </c>
      <c r="J5139">
        <v>0</v>
      </c>
      <c r="K5139">
        <v>0</v>
      </c>
      <c r="L5139">
        <v>1</v>
      </c>
      <c r="M5139">
        <v>14</v>
      </c>
      <c r="N5139" t="s">
        <v>41</v>
      </c>
      <c r="O5139" t="s">
        <v>27</v>
      </c>
      <c r="P5139">
        <v>5.5568846341925902</v>
      </c>
      <c r="Q5139">
        <v>1.8918363962713201</v>
      </c>
      <c r="R5139">
        <v>9.7376191468402205</v>
      </c>
      <c r="S5139">
        <v>164</v>
      </c>
      <c r="T5139">
        <v>24</v>
      </c>
      <c r="U5139">
        <v>868.98105404178602</v>
      </c>
      <c r="V5139">
        <v>1.0518407212622E-2</v>
      </c>
      <c r="W5139">
        <v>1304612.5551606601</v>
      </c>
      <c r="X5139" t="s">
        <v>42</v>
      </c>
      <c r="Y5139">
        <f>1-507-575-7870</f>
        <v>-8951</v>
      </c>
    </row>
    <row r="5140" spans="1:25" x14ac:dyDescent="0.35">
      <c r="A5140">
        <v>37.803585044934103</v>
      </c>
      <c r="B5140">
        <v>-118.298362812023</v>
      </c>
      <c r="C5140" t="s">
        <v>25</v>
      </c>
      <c r="D5140">
        <v>29.881264578760199</v>
      </c>
      <c r="E5140">
        <v>6</v>
      </c>
      <c r="F5140">
        <v>2054</v>
      </c>
      <c r="G5140">
        <v>2</v>
      </c>
      <c r="H5140">
        <v>1</v>
      </c>
      <c r="I5140">
        <v>2016</v>
      </c>
      <c r="J5140">
        <v>0</v>
      </c>
      <c r="K5140">
        <v>0</v>
      </c>
      <c r="L5140">
        <v>0</v>
      </c>
      <c r="M5140">
        <v>4</v>
      </c>
      <c r="N5140" t="s">
        <v>41</v>
      </c>
      <c r="O5140" t="s">
        <v>32</v>
      </c>
      <c r="P5140">
        <v>4.3336658654246296</v>
      </c>
      <c r="Q5140">
        <v>1.1438860080568001</v>
      </c>
      <c r="R5140">
        <v>3.64498161425891</v>
      </c>
      <c r="S5140">
        <v>18</v>
      </c>
      <c r="T5140">
        <v>54</v>
      </c>
      <c r="U5140">
        <v>776.00995468171004</v>
      </c>
      <c r="V5140">
        <v>1.9474196689386501E-3</v>
      </c>
      <c r="W5140">
        <v>1777692.15959573</v>
      </c>
      <c r="X5140" t="s">
        <v>33</v>
      </c>
      <c r="Y5140">
        <f>1-725-181-4191</f>
        <v>-5096</v>
      </c>
    </row>
    <row r="5141" spans="1:25" x14ac:dyDescent="0.35">
      <c r="A5141">
        <v>38.493368292232702</v>
      </c>
      <c r="B5141">
        <v>-117.123217922498</v>
      </c>
      <c r="C5141" t="s">
        <v>34</v>
      </c>
      <c r="D5141">
        <v>37.664438168843603</v>
      </c>
      <c r="E5141">
        <v>9</v>
      </c>
      <c r="F5141">
        <v>1750</v>
      </c>
      <c r="G5141">
        <v>3</v>
      </c>
      <c r="H5141">
        <v>2</v>
      </c>
      <c r="I5141">
        <v>1981</v>
      </c>
      <c r="J5141">
        <v>1</v>
      </c>
      <c r="K5141">
        <v>0</v>
      </c>
      <c r="L5141">
        <v>0</v>
      </c>
      <c r="M5141">
        <v>4</v>
      </c>
      <c r="N5141" t="s">
        <v>41</v>
      </c>
      <c r="O5141" t="s">
        <v>32</v>
      </c>
      <c r="P5141">
        <v>14.021350552398101</v>
      </c>
      <c r="Q5141">
        <v>1.73203425060102</v>
      </c>
      <c r="R5141">
        <v>8.9776607400616104</v>
      </c>
      <c r="S5141">
        <v>55</v>
      </c>
      <c r="T5141">
        <v>53</v>
      </c>
      <c r="U5141">
        <v>265.45148575068498</v>
      </c>
      <c r="V5141">
        <v>2.2857142857142798E-3</v>
      </c>
      <c r="W5141">
        <v>853527.24571707798</v>
      </c>
      <c r="X5141" t="s">
        <v>39</v>
      </c>
      <c r="Y5141">
        <f>1-439-180-9783</f>
        <v>-10401</v>
      </c>
    </row>
    <row r="5142" spans="1:25" x14ac:dyDescent="0.35">
      <c r="A5142">
        <v>32.939263642424201</v>
      </c>
      <c r="B5142">
        <v>-121.65117974176999</v>
      </c>
      <c r="C5142" t="s">
        <v>25</v>
      </c>
      <c r="D5142">
        <v>21.6456625757612</v>
      </c>
      <c r="E5142">
        <v>3</v>
      </c>
      <c r="F5142">
        <v>3937</v>
      </c>
      <c r="G5142">
        <v>2</v>
      </c>
      <c r="H5142">
        <v>1</v>
      </c>
      <c r="I5142">
        <v>1997</v>
      </c>
      <c r="J5142">
        <v>0</v>
      </c>
      <c r="K5142">
        <v>1</v>
      </c>
      <c r="L5142">
        <v>0</v>
      </c>
      <c r="M5142">
        <v>6</v>
      </c>
      <c r="N5142" t="s">
        <v>26</v>
      </c>
      <c r="O5142" t="s">
        <v>32</v>
      </c>
      <c r="P5142">
        <v>6.8870038844478296</v>
      </c>
      <c r="Q5142">
        <v>0.69499253292109997</v>
      </c>
      <c r="R5142">
        <v>7.0617455235561097</v>
      </c>
      <c r="S5142">
        <v>11</v>
      </c>
      <c r="T5142">
        <v>65</v>
      </c>
      <c r="U5142">
        <v>312.06387678645098</v>
      </c>
      <c r="V5142">
        <v>1.5240030480060901E-3</v>
      </c>
      <c r="W5142">
        <v>1375463.4094808099</v>
      </c>
      <c r="X5142" t="s">
        <v>40</v>
      </c>
      <c r="Y5142">
        <f>1-955-416-8575</f>
        <v>-9945</v>
      </c>
    </row>
    <row r="5143" spans="1:25" x14ac:dyDescent="0.35">
      <c r="A5143">
        <v>40.483838843675102</v>
      </c>
      <c r="B5143">
        <v>-116.148015118987</v>
      </c>
      <c r="C5143" t="s">
        <v>25</v>
      </c>
      <c r="D5143">
        <v>21.401676430919601</v>
      </c>
      <c r="E5143">
        <v>1</v>
      </c>
      <c r="F5143">
        <v>2761</v>
      </c>
      <c r="G5143">
        <v>1</v>
      </c>
      <c r="H5143">
        <v>3</v>
      </c>
      <c r="I5143">
        <v>2011</v>
      </c>
      <c r="J5143">
        <v>1</v>
      </c>
      <c r="K5143">
        <v>1</v>
      </c>
      <c r="L5143">
        <v>1</v>
      </c>
      <c r="M5143">
        <v>14</v>
      </c>
      <c r="N5143" t="s">
        <v>37</v>
      </c>
      <c r="O5143" t="s">
        <v>27</v>
      </c>
      <c r="P5143">
        <v>8.4842172918962202</v>
      </c>
      <c r="Q5143">
        <v>1.6978855912130499</v>
      </c>
      <c r="R5143">
        <v>2.4641318935386698</v>
      </c>
      <c r="S5143">
        <v>110</v>
      </c>
      <c r="T5143">
        <v>27</v>
      </c>
      <c r="U5143">
        <v>911.41938085975698</v>
      </c>
      <c r="V5143">
        <v>5.0706265845707997E-3</v>
      </c>
      <c r="W5143">
        <v>2825597.1358520598</v>
      </c>
      <c r="X5143" t="s">
        <v>40</v>
      </c>
      <c r="Y5143">
        <f>1-373-101-5962</f>
        <v>-6435</v>
      </c>
    </row>
    <row r="5144" spans="1:25" x14ac:dyDescent="0.35">
      <c r="A5144">
        <v>39.561389956208501</v>
      </c>
      <c r="B5144">
        <v>-115.952577719601</v>
      </c>
      <c r="C5144" t="s">
        <v>25</v>
      </c>
      <c r="D5144">
        <v>13.542288930563901</v>
      </c>
      <c r="E5144">
        <v>8</v>
      </c>
      <c r="F5144">
        <v>2637</v>
      </c>
      <c r="G5144">
        <v>2</v>
      </c>
      <c r="H5144">
        <v>1</v>
      </c>
      <c r="I5144">
        <v>1990</v>
      </c>
      <c r="J5144">
        <v>1</v>
      </c>
      <c r="K5144">
        <v>0</v>
      </c>
      <c r="L5144">
        <v>1</v>
      </c>
      <c r="M5144">
        <v>11</v>
      </c>
      <c r="N5144" t="s">
        <v>35</v>
      </c>
      <c r="O5144" t="s">
        <v>27</v>
      </c>
      <c r="P5144">
        <v>8.57929434639194</v>
      </c>
      <c r="Q5144">
        <v>1.08412319641749</v>
      </c>
      <c r="R5144">
        <v>4.49396408663688</v>
      </c>
      <c r="S5144">
        <v>24</v>
      </c>
      <c r="T5144">
        <v>76</v>
      </c>
      <c r="U5144">
        <v>695.81274312886205</v>
      </c>
      <c r="V5144">
        <v>4.1714069017823197E-3</v>
      </c>
      <c r="W5144">
        <v>2013334.5978158</v>
      </c>
      <c r="X5144" t="s">
        <v>33</v>
      </c>
      <c r="Y5144">
        <f>1-727-178-7980</f>
        <v>-8884</v>
      </c>
    </row>
    <row r="5145" spans="1:25" x14ac:dyDescent="0.35">
      <c r="A5145">
        <v>36.374050863578702</v>
      </c>
      <c r="B5145">
        <v>-115.09191072375199</v>
      </c>
      <c r="C5145" t="s">
        <v>34</v>
      </c>
      <c r="D5145">
        <v>39.585860442537097</v>
      </c>
      <c r="E5145">
        <v>3</v>
      </c>
      <c r="F5145">
        <v>3635</v>
      </c>
      <c r="G5145">
        <v>1</v>
      </c>
      <c r="H5145">
        <v>2</v>
      </c>
      <c r="I5145">
        <v>2009</v>
      </c>
      <c r="J5145">
        <v>1</v>
      </c>
      <c r="K5145">
        <v>1</v>
      </c>
      <c r="L5145">
        <v>1</v>
      </c>
      <c r="M5145">
        <v>14</v>
      </c>
      <c r="N5145" t="s">
        <v>26</v>
      </c>
      <c r="O5145" t="s">
        <v>32</v>
      </c>
      <c r="P5145">
        <v>3.8869429716044501</v>
      </c>
      <c r="Q5145">
        <v>1.0312581265607199</v>
      </c>
      <c r="R5145">
        <v>9.8753018322979802</v>
      </c>
      <c r="S5145">
        <v>126</v>
      </c>
      <c r="T5145">
        <v>57</v>
      </c>
      <c r="U5145">
        <v>253.13625201096801</v>
      </c>
      <c r="V5145">
        <v>3.8514442916093498E-3</v>
      </c>
      <c r="W5145">
        <v>1117028.65786404</v>
      </c>
      <c r="X5145" t="s">
        <v>43</v>
      </c>
      <c r="Y5145">
        <f>1-989-676-8218</f>
        <v>-9882</v>
      </c>
    </row>
    <row r="5146" spans="1:25" x14ac:dyDescent="0.35">
      <c r="A5146">
        <v>37.357526197905798</v>
      </c>
      <c r="B5146">
        <v>-120.925451370093</v>
      </c>
      <c r="C5146" t="s">
        <v>25</v>
      </c>
      <c r="D5146">
        <v>15.182933246916701</v>
      </c>
      <c r="E5146">
        <v>6</v>
      </c>
      <c r="F5146">
        <v>3833</v>
      </c>
      <c r="G5146">
        <v>4</v>
      </c>
      <c r="H5146">
        <v>2</v>
      </c>
      <c r="I5146">
        <v>2011</v>
      </c>
      <c r="J5146">
        <v>0</v>
      </c>
      <c r="K5146">
        <v>1</v>
      </c>
      <c r="L5146">
        <v>1</v>
      </c>
      <c r="M5146">
        <v>8</v>
      </c>
      <c r="N5146" t="s">
        <v>37</v>
      </c>
      <c r="O5146" t="s">
        <v>27</v>
      </c>
      <c r="P5146">
        <v>12.9167314000075</v>
      </c>
      <c r="Q5146">
        <v>1.6970416373725099</v>
      </c>
      <c r="R5146">
        <v>5.0404215754917896</v>
      </c>
      <c r="S5146">
        <v>34</v>
      </c>
      <c r="T5146">
        <v>65</v>
      </c>
      <c r="U5146">
        <v>214.303281287304</v>
      </c>
      <c r="V5146">
        <v>2.08713801200104E-3</v>
      </c>
      <c r="W5146">
        <v>1274328.6116384901</v>
      </c>
      <c r="X5146" t="s">
        <v>42</v>
      </c>
      <c r="Y5146">
        <f>1-666-777-9614</f>
        <v>-11056</v>
      </c>
    </row>
    <row r="5147" spans="1:25" x14ac:dyDescent="0.35">
      <c r="A5147">
        <v>33.538466198815598</v>
      </c>
      <c r="B5147">
        <v>-124.403935646541</v>
      </c>
      <c r="C5147" t="s">
        <v>34</v>
      </c>
      <c r="D5147">
        <v>21.980518742014599</v>
      </c>
      <c r="E5147">
        <v>5</v>
      </c>
      <c r="F5147">
        <v>1288</v>
      </c>
      <c r="G5147">
        <v>1</v>
      </c>
      <c r="H5147">
        <v>1</v>
      </c>
      <c r="I5147">
        <v>1965</v>
      </c>
      <c r="J5147">
        <v>0</v>
      </c>
      <c r="K5147">
        <v>0</v>
      </c>
      <c r="L5147">
        <v>1</v>
      </c>
      <c r="M5147">
        <v>7</v>
      </c>
      <c r="N5147" t="s">
        <v>37</v>
      </c>
      <c r="O5147" t="s">
        <v>27</v>
      </c>
      <c r="P5147">
        <v>12.6191170894846</v>
      </c>
      <c r="Q5147">
        <v>1.0185434919393299</v>
      </c>
      <c r="R5147">
        <v>7.07311504181595E-2</v>
      </c>
      <c r="S5147">
        <v>26</v>
      </c>
      <c r="T5147">
        <v>34</v>
      </c>
      <c r="U5147">
        <v>884.83241958240399</v>
      </c>
      <c r="V5147">
        <v>5.4347826086956503E-3</v>
      </c>
      <c r="W5147">
        <v>1289578.4766738</v>
      </c>
      <c r="X5147" t="s">
        <v>39</v>
      </c>
      <c r="Y5147">
        <f>1-221-685-8329</f>
        <v>-9234</v>
      </c>
    </row>
    <row r="5148" spans="1:25" x14ac:dyDescent="0.35">
      <c r="A5148">
        <v>39.286537186216698</v>
      </c>
      <c r="B5148">
        <v>-118.69753402170301</v>
      </c>
      <c r="C5148" t="s">
        <v>34</v>
      </c>
      <c r="D5148">
        <v>35.372175974548497</v>
      </c>
      <c r="E5148">
        <v>9</v>
      </c>
      <c r="F5148">
        <v>631</v>
      </c>
      <c r="G5148">
        <v>2</v>
      </c>
      <c r="H5148">
        <v>3</v>
      </c>
      <c r="I5148">
        <v>1967</v>
      </c>
      <c r="J5148">
        <v>1</v>
      </c>
      <c r="K5148">
        <v>1</v>
      </c>
      <c r="L5148">
        <v>1</v>
      </c>
      <c r="M5148">
        <v>2</v>
      </c>
      <c r="N5148" t="s">
        <v>41</v>
      </c>
      <c r="O5148" t="s">
        <v>27</v>
      </c>
      <c r="P5148">
        <v>12.6019264869577</v>
      </c>
      <c r="Q5148">
        <v>0.54610415171329296</v>
      </c>
      <c r="R5148">
        <v>2.08974901065154</v>
      </c>
      <c r="S5148">
        <v>78</v>
      </c>
      <c r="T5148">
        <v>30</v>
      </c>
      <c r="U5148">
        <v>355.54232588686301</v>
      </c>
      <c r="V5148">
        <v>3.1695721077654501E-3</v>
      </c>
      <c r="W5148">
        <v>608674.34605079296</v>
      </c>
      <c r="X5148" t="s">
        <v>43</v>
      </c>
      <c r="Y5148">
        <f>1-380-372-7297</f>
        <v>-8048</v>
      </c>
    </row>
    <row r="5149" spans="1:25" x14ac:dyDescent="0.35">
      <c r="A5149">
        <v>38.686614489420599</v>
      </c>
      <c r="B5149">
        <v>-122.905275692296</v>
      </c>
      <c r="C5149" t="s">
        <v>34</v>
      </c>
      <c r="D5149">
        <v>10.276025636123</v>
      </c>
      <c r="E5149">
        <v>8</v>
      </c>
      <c r="F5149">
        <v>2442</v>
      </c>
      <c r="G5149">
        <v>5</v>
      </c>
      <c r="H5149">
        <v>1</v>
      </c>
      <c r="I5149">
        <v>1970</v>
      </c>
      <c r="J5149">
        <v>0</v>
      </c>
      <c r="K5149">
        <v>1</v>
      </c>
      <c r="L5149">
        <v>1</v>
      </c>
      <c r="M5149">
        <v>11</v>
      </c>
      <c r="N5149" t="s">
        <v>35</v>
      </c>
      <c r="O5149" t="s">
        <v>27</v>
      </c>
      <c r="P5149">
        <v>3.6402623498142201</v>
      </c>
      <c r="Q5149">
        <v>1.4731455565704099</v>
      </c>
      <c r="R5149">
        <v>8.2490444433419992</v>
      </c>
      <c r="S5149">
        <v>146</v>
      </c>
      <c r="T5149">
        <v>22</v>
      </c>
      <c r="U5149">
        <v>565.58456408307097</v>
      </c>
      <c r="V5149">
        <v>4.5045045045045001E-3</v>
      </c>
      <c r="W5149">
        <v>1760554.9746498801</v>
      </c>
      <c r="X5149" t="s">
        <v>33</v>
      </c>
      <c r="Y5149">
        <f>1-459-586-6238</f>
        <v>-7282</v>
      </c>
    </row>
    <row r="5150" spans="1:25" x14ac:dyDescent="0.35">
      <c r="A5150">
        <v>39.497043844994998</v>
      </c>
      <c r="B5150">
        <v>-115.213190563773</v>
      </c>
      <c r="C5150" t="s">
        <v>25</v>
      </c>
      <c r="D5150">
        <v>30.342332512056601</v>
      </c>
      <c r="E5150">
        <v>1</v>
      </c>
      <c r="F5150">
        <v>1346</v>
      </c>
      <c r="G5150">
        <v>3</v>
      </c>
      <c r="H5150">
        <v>1</v>
      </c>
      <c r="I5150">
        <v>1996</v>
      </c>
      <c r="J5150">
        <v>1</v>
      </c>
      <c r="K5150">
        <v>1</v>
      </c>
      <c r="L5150">
        <v>0</v>
      </c>
      <c r="M5150">
        <v>4</v>
      </c>
      <c r="N5150" t="s">
        <v>26</v>
      </c>
      <c r="O5150" t="s">
        <v>30</v>
      </c>
      <c r="P5150">
        <v>3.6225836342064199</v>
      </c>
      <c r="Q5150">
        <v>0.64371830245013395</v>
      </c>
      <c r="R5150">
        <v>6.9467168592828497</v>
      </c>
      <c r="S5150">
        <v>124</v>
      </c>
      <c r="T5150">
        <v>20</v>
      </c>
      <c r="U5150">
        <v>754.13022869842496</v>
      </c>
      <c r="V5150">
        <v>2.9717682020802298E-3</v>
      </c>
      <c r="W5150">
        <v>1254353.7501069801</v>
      </c>
      <c r="X5150" t="s">
        <v>42</v>
      </c>
      <c r="Y5150">
        <f>1-437-507-4825</f>
        <v>-5768</v>
      </c>
    </row>
    <row r="5151" spans="1:25" x14ac:dyDescent="0.35">
      <c r="A5151">
        <v>33.290082999931002</v>
      </c>
      <c r="B5151">
        <v>-122.56178247179</v>
      </c>
      <c r="C5151" t="s">
        <v>34</v>
      </c>
      <c r="D5151">
        <v>34.668466472705497</v>
      </c>
      <c r="E5151">
        <v>4</v>
      </c>
      <c r="F5151">
        <v>3074</v>
      </c>
      <c r="G5151">
        <v>1</v>
      </c>
      <c r="H5151">
        <v>2</v>
      </c>
      <c r="I5151">
        <v>1976</v>
      </c>
      <c r="J5151">
        <v>0</v>
      </c>
      <c r="K5151">
        <v>1</v>
      </c>
      <c r="L5151">
        <v>0</v>
      </c>
      <c r="M5151">
        <v>11</v>
      </c>
      <c r="N5151" t="s">
        <v>26</v>
      </c>
      <c r="O5151" t="s">
        <v>32</v>
      </c>
      <c r="P5151">
        <v>6.7120024946155903</v>
      </c>
      <c r="Q5151">
        <v>2.4799944142758301</v>
      </c>
      <c r="R5151">
        <v>5.8966236290448402</v>
      </c>
      <c r="S5151">
        <v>4</v>
      </c>
      <c r="T5151">
        <v>73</v>
      </c>
      <c r="U5151">
        <v>448.439281505118</v>
      </c>
      <c r="V5151">
        <v>3.5783994795055298E-3</v>
      </c>
      <c r="W5151">
        <v>1594522.2495836101</v>
      </c>
      <c r="X5151" t="s">
        <v>43</v>
      </c>
      <c r="Y5151">
        <f>1-343-645-6783</f>
        <v>-7770</v>
      </c>
    </row>
    <row r="5152" spans="1:25" x14ac:dyDescent="0.35">
      <c r="A5152">
        <v>39.052426539834897</v>
      </c>
      <c r="B5152">
        <v>-122.97083937362299</v>
      </c>
      <c r="C5152" t="s">
        <v>34</v>
      </c>
      <c r="D5152">
        <v>34.894945718592098</v>
      </c>
      <c r="E5152">
        <v>2</v>
      </c>
      <c r="F5152">
        <v>3073</v>
      </c>
      <c r="G5152">
        <v>5</v>
      </c>
      <c r="H5152">
        <v>1</v>
      </c>
      <c r="I5152">
        <v>1998</v>
      </c>
      <c r="J5152">
        <v>1</v>
      </c>
      <c r="K5152">
        <v>1</v>
      </c>
      <c r="L5152">
        <v>0</v>
      </c>
      <c r="M5152">
        <v>8</v>
      </c>
      <c r="N5152" t="s">
        <v>26</v>
      </c>
      <c r="O5152" t="s">
        <v>27</v>
      </c>
      <c r="P5152">
        <v>9.0050893948856192</v>
      </c>
      <c r="Q5152">
        <v>0.78876007228543898</v>
      </c>
      <c r="R5152">
        <v>6.1828794062426402</v>
      </c>
      <c r="S5152">
        <v>34</v>
      </c>
      <c r="T5152">
        <v>21</v>
      </c>
      <c r="U5152">
        <v>290.346950807979</v>
      </c>
      <c r="V5152">
        <v>2.6033192320208199E-3</v>
      </c>
      <c r="W5152">
        <v>1308282.1781353401</v>
      </c>
      <c r="X5152" t="s">
        <v>31</v>
      </c>
      <c r="Y5152">
        <f>1-206-277-2822</f>
        <v>-3304</v>
      </c>
    </row>
    <row r="5153" spans="1:25" x14ac:dyDescent="0.35">
      <c r="A5153">
        <v>40.452788614238202</v>
      </c>
      <c r="B5153">
        <v>-120.29209140498099</v>
      </c>
      <c r="C5153" t="s">
        <v>25</v>
      </c>
      <c r="D5153">
        <v>28.511972220902901</v>
      </c>
      <c r="E5153">
        <v>2</v>
      </c>
      <c r="F5153">
        <v>2719</v>
      </c>
      <c r="G5153">
        <v>2</v>
      </c>
      <c r="H5153">
        <v>3</v>
      </c>
      <c r="I5153">
        <v>1999</v>
      </c>
      <c r="J5153">
        <v>0</v>
      </c>
      <c r="K5153">
        <v>0</v>
      </c>
      <c r="L5153">
        <v>1</v>
      </c>
      <c r="M5153">
        <v>12</v>
      </c>
      <c r="N5153" t="s">
        <v>37</v>
      </c>
      <c r="O5153" t="s">
        <v>27</v>
      </c>
      <c r="P5153">
        <v>9.1525369281188294</v>
      </c>
      <c r="Q5153">
        <v>2.1797257570412798</v>
      </c>
      <c r="R5153">
        <v>2.0388597132395598</v>
      </c>
      <c r="S5153">
        <v>24</v>
      </c>
      <c r="T5153">
        <v>55</v>
      </c>
      <c r="U5153">
        <v>386.908595354032</v>
      </c>
      <c r="V5153">
        <v>4.4133872747333502E-3</v>
      </c>
      <c r="W5153">
        <v>1194918.1743964001</v>
      </c>
      <c r="X5153" t="s">
        <v>39</v>
      </c>
      <c r="Y5153">
        <f>1-890-274-6029</f>
        <v>-7192</v>
      </c>
    </row>
    <row r="5154" spans="1:25" x14ac:dyDescent="0.35">
      <c r="A5154">
        <v>32.793258665859099</v>
      </c>
      <c r="B5154">
        <v>-124.058445501881</v>
      </c>
      <c r="C5154" t="s">
        <v>25</v>
      </c>
      <c r="D5154">
        <v>45.2481258980932</v>
      </c>
      <c r="E5154">
        <v>7</v>
      </c>
      <c r="F5154">
        <v>4765</v>
      </c>
      <c r="G5154">
        <v>3</v>
      </c>
      <c r="H5154">
        <v>3</v>
      </c>
      <c r="I5154">
        <v>1952</v>
      </c>
      <c r="J5154">
        <v>1</v>
      </c>
      <c r="K5154">
        <v>0</v>
      </c>
      <c r="L5154">
        <v>0</v>
      </c>
      <c r="M5154">
        <v>5</v>
      </c>
      <c r="N5154" t="s">
        <v>37</v>
      </c>
      <c r="O5154" t="s">
        <v>30</v>
      </c>
      <c r="P5154">
        <v>5.7650854666959903</v>
      </c>
      <c r="Q5154">
        <v>2.2999809702295502</v>
      </c>
      <c r="R5154">
        <v>0.82989291169778201</v>
      </c>
      <c r="S5154">
        <v>130</v>
      </c>
      <c r="T5154">
        <v>55</v>
      </c>
      <c r="U5154">
        <v>461.32410400391899</v>
      </c>
      <c r="V5154">
        <v>1.04931794333683E-3</v>
      </c>
      <c r="W5154">
        <v>2383572.29982248</v>
      </c>
      <c r="X5154" t="s">
        <v>36</v>
      </c>
      <c r="Y5154">
        <f>1-779-453-1682</f>
        <v>-2913</v>
      </c>
    </row>
    <row r="5155" spans="1:25" x14ac:dyDescent="0.35">
      <c r="A5155">
        <v>33.472521233940903</v>
      </c>
      <c r="B5155">
        <v>-119.95641506667999</v>
      </c>
      <c r="C5155" t="s">
        <v>25</v>
      </c>
      <c r="D5155">
        <v>25.5581620162158</v>
      </c>
      <c r="E5155">
        <v>0</v>
      </c>
      <c r="F5155">
        <v>1950</v>
      </c>
      <c r="G5155">
        <v>1</v>
      </c>
      <c r="H5155">
        <v>2</v>
      </c>
      <c r="I5155">
        <v>2011</v>
      </c>
      <c r="J5155">
        <v>1</v>
      </c>
      <c r="K5155">
        <v>1</v>
      </c>
      <c r="L5155">
        <v>1</v>
      </c>
      <c r="M5155">
        <v>4</v>
      </c>
      <c r="N5155" t="s">
        <v>41</v>
      </c>
      <c r="O5155" t="s">
        <v>27</v>
      </c>
      <c r="P5155">
        <v>11.242103790423</v>
      </c>
      <c r="Q5155">
        <v>2.1503763837029899</v>
      </c>
      <c r="R5155">
        <v>8.4611017451205193</v>
      </c>
      <c r="S5155">
        <v>175</v>
      </c>
      <c r="T5155">
        <v>37</v>
      </c>
      <c r="U5155">
        <v>362.189467825902</v>
      </c>
      <c r="V5155">
        <v>2.05128205128205E-3</v>
      </c>
      <c r="W5155">
        <v>1020120.8504114</v>
      </c>
      <c r="X5155" t="s">
        <v>40</v>
      </c>
      <c r="Y5155">
        <f>1-589-955-8536</f>
        <v>-10079</v>
      </c>
    </row>
    <row r="5156" spans="1:25" x14ac:dyDescent="0.35">
      <c r="A5156">
        <v>34.350395232145402</v>
      </c>
      <c r="B5156">
        <v>-121.229642417447</v>
      </c>
      <c r="C5156" t="s">
        <v>25</v>
      </c>
      <c r="D5156">
        <v>23.356378101382202</v>
      </c>
      <c r="E5156">
        <v>4</v>
      </c>
      <c r="F5156">
        <v>4512</v>
      </c>
      <c r="G5156">
        <v>5</v>
      </c>
      <c r="H5156">
        <v>1</v>
      </c>
      <c r="I5156">
        <v>2022</v>
      </c>
      <c r="J5156">
        <v>0</v>
      </c>
      <c r="K5156">
        <v>0</v>
      </c>
      <c r="L5156">
        <v>0</v>
      </c>
      <c r="M5156">
        <v>5</v>
      </c>
      <c r="N5156" t="s">
        <v>41</v>
      </c>
      <c r="O5156" t="s">
        <v>27</v>
      </c>
      <c r="P5156">
        <v>4.16966099402143</v>
      </c>
      <c r="Q5156">
        <v>0.64707303373728198</v>
      </c>
      <c r="R5156">
        <v>0.39409885585863103</v>
      </c>
      <c r="S5156">
        <v>180</v>
      </c>
      <c r="T5156">
        <v>26</v>
      </c>
      <c r="U5156">
        <v>704.03393391833299</v>
      </c>
      <c r="V5156">
        <v>1.1081560283687901E-3</v>
      </c>
      <c r="W5156">
        <v>3443036.50294716</v>
      </c>
      <c r="X5156" t="s">
        <v>40</v>
      </c>
      <c r="Y5156">
        <f>1-946-493-3037</f>
        <v>-4475</v>
      </c>
    </row>
    <row r="5157" spans="1:25" x14ac:dyDescent="0.35">
      <c r="A5157">
        <v>35.639542638138998</v>
      </c>
      <c r="B5157">
        <v>-119.38777574347699</v>
      </c>
      <c r="C5157" t="s">
        <v>25</v>
      </c>
      <c r="D5157">
        <v>42.974846364636399</v>
      </c>
      <c r="E5157">
        <v>1</v>
      </c>
      <c r="F5157">
        <v>3292</v>
      </c>
      <c r="G5157">
        <v>4</v>
      </c>
      <c r="H5157">
        <v>3</v>
      </c>
      <c r="I5157">
        <v>2008</v>
      </c>
      <c r="J5157">
        <v>0</v>
      </c>
      <c r="K5157">
        <v>1</v>
      </c>
      <c r="L5157">
        <v>0</v>
      </c>
      <c r="M5157">
        <v>5</v>
      </c>
      <c r="N5157" t="s">
        <v>37</v>
      </c>
      <c r="O5157" t="s">
        <v>30</v>
      </c>
      <c r="P5157">
        <v>12.0215640768747</v>
      </c>
      <c r="Q5157">
        <v>2.02901528614519</v>
      </c>
      <c r="R5157">
        <v>9.7851179595312594</v>
      </c>
      <c r="S5157">
        <v>109</v>
      </c>
      <c r="T5157">
        <v>33</v>
      </c>
      <c r="U5157">
        <v>248.01559280030401</v>
      </c>
      <c r="V5157">
        <v>1.51883353584447E-3</v>
      </c>
      <c r="W5157">
        <v>1239094.9693481401</v>
      </c>
      <c r="X5157" t="s">
        <v>28</v>
      </c>
      <c r="Y5157">
        <f>1-676-578-1214</f>
        <v>-2467</v>
      </c>
    </row>
    <row r="5158" spans="1:25" x14ac:dyDescent="0.35">
      <c r="A5158">
        <v>38.814608702457399</v>
      </c>
      <c r="B5158">
        <v>-122.959900600833</v>
      </c>
      <c r="C5158" t="s">
        <v>29</v>
      </c>
      <c r="D5158">
        <v>18.494489786569801</v>
      </c>
      <c r="E5158">
        <v>0</v>
      </c>
      <c r="F5158">
        <v>4602</v>
      </c>
      <c r="G5158">
        <v>5</v>
      </c>
      <c r="H5158">
        <v>3</v>
      </c>
      <c r="I5158">
        <v>1974</v>
      </c>
      <c r="J5158">
        <v>0</v>
      </c>
      <c r="K5158">
        <v>0</v>
      </c>
      <c r="L5158">
        <v>0</v>
      </c>
      <c r="M5158">
        <v>8</v>
      </c>
      <c r="N5158" t="s">
        <v>35</v>
      </c>
      <c r="O5158" t="s">
        <v>32</v>
      </c>
      <c r="P5158">
        <v>14.235272372087101</v>
      </c>
      <c r="Q5158">
        <v>0.63156694993601503</v>
      </c>
      <c r="R5158">
        <v>4.60448708341446</v>
      </c>
      <c r="S5158">
        <v>111</v>
      </c>
      <c r="T5158">
        <v>47</v>
      </c>
      <c r="U5158">
        <v>758.08428074066705</v>
      </c>
      <c r="V5158">
        <v>1.7383746197305501E-3</v>
      </c>
      <c r="W5158">
        <v>3740726.3523568599</v>
      </c>
      <c r="X5158" t="s">
        <v>39</v>
      </c>
      <c r="Y5158">
        <f>1-327-910-4876</f>
        <v>-6112</v>
      </c>
    </row>
    <row r="5159" spans="1:25" x14ac:dyDescent="0.35">
      <c r="A5159">
        <v>38.433475205589097</v>
      </c>
      <c r="B5159">
        <v>-119.211542542648</v>
      </c>
      <c r="C5159" t="s">
        <v>25</v>
      </c>
      <c r="D5159">
        <v>33.411998045861303</v>
      </c>
      <c r="E5159">
        <v>8</v>
      </c>
      <c r="F5159">
        <v>994</v>
      </c>
      <c r="G5159">
        <v>4</v>
      </c>
      <c r="H5159">
        <v>2</v>
      </c>
      <c r="I5159">
        <v>1964</v>
      </c>
      <c r="J5159">
        <v>1</v>
      </c>
      <c r="K5159">
        <v>1</v>
      </c>
      <c r="L5159">
        <v>1</v>
      </c>
      <c r="M5159">
        <v>7</v>
      </c>
      <c r="N5159" t="s">
        <v>41</v>
      </c>
      <c r="O5159" t="s">
        <v>27</v>
      </c>
      <c r="P5159">
        <v>10.8724749636906</v>
      </c>
      <c r="Q5159">
        <v>0.60371739139791603</v>
      </c>
      <c r="R5159">
        <v>9.6556985194921996</v>
      </c>
      <c r="S5159">
        <v>84</v>
      </c>
      <c r="T5159">
        <v>68</v>
      </c>
      <c r="U5159">
        <v>954.61353469007997</v>
      </c>
      <c r="V5159">
        <v>7.0422535211267599E-3</v>
      </c>
      <c r="W5159">
        <v>1355747.8355892401</v>
      </c>
      <c r="X5159" t="s">
        <v>36</v>
      </c>
      <c r="Y5159">
        <f>1-526-375-7701</f>
        <v>-8601</v>
      </c>
    </row>
    <row r="5160" spans="1:25" x14ac:dyDescent="0.35">
      <c r="A5160">
        <v>32.889229782463197</v>
      </c>
      <c r="B5160">
        <v>-115.449752072534</v>
      </c>
      <c r="C5160" t="s">
        <v>34</v>
      </c>
      <c r="D5160">
        <v>5.63886498938954</v>
      </c>
      <c r="E5160">
        <v>7</v>
      </c>
      <c r="F5160">
        <v>4268</v>
      </c>
      <c r="G5160">
        <v>4</v>
      </c>
      <c r="H5160">
        <v>1</v>
      </c>
      <c r="I5160">
        <v>1981</v>
      </c>
      <c r="J5160">
        <v>1</v>
      </c>
      <c r="K5160">
        <v>1</v>
      </c>
      <c r="L5160">
        <v>0</v>
      </c>
      <c r="M5160">
        <v>13</v>
      </c>
      <c r="N5160" t="s">
        <v>26</v>
      </c>
      <c r="O5160" t="s">
        <v>27</v>
      </c>
      <c r="P5160">
        <v>8.6765833625240703</v>
      </c>
      <c r="Q5160">
        <v>1.11472126325982</v>
      </c>
      <c r="R5160">
        <v>4.5059140260517996</v>
      </c>
      <c r="S5160">
        <v>90</v>
      </c>
      <c r="T5160">
        <v>79</v>
      </c>
      <c r="U5160">
        <v>994.56467290881199</v>
      </c>
      <c r="V5160">
        <v>3.0459231490159301E-3</v>
      </c>
      <c r="W5160">
        <v>4634355.9431969803</v>
      </c>
      <c r="X5160" t="s">
        <v>36</v>
      </c>
      <c r="Y5160">
        <f>1-681-552-2386</f>
        <v>-3618</v>
      </c>
    </row>
    <row r="5161" spans="1:25" x14ac:dyDescent="0.35">
      <c r="A5161">
        <v>34.8930508874531</v>
      </c>
      <c r="B5161">
        <v>-116.960715153534</v>
      </c>
      <c r="C5161" t="s">
        <v>34</v>
      </c>
      <c r="D5161">
        <v>31.981373442433501</v>
      </c>
      <c r="E5161">
        <v>3</v>
      </c>
      <c r="F5161">
        <v>2087</v>
      </c>
      <c r="G5161">
        <v>3</v>
      </c>
      <c r="H5161">
        <v>2</v>
      </c>
      <c r="I5161">
        <v>2015</v>
      </c>
      <c r="J5161">
        <v>1</v>
      </c>
      <c r="K5161">
        <v>0</v>
      </c>
      <c r="L5161">
        <v>1</v>
      </c>
      <c r="M5161">
        <v>10</v>
      </c>
      <c r="N5161" t="s">
        <v>37</v>
      </c>
      <c r="O5161" t="s">
        <v>30</v>
      </c>
      <c r="P5161">
        <v>9.0136026205710493</v>
      </c>
      <c r="Q5161">
        <v>0.76134758673112302</v>
      </c>
      <c r="R5161">
        <v>5.7866666604462704</v>
      </c>
      <c r="S5161">
        <v>23</v>
      </c>
      <c r="T5161">
        <v>71</v>
      </c>
      <c r="U5161">
        <v>312.43584030470799</v>
      </c>
      <c r="V5161">
        <v>4.79156684235745E-3</v>
      </c>
      <c r="W5161">
        <v>1049426.98764346</v>
      </c>
      <c r="X5161" t="s">
        <v>43</v>
      </c>
      <c r="Y5161">
        <f>1-512-145-9154</f>
        <v>-9810</v>
      </c>
    </row>
    <row r="5162" spans="1:25" x14ac:dyDescent="0.35">
      <c r="A5162">
        <v>39.549978300273999</v>
      </c>
      <c r="B5162">
        <v>-116.51739697312701</v>
      </c>
      <c r="C5162" t="s">
        <v>25</v>
      </c>
      <c r="D5162">
        <v>17.5041021568824</v>
      </c>
      <c r="E5162">
        <v>7</v>
      </c>
      <c r="F5162">
        <v>1713</v>
      </c>
      <c r="G5162">
        <v>2</v>
      </c>
      <c r="H5162">
        <v>1</v>
      </c>
      <c r="I5162">
        <v>2020</v>
      </c>
      <c r="J5162">
        <v>1</v>
      </c>
      <c r="K5162">
        <v>0</v>
      </c>
      <c r="L5162">
        <v>1</v>
      </c>
      <c r="M5162">
        <v>13</v>
      </c>
      <c r="N5162" t="s">
        <v>41</v>
      </c>
      <c r="O5162" t="s">
        <v>27</v>
      </c>
      <c r="P5162">
        <v>8.9674475944295295</v>
      </c>
      <c r="Q5162">
        <v>1.18661097613656</v>
      </c>
      <c r="R5162">
        <v>6.4228809249546304</v>
      </c>
      <c r="S5162">
        <v>42</v>
      </c>
      <c r="T5162">
        <v>69</v>
      </c>
      <c r="U5162">
        <v>916.94840134115998</v>
      </c>
      <c r="V5162">
        <v>7.5890251021599499E-3</v>
      </c>
      <c r="W5162">
        <v>1796774.8728587399</v>
      </c>
      <c r="X5162" t="s">
        <v>33</v>
      </c>
      <c r="Y5162">
        <f>1-569-652-1329</f>
        <v>-2549</v>
      </c>
    </row>
    <row r="5163" spans="1:25" x14ac:dyDescent="0.35">
      <c r="A5163">
        <v>36.000042706080997</v>
      </c>
      <c r="B5163">
        <v>-119.61814670903399</v>
      </c>
      <c r="C5163" t="s">
        <v>29</v>
      </c>
      <c r="D5163">
        <v>21.509805550236798</v>
      </c>
      <c r="E5163">
        <v>8</v>
      </c>
      <c r="F5163">
        <v>1667</v>
      </c>
      <c r="G5163">
        <v>3</v>
      </c>
      <c r="H5163">
        <v>3</v>
      </c>
      <c r="I5163">
        <v>1976</v>
      </c>
      <c r="J5163">
        <v>0</v>
      </c>
      <c r="K5163">
        <v>0</v>
      </c>
      <c r="L5163">
        <v>1</v>
      </c>
      <c r="M5163">
        <v>3</v>
      </c>
      <c r="N5163" t="s">
        <v>37</v>
      </c>
      <c r="O5163" t="s">
        <v>32</v>
      </c>
      <c r="P5163">
        <v>10.451235320766999</v>
      </c>
      <c r="Q5163">
        <v>2.3644554685812702</v>
      </c>
      <c r="R5163">
        <v>0.80158808542803295</v>
      </c>
      <c r="S5163">
        <v>29</v>
      </c>
      <c r="T5163">
        <v>67</v>
      </c>
      <c r="U5163">
        <v>726.89588514835202</v>
      </c>
      <c r="V5163">
        <v>1.7996400719855999E-3</v>
      </c>
      <c r="W5163">
        <v>1461601.6213072999</v>
      </c>
      <c r="X5163" t="s">
        <v>40</v>
      </c>
      <c r="Y5163">
        <f>1-404-109-5499</f>
        <v>-6011</v>
      </c>
    </row>
    <row r="5164" spans="1:25" x14ac:dyDescent="0.35">
      <c r="A5164">
        <v>41.988450817437503</v>
      </c>
      <c r="B5164">
        <v>-116.88719318930799</v>
      </c>
      <c r="C5164" t="s">
        <v>25</v>
      </c>
      <c r="D5164">
        <v>24.2597534805052</v>
      </c>
      <c r="E5164">
        <v>4</v>
      </c>
      <c r="F5164">
        <v>1461</v>
      </c>
      <c r="G5164">
        <v>5</v>
      </c>
      <c r="H5164">
        <v>2</v>
      </c>
      <c r="I5164">
        <v>2007</v>
      </c>
      <c r="J5164">
        <v>1</v>
      </c>
      <c r="K5164">
        <v>1</v>
      </c>
      <c r="L5164">
        <v>1</v>
      </c>
      <c r="M5164">
        <v>2</v>
      </c>
      <c r="N5164" t="s">
        <v>26</v>
      </c>
      <c r="O5164" t="s">
        <v>27</v>
      </c>
      <c r="P5164">
        <v>4.1054758484295402</v>
      </c>
      <c r="Q5164">
        <v>2.3536132849670102</v>
      </c>
      <c r="R5164">
        <v>2.5165806244537801</v>
      </c>
      <c r="S5164">
        <v>190</v>
      </c>
      <c r="T5164">
        <v>62</v>
      </c>
      <c r="U5164">
        <v>368.65200301907799</v>
      </c>
      <c r="V5164">
        <v>1.36892539356605E-3</v>
      </c>
      <c r="W5164">
        <v>935049.84767229599</v>
      </c>
      <c r="X5164" t="s">
        <v>43</v>
      </c>
      <c r="Y5164">
        <f>1-740-697-7962</f>
        <v>-9398</v>
      </c>
    </row>
    <row r="5165" spans="1:25" x14ac:dyDescent="0.35">
      <c r="A5165">
        <v>38.145361103921203</v>
      </c>
      <c r="B5165">
        <v>-115.648634767378</v>
      </c>
      <c r="C5165" t="s">
        <v>25</v>
      </c>
      <c r="D5165">
        <v>32.588801856847702</v>
      </c>
      <c r="E5165">
        <v>4</v>
      </c>
      <c r="F5165">
        <v>4711</v>
      </c>
      <c r="G5165">
        <v>2</v>
      </c>
      <c r="H5165">
        <v>3</v>
      </c>
      <c r="I5165">
        <v>1999</v>
      </c>
      <c r="J5165">
        <v>1</v>
      </c>
      <c r="K5165">
        <v>0</v>
      </c>
      <c r="L5165">
        <v>1</v>
      </c>
      <c r="M5165">
        <v>9</v>
      </c>
      <c r="N5165" t="s">
        <v>26</v>
      </c>
      <c r="O5165" t="s">
        <v>30</v>
      </c>
      <c r="P5165">
        <v>13.8076746203675</v>
      </c>
      <c r="Q5165">
        <v>0.76734863853378799</v>
      </c>
      <c r="R5165">
        <v>0.17553917481905401</v>
      </c>
      <c r="S5165">
        <v>136</v>
      </c>
      <c r="T5165">
        <v>60</v>
      </c>
      <c r="U5165">
        <v>574.907111081876</v>
      </c>
      <c r="V5165">
        <v>1.9104224156230099E-3</v>
      </c>
      <c r="W5165">
        <v>3032326.0060339798</v>
      </c>
      <c r="X5165" t="s">
        <v>39</v>
      </c>
      <c r="Y5165">
        <f>1-672-301-9224</f>
        <v>-10196</v>
      </c>
    </row>
    <row r="5166" spans="1:25" x14ac:dyDescent="0.35">
      <c r="A5166">
        <v>40.775041938353901</v>
      </c>
      <c r="B5166">
        <v>-120.043279082548</v>
      </c>
      <c r="C5166" t="s">
        <v>25</v>
      </c>
      <c r="D5166">
        <v>43.7742964774108</v>
      </c>
      <c r="E5166">
        <v>6</v>
      </c>
      <c r="F5166">
        <v>4114</v>
      </c>
      <c r="G5166">
        <v>5</v>
      </c>
      <c r="H5166">
        <v>3</v>
      </c>
      <c r="I5166">
        <v>2009</v>
      </c>
      <c r="J5166">
        <v>0</v>
      </c>
      <c r="K5166">
        <v>1</v>
      </c>
      <c r="L5166">
        <v>1</v>
      </c>
      <c r="M5166">
        <v>14</v>
      </c>
      <c r="N5166" t="s">
        <v>37</v>
      </c>
      <c r="O5166" t="s">
        <v>30</v>
      </c>
      <c r="P5166">
        <v>7.8337242804570302</v>
      </c>
      <c r="Q5166">
        <v>1.15123929841685</v>
      </c>
      <c r="R5166">
        <v>8.2477723308246897</v>
      </c>
      <c r="S5166">
        <v>199</v>
      </c>
      <c r="T5166">
        <v>60</v>
      </c>
      <c r="U5166">
        <v>563.21515345318096</v>
      </c>
      <c r="V5166">
        <v>3.4030140982012598E-3</v>
      </c>
      <c r="W5166">
        <v>2751975.6811726401</v>
      </c>
      <c r="X5166" t="s">
        <v>28</v>
      </c>
      <c r="Y5166">
        <f>1-354-434-4517</f>
        <v>-5304</v>
      </c>
    </row>
    <row r="5167" spans="1:25" x14ac:dyDescent="0.35">
      <c r="A5167">
        <v>33.619410814922098</v>
      </c>
      <c r="B5167">
        <v>-116.252923493865</v>
      </c>
      <c r="C5167" t="s">
        <v>25</v>
      </c>
      <c r="D5167">
        <v>16.0860435549992</v>
      </c>
      <c r="E5167">
        <v>3</v>
      </c>
      <c r="F5167">
        <v>4654</v>
      </c>
      <c r="G5167">
        <v>4</v>
      </c>
      <c r="H5167">
        <v>3</v>
      </c>
      <c r="I5167">
        <v>1975</v>
      </c>
      <c r="J5167">
        <v>0</v>
      </c>
      <c r="K5167">
        <v>1</v>
      </c>
      <c r="L5167">
        <v>0</v>
      </c>
      <c r="M5167">
        <v>3</v>
      </c>
      <c r="N5167" t="s">
        <v>35</v>
      </c>
      <c r="O5167" t="s">
        <v>27</v>
      </c>
      <c r="P5167">
        <v>8.1180385331572005</v>
      </c>
      <c r="Q5167">
        <v>0.853519410886452</v>
      </c>
      <c r="R5167">
        <v>5.21421886712396</v>
      </c>
      <c r="S5167">
        <v>85</v>
      </c>
      <c r="T5167">
        <v>37</v>
      </c>
      <c r="U5167">
        <v>210.405373581384</v>
      </c>
      <c r="V5167">
        <v>6.4460678985818595E-4</v>
      </c>
      <c r="W5167">
        <v>1320103.4096177099</v>
      </c>
      <c r="X5167" t="s">
        <v>33</v>
      </c>
      <c r="Y5167">
        <f>1-769-325-5862</f>
        <v>-6955</v>
      </c>
    </row>
    <row r="5168" spans="1:25" x14ac:dyDescent="0.35">
      <c r="A5168">
        <v>40.176436665447497</v>
      </c>
      <c r="B5168">
        <v>-120.49890252405901</v>
      </c>
      <c r="C5168" t="s">
        <v>34</v>
      </c>
      <c r="D5168">
        <v>25.8653995847394</v>
      </c>
      <c r="E5168">
        <v>9</v>
      </c>
      <c r="F5168">
        <v>739</v>
      </c>
      <c r="G5168">
        <v>5</v>
      </c>
      <c r="H5168">
        <v>2</v>
      </c>
      <c r="I5168">
        <v>1974</v>
      </c>
      <c r="J5168">
        <v>1</v>
      </c>
      <c r="K5168">
        <v>1</v>
      </c>
      <c r="L5168">
        <v>0</v>
      </c>
      <c r="M5168">
        <v>4</v>
      </c>
      <c r="N5168" t="s">
        <v>41</v>
      </c>
      <c r="O5168" t="s">
        <v>32</v>
      </c>
      <c r="P5168">
        <v>7.8671837141574796</v>
      </c>
      <c r="Q5168">
        <v>0.56822995649663999</v>
      </c>
      <c r="R5168">
        <v>0.88564888189211999</v>
      </c>
      <c r="S5168">
        <v>33</v>
      </c>
      <c r="T5168">
        <v>61</v>
      </c>
      <c r="U5168">
        <v>606.42751134520495</v>
      </c>
      <c r="V5168">
        <v>5.4127198917456E-3</v>
      </c>
      <c r="W5168">
        <v>890609.08933685301</v>
      </c>
      <c r="X5168" t="s">
        <v>31</v>
      </c>
      <c r="Y5168">
        <f>1-881-150-8901</f>
        <v>-9931</v>
      </c>
    </row>
    <row r="5169" spans="1:25" x14ac:dyDescent="0.35">
      <c r="A5169">
        <v>33.003781421809798</v>
      </c>
      <c r="B5169">
        <v>-120.52381580346901</v>
      </c>
      <c r="C5169" t="s">
        <v>34</v>
      </c>
      <c r="D5169">
        <v>28.1709358922297</v>
      </c>
      <c r="E5169">
        <v>7</v>
      </c>
      <c r="F5169">
        <v>1174</v>
      </c>
      <c r="G5169">
        <v>2</v>
      </c>
      <c r="H5169">
        <v>2</v>
      </c>
      <c r="I5169">
        <v>1984</v>
      </c>
      <c r="J5169">
        <v>0</v>
      </c>
      <c r="K5169">
        <v>0</v>
      </c>
      <c r="L5169">
        <v>1</v>
      </c>
      <c r="M5169">
        <v>2</v>
      </c>
      <c r="N5169" t="s">
        <v>41</v>
      </c>
      <c r="O5169" t="s">
        <v>32</v>
      </c>
      <c r="P5169">
        <v>3.2325060993301902</v>
      </c>
      <c r="Q5169">
        <v>1.22549820071856</v>
      </c>
      <c r="R5169">
        <v>2.6892129334489598</v>
      </c>
      <c r="S5169">
        <v>27</v>
      </c>
      <c r="T5169">
        <v>27</v>
      </c>
      <c r="U5169">
        <v>690.73266888763101</v>
      </c>
      <c r="V5169">
        <v>1.7035775127768301E-3</v>
      </c>
      <c r="W5169">
        <v>930203.21154185897</v>
      </c>
      <c r="X5169" t="s">
        <v>38</v>
      </c>
      <c r="Y5169">
        <f>1-216-192-2908</f>
        <v>-3315</v>
      </c>
    </row>
    <row r="5170" spans="1:25" x14ac:dyDescent="0.35">
      <c r="A5170">
        <v>36.255956695891101</v>
      </c>
      <c r="B5170">
        <v>-114.645114647768</v>
      </c>
      <c r="C5170" t="s">
        <v>25</v>
      </c>
      <c r="D5170">
        <v>22.584595228178099</v>
      </c>
      <c r="E5170">
        <v>1</v>
      </c>
      <c r="F5170">
        <v>1775</v>
      </c>
      <c r="G5170">
        <v>3</v>
      </c>
      <c r="H5170">
        <v>1</v>
      </c>
      <c r="I5170">
        <v>2007</v>
      </c>
      <c r="J5170">
        <v>1</v>
      </c>
      <c r="K5170">
        <v>1</v>
      </c>
      <c r="L5170">
        <v>1</v>
      </c>
      <c r="M5170">
        <v>12</v>
      </c>
      <c r="N5170" t="s">
        <v>37</v>
      </c>
      <c r="O5170" t="s">
        <v>27</v>
      </c>
      <c r="P5170">
        <v>6.9446613707064602</v>
      </c>
      <c r="Q5170">
        <v>2.0481998474007401</v>
      </c>
      <c r="R5170">
        <v>7.8945698961407196</v>
      </c>
      <c r="S5170">
        <v>41</v>
      </c>
      <c r="T5170">
        <v>39</v>
      </c>
      <c r="U5170">
        <v>416.531565005375</v>
      </c>
      <c r="V5170">
        <v>6.7605633802816896E-3</v>
      </c>
      <c r="W5170">
        <v>1180798.5846186399</v>
      </c>
      <c r="X5170" t="s">
        <v>42</v>
      </c>
      <c r="Y5170">
        <f>1-476-440-4322</f>
        <v>-5237</v>
      </c>
    </row>
    <row r="5171" spans="1:25" x14ac:dyDescent="0.35">
      <c r="A5171">
        <v>34.052626791848802</v>
      </c>
      <c r="B5171">
        <v>-122.48706786747</v>
      </c>
      <c r="C5171" t="s">
        <v>29</v>
      </c>
      <c r="D5171">
        <v>36.011602268493903</v>
      </c>
      <c r="E5171">
        <v>6</v>
      </c>
      <c r="F5171">
        <v>2431</v>
      </c>
      <c r="G5171">
        <v>5</v>
      </c>
      <c r="H5171">
        <v>2</v>
      </c>
      <c r="I5171">
        <v>1951</v>
      </c>
      <c r="J5171">
        <v>0</v>
      </c>
      <c r="K5171">
        <v>0</v>
      </c>
      <c r="L5171">
        <v>1</v>
      </c>
      <c r="M5171">
        <v>11</v>
      </c>
      <c r="N5171" t="s">
        <v>41</v>
      </c>
      <c r="O5171" t="s">
        <v>32</v>
      </c>
      <c r="P5171">
        <v>11.489220473683099</v>
      </c>
      <c r="Q5171">
        <v>2.11534293271691</v>
      </c>
      <c r="R5171">
        <v>5.9737744701241704</v>
      </c>
      <c r="S5171">
        <v>127</v>
      </c>
      <c r="T5171">
        <v>38</v>
      </c>
      <c r="U5171">
        <v>756.39352140803396</v>
      </c>
      <c r="V5171">
        <v>4.5248868778280504E-3</v>
      </c>
      <c r="W5171">
        <v>2132856.1412993502</v>
      </c>
      <c r="X5171" t="s">
        <v>39</v>
      </c>
      <c r="Y5171">
        <f>1-911-315-3230</f>
        <v>-4455</v>
      </c>
    </row>
    <row r="5172" spans="1:25" x14ac:dyDescent="0.35">
      <c r="A5172">
        <v>37.988515104471503</v>
      </c>
      <c r="B5172">
        <v>-122.360757397266</v>
      </c>
      <c r="C5172" t="s">
        <v>25</v>
      </c>
      <c r="D5172">
        <v>8.4626728221062208</v>
      </c>
      <c r="E5172">
        <v>9</v>
      </c>
      <c r="F5172">
        <v>1113</v>
      </c>
      <c r="G5172">
        <v>4</v>
      </c>
      <c r="H5172">
        <v>3</v>
      </c>
      <c r="I5172">
        <v>1979</v>
      </c>
      <c r="J5172">
        <v>0</v>
      </c>
      <c r="K5172">
        <v>0</v>
      </c>
      <c r="L5172">
        <v>1</v>
      </c>
      <c r="M5172">
        <v>10</v>
      </c>
      <c r="N5172" t="s">
        <v>37</v>
      </c>
      <c r="O5172" t="s">
        <v>27</v>
      </c>
      <c r="P5172">
        <v>7.4722558361924696</v>
      </c>
      <c r="Q5172">
        <v>0.807556060515908</v>
      </c>
      <c r="R5172">
        <v>1.8304821781287099</v>
      </c>
      <c r="S5172">
        <v>45</v>
      </c>
      <c r="T5172">
        <v>27</v>
      </c>
      <c r="U5172">
        <v>322.56237275230598</v>
      </c>
      <c r="V5172">
        <v>8.9847259658580401E-3</v>
      </c>
      <c r="W5172">
        <v>616805.81441716105</v>
      </c>
      <c r="X5172" t="s">
        <v>36</v>
      </c>
      <c r="Y5172">
        <f>1-335-987-8168</f>
        <v>-9489</v>
      </c>
    </row>
    <row r="5173" spans="1:25" x14ac:dyDescent="0.35">
      <c r="A5173">
        <v>39.214770920059898</v>
      </c>
      <c r="B5173">
        <v>-120.030368230978</v>
      </c>
      <c r="C5173" t="s">
        <v>29</v>
      </c>
      <c r="D5173">
        <v>23.8178071249488</v>
      </c>
      <c r="E5173">
        <v>4</v>
      </c>
      <c r="F5173">
        <v>1791</v>
      </c>
      <c r="G5173">
        <v>5</v>
      </c>
      <c r="H5173">
        <v>1</v>
      </c>
      <c r="I5173">
        <v>2009</v>
      </c>
      <c r="J5173">
        <v>1</v>
      </c>
      <c r="K5173">
        <v>0</v>
      </c>
      <c r="L5173">
        <v>0</v>
      </c>
      <c r="M5173">
        <v>2</v>
      </c>
      <c r="N5173" t="s">
        <v>35</v>
      </c>
      <c r="O5173" t="s">
        <v>32</v>
      </c>
      <c r="P5173">
        <v>4.1278385596297396</v>
      </c>
      <c r="Q5173">
        <v>0.91777819004510197</v>
      </c>
      <c r="R5173">
        <v>9.0183598412111703</v>
      </c>
      <c r="S5173">
        <v>59</v>
      </c>
      <c r="T5173">
        <v>53</v>
      </c>
      <c r="U5173">
        <v>716.28437099945995</v>
      </c>
      <c r="V5173">
        <v>1.1166945840312601E-3</v>
      </c>
      <c r="W5173">
        <v>1616099.1166117799</v>
      </c>
      <c r="X5173" t="s">
        <v>40</v>
      </c>
      <c r="Y5173">
        <f>1-524-820-1482</f>
        <v>-2825</v>
      </c>
    </row>
    <row r="5174" spans="1:25" x14ac:dyDescent="0.35">
      <c r="A5174">
        <v>36.844091292666398</v>
      </c>
      <c r="B5174">
        <v>-124.332636322046</v>
      </c>
      <c r="C5174" t="s">
        <v>25</v>
      </c>
      <c r="D5174">
        <v>46.429546815974497</v>
      </c>
      <c r="E5174">
        <v>1</v>
      </c>
      <c r="F5174">
        <v>2153</v>
      </c>
      <c r="G5174">
        <v>3</v>
      </c>
      <c r="H5174">
        <v>2</v>
      </c>
      <c r="I5174">
        <v>2013</v>
      </c>
      <c r="J5174">
        <v>0</v>
      </c>
      <c r="K5174">
        <v>0</v>
      </c>
      <c r="L5174">
        <v>0</v>
      </c>
      <c r="M5174">
        <v>6</v>
      </c>
      <c r="N5174" t="s">
        <v>26</v>
      </c>
      <c r="O5174" t="s">
        <v>30</v>
      </c>
      <c r="P5174">
        <v>10.0945743543272</v>
      </c>
      <c r="Q5174">
        <v>1.51999675975068</v>
      </c>
      <c r="R5174">
        <v>6.0327900593516297</v>
      </c>
      <c r="S5174">
        <v>1</v>
      </c>
      <c r="T5174">
        <v>72</v>
      </c>
      <c r="U5174">
        <v>968.346204736863</v>
      </c>
      <c r="V5174">
        <v>2.7868091035764E-3</v>
      </c>
      <c r="W5174">
        <v>2314412.8438631101</v>
      </c>
      <c r="X5174" t="s">
        <v>38</v>
      </c>
      <c r="Y5174">
        <f>1-700-479-2462</f>
        <v>-3640</v>
      </c>
    </row>
    <row r="5175" spans="1:25" x14ac:dyDescent="0.35">
      <c r="A5175">
        <v>38.865246214587899</v>
      </c>
      <c r="B5175">
        <v>-120.864062427965</v>
      </c>
      <c r="C5175" t="s">
        <v>25</v>
      </c>
      <c r="D5175">
        <v>11.3847286795715</v>
      </c>
      <c r="E5175">
        <v>0</v>
      </c>
      <c r="F5175">
        <v>550</v>
      </c>
      <c r="G5175">
        <v>2</v>
      </c>
      <c r="H5175">
        <v>3</v>
      </c>
      <c r="I5175">
        <v>1998</v>
      </c>
      <c r="J5175">
        <v>1</v>
      </c>
      <c r="K5175">
        <v>1</v>
      </c>
      <c r="L5175">
        <v>1</v>
      </c>
      <c r="M5175">
        <v>13</v>
      </c>
      <c r="N5175" t="s">
        <v>41</v>
      </c>
      <c r="O5175" t="s">
        <v>27</v>
      </c>
      <c r="P5175">
        <v>7.46859905896995</v>
      </c>
      <c r="Q5175">
        <v>2.3156737330017698</v>
      </c>
      <c r="R5175">
        <v>7.9569219059347303</v>
      </c>
      <c r="S5175">
        <v>104</v>
      </c>
      <c r="T5175">
        <v>45</v>
      </c>
      <c r="U5175">
        <v>946.18035119512797</v>
      </c>
      <c r="V5175">
        <v>2.3636363636363601E-2</v>
      </c>
      <c r="W5175">
        <v>903336.09138278302</v>
      </c>
      <c r="X5175" t="s">
        <v>40</v>
      </c>
      <c r="Y5175">
        <f>1-918-145-5313</f>
        <v>-6375</v>
      </c>
    </row>
    <row r="5176" spans="1:25" x14ac:dyDescent="0.35">
      <c r="A5176">
        <v>32.629584153498001</v>
      </c>
      <c r="B5176">
        <v>-116.90173349657</v>
      </c>
      <c r="C5176" t="s">
        <v>29</v>
      </c>
      <c r="D5176">
        <v>25.445448575296702</v>
      </c>
      <c r="E5176">
        <v>7</v>
      </c>
      <c r="F5176">
        <v>1241</v>
      </c>
      <c r="G5176">
        <v>3</v>
      </c>
      <c r="H5176">
        <v>3</v>
      </c>
      <c r="I5176">
        <v>1956</v>
      </c>
      <c r="J5176">
        <v>0</v>
      </c>
      <c r="K5176">
        <v>0</v>
      </c>
      <c r="L5176">
        <v>0</v>
      </c>
      <c r="M5176">
        <v>8</v>
      </c>
      <c r="N5176" t="s">
        <v>35</v>
      </c>
      <c r="O5176" t="s">
        <v>32</v>
      </c>
      <c r="P5176">
        <v>7.4195807268922698</v>
      </c>
      <c r="Q5176">
        <v>0.61609961061313501</v>
      </c>
      <c r="R5176">
        <v>3.8413541539511802</v>
      </c>
      <c r="S5176">
        <v>9</v>
      </c>
      <c r="T5176">
        <v>77</v>
      </c>
      <c r="U5176">
        <v>279.40367386349197</v>
      </c>
      <c r="V5176">
        <v>6.4464141821112004E-3</v>
      </c>
      <c r="W5176">
        <v>569059.88605237298</v>
      </c>
      <c r="X5176" t="s">
        <v>28</v>
      </c>
      <c r="Y5176">
        <f>1-785-754-6010</f>
        <v>-7548</v>
      </c>
    </row>
    <row r="5177" spans="1:25" x14ac:dyDescent="0.35">
      <c r="A5177">
        <v>39.467227284380897</v>
      </c>
      <c r="B5177">
        <v>-114.616610723538</v>
      </c>
      <c r="C5177" t="s">
        <v>34</v>
      </c>
      <c r="D5177">
        <v>12.1132754622795</v>
      </c>
      <c r="E5177">
        <v>7</v>
      </c>
      <c r="F5177">
        <v>974</v>
      </c>
      <c r="G5177">
        <v>2</v>
      </c>
      <c r="H5177">
        <v>2</v>
      </c>
      <c r="I5177">
        <v>1959</v>
      </c>
      <c r="J5177">
        <v>0</v>
      </c>
      <c r="K5177">
        <v>0</v>
      </c>
      <c r="L5177">
        <v>1</v>
      </c>
      <c r="M5177">
        <v>3</v>
      </c>
      <c r="N5177" t="s">
        <v>26</v>
      </c>
      <c r="O5177" t="s">
        <v>32</v>
      </c>
      <c r="P5177">
        <v>4.9680970666672604</v>
      </c>
      <c r="Q5177">
        <v>1.1895192901657301</v>
      </c>
      <c r="R5177">
        <v>6.3502380537774297</v>
      </c>
      <c r="S5177">
        <v>133</v>
      </c>
      <c r="T5177">
        <v>59</v>
      </c>
      <c r="U5177">
        <v>334.621424976539</v>
      </c>
      <c r="V5177">
        <v>3.0800821355236102E-3</v>
      </c>
      <c r="W5177">
        <v>391655.43356879801</v>
      </c>
      <c r="X5177" t="s">
        <v>44</v>
      </c>
      <c r="Y5177">
        <f>1-822-252-3367</f>
        <v>-4440</v>
      </c>
    </row>
    <row r="5178" spans="1:25" x14ac:dyDescent="0.35">
      <c r="A5178">
        <v>33.1755737726508</v>
      </c>
      <c r="B5178">
        <v>-121.906653001167</v>
      </c>
      <c r="C5178" t="s">
        <v>34</v>
      </c>
      <c r="D5178">
        <v>20.0546422923492</v>
      </c>
      <c r="E5178">
        <v>6</v>
      </c>
      <c r="F5178">
        <v>4732</v>
      </c>
      <c r="G5178">
        <v>1</v>
      </c>
      <c r="H5178">
        <v>1</v>
      </c>
      <c r="I5178">
        <v>1950</v>
      </c>
      <c r="J5178">
        <v>0</v>
      </c>
      <c r="K5178">
        <v>0</v>
      </c>
      <c r="L5178">
        <v>1</v>
      </c>
      <c r="M5178">
        <v>7</v>
      </c>
      <c r="N5178" t="s">
        <v>35</v>
      </c>
      <c r="O5178" t="s">
        <v>27</v>
      </c>
      <c r="P5178">
        <v>3.76110529749295</v>
      </c>
      <c r="Q5178">
        <v>1.62624077436007</v>
      </c>
      <c r="R5178">
        <v>4.8996694300213903</v>
      </c>
      <c r="S5178">
        <v>63</v>
      </c>
      <c r="T5178">
        <v>77</v>
      </c>
      <c r="U5178">
        <v>361.52665761910902</v>
      </c>
      <c r="V5178">
        <v>1.4792899408283999E-3</v>
      </c>
      <c r="W5178">
        <v>1703514.4156230099</v>
      </c>
      <c r="X5178" t="s">
        <v>38</v>
      </c>
      <c r="Y5178">
        <f>1-922-104-7297</f>
        <v>-8322</v>
      </c>
    </row>
    <row r="5179" spans="1:25" x14ac:dyDescent="0.35">
      <c r="A5179">
        <v>41.341176608277998</v>
      </c>
      <c r="B5179">
        <v>-122.992880352871</v>
      </c>
      <c r="C5179" t="s">
        <v>25</v>
      </c>
      <c r="D5179">
        <v>36.930353127787299</v>
      </c>
      <c r="E5179">
        <v>3</v>
      </c>
      <c r="F5179">
        <v>2757</v>
      </c>
      <c r="G5179">
        <v>1</v>
      </c>
      <c r="H5179">
        <v>2</v>
      </c>
      <c r="I5179">
        <v>1978</v>
      </c>
      <c r="J5179">
        <v>0</v>
      </c>
      <c r="K5179">
        <v>1</v>
      </c>
      <c r="L5179">
        <v>0</v>
      </c>
      <c r="M5179">
        <v>8</v>
      </c>
      <c r="N5179" t="s">
        <v>37</v>
      </c>
      <c r="O5179" t="s">
        <v>32</v>
      </c>
      <c r="P5179">
        <v>12.7135187381127</v>
      </c>
      <c r="Q5179">
        <v>2.4175480231999402</v>
      </c>
      <c r="R5179">
        <v>9.5370226809895403E-2</v>
      </c>
      <c r="S5179">
        <v>91</v>
      </c>
      <c r="T5179">
        <v>77</v>
      </c>
      <c r="U5179">
        <v>551.62499191976701</v>
      </c>
      <c r="V5179">
        <v>2.9017047515415301E-3</v>
      </c>
      <c r="W5179">
        <v>1782198.1427967299</v>
      </c>
      <c r="X5179" t="s">
        <v>43</v>
      </c>
      <c r="Y5179">
        <f>1-495-347-2039</f>
        <v>-2880</v>
      </c>
    </row>
    <row r="5180" spans="1:25" x14ac:dyDescent="0.35">
      <c r="A5180">
        <v>33.155627272667303</v>
      </c>
      <c r="B5180">
        <v>-116.33924283170499</v>
      </c>
      <c r="C5180" t="s">
        <v>25</v>
      </c>
      <c r="D5180">
        <v>1.5220342800583</v>
      </c>
      <c r="E5180">
        <v>6</v>
      </c>
      <c r="F5180">
        <v>4835</v>
      </c>
      <c r="G5180">
        <v>3</v>
      </c>
      <c r="H5180">
        <v>2</v>
      </c>
      <c r="I5180">
        <v>1964</v>
      </c>
      <c r="J5180">
        <v>0</v>
      </c>
      <c r="K5180">
        <v>1</v>
      </c>
      <c r="L5180">
        <v>1</v>
      </c>
      <c r="M5180">
        <v>2</v>
      </c>
      <c r="N5180" t="s">
        <v>26</v>
      </c>
      <c r="O5180" t="s">
        <v>30</v>
      </c>
      <c r="P5180">
        <v>5.6098846353138798</v>
      </c>
      <c r="Q5180">
        <v>1.4973415041956399</v>
      </c>
      <c r="R5180">
        <v>5.8573051063405996</v>
      </c>
      <c r="S5180">
        <v>178</v>
      </c>
      <c r="T5180">
        <v>35</v>
      </c>
      <c r="U5180">
        <v>640.840268167658</v>
      </c>
      <c r="V5180">
        <v>4.1365046535677303E-4</v>
      </c>
      <c r="W5180">
        <v>3301333.98011408</v>
      </c>
      <c r="X5180" t="s">
        <v>39</v>
      </c>
      <c r="Y5180">
        <f>1-358-329-9816</f>
        <v>-10502</v>
      </c>
    </row>
    <row r="5181" spans="1:25" x14ac:dyDescent="0.35">
      <c r="A5181">
        <v>38.698539184644297</v>
      </c>
      <c r="B5181">
        <v>-118.62581265300901</v>
      </c>
      <c r="C5181" t="s">
        <v>25</v>
      </c>
      <c r="D5181">
        <v>7.5817917965122401</v>
      </c>
      <c r="E5181">
        <v>4</v>
      </c>
      <c r="F5181">
        <v>2003</v>
      </c>
      <c r="G5181">
        <v>5</v>
      </c>
      <c r="H5181">
        <v>1</v>
      </c>
      <c r="I5181">
        <v>2009</v>
      </c>
      <c r="J5181">
        <v>1</v>
      </c>
      <c r="K5181">
        <v>0</v>
      </c>
      <c r="L5181">
        <v>1</v>
      </c>
      <c r="M5181">
        <v>3</v>
      </c>
      <c r="N5181" t="s">
        <v>35</v>
      </c>
      <c r="O5181" t="s">
        <v>32</v>
      </c>
      <c r="P5181">
        <v>8.0850377761002399</v>
      </c>
      <c r="Q5181">
        <v>2.3098284560015601</v>
      </c>
      <c r="R5181">
        <v>6.0841113808317804</v>
      </c>
      <c r="S5181">
        <v>73</v>
      </c>
      <c r="T5181">
        <v>29</v>
      </c>
      <c r="U5181">
        <v>666.90302011761901</v>
      </c>
      <c r="V5181">
        <v>1.4977533699450801E-3</v>
      </c>
      <c r="W5181">
        <v>1727463.38968752</v>
      </c>
      <c r="X5181" t="s">
        <v>31</v>
      </c>
      <c r="Y5181">
        <f>1-781-755-2840</f>
        <v>-4375</v>
      </c>
    </row>
    <row r="5182" spans="1:25" x14ac:dyDescent="0.35">
      <c r="A5182">
        <v>35.413809445736497</v>
      </c>
      <c r="B5182">
        <v>-122.174941609065</v>
      </c>
      <c r="C5182" t="s">
        <v>34</v>
      </c>
      <c r="D5182">
        <v>34.928778431002897</v>
      </c>
      <c r="E5182">
        <v>8</v>
      </c>
      <c r="F5182">
        <v>1745</v>
      </c>
      <c r="G5182">
        <v>5</v>
      </c>
      <c r="H5182">
        <v>3</v>
      </c>
      <c r="I5182">
        <v>1995</v>
      </c>
      <c r="J5182">
        <v>0</v>
      </c>
      <c r="K5182">
        <v>1</v>
      </c>
      <c r="L5182">
        <v>1</v>
      </c>
      <c r="M5182">
        <v>4</v>
      </c>
      <c r="N5182" t="s">
        <v>26</v>
      </c>
      <c r="O5182" t="s">
        <v>30</v>
      </c>
      <c r="P5182">
        <v>11.4048635630538</v>
      </c>
      <c r="Q5182">
        <v>2.03075923681507</v>
      </c>
      <c r="R5182">
        <v>8.4227526224156701</v>
      </c>
      <c r="S5182">
        <v>29</v>
      </c>
      <c r="T5182">
        <v>54</v>
      </c>
      <c r="U5182">
        <v>409.60222276416903</v>
      </c>
      <c r="V5182">
        <v>2.29226361031518E-3</v>
      </c>
      <c r="W5182">
        <v>1280447.4261437501</v>
      </c>
      <c r="X5182" t="s">
        <v>40</v>
      </c>
      <c r="Y5182">
        <f>1-659-601-4929</f>
        <v>-6188</v>
      </c>
    </row>
    <row r="5183" spans="1:25" x14ac:dyDescent="0.35">
      <c r="A5183">
        <v>38.781811503752202</v>
      </c>
      <c r="B5183">
        <v>-122.964075260413</v>
      </c>
      <c r="C5183" t="s">
        <v>25</v>
      </c>
      <c r="D5183">
        <v>25.335822570411</v>
      </c>
      <c r="E5183">
        <v>1</v>
      </c>
      <c r="F5183">
        <v>3382</v>
      </c>
      <c r="G5183">
        <v>3</v>
      </c>
      <c r="H5183">
        <v>1</v>
      </c>
      <c r="I5183">
        <v>2016</v>
      </c>
      <c r="J5183">
        <v>0</v>
      </c>
      <c r="K5183">
        <v>1</v>
      </c>
      <c r="L5183">
        <v>1</v>
      </c>
      <c r="M5183">
        <v>12</v>
      </c>
      <c r="N5183" t="s">
        <v>26</v>
      </c>
      <c r="O5183" t="s">
        <v>32</v>
      </c>
      <c r="P5183">
        <v>11.393752095787599</v>
      </c>
      <c r="Q5183">
        <v>2.23479037802087</v>
      </c>
      <c r="R5183">
        <v>3.07318558769364</v>
      </c>
      <c r="S5183">
        <v>79</v>
      </c>
      <c r="T5183">
        <v>66</v>
      </c>
      <c r="U5183">
        <v>540.109337731148</v>
      </c>
      <c r="V5183">
        <v>3.5481963335304502E-3</v>
      </c>
      <c r="W5183">
        <v>2212523.5625104802</v>
      </c>
      <c r="X5183" t="s">
        <v>38</v>
      </c>
      <c r="Y5183">
        <f>1-593-570-1822</f>
        <v>-2984</v>
      </c>
    </row>
    <row r="5184" spans="1:25" x14ac:dyDescent="0.35">
      <c r="A5184">
        <v>37.860947260891301</v>
      </c>
      <c r="B5184">
        <v>-116.123303015706</v>
      </c>
      <c r="C5184" t="s">
        <v>34</v>
      </c>
      <c r="D5184">
        <v>17.841402673296098</v>
      </c>
      <c r="E5184">
        <v>9</v>
      </c>
      <c r="F5184">
        <v>4755</v>
      </c>
      <c r="G5184">
        <v>2</v>
      </c>
      <c r="H5184">
        <v>1</v>
      </c>
      <c r="I5184">
        <v>1953</v>
      </c>
      <c r="J5184">
        <v>1</v>
      </c>
      <c r="K5184">
        <v>1</v>
      </c>
      <c r="L5184">
        <v>1</v>
      </c>
      <c r="M5184">
        <v>8</v>
      </c>
      <c r="N5184" t="s">
        <v>35</v>
      </c>
      <c r="O5184" t="s">
        <v>27</v>
      </c>
      <c r="P5184">
        <v>11.986298101540299</v>
      </c>
      <c r="Q5184">
        <v>2.3862378144976701</v>
      </c>
      <c r="R5184">
        <v>1.6874158024075001</v>
      </c>
      <c r="S5184">
        <v>174</v>
      </c>
      <c r="T5184">
        <v>37</v>
      </c>
      <c r="U5184">
        <v>604.20777541876498</v>
      </c>
      <c r="V5184">
        <v>1.68243953732912E-3</v>
      </c>
      <c r="W5184">
        <v>3094004.3806666001</v>
      </c>
      <c r="X5184" t="s">
        <v>36</v>
      </c>
      <c r="Y5184">
        <f>1-983-408-5379</f>
        <v>-6769</v>
      </c>
    </row>
    <row r="5185" spans="1:25" x14ac:dyDescent="0.35">
      <c r="A5185">
        <v>33.3759838815294</v>
      </c>
      <c r="B5185">
        <v>-117.882810590012</v>
      </c>
      <c r="C5185" t="s">
        <v>29</v>
      </c>
      <c r="D5185">
        <v>35.507380745582402</v>
      </c>
      <c r="E5185">
        <v>4</v>
      </c>
      <c r="F5185">
        <v>3194</v>
      </c>
      <c r="G5185">
        <v>1</v>
      </c>
      <c r="H5185">
        <v>2</v>
      </c>
      <c r="I5185">
        <v>1989</v>
      </c>
      <c r="J5185">
        <v>1</v>
      </c>
      <c r="K5185">
        <v>0</v>
      </c>
      <c r="L5185">
        <v>0</v>
      </c>
      <c r="M5185">
        <v>7</v>
      </c>
      <c r="N5185" t="s">
        <v>41</v>
      </c>
      <c r="O5185" t="s">
        <v>30</v>
      </c>
      <c r="P5185">
        <v>9.06644483941737</v>
      </c>
      <c r="Q5185">
        <v>0.71756255915761302</v>
      </c>
      <c r="R5185">
        <v>3.7973045090278901</v>
      </c>
      <c r="S5185">
        <v>182</v>
      </c>
      <c r="T5185">
        <v>69</v>
      </c>
      <c r="U5185">
        <v>495.95585426129497</v>
      </c>
      <c r="V5185">
        <v>2.19160926737633E-3</v>
      </c>
      <c r="W5185">
        <v>1802129.2501223299</v>
      </c>
      <c r="X5185" t="s">
        <v>36</v>
      </c>
      <c r="Y5185">
        <f>1-974-491-1170</f>
        <v>-2634</v>
      </c>
    </row>
    <row r="5186" spans="1:25" x14ac:dyDescent="0.35">
      <c r="A5186">
        <v>37.366993566566798</v>
      </c>
      <c r="B5186">
        <v>-124.110575718883</v>
      </c>
      <c r="C5186" t="s">
        <v>25</v>
      </c>
      <c r="D5186">
        <v>12.343777074702899</v>
      </c>
      <c r="E5186">
        <v>5</v>
      </c>
      <c r="F5186">
        <v>1839</v>
      </c>
      <c r="G5186">
        <v>5</v>
      </c>
      <c r="H5186">
        <v>1</v>
      </c>
      <c r="I5186">
        <v>1992</v>
      </c>
      <c r="J5186">
        <v>0</v>
      </c>
      <c r="K5186">
        <v>1</v>
      </c>
      <c r="L5186">
        <v>0</v>
      </c>
      <c r="M5186">
        <v>4</v>
      </c>
      <c r="N5186" t="s">
        <v>37</v>
      </c>
      <c r="O5186" t="s">
        <v>30</v>
      </c>
      <c r="P5186">
        <v>2.6590704851812599</v>
      </c>
      <c r="Q5186">
        <v>0.90535829429338699</v>
      </c>
      <c r="R5186">
        <v>1.05079984076961</v>
      </c>
      <c r="S5186">
        <v>16</v>
      </c>
      <c r="T5186">
        <v>64</v>
      </c>
      <c r="U5186">
        <v>493.39797803658303</v>
      </c>
      <c r="V5186">
        <v>2.1750951604132601E-3</v>
      </c>
      <c r="W5186">
        <v>1229872.5284148999</v>
      </c>
      <c r="X5186" t="s">
        <v>42</v>
      </c>
      <c r="Y5186">
        <f>1-925-745-3331</f>
        <v>-5000</v>
      </c>
    </row>
    <row r="5187" spans="1:25" x14ac:dyDescent="0.35">
      <c r="A5187">
        <v>38.617481996729502</v>
      </c>
      <c r="B5187">
        <v>-118.61170079172901</v>
      </c>
      <c r="C5187" t="s">
        <v>34</v>
      </c>
      <c r="D5187">
        <v>44.971605134417402</v>
      </c>
      <c r="E5187">
        <v>6</v>
      </c>
      <c r="F5187">
        <v>3986</v>
      </c>
      <c r="G5187">
        <v>3</v>
      </c>
      <c r="H5187">
        <v>3</v>
      </c>
      <c r="I5187">
        <v>2003</v>
      </c>
      <c r="J5187">
        <v>1</v>
      </c>
      <c r="K5187">
        <v>0</v>
      </c>
      <c r="L5187">
        <v>1</v>
      </c>
      <c r="M5187">
        <v>10</v>
      </c>
      <c r="N5187" t="s">
        <v>37</v>
      </c>
      <c r="O5187" t="s">
        <v>27</v>
      </c>
      <c r="P5187">
        <v>7.2031374382856397</v>
      </c>
      <c r="Q5187">
        <v>1.77889287709462</v>
      </c>
      <c r="R5187">
        <v>9.7306617380769502</v>
      </c>
      <c r="S5187">
        <v>82</v>
      </c>
      <c r="T5187">
        <v>37</v>
      </c>
      <c r="U5187">
        <v>723.41403494982205</v>
      </c>
      <c r="V5187">
        <v>2.5087807325639699E-3</v>
      </c>
      <c r="W5187">
        <v>3165123.49987823</v>
      </c>
      <c r="X5187" t="s">
        <v>38</v>
      </c>
      <c r="Y5187">
        <f>1-975-309-2156</f>
        <v>-3439</v>
      </c>
    </row>
    <row r="5188" spans="1:25" x14ac:dyDescent="0.35">
      <c r="A5188">
        <v>36.172039417531501</v>
      </c>
      <c r="B5188">
        <v>-116.273424696343</v>
      </c>
      <c r="C5188" t="s">
        <v>34</v>
      </c>
      <c r="D5188">
        <v>41.090626500393597</v>
      </c>
      <c r="E5188">
        <v>2</v>
      </c>
      <c r="F5188">
        <v>4953</v>
      </c>
      <c r="G5188">
        <v>3</v>
      </c>
      <c r="H5188">
        <v>3</v>
      </c>
      <c r="I5188">
        <v>1966</v>
      </c>
      <c r="J5188">
        <v>0</v>
      </c>
      <c r="K5188">
        <v>1</v>
      </c>
      <c r="L5188">
        <v>0</v>
      </c>
      <c r="M5188">
        <v>9</v>
      </c>
      <c r="N5188" t="s">
        <v>37</v>
      </c>
      <c r="O5188" t="s">
        <v>27</v>
      </c>
      <c r="P5188">
        <v>7.5789986345505103</v>
      </c>
      <c r="Q5188">
        <v>0.61410878586795703</v>
      </c>
      <c r="R5188">
        <v>9.2781935631595704</v>
      </c>
      <c r="S5188">
        <v>78</v>
      </c>
      <c r="T5188">
        <v>29</v>
      </c>
      <c r="U5188">
        <v>960.35206904572101</v>
      </c>
      <c r="V5188">
        <v>1.81708055723803E-3</v>
      </c>
      <c r="W5188">
        <v>5049402.4966115402</v>
      </c>
      <c r="X5188" t="s">
        <v>38</v>
      </c>
      <c r="Y5188">
        <f>1-794-478-2275</f>
        <v>-3546</v>
      </c>
    </row>
    <row r="5189" spans="1:25" x14ac:dyDescent="0.35">
      <c r="A5189">
        <v>32.674018386699899</v>
      </c>
      <c r="B5189">
        <v>-119.884986337578</v>
      </c>
      <c r="C5189" t="s">
        <v>34</v>
      </c>
      <c r="D5189">
        <v>7.3367434518896104</v>
      </c>
      <c r="E5189">
        <v>8</v>
      </c>
      <c r="F5189">
        <v>639</v>
      </c>
      <c r="G5189">
        <v>1</v>
      </c>
      <c r="H5189">
        <v>2</v>
      </c>
      <c r="I5189">
        <v>2012</v>
      </c>
      <c r="J5189">
        <v>0</v>
      </c>
      <c r="K5189">
        <v>0</v>
      </c>
      <c r="L5189">
        <v>1</v>
      </c>
      <c r="M5189">
        <v>14</v>
      </c>
      <c r="N5189" t="s">
        <v>41</v>
      </c>
      <c r="O5189" t="s">
        <v>32</v>
      </c>
      <c r="P5189">
        <v>8.9432327674016392</v>
      </c>
      <c r="Q5189">
        <v>1.07188801221985</v>
      </c>
      <c r="R5189">
        <v>3.7801880087212601E-2</v>
      </c>
      <c r="S5189">
        <v>80</v>
      </c>
      <c r="T5189">
        <v>63</v>
      </c>
      <c r="U5189">
        <v>883.70043608211301</v>
      </c>
      <c r="V5189">
        <v>2.1909233176838801E-2</v>
      </c>
      <c r="W5189">
        <v>824702.10761397704</v>
      </c>
      <c r="X5189" t="s">
        <v>42</v>
      </c>
      <c r="Y5189">
        <f>1-339-635-3713</f>
        <v>-4686</v>
      </c>
    </row>
    <row r="5190" spans="1:25" x14ac:dyDescent="0.35">
      <c r="A5190">
        <v>41.174674736271498</v>
      </c>
      <c r="B5190">
        <v>-114.088147246804</v>
      </c>
      <c r="C5190" t="s">
        <v>25</v>
      </c>
      <c r="D5190">
        <v>18.509556900820801</v>
      </c>
      <c r="E5190">
        <v>6</v>
      </c>
      <c r="F5190">
        <v>1712</v>
      </c>
      <c r="G5190">
        <v>4</v>
      </c>
      <c r="H5190">
        <v>3</v>
      </c>
      <c r="I5190">
        <v>1991</v>
      </c>
      <c r="J5190">
        <v>1</v>
      </c>
      <c r="K5190">
        <v>0</v>
      </c>
      <c r="L5190">
        <v>1</v>
      </c>
      <c r="M5190">
        <v>6</v>
      </c>
      <c r="N5190" t="s">
        <v>37</v>
      </c>
      <c r="O5190" t="s">
        <v>27</v>
      </c>
      <c r="P5190">
        <v>9.9393827444428098</v>
      </c>
      <c r="Q5190">
        <v>1.54011767784183</v>
      </c>
      <c r="R5190">
        <v>2.0381236519760701</v>
      </c>
      <c r="S5190">
        <v>33</v>
      </c>
      <c r="T5190">
        <v>34</v>
      </c>
      <c r="U5190">
        <v>289.60445355484302</v>
      </c>
      <c r="V5190">
        <v>3.5046728971962599E-3</v>
      </c>
      <c r="W5190">
        <v>918295.96160302404</v>
      </c>
      <c r="X5190" t="s">
        <v>44</v>
      </c>
      <c r="Y5190">
        <f>1-388-595-4684</f>
        <v>-5666</v>
      </c>
    </row>
    <row r="5191" spans="1:25" x14ac:dyDescent="0.35">
      <c r="A5191">
        <v>35.618415521780797</v>
      </c>
      <c r="B5191">
        <v>-123.63707230963399</v>
      </c>
      <c r="C5191" t="s">
        <v>25</v>
      </c>
      <c r="D5191">
        <v>29.375510912585099</v>
      </c>
      <c r="E5191">
        <v>3</v>
      </c>
      <c r="F5191">
        <v>1434</v>
      </c>
      <c r="G5191">
        <v>1</v>
      </c>
      <c r="H5191">
        <v>3</v>
      </c>
      <c r="I5191">
        <v>1987</v>
      </c>
      <c r="J5191">
        <v>0</v>
      </c>
      <c r="K5191">
        <v>1</v>
      </c>
      <c r="L5191">
        <v>1</v>
      </c>
      <c r="M5191">
        <v>4</v>
      </c>
      <c r="N5191" t="s">
        <v>26</v>
      </c>
      <c r="O5191" t="s">
        <v>27</v>
      </c>
      <c r="P5191">
        <v>11.4141969652888</v>
      </c>
      <c r="Q5191">
        <v>2.2852622215162102</v>
      </c>
      <c r="R5191">
        <v>4.8514078177011104</v>
      </c>
      <c r="S5191">
        <v>134</v>
      </c>
      <c r="T5191">
        <v>46</v>
      </c>
      <c r="U5191">
        <v>559.45666964867496</v>
      </c>
      <c r="V5191">
        <v>2.78940027894002E-3</v>
      </c>
      <c r="W5191">
        <v>1040571.4707491701</v>
      </c>
      <c r="X5191" t="s">
        <v>38</v>
      </c>
      <c r="Y5191">
        <f>1-970-820-9646</f>
        <v>-11435</v>
      </c>
    </row>
    <row r="5192" spans="1:25" x14ac:dyDescent="0.35">
      <c r="A5192">
        <v>35.221089454107997</v>
      </c>
      <c r="B5192">
        <v>-116.15448587613599</v>
      </c>
      <c r="C5192" t="s">
        <v>29</v>
      </c>
      <c r="D5192">
        <v>38.836318000415901</v>
      </c>
      <c r="E5192">
        <v>2</v>
      </c>
      <c r="F5192">
        <v>3628</v>
      </c>
      <c r="G5192">
        <v>3</v>
      </c>
      <c r="H5192">
        <v>2</v>
      </c>
      <c r="I5192">
        <v>1968</v>
      </c>
      <c r="J5192">
        <v>0</v>
      </c>
      <c r="K5192">
        <v>0</v>
      </c>
      <c r="L5192">
        <v>0</v>
      </c>
      <c r="M5192">
        <v>8</v>
      </c>
      <c r="N5192" t="s">
        <v>41</v>
      </c>
      <c r="O5192" t="s">
        <v>30</v>
      </c>
      <c r="P5192">
        <v>4.1835391573373499</v>
      </c>
      <c r="Q5192">
        <v>1.6838375545417601</v>
      </c>
      <c r="R5192">
        <v>9.0281062040119906</v>
      </c>
      <c r="S5192">
        <v>115</v>
      </c>
      <c r="T5192">
        <v>53</v>
      </c>
      <c r="U5192">
        <v>546.89385038774003</v>
      </c>
      <c r="V5192">
        <v>2.2050716648291E-3</v>
      </c>
      <c r="W5192">
        <v>2059282.35729556</v>
      </c>
      <c r="X5192" t="s">
        <v>38</v>
      </c>
      <c r="Y5192">
        <f>1-549-300-6851</f>
        <v>-7699</v>
      </c>
    </row>
    <row r="5193" spans="1:25" x14ac:dyDescent="0.35">
      <c r="A5193">
        <v>33.3566562848846</v>
      </c>
      <c r="B5193">
        <v>-123.85511005444199</v>
      </c>
      <c r="C5193" t="s">
        <v>29</v>
      </c>
      <c r="D5193">
        <v>4.4580950408545403</v>
      </c>
      <c r="E5193">
        <v>7</v>
      </c>
      <c r="F5193">
        <v>2841</v>
      </c>
      <c r="G5193">
        <v>3</v>
      </c>
      <c r="H5193">
        <v>1</v>
      </c>
      <c r="I5193">
        <v>1978</v>
      </c>
      <c r="J5193">
        <v>1</v>
      </c>
      <c r="K5193">
        <v>0</v>
      </c>
      <c r="L5193">
        <v>0</v>
      </c>
      <c r="M5193">
        <v>8</v>
      </c>
      <c r="N5193" t="s">
        <v>37</v>
      </c>
      <c r="O5193" t="s">
        <v>30</v>
      </c>
      <c r="P5193">
        <v>7.5208048286485703</v>
      </c>
      <c r="Q5193">
        <v>1.2391859996230901</v>
      </c>
      <c r="R5193">
        <v>6.3232922887660097</v>
      </c>
      <c r="S5193">
        <v>49</v>
      </c>
      <c r="T5193">
        <v>49</v>
      </c>
      <c r="U5193">
        <v>804.75754536968896</v>
      </c>
      <c r="V5193">
        <v>2.8159098908834899E-3</v>
      </c>
      <c r="W5193">
        <v>2497576.3765094201</v>
      </c>
      <c r="X5193" t="s">
        <v>44</v>
      </c>
      <c r="Y5193">
        <f>1-536-598-5340</f>
        <v>-6473</v>
      </c>
    </row>
    <row r="5194" spans="1:25" x14ac:dyDescent="0.35">
      <c r="A5194">
        <v>35.843863132559903</v>
      </c>
      <c r="B5194">
        <v>-121.09638881771301</v>
      </c>
      <c r="C5194" t="s">
        <v>34</v>
      </c>
      <c r="D5194">
        <v>47.125183008100997</v>
      </c>
      <c r="E5194">
        <v>6</v>
      </c>
      <c r="F5194">
        <v>3005</v>
      </c>
      <c r="G5194">
        <v>1</v>
      </c>
      <c r="H5194">
        <v>1</v>
      </c>
      <c r="I5194">
        <v>2012</v>
      </c>
      <c r="J5194">
        <v>1</v>
      </c>
      <c r="K5194">
        <v>0</v>
      </c>
      <c r="L5194">
        <v>1</v>
      </c>
      <c r="M5194">
        <v>3</v>
      </c>
      <c r="N5194" t="s">
        <v>35</v>
      </c>
      <c r="O5194" t="s">
        <v>27</v>
      </c>
      <c r="P5194">
        <v>12.9554379035807</v>
      </c>
      <c r="Q5194">
        <v>1.7627752787937701</v>
      </c>
      <c r="R5194">
        <v>0.66663525365543697</v>
      </c>
      <c r="S5194">
        <v>151</v>
      </c>
      <c r="T5194">
        <v>49</v>
      </c>
      <c r="U5194">
        <v>894.90256968806295</v>
      </c>
      <c r="V5194">
        <v>9.9833610648918407E-4</v>
      </c>
      <c r="W5194">
        <v>2958004.2652815799</v>
      </c>
      <c r="X5194" t="s">
        <v>39</v>
      </c>
      <c r="Y5194">
        <f>1-353-548-3363</f>
        <v>-4263</v>
      </c>
    </row>
    <row r="5195" spans="1:25" x14ac:dyDescent="0.35">
      <c r="A5195">
        <v>37.236249505001403</v>
      </c>
      <c r="B5195">
        <v>-116.40422854121501</v>
      </c>
      <c r="C5195" t="s">
        <v>34</v>
      </c>
      <c r="D5195">
        <v>35.585486454489001</v>
      </c>
      <c r="E5195">
        <v>1</v>
      </c>
      <c r="F5195">
        <v>2564</v>
      </c>
      <c r="G5195">
        <v>2</v>
      </c>
      <c r="H5195">
        <v>3</v>
      </c>
      <c r="I5195">
        <v>1986</v>
      </c>
      <c r="J5195">
        <v>0</v>
      </c>
      <c r="K5195">
        <v>1</v>
      </c>
      <c r="L5195">
        <v>1</v>
      </c>
      <c r="M5195">
        <v>4</v>
      </c>
      <c r="N5195" t="s">
        <v>26</v>
      </c>
      <c r="O5195" t="s">
        <v>32</v>
      </c>
      <c r="P5195">
        <v>14.864544558104299</v>
      </c>
      <c r="Q5195">
        <v>0.72644748759884803</v>
      </c>
      <c r="R5195">
        <v>6.41529819237872</v>
      </c>
      <c r="S5195">
        <v>79</v>
      </c>
      <c r="T5195">
        <v>62</v>
      </c>
      <c r="U5195">
        <v>527.56353260122705</v>
      </c>
      <c r="V5195">
        <v>1.5600624024960999E-3</v>
      </c>
      <c r="W5195">
        <v>1673364.45562621</v>
      </c>
      <c r="X5195" t="s">
        <v>42</v>
      </c>
      <c r="Y5195">
        <f>1-334-666-9120</f>
        <v>-10119</v>
      </c>
    </row>
    <row r="5196" spans="1:25" x14ac:dyDescent="0.35">
      <c r="A5196">
        <v>35.660407939419898</v>
      </c>
      <c r="B5196">
        <v>-117.240742833262</v>
      </c>
      <c r="C5196" t="s">
        <v>25</v>
      </c>
      <c r="D5196">
        <v>43.770394841070399</v>
      </c>
      <c r="E5196">
        <v>3</v>
      </c>
      <c r="F5196">
        <v>2370</v>
      </c>
      <c r="G5196">
        <v>4</v>
      </c>
      <c r="H5196">
        <v>2</v>
      </c>
      <c r="I5196">
        <v>1976</v>
      </c>
      <c r="J5196">
        <v>1</v>
      </c>
      <c r="K5196">
        <v>1</v>
      </c>
      <c r="L5196">
        <v>1</v>
      </c>
      <c r="M5196">
        <v>13</v>
      </c>
      <c r="N5196" t="s">
        <v>37</v>
      </c>
      <c r="O5196" t="s">
        <v>27</v>
      </c>
      <c r="P5196">
        <v>2.4176196586808598</v>
      </c>
      <c r="Q5196">
        <v>2.37640808471222</v>
      </c>
      <c r="R5196">
        <v>1.24721574560243</v>
      </c>
      <c r="S5196">
        <v>97</v>
      </c>
      <c r="T5196">
        <v>43</v>
      </c>
      <c r="U5196">
        <v>386.29162290180801</v>
      </c>
      <c r="V5196">
        <v>5.4852320675105402E-3</v>
      </c>
      <c r="W5196">
        <v>1279498.6175907</v>
      </c>
      <c r="X5196" t="s">
        <v>43</v>
      </c>
      <c r="Y5196">
        <f>1-619-922-6521</f>
        <v>-8061</v>
      </c>
    </row>
    <row r="5197" spans="1:25" x14ac:dyDescent="0.35">
      <c r="A5197">
        <v>37.754385795474199</v>
      </c>
      <c r="B5197">
        <v>-123.891000883071</v>
      </c>
      <c r="C5197" t="s">
        <v>25</v>
      </c>
      <c r="D5197">
        <v>20.989855803620198</v>
      </c>
      <c r="E5197">
        <v>9</v>
      </c>
      <c r="F5197">
        <v>2238</v>
      </c>
      <c r="G5197">
        <v>3</v>
      </c>
      <c r="H5197">
        <v>1</v>
      </c>
      <c r="I5197">
        <v>2006</v>
      </c>
      <c r="J5197">
        <v>1</v>
      </c>
      <c r="K5197">
        <v>0</v>
      </c>
      <c r="L5197">
        <v>0</v>
      </c>
      <c r="M5197">
        <v>2</v>
      </c>
      <c r="N5197" t="s">
        <v>35</v>
      </c>
      <c r="O5197" t="s">
        <v>32</v>
      </c>
      <c r="P5197">
        <v>14.5717008358375</v>
      </c>
      <c r="Q5197">
        <v>1.8884853452380399</v>
      </c>
      <c r="R5197">
        <v>7.7383347455128799</v>
      </c>
      <c r="S5197">
        <v>81</v>
      </c>
      <c r="T5197">
        <v>44</v>
      </c>
      <c r="U5197">
        <v>628.93289553544696</v>
      </c>
      <c r="V5197">
        <v>8.9365504915102703E-4</v>
      </c>
      <c r="W5197">
        <v>1756653.89306583</v>
      </c>
      <c r="X5197" t="s">
        <v>43</v>
      </c>
      <c r="Y5197">
        <f>1-600-481-6364</f>
        <v>-7444</v>
      </c>
    </row>
    <row r="5198" spans="1:25" x14ac:dyDescent="0.35">
      <c r="A5198">
        <v>38.987968758476498</v>
      </c>
      <c r="B5198">
        <v>-123.598410755138</v>
      </c>
      <c r="C5198" t="s">
        <v>34</v>
      </c>
      <c r="D5198">
        <v>15.7601225079479</v>
      </c>
      <c r="E5198">
        <v>6</v>
      </c>
      <c r="F5198">
        <v>1396</v>
      </c>
      <c r="G5198">
        <v>3</v>
      </c>
      <c r="H5198">
        <v>1</v>
      </c>
      <c r="I5198">
        <v>2009</v>
      </c>
      <c r="J5198">
        <v>1</v>
      </c>
      <c r="K5198">
        <v>0</v>
      </c>
      <c r="L5198">
        <v>0</v>
      </c>
      <c r="M5198">
        <v>11</v>
      </c>
      <c r="N5198" t="s">
        <v>37</v>
      </c>
      <c r="O5198" t="s">
        <v>30</v>
      </c>
      <c r="P5198">
        <v>6.5572262270671597</v>
      </c>
      <c r="Q5198">
        <v>0.59598475090944403</v>
      </c>
      <c r="R5198">
        <v>8.7593179951772093</v>
      </c>
      <c r="S5198">
        <v>126</v>
      </c>
      <c r="T5198">
        <v>31</v>
      </c>
      <c r="U5198">
        <v>923.36774272779701</v>
      </c>
      <c r="V5198">
        <v>7.8796561604584509E-3</v>
      </c>
      <c r="W5198">
        <v>1491174.7300362301</v>
      </c>
      <c r="X5198" t="s">
        <v>28</v>
      </c>
      <c r="Y5198">
        <f>1-659-402-9377</f>
        <v>-10437</v>
      </c>
    </row>
    <row r="5199" spans="1:25" x14ac:dyDescent="0.35">
      <c r="A5199">
        <v>39.525697690548597</v>
      </c>
      <c r="B5199">
        <v>-119.86169698003999</v>
      </c>
      <c r="C5199" t="s">
        <v>29</v>
      </c>
      <c r="D5199">
        <v>34.449845633235803</v>
      </c>
      <c r="E5199">
        <v>5</v>
      </c>
      <c r="F5199">
        <v>3200</v>
      </c>
      <c r="G5199">
        <v>3</v>
      </c>
      <c r="H5199">
        <v>2</v>
      </c>
      <c r="I5199">
        <v>1965</v>
      </c>
      <c r="J5199">
        <v>0</v>
      </c>
      <c r="K5199">
        <v>0</v>
      </c>
      <c r="L5199">
        <v>1</v>
      </c>
      <c r="M5199">
        <v>2</v>
      </c>
      <c r="N5199" t="s">
        <v>26</v>
      </c>
      <c r="O5199" t="s">
        <v>30</v>
      </c>
      <c r="P5199">
        <v>9.2429599535147506</v>
      </c>
      <c r="Q5199">
        <v>0.957911785007315</v>
      </c>
      <c r="R5199">
        <v>0.64341676888118504</v>
      </c>
      <c r="S5199">
        <v>159</v>
      </c>
      <c r="T5199">
        <v>29</v>
      </c>
      <c r="U5199">
        <v>320.09181425466801</v>
      </c>
      <c r="V5199">
        <v>6.2500000000000001E-4</v>
      </c>
      <c r="W5199">
        <v>1282406.5807264899</v>
      </c>
      <c r="X5199" t="s">
        <v>42</v>
      </c>
      <c r="Y5199">
        <f>1-949-818-2202</f>
        <v>-3968</v>
      </c>
    </row>
    <row r="5200" spans="1:25" x14ac:dyDescent="0.35">
      <c r="A5200">
        <v>35.897684610974501</v>
      </c>
      <c r="B5200">
        <v>-117.96317548169201</v>
      </c>
      <c r="C5200" t="s">
        <v>29</v>
      </c>
      <c r="D5200">
        <v>8.2832397298386304</v>
      </c>
      <c r="E5200">
        <v>5</v>
      </c>
      <c r="F5200">
        <v>3083</v>
      </c>
      <c r="G5200">
        <v>2</v>
      </c>
      <c r="H5200">
        <v>2</v>
      </c>
      <c r="I5200">
        <v>1954</v>
      </c>
      <c r="J5200">
        <v>0</v>
      </c>
      <c r="K5200">
        <v>1</v>
      </c>
      <c r="L5200">
        <v>0</v>
      </c>
      <c r="M5200">
        <v>3</v>
      </c>
      <c r="N5200" t="s">
        <v>35</v>
      </c>
      <c r="O5200" t="s">
        <v>30</v>
      </c>
      <c r="P5200">
        <v>10.5873225365346</v>
      </c>
      <c r="Q5200">
        <v>0.80469581815183799</v>
      </c>
      <c r="R5200">
        <v>9.2862358866399592</v>
      </c>
      <c r="S5200">
        <v>35</v>
      </c>
      <c r="T5200">
        <v>75</v>
      </c>
      <c r="U5200">
        <v>748.12416392767</v>
      </c>
      <c r="V5200">
        <v>9.7307817061303905E-4</v>
      </c>
      <c r="W5200">
        <v>2484009.3639268298</v>
      </c>
      <c r="X5200" t="s">
        <v>39</v>
      </c>
      <c r="Y5200">
        <f>1-984-414-9908</f>
        <v>-11305</v>
      </c>
    </row>
    <row r="5201" spans="1:25" x14ac:dyDescent="0.35">
      <c r="A5201">
        <v>33.264339332340199</v>
      </c>
      <c r="B5201">
        <v>-117.913850914451</v>
      </c>
      <c r="C5201" t="s">
        <v>25</v>
      </c>
      <c r="D5201">
        <v>6.5821525532434304</v>
      </c>
      <c r="E5201">
        <v>2</v>
      </c>
      <c r="F5201">
        <v>3961</v>
      </c>
      <c r="G5201">
        <v>3</v>
      </c>
      <c r="H5201">
        <v>1</v>
      </c>
      <c r="I5201">
        <v>1967</v>
      </c>
      <c r="J5201">
        <v>1</v>
      </c>
      <c r="K5201">
        <v>0</v>
      </c>
      <c r="L5201">
        <v>1</v>
      </c>
      <c r="M5201">
        <v>10</v>
      </c>
      <c r="N5201" t="s">
        <v>35</v>
      </c>
      <c r="O5201" t="s">
        <v>27</v>
      </c>
      <c r="P5201">
        <v>14.057717579728999</v>
      </c>
      <c r="Q5201">
        <v>2.11231410189618</v>
      </c>
      <c r="R5201">
        <v>7.3109803556178798</v>
      </c>
      <c r="S5201">
        <v>160</v>
      </c>
      <c r="T5201">
        <v>55</v>
      </c>
      <c r="U5201">
        <v>848.49186914511995</v>
      </c>
      <c r="V5201">
        <v>2.52461499621307E-3</v>
      </c>
      <c r="W5201">
        <v>3571887.2527279798</v>
      </c>
      <c r="X5201" t="s">
        <v>40</v>
      </c>
      <c r="Y5201">
        <f>1-779-123-3514</f>
        <v>-4415</v>
      </c>
    </row>
    <row r="5202" spans="1:25" x14ac:dyDescent="0.35">
      <c r="A5202">
        <v>40.546474806209197</v>
      </c>
      <c r="B5202">
        <v>-119.99433495619201</v>
      </c>
      <c r="C5202" t="s">
        <v>25</v>
      </c>
      <c r="D5202">
        <v>45.450794982374703</v>
      </c>
      <c r="E5202">
        <v>1</v>
      </c>
      <c r="F5202">
        <v>514</v>
      </c>
      <c r="G5202">
        <v>3</v>
      </c>
      <c r="H5202">
        <v>2</v>
      </c>
      <c r="I5202">
        <v>2014</v>
      </c>
      <c r="J5202">
        <v>1</v>
      </c>
      <c r="K5202">
        <v>0</v>
      </c>
      <c r="L5202">
        <v>1</v>
      </c>
      <c r="M5202">
        <v>10</v>
      </c>
      <c r="N5202" t="s">
        <v>37</v>
      </c>
      <c r="O5202" t="s">
        <v>27</v>
      </c>
      <c r="P5202">
        <v>12.8634191741791</v>
      </c>
      <c r="Q5202">
        <v>0.93996522317058495</v>
      </c>
      <c r="R5202">
        <v>8.57764289838655</v>
      </c>
      <c r="S5202">
        <v>65</v>
      </c>
      <c r="T5202">
        <v>20</v>
      </c>
      <c r="U5202">
        <v>868.40171953282697</v>
      </c>
      <c r="V5202">
        <v>1.94552529182879E-2</v>
      </c>
      <c r="W5202">
        <v>698478.55720075103</v>
      </c>
      <c r="X5202" t="s">
        <v>42</v>
      </c>
      <c r="Y5202">
        <f>1-215-203-6765</f>
        <v>-7182</v>
      </c>
    </row>
    <row r="5203" spans="1:25" x14ac:dyDescent="0.35">
      <c r="A5203">
        <v>39.508843996976502</v>
      </c>
      <c r="B5203">
        <v>-114.078595469904</v>
      </c>
      <c r="C5203" t="s">
        <v>29</v>
      </c>
      <c r="D5203">
        <v>7.3151364675163197</v>
      </c>
      <c r="E5203">
        <v>7</v>
      </c>
      <c r="F5203">
        <v>3771</v>
      </c>
      <c r="G5203">
        <v>2</v>
      </c>
      <c r="H5203">
        <v>3</v>
      </c>
      <c r="I5203">
        <v>2016</v>
      </c>
      <c r="J5203">
        <v>0</v>
      </c>
      <c r="K5203">
        <v>1</v>
      </c>
      <c r="L5203">
        <v>1</v>
      </c>
      <c r="M5203">
        <v>13</v>
      </c>
      <c r="N5203" t="s">
        <v>26</v>
      </c>
      <c r="O5203" t="s">
        <v>30</v>
      </c>
      <c r="P5203">
        <v>12.7144125482244</v>
      </c>
      <c r="Q5203">
        <v>2.00922842707759</v>
      </c>
      <c r="R5203">
        <v>4.4487470058943099</v>
      </c>
      <c r="S5203">
        <v>94</v>
      </c>
      <c r="T5203">
        <v>40</v>
      </c>
      <c r="U5203">
        <v>281.050730682302</v>
      </c>
      <c r="V5203">
        <v>3.44736144258817E-3</v>
      </c>
      <c r="W5203">
        <v>1495418.04054282</v>
      </c>
      <c r="X5203" t="s">
        <v>38</v>
      </c>
      <c r="Y5203">
        <f>1-642-175-6356</f>
        <v>-7172</v>
      </c>
    </row>
    <row r="5204" spans="1:25" x14ac:dyDescent="0.35">
      <c r="A5204">
        <v>41.770181296371099</v>
      </c>
      <c r="B5204">
        <v>-119.831486967635</v>
      </c>
      <c r="C5204" t="s">
        <v>29</v>
      </c>
      <c r="D5204">
        <v>36.815384182069401</v>
      </c>
      <c r="E5204">
        <v>3</v>
      </c>
      <c r="F5204">
        <v>4115</v>
      </c>
      <c r="G5204">
        <v>1</v>
      </c>
      <c r="H5204">
        <v>2</v>
      </c>
      <c r="I5204">
        <v>1962</v>
      </c>
      <c r="J5204">
        <v>0</v>
      </c>
      <c r="K5204">
        <v>0</v>
      </c>
      <c r="L5204">
        <v>1</v>
      </c>
      <c r="M5204">
        <v>14</v>
      </c>
      <c r="N5204" t="s">
        <v>35</v>
      </c>
      <c r="O5204" t="s">
        <v>27</v>
      </c>
      <c r="P5204">
        <v>13.7820511761115</v>
      </c>
      <c r="Q5204">
        <v>1.07745819217136</v>
      </c>
      <c r="R5204">
        <v>5.4837360803566204</v>
      </c>
      <c r="S5204">
        <v>124</v>
      </c>
      <c r="T5204">
        <v>52</v>
      </c>
      <c r="U5204">
        <v>736.50003083599699</v>
      </c>
      <c r="V5204">
        <v>3.4021871202916101E-3</v>
      </c>
      <c r="W5204">
        <v>3178957.4058092502</v>
      </c>
      <c r="X5204" t="s">
        <v>40</v>
      </c>
      <c r="Y5204">
        <f>1-518-613-4374</f>
        <v>-5504</v>
      </c>
    </row>
    <row r="5205" spans="1:25" x14ac:dyDescent="0.35">
      <c r="A5205">
        <v>40.125246191308598</v>
      </c>
      <c r="B5205">
        <v>-117.768444365261</v>
      </c>
      <c r="C5205" t="s">
        <v>25</v>
      </c>
      <c r="D5205">
        <v>39.1558159691509</v>
      </c>
      <c r="E5205">
        <v>5</v>
      </c>
      <c r="F5205">
        <v>2499</v>
      </c>
      <c r="G5205">
        <v>4</v>
      </c>
      <c r="H5205">
        <v>3</v>
      </c>
      <c r="I5205">
        <v>1995</v>
      </c>
      <c r="J5205">
        <v>1</v>
      </c>
      <c r="K5205">
        <v>1</v>
      </c>
      <c r="L5205">
        <v>1</v>
      </c>
      <c r="M5205">
        <v>9</v>
      </c>
      <c r="N5205" t="s">
        <v>35</v>
      </c>
      <c r="O5205" t="s">
        <v>27</v>
      </c>
      <c r="P5205">
        <v>5.6897307326073898</v>
      </c>
      <c r="Q5205">
        <v>1.9176769001469001</v>
      </c>
      <c r="R5205">
        <v>8.6964362041201007</v>
      </c>
      <c r="S5205">
        <v>24</v>
      </c>
      <c r="T5205">
        <v>43</v>
      </c>
      <c r="U5205">
        <v>559.966162107385</v>
      </c>
      <c r="V5205">
        <v>3.60144057623049E-3</v>
      </c>
      <c r="W5205">
        <v>1852205.9193772899</v>
      </c>
      <c r="X5205" t="s">
        <v>33</v>
      </c>
      <c r="Y5205">
        <f>1-635-642-2206</f>
        <v>-3482</v>
      </c>
    </row>
    <row r="5206" spans="1:25" x14ac:dyDescent="0.35">
      <c r="A5206">
        <v>41.757235785216501</v>
      </c>
      <c r="B5206">
        <v>-120.429555260174</v>
      </c>
      <c r="C5206" t="s">
        <v>29</v>
      </c>
      <c r="D5206">
        <v>29.8958027121888</v>
      </c>
      <c r="E5206">
        <v>8</v>
      </c>
      <c r="F5206">
        <v>1557</v>
      </c>
      <c r="G5206">
        <v>1</v>
      </c>
      <c r="H5206">
        <v>2</v>
      </c>
      <c r="I5206">
        <v>2019</v>
      </c>
      <c r="J5206">
        <v>0</v>
      </c>
      <c r="K5206">
        <v>1</v>
      </c>
      <c r="L5206">
        <v>0</v>
      </c>
      <c r="M5206">
        <v>12</v>
      </c>
      <c r="N5206" t="s">
        <v>26</v>
      </c>
      <c r="O5206" t="s">
        <v>30</v>
      </c>
      <c r="P5206">
        <v>12.908271154707201</v>
      </c>
      <c r="Q5206">
        <v>2.2301701195078598</v>
      </c>
      <c r="R5206">
        <v>6.0448510851307802</v>
      </c>
      <c r="S5206">
        <v>37</v>
      </c>
      <c r="T5206">
        <v>21</v>
      </c>
      <c r="U5206">
        <v>824.68381575364504</v>
      </c>
      <c r="V5206">
        <v>7.7071290944123296E-3</v>
      </c>
      <c r="W5206">
        <v>1649082.4619168399</v>
      </c>
      <c r="X5206" t="s">
        <v>31</v>
      </c>
      <c r="Y5206">
        <f>1-707-379-5053</f>
        <v>-6138</v>
      </c>
    </row>
    <row r="5207" spans="1:25" x14ac:dyDescent="0.35">
      <c r="A5207">
        <v>35.389835922337099</v>
      </c>
      <c r="B5207">
        <v>-122.317407529173</v>
      </c>
      <c r="C5207" t="s">
        <v>25</v>
      </c>
      <c r="D5207">
        <v>19.4898885958679</v>
      </c>
      <c r="E5207">
        <v>7</v>
      </c>
      <c r="F5207">
        <v>4244</v>
      </c>
      <c r="G5207">
        <v>1</v>
      </c>
      <c r="H5207">
        <v>3</v>
      </c>
      <c r="I5207">
        <v>2001</v>
      </c>
      <c r="J5207">
        <v>0</v>
      </c>
      <c r="K5207">
        <v>1</v>
      </c>
      <c r="L5207">
        <v>0</v>
      </c>
      <c r="M5207">
        <v>8</v>
      </c>
      <c r="N5207" t="s">
        <v>35</v>
      </c>
      <c r="O5207" t="s">
        <v>27</v>
      </c>
      <c r="P5207">
        <v>3.0077923838488498</v>
      </c>
      <c r="Q5207">
        <v>0.99594834783533104</v>
      </c>
      <c r="R5207">
        <v>4.4798166452474799</v>
      </c>
      <c r="S5207">
        <v>17</v>
      </c>
      <c r="T5207">
        <v>51</v>
      </c>
      <c r="U5207">
        <v>645.23557019421503</v>
      </c>
      <c r="V5207">
        <v>1.88501413760603E-3</v>
      </c>
      <c r="W5207">
        <v>2958682.4058964099</v>
      </c>
      <c r="X5207" t="s">
        <v>42</v>
      </c>
      <c r="Y5207">
        <f>1-374-697-1542</f>
        <v>-2612</v>
      </c>
    </row>
    <row r="5208" spans="1:25" x14ac:dyDescent="0.35">
      <c r="A5208">
        <v>40.684648572111598</v>
      </c>
      <c r="B5208">
        <v>-114.93318240805201</v>
      </c>
      <c r="C5208" t="s">
        <v>25</v>
      </c>
      <c r="D5208">
        <v>11.6072833476093</v>
      </c>
      <c r="E5208">
        <v>5</v>
      </c>
      <c r="F5208">
        <v>2807</v>
      </c>
      <c r="G5208">
        <v>1</v>
      </c>
      <c r="H5208">
        <v>2</v>
      </c>
      <c r="I5208">
        <v>2007</v>
      </c>
      <c r="J5208">
        <v>0</v>
      </c>
      <c r="K5208">
        <v>1</v>
      </c>
      <c r="L5208">
        <v>1</v>
      </c>
      <c r="M5208">
        <v>11</v>
      </c>
      <c r="N5208" t="s">
        <v>26</v>
      </c>
      <c r="O5208" t="s">
        <v>30</v>
      </c>
      <c r="P5208">
        <v>11.7250193435633</v>
      </c>
      <c r="Q5208">
        <v>0.70118928722982798</v>
      </c>
      <c r="R5208">
        <v>1.7768328415278101</v>
      </c>
      <c r="S5208">
        <v>6</v>
      </c>
      <c r="T5208">
        <v>20</v>
      </c>
      <c r="U5208">
        <v>602.79910005347097</v>
      </c>
      <c r="V5208">
        <v>3.9187744923405701E-3</v>
      </c>
      <c r="W5208">
        <v>1984059.54684403</v>
      </c>
      <c r="X5208" t="s">
        <v>38</v>
      </c>
      <c r="Y5208">
        <f>1-892-974-4189</f>
        <v>-6054</v>
      </c>
    </row>
    <row r="5209" spans="1:25" x14ac:dyDescent="0.35">
      <c r="A5209">
        <v>39.393247062935899</v>
      </c>
      <c r="B5209">
        <v>-121.106054882658</v>
      </c>
      <c r="C5209" t="s">
        <v>29</v>
      </c>
      <c r="D5209">
        <v>39.266266140477597</v>
      </c>
      <c r="E5209">
        <v>9</v>
      </c>
      <c r="F5209">
        <v>1184</v>
      </c>
      <c r="G5209">
        <v>5</v>
      </c>
      <c r="H5209">
        <v>1</v>
      </c>
      <c r="I5209">
        <v>2000</v>
      </c>
      <c r="J5209">
        <v>1</v>
      </c>
      <c r="K5209">
        <v>0</v>
      </c>
      <c r="L5209">
        <v>1</v>
      </c>
      <c r="M5209">
        <v>13</v>
      </c>
      <c r="N5209" t="s">
        <v>41</v>
      </c>
      <c r="O5209" t="s">
        <v>32</v>
      </c>
      <c r="P5209">
        <v>11.5725924392355</v>
      </c>
      <c r="Q5209">
        <v>1.56963613615719</v>
      </c>
      <c r="R5209">
        <v>3.0757393597180198</v>
      </c>
      <c r="S5209">
        <v>66</v>
      </c>
      <c r="T5209">
        <v>39</v>
      </c>
      <c r="U5209">
        <v>999.78596084026299</v>
      </c>
      <c r="V5209">
        <v>1.0979729729729701E-2</v>
      </c>
      <c r="W5209">
        <v>1557540.7604108499</v>
      </c>
      <c r="X5209" t="s">
        <v>39</v>
      </c>
      <c r="Y5209">
        <f>1-889-951-4635</f>
        <v>-6474</v>
      </c>
    </row>
    <row r="5210" spans="1:25" x14ac:dyDescent="0.35">
      <c r="A5210">
        <v>34.698345137137601</v>
      </c>
      <c r="B5210">
        <v>-117.06456609720701</v>
      </c>
      <c r="C5210" t="s">
        <v>29</v>
      </c>
      <c r="D5210">
        <v>17.181134079855799</v>
      </c>
      <c r="E5210">
        <v>7</v>
      </c>
      <c r="F5210">
        <v>614</v>
      </c>
      <c r="G5210">
        <v>2</v>
      </c>
      <c r="H5210">
        <v>2</v>
      </c>
      <c r="I5210">
        <v>1998</v>
      </c>
      <c r="J5210">
        <v>0</v>
      </c>
      <c r="K5210">
        <v>1</v>
      </c>
      <c r="L5210">
        <v>0</v>
      </c>
      <c r="M5210">
        <v>10</v>
      </c>
      <c r="N5210" t="s">
        <v>41</v>
      </c>
      <c r="O5210" t="s">
        <v>27</v>
      </c>
      <c r="P5210">
        <v>11.187999518702</v>
      </c>
      <c r="Q5210">
        <v>1.22531722016003</v>
      </c>
      <c r="R5210">
        <v>3.9382987285422502</v>
      </c>
      <c r="S5210">
        <v>138</v>
      </c>
      <c r="T5210">
        <v>57</v>
      </c>
      <c r="U5210">
        <v>470.155980704858</v>
      </c>
      <c r="V5210">
        <v>1.628664495114E-2</v>
      </c>
      <c r="W5210">
        <v>592059.27558834699</v>
      </c>
      <c r="X5210" t="s">
        <v>40</v>
      </c>
      <c r="Y5210">
        <f>1-926-859-9727</f>
        <v>-11511</v>
      </c>
    </row>
    <row r="5211" spans="1:25" x14ac:dyDescent="0.35">
      <c r="A5211">
        <v>40.578054406223401</v>
      </c>
      <c r="B5211">
        <v>-117.329483446674</v>
      </c>
      <c r="C5211" t="s">
        <v>25</v>
      </c>
      <c r="D5211">
        <v>10.454735263680799</v>
      </c>
      <c r="E5211">
        <v>6</v>
      </c>
      <c r="F5211">
        <v>4398</v>
      </c>
      <c r="G5211">
        <v>1</v>
      </c>
      <c r="H5211">
        <v>3</v>
      </c>
      <c r="I5211">
        <v>2015</v>
      </c>
      <c r="J5211">
        <v>1</v>
      </c>
      <c r="K5211">
        <v>1</v>
      </c>
      <c r="L5211">
        <v>1</v>
      </c>
      <c r="M5211">
        <v>14</v>
      </c>
      <c r="N5211" t="s">
        <v>37</v>
      </c>
      <c r="O5211" t="s">
        <v>32</v>
      </c>
      <c r="P5211">
        <v>8.59941049735259</v>
      </c>
      <c r="Q5211">
        <v>2.2837955381743198</v>
      </c>
      <c r="R5211">
        <v>8.9139766343526698</v>
      </c>
      <c r="S5211">
        <v>161</v>
      </c>
      <c r="T5211">
        <v>74</v>
      </c>
      <c r="U5211">
        <v>306.33225721122</v>
      </c>
      <c r="V5211">
        <v>3.1832651205093202E-3</v>
      </c>
      <c r="W5211">
        <v>1668906.12250535</v>
      </c>
      <c r="X5211" t="s">
        <v>28</v>
      </c>
      <c r="Y5211">
        <f>1-313-548-9459</f>
        <v>-10319</v>
      </c>
    </row>
    <row r="5212" spans="1:25" x14ac:dyDescent="0.35">
      <c r="A5212">
        <v>38.927726791619797</v>
      </c>
      <c r="B5212">
        <v>-118.15608163903499</v>
      </c>
      <c r="C5212" t="s">
        <v>34</v>
      </c>
      <c r="D5212">
        <v>18.803581319900101</v>
      </c>
      <c r="E5212">
        <v>0</v>
      </c>
      <c r="F5212">
        <v>3155</v>
      </c>
      <c r="G5212">
        <v>1</v>
      </c>
      <c r="H5212">
        <v>3</v>
      </c>
      <c r="I5212">
        <v>1964</v>
      </c>
      <c r="J5212">
        <v>0</v>
      </c>
      <c r="K5212">
        <v>0</v>
      </c>
      <c r="L5212">
        <v>0</v>
      </c>
      <c r="M5212">
        <v>11</v>
      </c>
      <c r="N5212" t="s">
        <v>41</v>
      </c>
      <c r="O5212" t="s">
        <v>27</v>
      </c>
      <c r="P5212">
        <v>5.0530152806117599</v>
      </c>
      <c r="Q5212">
        <v>2.1114421417246199</v>
      </c>
      <c r="R5212">
        <v>6.4988072178952097</v>
      </c>
      <c r="S5212">
        <v>162</v>
      </c>
      <c r="T5212">
        <v>58</v>
      </c>
      <c r="U5212">
        <v>867.87316962914497</v>
      </c>
      <c r="V5212">
        <v>3.48652931854199E-3</v>
      </c>
      <c r="W5212">
        <v>2779547.4633346498</v>
      </c>
      <c r="X5212" t="s">
        <v>36</v>
      </c>
      <c r="Y5212">
        <f>1-383-203-4590</f>
        <v>-5175</v>
      </c>
    </row>
    <row r="5213" spans="1:25" x14ac:dyDescent="0.35">
      <c r="A5213">
        <v>38.626215110370502</v>
      </c>
      <c r="B5213">
        <v>-123.80751689381</v>
      </c>
      <c r="C5213" t="s">
        <v>34</v>
      </c>
      <c r="D5213">
        <v>44.526659638356598</v>
      </c>
      <c r="E5213">
        <v>1</v>
      </c>
      <c r="F5213">
        <v>2603</v>
      </c>
      <c r="G5213">
        <v>5</v>
      </c>
      <c r="H5213">
        <v>3</v>
      </c>
      <c r="I5213">
        <v>2001</v>
      </c>
      <c r="J5213">
        <v>1</v>
      </c>
      <c r="K5213">
        <v>1</v>
      </c>
      <c r="L5213">
        <v>0</v>
      </c>
      <c r="M5213">
        <v>5</v>
      </c>
      <c r="N5213" t="s">
        <v>41</v>
      </c>
      <c r="O5213" t="s">
        <v>30</v>
      </c>
      <c r="P5213">
        <v>7.4248456400042198</v>
      </c>
      <c r="Q5213">
        <v>0.93837579674090199</v>
      </c>
      <c r="R5213">
        <v>6.2645297385702099</v>
      </c>
      <c r="S5213">
        <v>26</v>
      </c>
      <c r="T5213">
        <v>75</v>
      </c>
      <c r="U5213">
        <v>436.766966806288</v>
      </c>
      <c r="V5213">
        <v>1.9208605455243899E-3</v>
      </c>
      <c r="W5213">
        <v>1722204.4168878701</v>
      </c>
      <c r="X5213" t="s">
        <v>40</v>
      </c>
      <c r="Y5213">
        <f>1-911-246-4557</f>
        <v>-5713</v>
      </c>
    </row>
    <row r="5214" spans="1:25" x14ac:dyDescent="0.35">
      <c r="A5214">
        <v>39.764051888153098</v>
      </c>
      <c r="B5214">
        <v>-120.20172434721199</v>
      </c>
      <c r="C5214" t="s">
        <v>25</v>
      </c>
      <c r="D5214">
        <v>6.53802408572255</v>
      </c>
      <c r="E5214">
        <v>5</v>
      </c>
      <c r="F5214">
        <v>4440</v>
      </c>
      <c r="G5214">
        <v>2</v>
      </c>
      <c r="H5214">
        <v>1</v>
      </c>
      <c r="I5214">
        <v>2002</v>
      </c>
      <c r="J5214">
        <v>0</v>
      </c>
      <c r="K5214">
        <v>1</v>
      </c>
      <c r="L5214">
        <v>0</v>
      </c>
      <c r="M5214">
        <v>13</v>
      </c>
      <c r="N5214" t="s">
        <v>41</v>
      </c>
      <c r="O5214" t="s">
        <v>32</v>
      </c>
      <c r="P5214">
        <v>12.439060061281999</v>
      </c>
      <c r="Q5214">
        <v>1.5077690275825799</v>
      </c>
      <c r="R5214">
        <v>4.7904707457791798</v>
      </c>
      <c r="S5214">
        <v>143</v>
      </c>
      <c r="T5214">
        <v>71</v>
      </c>
      <c r="U5214">
        <v>261.92370660997102</v>
      </c>
      <c r="V5214">
        <v>2.9279279279279201E-3</v>
      </c>
      <c r="W5214">
        <v>1390508.2223917299</v>
      </c>
      <c r="X5214" t="s">
        <v>36</v>
      </c>
      <c r="Y5214">
        <f>1-694-870-7975</f>
        <v>-9538</v>
      </c>
    </row>
    <row r="5215" spans="1:25" x14ac:dyDescent="0.35">
      <c r="A5215">
        <v>38.393387681312298</v>
      </c>
      <c r="B5215">
        <v>-120.014654939567</v>
      </c>
      <c r="C5215" t="s">
        <v>29</v>
      </c>
      <c r="D5215">
        <v>1.7263613043320201</v>
      </c>
      <c r="E5215">
        <v>8</v>
      </c>
      <c r="F5215">
        <v>3872</v>
      </c>
      <c r="G5215">
        <v>5</v>
      </c>
      <c r="H5215">
        <v>3</v>
      </c>
      <c r="I5215">
        <v>2009</v>
      </c>
      <c r="J5215">
        <v>1</v>
      </c>
      <c r="K5215">
        <v>1</v>
      </c>
      <c r="L5215">
        <v>0</v>
      </c>
      <c r="M5215">
        <v>4</v>
      </c>
      <c r="N5215" t="s">
        <v>26</v>
      </c>
      <c r="O5215" t="s">
        <v>30</v>
      </c>
      <c r="P5215">
        <v>5.0733221048992299</v>
      </c>
      <c r="Q5215">
        <v>2.1146086746618402</v>
      </c>
      <c r="R5215">
        <v>9.1424359155844908</v>
      </c>
      <c r="S5215">
        <v>146</v>
      </c>
      <c r="T5215">
        <v>53</v>
      </c>
      <c r="U5215">
        <v>610.69314502023406</v>
      </c>
      <c r="V5215">
        <v>1.0330578512396599E-3</v>
      </c>
      <c r="W5215">
        <v>2742638.9169942201</v>
      </c>
      <c r="X5215" t="s">
        <v>31</v>
      </c>
      <c r="Y5215">
        <f>1-350-616-4059</f>
        <v>-5024</v>
      </c>
    </row>
    <row r="5216" spans="1:25" x14ac:dyDescent="0.35">
      <c r="A5216">
        <v>36.493206984981903</v>
      </c>
      <c r="B5216">
        <v>-117.46864189062801</v>
      </c>
      <c r="C5216" t="s">
        <v>34</v>
      </c>
      <c r="D5216">
        <v>20.557926322986599</v>
      </c>
      <c r="E5216">
        <v>7</v>
      </c>
      <c r="F5216">
        <v>3584</v>
      </c>
      <c r="G5216">
        <v>3</v>
      </c>
      <c r="H5216">
        <v>2</v>
      </c>
      <c r="I5216">
        <v>1998</v>
      </c>
      <c r="J5216">
        <v>0</v>
      </c>
      <c r="K5216">
        <v>1</v>
      </c>
      <c r="L5216">
        <v>0</v>
      </c>
      <c r="M5216">
        <v>14</v>
      </c>
      <c r="N5216" t="s">
        <v>26</v>
      </c>
      <c r="O5216" t="s">
        <v>32</v>
      </c>
      <c r="P5216">
        <v>8.0538336513579694</v>
      </c>
      <c r="Q5216">
        <v>1.5199054856601799</v>
      </c>
      <c r="R5216">
        <v>0.63877853399389395</v>
      </c>
      <c r="S5216">
        <v>8</v>
      </c>
      <c r="T5216">
        <v>61</v>
      </c>
      <c r="U5216">
        <v>926.161015204553</v>
      </c>
      <c r="V5216">
        <v>3.90625E-3</v>
      </c>
      <c r="W5216">
        <v>3653416.8775616302</v>
      </c>
      <c r="X5216" t="s">
        <v>38</v>
      </c>
      <c r="Y5216">
        <f>1-235-124-3224</f>
        <v>-3582</v>
      </c>
    </row>
    <row r="5217" spans="1:25" x14ac:dyDescent="0.35">
      <c r="A5217">
        <v>39.902597781607597</v>
      </c>
      <c r="B5217">
        <v>-115.38131014321699</v>
      </c>
      <c r="C5217" t="s">
        <v>34</v>
      </c>
      <c r="D5217">
        <v>20.292316942224399</v>
      </c>
      <c r="E5217">
        <v>3</v>
      </c>
      <c r="F5217">
        <v>3266</v>
      </c>
      <c r="G5217">
        <v>1</v>
      </c>
      <c r="H5217">
        <v>1</v>
      </c>
      <c r="I5217">
        <v>2016</v>
      </c>
      <c r="J5217">
        <v>1</v>
      </c>
      <c r="K5217">
        <v>1</v>
      </c>
      <c r="L5217">
        <v>0</v>
      </c>
      <c r="M5217">
        <v>3</v>
      </c>
      <c r="N5217" t="s">
        <v>41</v>
      </c>
      <c r="O5217" t="s">
        <v>27</v>
      </c>
      <c r="P5217">
        <v>7.8870553843673097</v>
      </c>
      <c r="Q5217">
        <v>2.2388668789123098</v>
      </c>
      <c r="R5217">
        <v>6.5509157934192297</v>
      </c>
      <c r="S5217">
        <v>99</v>
      </c>
      <c r="T5217">
        <v>61</v>
      </c>
      <c r="U5217">
        <v>214.806847087059</v>
      </c>
      <c r="V5217">
        <v>9.1855480710348997E-4</v>
      </c>
      <c r="W5217">
        <v>1015397.41551762</v>
      </c>
      <c r="X5217" t="s">
        <v>42</v>
      </c>
      <c r="Y5217">
        <f>1-494-400-3264</f>
        <v>-4157</v>
      </c>
    </row>
    <row r="5218" spans="1:25" x14ac:dyDescent="0.35">
      <c r="A5218">
        <v>41.992313887309898</v>
      </c>
      <c r="B5218">
        <v>-123.36242228901401</v>
      </c>
      <c r="C5218" t="s">
        <v>34</v>
      </c>
      <c r="D5218">
        <v>39.296275665852498</v>
      </c>
      <c r="E5218">
        <v>3</v>
      </c>
      <c r="F5218">
        <v>581</v>
      </c>
      <c r="G5218">
        <v>1</v>
      </c>
      <c r="H5218">
        <v>1</v>
      </c>
      <c r="I5218">
        <v>1973</v>
      </c>
      <c r="J5218">
        <v>0</v>
      </c>
      <c r="K5218">
        <v>1</v>
      </c>
      <c r="L5218">
        <v>0</v>
      </c>
      <c r="M5218">
        <v>2</v>
      </c>
      <c r="N5218" t="s">
        <v>41</v>
      </c>
      <c r="O5218" t="s">
        <v>32</v>
      </c>
      <c r="P5218">
        <v>9.0967783925072805</v>
      </c>
      <c r="Q5218">
        <v>1.34104054175198</v>
      </c>
      <c r="R5218">
        <v>9.4342552856509005</v>
      </c>
      <c r="S5218">
        <v>27</v>
      </c>
      <c r="T5218">
        <v>78</v>
      </c>
      <c r="U5218">
        <v>975.14990070957401</v>
      </c>
      <c r="V5218">
        <v>3.44234079173838E-3</v>
      </c>
      <c r="W5218">
        <v>703076.85659834906</v>
      </c>
      <c r="X5218" t="s">
        <v>40</v>
      </c>
      <c r="Y5218">
        <f>1-808-624-5052</f>
        <v>-6483</v>
      </c>
    </row>
    <row r="5219" spans="1:25" x14ac:dyDescent="0.35">
      <c r="A5219">
        <v>33.2119255884718</v>
      </c>
      <c r="B5219">
        <v>-120.95080492266599</v>
      </c>
      <c r="C5219" t="s">
        <v>34</v>
      </c>
      <c r="D5219">
        <v>46.938708098356102</v>
      </c>
      <c r="E5219">
        <v>1</v>
      </c>
      <c r="F5219">
        <v>3345</v>
      </c>
      <c r="G5219">
        <v>5</v>
      </c>
      <c r="H5219">
        <v>1</v>
      </c>
      <c r="I5219">
        <v>1979</v>
      </c>
      <c r="J5219">
        <v>0</v>
      </c>
      <c r="K5219">
        <v>1</v>
      </c>
      <c r="L5219">
        <v>1</v>
      </c>
      <c r="M5219">
        <v>9</v>
      </c>
      <c r="N5219" t="s">
        <v>37</v>
      </c>
      <c r="O5219" t="s">
        <v>32</v>
      </c>
      <c r="P5219">
        <v>12.1884165431252</v>
      </c>
      <c r="Q5219">
        <v>0.83973143448613397</v>
      </c>
      <c r="R5219">
        <v>7.06294905783475</v>
      </c>
      <c r="S5219">
        <v>81</v>
      </c>
      <c r="T5219">
        <v>60</v>
      </c>
      <c r="U5219">
        <v>428.36067102379297</v>
      </c>
      <c r="V5219">
        <v>2.6905829596412501E-3</v>
      </c>
      <c r="W5219">
        <v>1983435.96997636</v>
      </c>
      <c r="X5219" t="s">
        <v>42</v>
      </c>
      <c r="Y5219">
        <f>1-515-220-7418</f>
        <v>-8152</v>
      </c>
    </row>
    <row r="5220" spans="1:25" x14ac:dyDescent="0.35">
      <c r="A5220">
        <v>41.932350677576501</v>
      </c>
      <c r="B5220">
        <v>-116.214726707019</v>
      </c>
      <c r="C5220" t="s">
        <v>34</v>
      </c>
      <c r="D5220">
        <v>11.914269814143999</v>
      </c>
      <c r="E5220">
        <v>1</v>
      </c>
      <c r="F5220">
        <v>678</v>
      </c>
      <c r="G5220">
        <v>1</v>
      </c>
      <c r="H5220">
        <v>2</v>
      </c>
      <c r="I5220">
        <v>1972</v>
      </c>
      <c r="J5220">
        <v>1</v>
      </c>
      <c r="K5220">
        <v>1</v>
      </c>
      <c r="L5220">
        <v>1</v>
      </c>
      <c r="M5220">
        <v>4</v>
      </c>
      <c r="N5220" t="s">
        <v>37</v>
      </c>
      <c r="O5220" t="s">
        <v>27</v>
      </c>
      <c r="P5220">
        <v>8.4014006042560201</v>
      </c>
      <c r="Q5220">
        <v>0.58275093678668299</v>
      </c>
      <c r="R5220">
        <v>8.2303724071396793</v>
      </c>
      <c r="S5220">
        <v>55</v>
      </c>
      <c r="T5220">
        <v>77</v>
      </c>
      <c r="U5220">
        <v>386.55712112187899</v>
      </c>
      <c r="V5220">
        <v>5.8997050147492599E-3</v>
      </c>
      <c r="W5220">
        <v>526337.55492590403</v>
      </c>
      <c r="X5220" t="s">
        <v>42</v>
      </c>
      <c r="Y5220">
        <f>1-466-106-7768</f>
        <v>-8339</v>
      </c>
    </row>
    <row r="5221" spans="1:25" x14ac:dyDescent="0.35">
      <c r="A5221">
        <v>37.952323553226101</v>
      </c>
      <c r="B5221">
        <v>-122.966378273967</v>
      </c>
      <c r="C5221" t="s">
        <v>29</v>
      </c>
      <c r="D5221">
        <v>42.192156164404999</v>
      </c>
      <c r="E5221">
        <v>2</v>
      </c>
      <c r="F5221">
        <v>714</v>
      </c>
      <c r="G5221">
        <v>4</v>
      </c>
      <c r="H5221">
        <v>3</v>
      </c>
      <c r="I5221">
        <v>1970</v>
      </c>
      <c r="J5221">
        <v>0</v>
      </c>
      <c r="K5221">
        <v>1</v>
      </c>
      <c r="L5221">
        <v>1</v>
      </c>
      <c r="M5221">
        <v>2</v>
      </c>
      <c r="N5221" t="s">
        <v>26</v>
      </c>
      <c r="O5221" t="s">
        <v>32</v>
      </c>
      <c r="P5221">
        <v>6.6456982409388097</v>
      </c>
      <c r="Q5221">
        <v>1.8351695664243199</v>
      </c>
      <c r="R5221">
        <v>7.8421241744097197</v>
      </c>
      <c r="S5221">
        <v>189</v>
      </c>
      <c r="T5221">
        <v>56</v>
      </c>
      <c r="U5221">
        <v>851.545693304515</v>
      </c>
      <c r="V5221">
        <v>2.80112044817927E-3</v>
      </c>
      <c r="W5221">
        <v>935939.84951237298</v>
      </c>
      <c r="X5221" t="s">
        <v>28</v>
      </c>
      <c r="Y5221">
        <f>1-831-174-5004</f>
        <v>-6008</v>
      </c>
    </row>
    <row r="5222" spans="1:25" x14ac:dyDescent="0.35">
      <c r="A5222">
        <v>36.0781156294914</v>
      </c>
      <c r="B5222">
        <v>-117.821595665435</v>
      </c>
      <c r="C5222" t="s">
        <v>25</v>
      </c>
      <c r="D5222">
        <v>23.757603645652299</v>
      </c>
      <c r="E5222">
        <v>7</v>
      </c>
      <c r="F5222">
        <v>1274</v>
      </c>
      <c r="G5222">
        <v>2</v>
      </c>
      <c r="H5222">
        <v>3</v>
      </c>
      <c r="I5222">
        <v>1961</v>
      </c>
      <c r="J5222">
        <v>1</v>
      </c>
      <c r="K5222">
        <v>1</v>
      </c>
      <c r="L5222">
        <v>0</v>
      </c>
      <c r="M5222">
        <v>11</v>
      </c>
      <c r="N5222" t="s">
        <v>26</v>
      </c>
      <c r="O5222" t="s">
        <v>27</v>
      </c>
      <c r="P5222">
        <v>7.2008166337763502</v>
      </c>
      <c r="Q5222">
        <v>0.94263639586249404</v>
      </c>
      <c r="R5222">
        <v>0.73951780083503704</v>
      </c>
      <c r="S5222">
        <v>7</v>
      </c>
      <c r="T5222">
        <v>41</v>
      </c>
      <c r="U5222">
        <v>821.40023824376999</v>
      </c>
      <c r="V5222">
        <v>8.6342229199371998E-3</v>
      </c>
      <c r="W5222">
        <v>1455421.8251146099</v>
      </c>
      <c r="X5222" t="s">
        <v>31</v>
      </c>
      <c r="Y5222">
        <f>1-608-849-6345</f>
        <v>-7801</v>
      </c>
    </row>
    <row r="5223" spans="1:25" x14ac:dyDescent="0.35">
      <c r="A5223">
        <v>36.344412158908597</v>
      </c>
      <c r="B5223">
        <v>-116.335412532902</v>
      </c>
      <c r="C5223" t="s">
        <v>25</v>
      </c>
      <c r="D5223">
        <v>46.521716441455403</v>
      </c>
      <c r="E5223">
        <v>8</v>
      </c>
      <c r="F5223">
        <v>3029</v>
      </c>
      <c r="G5223">
        <v>4</v>
      </c>
      <c r="H5223">
        <v>1</v>
      </c>
      <c r="I5223">
        <v>1954</v>
      </c>
      <c r="J5223">
        <v>1</v>
      </c>
      <c r="K5223">
        <v>1</v>
      </c>
      <c r="L5223">
        <v>0</v>
      </c>
      <c r="M5223">
        <v>8</v>
      </c>
      <c r="N5223" t="s">
        <v>37</v>
      </c>
      <c r="O5223" t="s">
        <v>32</v>
      </c>
      <c r="P5223">
        <v>7.3795508315193103</v>
      </c>
      <c r="Q5223">
        <v>1.62487711270678</v>
      </c>
      <c r="R5223">
        <v>1.9881409136620301</v>
      </c>
      <c r="S5223">
        <v>8</v>
      </c>
      <c r="T5223">
        <v>27</v>
      </c>
      <c r="U5223">
        <v>917.86564560112299</v>
      </c>
      <c r="V5223">
        <v>2.6411356883459798E-3</v>
      </c>
      <c r="W5223">
        <v>3074709.4582660599</v>
      </c>
      <c r="X5223" t="s">
        <v>31</v>
      </c>
      <c r="Y5223">
        <f>1-368-406-7092</f>
        <v>-7865</v>
      </c>
    </row>
    <row r="5224" spans="1:25" x14ac:dyDescent="0.35">
      <c r="A5224">
        <v>39.725286294151402</v>
      </c>
      <c r="B5224">
        <v>-115.28632004756101</v>
      </c>
      <c r="C5224" t="s">
        <v>29</v>
      </c>
      <c r="D5224">
        <v>7.7211862884026603</v>
      </c>
      <c r="E5224">
        <v>5</v>
      </c>
      <c r="F5224">
        <v>4540</v>
      </c>
      <c r="G5224">
        <v>1</v>
      </c>
      <c r="H5224">
        <v>3</v>
      </c>
      <c r="I5224">
        <v>1986</v>
      </c>
      <c r="J5224">
        <v>1</v>
      </c>
      <c r="K5224">
        <v>1</v>
      </c>
      <c r="L5224">
        <v>1</v>
      </c>
      <c r="M5224">
        <v>14</v>
      </c>
      <c r="N5224" t="s">
        <v>35</v>
      </c>
      <c r="O5224" t="s">
        <v>27</v>
      </c>
      <c r="P5224">
        <v>10.6090119642889</v>
      </c>
      <c r="Q5224">
        <v>0.60077896256225705</v>
      </c>
      <c r="R5224">
        <v>8.2622387982556607</v>
      </c>
      <c r="S5224">
        <v>160</v>
      </c>
      <c r="T5224">
        <v>33</v>
      </c>
      <c r="U5224">
        <v>682.14942902818302</v>
      </c>
      <c r="V5224">
        <v>3.0837004405286301E-3</v>
      </c>
      <c r="W5224">
        <v>3359179.6585551901</v>
      </c>
      <c r="X5224" t="s">
        <v>31</v>
      </c>
      <c r="Y5224">
        <f>1-660-161-4694</f>
        <v>-5514</v>
      </c>
    </row>
    <row r="5225" spans="1:25" x14ac:dyDescent="0.35">
      <c r="A5225">
        <v>35.626196001500503</v>
      </c>
      <c r="B5225">
        <v>-118.363836635919</v>
      </c>
      <c r="C5225" t="s">
        <v>34</v>
      </c>
      <c r="D5225">
        <v>16.896426474842102</v>
      </c>
      <c r="E5225">
        <v>1</v>
      </c>
      <c r="F5225">
        <v>1089</v>
      </c>
      <c r="G5225">
        <v>1</v>
      </c>
      <c r="H5225">
        <v>2</v>
      </c>
      <c r="I5225">
        <v>1966</v>
      </c>
      <c r="J5225">
        <v>1</v>
      </c>
      <c r="K5225">
        <v>1</v>
      </c>
      <c r="L5225">
        <v>1</v>
      </c>
      <c r="M5225">
        <v>12</v>
      </c>
      <c r="N5225" t="s">
        <v>41</v>
      </c>
      <c r="O5225" t="s">
        <v>30</v>
      </c>
      <c r="P5225">
        <v>4.1538340860670804</v>
      </c>
      <c r="Q5225">
        <v>1.07403779396541</v>
      </c>
      <c r="R5225">
        <v>8.2820734613677391</v>
      </c>
      <c r="S5225">
        <v>157</v>
      </c>
      <c r="T5225">
        <v>47</v>
      </c>
      <c r="U5225">
        <v>773.92064144203505</v>
      </c>
      <c r="V5225">
        <v>1.10192837465564E-2</v>
      </c>
      <c r="W5225">
        <v>978594.05366265494</v>
      </c>
      <c r="X5225" t="s">
        <v>28</v>
      </c>
      <c r="Y5225">
        <f>1-398-422-6237</f>
        <v>-7056</v>
      </c>
    </row>
    <row r="5226" spans="1:25" x14ac:dyDescent="0.35">
      <c r="A5226">
        <v>40.580818871598602</v>
      </c>
      <c r="B5226">
        <v>-115.39057211049401</v>
      </c>
      <c r="C5226" t="s">
        <v>34</v>
      </c>
      <c r="D5226">
        <v>16.7241836726506</v>
      </c>
      <c r="E5226">
        <v>3</v>
      </c>
      <c r="F5226">
        <v>4272</v>
      </c>
      <c r="G5226">
        <v>3</v>
      </c>
      <c r="H5226">
        <v>3</v>
      </c>
      <c r="I5226">
        <v>1988</v>
      </c>
      <c r="J5226">
        <v>1</v>
      </c>
      <c r="K5226">
        <v>0</v>
      </c>
      <c r="L5226">
        <v>1</v>
      </c>
      <c r="M5226">
        <v>14</v>
      </c>
      <c r="N5226" t="s">
        <v>26</v>
      </c>
      <c r="O5226" t="s">
        <v>32</v>
      </c>
      <c r="P5226">
        <v>8.7539365769242803</v>
      </c>
      <c r="Q5226">
        <v>1.5586356257102301</v>
      </c>
      <c r="R5226">
        <v>3.1710201220491898</v>
      </c>
      <c r="S5226">
        <v>64</v>
      </c>
      <c r="T5226">
        <v>38</v>
      </c>
      <c r="U5226">
        <v>516.23871376888303</v>
      </c>
      <c r="V5226">
        <v>3.2771535580524299E-3</v>
      </c>
      <c r="W5226">
        <v>2556786.7114902199</v>
      </c>
      <c r="X5226" t="s">
        <v>28</v>
      </c>
      <c r="Y5226">
        <f>1-488-163-7694</f>
        <v>-8344</v>
      </c>
    </row>
    <row r="5227" spans="1:25" x14ac:dyDescent="0.35">
      <c r="A5227">
        <v>37.037924496486497</v>
      </c>
      <c r="B5227">
        <v>-115.473789510087</v>
      </c>
      <c r="C5227" t="s">
        <v>25</v>
      </c>
      <c r="D5227">
        <v>14.553954196901</v>
      </c>
      <c r="E5227">
        <v>8</v>
      </c>
      <c r="F5227">
        <v>1404</v>
      </c>
      <c r="G5227">
        <v>2</v>
      </c>
      <c r="H5227">
        <v>1</v>
      </c>
      <c r="I5227">
        <v>1953</v>
      </c>
      <c r="J5227">
        <v>1</v>
      </c>
      <c r="K5227">
        <v>1</v>
      </c>
      <c r="L5227">
        <v>1</v>
      </c>
      <c r="M5227">
        <v>5</v>
      </c>
      <c r="N5227" t="s">
        <v>35</v>
      </c>
      <c r="O5227" t="s">
        <v>30</v>
      </c>
      <c r="P5227">
        <v>2.0892723357422498</v>
      </c>
      <c r="Q5227">
        <v>2.0090690619097802</v>
      </c>
      <c r="R5227">
        <v>6.5449093793486197</v>
      </c>
      <c r="S5227">
        <v>132</v>
      </c>
      <c r="T5227">
        <v>46</v>
      </c>
      <c r="U5227">
        <v>422.95119026651997</v>
      </c>
      <c r="V5227">
        <v>3.56125356125356E-3</v>
      </c>
      <c r="W5227">
        <v>776069.38969202503</v>
      </c>
      <c r="X5227" t="s">
        <v>33</v>
      </c>
      <c r="Y5227">
        <f>1-898-126-7187</f>
        <v>-8210</v>
      </c>
    </row>
    <row r="5228" spans="1:25" x14ac:dyDescent="0.35">
      <c r="A5228">
        <v>34.960107065763303</v>
      </c>
      <c r="B5228">
        <v>-118.265877816572</v>
      </c>
      <c r="C5228" t="s">
        <v>25</v>
      </c>
      <c r="D5228">
        <v>24.163213522517701</v>
      </c>
      <c r="E5228">
        <v>5</v>
      </c>
      <c r="F5228">
        <v>4255</v>
      </c>
      <c r="G5228">
        <v>3</v>
      </c>
      <c r="H5228">
        <v>3</v>
      </c>
      <c r="I5228">
        <v>2012</v>
      </c>
      <c r="J5228">
        <v>0</v>
      </c>
      <c r="K5228">
        <v>1</v>
      </c>
      <c r="L5228">
        <v>1</v>
      </c>
      <c r="M5228">
        <v>9</v>
      </c>
      <c r="N5228" t="s">
        <v>35</v>
      </c>
      <c r="O5228" t="s">
        <v>27</v>
      </c>
      <c r="P5228">
        <v>8.1950187470906499</v>
      </c>
      <c r="Q5228">
        <v>2.14292638053736</v>
      </c>
      <c r="R5228">
        <v>2.04493160192742</v>
      </c>
      <c r="S5228">
        <v>135</v>
      </c>
      <c r="T5228">
        <v>77</v>
      </c>
      <c r="U5228">
        <v>434.88353231806599</v>
      </c>
      <c r="V5228">
        <v>2.11515863689776E-3</v>
      </c>
      <c r="W5228">
        <v>2280228.8606662801</v>
      </c>
      <c r="X5228" t="s">
        <v>43</v>
      </c>
      <c r="Y5228">
        <f>1-414-256-5542</f>
        <v>-6211</v>
      </c>
    </row>
    <row r="5229" spans="1:25" x14ac:dyDescent="0.35">
      <c r="A5229">
        <v>41.3463466427283</v>
      </c>
      <c r="B5229">
        <v>-117.28444485448</v>
      </c>
      <c r="C5229" t="s">
        <v>25</v>
      </c>
      <c r="D5229">
        <v>4.4744926449553697</v>
      </c>
      <c r="E5229">
        <v>8</v>
      </c>
      <c r="F5229">
        <v>3168</v>
      </c>
      <c r="G5229">
        <v>4</v>
      </c>
      <c r="H5229">
        <v>2</v>
      </c>
      <c r="I5229">
        <v>1951</v>
      </c>
      <c r="J5229">
        <v>0</v>
      </c>
      <c r="K5229">
        <v>0</v>
      </c>
      <c r="L5229">
        <v>0</v>
      </c>
      <c r="M5229">
        <v>5</v>
      </c>
      <c r="N5229" t="s">
        <v>37</v>
      </c>
      <c r="O5229" t="s">
        <v>30</v>
      </c>
      <c r="P5229">
        <v>12.0945093472209</v>
      </c>
      <c r="Q5229">
        <v>0.60040336090440305</v>
      </c>
      <c r="R5229">
        <v>7.3790381860932799</v>
      </c>
      <c r="S5229">
        <v>187</v>
      </c>
      <c r="T5229">
        <v>35</v>
      </c>
      <c r="U5229">
        <v>406.33823590121102</v>
      </c>
      <c r="V5229">
        <v>1.57828282828282E-3</v>
      </c>
      <c r="W5229">
        <v>1487220.33241557</v>
      </c>
      <c r="X5229" t="s">
        <v>28</v>
      </c>
      <c r="Y5229">
        <f>1-454-470-3989</f>
        <v>-4912</v>
      </c>
    </row>
    <row r="5230" spans="1:25" x14ac:dyDescent="0.35">
      <c r="A5230">
        <v>34.820402990278197</v>
      </c>
      <c r="B5230">
        <v>-121.49542949212599</v>
      </c>
      <c r="C5230" t="s">
        <v>25</v>
      </c>
      <c r="D5230">
        <v>49.803444635554897</v>
      </c>
      <c r="E5230">
        <v>1</v>
      </c>
      <c r="F5230">
        <v>1893</v>
      </c>
      <c r="G5230">
        <v>2</v>
      </c>
      <c r="H5230">
        <v>2</v>
      </c>
      <c r="I5230">
        <v>2003</v>
      </c>
      <c r="J5230">
        <v>1</v>
      </c>
      <c r="K5230">
        <v>1</v>
      </c>
      <c r="L5230">
        <v>0</v>
      </c>
      <c r="M5230">
        <v>12</v>
      </c>
      <c r="N5230" t="s">
        <v>37</v>
      </c>
      <c r="O5230" t="s">
        <v>32</v>
      </c>
      <c r="P5230">
        <v>8.1094050798451391</v>
      </c>
      <c r="Q5230">
        <v>1.6920191948016501</v>
      </c>
      <c r="R5230">
        <v>6.7696492081096302</v>
      </c>
      <c r="S5230">
        <v>159</v>
      </c>
      <c r="T5230">
        <v>33</v>
      </c>
      <c r="U5230">
        <v>755.72450108736905</v>
      </c>
      <c r="V5230">
        <v>6.3391442155309001E-3</v>
      </c>
      <c r="W5230">
        <v>1678255.8046122701</v>
      </c>
      <c r="X5230" t="s">
        <v>31</v>
      </c>
      <c r="Y5230">
        <f>1-719-360-4465</f>
        <v>-5543</v>
      </c>
    </row>
    <row r="5231" spans="1:25" x14ac:dyDescent="0.35">
      <c r="A5231">
        <v>35.1507736292697</v>
      </c>
      <c r="B5231">
        <v>-123.988232226126</v>
      </c>
      <c r="C5231" t="s">
        <v>25</v>
      </c>
      <c r="D5231">
        <v>33.604193448214602</v>
      </c>
      <c r="E5231">
        <v>1</v>
      </c>
      <c r="F5231">
        <v>1173</v>
      </c>
      <c r="G5231">
        <v>5</v>
      </c>
      <c r="H5231">
        <v>1</v>
      </c>
      <c r="I5231">
        <v>2011</v>
      </c>
      <c r="J5231">
        <v>1</v>
      </c>
      <c r="K5231">
        <v>1</v>
      </c>
      <c r="L5231">
        <v>0</v>
      </c>
      <c r="M5231">
        <v>14</v>
      </c>
      <c r="N5231" t="s">
        <v>37</v>
      </c>
      <c r="O5231" t="s">
        <v>27</v>
      </c>
      <c r="P5231">
        <v>5.2199444050406196</v>
      </c>
      <c r="Q5231">
        <v>1.38835338368182</v>
      </c>
      <c r="R5231">
        <v>9.0741901850503801</v>
      </c>
      <c r="S5231">
        <v>163</v>
      </c>
      <c r="T5231">
        <v>63</v>
      </c>
      <c r="U5231">
        <v>277.46910177381</v>
      </c>
      <c r="V5231">
        <v>1.19352088661551E-2</v>
      </c>
      <c r="W5231">
        <v>771388.74642363098</v>
      </c>
      <c r="X5231" t="s">
        <v>38</v>
      </c>
      <c r="Y5231">
        <f>1-618-768-5506</f>
        <v>-6891</v>
      </c>
    </row>
    <row r="5232" spans="1:25" x14ac:dyDescent="0.35">
      <c r="A5232">
        <v>36.513673511638302</v>
      </c>
      <c r="B5232">
        <v>-117.104707273709</v>
      </c>
      <c r="C5232" t="s">
        <v>29</v>
      </c>
      <c r="D5232">
        <v>41.680887392910599</v>
      </c>
      <c r="E5232">
        <v>7</v>
      </c>
      <c r="F5232">
        <v>3689</v>
      </c>
      <c r="G5232">
        <v>3</v>
      </c>
      <c r="H5232">
        <v>2</v>
      </c>
      <c r="I5232">
        <v>1972</v>
      </c>
      <c r="J5232">
        <v>1</v>
      </c>
      <c r="K5232">
        <v>1</v>
      </c>
      <c r="L5232">
        <v>0</v>
      </c>
      <c r="M5232">
        <v>5</v>
      </c>
      <c r="N5232" t="s">
        <v>41</v>
      </c>
      <c r="O5232" t="s">
        <v>32</v>
      </c>
      <c r="P5232">
        <v>5.2992687156513201</v>
      </c>
      <c r="Q5232">
        <v>1.8342602072497101</v>
      </c>
      <c r="R5232">
        <v>9.3321359345211796</v>
      </c>
      <c r="S5232">
        <v>168</v>
      </c>
      <c r="T5232">
        <v>29</v>
      </c>
      <c r="U5232">
        <v>717.33928114627702</v>
      </c>
      <c r="V5232">
        <v>1.3553808620222201E-3</v>
      </c>
      <c r="W5232">
        <v>2890343.9184824</v>
      </c>
      <c r="X5232" t="s">
        <v>31</v>
      </c>
      <c r="Y5232">
        <f>1-980-128-1906</f>
        <v>-3013</v>
      </c>
    </row>
    <row r="5233" spans="1:25" x14ac:dyDescent="0.35">
      <c r="A5233">
        <v>38.954210286458299</v>
      </c>
      <c r="B5233">
        <v>-116.813128290146</v>
      </c>
      <c r="C5233" t="s">
        <v>34</v>
      </c>
      <c r="D5233">
        <v>13.662746353544099</v>
      </c>
      <c r="E5233">
        <v>1</v>
      </c>
      <c r="F5233">
        <v>2232</v>
      </c>
      <c r="G5233">
        <v>5</v>
      </c>
      <c r="H5233">
        <v>2</v>
      </c>
      <c r="I5233">
        <v>1960</v>
      </c>
      <c r="J5233">
        <v>1</v>
      </c>
      <c r="K5233">
        <v>1</v>
      </c>
      <c r="L5233">
        <v>1</v>
      </c>
      <c r="M5233">
        <v>3</v>
      </c>
      <c r="N5233" t="s">
        <v>26</v>
      </c>
      <c r="O5233" t="s">
        <v>32</v>
      </c>
      <c r="P5233">
        <v>5.0358745249416899</v>
      </c>
      <c r="Q5233">
        <v>1.74521560972606</v>
      </c>
      <c r="R5233">
        <v>1.4755276758171301</v>
      </c>
      <c r="S5233">
        <v>187</v>
      </c>
      <c r="T5233">
        <v>30</v>
      </c>
      <c r="U5233">
        <v>943.77615773908406</v>
      </c>
      <c r="V5233">
        <v>1.3440860215053699E-3</v>
      </c>
      <c r="W5233">
        <v>2526132.68810543</v>
      </c>
      <c r="X5233" t="s">
        <v>36</v>
      </c>
      <c r="Y5233">
        <f>1-897-859-6290</f>
        <v>-8045</v>
      </c>
    </row>
    <row r="5234" spans="1:25" x14ac:dyDescent="0.35">
      <c r="A5234">
        <v>33.448513389564802</v>
      </c>
      <c r="B5234">
        <v>-120.430662671373</v>
      </c>
      <c r="C5234" t="s">
        <v>25</v>
      </c>
      <c r="D5234">
        <v>10.325916593578199</v>
      </c>
      <c r="E5234">
        <v>8</v>
      </c>
      <c r="F5234">
        <v>4147</v>
      </c>
      <c r="G5234">
        <v>2</v>
      </c>
      <c r="H5234">
        <v>1</v>
      </c>
      <c r="I5234">
        <v>1984</v>
      </c>
      <c r="J5234">
        <v>1</v>
      </c>
      <c r="K5234">
        <v>1</v>
      </c>
      <c r="L5234">
        <v>0</v>
      </c>
      <c r="M5234">
        <v>9</v>
      </c>
      <c r="N5234" t="s">
        <v>37</v>
      </c>
      <c r="O5234" t="s">
        <v>30</v>
      </c>
      <c r="P5234">
        <v>8.63446074379622</v>
      </c>
      <c r="Q5234">
        <v>1.4917384972868799</v>
      </c>
      <c r="R5234">
        <v>7.5916239087071098</v>
      </c>
      <c r="S5234">
        <v>16</v>
      </c>
      <c r="T5234">
        <v>44</v>
      </c>
      <c r="U5234">
        <v>804.75864131234198</v>
      </c>
      <c r="V5234">
        <v>2.1702435495538899E-3</v>
      </c>
      <c r="W5234">
        <v>3609010.1408584602</v>
      </c>
      <c r="X5234" t="s">
        <v>39</v>
      </c>
      <c r="Y5234">
        <f>1-323-617-9304</f>
        <v>-10243</v>
      </c>
    </row>
    <row r="5235" spans="1:25" x14ac:dyDescent="0.35">
      <c r="A5235">
        <v>35.643412706190603</v>
      </c>
      <c r="B5235">
        <v>-119.419843025262</v>
      </c>
      <c r="C5235" t="s">
        <v>25</v>
      </c>
      <c r="D5235">
        <v>15.375208163579099</v>
      </c>
      <c r="E5235">
        <v>9</v>
      </c>
      <c r="F5235">
        <v>2396</v>
      </c>
      <c r="G5235">
        <v>2</v>
      </c>
      <c r="H5235">
        <v>3</v>
      </c>
      <c r="I5235">
        <v>1993</v>
      </c>
      <c r="J5235">
        <v>0</v>
      </c>
      <c r="K5235">
        <v>0</v>
      </c>
      <c r="L5235">
        <v>1</v>
      </c>
      <c r="M5235">
        <v>14</v>
      </c>
      <c r="N5235" t="s">
        <v>35</v>
      </c>
      <c r="O5235" t="s">
        <v>30</v>
      </c>
      <c r="P5235">
        <v>10.246783822902399</v>
      </c>
      <c r="Q5235">
        <v>1.6725026527389699</v>
      </c>
      <c r="R5235">
        <v>4.0128144523009004</v>
      </c>
      <c r="S5235">
        <v>63</v>
      </c>
      <c r="T5235">
        <v>45</v>
      </c>
      <c r="U5235">
        <v>746.88930379298802</v>
      </c>
      <c r="V5235">
        <v>5.8430717863105098E-3</v>
      </c>
      <c r="W5235">
        <v>1933234.73892163</v>
      </c>
      <c r="X5235" t="s">
        <v>42</v>
      </c>
      <c r="Y5235">
        <f>1-959-735-3902</f>
        <v>-5595</v>
      </c>
    </row>
    <row r="5236" spans="1:25" x14ac:dyDescent="0.35">
      <c r="A5236">
        <v>36.1499387612321</v>
      </c>
      <c r="B5236">
        <v>-119.503831210584</v>
      </c>
      <c r="C5236" t="s">
        <v>34</v>
      </c>
      <c r="D5236">
        <v>5.6922865932428</v>
      </c>
      <c r="E5236">
        <v>1</v>
      </c>
      <c r="F5236">
        <v>3280</v>
      </c>
      <c r="G5236">
        <v>1</v>
      </c>
      <c r="H5236">
        <v>1</v>
      </c>
      <c r="I5236">
        <v>1961</v>
      </c>
      <c r="J5236">
        <v>0</v>
      </c>
      <c r="K5236">
        <v>0</v>
      </c>
      <c r="L5236">
        <v>1</v>
      </c>
      <c r="M5236">
        <v>12</v>
      </c>
      <c r="N5236" t="s">
        <v>26</v>
      </c>
      <c r="O5236" t="s">
        <v>30</v>
      </c>
      <c r="P5236">
        <v>3.5538734766984099</v>
      </c>
      <c r="Q5236">
        <v>1.05713871697749</v>
      </c>
      <c r="R5236">
        <v>7.2554401411902596</v>
      </c>
      <c r="S5236">
        <v>157</v>
      </c>
      <c r="T5236">
        <v>60</v>
      </c>
      <c r="U5236">
        <v>291.60713837774102</v>
      </c>
      <c r="V5236">
        <v>3.65853658536585E-3</v>
      </c>
      <c r="W5236">
        <v>920724.28378344595</v>
      </c>
      <c r="X5236" t="s">
        <v>44</v>
      </c>
      <c r="Y5236">
        <f>1-932-616-5413</f>
        <v>-6960</v>
      </c>
    </row>
    <row r="5237" spans="1:25" x14ac:dyDescent="0.35">
      <c r="A5237">
        <v>41.567611479880199</v>
      </c>
      <c r="B5237">
        <v>-121.713851263953</v>
      </c>
      <c r="C5237" t="s">
        <v>29</v>
      </c>
      <c r="D5237">
        <v>16.3394661580068</v>
      </c>
      <c r="E5237">
        <v>7</v>
      </c>
      <c r="F5237">
        <v>2536</v>
      </c>
      <c r="G5237">
        <v>4</v>
      </c>
      <c r="H5237">
        <v>3</v>
      </c>
      <c r="I5237">
        <v>1950</v>
      </c>
      <c r="J5237">
        <v>1</v>
      </c>
      <c r="K5237">
        <v>1</v>
      </c>
      <c r="L5237">
        <v>1</v>
      </c>
      <c r="M5237">
        <v>5</v>
      </c>
      <c r="N5237" t="s">
        <v>26</v>
      </c>
      <c r="O5237" t="s">
        <v>30</v>
      </c>
      <c r="P5237">
        <v>10.398144125665301</v>
      </c>
      <c r="Q5237">
        <v>1.82737212491347</v>
      </c>
      <c r="R5237">
        <v>6.0163013808826298</v>
      </c>
      <c r="S5237">
        <v>0</v>
      </c>
      <c r="T5237">
        <v>50</v>
      </c>
      <c r="U5237">
        <v>856.51251205164704</v>
      </c>
      <c r="V5237">
        <v>1.97160883280757E-3</v>
      </c>
      <c r="W5237">
        <v>2654018.1954640299</v>
      </c>
      <c r="X5237" t="s">
        <v>33</v>
      </c>
      <c r="Y5237">
        <f>1-850-440-2683</f>
        <v>-3972</v>
      </c>
    </row>
    <row r="5238" spans="1:25" x14ac:dyDescent="0.35">
      <c r="A5238">
        <v>35.012575769593198</v>
      </c>
      <c r="B5238">
        <v>-118.01707657664601</v>
      </c>
      <c r="C5238" t="s">
        <v>34</v>
      </c>
      <c r="D5238">
        <v>6.8787555699015899</v>
      </c>
      <c r="E5238">
        <v>8</v>
      </c>
      <c r="F5238">
        <v>1894</v>
      </c>
      <c r="G5238">
        <v>3</v>
      </c>
      <c r="H5238">
        <v>3</v>
      </c>
      <c r="I5238">
        <v>2004</v>
      </c>
      <c r="J5238">
        <v>1</v>
      </c>
      <c r="K5238">
        <v>1</v>
      </c>
      <c r="L5238">
        <v>0</v>
      </c>
      <c r="M5238">
        <v>12</v>
      </c>
      <c r="N5238" t="s">
        <v>26</v>
      </c>
      <c r="O5238" t="s">
        <v>32</v>
      </c>
      <c r="P5238">
        <v>13.6896006752358</v>
      </c>
      <c r="Q5238">
        <v>2.44121482900001</v>
      </c>
      <c r="R5238">
        <v>1.2050256779073301</v>
      </c>
      <c r="S5238">
        <v>168</v>
      </c>
      <c r="T5238">
        <v>25</v>
      </c>
      <c r="U5238">
        <v>714.82414516430799</v>
      </c>
      <c r="V5238">
        <v>6.3357972544878498E-3</v>
      </c>
      <c r="W5238">
        <v>1803854.9031847799</v>
      </c>
      <c r="X5238" t="s">
        <v>43</v>
      </c>
      <c r="Y5238">
        <f>1-285-645-8625</f>
        <v>-9554</v>
      </c>
    </row>
    <row r="5239" spans="1:25" x14ac:dyDescent="0.35">
      <c r="A5239">
        <v>33.522924663329903</v>
      </c>
      <c r="B5239">
        <v>-121.371937117844</v>
      </c>
      <c r="C5239" t="s">
        <v>29</v>
      </c>
      <c r="D5239">
        <v>6.8125707741497603</v>
      </c>
      <c r="E5239">
        <v>2</v>
      </c>
      <c r="F5239">
        <v>4710</v>
      </c>
      <c r="G5239">
        <v>3</v>
      </c>
      <c r="H5239">
        <v>3</v>
      </c>
      <c r="I5239">
        <v>1982</v>
      </c>
      <c r="J5239">
        <v>0</v>
      </c>
      <c r="K5239">
        <v>0</v>
      </c>
      <c r="L5239">
        <v>0</v>
      </c>
      <c r="M5239">
        <v>7</v>
      </c>
      <c r="N5239" t="s">
        <v>26</v>
      </c>
      <c r="O5239" t="s">
        <v>32</v>
      </c>
      <c r="P5239">
        <v>8.2554273357166501</v>
      </c>
      <c r="Q5239">
        <v>2.4332614283148599</v>
      </c>
      <c r="R5239">
        <v>4.7550394325309204</v>
      </c>
      <c r="S5239">
        <v>167</v>
      </c>
      <c r="T5239">
        <v>55</v>
      </c>
      <c r="U5239">
        <v>749.95246221083096</v>
      </c>
      <c r="V5239">
        <v>1.48619957537155E-3</v>
      </c>
      <c r="W5239">
        <v>3721220.46909319</v>
      </c>
      <c r="X5239" t="s">
        <v>36</v>
      </c>
      <c r="Y5239">
        <f>1-449-379-1807</f>
        <v>-2634</v>
      </c>
    </row>
    <row r="5240" spans="1:25" x14ac:dyDescent="0.35">
      <c r="A5240">
        <v>36.732516047526197</v>
      </c>
      <c r="B5240">
        <v>-124.161169253049</v>
      </c>
      <c r="C5240" t="s">
        <v>29</v>
      </c>
      <c r="D5240">
        <v>8.7902276918054092</v>
      </c>
      <c r="E5240">
        <v>9</v>
      </c>
      <c r="F5240">
        <v>2360</v>
      </c>
      <c r="G5240">
        <v>1</v>
      </c>
      <c r="H5240">
        <v>3</v>
      </c>
      <c r="I5240">
        <v>2012</v>
      </c>
      <c r="J5240">
        <v>0</v>
      </c>
      <c r="K5240">
        <v>1</v>
      </c>
      <c r="L5240">
        <v>1</v>
      </c>
      <c r="M5240">
        <v>7</v>
      </c>
      <c r="N5240" t="s">
        <v>26</v>
      </c>
      <c r="O5240" t="s">
        <v>27</v>
      </c>
      <c r="P5240">
        <v>3.4986068629021201</v>
      </c>
      <c r="Q5240">
        <v>1.1661399006369499</v>
      </c>
      <c r="R5240">
        <v>2.5671044019827001</v>
      </c>
      <c r="S5240">
        <v>60</v>
      </c>
      <c r="T5240">
        <v>65</v>
      </c>
      <c r="U5240">
        <v>701.83539152292201</v>
      </c>
      <c r="V5240">
        <v>2.96610169491525E-3</v>
      </c>
      <c r="W5240">
        <v>1885057.49790097</v>
      </c>
      <c r="X5240" t="s">
        <v>44</v>
      </c>
      <c r="Y5240">
        <f>1-773-117-6710</f>
        <v>-7599</v>
      </c>
    </row>
    <row r="5241" spans="1:25" x14ac:dyDescent="0.35">
      <c r="A5241">
        <v>39.195459629445999</v>
      </c>
      <c r="B5241">
        <v>-121.988844792488</v>
      </c>
      <c r="C5241" t="s">
        <v>25</v>
      </c>
      <c r="D5241">
        <v>49.843939948687499</v>
      </c>
      <c r="E5241">
        <v>7</v>
      </c>
      <c r="F5241">
        <v>2277</v>
      </c>
      <c r="G5241">
        <v>1</v>
      </c>
      <c r="H5241">
        <v>1</v>
      </c>
      <c r="I5241">
        <v>1995</v>
      </c>
      <c r="J5241">
        <v>0</v>
      </c>
      <c r="K5241">
        <v>0</v>
      </c>
      <c r="L5241">
        <v>0</v>
      </c>
      <c r="M5241">
        <v>13</v>
      </c>
      <c r="N5241" t="s">
        <v>26</v>
      </c>
      <c r="O5241" t="s">
        <v>27</v>
      </c>
      <c r="P5241">
        <v>11.9068801746521</v>
      </c>
      <c r="Q5241">
        <v>2.3212252872977102</v>
      </c>
      <c r="R5241">
        <v>9.5179460332839607</v>
      </c>
      <c r="S5241">
        <v>193</v>
      </c>
      <c r="T5241">
        <v>70</v>
      </c>
      <c r="U5241">
        <v>369.48352981833</v>
      </c>
      <c r="V5241">
        <v>5.70926657883179E-3</v>
      </c>
      <c r="W5241">
        <v>912462.623391081</v>
      </c>
      <c r="X5241" t="s">
        <v>33</v>
      </c>
      <c r="Y5241">
        <f>1-375-910-2307</f>
        <v>-3591</v>
      </c>
    </row>
    <row r="5242" spans="1:25" x14ac:dyDescent="0.35">
      <c r="A5242">
        <v>37.127342920251003</v>
      </c>
      <c r="B5242">
        <v>-122.803689630094</v>
      </c>
      <c r="C5242" t="s">
        <v>29</v>
      </c>
      <c r="D5242">
        <v>10.1988807656811</v>
      </c>
      <c r="E5242">
        <v>3</v>
      </c>
      <c r="F5242">
        <v>4678</v>
      </c>
      <c r="G5242">
        <v>5</v>
      </c>
      <c r="H5242">
        <v>1</v>
      </c>
      <c r="I5242">
        <v>1976</v>
      </c>
      <c r="J5242">
        <v>0</v>
      </c>
      <c r="K5242">
        <v>1</v>
      </c>
      <c r="L5242">
        <v>0</v>
      </c>
      <c r="M5242">
        <v>6</v>
      </c>
      <c r="N5242" t="s">
        <v>35</v>
      </c>
      <c r="O5242" t="s">
        <v>27</v>
      </c>
      <c r="P5242">
        <v>10.937682580316901</v>
      </c>
      <c r="Q5242">
        <v>1.3474620362807199</v>
      </c>
      <c r="R5242">
        <v>5.6781748884625296</v>
      </c>
      <c r="S5242">
        <v>83</v>
      </c>
      <c r="T5242">
        <v>73</v>
      </c>
      <c r="U5242">
        <v>237.37078362335899</v>
      </c>
      <c r="V5242">
        <v>1.2825994014536101E-3</v>
      </c>
      <c r="W5242">
        <v>1406163.55422514</v>
      </c>
      <c r="X5242" t="s">
        <v>44</v>
      </c>
      <c r="Y5242">
        <f>1-813-688-5937</f>
        <v>-7437</v>
      </c>
    </row>
    <row r="5243" spans="1:25" x14ac:dyDescent="0.35">
      <c r="A5243">
        <v>39.129722957312602</v>
      </c>
      <c r="B5243">
        <v>-122.148777005892</v>
      </c>
      <c r="C5243" t="s">
        <v>34</v>
      </c>
      <c r="D5243">
        <v>22.022505240285501</v>
      </c>
      <c r="E5243">
        <v>4</v>
      </c>
      <c r="F5243">
        <v>2168</v>
      </c>
      <c r="G5243">
        <v>2</v>
      </c>
      <c r="H5243">
        <v>3</v>
      </c>
      <c r="I5243">
        <v>2016</v>
      </c>
      <c r="J5243">
        <v>1</v>
      </c>
      <c r="K5243">
        <v>0</v>
      </c>
      <c r="L5243">
        <v>0</v>
      </c>
      <c r="M5243">
        <v>11</v>
      </c>
      <c r="N5243" t="s">
        <v>26</v>
      </c>
      <c r="O5243" t="s">
        <v>30</v>
      </c>
      <c r="P5243">
        <v>9.4623347131637097</v>
      </c>
      <c r="Q5243">
        <v>1.8404343499406299</v>
      </c>
      <c r="R5243">
        <v>7.0889947803240103</v>
      </c>
      <c r="S5243">
        <v>106</v>
      </c>
      <c r="T5243">
        <v>26</v>
      </c>
      <c r="U5243">
        <v>685.98344842466997</v>
      </c>
      <c r="V5243">
        <v>5.0738007380073799E-3</v>
      </c>
      <c r="W5243">
        <v>1715729.37246477</v>
      </c>
      <c r="X5243" t="s">
        <v>42</v>
      </c>
      <c r="Y5243">
        <f>1-955-272-9581</f>
        <v>-10807</v>
      </c>
    </row>
    <row r="5244" spans="1:25" x14ac:dyDescent="0.35">
      <c r="A5244">
        <v>40.3564114405536</v>
      </c>
      <c r="B5244">
        <v>-118.411557518386</v>
      </c>
      <c r="C5244" t="s">
        <v>34</v>
      </c>
      <c r="D5244">
        <v>3.0029923973102699</v>
      </c>
      <c r="E5244">
        <v>4</v>
      </c>
      <c r="F5244">
        <v>1046</v>
      </c>
      <c r="G5244">
        <v>2</v>
      </c>
      <c r="H5244">
        <v>1</v>
      </c>
      <c r="I5244">
        <v>2021</v>
      </c>
      <c r="J5244">
        <v>0</v>
      </c>
      <c r="K5244">
        <v>0</v>
      </c>
      <c r="L5244">
        <v>1</v>
      </c>
      <c r="M5244">
        <v>14</v>
      </c>
      <c r="N5244" t="s">
        <v>35</v>
      </c>
      <c r="O5244" t="s">
        <v>27</v>
      </c>
      <c r="P5244">
        <v>8.5926726849636399</v>
      </c>
      <c r="Q5244">
        <v>1.3439506108944199</v>
      </c>
      <c r="R5244">
        <v>9.6214934792269808</v>
      </c>
      <c r="S5244">
        <v>88</v>
      </c>
      <c r="T5244">
        <v>52</v>
      </c>
      <c r="U5244">
        <v>583.15278711424503</v>
      </c>
      <c r="V5244">
        <v>1.33843212237093E-2</v>
      </c>
      <c r="W5244">
        <v>791085.06542990601</v>
      </c>
      <c r="X5244" t="s">
        <v>38</v>
      </c>
      <c r="Y5244">
        <f>1-892-681-3037</f>
        <v>-4609</v>
      </c>
    </row>
    <row r="5245" spans="1:25" x14ac:dyDescent="0.35">
      <c r="A5245">
        <v>34.144013016381599</v>
      </c>
      <c r="B5245">
        <v>-119.36685388684199</v>
      </c>
      <c r="C5245" t="s">
        <v>34</v>
      </c>
      <c r="D5245">
        <v>22.047157132631899</v>
      </c>
      <c r="E5245">
        <v>0</v>
      </c>
      <c r="F5245">
        <v>1803</v>
      </c>
      <c r="G5245">
        <v>4</v>
      </c>
      <c r="H5245">
        <v>1</v>
      </c>
      <c r="I5245">
        <v>2007</v>
      </c>
      <c r="J5245">
        <v>0</v>
      </c>
      <c r="K5245">
        <v>0</v>
      </c>
      <c r="L5245">
        <v>1</v>
      </c>
      <c r="M5245">
        <v>5</v>
      </c>
      <c r="N5245" t="s">
        <v>26</v>
      </c>
      <c r="O5245" t="s">
        <v>27</v>
      </c>
      <c r="P5245">
        <v>8.9430313822677405</v>
      </c>
      <c r="Q5245">
        <v>2.1015086950978299</v>
      </c>
      <c r="R5245">
        <v>0.67790009716583799</v>
      </c>
      <c r="S5245">
        <v>153</v>
      </c>
      <c r="T5245">
        <v>76</v>
      </c>
      <c r="U5245">
        <v>799.98658007364998</v>
      </c>
      <c r="V5245">
        <v>2.77315585135884E-3</v>
      </c>
      <c r="W5245">
        <v>1653651.91390771</v>
      </c>
      <c r="X5245" t="s">
        <v>31</v>
      </c>
      <c r="Y5245">
        <f>1-595-237-6008</f>
        <v>-6839</v>
      </c>
    </row>
    <row r="5246" spans="1:25" x14ac:dyDescent="0.35">
      <c r="A5246">
        <v>32.7751369865979</v>
      </c>
      <c r="B5246">
        <v>-124.416891639767</v>
      </c>
      <c r="C5246" t="s">
        <v>34</v>
      </c>
      <c r="D5246">
        <v>39.070057228334498</v>
      </c>
      <c r="E5246">
        <v>0</v>
      </c>
      <c r="F5246">
        <v>2622</v>
      </c>
      <c r="G5246">
        <v>4</v>
      </c>
      <c r="H5246">
        <v>2</v>
      </c>
      <c r="I5246">
        <v>1973</v>
      </c>
      <c r="J5246">
        <v>0</v>
      </c>
      <c r="K5246">
        <v>0</v>
      </c>
      <c r="L5246">
        <v>1</v>
      </c>
      <c r="M5246">
        <v>9</v>
      </c>
      <c r="N5246" t="s">
        <v>37</v>
      </c>
      <c r="O5246" t="s">
        <v>32</v>
      </c>
      <c r="P5246">
        <v>11.717034457805999</v>
      </c>
      <c r="Q5246">
        <v>1.9704690591256799</v>
      </c>
      <c r="R5246">
        <v>8.4373193505965798</v>
      </c>
      <c r="S5246">
        <v>164</v>
      </c>
      <c r="T5246">
        <v>69</v>
      </c>
      <c r="U5246">
        <v>343.67409464971399</v>
      </c>
      <c r="V5246">
        <v>3.4324942791761999E-3</v>
      </c>
      <c r="W5246">
        <v>1218778.8284261499</v>
      </c>
      <c r="X5246" t="s">
        <v>42</v>
      </c>
      <c r="Y5246">
        <f>1-818-752-6914</f>
        <v>-8483</v>
      </c>
    </row>
    <row r="5247" spans="1:25" x14ac:dyDescent="0.35">
      <c r="A5247">
        <v>38.088249226971698</v>
      </c>
      <c r="B5247">
        <v>-120.390238918365</v>
      </c>
      <c r="C5247" t="s">
        <v>29</v>
      </c>
      <c r="D5247">
        <v>48.812173327206999</v>
      </c>
      <c r="E5247">
        <v>0</v>
      </c>
      <c r="F5247">
        <v>2998</v>
      </c>
      <c r="G5247">
        <v>2</v>
      </c>
      <c r="H5247">
        <v>2</v>
      </c>
      <c r="I5247">
        <v>2013</v>
      </c>
      <c r="J5247">
        <v>0</v>
      </c>
      <c r="K5247">
        <v>1</v>
      </c>
      <c r="L5247">
        <v>1</v>
      </c>
      <c r="M5247">
        <v>5</v>
      </c>
      <c r="N5247" t="s">
        <v>26</v>
      </c>
      <c r="O5247" t="s">
        <v>27</v>
      </c>
      <c r="P5247">
        <v>4.1669127913895201</v>
      </c>
      <c r="Q5247">
        <v>0.53699789631206496</v>
      </c>
      <c r="R5247">
        <v>7.0705553649789996</v>
      </c>
      <c r="S5247">
        <v>29</v>
      </c>
      <c r="T5247">
        <v>71</v>
      </c>
      <c r="U5247">
        <v>742.93151198806299</v>
      </c>
      <c r="V5247">
        <v>1.66777851901267E-3</v>
      </c>
      <c r="W5247">
        <v>2485702.0311127999</v>
      </c>
      <c r="X5247" t="s">
        <v>43</v>
      </c>
      <c r="Y5247">
        <f>1-747-519-8240</f>
        <v>-9505</v>
      </c>
    </row>
    <row r="5248" spans="1:25" x14ac:dyDescent="0.35">
      <c r="A5248">
        <v>41.660733897568498</v>
      </c>
      <c r="B5248">
        <v>-123.259642522988</v>
      </c>
      <c r="C5248" t="s">
        <v>25</v>
      </c>
      <c r="D5248">
        <v>30.8518715151029</v>
      </c>
      <c r="E5248">
        <v>4</v>
      </c>
      <c r="F5248">
        <v>2056</v>
      </c>
      <c r="G5248">
        <v>5</v>
      </c>
      <c r="H5248">
        <v>2</v>
      </c>
      <c r="I5248">
        <v>1991</v>
      </c>
      <c r="J5248">
        <v>0</v>
      </c>
      <c r="K5248">
        <v>1</v>
      </c>
      <c r="L5248">
        <v>0</v>
      </c>
      <c r="M5248">
        <v>4</v>
      </c>
      <c r="N5248" t="s">
        <v>37</v>
      </c>
      <c r="O5248" t="s">
        <v>32</v>
      </c>
      <c r="P5248">
        <v>7.2483789793021201</v>
      </c>
      <c r="Q5248">
        <v>0.98237371550923303</v>
      </c>
      <c r="R5248">
        <v>5.37219349939219</v>
      </c>
      <c r="S5248">
        <v>129</v>
      </c>
      <c r="T5248">
        <v>70</v>
      </c>
      <c r="U5248">
        <v>530.92226963543203</v>
      </c>
      <c r="V5248">
        <v>1.9455252918287899E-3</v>
      </c>
      <c r="W5248">
        <v>1487548.29953897</v>
      </c>
      <c r="X5248" t="s">
        <v>28</v>
      </c>
      <c r="Y5248">
        <f>1-556-377-3536</f>
        <v>-4468</v>
      </c>
    </row>
    <row r="5249" spans="1:25" x14ac:dyDescent="0.35">
      <c r="A5249">
        <v>33.969155439171502</v>
      </c>
      <c r="B5249">
        <v>-114.76319512966499</v>
      </c>
      <c r="C5249" t="s">
        <v>25</v>
      </c>
      <c r="D5249">
        <v>17.522889626720598</v>
      </c>
      <c r="E5249">
        <v>8</v>
      </c>
      <c r="F5249">
        <v>1783</v>
      </c>
      <c r="G5249">
        <v>2</v>
      </c>
      <c r="H5249">
        <v>1</v>
      </c>
      <c r="I5249">
        <v>1993</v>
      </c>
      <c r="J5249">
        <v>0</v>
      </c>
      <c r="K5249">
        <v>1</v>
      </c>
      <c r="L5249">
        <v>0</v>
      </c>
      <c r="M5249">
        <v>4</v>
      </c>
      <c r="N5249" t="s">
        <v>41</v>
      </c>
      <c r="O5249" t="s">
        <v>30</v>
      </c>
      <c r="P5249">
        <v>7.0684700254573398</v>
      </c>
      <c r="Q5249">
        <v>1.0756497670353999</v>
      </c>
      <c r="R5249">
        <v>7.9798493767274001</v>
      </c>
      <c r="S5249">
        <v>167</v>
      </c>
      <c r="T5249">
        <v>61</v>
      </c>
      <c r="U5249">
        <v>360.619503790549</v>
      </c>
      <c r="V5249">
        <v>2.2434099831744199E-3</v>
      </c>
      <c r="W5249">
        <v>850900.76662364602</v>
      </c>
      <c r="X5249" t="s">
        <v>36</v>
      </c>
      <c r="Y5249">
        <f>1-537-367-9688</f>
        <v>-10591</v>
      </c>
    </row>
    <row r="5250" spans="1:25" x14ac:dyDescent="0.35">
      <c r="A5250">
        <v>40.464286544399599</v>
      </c>
      <c r="B5250">
        <v>-116.265867626572</v>
      </c>
      <c r="C5250" t="s">
        <v>25</v>
      </c>
      <c r="D5250">
        <v>37.845510950195198</v>
      </c>
      <c r="E5250">
        <v>3</v>
      </c>
      <c r="F5250">
        <v>3209</v>
      </c>
      <c r="G5250">
        <v>4</v>
      </c>
      <c r="H5250">
        <v>1</v>
      </c>
      <c r="I5250">
        <v>1956</v>
      </c>
      <c r="J5250">
        <v>0</v>
      </c>
      <c r="K5250">
        <v>0</v>
      </c>
      <c r="L5250">
        <v>1</v>
      </c>
      <c r="M5250">
        <v>11</v>
      </c>
      <c r="N5250" t="s">
        <v>26</v>
      </c>
      <c r="O5250" t="s">
        <v>32</v>
      </c>
      <c r="P5250">
        <v>4.9153982122596602</v>
      </c>
      <c r="Q5250">
        <v>2.4045622950555599</v>
      </c>
      <c r="R5250">
        <v>7.6075650887622599</v>
      </c>
      <c r="S5250">
        <v>184</v>
      </c>
      <c r="T5250">
        <v>77</v>
      </c>
      <c r="U5250">
        <v>998.53951078269495</v>
      </c>
      <c r="V5250">
        <v>3.42785914615144E-3</v>
      </c>
      <c r="W5250">
        <v>3271545.3503275099</v>
      </c>
      <c r="X5250" t="s">
        <v>42</v>
      </c>
      <c r="Y5250">
        <f>1-803-467-8094</f>
        <v>-9363</v>
      </c>
    </row>
    <row r="5251" spans="1:25" x14ac:dyDescent="0.35">
      <c r="A5251">
        <v>36.611390759577503</v>
      </c>
      <c r="B5251">
        <v>-123.91056451033801</v>
      </c>
      <c r="C5251" t="s">
        <v>34</v>
      </c>
      <c r="D5251">
        <v>48.217835231211403</v>
      </c>
      <c r="E5251">
        <v>2</v>
      </c>
      <c r="F5251">
        <v>3876</v>
      </c>
      <c r="G5251">
        <v>4</v>
      </c>
      <c r="H5251">
        <v>1</v>
      </c>
      <c r="I5251">
        <v>1994</v>
      </c>
      <c r="J5251">
        <v>0</v>
      </c>
      <c r="K5251">
        <v>1</v>
      </c>
      <c r="L5251">
        <v>0</v>
      </c>
      <c r="M5251">
        <v>2</v>
      </c>
      <c r="N5251" t="s">
        <v>26</v>
      </c>
      <c r="O5251" t="s">
        <v>32</v>
      </c>
      <c r="P5251">
        <v>12.2762363895047</v>
      </c>
      <c r="Q5251">
        <v>1.17069483856948</v>
      </c>
      <c r="R5251">
        <v>6.83227797109656</v>
      </c>
      <c r="S5251">
        <v>11</v>
      </c>
      <c r="T5251">
        <v>50</v>
      </c>
      <c r="U5251">
        <v>882.67024312839101</v>
      </c>
      <c r="V5251">
        <v>5.1599587203302304E-4</v>
      </c>
      <c r="W5251">
        <v>3853824.8476506998</v>
      </c>
      <c r="X5251" t="s">
        <v>43</v>
      </c>
      <c r="Y5251">
        <f>1-408-908-5897</f>
        <v>-7212</v>
      </c>
    </row>
    <row r="5252" spans="1:25" x14ac:dyDescent="0.35">
      <c r="A5252">
        <v>41.440915250925997</v>
      </c>
      <c r="B5252">
        <v>-123.472207287117</v>
      </c>
      <c r="C5252" t="s">
        <v>34</v>
      </c>
      <c r="D5252">
        <v>39.548557023566502</v>
      </c>
      <c r="E5252">
        <v>4</v>
      </c>
      <c r="F5252">
        <v>960</v>
      </c>
      <c r="G5252">
        <v>1</v>
      </c>
      <c r="H5252">
        <v>1</v>
      </c>
      <c r="I5252">
        <v>2019</v>
      </c>
      <c r="J5252">
        <v>0</v>
      </c>
      <c r="K5252">
        <v>0</v>
      </c>
      <c r="L5252">
        <v>0</v>
      </c>
      <c r="M5252">
        <v>3</v>
      </c>
      <c r="N5252" t="s">
        <v>26</v>
      </c>
      <c r="O5252" t="s">
        <v>27</v>
      </c>
      <c r="P5252">
        <v>6.8191767067439102</v>
      </c>
      <c r="Q5252">
        <v>0.90654137287891801</v>
      </c>
      <c r="R5252">
        <v>3.9058184018538098</v>
      </c>
      <c r="S5252">
        <v>98</v>
      </c>
      <c r="T5252">
        <v>26</v>
      </c>
      <c r="U5252">
        <v>287.18989319048802</v>
      </c>
      <c r="V5252">
        <v>3.1250000000000002E-3</v>
      </c>
      <c r="W5252">
        <v>356242.35815885302</v>
      </c>
      <c r="X5252" t="s">
        <v>43</v>
      </c>
      <c r="Y5252">
        <f>1-323-776-5143</f>
        <v>-6241</v>
      </c>
    </row>
    <row r="5253" spans="1:25" x14ac:dyDescent="0.35">
      <c r="A5253">
        <v>33.5096556062202</v>
      </c>
      <c r="B5253">
        <v>-120.443580892151</v>
      </c>
      <c r="C5253" t="s">
        <v>25</v>
      </c>
      <c r="D5253">
        <v>4.4244701425050899</v>
      </c>
      <c r="E5253">
        <v>8</v>
      </c>
      <c r="F5253">
        <v>4240</v>
      </c>
      <c r="G5253">
        <v>1</v>
      </c>
      <c r="H5253">
        <v>1</v>
      </c>
      <c r="I5253">
        <v>1993</v>
      </c>
      <c r="J5253">
        <v>1</v>
      </c>
      <c r="K5253">
        <v>0</v>
      </c>
      <c r="L5253">
        <v>0</v>
      </c>
      <c r="M5253">
        <v>14</v>
      </c>
      <c r="N5253" t="s">
        <v>35</v>
      </c>
      <c r="O5253" t="s">
        <v>32</v>
      </c>
      <c r="P5253">
        <v>14.826962028869801</v>
      </c>
      <c r="Q5253">
        <v>0.78515338624993603</v>
      </c>
      <c r="R5253">
        <v>3.2996739087501301</v>
      </c>
      <c r="S5253">
        <v>18</v>
      </c>
      <c r="T5253">
        <v>62</v>
      </c>
      <c r="U5253">
        <v>651.05509115103598</v>
      </c>
      <c r="V5253">
        <v>3.3018867924528299E-3</v>
      </c>
      <c r="W5253">
        <v>2964526.2462486001</v>
      </c>
      <c r="X5253" t="s">
        <v>44</v>
      </c>
      <c r="Y5253">
        <f>1-838-743-2790</f>
        <v>-4370</v>
      </c>
    </row>
    <row r="5254" spans="1:25" x14ac:dyDescent="0.35">
      <c r="A5254">
        <v>39.087248591950697</v>
      </c>
      <c r="B5254">
        <v>-116.033888617239</v>
      </c>
      <c r="C5254" t="s">
        <v>29</v>
      </c>
      <c r="D5254">
        <v>9.69761515883547</v>
      </c>
      <c r="E5254">
        <v>1</v>
      </c>
      <c r="F5254">
        <v>2704</v>
      </c>
      <c r="G5254">
        <v>1</v>
      </c>
      <c r="H5254">
        <v>1</v>
      </c>
      <c r="I5254">
        <v>1987</v>
      </c>
      <c r="J5254">
        <v>1</v>
      </c>
      <c r="K5254">
        <v>1</v>
      </c>
      <c r="L5254">
        <v>1</v>
      </c>
      <c r="M5254">
        <v>13</v>
      </c>
      <c r="N5254" t="s">
        <v>41</v>
      </c>
      <c r="O5254" t="s">
        <v>30</v>
      </c>
      <c r="P5254">
        <v>14.2117533040295</v>
      </c>
      <c r="Q5254">
        <v>1.6836223560918899</v>
      </c>
      <c r="R5254">
        <v>8.7817391838357199</v>
      </c>
      <c r="S5254">
        <v>92</v>
      </c>
      <c r="T5254">
        <v>68</v>
      </c>
      <c r="U5254">
        <v>465.27114587158002</v>
      </c>
      <c r="V5254">
        <v>4.8076923076923002E-3</v>
      </c>
      <c r="W5254">
        <v>1560318.74829213</v>
      </c>
      <c r="X5254" t="s">
        <v>43</v>
      </c>
      <c r="Y5254">
        <f>1-302-249-1551</f>
        <v>-2101</v>
      </c>
    </row>
    <row r="5255" spans="1:25" x14ac:dyDescent="0.35">
      <c r="A5255">
        <v>32.849195316331198</v>
      </c>
      <c r="B5255">
        <v>-122.439194211165</v>
      </c>
      <c r="C5255" t="s">
        <v>29</v>
      </c>
      <c r="D5255">
        <v>36.751560596647501</v>
      </c>
      <c r="E5255">
        <v>6</v>
      </c>
      <c r="F5255">
        <v>2199</v>
      </c>
      <c r="G5255">
        <v>4</v>
      </c>
      <c r="H5255">
        <v>2</v>
      </c>
      <c r="I5255">
        <v>1966</v>
      </c>
      <c r="J5255">
        <v>0</v>
      </c>
      <c r="K5255">
        <v>0</v>
      </c>
      <c r="L5255">
        <v>1</v>
      </c>
      <c r="M5255">
        <v>14</v>
      </c>
      <c r="N5255" t="s">
        <v>26</v>
      </c>
      <c r="O5255" t="s">
        <v>32</v>
      </c>
      <c r="P5255">
        <v>14.316535125177399</v>
      </c>
      <c r="Q5255">
        <v>1.8716539982712801</v>
      </c>
      <c r="R5255">
        <v>9.1834496480793195</v>
      </c>
      <c r="S5255">
        <v>182</v>
      </c>
      <c r="T5255">
        <v>43</v>
      </c>
      <c r="U5255">
        <v>474.91286667318502</v>
      </c>
      <c r="V5255">
        <v>6.3665302410186404E-3</v>
      </c>
      <c r="W5255">
        <v>1368024.32906307</v>
      </c>
      <c r="X5255" t="s">
        <v>39</v>
      </c>
      <c r="Y5255">
        <f>1-400-393-4514</f>
        <v>-5306</v>
      </c>
    </row>
    <row r="5256" spans="1:25" x14ac:dyDescent="0.35">
      <c r="A5256">
        <v>41.744818145596398</v>
      </c>
      <c r="B5256">
        <v>-123.296167520756</v>
      </c>
      <c r="C5256" t="s">
        <v>29</v>
      </c>
      <c r="D5256">
        <v>15.651779454645199</v>
      </c>
      <c r="E5256">
        <v>1</v>
      </c>
      <c r="F5256">
        <v>4950</v>
      </c>
      <c r="G5256">
        <v>4</v>
      </c>
      <c r="H5256">
        <v>1</v>
      </c>
      <c r="I5256">
        <v>2000</v>
      </c>
      <c r="J5256">
        <v>1</v>
      </c>
      <c r="K5256">
        <v>0</v>
      </c>
      <c r="L5256">
        <v>1</v>
      </c>
      <c r="M5256">
        <v>14</v>
      </c>
      <c r="N5256" t="s">
        <v>35</v>
      </c>
      <c r="O5256" t="s">
        <v>30</v>
      </c>
      <c r="P5256">
        <v>3.7662506900550001</v>
      </c>
      <c r="Q5256">
        <v>2.26997584031845</v>
      </c>
      <c r="R5256">
        <v>7.4812780347817203</v>
      </c>
      <c r="S5256">
        <v>135</v>
      </c>
      <c r="T5256">
        <v>67</v>
      </c>
      <c r="U5256">
        <v>503.630046096103</v>
      </c>
      <c r="V5256">
        <v>2.82828282828282E-3</v>
      </c>
      <c r="W5256">
        <v>2740033.7089860002</v>
      </c>
      <c r="X5256" t="s">
        <v>39</v>
      </c>
      <c r="Y5256">
        <f>1-928-242-8248</f>
        <v>-9417</v>
      </c>
    </row>
    <row r="5257" spans="1:25" x14ac:dyDescent="0.35">
      <c r="A5257">
        <v>39.689054982847999</v>
      </c>
      <c r="B5257">
        <v>-119.537193629798</v>
      </c>
      <c r="C5257" t="s">
        <v>34</v>
      </c>
      <c r="D5257">
        <v>44.632367908082102</v>
      </c>
      <c r="E5257">
        <v>0</v>
      </c>
      <c r="F5257">
        <v>1821</v>
      </c>
      <c r="G5257">
        <v>5</v>
      </c>
      <c r="H5257">
        <v>2</v>
      </c>
      <c r="I5257">
        <v>1993</v>
      </c>
      <c r="J5257">
        <v>1</v>
      </c>
      <c r="K5257">
        <v>1</v>
      </c>
      <c r="L5257">
        <v>0</v>
      </c>
      <c r="M5257">
        <v>9</v>
      </c>
      <c r="N5257" t="s">
        <v>41</v>
      </c>
      <c r="O5257" t="s">
        <v>30</v>
      </c>
      <c r="P5257">
        <v>9.3159726440567994</v>
      </c>
      <c r="Q5257">
        <v>1.3308381809071701</v>
      </c>
      <c r="R5257">
        <v>9.3257521618128205</v>
      </c>
      <c r="S5257">
        <v>107</v>
      </c>
      <c r="T5257">
        <v>24</v>
      </c>
      <c r="U5257">
        <v>289.81208727833001</v>
      </c>
      <c r="V5257">
        <v>4.9423393739703404E-3</v>
      </c>
      <c r="W5257">
        <v>973469.03225460195</v>
      </c>
      <c r="X5257" t="s">
        <v>39</v>
      </c>
      <c r="Y5257">
        <f>1-413-483-7365</f>
        <v>-8260</v>
      </c>
    </row>
    <row r="5258" spans="1:25" x14ac:dyDescent="0.35">
      <c r="A5258">
        <v>40.967342690387802</v>
      </c>
      <c r="B5258">
        <v>-118.618738615924</v>
      </c>
      <c r="C5258" t="s">
        <v>29</v>
      </c>
      <c r="D5258">
        <v>5.11670485131829</v>
      </c>
      <c r="E5258">
        <v>6</v>
      </c>
      <c r="F5258">
        <v>3369</v>
      </c>
      <c r="G5258">
        <v>1</v>
      </c>
      <c r="H5258">
        <v>3</v>
      </c>
      <c r="I5258">
        <v>1995</v>
      </c>
      <c r="J5258">
        <v>1</v>
      </c>
      <c r="K5258">
        <v>1</v>
      </c>
      <c r="L5258">
        <v>0</v>
      </c>
      <c r="M5258">
        <v>4</v>
      </c>
      <c r="N5258" t="s">
        <v>35</v>
      </c>
      <c r="O5258" t="s">
        <v>30</v>
      </c>
      <c r="P5258">
        <v>11.8704264933387</v>
      </c>
      <c r="Q5258">
        <v>1.5066142243582199</v>
      </c>
      <c r="R5258">
        <v>1.9086954203414499</v>
      </c>
      <c r="S5258">
        <v>34</v>
      </c>
      <c r="T5258">
        <v>32</v>
      </c>
      <c r="U5258">
        <v>790.404244968282</v>
      </c>
      <c r="V5258">
        <v>1.18729593351142E-3</v>
      </c>
      <c r="W5258">
        <v>3063827.1390641299</v>
      </c>
      <c r="X5258" t="s">
        <v>43</v>
      </c>
      <c r="Y5258">
        <f>1-685-811-6172</f>
        <v>-7667</v>
      </c>
    </row>
    <row r="5259" spans="1:25" x14ac:dyDescent="0.35">
      <c r="A5259">
        <v>35.798544413416401</v>
      </c>
      <c r="B5259">
        <v>-115.790643587635</v>
      </c>
      <c r="C5259" t="s">
        <v>34</v>
      </c>
      <c r="D5259">
        <v>28.5911866651489</v>
      </c>
      <c r="E5259">
        <v>8</v>
      </c>
      <c r="F5259">
        <v>2498</v>
      </c>
      <c r="G5259">
        <v>1</v>
      </c>
      <c r="H5259">
        <v>3</v>
      </c>
      <c r="I5259">
        <v>1995</v>
      </c>
      <c r="J5259">
        <v>0</v>
      </c>
      <c r="K5259">
        <v>0</v>
      </c>
      <c r="L5259">
        <v>0</v>
      </c>
      <c r="M5259">
        <v>3</v>
      </c>
      <c r="N5259" t="s">
        <v>41</v>
      </c>
      <c r="O5259" t="s">
        <v>27</v>
      </c>
      <c r="P5259">
        <v>5.8028510622791698</v>
      </c>
      <c r="Q5259">
        <v>2.4647495754344</v>
      </c>
      <c r="R5259">
        <v>9.3029079376583095</v>
      </c>
      <c r="S5259">
        <v>171</v>
      </c>
      <c r="T5259">
        <v>22</v>
      </c>
      <c r="U5259">
        <v>835.55136957690502</v>
      </c>
      <c r="V5259">
        <v>1.2009607686148901E-3</v>
      </c>
      <c r="W5259">
        <v>2165097.8065422801</v>
      </c>
      <c r="X5259" t="s">
        <v>44</v>
      </c>
      <c r="Y5259">
        <f>1-808-156-9429</f>
        <v>-10392</v>
      </c>
    </row>
    <row r="5260" spans="1:25" x14ac:dyDescent="0.35">
      <c r="A5260">
        <v>39.351497299591202</v>
      </c>
      <c r="B5260">
        <v>-122.82109041425799</v>
      </c>
      <c r="C5260" t="s">
        <v>25</v>
      </c>
      <c r="D5260">
        <v>17.5635065354614</v>
      </c>
      <c r="E5260">
        <v>8</v>
      </c>
      <c r="F5260">
        <v>2188</v>
      </c>
      <c r="G5260">
        <v>1</v>
      </c>
      <c r="H5260">
        <v>3</v>
      </c>
      <c r="I5260">
        <v>2019</v>
      </c>
      <c r="J5260">
        <v>1</v>
      </c>
      <c r="K5260">
        <v>1</v>
      </c>
      <c r="L5260">
        <v>1</v>
      </c>
      <c r="M5260">
        <v>13</v>
      </c>
      <c r="N5260" t="s">
        <v>26</v>
      </c>
      <c r="O5260" t="s">
        <v>32</v>
      </c>
      <c r="P5260">
        <v>12.7364337105115</v>
      </c>
      <c r="Q5260">
        <v>0.94392871228097697</v>
      </c>
      <c r="R5260">
        <v>2.1501723050050701</v>
      </c>
      <c r="S5260">
        <v>135</v>
      </c>
      <c r="T5260">
        <v>23</v>
      </c>
      <c r="U5260">
        <v>456.13827031023999</v>
      </c>
      <c r="V5260">
        <v>5.9414990859232098E-3</v>
      </c>
      <c r="W5260">
        <v>1377929.7898013501</v>
      </c>
      <c r="X5260" t="s">
        <v>31</v>
      </c>
      <c r="Y5260">
        <f>1-335-646-5924</f>
        <v>-6904</v>
      </c>
    </row>
    <row r="5261" spans="1:25" x14ac:dyDescent="0.35">
      <c r="A5261">
        <v>38.211247529128698</v>
      </c>
      <c r="B5261">
        <v>-114.829691773932</v>
      </c>
      <c r="C5261" t="s">
        <v>29</v>
      </c>
      <c r="D5261">
        <v>27.739075827539299</v>
      </c>
      <c r="E5261">
        <v>8</v>
      </c>
      <c r="F5261">
        <v>1963</v>
      </c>
      <c r="G5261">
        <v>2</v>
      </c>
      <c r="H5261">
        <v>3</v>
      </c>
      <c r="I5261">
        <v>1969</v>
      </c>
      <c r="J5261">
        <v>0</v>
      </c>
      <c r="K5261">
        <v>1</v>
      </c>
      <c r="L5261">
        <v>1</v>
      </c>
      <c r="M5261">
        <v>4</v>
      </c>
      <c r="N5261" t="s">
        <v>37</v>
      </c>
      <c r="O5261" t="s">
        <v>27</v>
      </c>
      <c r="P5261">
        <v>11.3627772521567</v>
      </c>
      <c r="Q5261">
        <v>1.4874417989044499</v>
      </c>
      <c r="R5261">
        <v>7.6014483226377196</v>
      </c>
      <c r="S5261">
        <v>143</v>
      </c>
      <c r="T5261">
        <v>50</v>
      </c>
      <c r="U5261">
        <v>806.53098815392002</v>
      </c>
      <c r="V5261">
        <v>2.0376974019358099E-3</v>
      </c>
      <c r="W5261">
        <v>1850784.9186800199</v>
      </c>
      <c r="X5261" t="s">
        <v>43</v>
      </c>
      <c r="Y5261">
        <f>1-266-416-8316</f>
        <v>-8997</v>
      </c>
    </row>
    <row r="5262" spans="1:25" x14ac:dyDescent="0.35">
      <c r="A5262">
        <v>34.8045511419325</v>
      </c>
      <c r="B5262">
        <v>-114.455652404601</v>
      </c>
      <c r="C5262" t="s">
        <v>25</v>
      </c>
      <c r="D5262">
        <v>11.1056235331754</v>
      </c>
      <c r="E5262">
        <v>4</v>
      </c>
      <c r="F5262">
        <v>2819</v>
      </c>
      <c r="G5262">
        <v>5</v>
      </c>
      <c r="H5262">
        <v>2</v>
      </c>
      <c r="I5262">
        <v>1988</v>
      </c>
      <c r="J5262">
        <v>1</v>
      </c>
      <c r="K5262">
        <v>0</v>
      </c>
      <c r="L5262">
        <v>1</v>
      </c>
      <c r="M5262">
        <v>8</v>
      </c>
      <c r="N5262" t="s">
        <v>41</v>
      </c>
      <c r="O5262" t="s">
        <v>27</v>
      </c>
      <c r="P5262">
        <v>2.2410894103849599</v>
      </c>
      <c r="Q5262">
        <v>2.2355240954032198</v>
      </c>
      <c r="R5262">
        <v>0.655768364839454</v>
      </c>
      <c r="S5262">
        <v>160</v>
      </c>
      <c r="T5262">
        <v>62</v>
      </c>
      <c r="U5262">
        <v>716.33460214449804</v>
      </c>
      <c r="V5262">
        <v>2.83788577509755E-3</v>
      </c>
      <c r="W5262">
        <v>2337988.0346804098</v>
      </c>
      <c r="X5262" t="s">
        <v>43</v>
      </c>
      <c r="Y5262">
        <f>1-817-275-8186</f>
        <v>-9277</v>
      </c>
    </row>
    <row r="5263" spans="1:25" x14ac:dyDescent="0.35">
      <c r="A5263">
        <v>39.475824588760297</v>
      </c>
      <c r="B5263">
        <v>-124.367614894158</v>
      </c>
      <c r="C5263" t="s">
        <v>25</v>
      </c>
      <c r="D5263">
        <v>5.6146416307834697</v>
      </c>
      <c r="E5263">
        <v>0</v>
      </c>
      <c r="F5263">
        <v>4203</v>
      </c>
      <c r="G5263">
        <v>3</v>
      </c>
      <c r="H5263">
        <v>1</v>
      </c>
      <c r="I5263">
        <v>1995</v>
      </c>
      <c r="J5263">
        <v>0</v>
      </c>
      <c r="K5263">
        <v>0</v>
      </c>
      <c r="L5263">
        <v>0</v>
      </c>
      <c r="M5263">
        <v>13</v>
      </c>
      <c r="N5263" t="s">
        <v>26</v>
      </c>
      <c r="O5263" t="s">
        <v>30</v>
      </c>
      <c r="P5263">
        <v>5.8990524174746604</v>
      </c>
      <c r="Q5263">
        <v>2.1238862215924699</v>
      </c>
      <c r="R5263">
        <v>8.6545862602824197</v>
      </c>
      <c r="S5263">
        <v>127</v>
      </c>
      <c r="T5263">
        <v>67</v>
      </c>
      <c r="U5263">
        <v>441.16807954127</v>
      </c>
      <c r="V5263">
        <v>3.0930287889602598E-3</v>
      </c>
      <c r="W5263">
        <v>1968638.2721803901</v>
      </c>
      <c r="X5263" t="s">
        <v>43</v>
      </c>
      <c r="Y5263">
        <f>1-921-612-9694</f>
        <v>-11226</v>
      </c>
    </row>
    <row r="5264" spans="1:25" x14ac:dyDescent="0.35">
      <c r="A5264">
        <v>36.255211881556399</v>
      </c>
      <c r="B5264">
        <v>-121.73876540946701</v>
      </c>
      <c r="C5264" t="s">
        <v>25</v>
      </c>
      <c r="D5264">
        <v>29.993646852971601</v>
      </c>
      <c r="E5264">
        <v>8</v>
      </c>
      <c r="F5264">
        <v>1154</v>
      </c>
      <c r="G5264">
        <v>1</v>
      </c>
      <c r="H5264">
        <v>1</v>
      </c>
      <c r="I5264">
        <v>1962</v>
      </c>
      <c r="J5264">
        <v>1</v>
      </c>
      <c r="K5264">
        <v>0</v>
      </c>
      <c r="L5264">
        <v>0</v>
      </c>
      <c r="M5264">
        <v>14</v>
      </c>
      <c r="N5264" t="s">
        <v>35</v>
      </c>
      <c r="O5264" t="s">
        <v>27</v>
      </c>
      <c r="P5264">
        <v>12.657250454778801</v>
      </c>
      <c r="Q5264">
        <v>1.0459836082330101</v>
      </c>
      <c r="R5264">
        <v>3.5764080393339599</v>
      </c>
      <c r="S5264">
        <v>59</v>
      </c>
      <c r="T5264">
        <v>52</v>
      </c>
      <c r="U5264">
        <v>946.19358049965399</v>
      </c>
      <c r="V5264">
        <v>1.2131715771230501E-2</v>
      </c>
      <c r="W5264">
        <v>1219802.238629</v>
      </c>
      <c r="X5264" t="s">
        <v>31</v>
      </c>
      <c r="Y5264">
        <f>1-308-987-2780</f>
        <v>-4074</v>
      </c>
    </row>
    <row r="5265" spans="1:25" x14ac:dyDescent="0.35">
      <c r="A5265">
        <v>39.502005526623897</v>
      </c>
      <c r="B5265">
        <v>-122.538814075684</v>
      </c>
      <c r="C5265" t="s">
        <v>34</v>
      </c>
      <c r="D5265">
        <v>21.3568414183577</v>
      </c>
      <c r="E5265">
        <v>9</v>
      </c>
      <c r="F5265">
        <v>2215</v>
      </c>
      <c r="G5265">
        <v>2</v>
      </c>
      <c r="H5265">
        <v>3</v>
      </c>
      <c r="I5265">
        <v>1968</v>
      </c>
      <c r="J5265">
        <v>0</v>
      </c>
      <c r="K5265">
        <v>0</v>
      </c>
      <c r="L5265">
        <v>0</v>
      </c>
      <c r="M5265">
        <v>8</v>
      </c>
      <c r="N5265" t="s">
        <v>41</v>
      </c>
      <c r="O5265" t="s">
        <v>32</v>
      </c>
      <c r="P5265">
        <v>13.782680271722199</v>
      </c>
      <c r="Q5265">
        <v>0.72235984190626201</v>
      </c>
      <c r="R5265">
        <v>4.8862196113914598</v>
      </c>
      <c r="S5265">
        <v>159</v>
      </c>
      <c r="T5265">
        <v>36</v>
      </c>
      <c r="U5265">
        <v>738.66558703853696</v>
      </c>
      <c r="V5265">
        <v>3.6117381489841902E-3</v>
      </c>
      <c r="W5265">
        <v>1826926.54399346</v>
      </c>
      <c r="X5265" t="s">
        <v>36</v>
      </c>
      <c r="Y5265">
        <f>1-768-705-4972</f>
        <v>-6444</v>
      </c>
    </row>
    <row r="5266" spans="1:25" x14ac:dyDescent="0.35">
      <c r="A5266">
        <v>34.442241329120201</v>
      </c>
      <c r="B5266">
        <v>-114.57911703035499</v>
      </c>
      <c r="C5266" t="s">
        <v>34</v>
      </c>
      <c r="D5266">
        <v>20.208087461289999</v>
      </c>
      <c r="E5266">
        <v>9</v>
      </c>
      <c r="F5266">
        <v>4372</v>
      </c>
      <c r="G5266">
        <v>4</v>
      </c>
      <c r="H5266">
        <v>1</v>
      </c>
      <c r="I5266">
        <v>1965</v>
      </c>
      <c r="J5266">
        <v>0</v>
      </c>
      <c r="K5266">
        <v>0</v>
      </c>
      <c r="L5266">
        <v>1</v>
      </c>
      <c r="M5266">
        <v>13</v>
      </c>
      <c r="N5266" t="s">
        <v>26</v>
      </c>
      <c r="O5266" t="s">
        <v>27</v>
      </c>
      <c r="P5266">
        <v>3.3672504531023799</v>
      </c>
      <c r="Q5266">
        <v>1.58451739777475</v>
      </c>
      <c r="R5266">
        <v>8.2075118294642504</v>
      </c>
      <c r="S5266">
        <v>117</v>
      </c>
      <c r="T5266">
        <v>62</v>
      </c>
      <c r="U5266">
        <v>838.359265851955</v>
      </c>
      <c r="V5266">
        <v>2.97346752058554E-3</v>
      </c>
      <c r="W5266">
        <v>3810127.4102315102</v>
      </c>
      <c r="X5266" t="s">
        <v>36</v>
      </c>
      <c r="Y5266">
        <f>1-843-118-3140</f>
        <v>-4100</v>
      </c>
    </row>
    <row r="5267" spans="1:25" x14ac:dyDescent="0.35">
      <c r="A5267">
        <v>39.472008935551699</v>
      </c>
      <c r="B5267">
        <v>-118.69276684951301</v>
      </c>
      <c r="C5267" t="s">
        <v>29</v>
      </c>
      <c r="D5267">
        <v>49.327985527282202</v>
      </c>
      <c r="E5267">
        <v>9</v>
      </c>
      <c r="F5267">
        <v>2171</v>
      </c>
      <c r="G5267">
        <v>3</v>
      </c>
      <c r="H5267">
        <v>3</v>
      </c>
      <c r="I5267">
        <v>1968</v>
      </c>
      <c r="J5267">
        <v>1</v>
      </c>
      <c r="K5267">
        <v>1</v>
      </c>
      <c r="L5267">
        <v>1</v>
      </c>
      <c r="M5267">
        <v>3</v>
      </c>
      <c r="N5267" t="s">
        <v>37</v>
      </c>
      <c r="O5267" t="s">
        <v>32</v>
      </c>
      <c r="P5267">
        <v>14.132906496110399</v>
      </c>
      <c r="Q5267">
        <v>2.3036130984299898</v>
      </c>
      <c r="R5267">
        <v>0.77128464949769404</v>
      </c>
      <c r="S5267">
        <v>175</v>
      </c>
      <c r="T5267">
        <v>74</v>
      </c>
      <c r="U5267">
        <v>409.498823054909</v>
      </c>
      <c r="V5267">
        <v>1.38185168125287E-3</v>
      </c>
      <c r="W5267">
        <v>1289525.00408207</v>
      </c>
      <c r="X5267" t="s">
        <v>33</v>
      </c>
      <c r="Y5267">
        <f>1-718-305-2794</f>
        <v>-3816</v>
      </c>
    </row>
    <row r="5268" spans="1:25" x14ac:dyDescent="0.35">
      <c r="A5268">
        <v>39.468815579541101</v>
      </c>
      <c r="B5268">
        <v>-116.628070575583</v>
      </c>
      <c r="C5268" t="s">
        <v>29</v>
      </c>
      <c r="D5268">
        <v>12.2237870723205</v>
      </c>
      <c r="E5268">
        <v>6</v>
      </c>
      <c r="F5268">
        <v>2494</v>
      </c>
      <c r="G5268">
        <v>1</v>
      </c>
      <c r="H5268">
        <v>3</v>
      </c>
      <c r="I5268">
        <v>1975</v>
      </c>
      <c r="J5268">
        <v>1</v>
      </c>
      <c r="K5268">
        <v>0</v>
      </c>
      <c r="L5268">
        <v>0</v>
      </c>
      <c r="M5268">
        <v>14</v>
      </c>
      <c r="N5268" t="s">
        <v>37</v>
      </c>
      <c r="O5268" t="s">
        <v>32</v>
      </c>
      <c r="P5268">
        <v>12.641517179051601</v>
      </c>
      <c r="Q5268">
        <v>0.98459232094496796</v>
      </c>
      <c r="R5268">
        <v>7.1955953648265503</v>
      </c>
      <c r="S5268">
        <v>50</v>
      </c>
      <c r="T5268">
        <v>30</v>
      </c>
      <c r="U5268">
        <v>974.18457797443898</v>
      </c>
      <c r="V5268">
        <v>5.6134723336006397E-3</v>
      </c>
      <c r="W5268">
        <v>2707932.8815042898</v>
      </c>
      <c r="X5268" t="s">
        <v>44</v>
      </c>
      <c r="Y5268">
        <f>1-500-238-1683</f>
        <v>-2420</v>
      </c>
    </row>
    <row r="5269" spans="1:25" x14ac:dyDescent="0.35">
      <c r="A5269">
        <v>36.485357984279702</v>
      </c>
      <c r="B5269">
        <v>-124.098751033421</v>
      </c>
      <c r="C5269" t="s">
        <v>29</v>
      </c>
      <c r="D5269">
        <v>8.02568108203495</v>
      </c>
      <c r="E5269">
        <v>6</v>
      </c>
      <c r="F5269">
        <v>1302</v>
      </c>
      <c r="G5269">
        <v>1</v>
      </c>
      <c r="H5269">
        <v>3</v>
      </c>
      <c r="I5269">
        <v>1997</v>
      </c>
      <c r="J5269">
        <v>0</v>
      </c>
      <c r="K5269">
        <v>1</v>
      </c>
      <c r="L5269">
        <v>0</v>
      </c>
      <c r="M5269">
        <v>8</v>
      </c>
      <c r="N5269" t="s">
        <v>41</v>
      </c>
      <c r="O5269" t="s">
        <v>30</v>
      </c>
      <c r="P5269">
        <v>12.375558064642499</v>
      </c>
      <c r="Q5269">
        <v>0.850701081900193</v>
      </c>
      <c r="R5269">
        <v>3.3008465487318501</v>
      </c>
      <c r="S5269">
        <v>133</v>
      </c>
      <c r="T5269">
        <v>55</v>
      </c>
      <c r="U5269">
        <v>203.86934334281199</v>
      </c>
      <c r="V5269">
        <v>6.1443932411674304E-3</v>
      </c>
      <c r="W5269">
        <v>461085.198086466</v>
      </c>
      <c r="X5269" t="s">
        <v>33</v>
      </c>
      <c r="Y5269">
        <f>1-242-530-4701</f>
        <v>-5472</v>
      </c>
    </row>
    <row r="5270" spans="1:25" x14ac:dyDescent="0.35">
      <c r="A5270">
        <v>39.952761602408998</v>
      </c>
      <c r="B5270">
        <v>-120.82339420432</v>
      </c>
      <c r="C5270" t="s">
        <v>25</v>
      </c>
      <c r="D5270">
        <v>47.475185826385001</v>
      </c>
      <c r="E5270">
        <v>8</v>
      </c>
      <c r="F5270">
        <v>4870</v>
      </c>
      <c r="G5270">
        <v>1</v>
      </c>
      <c r="H5270">
        <v>2</v>
      </c>
      <c r="I5270">
        <v>1970</v>
      </c>
      <c r="J5270">
        <v>1</v>
      </c>
      <c r="K5270">
        <v>0</v>
      </c>
      <c r="L5270">
        <v>0</v>
      </c>
      <c r="M5270">
        <v>2</v>
      </c>
      <c r="N5270" t="s">
        <v>37</v>
      </c>
      <c r="O5270" t="s">
        <v>30</v>
      </c>
      <c r="P5270">
        <v>6.0577592976491399</v>
      </c>
      <c r="Q5270">
        <v>1.1802395375997701</v>
      </c>
      <c r="R5270">
        <v>7.1942023929319596</v>
      </c>
      <c r="S5270">
        <v>53</v>
      </c>
      <c r="T5270">
        <v>65</v>
      </c>
      <c r="U5270">
        <v>749.87242959609102</v>
      </c>
      <c r="V5270">
        <v>4.1067761806981503E-4</v>
      </c>
      <c r="W5270">
        <v>3717328.62217762</v>
      </c>
      <c r="X5270" t="s">
        <v>38</v>
      </c>
      <c r="Y5270">
        <f>1-626-561-7023</f>
        <v>-8209</v>
      </c>
    </row>
    <row r="5271" spans="1:25" x14ac:dyDescent="0.35">
      <c r="A5271">
        <v>39.725234463736598</v>
      </c>
      <c r="B5271">
        <v>-124.06487421975</v>
      </c>
      <c r="C5271" t="s">
        <v>29</v>
      </c>
      <c r="D5271">
        <v>39.495207843712201</v>
      </c>
      <c r="E5271">
        <v>8</v>
      </c>
      <c r="F5271">
        <v>1910</v>
      </c>
      <c r="G5271">
        <v>3</v>
      </c>
      <c r="H5271">
        <v>3</v>
      </c>
      <c r="I5271">
        <v>2002</v>
      </c>
      <c r="J5271">
        <v>1</v>
      </c>
      <c r="K5271">
        <v>0</v>
      </c>
      <c r="L5271">
        <v>1</v>
      </c>
      <c r="M5271">
        <v>12</v>
      </c>
      <c r="N5271" t="s">
        <v>41</v>
      </c>
      <c r="O5271" t="s">
        <v>30</v>
      </c>
      <c r="P5271">
        <v>14.817550654999801</v>
      </c>
      <c r="Q5271">
        <v>2.4355720462703001</v>
      </c>
      <c r="R5271">
        <v>5.4883243001176298</v>
      </c>
      <c r="S5271">
        <v>110</v>
      </c>
      <c r="T5271">
        <v>76</v>
      </c>
      <c r="U5271">
        <v>575.43817364567803</v>
      </c>
      <c r="V5271">
        <v>6.2827225130890002E-3</v>
      </c>
      <c r="W5271">
        <v>1545050.4908627199</v>
      </c>
      <c r="X5271" t="s">
        <v>33</v>
      </c>
      <c r="Y5271">
        <f>1-496-111-7662</f>
        <v>-8268</v>
      </c>
    </row>
    <row r="5272" spans="1:25" x14ac:dyDescent="0.35">
      <c r="A5272">
        <v>37.875201655889903</v>
      </c>
      <c r="B5272">
        <v>-114.66244168930299</v>
      </c>
      <c r="C5272" t="s">
        <v>25</v>
      </c>
      <c r="D5272">
        <v>46.955799386510201</v>
      </c>
      <c r="E5272">
        <v>9</v>
      </c>
      <c r="F5272">
        <v>4005</v>
      </c>
      <c r="G5272">
        <v>3</v>
      </c>
      <c r="H5272">
        <v>2</v>
      </c>
      <c r="I5272">
        <v>2002</v>
      </c>
      <c r="J5272">
        <v>1</v>
      </c>
      <c r="K5272">
        <v>0</v>
      </c>
      <c r="L5272">
        <v>1</v>
      </c>
      <c r="M5272">
        <v>12</v>
      </c>
      <c r="N5272" t="s">
        <v>41</v>
      </c>
      <c r="O5272" t="s">
        <v>32</v>
      </c>
      <c r="P5272">
        <v>12.6677940191381</v>
      </c>
      <c r="Q5272">
        <v>1.7840703365761299</v>
      </c>
      <c r="R5272">
        <v>3.2677141181748199</v>
      </c>
      <c r="S5272">
        <v>69</v>
      </c>
      <c r="T5272">
        <v>51</v>
      </c>
      <c r="U5272">
        <v>737.51392607090099</v>
      </c>
      <c r="V5272">
        <v>2.9962546816479402E-3</v>
      </c>
      <c r="W5272">
        <v>3314129.2851746101</v>
      </c>
      <c r="X5272" t="s">
        <v>28</v>
      </c>
      <c r="Y5272">
        <f>1-508-630-9715</f>
        <v>-10852</v>
      </c>
    </row>
    <row r="5273" spans="1:25" x14ac:dyDescent="0.35">
      <c r="A5273">
        <v>35.2258801853949</v>
      </c>
      <c r="B5273">
        <v>-121.933730320047</v>
      </c>
      <c r="C5273" t="s">
        <v>29</v>
      </c>
      <c r="D5273">
        <v>24.223821144744001</v>
      </c>
      <c r="E5273">
        <v>9</v>
      </c>
      <c r="F5273">
        <v>1846</v>
      </c>
      <c r="G5273">
        <v>1</v>
      </c>
      <c r="H5273">
        <v>2</v>
      </c>
      <c r="I5273">
        <v>1950</v>
      </c>
      <c r="J5273">
        <v>1</v>
      </c>
      <c r="K5273">
        <v>0</v>
      </c>
      <c r="L5273">
        <v>1</v>
      </c>
      <c r="M5273">
        <v>9</v>
      </c>
      <c r="N5273" t="s">
        <v>41</v>
      </c>
      <c r="O5273" t="s">
        <v>32</v>
      </c>
      <c r="P5273">
        <v>4.9588306325725098</v>
      </c>
      <c r="Q5273">
        <v>1.5816878119183899</v>
      </c>
      <c r="R5273">
        <v>3.1827125335532198</v>
      </c>
      <c r="S5273">
        <v>33</v>
      </c>
      <c r="T5273">
        <v>30</v>
      </c>
      <c r="U5273">
        <v>268.26850522395898</v>
      </c>
      <c r="V5273">
        <v>4.8754062838569801E-3</v>
      </c>
      <c r="W5273">
        <v>535056.27609765099</v>
      </c>
      <c r="X5273" t="s">
        <v>28</v>
      </c>
      <c r="Y5273">
        <f>1-937-101-7557</f>
        <v>-8594</v>
      </c>
    </row>
    <row r="5274" spans="1:25" x14ac:dyDescent="0.35">
      <c r="A5274">
        <v>39.501670373863199</v>
      </c>
      <c r="B5274">
        <v>-116.963955141268</v>
      </c>
      <c r="C5274" t="s">
        <v>25</v>
      </c>
      <c r="D5274">
        <v>38.192963576248403</v>
      </c>
      <c r="E5274">
        <v>4</v>
      </c>
      <c r="F5274">
        <v>2438</v>
      </c>
      <c r="G5274">
        <v>2</v>
      </c>
      <c r="H5274">
        <v>1</v>
      </c>
      <c r="I5274">
        <v>2009</v>
      </c>
      <c r="J5274">
        <v>0</v>
      </c>
      <c r="K5274">
        <v>0</v>
      </c>
      <c r="L5274">
        <v>0</v>
      </c>
      <c r="M5274">
        <v>3</v>
      </c>
      <c r="N5274" t="s">
        <v>37</v>
      </c>
      <c r="O5274" t="s">
        <v>32</v>
      </c>
      <c r="P5274">
        <v>5.00456358166696</v>
      </c>
      <c r="Q5274">
        <v>0.93986035927303202</v>
      </c>
      <c r="R5274">
        <v>1.2652410773928</v>
      </c>
      <c r="S5274">
        <v>94</v>
      </c>
      <c r="T5274">
        <v>68</v>
      </c>
      <c r="U5274">
        <v>501.01456750970601</v>
      </c>
      <c r="V5274">
        <v>1.23051681706316E-3</v>
      </c>
      <c r="W5274">
        <v>1400640.0156737701</v>
      </c>
      <c r="X5274" t="s">
        <v>42</v>
      </c>
      <c r="Y5274">
        <f>1-650-943-3375</f>
        <v>-4967</v>
      </c>
    </row>
    <row r="5275" spans="1:25" x14ac:dyDescent="0.35">
      <c r="A5275">
        <v>36.089319622069702</v>
      </c>
      <c r="B5275">
        <v>-121.398087761285</v>
      </c>
      <c r="C5275" t="s">
        <v>29</v>
      </c>
      <c r="D5275">
        <v>25.106522973172002</v>
      </c>
      <c r="E5275">
        <v>5</v>
      </c>
      <c r="F5275">
        <v>4596</v>
      </c>
      <c r="G5275">
        <v>2</v>
      </c>
      <c r="H5275">
        <v>1</v>
      </c>
      <c r="I5275">
        <v>2012</v>
      </c>
      <c r="J5275">
        <v>1</v>
      </c>
      <c r="K5275">
        <v>0</v>
      </c>
      <c r="L5275">
        <v>1</v>
      </c>
      <c r="M5275">
        <v>10</v>
      </c>
      <c r="N5275" t="s">
        <v>37</v>
      </c>
      <c r="O5275" t="s">
        <v>30</v>
      </c>
      <c r="P5275">
        <v>5.1554777655706499</v>
      </c>
      <c r="Q5275">
        <v>1.0340573468041101</v>
      </c>
      <c r="R5275">
        <v>8.4469278607407503</v>
      </c>
      <c r="S5275">
        <v>116</v>
      </c>
      <c r="T5275">
        <v>51</v>
      </c>
      <c r="U5275">
        <v>257.633266254143</v>
      </c>
      <c r="V5275">
        <v>2.1758050478677101E-3</v>
      </c>
      <c r="W5275">
        <v>1389801.5908607801</v>
      </c>
      <c r="X5275" t="s">
        <v>33</v>
      </c>
      <c r="Y5275">
        <f>1-222-995-4285</f>
        <v>-5501</v>
      </c>
    </row>
    <row r="5276" spans="1:25" x14ac:dyDescent="0.35">
      <c r="A5276">
        <v>32.620062929662097</v>
      </c>
      <c r="B5276">
        <v>-123.22819261538901</v>
      </c>
      <c r="C5276" t="s">
        <v>34</v>
      </c>
      <c r="D5276">
        <v>12.8670510045973</v>
      </c>
      <c r="E5276">
        <v>1</v>
      </c>
      <c r="F5276">
        <v>2137</v>
      </c>
      <c r="G5276">
        <v>1</v>
      </c>
      <c r="H5276">
        <v>3</v>
      </c>
      <c r="I5276">
        <v>1965</v>
      </c>
      <c r="J5276">
        <v>1</v>
      </c>
      <c r="K5276">
        <v>1</v>
      </c>
      <c r="L5276">
        <v>0</v>
      </c>
      <c r="M5276">
        <v>10</v>
      </c>
      <c r="N5276" t="s">
        <v>37</v>
      </c>
      <c r="O5276" t="s">
        <v>32</v>
      </c>
      <c r="P5276">
        <v>14.2797125915141</v>
      </c>
      <c r="Q5276">
        <v>2.4124209709642801</v>
      </c>
      <c r="R5276">
        <v>8.6341323284055296</v>
      </c>
      <c r="S5276">
        <v>99</v>
      </c>
      <c r="T5276">
        <v>41</v>
      </c>
      <c r="U5276">
        <v>202.459826494579</v>
      </c>
      <c r="V5276">
        <v>4.6794571829667699E-3</v>
      </c>
      <c r="W5276">
        <v>760913.13544152805</v>
      </c>
      <c r="X5276" t="s">
        <v>38</v>
      </c>
      <c r="Y5276">
        <f>1-304-592-1169</f>
        <v>-2064</v>
      </c>
    </row>
    <row r="5277" spans="1:25" x14ac:dyDescent="0.35">
      <c r="A5277">
        <v>33.449670593772701</v>
      </c>
      <c r="B5277">
        <v>-118.334287031153</v>
      </c>
      <c r="C5277" t="s">
        <v>29</v>
      </c>
      <c r="D5277">
        <v>43.7362266160372</v>
      </c>
      <c r="E5277">
        <v>9</v>
      </c>
      <c r="F5277">
        <v>1499</v>
      </c>
      <c r="G5277">
        <v>4</v>
      </c>
      <c r="H5277">
        <v>2</v>
      </c>
      <c r="I5277">
        <v>1976</v>
      </c>
      <c r="J5277">
        <v>1</v>
      </c>
      <c r="K5277">
        <v>1</v>
      </c>
      <c r="L5277">
        <v>1</v>
      </c>
      <c r="M5277">
        <v>13</v>
      </c>
      <c r="N5277" t="s">
        <v>35</v>
      </c>
      <c r="O5277" t="s">
        <v>27</v>
      </c>
      <c r="P5277">
        <v>5.5407029856309498</v>
      </c>
      <c r="Q5277">
        <v>0.67777519949813303</v>
      </c>
      <c r="R5277">
        <v>1.5517521689068701</v>
      </c>
      <c r="S5277">
        <v>9</v>
      </c>
      <c r="T5277">
        <v>65</v>
      </c>
      <c r="U5277">
        <v>849.92270966269905</v>
      </c>
      <c r="V5277">
        <v>8.6724482988659105E-3</v>
      </c>
      <c r="W5277">
        <v>1644437.2102991301</v>
      </c>
      <c r="X5277" t="s">
        <v>36</v>
      </c>
      <c r="Y5277">
        <f>1-736-779-7905</f>
        <v>-9419</v>
      </c>
    </row>
    <row r="5278" spans="1:25" x14ac:dyDescent="0.35">
      <c r="A5278">
        <v>34.248466872784</v>
      </c>
      <c r="B5278">
        <v>-115.599462316227</v>
      </c>
      <c r="C5278" t="s">
        <v>29</v>
      </c>
      <c r="D5278">
        <v>21.6403884010643</v>
      </c>
      <c r="E5278">
        <v>8</v>
      </c>
      <c r="F5278">
        <v>4087</v>
      </c>
      <c r="G5278">
        <v>3</v>
      </c>
      <c r="H5278">
        <v>3</v>
      </c>
      <c r="I5278">
        <v>1995</v>
      </c>
      <c r="J5278">
        <v>0</v>
      </c>
      <c r="K5278">
        <v>0</v>
      </c>
      <c r="L5278">
        <v>1</v>
      </c>
      <c r="M5278">
        <v>14</v>
      </c>
      <c r="N5278" t="s">
        <v>26</v>
      </c>
      <c r="O5278" t="s">
        <v>32</v>
      </c>
      <c r="P5278">
        <v>2.8020351992832802</v>
      </c>
      <c r="Q5278">
        <v>1.8075709640384201</v>
      </c>
      <c r="R5278">
        <v>3.84067369758194</v>
      </c>
      <c r="S5278">
        <v>138</v>
      </c>
      <c r="T5278">
        <v>21</v>
      </c>
      <c r="U5278">
        <v>628.68059162291297</v>
      </c>
      <c r="V5278">
        <v>3.4254954734524098E-3</v>
      </c>
      <c r="W5278">
        <v>2773756.8077288601</v>
      </c>
      <c r="X5278" t="s">
        <v>39</v>
      </c>
      <c r="Y5278">
        <f>1-205-684-1633</f>
        <v>-2521</v>
      </c>
    </row>
    <row r="5279" spans="1:25" x14ac:dyDescent="0.35">
      <c r="A5279">
        <v>35.482419874554701</v>
      </c>
      <c r="B5279">
        <v>-116.859300643718</v>
      </c>
      <c r="C5279" t="s">
        <v>34</v>
      </c>
      <c r="D5279">
        <v>11.8916102426724</v>
      </c>
      <c r="E5279">
        <v>4</v>
      </c>
      <c r="F5279">
        <v>1105</v>
      </c>
      <c r="G5279">
        <v>5</v>
      </c>
      <c r="H5279">
        <v>3</v>
      </c>
      <c r="I5279">
        <v>1974</v>
      </c>
      <c r="J5279">
        <v>0</v>
      </c>
      <c r="K5279">
        <v>1</v>
      </c>
      <c r="L5279">
        <v>0</v>
      </c>
      <c r="M5279">
        <v>4</v>
      </c>
      <c r="N5279" t="s">
        <v>35</v>
      </c>
      <c r="O5279" t="s">
        <v>32</v>
      </c>
      <c r="P5279">
        <v>10.9380734210027</v>
      </c>
      <c r="Q5279">
        <v>0.652340383301517</v>
      </c>
      <c r="R5279">
        <v>2.3819364835224399</v>
      </c>
      <c r="S5279">
        <v>137</v>
      </c>
      <c r="T5279">
        <v>72</v>
      </c>
      <c r="U5279">
        <v>424.17152295138499</v>
      </c>
      <c r="V5279">
        <v>3.6199095022624401E-3</v>
      </c>
      <c r="W5279">
        <v>909697.99102075503</v>
      </c>
      <c r="X5279" t="s">
        <v>31</v>
      </c>
      <c r="Y5279">
        <f>1-337-504-8460</f>
        <v>-9300</v>
      </c>
    </row>
    <row r="5280" spans="1:25" x14ac:dyDescent="0.35">
      <c r="A5280">
        <v>37.348545398397</v>
      </c>
      <c r="B5280">
        <v>-114.72252734087</v>
      </c>
      <c r="C5280" t="s">
        <v>25</v>
      </c>
      <c r="D5280">
        <v>4.72298833623391</v>
      </c>
      <c r="E5280">
        <v>8</v>
      </c>
      <c r="F5280">
        <v>4329</v>
      </c>
      <c r="G5280">
        <v>3</v>
      </c>
      <c r="H5280">
        <v>2</v>
      </c>
      <c r="I5280">
        <v>2005</v>
      </c>
      <c r="J5280">
        <v>1</v>
      </c>
      <c r="K5280">
        <v>0</v>
      </c>
      <c r="L5280">
        <v>0</v>
      </c>
      <c r="M5280">
        <v>8</v>
      </c>
      <c r="N5280" t="s">
        <v>26</v>
      </c>
      <c r="O5280" t="s">
        <v>32</v>
      </c>
      <c r="P5280">
        <v>3.1845241341486998</v>
      </c>
      <c r="Q5280">
        <v>1.30564503623696</v>
      </c>
      <c r="R5280">
        <v>4.1975102902866004</v>
      </c>
      <c r="S5280">
        <v>5</v>
      </c>
      <c r="T5280">
        <v>71</v>
      </c>
      <c r="U5280">
        <v>637.11726995885203</v>
      </c>
      <c r="V5280">
        <v>1.8480018480018399E-3</v>
      </c>
      <c r="W5280">
        <v>2961462.1800836902</v>
      </c>
      <c r="X5280" t="s">
        <v>38</v>
      </c>
      <c r="Y5280">
        <f>1-394-100-5711</f>
        <v>-6204</v>
      </c>
    </row>
    <row r="5281" spans="1:25" x14ac:dyDescent="0.35">
      <c r="A5281">
        <v>34.304328789884401</v>
      </c>
      <c r="B5281">
        <v>-114.20723010990299</v>
      </c>
      <c r="C5281" t="s">
        <v>25</v>
      </c>
      <c r="D5281">
        <v>27.2795020669178</v>
      </c>
      <c r="E5281">
        <v>1</v>
      </c>
      <c r="F5281">
        <v>2952</v>
      </c>
      <c r="G5281">
        <v>3</v>
      </c>
      <c r="H5281">
        <v>1</v>
      </c>
      <c r="I5281">
        <v>1994</v>
      </c>
      <c r="J5281">
        <v>1</v>
      </c>
      <c r="K5281">
        <v>1</v>
      </c>
      <c r="L5281">
        <v>0</v>
      </c>
      <c r="M5281">
        <v>11</v>
      </c>
      <c r="N5281" t="s">
        <v>37</v>
      </c>
      <c r="O5281" t="s">
        <v>27</v>
      </c>
      <c r="P5281">
        <v>9.1723160483770805</v>
      </c>
      <c r="Q5281">
        <v>2.3246528350346001</v>
      </c>
      <c r="R5281">
        <v>0.96947095976587006</v>
      </c>
      <c r="S5281">
        <v>19</v>
      </c>
      <c r="T5281">
        <v>65</v>
      </c>
      <c r="U5281">
        <v>756.802893268415</v>
      </c>
      <c r="V5281">
        <v>3.7262872628726199E-3</v>
      </c>
      <c r="W5281">
        <v>2596297.5320087802</v>
      </c>
      <c r="X5281" t="s">
        <v>36</v>
      </c>
      <c r="Y5281">
        <f>1-541-156-6732</f>
        <v>-7428</v>
      </c>
    </row>
    <row r="5282" spans="1:25" x14ac:dyDescent="0.35">
      <c r="A5282">
        <v>41.146321907771103</v>
      </c>
      <c r="B5282">
        <v>-122.135175496146</v>
      </c>
      <c r="C5282" t="s">
        <v>34</v>
      </c>
      <c r="D5282">
        <v>38.387368745665</v>
      </c>
      <c r="E5282">
        <v>1</v>
      </c>
      <c r="F5282">
        <v>4983</v>
      </c>
      <c r="G5282">
        <v>4</v>
      </c>
      <c r="H5282">
        <v>3</v>
      </c>
      <c r="I5282">
        <v>1984</v>
      </c>
      <c r="J5282">
        <v>0</v>
      </c>
      <c r="K5282">
        <v>1</v>
      </c>
      <c r="L5282">
        <v>0</v>
      </c>
      <c r="M5282">
        <v>2</v>
      </c>
      <c r="N5282" t="s">
        <v>37</v>
      </c>
      <c r="O5282" t="s">
        <v>27</v>
      </c>
      <c r="P5282">
        <v>5.7779017864721203</v>
      </c>
      <c r="Q5282">
        <v>2.0001890965681799</v>
      </c>
      <c r="R5282">
        <v>1.1887204737294299</v>
      </c>
      <c r="S5282">
        <v>133</v>
      </c>
      <c r="T5282">
        <v>68</v>
      </c>
      <c r="U5282">
        <v>260.70952999699898</v>
      </c>
      <c r="V5282">
        <v>4.0136463977523499E-4</v>
      </c>
      <c r="W5282">
        <v>1595506.87130776</v>
      </c>
      <c r="X5282" t="s">
        <v>28</v>
      </c>
      <c r="Y5282">
        <f>1-824-547-3603</f>
        <v>-4973</v>
      </c>
    </row>
    <row r="5283" spans="1:25" x14ac:dyDescent="0.35">
      <c r="A5283">
        <v>32.7597531474756</v>
      </c>
      <c r="B5283">
        <v>-121.373776890488</v>
      </c>
      <c r="C5283" t="s">
        <v>34</v>
      </c>
      <c r="D5283">
        <v>47.415034204952399</v>
      </c>
      <c r="E5283">
        <v>2</v>
      </c>
      <c r="F5283">
        <v>2359</v>
      </c>
      <c r="G5283">
        <v>5</v>
      </c>
      <c r="H5283">
        <v>3</v>
      </c>
      <c r="I5283">
        <v>2015</v>
      </c>
      <c r="J5283">
        <v>1</v>
      </c>
      <c r="K5283">
        <v>1</v>
      </c>
      <c r="L5283">
        <v>1</v>
      </c>
      <c r="M5283">
        <v>3</v>
      </c>
      <c r="N5283" t="s">
        <v>35</v>
      </c>
      <c r="O5283" t="s">
        <v>30</v>
      </c>
      <c r="P5283">
        <v>8.88356943300988</v>
      </c>
      <c r="Q5283">
        <v>1.95122213604658</v>
      </c>
      <c r="R5283">
        <v>6.8079266371432396</v>
      </c>
      <c r="S5283">
        <v>136</v>
      </c>
      <c r="T5283">
        <v>62</v>
      </c>
      <c r="U5283">
        <v>829.22939719776002</v>
      </c>
      <c r="V5283">
        <v>1.27172530733361E-3</v>
      </c>
      <c r="W5283">
        <v>2458603.6672913702</v>
      </c>
      <c r="X5283" t="s">
        <v>44</v>
      </c>
      <c r="Y5283">
        <f>1-630-833-5182</f>
        <v>-6644</v>
      </c>
    </row>
    <row r="5284" spans="1:25" x14ac:dyDescent="0.35">
      <c r="A5284">
        <v>39.1034298457487</v>
      </c>
      <c r="B5284">
        <v>-115.17736909543601</v>
      </c>
      <c r="C5284" t="s">
        <v>34</v>
      </c>
      <c r="D5284">
        <v>13.7829916698412</v>
      </c>
      <c r="E5284">
        <v>9</v>
      </c>
      <c r="F5284">
        <v>2999</v>
      </c>
      <c r="G5284">
        <v>3</v>
      </c>
      <c r="H5284">
        <v>1</v>
      </c>
      <c r="I5284">
        <v>1967</v>
      </c>
      <c r="J5284">
        <v>1</v>
      </c>
      <c r="K5284">
        <v>0</v>
      </c>
      <c r="L5284">
        <v>1</v>
      </c>
      <c r="M5284">
        <v>12</v>
      </c>
      <c r="N5284" t="s">
        <v>41</v>
      </c>
      <c r="O5284" t="s">
        <v>27</v>
      </c>
      <c r="P5284">
        <v>11.4362285813739</v>
      </c>
      <c r="Q5284">
        <v>2.2676888808495099</v>
      </c>
      <c r="R5284">
        <v>1.72278817972997</v>
      </c>
      <c r="S5284">
        <v>169</v>
      </c>
      <c r="T5284">
        <v>65</v>
      </c>
      <c r="U5284">
        <v>550.84605221178595</v>
      </c>
      <c r="V5284">
        <v>4.0013337779259703E-3</v>
      </c>
      <c r="W5284">
        <v>1763881.5810587001</v>
      </c>
      <c r="X5284" t="s">
        <v>28</v>
      </c>
      <c r="Y5284">
        <f>1-387-387-6196</f>
        <v>-6969</v>
      </c>
    </row>
    <row r="5285" spans="1:25" x14ac:dyDescent="0.35">
      <c r="A5285">
        <v>32.643927034822198</v>
      </c>
      <c r="B5285">
        <v>-119.77435128853099</v>
      </c>
      <c r="C5285" t="s">
        <v>34</v>
      </c>
      <c r="D5285">
        <v>13.918021710663901</v>
      </c>
      <c r="E5285">
        <v>9</v>
      </c>
      <c r="F5285">
        <v>4296</v>
      </c>
      <c r="G5285">
        <v>2</v>
      </c>
      <c r="H5285">
        <v>2</v>
      </c>
      <c r="I5285">
        <v>1973</v>
      </c>
      <c r="J5285">
        <v>0</v>
      </c>
      <c r="K5285">
        <v>0</v>
      </c>
      <c r="L5285">
        <v>0</v>
      </c>
      <c r="M5285">
        <v>14</v>
      </c>
      <c r="N5285" t="s">
        <v>41</v>
      </c>
      <c r="O5285" t="s">
        <v>27</v>
      </c>
      <c r="P5285">
        <v>5.1344029084652201</v>
      </c>
      <c r="Q5285">
        <v>1.9398536366257499</v>
      </c>
      <c r="R5285">
        <v>5.0379494053153797</v>
      </c>
      <c r="S5285">
        <v>39</v>
      </c>
      <c r="T5285">
        <v>65</v>
      </c>
      <c r="U5285">
        <v>430.05761357703199</v>
      </c>
      <c r="V5285">
        <v>3.25884543761638E-3</v>
      </c>
      <c r="W5285">
        <v>2057927.51995035</v>
      </c>
      <c r="X5285" t="s">
        <v>36</v>
      </c>
      <c r="Y5285">
        <f>1-691-228-6119</f>
        <v>-7037</v>
      </c>
    </row>
    <row r="5286" spans="1:25" x14ac:dyDescent="0.35">
      <c r="A5286">
        <v>33.513812599150199</v>
      </c>
      <c r="B5286">
        <v>-121.908920281413</v>
      </c>
      <c r="C5286" t="s">
        <v>25</v>
      </c>
      <c r="D5286">
        <v>49.2333415105265</v>
      </c>
      <c r="E5286">
        <v>5</v>
      </c>
      <c r="F5286">
        <v>2064</v>
      </c>
      <c r="G5286">
        <v>4</v>
      </c>
      <c r="H5286">
        <v>2</v>
      </c>
      <c r="I5286">
        <v>1996</v>
      </c>
      <c r="J5286">
        <v>0</v>
      </c>
      <c r="K5286">
        <v>0</v>
      </c>
      <c r="L5286">
        <v>0</v>
      </c>
      <c r="M5286">
        <v>11</v>
      </c>
      <c r="N5286" t="s">
        <v>26</v>
      </c>
      <c r="O5286" t="s">
        <v>27</v>
      </c>
      <c r="P5286">
        <v>4.7102970454103703</v>
      </c>
      <c r="Q5286">
        <v>0.76310928721015903</v>
      </c>
      <c r="R5286">
        <v>3.2988687429830699</v>
      </c>
      <c r="S5286">
        <v>153</v>
      </c>
      <c r="T5286">
        <v>71</v>
      </c>
      <c r="U5286">
        <v>377.189973945818</v>
      </c>
      <c r="V5286">
        <v>5.32945736434108E-3</v>
      </c>
      <c r="W5286">
        <v>1035417.91274932</v>
      </c>
      <c r="X5286" t="s">
        <v>40</v>
      </c>
      <c r="Y5286">
        <f>1-931-965-1092</f>
        <v>-2987</v>
      </c>
    </row>
    <row r="5287" spans="1:25" x14ac:dyDescent="0.35">
      <c r="A5287">
        <v>40.427976624111402</v>
      </c>
      <c r="B5287">
        <v>-119.142938235583</v>
      </c>
      <c r="C5287" t="s">
        <v>25</v>
      </c>
      <c r="D5287">
        <v>37.394954660121499</v>
      </c>
      <c r="E5287">
        <v>1</v>
      </c>
      <c r="F5287">
        <v>2578</v>
      </c>
      <c r="G5287">
        <v>1</v>
      </c>
      <c r="H5287">
        <v>1</v>
      </c>
      <c r="I5287">
        <v>1993</v>
      </c>
      <c r="J5287">
        <v>1</v>
      </c>
      <c r="K5287">
        <v>1</v>
      </c>
      <c r="L5287">
        <v>1</v>
      </c>
      <c r="M5287">
        <v>4</v>
      </c>
      <c r="N5287" t="s">
        <v>35</v>
      </c>
      <c r="O5287" t="s">
        <v>30</v>
      </c>
      <c r="P5287">
        <v>12.7408484894342</v>
      </c>
      <c r="Q5287">
        <v>2.10533152120369</v>
      </c>
      <c r="R5287">
        <v>7.4660599872760196</v>
      </c>
      <c r="S5287">
        <v>164</v>
      </c>
      <c r="T5287">
        <v>65</v>
      </c>
      <c r="U5287">
        <v>655.61525132727297</v>
      </c>
      <c r="V5287">
        <v>1.5515903801396401E-3</v>
      </c>
      <c r="W5287">
        <v>1975120.6236272999</v>
      </c>
      <c r="X5287" t="s">
        <v>39</v>
      </c>
      <c r="Y5287">
        <f>1-842-265-2592</f>
        <v>-3698</v>
      </c>
    </row>
    <row r="5288" spans="1:25" x14ac:dyDescent="0.35">
      <c r="A5288">
        <v>32.781520101780103</v>
      </c>
      <c r="B5288">
        <v>-114.563648804455</v>
      </c>
      <c r="C5288" t="s">
        <v>29</v>
      </c>
      <c r="D5288">
        <v>17.6446476891511</v>
      </c>
      <c r="E5288">
        <v>2</v>
      </c>
      <c r="F5288">
        <v>4116</v>
      </c>
      <c r="G5288">
        <v>1</v>
      </c>
      <c r="H5288">
        <v>1</v>
      </c>
      <c r="I5288">
        <v>1954</v>
      </c>
      <c r="J5288">
        <v>1</v>
      </c>
      <c r="K5288">
        <v>0</v>
      </c>
      <c r="L5288">
        <v>0</v>
      </c>
      <c r="M5288">
        <v>12</v>
      </c>
      <c r="N5288" t="s">
        <v>26</v>
      </c>
      <c r="O5288" t="s">
        <v>27</v>
      </c>
      <c r="P5288">
        <v>4.9792349902484201</v>
      </c>
      <c r="Q5288">
        <v>0.64080924741684897</v>
      </c>
      <c r="R5288">
        <v>8.3558348864920493</v>
      </c>
      <c r="S5288">
        <v>66</v>
      </c>
      <c r="T5288">
        <v>26</v>
      </c>
      <c r="U5288">
        <v>704.12281074840098</v>
      </c>
      <c r="V5288">
        <v>2.91545189504373E-3</v>
      </c>
      <c r="W5288">
        <v>2883192.35458868</v>
      </c>
      <c r="X5288" t="s">
        <v>39</v>
      </c>
      <c r="Y5288">
        <f>1-891-895-7423</f>
        <v>-9208</v>
      </c>
    </row>
    <row r="5289" spans="1:25" x14ac:dyDescent="0.35">
      <c r="A5289">
        <v>37.950910135554999</v>
      </c>
      <c r="B5289">
        <v>-122.095983331931</v>
      </c>
      <c r="C5289" t="s">
        <v>29</v>
      </c>
      <c r="D5289">
        <v>41.461456836570598</v>
      </c>
      <c r="E5289">
        <v>0</v>
      </c>
      <c r="F5289">
        <v>886</v>
      </c>
      <c r="G5289">
        <v>4</v>
      </c>
      <c r="H5289">
        <v>3</v>
      </c>
      <c r="I5289">
        <v>1960</v>
      </c>
      <c r="J5289">
        <v>0</v>
      </c>
      <c r="K5289">
        <v>1</v>
      </c>
      <c r="L5289">
        <v>1</v>
      </c>
      <c r="M5289">
        <v>12</v>
      </c>
      <c r="N5289" t="s">
        <v>37</v>
      </c>
      <c r="O5289" t="s">
        <v>27</v>
      </c>
      <c r="P5289">
        <v>8.0953400355447798</v>
      </c>
      <c r="Q5289">
        <v>1.9844586633505401</v>
      </c>
      <c r="R5289">
        <v>9.4480861317340104</v>
      </c>
      <c r="S5289">
        <v>187</v>
      </c>
      <c r="T5289">
        <v>53</v>
      </c>
      <c r="U5289">
        <v>726.65465907862404</v>
      </c>
      <c r="V5289">
        <v>1.35440180586907E-2</v>
      </c>
      <c r="W5289">
        <v>861392.34825288597</v>
      </c>
      <c r="X5289" t="s">
        <v>38</v>
      </c>
      <c r="Y5289">
        <f>1-228-273-5467</f>
        <v>-5967</v>
      </c>
    </row>
    <row r="5290" spans="1:25" x14ac:dyDescent="0.35">
      <c r="A5290">
        <v>37.573579295704398</v>
      </c>
      <c r="B5290">
        <v>-123.608561719663</v>
      </c>
      <c r="C5290" t="s">
        <v>29</v>
      </c>
      <c r="D5290">
        <v>27.103444870562399</v>
      </c>
      <c r="E5290">
        <v>3</v>
      </c>
      <c r="F5290">
        <v>950</v>
      </c>
      <c r="G5290">
        <v>2</v>
      </c>
      <c r="H5290">
        <v>3</v>
      </c>
      <c r="I5290">
        <v>1993</v>
      </c>
      <c r="J5290">
        <v>1</v>
      </c>
      <c r="K5290">
        <v>0</v>
      </c>
      <c r="L5290">
        <v>0</v>
      </c>
      <c r="M5290">
        <v>3</v>
      </c>
      <c r="N5290" t="s">
        <v>26</v>
      </c>
      <c r="O5290" t="s">
        <v>27</v>
      </c>
      <c r="P5290">
        <v>5.8300074283657599</v>
      </c>
      <c r="Q5290">
        <v>1.3043936116552</v>
      </c>
      <c r="R5290">
        <v>3.5027556215760902</v>
      </c>
      <c r="S5290">
        <v>98</v>
      </c>
      <c r="T5290">
        <v>61</v>
      </c>
      <c r="U5290">
        <v>516.66632926740704</v>
      </c>
      <c r="V5290">
        <v>3.1578947368421E-3</v>
      </c>
      <c r="W5290">
        <v>677361.40755892498</v>
      </c>
      <c r="X5290" t="s">
        <v>43</v>
      </c>
      <c r="Y5290">
        <f>1-455-581-9989</f>
        <v>-11024</v>
      </c>
    </row>
    <row r="5291" spans="1:25" x14ac:dyDescent="0.35">
      <c r="A5291">
        <v>41.308786469915702</v>
      </c>
      <c r="B5291">
        <v>-116.948215722196</v>
      </c>
      <c r="C5291" t="s">
        <v>29</v>
      </c>
      <c r="D5291">
        <v>27.885361562348901</v>
      </c>
      <c r="E5291">
        <v>4</v>
      </c>
      <c r="F5291">
        <v>3155</v>
      </c>
      <c r="G5291">
        <v>3</v>
      </c>
      <c r="H5291">
        <v>3</v>
      </c>
      <c r="I5291">
        <v>1975</v>
      </c>
      <c r="J5291">
        <v>1</v>
      </c>
      <c r="K5291">
        <v>1</v>
      </c>
      <c r="L5291">
        <v>0</v>
      </c>
      <c r="M5291">
        <v>10</v>
      </c>
      <c r="N5291" t="s">
        <v>41</v>
      </c>
      <c r="O5291" t="s">
        <v>30</v>
      </c>
      <c r="P5291">
        <v>10.8920245065058</v>
      </c>
      <c r="Q5291">
        <v>1.80377568500359</v>
      </c>
      <c r="R5291">
        <v>6.1397328329186598</v>
      </c>
      <c r="S5291">
        <v>108</v>
      </c>
      <c r="T5291">
        <v>30</v>
      </c>
      <c r="U5291">
        <v>846.35160559557903</v>
      </c>
      <c r="V5291">
        <v>3.1695721077654501E-3</v>
      </c>
      <c r="W5291">
        <v>3116186.9910172401</v>
      </c>
      <c r="X5291" t="s">
        <v>31</v>
      </c>
      <c r="Y5291">
        <f>1-335-882-4724</f>
        <v>-5940</v>
      </c>
    </row>
    <row r="5292" spans="1:25" x14ac:dyDescent="0.35">
      <c r="A5292">
        <v>36.370317565386102</v>
      </c>
      <c r="B5292">
        <v>-119.415122419524</v>
      </c>
      <c r="C5292" t="s">
        <v>34</v>
      </c>
      <c r="D5292">
        <v>9.85798028998604</v>
      </c>
      <c r="E5292">
        <v>2</v>
      </c>
      <c r="F5292">
        <v>3055</v>
      </c>
      <c r="G5292">
        <v>1</v>
      </c>
      <c r="H5292">
        <v>3</v>
      </c>
      <c r="I5292">
        <v>1991</v>
      </c>
      <c r="J5292">
        <v>1</v>
      </c>
      <c r="K5292">
        <v>0</v>
      </c>
      <c r="L5292">
        <v>1</v>
      </c>
      <c r="M5292">
        <v>8</v>
      </c>
      <c r="N5292" t="s">
        <v>37</v>
      </c>
      <c r="O5292" t="s">
        <v>30</v>
      </c>
      <c r="P5292">
        <v>6.6829205365065398</v>
      </c>
      <c r="Q5292">
        <v>1.27799763485297</v>
      </c>
      <c r="R5292">
        <v>7.4683892236262004</v>
      </c>
      <c r="S5292">
        <v>130</v>
      </c>
      <c r="T5292">
        <v>63</v>
      </c>
      <c r="U5292">
        <v>432.22108902854501</v>
      </c>
      <c r="V5292">
        <v>2.6186579378068699E-3</v>
      </c>
      <c r="W5292">
        <v>1610254.22030964</v>
      </c>
      <c r="X5292" t="s">
        <v>44</v>
      </c>
      <c r="Y5292">
        <f>1-368-158-2507</f>
        <v>-3032</v>
      </c>
    </row>
    <row r="5293" spans="1:25" x14ac:dyDescent="0.35">
      <c r="A5293">
        <v>37.100661338567797</v>
      </c>
      <c r="B5293">
        <v>-121.706421697228</v>
      </c>
      <c r="C5293" t="s">
        <v>25</v>
      </c>
      <c r="D5293">
        <v>17.341824341344399</v>
      </c>
      <c r="E5293">
        <v>2</v>
      </c>
      <c r="F5293">
        <v>4279</v>
      </c>
      <c r="G5293">
        <v>2</v>
      </c>
      <c r="H5293">
        <v>3</v>
      </c>
      <c r="I5293">
        <v>1993</v>
      </c>
      <c r="J5293">
        <v>1</v>
      </c>
      <c r="K5293">
        <v>0</v>
      </c>
      <c r="L5293">
        <v>0</v>
      </c>
      <c r="M5293">
        <v>9</v>
      </c>
      <c r="N5293" t="s">
        <v>37</v>
      </c>
      <c r="O5293" t="s">
        <v>27</v>
      </c>
      <c r="P5293">
        <v>4.3666869241801098</v>
      </c>
      <c r="Q5293">
        <v>1.9549732784526199</v>
      </c>
      <c r="R5293">
        <v>6.5584380614160498</v>
      </c>
      <c r="S5293">
        <v>8</v>
      </c>
      <c r="T5293">
        <v>49</v>
      </c>
      <c r="U5293">
        <v>780.54574212357704</v>
      </c>
      <c r="V5293">
        <v>2.1032951624211202E-3</v>
      </c>
      <c r="W5293">
        <v>3519906.6504585198</v>
      </c>
      <c r="X5293" t="s">
        <v>44</v>
      </c>
      <c r="Y5293">
        <f>1-883-151-1249</f>
        <v>-2282</v>
      </c>
    </row>
    <row r="5294" spans="1:25" x14ac:dyDescent="0.35">
      <c r="A5294">
        <v>39.458544261314799</v>
      </c>
      <c r="B5294">
        <v>-116.67890635264099</v>
      </c>
      <c r="C5294" t="s">
        <v>29</v>
      </c>
      <c r="D5294">
        <v>21.703203067873901</v>
      </c>
      <c r="E5294">
        <v>5</v>
      </c>
      <c r="F5294">
        <v>4897</v>
      </c>
      <c r="G5294">
        <v>4</v>
      </c>
      <c r="H5294">
        <v>3</v>
      </c>
      <c r="I5294">
        <v>2004</v>
      </c>
      <c r="J5294">
        <v>0</v>
      </c>
      <c r="K5294">
        <v>1</v>
      </c>
      <c r="L5294">
        <v>1</v>
      </c>
      <c r="M5294">
        <v>5</v>
      </c>
      <c r="N5294" t="s">
        <v>35</v>
      </c>
      <c r="O5294" t="s">
        <v>32</v>
      </c>
      <c r="P5294">
        <v>13.275164097222399</v>
      </c>
      <c r="Q5294">
        <v>2.4850366443574199</v>
      </c>
      <c r="R5294">
        <v>7.1783896331152501</v>
      </c>
      <c r="S5294">
        <v>55</v>
      </c>
      <c r="T5294">
        <v>48</v>
      </c>
      <c r="U5294">
        <v>232.862717934334</v>
      </c>
      <c r="V5294">
        <v>1.0210332856851101E-3</v>
      </c>
      <c r="W5294">
        <v>1683997.5606025399</v>
      </c>
      <c r="X5294" t="s">
        <v>28</v>
      </c>
      <c r="Y5294">
        <f>1-766-533-6529</f>
        <v>-7827</v>
      </c>
    </row>
    <row r="5295" spans="1:25" x14ac:dyDescent="0.35">
      <c r="A5295">
        <v>37.4440030574536</v>
      </c>
      <c r="B5295">
        <v>-115.197875860944</v>
      </c>
      <c r="C5295" t="s">
        <v>34</v>
      </c>
      <c r="D5295">
        <v>10.2083848767336</v>
      </c>
      <c r="E5295">
        <v>2</v>
      </c>
      <c r="F5295">
        <v>1440</v>
      </c>
      <c r="G5295">
        <v>2</v>
      </c>
      <c r="H5295">
        <v>3</v>
      </c>
      <c r="I5295">
        <v>1994</v>
      </c>
      <c r="J5295">
        <v>1</v>
      </c>
      <c r="K5295">
        <v>1</v>
      </c>
      <c r="L5295">
        <v>0</v>
      </c>
      <c r="M5295">
        <v>10</v>
      </c>
      <c r="N5295" t="s">
        <v>41</v>
      </c>
      <c r="O5295" t="s">
        <v>32</v>
      </c>
      <c r="P5295">
        <v>9.7635926797577106</v>
      </c>
      <c r="Q5295">
        <v>0.63349716549655599</v>
      </c>
      <c r="R5295">
        <v>1.6948054128148</v>
      </c>
      <c r="S5295">
        <v>106</v>
      </c>
      <c r="T5295">
        <v>22</v>
      </c>
      <c r="U5295">
        <v>723.30027492284898</v>
      </c>
      <c r="V5295">
        <v>6.9444444444444397E-3</v>
      </c>
      <c r="W5295">
        <v>1394576.3129183101</v>
      </c>
      <c r="X5295" t="s">
        <v>42</v>
      </c>
      <c r="Y5295">
        <f>1-928-139-5746</f>
        <v>-6812</v>
      </c>
    </row>
    <row r="5296" spans="1:25" x14ac:dyDescent="0.35">
      <c r="A5296">
        <v>39.759849199405998</v>
      </c>
      <c r="B5296">
        <v>-118.165273066029</v>
      </c>
      <c r="C5296" t="s">
        <v>29</v>
      </c>
      <c r="D5296">
        <v>15.0662034634961</v>
      </c>
      <c r="E5296">
        <v>0</v>
      </c>
      <c r="F5296">
        <v>4307</v>
      </c>
      <c r="G5296">
        <v>2</v>
      </c>
      <c r="H5296">
        <v>2</v>
      </c>
      <c r="I5296">
        <v>1981</v>
      </c>
      <c r="J5296">
        <v>0</v>
      </c>
      <c r="K5296">
        <v>1</v>
      </c>
      <c r="L5296">
        <v>1</v>
      </c>
      <c r="M5296">
        <v>13</v>
      </c>
      <c r="N5296" t="s">
        <v>26</v>
      </c>
      <c r="O5296" t="s">
        <v>32</v>
      </c>
      <c r="P5296">
        <v>4.5486759624327302</v>
      </c>
      <c r="Q5296">
        <v>0.78217546430513196</v>
      </c>
      <c r="R5296">
        <v>8.7929212633999203</v>
      </c>
      <c r="S5296">
        <v>40</v>
      </c>
      <c r="T5296">
        <v>54</v>
      </c>
      <c r="U5296">
        <v>361.69728093338898</v>
      </c>
      <c r="V5296">
        <v>3.01834223357325E-3</v>
      </c>
      <c r="W5296">
        <v>1784840.5331367599</v>
      </c>
      <c r="X5296" t="s">
        <v>44</v>
      </c>
      <c r="Y5296">
        <f>1-627-562-7875</f>
        <v>-9063</v>
      </c>
    </row>
    <row r="5297" spans="1:25" x14ac:dyDescent="0.35">
      <c r="A5297">
        <v>38.408451714371999</v>
      </c>
      <c r="B5297">
        <v>-123.416390152812</v>
      </c>
      <c r="C5297" t="s">
        <v>34</v>
      </c>
      <c r="D5297">
        <v>20.489866980000699</v>
      </c>
      <c r="E5297">
        <v>3</v>
      </c>
      <c r="F5297">
        <v>4562</v>
      </c>
      <c r="G5297">
        <v>4</v>
      </c>
      <c r="H5297">
        <v>2</v>
      </c>
      <c r="I5297">
        <v>1976</v>
      </c>
      <c r="J5297">
        <v>0</v>
      </c>
      <c r="K5297">
        <v>1</v>
      </c>
      <c r="L5297">
        <v>0</v>
      </c>
      <c r="M5297">
        <v>14</v>
      </c>
      <c r="N5297" t="s">
        <v>35</v>
      </c>
      <c r="O5297" t="s">
        <v>32</v>
      </c>
      <c r="P5297">
        <v>9.3608702974371294</v>
      </c>
      <c r="Q5297">
        <v>2.0270325909511602</v>
      </c>
      <c r="R5297">
        <v>4.3625420287322996</v>
      </c>
      <c r="S5297">
        <v>10</v>
      </c>
      <c r="T5297">
        <v>71</v>
      </c>
      <c r="U5297">
        <v>686.52130829366797</v>
      </c>
      <c r="V5297">
        <v>3.0688294607628202E-3</v>
      </c>
      <c r="W5297">
        <v>3490930.8095793398</v>
      </c>
      <c r="X5297" t="s">
        <v>31</v>
      </c>
      <c r="Y5297">
        <f>1-771-793-6802</f>
        <v>-8365</v>
      </c>
    </row>
    <row r="5298" spans="1:25" x14ac:dyDescent="0.35">
      <c r="A5298">
        <v>34.284101294151299</v>
      </c>
      <c r="B5298">
        <v>-121.204709020325</v>
      </c>
      <c r="C5298" t="s">
        <v>34</v>
      </c>
      <c r="D5298">
        <v>17.8792028953102</v>
      </c>
      <c r="E5298">
        <v>8</v>
      </c>
      <c r="F5298">
        <v>4552</v>
      </c>
      <c r="G5298">
        <v>5</v>
      </c>
      <c r="H5298">
        <v>3</v>
      </c>
      <c r="I5298">
        <v>1968</v>
      </c>
      <c r="J5298">
        <v>0</v>
      </c>
      <c r="K5298">
        <v>1</v>
      </c>
      <c r="L5298">
        <v>0</v>
      </c>
      <c r="M5298">
        <v>2</v>
      </c>
      <c r="N5298" t="s">
        <v>37</v>
      </c>
      <c r="O5298" t="s">
        <v>27</v>
      </c>
      <c r="P5298">
        <v>6.4250053288867202</v>
      </c>
      <c r="Q5298">
        <v>2.0979925218517699</v>
      </c>
      <c r="R5298">
        <v>7.4154855086931297</v>
      </c>
      <c r="S5298">
        <v>21</v>
      </c>
      <c r="T5298">
        <v>68</v>
      </c>
      <c r="U5298">
        <v>808.15440680724396</v>
      </c>
      <c r="V5298">
        <v>4.39367311072056E-4</v>
      </c>
      <c r="W5298">
        <v>4072768.7552469298</v>
      </c>
      <c r="X5298" t="s">
        <v>42</v>
      </c>
      <c r="Y5298">
        <f>1-275-255-9681</f>
        <v>-10210</v>
      </c>
    </row>
    <row r="5299" spans="1:25" x14ac:dyDescent="0.35">
      <c r="A5299">
        <v>36.727297380483201</v>
      </c>
      <c r="B5299">
        <v>-116.48358566960501</v>
      </c>
      <c r="C5299" t="s">
        <v>34</v>
      </c>
      <c r="D5299">
        <v>7.2451440193143704</v>
      </c>
      <c r="E5299">
        <v>5</v>
      </c>
      <c r="F5299">
        <v>3228</v>
      </c>
      <c r="G5299">
        <v>3</v>
      </c>
      <c r="H5299">
        <v>3</v>
      </c>
      <c r="I5299">
        <v>1995</v>
      </c>
      <c r="J5299">
        <v>1</v>
      </c>
      <c r="K5299">
        <v>1</v>
      </c>
      <c r="L5299">
        <v>0</v>
      </c>
      <c r="M5299">
        <v>12</v>
      </c>
      <c r="N5299" t="s">
        <v>37</v>
      </c>
      <c r="O5299" t="s">
        <v>32</v>
      </c>
      <c r="P5299">
        <v>5.5288604895815299</v>
      </c>
      <c r="Q5299">
        <v>2.0278411287042699</v>
      </c>
      <c r="R5299">
        <v>3.1528251905383602</v>
      </c>
      <c r="S5299">
        <v>72</v>
      </c>
      <c r="T5299">
        <v>77</v>
      </c>
      <c r="U5299">
        <v>605.00533819461498</v>
      </c>
      <c r="V5299">
        <v>3.7174721189590998E-3</v>
      </c>
      <c r="W5299">
        <v>2253739.7825299799</v>
      </c>
      <c r="X5299" t="s">
        <v>44</v>
      </c>
      <c r="Y5299">
        <f>1-414-323-8419</f>
        <v>-9155</v>
      </c>
    </row>
    <row r="5300" spans="1:25" x14ac:dyDescent="0.35">
      <c r="A5300">
        <v>34.810055461495097</v>
      </c>
      <c r="B5300">
        <v>-124.467001363438</v>
      </c>
      <c r="C5300" t="s">
        <v>29</v>
      </c>
      <c r="D5300">
        <v>7.2186364360996098</v>
      </c>
      <c r="E5300">
        <v>8</v>
      </c>
      <c r="F5300">
        <v>3959</v>
      </c>
      <c r="G5300">
        <v>4</v>
      </c>
      <c r="H5300">
        <v>1</v>
      </c>
      <c r="I5300">
        <v>1998</v>
      </c>
      <c r="J5300">
        <v>1</v>
      </c>
      <c r="K5300">
        <v>1</v>
      </c>
      <c r="L5300">
        <v>0</v>
      </c>
      <c r="M5300">
        <v>12</v>
      </c>
      <c r="N5300" t="s">
        <v>35</v>
      </c>
      <c r="O5300" t="s">
        <v>32</v>
      </c>
      <c r="P5300">
        <v>10.2356141019521</v>
      </c>
      <c r="Q5300">
        <v>0.97625486542766104</v>
      </c>
      <c r="R5300">
        <v>6.3807761022170304</v>
      </c>
      <c r="S5300">
        <v>174</v>
      </c>
      <c r="T5300">
        <v>75</v>
      </c>
      <c r="U5300">
        <v>647.707156343213</v>
      </c>
      <c r="V5300">
        <v>3.0310684516291898E-3</v>
      </c>
      <c r="W5300">
        <v>2962919.1251463499</v>
      </c>
      <c r="X5300" t="s">
        <v>36</v>
      </c>
      <c r="Y5300">
        <f>1-228-293-4438</f>
        <v>-4958</v>
      </c>
    </row>
    <row r="5301" spans="1:25" x14ac:dyDescent="0.35">
      <c r="A5301">
        <v>36.727808141644203</v>
      </c>
      <c r="B5301">
        <v>-120.235369083845</v>
      </c>
      <c r="C5301" t="s">
        <v>29</v>
      </c>
      <c r="D5301">
        <v>30.131033620169202</v>
      </c>
      <c r="E5301">
        <v>3</v>
      </c>
      <c r="F5301">
        <v>1136</v>
      </c>
      <c r="G5301">
        <v>1</v>
      </c>
      <c r="H5301">
        <v>3</v>
      </c>
      <c r="I5301">
        <v>2003</v>
      </c>
      <c r="J5301">
        <v>1</v>
      </c>
      <c r="K5301">
        <v>1</v>
      </c>
      <c r="L5301">
        <v>1</v>
      </c>
      <c r="M5301">
        <v>5</v>
      </c>
      <c r="N5301" t="s">
        <v>26</v>
      </c>
      <c r="O5301" t="s">
        <v>30</v>
      </c>
      <c r="P5301">
        <v>12.4221374600224</v>
      </c>
      <c r="Q5301">
        <v>2.0204514341025401</v>
      </c>
      <c r="R5301">
        <v>9.4598783706454093</v>
      </c>
      <c r="S5301">
        <v>64</v>
      </c>
      <c r="T5301">
        <v>42</v>
      </c>
      <c r="U5301">
        <v>269.44214067583698</v>
      </c>
      <c r="V5301">
        <v>4.4014084507042204E-3</v>
      </c>
      <c r="W5301">
        <v>583136.86522993003</v>
      </c>
      <c r="X5301" t="s">
        <v>36</v>
      </c>
      <c r="Y5301">
        <f>1-381-601-4448</f>
        <v>-5429</v>
      </c>
    </row>
    <row r="5302" spans="1:25" x14ac:dyDescent="0.35">
      <c r="A5302">
        <v>33.778248390257303</v>
      </c>
      <c r="B5302">
        <v>-119.803617212548</v>
      </c>
      <c r="C5302" t="s">
        <v>34</v>
      </c>
      <c r="D5302">
        <v>43.652091545880197</v>
      </c>
      <c r="E5302">
        <v>8</v>
      </c>
      <c r="F5302">
        <v>815</v>
      </c>
      <c r="G5302">
        <v>1</v>
      </c>
      <c r="H5302">
        <v>3</v>
      </c>
      <c r="I5302">
        <v>1966</v>
      </c>
      <c r="J5302">
        <v>0</v>
      </c>
      <c r="K5302">
        <v>0</v>
      </c>
      <c r="L5302">
        <v>1</v>
      </c>
      <c r="M5302">
        <v>12</v>
      </c>
      <c r="N5302" t="s">
        <v>37</v>
      </c>
      <c r="O5302" t="s">
        <v>27</v>
      </c>
      <c r="P5302">
        <v>8.5187028841967702</v>
      </c>
      <c r="Q5302">
        <v>1.0642421975638801</v>
      </c>
      <c r="R5302">
        <v>5.8004544716329196</v>
      </c>
      <c r="S5302">
        <v>45</v>
      </c>
      <c r="T5302">
        <v>64</v>
      </c>
      <c r="U5302">
        <v>857.63081895988296</v>
      </c>
      <c r="V5302">
        <v>1.4723926380367999E-2</v>
      </c>
      <c r="W5302">
        <v>905250.54734043998</v>
      </c>
      <c r="X5302" t="s">
        <v>44</v>
      </c>
      <c r="Y5302">
        <f>1-876-275-6444</f>
        <v>-7594</v>
      </c>
    </row>
    <row r="5303" spans="1:25" x14ac:dyDescent="0.35">
      <c r="A5303">
        <v>33.6325429551122</v>
      </c>
      <c r="B5303">
        <v>-116.668909509182</v>
      </c>
      <c r="C5303" t="s">
        <v>29</v>
      </c>
      <c r="D5303">
        <v>10.606418599647199</v>
      </c>
      <c r="E5303">
        <v>4</v>
      </c>
      <c r="F5303">
        <v>4874</v>
      </c>
      <c r="G5303">
        <v>4</v>
      </c>
      <c r="H5303">
        <v>3</v>
      </c>
      <c r="I5303">
        <v>2011</v>
      </c>
      <c r="J5303">
        <v>1</v>
      </c>
      <c r="K5303">
        <v>0</v>
      </c>
      <c r="L5303">
        <v>1</v>
      </c>
      <c r="M5303">
        <v>2</v>
      </c>
      <c r="N5303" t="s">
        <v>26</v>
      </c>
      <c r="O5303" t="s">
        <v>32</v>
      </c>
      <c r="P5303">
        <v>2.69111748183796</v>
      </c>
      <c r="Q5303">
        <v>1.45616494996859</v>
      </c>
      <c r="R5303">
        <v>8.4905277317502499</v>
      </c>
      <c r="S5303">
        <v>38</v>
      </c>
      <c r="T5303">
        <v>37</v>
      </c>
      <c r="U5303">
        <v>211.929028131031</v>
      </c>
      <c r="V5303">
        <v>4.1034058268362702E-4</v>
      </c>
      <c r="W5303">
        <v>1318048.5729239499</v>
      </c>
      <c r="X5303" t="s">
        <v>40</v>
      </c>
      <c r="Y5303">
        <f>1-694-683-4366</f>
        <v>-5742</v>
      </c>
    </row>
    <row r="5304" spans="1:25" x14ac:dyDescent="0.35">
      <c r="A5304">
        <v>35.554970093596303</v>
      </c>
      <c r="B5304">
        <v>-120.089686654339</v>
      </c>
      <c r="C5304" t="s">
        <v>25</v>
      </c>
      <c r="D5304">
        <v>7.3993383589704997</v>
      </c>
      <c r="E5304">
        <v>2</v>
      </c>
      <c r="F5304">
        <v>1054</v>
      </c>
      <c r="G5304">
        <v>2</v>
      </c>
      <c r="H5304">
        <v>2</v>
      </c>
      <c r="I5304">
        <v>1976</v>
      </c>
      <c r="J5304">
        <v>0</v>
      </c>
      <c r="K5304">
        <v>0</v>
      </c>
      <c r="L5304">
        <v>1</v>
      </c>
      <c r="M5304">
        <v>12</v>
      </c>
      <c r="N5304" t="s">
        <v>41</v>
      </c>
      <c r="O5304" t="s">
        <v>30</v>
      </c>
      <c r="P5304">
        <v>3.2719165432527002</v>
      </c>
      <c r="Q5304">
        <v>2.3505978443786502</v>
      </c>
      <c r="R5304">
        <v>3.5662308330227601</v>
      </c>
      <c r="S5304">
        <v>193</v>
      </c>
      <c r="T5304">
        <v>79</v>
      </c>
      <c r="U5304">
        <v>816.48013621535995</v>
      </c>
      <c r="V5304">
        <v>1.13851992409867E-2</v>
      </c>
      <c r="W5304">
        <v>953732.13832359598</v>
      </c>
      <c r="X5304" t="s">
        <v>38</v>
      </c>
      <c r="Y5304">
        <f>1-690-321-2333</f>
        <v>-3343</v>
      </c>
    </row>
    <row r="5305" spans="1:25" x14ac:dyDescent="0.35">
      <c r="A5305">
        <v>39.472697132281397</v>
      </c>
      <c r="B5305">
        <v>-121.789578678607</v>
      </c>
      <c r="C5305" t="s">
        <v>34</v>
      </c>
      <c r="D5305">
        <v>36.774317962504803</v>
      </c>
      <c r="E5305">
        <v>8</v>
      </c>
      <c r="F5305">
        <v>1262</v>
      </c>
      <c r="G5305">
        <v>2</v>
      </c>
      <c r="H5305">
        <v>2</v>
      </c>
      <c r="I5305">
        <v>1984</v>
      </c>
      <c r="J5305">
        <v>1</v>
      </c>
      <c r="K5305">
        <v>0</v>
      </c>
      <c r="L5305">
        <v>0</v>
      </c>
      <c r="M5305">
        <v>4</v>
      </c>
      <c r="N5305" t="s">
        <v>37</v>
      </c>
      <c r="O5305" t="s">
        <v>27</v>
      </c>
      <c r="P5305">
        <v>8.1717821719045194</v>
      </c>
      <c r="Q5305">
        <v>2.0916931756108799</v>
      </c>
      <c r="R5305">
        <v>1.13977892816885</v>
      </c>
      <c r="S5305">
        <v>78</v>
      </c>
      <c r="T5305">
        <v>44</v>
      </c>
      <c r="U5305">
        <v>687.04463173344004</v>
      </c>
      <c r="V5305">
        <v>3.1695721077654501E-3</v>
      </c>
      <c r="W5305">
        <v>975126.70709126699</v>
      </c>
      <c r="X5305" t="s">
        <v>43</v>
      </c>
      <c r="Y5305">
        <f>1-906-622-5108</f>
        <v>-6635</v>
      </c>
    </row>
    <row r="5306" spans="1:25" x14ac:dyDescent="0.35">
      <c r="A5306">
        <v>36.843111816779803</v>
      </c>
      <c r="B5306">
        <v>-122.029567560563</v>
      </c>
      <c r="C5306" t="s">
        <v>25</v>
      </c>
      <c r="D5306">
        <v>7.26131753963121</v>
      </c>
      <c r="E5306">
        <v>8</v>
      </c>
      <c r="F5306">
        <v>3186</v>
      </c>
      <c r="G5306">
        <v>3</v>
      </c>
      <c r="H5306">
        <v>1</v>
      </c>
      <c r="I5306">
        <v>1999</v>
      </c>
      <c r="J5306">
        <v>0</v>
      </c>
      <c r="K5306">
        <v>1</v>
      </c>
      <c r="L5306">
        <v>1</v>
      </c>
      <c r="M5306">
        <v>8</v>
      </c>
      <c r="N5306" t="s">
        <v>35</v>
      </c>
      <c r="O5306" t="s">
        <v>32</v>
      </c>
      <c r="P5306">
        <v>13.8712122758912</v>
      </c>
      <c r="Q5306">
        <v>1.82441019446523</v>
      </c>
      <c r="R5306">
        <v>5.51975819089298</v>
      </c>
      <c r="S5306">
        <v>124</v>
      </c>
      <c r="T5306">
        <v>44</v>
      </c>
      <c r="U5306">
        <v>747.72336159234101</v>
      </c>
      <c r="V5306">
        <v>2.5109855618330101E-3</v>
      </c>
      <c r="W5306">
        <v>2707731.9928804301</v>
      </c>
      <c r="X5306" t="s">
        <v>36</v>
      </c>
      <c r="Y5306">
        <f>1-895-152-4522</f>
        <v>-5568</v>
      </c>
    </row>
    <row r="5307" spans="1:25" x14ac:dyDescent="0.35">
      <c r="A5307">
        <v>35.610020924812098</v>
      </c>
      <c r="B5307">
        <v>-116.80768210287501</v>
      </c>
      <c r="C5307" t="s">
        <v>29</v>
      </c>
      <c r="D5307">
        <v>17.499745947663001</v>
      </c>
      <c r="E5307">
        <v>6</v>
      </c>
      <c r="F5307">
        <v>1160</v>
      </c>
      <c r="G5307">
        <v>4</v>
      </c>
      <c r="H5307">
        <v>3</v>
      </c>
      <c r="I5307">
        <v>1990</v>
      </c>
      <c r="J5307">
        <v>1</v>
      </c>
      <c r="K5307">
        <v>1</v>
      </c>
      <c r="L5307">
        <v>1</v>
      </c>
      <c r="M5307">
        <v>14</v>
      </c>
      <c r="N5307" t="s">
        <v>35</v>
      </c>
      <c r="O5307" t="s">
        <v>27</v>
      </c>
      <c r="P5307">
        <v>12.8362225298028</v>
      </c>
      <c r="Q5307">
        <v>0.73768321121423797</v>
      </c>
      <c r="R5307">
        <v>3.34283245104703</v>
      </c>
      <c r="S5307">
        <v>53</v>
      </c>
      <c r="T5307">
        <v>47</v>
      </c>
      <c r="U5307">
        <v>381.22112415818702</v>
      </c>
      <c r="V5307">
        <v>1.2068965517241299E-2</v>
      </c>
      <c r="W5307">
        <v>991829.01337445597</v>
      </c>
      <c r="X5307" t="s">
        <v>39</v>
      </c>
      <c r="Y5307">
        <f>1-669-158-7941</f>
        <v>-8767</v>
      </c>
    </row>
    <row r="5308" spans="1:25" x14ac:dyDescent="0.35">
      <c r="A5308">
        <v>38.2936123423544</v>
      </c>
      <c r="B5308">
        <v>-123.48779011046599</v>
      </c>
      <c r="C5308" t="s">
        <v>25</v>
      </c>
      <c r="D5308">
        <v>33.074708755069999</v>
      </c>
      <c r="E5308">
        <v>5</v>
      </c>
      <c r="F5308">
        <v>1944</v>
      </c>
      <c r="G5308">
        <v>5</v>
      </c>
      <c r="H5308">
        <v>2</v>
      </c>
      <c r="I5308">
        <v>1970</v>
      </c>
      <c r="J5308">
        <v>1</v>
      </c>
      <c r="K5308">
        <v>0</v>
      </c>
      <c r="L5308">
        <v>1</v>
      </c>
      <c r="M5308">
        <v>14</v>
      </c>
      <c r="N5308" t="s">
        <v>35</v>
      </c>
      <c r="O5308" t="s">
        <v>30</v>
      </c>
      <c r="P5308">
        <v>5.5929446012081598</v>
      </c>
      <c r="Q5308">
        <v>1.8169589641784001</v>
      </c>
      <c r="R5308">
        <v>5.2346876387377002</v>
      </c>
      <c r="S5308">
        <v>54</v>
      </c>
      <c r="T5308">
        <v>51</v>
      </c>
      <c r="U5308">
        <v>613.18690165497401</v>
      </c>
      <c r="V5308">
        <v>7.2016460905349796E-3</v>
      </c>
      <c r="W5308">
        <v>1562691.50992234</v>
      </c>
      <c r="X5308" t="s">
        <v>40</v>
      </c>
      <c r="Y5308">
        <f>1-929-641-7272</f>
        <v>-8841</v>
      </c>
    </row>
    <row r="5309" spans="1:25" x14ac:dyDescent="0.35">
      <c r="A5309">
        <v>32.501175059669002</v>
      </c>
      <c r="B5309">
        <v>-116.19962959842</v>
      </c>
      <c r="C5309" t="s">
        <v>29</v>
      </c>
      <c r="D5309">
        <v>14.3300225577267</v>
      </c>
      <c r="E5309">
        <v>1</v>
      </c>
      <c r="F5309">
        <v>3735</v>
      </c>
      <c r="G5309">
        <v>4</v>
      </c>
      <c r="H5309">
        <v>2</v>
      </c>
      <c r="I5309">
        <v>1972</v>
      </c>
      <c r="J5309">
        <v>1</v>
      </c>
      <c r="K5309">
        <v>1</v>
      </c>
      <c r="L5309">
        <v>0</v>
      </c>
      <c r="M5309">
        <v>11</v>
      </c>
      <c r="N5309" t="s">
        <v>37</v>
      </c>
      <c r="O5309" t="s">
        <v>27</v>
      </c>
      <c r="P5309">
        <v>10.6736427142863</v>
      </c>
      <c r="Q5309">
        <v>0.81914895073053295</v>
      </c>
      <c r="R5309">
        <v>1.86304910491186</v>
      </c>
      <c r="S5309">
        <v>164</v>
      </c>
      <c r="T5309">
        <v>67</v>
      </c>
      <c r="U5309">
        <v>290.70055873777801</v>
      </c>
      <c r="V5309">
        <v>2.9451137884872799E-3</v>
      </c>
      <c r="W5309">
        <v>1496206.64410741</v>
      </c>
      <c r="X5309" t="s">
        <v>42</v>
      </c>
      <c r="Y5309">
        <f>1-419-691-5668</f>
        <v>-6777</v>
      </c>
    </row>
    <row r="5310" spans="1:25" x14ac:dyDescent="0.35">
      <c r="A5310">
        <v>37.8870308464763</v>
      </c>
      <c r="B5310">
        <v>-123.389119870972</v>
      </c>
      <c r="C5310" t="s">
        <v>25</v>
      </c>
      <c r="D5310">
        <v>1.92682507198882</v>
      </c>
      <c r="E5310">
        <v>1</v>
      </c>
      <c r="F5310">
        <v>595</v>
      </c>
      <c r="G5310">
        <v>3</v>
      </c>
      <c r="H5310">
        <v>2</v>
      </c>
      <c r="I5310">
        <v>2015</v>
      </c>
      <c r="J5310">
        <v>1</v>
      </c>
      <c r="K5310">
        <v>1</v>
      </c>
      <c r="L5310">
        <v>0</v>
      </c>
      <c r="M5310">
        <v>7</v>
      </c>
      <c r="N5310" t="s">
        <v>37</v>
      </c>
      <c r="O5310" t="s">
        <v>27</v>
      </c>
      <c r="P5310">
        <v>14.0533819079319</v>
      </c>
      <c r="Q5310">
        <v>2.3775430949696998</v>
      </c>
      <c r="R5310">
        <v>4.7716766615350403</v>
      </c>
      <c r="S5310">
        <v>102</v>
      </c>
      <c r="T5310">
        <v>32</v>
      </c>
      <c r="U5310">
        <v>748.41238903512306</v>
      </c>
      <c r="V5310">
        <v>1.1764705882352899E-2</v>
      </c>
      <c r="W5310">
        <v>939901.51448000199</v>
      </c>
      <c r="X5310" t="s">
        <v>39</v>
      </c>
      <c r="Y5310">
        <f>1-942-770-3921</f>
        <v>-5632</v>
      </c>
    </row>
    <row r="5311" spans="1:25" x14ac:dyDescent="0.35">
      <c r="A5311">
        <v>34.498979462551198</v>
      </c>
      <c r="B5311">
        <v>-120.541810103573</v>
      </c>
      <c r="C5311" t="s">
        <v>34</v>
      </c>
      <c r="D5311">
        <v>15.5882509850712</v>
      </c>
      <c r="E5311">
        <v>4</v>
      </c>
      <c r="F5311">
        <v>2211</v>
      </c>
      <c r="G5311">
        <v>1</v>
      </c>
      <c r="H5311">
        <v>2</v>
      </c>
      <c r="I5311">
        <v>1994</v>
      </c>
      <c r="J5311">
        <v>0</v>
      </c>
      <c r="K5311">
        <v>0</v>
      </c>
      <c r="L5311">
        <v>0</v>
      </c>
      <c r="M5311">
        <v>2</v>
      </c>
      <c r="N5311" t="s">
        <v>37</v>
      </c>
      <c r="O5311" t="s">
        <v>32</v>
      </c>
      <c r="P5311">
        <v>2.8798862832246601</v>
      </c>
      <c r="Q5311">
        <v>1.2992884708364401</v>
      </c>
      <c r="R5311">
        <v>6.1018111759381197</v>
      </c>
      <c r="S5311">
        <v>42</v>
      </c>
      <c r="T5311">
        <v>58</v>
      </c>
      <c r="U5311">
        <v>818.59102886141898</v>
      </c>
      <c r="V5311">
        <v>9.0456806874717301E-4</v>
      </c>
      <c r="W5311">
        <v>1791679.2287191499</v>
      </c>
      <c r="X5311" t="s">
        <v>31</v>
      </c>
      <c r="Y5311">
        <f>1-698-665-9842</f>
        <v>-11204</v>
      </c>
    </row>
    <row r="5312" spans="1:25" x14ac:dyDescent="0.35">
      <c r="A5312">
        <v>38.514444080692599</v>
      </c>
      <c r="B5312">
        <v>-121.19529717720999</v>
      </c>
      <c r="C5312" t="s">
        <v>25</v>
      </c>
      <c r="D5312">
        <v>41.860533811751203</v>
      </c>
      <c r="E5312">
        <v>1</v>
      </c>
      <c r="F5312">
        <v>4424</v>
      </c>
      <c r="G5312">
        <v>3</v>
      </c>
      <c r="H5312">
        <v>3</v>
      </c>
      <c r="I5312">
        <v>2010</v>
      </c>
      <c r="J5312">
        <v>1</v>
      </c>
      <c r="K5312">
        <v>0</v>
      </c>
      <c r="L5312">
        <v>0</v>
      </c>
      <c r="M5312">
        <v>14</v>
      </c>
      <c r="N5312" t="s">
        <v>35</v>
      </c>
      <c r="O5312" t="s">
        <v>30</v>
      </c>
      <c r="P5312">
        <v>6.5505336904144</v>
      </c>
      <c r="Q5312">
        <v>2.0595781105454098</v>
      </c>
      <c r="R5312">
        <v>4.0793584048951796</v>
      </c>
      <c r="S5312">
        <v>73</v>
      </c>
      <c r="T5312">
        <v>45</v>
      </c>
      <c r="U5312">
        <v>524.72802910214205</v>
      </c>
      <c r="V5312">
        <v>3.1645569620253099E-3</v>
      </c>
      <c r="W5312">
        <v>2690433.5980167501</v>
      </c>
      <c r="X5312" t="s">
        <v>40</v>
      </c>
      <c r="Y5312">
        <f>1-337-788-1649</f>
        <v>-2773</v>
      </c>
    </row>
    <row r="5313" spans="1:25" x14ac:dyDescent="0.35">
      <c r="A5313">
        <v>34.475866072509902</v>
      </c>
      <c r="B5313">
        <v>-115.314528331887</v>
      </c>
      <c r="C5313" t="s">
        <v>34</v>
      </c>
      <c r="D5313">
        <v>4.0370452937563197</v>
      </c>
      <c r="E5313">
        <v>0</v>
      </c>
      <c r="F5313">
        <v>1561</v>
      </c>
      <c r="G5313">
        <v>3</v>
      </c>
      <c r="H5313">
        <v>3</v>
      </c>
      <c r="I5313">
        <v>1983</v>
      </c>
      <c r="J5313">
        <v>1</v>
      </c>
      <c r="K5313">
        <v>0</v>
      </c>
      <c r="L5313">
        <v>1</v>
      </c>
      <c r="M5313">
        <v>5</v>
      </c>
      <c r="N5313" t="s">
        <v>26</v>
      </c>
      <c r="O5313" t="s">
        <v>30</v>
      </c>
      <c r="P5313">
        <v>6.8186437625510301</v>
      </c>
      <c r="Q5313">
        <v>0.72640141558266202</v>
      </c>
      <c r="R5313">
        <v>1.6775559845438499</v>
      </c>
      <c r="S5313">
        <v>18</v>
      </c>
      <c r="T5313">
        <v>74</v>
      </c>
      <c r="U5313">
        <v>498.01810466664</v>
      </c>
      <c r="V5313">
        <v>3.2030749519538701E-3</v>
      </c>
      <c r="W5313">
        <v>1110381.9525119599</v>
      </c>
      <c r="X5313" t="s">
        <v>43</v>
      </c>
      <c r="Y5313">
        <f>1-508-299-3738</f>
        <v>-4544</v>
      </c>
    </row>
    <row r="5314" spans="1:25" x14ac:dyDescent="0.35">
      <c r="A5314">
        <v>37.744150137947599</v>
      </c>
      <c r="B5314">
        <v>-115.927118317737</v>
      </c>
      <c r="C5314" t="s">
        <v>25</v>
      </c>
      <c r="D5314">
        <v>41.1538907588725</v>
      </c>
      <c r="E5314">
        <v>6</v>
      </c>
      <c r="F5314">
        <v>4001</v>
      </c>
      <c r="G5314">
        <v>5</v>
      </c>
      <c r="H5314">
        <v>1</v>
      </c>
      <c r="I5314">
        <v>2005</v>
      </c>
      <c r="J5314">
        <v>0</v>
      </c>
      <c r="K5314">
        <v>1</v>
      </c>
      <c r="L5314">
        <v>0</v>
      </c>
      <c r="M5314">
        <v>2</v>
      </c>
      <c r="N5314" t="s">
        <v>37</v>
      </c>
      <c r="O5314" t="s">
        <v>27</v>
      </c>
      <c r="P5314">
        <v>11.742823903605499</v>
      </c>
      <c r="Q5314">
        <v>1.65670795015248</v>
      </c>
      <c r="R5314">
        <v>4.2442999110714696</v>
      </c>
      <c r="S5314">
        <v>50</v>
      </c>
      <c r="T5314">
        <v>77</v>
      </c>
      <c r="U5314">
        <v>372.07337024917501</v>
      </c>
      <c r="V5314">
        <v>4.9987503124218895E-4</v>
      </c>
      <c r="W5314">
        <v>1931915.4864284799</v>
      </c>
      <c r="X5314" t="s">
        <v>44</v>
      </c>
      <c r="Y5314">
        <f>1-383-816-4963</f>
        <v>-6161</v>
      </c>
    </row>
    <row r="5315" spans="1:25" x14ac:dyDescent="0.35">
      <c r="A5315">
        <v>41.829458340662804</v>
      </c>
      <c r="B5315">
        <v>-122.130014159175</v>
      </c>
      <c r="C5315" t="s">
        <v>29</v>
      </c>
      <c r="D5315">
        <v>10.0381242963415</v>
      </c>
      <c r="E5315">
        <v>1</v>
      </c>
      <c r="F5315">
        <v>1088</v>
      </c>
      <c r="G5315">
        <v>2</v>
      </c>
      <c r="H5315">
        <v>3</v>
      </c>
      <c r="I5315">
        <v>2005</v>
      </c>
      <c r="J5315">
        <v>0</v>
      </c>
      <c r="K5315">
        <v>0</v>
      </c>
      <c r="L5315">
        <v>1</v>
      </c>
      <c r="M5315">
        <v>13</v>
      </c>
      <c r="N5315" t="s">
        <v>35</v>
      </c>
      <c r="O5315" t="s">
        <v>27</v>
      </c>
      <c r="P5315">
        <v>14.052325349957099</v>
      </c>
      <c r="Q5315">
        <v>1.7292834919590701</v>
      </c>
      <c r="R5315">
        <v>1.97770886356856</v>
      </c>
      <c r="S5315">
        <v>122</v>
      </c>
      <c r="T5315">
        <v>20</v>
      </c>
      <c r="U5315">
        <v>822.04813544138699</v>
      </c>
      <c r="V5315">
        <v>1.19485294117647E-2</v>
      </c>
      <c r="W5315">
        <v>1183438.69297542</v>
      </c>
      <c r="X5315" t="s">
        <v>43</v>
      </c>
      <c r="Y5315">
        <f>1-343-973-4099</f>
        <v>-5414</v>
      </c>
    </row>
    <row r="5316" spans="1:25" x14ac:dyDescent="0.35">
      <c r="A5316">
        <v>35.862835058949102</v>
      </c>
      <c r="B5316">
        <v>-119.42228320989101</v>
      </c>
      <c r="C5316" t="s">
        <v>29</v>
      </c>
      <c r="D5316">
        <v>33.978117415772203</v>
      </c>
      <c r="E5316">
        <v>9</v>
      </c>
      <c r="F5316">
        <v>4187</v>
      </c>
      <c r="G5316">
        <v>1</v>
      </c>
      <c r="H5316">
        <v>2</v>
      </c>
      <c r="I5316">
        <v>1977</v>
      </c>
      <c r="J5316">
        <v>1</v>
      </c>
      <c r="K5316">
        <v>0</v>
      </c>
      <c r="L5316">
        <v>0</v>
      </c>
      <c r="M5316">
        <v>13</v>
      </c>
      <c r="N5316" t="s">
        <v>26</v>
      </c>
      <c r="O5316" t="s">
        <v>27</v>
      </c>
      <c r="P5316">
        <v>3.2440524337344101</v>
      </c>
      <c r="Q5316">
        <v>1.10014518330001</v>
      </c>
      <c r="R5316">
        <v>2.2723994493253299</v>
      </c>
      <c r="S5316">
        <v>4</v>
      </c>
      <c r="T5316">
        <v>60</v>
      </c>
      <c r="U5316">
        <v>260.94662406076998</v>
      </c>
      <c r="V5316">
        <v>3.1048483401003098E-3</v>
      </c>
      <c r="W5316">
        <v>1228647.25672219</v>
      </c>
      <c r="X5316" t="s">
        <v>36</v>
      </c>
      <c r="Y5316">
        <f>1-588-745-6905</f>
        <v>-8237</v>
      </c>
    </row>
    <row r="5317" spans="1:25" x14ac:dyDescent="0.35">
      <c r="A5317">
        <v>39.246502348220197</v>
      </c>
      <c r="B5317">
        <v>-123.160009275525</v>
      </c>
      <c r="C5317" t="s">
        <v>34</v>
      </c>
      <c r="D5317">
        <v>38.032490199946601</v>
      </c>
      <c r="E5317">
        <v>6</v>
      </c>
      <c r="F5317">
        <v>2909</v>
      </c>
      <c r="G5317">
        <v>5</v>
      </c>
      <c r="H5317">
        <v>2</v>
      </c>
      <c r="I5317">
        <v>1993</v>
      </c>
      <c r="J5317">
        <v>0</v>
      </c>
      <c r="K5317">
        <v>0</v>
      </c>
      <c r="L5317">
        <v>1</v>
      </c>
      <c r="M5317">
        <v>13</v>
      </c>
      <c r="N5317" t="s">
        <v>41</v>
      </c>
      <c r="O5317" t="s">
        <v>32</v>
      </c>
      <c r="P5317">
        <v>5.0882255645866099</v>
      </c>
      <c r="Q5317">
        <v>1.60588647874081</v>
      </c>
      <c r="R5317">
        <v>9.0569437037110099</v>
      </c>
      <c r="S5317">
        <v>41</v>
      </c>
      <c r="T5317">
        <v>79</v>
      </c>
      <c r="U5317">
        <v>926.989910723452</v>
      </c>
      <c r="V5317">
        <v>4.4688896528016497E-3</v>
      </c>
      <c r="W5317">
        <v>3003988.9431641502</v>
      </c>
      <c r="X5317" t="s">
        <v>31</v>
      </c>
      <c r="Y5317">
        <f>1-627-917-6713</f>
        <v>-8256</v>
      </c>
    </row>
    <row r="5318" spans="1:25" x14ac:dyDescent="0.35">
      <c r="A5318">
        <v>35.449535190930099</v>
      </c>
      <c r="B5318">
        <v>-117.91495268576401</v>
      </c>
      <c r="C5318" t="s">
        <v>29</v>
      </c>
      <c r="D5318">
        <v>1.4077668632178999</v>
      </c>
      <c r="E5318">
        <v>5</v>
      </c>
      <c r="F5318">
        <v>3744</v>
      </c>
      <c r="G5318">
        <v>2</v>
      </c>
      <c r="H5318">
        <v>2</v>
      </c>
      <c r="I5318">
        <v>1972</v>
      </c>
      <c r="J5318">
        <v>0</v>
      </c>
      <c r="K5318">
        <v>1</v>
      </c>
      <c r="L5318">
        <v>0</v>
      </c>
      <c r="M5318">
        <v>12</v>
      </c>
      <c r="N5318" t="s">
        <v>26</v>
      </c>
      <c r="O5318" t="s">
        <v>32</v>
      </c>
      <c r="P5318">
        <v>10.569421916437401</v>
      </c>
      <c r="Q5318">
        <v>0.74751497193630301</v>
      </c>
      <c r="R5318">
        <v>0.49774758217660697</v>
      </c>
      <c r="S5318">
        <v>115</v>
      </c>
      <c r="T5318">
        <v>35</v>
      </c>
      <c r="U5318">
        <v>296.58197060201297</v>
      </c>
      <c r="V5318">
        <v>3.2051282051281998E-3</v>
      </c>
      <c r="W5318">
        <v>1342736.3053939401</v>
      </c>
      <c r="X5318" t="s">
        <v>40</v>
      </c>
      <c r="Y5318">
        <f>1-620-758-9741</f>
        <v>-11118</v>
      </c>
    </row>
    <row r="5319" spans="1:25" x14ac:dyDescent="0.35">
      <c r="A5319">
        <v>40.501114119269197</v>
      </c>
      <c r="B5319">
        <v>-123.591117279285</v>
      </c>
      <c r="C5319" t="s">
        <v>29</v>
      </c>
      <c r="D5319">
        <v>30.349269277155699</v>
      </c>
      <c r="E5319">
        <v>6</v>
      </c>
      <c r="F5319">
        <v>1819</v>
      </c>
      <c r="G5319">
        <v>3</v>
      </c>
      <c r="H5319">
        <v>3</v>
      </c>
      <c r="I5319">
        <v>2017</v>
      </c>
      <c r="J5319">
        <v>1</v>
      </c>
      <c r="K5319">
        <v>1</v>
      </c>
      <c r="L5319">
        <v>0</v>
      </c>
      <c r="M5319">
        <v>6</v>
      </c>
      <c r="N5319" t="s">
        <v>41</v>
      </c>
      <c r="O5319" t="s">
        <v>27</v>
      </c>
      <c r="P5319">
        <v>5.5102477271314498</v>
      </c>
      <c r="Q5319">
        <v>2.1547455740683201</v>
      </c>
      <c r="R5319">
        <v>5.5306639865893503</v>
      </c>
      <c r="S5319">
        <v>50</v>
      </c>
      <c r="T5319">
        <v>52</v>
      </c>
      <c r="U5319">
        <v>814.17766078318903</v>
      </c>
      <c r="V5319">
        <v>3.2985156679494199E-3</v>
      </c>
      <c r="W5319">
        <v>1887887.1756557899</v>
      </c>
      <c r="X5319" t="s">
        <v>36</v>
      </c>
      <c r="Y5319">
        <f>1-209-584-6579</f>
        <v>-7371</v>
      </c>
    </row>
    <row r="5320" spans="1:25" x14ac:dyDescent="0.35">
      <c r="A5320">
        <v>36.727199524812498</v>
      </c>
      <c r="B5320">
        <v>-115.565965701946</v>
      </c>
      <c r="C5320" t="s">
        <v>34</v>
      </c>
      <c r="D5320">
        <v>24.5999155834036</v>
      </c>
      <c r="E5320">
        <v>4</v>
      </c>
      <c r="F5320">
        <v>3162</v>
      </c>
      <c r="G5320">
        <v>2</v>
      </c>
      <c r="H5320">
        <v>1</v>
      </c>
      <c r="I5320">
        <v>2015</v>
      </c>
      <c r="J5320">
        <v>0</v>
      </c>
      <c r="K5320">
        <v>1</v>
      </c>
      <c r="L5320">
        <v>0</v>
      </c>
      <c r="M5320">
        <v>4</v>
      </c>
      <c r="N5320" t="s">
        <v>41</v>
      </c>
      <c r="O5320" t="s">
        <v>32</v>
      </c>
      <c r="P5320">
        <v>11.932656346715399</v>
      </c>
      <c r="Q5320">
        <v>1.18586095575158</v>
      </c>
      <c r="R5320">
        <v>1.1803455393801701</v>
      </c>
      <c r="S5320">
        <v>122</v>
      </c>
      <c r="T5320">
        <v>38</v>
      </c>
      <c r="U5320">
        <v>629.173800055843</v>
      </c>
      <c r="V5320">
        <v>1.26502213788741E-3</v>
      </c>
      <c r="W5320">
        <v>2329346.8751064301</v>
      </c>
      <c r="X5320" t="s">
        <v>42</v>
      </c>
      <c r="Y5320">
        <f>1-261-913-2764</f>
        <v>-3937</v>
      </c>
    </row>
    <row r="5321" spans="1:25" x14ac:dyDescent="0.35">
      <c r="A5321">
        <v>40.571123349052897</v>
      </c>
      <c r="B5321">
        <v>-120.660696975108</v>
      </c>
      <c r="C5321" t="s">
        <v>29</v>
      </c>
      <c r="D5321">
        <v>43.513586894070599</v>
      </c>
      <c r="E5321">
        <v>9</v>
      </c>
      <c r="F5321">
        <v>3294</v>
      </c>
      <c r="G5321">
        <v>1</v>
      </c>
      <c r="H5321">
        <v>3</v>
      </c>
      <c r="I5321">
        <v>2017</v>
      </c>
      <c r="J5321">
        <v>0</v>
      </c>
      <c r="K5321">
        <v>0</v>
      </c>
      <c r="L5321">
        <v>1</v>
      </c>
      <c r="M5321">
        <v>10</v>
      </c>
      <c r="N5321" t="s">
        <v>35</v>
      </c>
      <c r="O5321" t="s">
        <v>30</v>
      </c>
      <c r="P5321">
        <v>2.9046391539963299</v>
      </c>
      <c r="Q5321">
        <v>1.7289718526614699</v>
      </c>
      <c r="R5321">
        <v>8.9002255411906095</v>
      </c>
      <c r="S5321">
        <v>100</v>
      </c>
      <c r="T5321">
        <v>67</v>
      </c>
      <c r="U5321">
        <v>787.80221982998603</v>
      </c>
      <c r="V5321">
        <v>3.0358227079538501E-3</v>
      </c>
      <c r="W5321">
        <v>2720440.2078104899</v>
      </c>
      <c r="X5321" t="s">
        <v>36</v>
      </c>
      <c r="Y5321">
        <f>1-314-458-7161</f>
        <v>-7932</v>
      </c>
    </row>
    <row r="5322" spans="1:25" x14ac:dyDescent="0.35">
      <c r="A5322">
        <v>37.364625503288501</v>
      </c>
      <c r="B5322">
        <v>-121.01107612602399</v>
      </c>
      <c r="C5322" t="s">
        <v>29</v>
      </c>
      <c r="D5322">
        <v>24.384921332272999</v>
      </c>
      <c r="E5322">
        <v>6</v>
      </c>
      <c r="F5322">
        <v>4527</v>
      </c>
      <c r="G5322">
        <v>3</v>
      </c>
      <c r="H5322">
        <v>2</v>
      </c>
      <c r="I5322">
        <v>2013</v>
      </c>
      <c r="J5322">
        <v>0</v>
      </c>
      <c r="K5322">
        <v>0</v>
      </c>
      <c r="L5322">
        <v>1</v>
      </c>
      <c r="M5322">
        <v>5</v>
      </c>
      <c r="N5322" t="s">
        <v>37</v>
      </c>
      <c r="O5322" t="s">
        <v>32</v>
      </c>
      <c r="P5322">
        <v>9.3322333519110394</v>
      </c>
      <c r="Q5322">
        <v>2.1626609604459599</v>
      </c>
      <c r="R5322">
        <v>8.22567743986267</v>
      </c>
      <c r="S5322">
        <v>172</v>
      </c>
      <c r="T5322">
        <v>64</v>
      </c>
      <c r="U5322">
        <v>963.53564905847202</v>
      </c>
      <c r="V5322">
        <v>1.10448420587585E-3</v>
      </c>
      <c r="W5322">
        <v>4597850.4336255202</v>
      </c>
      <c r="X5322" t="s">
        <v>36</v>
      </c>
      <c r="Y5322">
        <f>1-596-678-4877</f>
        <v>-6150</v>
      </c>
    </row>
    <row r="5323" spans="1:25" x14ac:dyDescent="0.35">
      <c r="A5323">
        <v>36.191524126671197</v>
      </c>
      <c r="B5323">
        <v>-120.631247671458</v>
      </c>
      <c r="C5323" t="s">
        <v>29</v>
      </c>
      <c r="D5323">
        <v>37.623870891291098</v>
      </c>
      <c r="E5323">
        <v>6</v>
      </c>
      <c r="F5323">
        <v>3903</v>
      </c>
      <c r="G5323">
        <v>5</v>
      </c>
      <c r="H5323">
        <v>1</v>
      </c>
      <c r="I5323">
        <v>1955</v>
      </c>
      <c r="J5323">
        <v>1</v>
      </c>
      <c r="K5323">
        <v>0</v>
      </c>
      <c r="L5323">
        <v>1</v>
      </c>
      <c r="M5323">
        <v>12</v>
      </c>
      <c r="N5323" t="s">
        <v>37</v>
      </c>
      <c r="O5323" t="s">
        <v>30</v>
      </c>
      <c r="P5323">
        <v>2.0215276916255598</v>
      </c>
      <c r="Q5323">
        <v>1.8827748241203</v>
      </c>
      <c r="R5323">
        <v>4.8699664806423097</v>
      </c>
      <c r="S5323">
        <v>169</v>
      </c>
      <c r="T5323">
        <v>51</v>
      </c>
      <c r="U5323">
        <v>574.65768131290497</v>
      </c>
      <c r="V5323">
        <v>3.0745580322828498E-3</v>
      </c>
      <c r="W5323">
        <v>2442733.08293809</v>
      </c>
      <c r="X5323" t="s">
        <v>40</v>
      </c>
      <c r="Y5323">
        <f>1-378-998-3701</f>
        <v>-5076</v>
      </c>
    </row>
    <row r="5324" spans="1:25" x14ac:dyDescent="0.35">
      <c r="A5324">
        <v>38.722775844594999</v>
      </c>
      <c r="B5324">
        <v>-122.92999344466899</v>
      </c>
      <c r="C5324" t="s">
        <v>25</v>
      </c>
      <c r="D5324">
        <v>44.032376133534797</v>
      </c>
      <c r="E5324">
        <v>8</v>
      </c>
      <c r="F5324">
        <v>605</v>
      </c>
      <c r="G5324">
        <v>5</v>
      </c>
      <c r="H5324">
        <v>2</v>
      </c>
      <c r="I5324">
        <v>1967</v>
      </c>
      <c r="J5324">
        <v>1</v>
      </c>
      <c r="K5324">
        <v>0</v>
      </c>
      <c r="L5324">
        <v>1</v>
      </c>
      <c r="M5324">
        <v>10</v>
      </c>
      <c r="N5324" t="s">
        <v>26</v>
      </c>
      <c r="O5324" t="s">
        <v>27</v>
      </c>
      <c r="P5324">
        <v>9.0705626062072007</v>
      </c>
      <c r="Q5324">
        <v>1.0673081379921301</v>
      </c>
      <c r="R5324">
        <v>1.4001736504179401</v>
      </c>
      <c r="S5324">
        <v>158</v>
      </c>
      <c r="T5324">
        <v>70</v>
      </c>
      <c r="U5324">
        <v>255.23241857075899</v>
      </c>
      <c r="V5324">
        <v>1.6528925619834701E-2</v>
      </c>
      <c r="W5324">
        <v>519581.87359619798</v>
      </c>
      <c r="X5324" t="s">
        <v>42</v>
      </c>
      <c r="Y5324">
        <f>1-252-910-1660</f>
        <v>-2821</v>
      </c>
    </row>
    <row r="5325" spans="1:25" x14ac:dyDescent="0.35">
      <c r="A5325">
        <v>33.738573286973697</v>
      </c>
      <c r="B5325">
        <v>-117.743179677291</v>
      </c>
      <c r="C5325" t="s">
        <v>29</v>
      </c>
      <c r="D5325">
        <v>8.6645834110609794</v>
      </c>
      <c r="E5325">
        <v>2</v>
      </c>
      <c r="F5325">
        <v>1422</v>
      </c>
      <c r="G5325">
        <v>1</v>
      </c>
      <c r="H5325">
        <v>2</v>
      </c>
      <c r="I5325">
        <v>2022</v>
      </c>
      <c r="J5325">
        <v>1</v>
      </c>
      <c r="K5325">
        <v>0</v>
      </c>
      <c r="L5325">
        <v>0</v>
      </c>
      <c r="M5325">
        <v>4</v>
      </c>
      <c r="N5325" t="s">
        <v>37</v>
      </c>
      <c r="O5325" t="s">
        <v>30</v>
      </c>
      <c r="P5325">
        <v>4.8282198416072299</v>
      </c>
      <c r="Q5325">
        <v>1.3948436777768201</v>
      </c>
      <c r="R5325">
        <v>9.7000574284859198</v>
      </c>
      <c r="S5325">
        <v>56</v>
      </c>
      <c r="T5325">
        <v>43</v>
      </c>
      <c r="U5325">
        <v>497.72258718889702</v>
      </c>
      <c r="V5325">
        <v>2.81293952180028E-3</v>
      </c>
      <c r="W5325">
        <v>899223.22866313497</v>
      </c>
      <c r="X5325" t="s">
        <v>39</v>
      </c>
      <c r="Y5325">
        <f>1-926-193-5426</f>
        <v>-6544</v>
      </c>
    </row>
    <row r="5326" spans="1:25" x14ac:dyDescent="0.35">
      <c r="A5326">
        <v>33.333348656407402</v>
      </c>
      <c r="B5326">
        <v>-123.05167559695801</v>
      </c>
      <c r="C5326" t="s">
        <v>29</v>
      </c>
      <c r="D5326">
        <v>27.989436646466299</v>
      </c>
      <c r="E5326">
        <v>7</v>
      </c>
      <c r="F5326">
        <v>1846</v>
      </c>
      <c r="G5326">
        <v>2</v>
      </c>
      <c r="H5326">
        <v>2</v>
      </c>
      <c r="I5326">
        <v>1968</v>
      </c>
      <c r="J5326">
        <v>0</v>
      </c>
      <c r="K5326">
        <v>1</v>
      </c>
      <c r="L5326">
        <v>0</v>
      </c>
      <c r="M5326">
        <v>14</v>
      </c>
      <c r="N5326" t="s">
        <v>35</v>
      </c>
      <c r="O5326" t="s">
        <v>32</v>
      </c>
      <c r="P5326">
        <v>7.79083920179262</v>
      </c>
      <c r="Q5326">
        <v>0.78889267740881197</v>
      </c>
      <c r="R5326">
        <v>6.5332781046952304</v>
      </c>
      <c r="S5326">
        <v>18</v>
      </c>
      <c r="T5326">
        <v>25</v>
      </c>
      <c r="U5326">
        <v>634.61799504648502</v>
      </c>
      <c r="V5326">
        <v>7.5839653304441996E-3</v>
      </c>
      <c r="W5326">
        <v>1455651.6017483501</v>
      </c>
      <c r="X5326" t="s">
        <v>31</v>
      </c>
      <c r="Y5326">
        <f>1-748-809-8487</f>
        <v>-10043</v>
      </c>
    </row>
    <row r="5327" spans="1:25" x14ac:dyDescent="0.35">
      <c r="A5327">
        <v>35.469317475365699</v>
      </c>
      <c r="B5327">
        <v>-122.8032493132</v>
      </c>
      <c r="C5327" t="s">
        <v>29</v>
      </c>
      <c r="D5327">
        <v>14.1348755203681</v>
      </c>
      <c r="E5327">
        <v>8</v>
      </c>
      <c r="F5327">
        <v>3928</v>
      </c>
      <c r="G5327">
        <v>3</v>
      </c>
      <c r="H5327">
        <v>2</v>
      </c>
      <c r="I5327">
        <v>2022</v>
      </c>
      <c r="J5327">
        <v>0</v>
      </c>
      <c r="K5327">
        <v>1</v>
      </c>
      <c r="L5327">
        <v>0</v>
      </c>
      <c r="M5327">
        <v>14</v>
      </c>
      <c r="N5327" t="s">
        <v>41</v>
      </c>
      <c r="O5327" t="s">
        <v>27</v>
      </c>
      <c r="P5327">
        <v>14.361777468562201</v>
      </c>
      <c r="Q5327">
        <v>1.20923180547196</v>
      </c>
      <c r="R5327">
        <v>1.5718138144198599</v>
      </c>
      <c r="S5327">
        <v>93</v>
      </c>
      <c r="T5327">
        <v>63</v>
      </c>
      <c r="U5327">
        <v>612.75419911096503</v>
      </c>
      <c r="V5327">
        <v>3.56415478615071E-3</v>
      </c>
      <c r="W5327">
        <v>2841160.1728339102</v>
      </c>
      <c r="X5327" t="s">
        <v>28</v>
      </c>
      <c r="Y5327">
        <f>1-909-302-1340</f>
        <v>-2550</v>
      </c>
    </row>
    <row r="5328" spans="1:25" x14ac:dyDescent="0.35">
      <c r="A5328">
        <v>39.895123547415601</v>
      </c>
      <c r="B5328">
        <v>-116.77029445491701</v>
      </c>
      <c r="C5328" t="s">
        <v>29</v>
      </c>
      <c r="D5328">
        <v>36.543598782657597</v>
      </c>
      <c r="E5328">
        <v>9</v>
      </c>
      <c r="F5328">
        <v>2289</v>
      </c>
      <c r="G5328">
        <v>5</v>
      </c>
      <c r="H5328">
        <v>3</v>
      </c>
      <c r="I5328">
        <v>2016</v>
      </c>
      <c r="J5328">
        <v>1</v>
      </c>
      <c r="K5328">
        <v>0</v>
      </c>
      <c r="L5328">
        <v>1</v>
      </c>
      <c r="M5328">
        <v>12</v>
      </c>
      <c r="N5328" t="s">
        <v>41</v>
      </c>
      <c r="O5328" t="s">
        <v>32</v>
      </c>
      <c r="P5328">
        <v>3.6703041768036702</v>
      </c>
      <c r="Q5328">
        <v>2.31110857200748</v>
      </c>
      <c r="R5328">
        <v>4.0633631001984902</v>
      </c>
      <c r="S5328">
        <v>6</v>
      </c>
      <c r="T5328">
        <v>41</v>
      </c>
      <c r="U5328">
        <v>985.63219788210199</v>
      </c>
      <c r="V5328">
        <v>5.2424639580602797E-3</v>
      </c>
      <c r="W5328">
        <v>2670366.7047539302</v>
      </c>
      <c r="X5328" t="s">
        <v>44</v>
      </c>
      <c r="Y5328">
        <f>1-541-296-8677</f>
        <v>-9513</v>
      </c>
    </row>
    <row r="5329" spans="1:25" x14ac:dyDescent="0.35">
      <c r="A5329">
        <v>33.715385788073199</v>
      </c>
      <c r="B5329">
        <v>-118.640834322597</v>
      </c>
      <c r="C5329" t="s">
        <v>34</v>
      </c>
      <c r="D5329">
        <v>21.6668636750058</v>
      </c>
      <c r="E5329">
        <v>1</v>
      </c>
      <c r="F5329">
        <v>4971</v>
      </c>
      <c r="G5329">
        <v>5</v>
      </c>
      <c r="H5329">
        <v>1</v>
      </c>
      <c r="I5329">
        <v>2019</v>
      </c>
      <c r="J5329">
        <v>1</v>
      </c>
      <c r="K5329">
        <v>0</v>
      </c>
      <c r="L5329">
        <v>0</v>
      </c>
      <c r="M5329">
        <v>8</v>
      </c>
      <c r="N5329" t="s">
        <v>37</v>
      </c>
      <c r="O5329" t="s">
        <v>32</v>
      </c>
      <c r="P5329">
        <v>10.262226528237701</v>
      </c>
      <c r="Q5329">
        <v>1.6418474485797201</v>
      </c>
      <c r="R5329">
        <v>9.0015785132853807</v>
      </c>
      <c r="S5329">
        <v>23</v>
      </c>
      <c r="T5329">
        <v>30</v>
      </c>
      <c r="U5329">
        <v>866.78159885086995</v>
      </c>
      <c r="V5329">
        <v>1.6093341380004E-3</v>
      </c>
      <c r="W5329">
        <v>4736728.5332624996</v>
      </c>
      <c r="X5329" t="s">
        <v>44</v>
      </c>
      <c r="Y5329">
        <f>1-350-432-9446</f>
        <v>-10227</v>
      </c>
    </row>
    <row r="5330" spans="1:25" x14ac:dyDescent="0.35">
      <c r="A5330">
        <v>32.834256572725103</v>
      </c>
      <c r="B5330">
        <v>-121.000512043935</v>
      </c>
      <c r="C5330" t="s">
        <v>25</v>
      </c>
      <c r="D5330">
        <v>34.017393300898803</v>
      </c>
      <c r="E5330">
        <v>4</v>
      </c>
      <c r="F5330">
        <v>1092</v>
      </c>
      <c r="G5330">
        <v>4</v>
      </c>
      <c r="H5330">
        <v>2</v>
      </c>
      <c r="I5330">
        <v>1982</v>
      </c>
      <c r="J5330">
        <v>0</v>
      </c>
      <c r="K5330">
        <v>0</v>
      </c>
      <c r="L5330">
        <v>0</v>
      </c>
      <c r="M5330">
        <v>10</v>
      </c>
      <c r="N5330" t="s">
        <v>37</v>
      </c>
      <c r="O5330" t="s">
        <v>32</v>
      </c>
      <c r="P5330">
        <v>3.48772814229461</v>
      </c>
      <c r="Q5330">
        <v>2.2909028965628702</v>
      </c>
      <c r="R5330">
        <v>7.4249924985165903</v>
      </c>
      <c r="S5330">
        <v>175</v>
      </c>
      <c r="T5330">
        <v>71</v>
      </c>
      <c r="U5330">
        <v>383.02370958621799</v>
      </c>
      <c r="V5330">
        <v>9.1575091575091493E-3</v>
      </c>
      <c r="W5330">
        <v>616285.91785620595</v>
      </c>
      <c r="X5330" t="s">
        <v>43</v>
      </c>
      <c r="Y5330">
        <f>1-977-714-3896</f>
        <v>-5586</v>
      </c>
    </row>
    <row r="5331" spans="1:25" x14ac:dyDescent="0.35">
      <c r="A5331">
        <v>41.669963206289097</v>
      </c>
      <c r="B5331">
        <v>-119.893999268888</v>
      </c>
      <c r="C5331" t="s">
        <v>25</v>
      </c>
      <c r="D5331">
        <v>48.129974691036303</v>
      </c>
      <c r="E5331">
        <v>0</v>
      </c>
      <c r="F5331">
        <v>548</v>
      </c>
      <c r="G5331">
        <v>1</v>
      </c>
      <c r="H5331">
        <v>2</v>
      </c>
      <c r="I5331">
        <v>2003</v>
      </c>
      <c r="J5331">
        <v>1</v>
      </c>
      <c r="K5331">
        <v>0</v>
      </c>
      <c r="L5331">
        <v>1</v>
      </c>
      <c r="M5331">
        <v>8</v>
      </c>
      <c r="N5331" t="s">
        <v>26</v>
      </c>
      <c r="O5331" t="s">
        <v>32</v>
      </c>
      <c r="P5331">
        <v>9.3513084567404707</v>
      </c>
      <c r="Q5331">
        <v>0.90461385536526095</v>
      </c>
      <c r="R5331">
        <v>7.8373845387632901</v>
      </c>
      <c r="S5331">
        <v>165</v>
      </c>
      <c r="T5331">
        <v>66</v>
      </c>
      <c r="U5331">
        <v>902.80467109774895</v>
      </c>
      <c r="V5331">
        <v>1.4598540145985399E-2</v>
      </c>
      <c r="W5331">
        <v>697382.12537571299</v>
      </c>
      <c r="X5331" t="s">
        <v>43</v>
      </c>
      <c r="Y5331">
        <f>1-897-662-3538</f>
        <v>-5096</v>
      </c>
    </row>
    <row r="5332" spans="1:25" x14ac:dyDescent="0.35">
      <c r="A5332">
        <v>33.461122618203099</v>
      </c>
      <c r="B5332">
        <v>-117.32761601128</v>
      </c>
      <c r="C5332" t="s">
        <v>25</v>
      </c>
      <c r="D5332">
        <v>38.011224216629699</v>
      </c>
      <c r="E5332">
        <v>8</v>
      </c>
      <c r="F5332">
        <v>628</v>
      </c>
      <c r="G5332">
        <v>4</v>
      </c>
      <c r="H5332">
        <v>2</v>
      </c>
      <c r="I5332">
        <v>1983</v>
      </c>
      <c r="J5332">
        <v>1</v>
      </c>
      <c r="K5332">
        <v>1</v>
      </c>
      <c r="L5332">
        <v>1</v>
      </c>
      <c r="M5332">
        <v>14</v>
      </c>
      <c r="N5332" t="s">
        <v>41</v>
      </c>
      <c r="O5332" t="s">
        <v>27</v>
      </c>
      <c r="P5332">
        <v>14.4960156287658</v>
      </c>
      <c r="Q5332">
        <v>0.84464457149840799</v>
      </c>
      <c r="R5332">
        <v>4.5298123850180403</v>
      </c>
      <c r="S5332">
        <v>150</v>
      </c>
      <c r="T5332">
        <v>67</v>
      </c>
      <c r="U5332">
        <v>308.62765701877902</v>
      </c>
      <c r="V5332">
        <v>2.2292993630573198E-2</v>
      </c>
      <c r="W5332">
        <v>655374.78331125597</v>
      </c>
      <c r="X5332" t="s">
        <v>40</v>
      </c>
      <c r="Y5332">
        <f>1-226-330-3324</f>
        <v>-3879</v>
      </c>
    </row>
    <row r="5333" spans="1:25" x14ac:dyDescent="0.35">
      <c r="A5333">
        <v>32.763509500931796</v>
      </c>
      <c r="B5333">
        <v>-123.118854565866</v>
      </c>
      <c r="C5333" t="s">
        <v>29</v>
      </c>
      <c r="D5333">
        <v>17.3632363069494</v>
      </c>
      <c r="E5333">
        <v>3</v>
      </c>
      <c r="F5333">
        <v>2233</v>
      </c>
      <c r="G5333">
        <v>4</v>
      </c>
      <c r="H5333">
        <v>1</v>
      </c>
      <c r="I5333">
        <v>2002</v>
      </c>
      <c r="J5333">
        <v>1</v>
      </c>
      <c r="K5333">
        <v>0</v>
      </c>
      <c r="L5333">
        <v>0</v>
      </c>
      <c r="M5333">
        <v>12</v>
      </c>
      <c r="N5333" t="s">
        <v>41</v>
      </c>
      <c r="O5333" t="s">
        <v>27</v>
      </c>
      <c r="P5333">
        <v>5.1300763936935097</v>
      </c>
      <c r="Q5333">
        <v>2.0707058342440701</v>
      </c>
      <c r="R5333">
        <v>7.8180931053560698</v>
      </c>
      <c r="S5333">
        <v>108</v>
      </c>
      <c r="T5333">
        <v>43</v>
      </c>
      <c r="U5333">
        <v>668.966778675976</v>
      </c>
      <c r="V5333">
        <v>5.3739364084191598E-3</v>
      </c>
      <c r="W5333">
        <v>1861641.4482605499</v>
      </c>
      <c r="X5333" t="s">
        <v>44</v>
      </c>
      <c r="Y5333">
        <f>1-244-516-3892</f>
        <v>-4651</v>
      </c>
    </row>
    <row r="5334" spans="1:25" x14ac:dyDescent="0.35">
      <c r="A5334">
        <v>35.961121509613001</v>
      </c>
      <c r="B5334">
        <v>-124.495890744223</v>
      </c>
      <c r="C5334" t="s">
        <v>29</v>
      </c>
      <c r="D5334">
        <v>9.2561454196002106</v>
      </c>
      <c r="E5334">
        <v>0</v>
      </c>
      <c r="F5334">
        <v>4129</v>
      </c>
      <c r="G5334">
        <v>1</v>
      </c>
      <c r="H5334">
        <v>3</v>
      </c>
      <c r="I5334">
        <v>1999</v>
      </c>
      <c r="J5334">
        <v>0</v>
      </c>
      <c r="K5334">
        <v>0</v>
      </c>
      <c r="L5334">
        <v>0</v>
      </c>
      <c r="M5334">
        <v>14</v>
      </c>
      <c r="N5334" t="s">
        <v>41</v>
      </c>
      <c r="O5334" t="s">
        <v>32</v>
      </c>
      <c r="P5334">
        <v>8.1457716261506796</v>
      </c>
      <c r="Q5334">
        <v>1.3947798757698699</v>
      </c>
      <c r="R5334">
        <v>6.6220618707294596</v>
      </c>
      <c r="S5334">
        <v>66</v>
      </c>
      <c r="T5334">
        <v>67</v>
      </c>
      <c r="U5334">
        <v>607.40762718087399</v>
      </c>
      <c r="V5334">
        <v>3.3906514894647601E-3</v>
      </c>
      <c r="W5334">
        <v>2671523.1138070701</v>
      </c>
      <c r="X5334" t="s">
        <v>38</v>
      </c>
      <c r="Y5334">
        <f>1-841-311-7965</f>
        <v>-9116</v>
      </c>
    </row>
    <row r="5335" spans="1:25" x14ac:dyDescent="0.35">
      <c r="A5335">
        <v>39.167738277782703</v>
      </c>
      <c r="B5335">
        <v>-121.262385242465</v>
      </c>
      <c r="C5335" t="s">
        <v>29</v>
      </c>
      <c r="D5335">
        <v>32.808322657827702</v>
      </c>
      <c r="E5335">
        <v>1</v>
      </c>
      <c r="F5335">
        <v>3430</v>
      </c>
      <c r="G5335">
        <v>3</v>
      </c>
      <c r="H5335">
        <v>1</v>
      </c>
      <c r="I5335">
        <v>1972</v>
      </c>
      <c r="J5335">
        <v>0</v>
      </c>
      <c r="K5335">
        <v>0</v>
      </c>
      <c r="L5335">
        <v>0</v>
      </c>
      <c r="M5335">
        <v>10</v>
      </c>
      <c r="N5335" t="s">
        <v>37</v>
      </c>
      <c r="O5335" t="s">
        <v>32</v>
      </c>
      <c r="P5335">
        <v>3.4268724208341101</v>
      </c>
      <c r="Q5335">
        <v>0.69784746458566005</v>
      </c>
      <c r="R5335">
        <v>3.5764162940363602</v>
      </c>
      <c r="S5335">
        <v>111</v>
      </c>
      <c r="T5335">
        <v>52</v>
      </c>
      <c r="U5335">
        <v>804.71769904085204</v>
      </c>
      <c r="V5335">
        <v>2.91545189504373E-3</v>
      </c>
      <c r="W5335">
        <v>2750539.66333747</v>
      </c>
      <c r="X5335" t="s">
        <v>44</v>
      </c>
      <c r="Y5335">
        <f>1-487-819-9571</f>
        <v>-10876</v>
      </c>
    </row>
    <row r="5336" spans="1:25" x14ac:dyDescent="0.35">
      <c r="A5336">
        <v>34.163738001447001</v>
      </c>
      <c r="B5336">
        <v>-119.309292551146</v>
      </c>
      <c r="C5336" t="s">
        <v>25</v>
      </c>
      <c r="D5336">
        <v>14.2363467977012</v>
      </c>
      <c r="E5336">
        <v>3</v>
      </c>
      <c r="F5336">
        <v>4818</v>
      </c>
      <c r="G5336">
        <v>5</v>
      </c>
      <c r="H5336">
        <v>2</v>
      </c>
      <c r="I5336">
        <v>1995</v>
      </c>
      <c r="J5336">
        <v>1</v>
      </c>
      <c r="K5336">
        <v>1</v>
      </c>
      <c r="L5336">
        <v>1</v>
      </c>
      <c r="M5336">
        <v>2</v>
      </c>
      <c r="N5336" t="s">
        <v>41</v>
      </c>
      <c r="O5336" t="s">
        <v>27</v>
      </c>
      <c r="P5336">
        <v>7.5731940737645296</v>
      </c>
      <c r="Q5336">
        <v>1.1508251333478901</v>
      </c>
      <c r="R5336">
        <v>6.5754756089447497</v>
      </c>
      <c r="S5336">
        <v>179</v>
      </c>
      <c r="T5336">
        <v>56</v>
      </c>
      <c r="U5336">
        <v>950.84314273837697</v>
      </c>
      <c r="V5336">
        <v>4.1511000415109998E-4</v>
      </c>
      <c r="W5336">
        <v>4997667.8954646103</v>
      </c>
      <c r="X5336" t="s">
        <v>33</v>
      </c>
      <c r="Y5336">
        <f>1-869-567-2136</f>
        <v>-3571</v>
      </c>
    </row>
    <row r="5337" spans="1:25" x14ac:dyDescent="0.35">
      <c r="A5337">
        <v>41.997269534667403</v>
      </c>
      <c r="B5337">
        <v>-115.736125185616</v>
      </c>
      <c r="C5337" t="s">
        <v>25</v>
      </c>
      <c r="D5337">
        <v>44.037110714534997</v>
      </c>
      <c r="E5337">
        <v>2</v>
      </c>
      <c r="F5337">
        <v>3778</v>
      </c>
      <c r="G5337">
        <v>5</v>
      </c>
      <c r="H5337">
        <v>2</v>
      </c>
      <c r="I5337">
        <v>1995</v>
      </c>
      <c r="J5337">
        <v>1</v>
      </c>
      <c r="K5337">
        <v>0</v>
      </c>
      <c r="L5337">
        <v>0</v>
      </c>
      <c r="M5337">
        <v>5</v>
      </c>
      <c r="N5337" t="s">
        <v>37</v>
      </c>
      <c r="O5337" t="s">
        <v>27</v>
      </c>
      <c r="P5337">
        <v>11.6674503761009</v>
      </c>
      <c r="Q5337">
        <v>1.8318956329109299</v>
      </c>
      <c r="R5337">
        <v>4.5357975566663304</v>
      </c>
      <c r="S5337">
        <v>49</v>
      </c>
      <c r="T5337">
        <v>71</v>
      </c>
      <c r="U5337">
        <v>706.60346225796297</v>
      </c>
      <c r="V5337">
        <v>1.32345156167284E-3</v>
      </c>
      <c r="W5337">
        <v>3108725.0562226302</v>
      </c>
      <c r="X5337" t="s">
        <v>43</v>
      </c>
      <c r="Y5337">
        <f>1-525-765-3240</f>
        <v>-4529</v>
      </c>
    </row>
    <row r="5338" spans="1:25" x14ac:dyDescent="0.35">
      <c r="A5338">
        <v>34.660732955165898</v>
      </c>
      <c r="B5338">
        <v>-121.077513817935</v>
      </c>
      <c r="C5338" t="s">
        <v>34</v>
      </c>
      <c r="D5338">
        <v>31.047618052925099</v>
      </c>
      <c r="E5338">
        <v>5</v>
      </c>
      <c r="F5338">
        <v>1404</v>
      </c>
      <c r="G5338">
        <v>4</v>
      </c>
      <c r="H5338">
        <v>2</v>
      </c>
      <c r="I5338">
        <v>2016</v>
      </c>
      <c r="J5338">
        <v>0</v>
      </c>
      <c r="K5338">
        <v>1</v>
      </c>
      <c r="L5338">
        <v>1</v>
      </c>
      <c r="M5338">
        <v>13</v>
      </c>
      <c r="N5338" t="s">
        <v>41</v>
      </c>
      <c r="O5338" t="s">
        <v>27</v>
      </c>
      <c r="P5338">
        <v>4.0796792986810999</v>
      </c>
      <c r="Q5338">
        <v>1.51670959671098</v>
      </c>
      <c r="R5338">
        <v>7.0413413582722102</v>
      </c>
      <c r="S5338">
        <v>98</v>
      </c>
      <c r="T5338">
        <v>71</v>
      </c>
      <c r="U5338">
        <v>778.36966319971896</v>
      </c>
      <c r="V5338">
        <v>9.2592592592592501E-3</v>
      </c>
      <c r="W5338">
        <v>1494740.2885390599</v>
      </c>
      <c r="X5338" t="s">
        <v>42</v>
      </c>
      <c r="Y5338">
        <f>1-670-505-5686</f>
        <v>-6860</v>
      </c>
    </row>
    <row r="5339" spans="1:25" x14ac:dyDescent="0.35">
      <c r="A5339">
        <v>38.0447989113202</v>
      </c>
      <c r="B5339">
        <v>-115.243646775722</v>
      </c>
      <c r="C5339" t="s">
        <v>34</v>
      </c>
      <c r="D5339">
        <v>27.710275074118801</v>
      </c>
      <c r="E5339">
        <v>4</v>
      </c>
      <c r="F5339">
        <v>2644</v>
      </c>
      <c r="G5339">
        <v>3</v>
      </c>
      <c r="H5339">
        <v>3</v>
      </c>
      <c r="I5339">
        <v>1969</v>
      </c>
      <c r="J5339">
        <v>0</v>
      </c>
      <c r="K5339">
        <v>0</v>
      </c>
      <c r="L5339">
        <v>1</v>
      </c>
      <c r="M5339">
        <v>6</v>
      </c>
      <c r="N5339" t="s">
        <v>26</v>
      </c>
      <c r="O5339" t="s">
        <v>30</v>
      </c>
      <c r="P5339">
        <v>2.5414050922692999</v>
      </c>
      <c r="Q5339">
        <v>0.79813950698255898</v>
      </c>
      <c r="R5339">
        <v>5.1964408221615503</v>
      </c>
      <c r="S5339">
        <v>38</v>
      </c>
      <c r="T5339">
        <v>50</v>
      </c>
      <c r="U5339">
        <v>761.787544050105</v>
      </c>
      <c r="V5339">
        <v>2.2692889561270798E-3</v>
      </c>
      <c r="W5339">
        <v>2148368.56366204</v>
      </c>
      <c r="X5339" t="s">
        <v>42</v>
      </c>
      <c r="Y5339">
        <f>1-903-105-9151</f>
        <v>-10158</v>
      </c>
    </row>
    <row r="5340" spans="1:25" x14ac:dyDescent="0.35">
      <c r="A5340">
        <v>41.512127232248098</v>
      </c>
      <c r="B5340">
        <v>-114.910209454642</v>
      </c>
      <c r="C5340" t="s">
        <v>29</v>
      </c>
      <c r="D5340">
        <v>24.246188817838799</v>
      </c>
      <c r="E5340">
        <v>2</v>
      </c>
      <c r="F5340">
        <v>1581</v>
      </c>
      <c r="G5340">
        <v>1</v>
      </c>
      <c r="H5340">
        <v>3</v>
      </c>
      <c r="I5340">
        <v>2000</v>
      </c>
      <c r="J5340">
        <v>1</v>
      </c>
      <c r="K5340">
        <v>0</v>
      </c>
      <c r="L5340">
        <v>0</v>
      </c>
      <c r="M5340">
        <v>3</v>
      </c>
      <c r="N5340" t="s">
        <v>41</v>
      </c>
      <c r="O5340" t="s">
        <v>32</v>
      </c>
      <c r="P5340">
        <v>4.2838790026895097</v>
      </c>
      <c r="Q5340">
        <v>0.943664307618166</v>
      </c>
      <c r="R5340">
        <v>8.0048591240008502</v>
      </c>
      <c r="S5340">
        <v>199</v>
      </c>
      <c r="T5340">
        <v>73</v>
      </c>
      <c r="U5340">
        <v>590.496890409049</v>
      </c>
      <c r="V5340">
        <v>1.89753320683111E-3</v>
      </c>
      <c r="W5340">
        <v>1098448.8112953799</v>
      </c>
      <c r="X5340" t="s">
        <v>44</v>
      </c>
      <c r="Y5340">
        <f>1-752-257-5544</f>
        <v>-6552</v>
      </c>
    </row>
    <row r="5341" spans="1:25" x14ac:dyDescent="0.35">
      <c r="A5341">
        <v>34.051015834501101</v>
      </c>
      <c r="B5341">
        <v>-114.99771786830399</v>
      </c>
      <c r="C5341" t="s">
        <v>34</v>
      </c>
      <c r="D5341">
        <v>46.822919909449901</v>
      </c>
      <c r="E5341">
        <v>3</v>
      </c>
      <c r="F5341">
        <v>4817</v>
      </c>
      <c r="G5341">
        <v>1</v>
      </c>
      <c r="H5341">
        <v>1</v>
      </c>
      <c r="I5341">
        <v>1962</v>
      </c>
      <c r="J5341">
        <v>1</v>
      </c>
      <c r="K5341">
        <v>0</v>
      </c>
      <c r="L5341">
        <v>0</v>
      </c>
      <c r="M5341">
        <v>3</v>
      </c>
      <c r="N5341" t="s">
        <v>37</v>
      </c>
      <c r="O5341" t="s">
        <v>30</v>
      </c>
      <c r="P5341">
        <v>8.5547076744030495</v>
      </c>
      <c r="Q5341">
        <v>1.04088298795076</v>
      </c>
      <c r="R5341">
        <v>0.64112993149999298</v>
      </c>
      <c r="S5341">
        <v>187</v>
      </c>
      <c r="T5341">
        <v>70</v>
      </c>
      <c r="U5341">
        <v>303.10569235429398</v>
      </c>
      <c r="V5341">
        <v>6.2279427029271299E-4</v>
      </c>
      <c r="W5341">
        <v>1629998.68793929</v>
      </c>
      <c r="X5341" t="s">
        <v>43</v>
      </c>
      <c r="Y5341">
        <f>1-261-931-5981</f>
        <v>-7172</v>
      </c>
    </row>
    <row r="5342" spans="1:25" x14ac:dyDescent="0.35">
      <c r="A5342">
        <v>35.546195199798802</v>
      </c>
      <c r="B5342">
        <v>-122.284906380582</v>
      </c>
      <c r="C5342" t="s">
        <v>34</v>
      </c>
      <c r="D5342">
        <v>24.711563596711599</v>
      </c>
      <c r="E5342">
        <v>9</v>
      </c>
      <c r="F5342">
        <v>1095</v>
      </c>
      <c r="G5342">
        <v>2</v>
      </c>
      <c r="H5342">
        <v>2</v>
      </c>
      <c r="I5342">
        <v>1970</v>
      </c>
      <c r="J5342">
        <v>1</v>
      </c>
      <c r="K5342">
        <v>1</v>
      </c>
      <c r="L5342">
        <v>1</v>
      </c>
      <c r="M5342">
        <v>12</v>
      </c>
      <c r="N5342" t="s">
        <v>35</v>
      </c>
      <c r="O5342" t="s">
        <v>27</v>
      </c>
      <c r="P5342">
        <v>9.7246812461829499</v>
      </c>
      <c r="Q5342">
        <v>2.4467117844587598</v>
      </c>
      <c r="R5342">
        <v>7.7849434476204804</v>
      </c>
      <c r="S5342">
        <v>56</v>
      </c>
      <c r="T5342">
        <v>40</v>
      </c>
      <c r="U5342">
        <v>659.41568800683206</v>
      </c>
      <c r="V5342">
        <v>1.0958904109589E-2</v>
      </c>
      <c r="W5342">
        <v>1061342.73654482</v>
      </c>
      <c r="X5342" t="s">
        <v>36</v>
      </c>
      <c r="Y5342">
        <f>1-894-794-9597</f>
        <v>-11284</v>
      </c>
    </row>
    <row r="5343" spans="1:25" x14ac:dyDescent="0.35">
      <c r="A5343">
        <v>38.565213772872099</v>
      </c>
      <c r="B5343">
        <v>-123.96533706893</v>
      </c>
      <c r="C5343" t="s">
        <v>29</v>
      </c>
      <c r="D5343">
        <v>34.949634236883199</v>
      </c>
      <c r="E5343">
        <v>4</v>
      </c>
      <c r="F5343">
        <v>4775</v>
      </c>
      <c r="G5343">
        <v>5</v>
      </c>
      <c r="H5343">
        <v>1</v>
      </c>
      <c r="I5343">
        <v>2022</v>
      </c>
      <c r="J5343">
        <v>0</v>
      </c>
      <c r="K5343">
        <v>1</v>
      </c>
      <c r="L5343">
        <v>1</v>
      </c>
      <c r="M5343">
        <v>13</v>
      </c>
      <c r="N5343" t="s">
        <v>41</v>
      </c>
      <c r="O5343" t="s">
        <v>32</v>
      </c>
      <c r="P5343">
        <v>3.1525773185338699</v>
      </c>
      <c r="Q5343">
        <v>2.1944045894755599</v>
      </c>
      <c r="R5343">
        <v>1.5012685477473799</v>
      </c>
      <c r="S5343">
        <v>57</v>
      </c>
      <c r="T5343">
        <v>33</v>
      </c>
      <c r="U5343">
        <v>203.87405589776799</v>
      </c>
      <c r="V5343">
        <v>2.72251308900523E-3</v>
      </c>
      <c r="W5343">
        <v>1457364.4915932401</v>
      </c>
      <c r="X5343" t="s">
        <v>36</v>
      </c>
      <c r="Y5343">
        <f>1-587-472-1824</f>
        <v>-2882</v>
      </c>
    </row>
    <row r="5344" spans="1:25" x14ac:dyDescent="0.35">
      <c r="A5344">
        <v>41.018468326586301</v>
      </c>
      <c r="B5344">
        <v>-116.904827129447</v>
      </c>
      <c r="C5344" t="s">
        <v>29</v>
      </c>
      <c r="D5344">
        <v>24.684300413057802</v>
      </c>
      <c r="E5344">
        <v>9</v>
      </c>
      <c r="F5344">
        <v>4190</v>
      </c>
      <c r="G5344">
        <v>1</v>
      </c>
      <c r="H5344">
        <v>3</v>
      </c>
      <c r="I5344">
        <v>1969</v>
      </c>
      <c r="J5344">
        <v>0</v>
      </c>
      <c r="K5344">
        <v>0</v>
      </c>
      <c r="L5344">
        <v>1</v>
      </c>
      <c r="M5344">
        <v>3</v>
      </c>
      <c r="N5344" t="s">
        <v>26</v>
      </c>
      <c r="O5344" t="s">
        <v>30</v>
      </c>
      <c r="P5344">
        <v>14.3854645031447</v>
      </c>
      <c r="Q5344">
        <v>1.0099623712057799</v>
      </c>
      <c r="R5344">
        <v>6.3079030868459202E-2</v>
      </c>
      <c r="S5344">
        <v>49</v>
      </c>
      <c r="T5344">
        <v>48</v>
      </c>
      <c r="U5344">
        <v>653.14750736880796</v>
      </c>
      <c r="V5344">
        <v>7.1599045346061997E-4</v>
      </c>
      <c r="W5344">
        <v>2963185.4654784598</v>
      </c>
      <c r="X5344" t="s">
        <v>36</v>
      </c>
      <c r="Y5344">
        <f>1-254-434-5135</f>
        <v>-5822</v>
      </c>
    </row>
    <row r="5345" spans="1:25" x14ac:dyDescent="0.35">
      <c r="A5345">
        <v>40.416505078345601</v>
      </c>
      <c r="B5345">
        <v>-122.200404247593</v>
      </c>
      <c r="C5345" t="s">
        <v>29</v>
      </c>
      <c r="D5345">
        <v>44.1475996996666</v>
      </c>
      <c r="E5345">
        <v>4</v>
      </c>
      <c r="F5345">
        <v>1943</v>
      </c>
      <c r="G5345">
        <v>1</v>
      </c>
      <c r="H5345">
        <v>2</v>
      </c>
      <c r="I5345">
        <v>1962</v>
      </c>
      <c r="J5345">
        <v>0</v>
      </c>
      <c r="K5345">
        <v>1</v>
      </c>
      <c r="L5345">
        <v>1</v>
      </c>
      <c r="M5345">
        <v>2</v>
      </c>
      <c r="N5345" t="s">
        <v>35</v>
      </c>
      <c r="O5345" t="s">
        <v>30</v>
      </c>
      <c r="P5345">
        <v>2.3748454064794999</v>
      </c>
      <c r="Q5345">
        <v>2.0548083042662899</v>
      </c>
      <c r="R5345">
        <v>9.5071162602264003</v>
      </c>
      <c r="S5345">
        <v>28</v>
      </c>
      <c r="T5345">
        <v>74</v>
      </c>
      <c r="U5345">
        <v>367.814238963126</v>
      </c>
      <c r="V5345">
        <v>1.0293360782295401E-3</v>
      </c>
      <c r="W5345">
        <v>789180.58697423094</v>
      </c>
      <c r="X5345" t="s">
        <v>28</v>
      </c>
      <c r="Y5345">
        <f>1-216-862-3877</f>
        <v>-4954</v>
      </c>
    </row>
    <row r="5346" spans="1:25" x14ac:dyDescent="0.35">
      <c r="A5346">
        <v>34.126703793776301</v>
      </c>
      <c r="B5346">
        <v>-123.143101549075</v>
      </c>
      <c r="C5346" t="s">
        <v>25</v>
      </c>
      <c r="D5346">
        <v>33.958233543150101</v>
      </c>
      <c r="E5346">
        <v>5</v>
      </c>
      <c r="F5346">
        <v>835</v>
      </c>
      <c r="G5346">
        <v>2</v>
      </c>
      <c r="H5346">
        <v>3</v>
      </c>
      <c r="I5346">
        <v>1957</v>
      </c>
      <c r="J5346">
        <v>0</v>
      </c>
      <c r="K5346">
        <v>0</v>
      </c>
      <c r="L5346">
        <v>0</v>
      </c>
      <c r="M5346">
        <v>11</v>
      </c>
      <c r="N5346" t="s">
        <v>37</v>
      </c>
      <c r="O5346" t="s">
        <v>27</v>
      </c>
      <c r="P5346">
        <v>13.3454303453459</v>
      </c>
      <c r="Q5346">
        <v>1.9239696984785</v>
      </c>
      <c r="R5346">
        <v>5.2522347188511098</v>
      </c>
      <c r="S5346">
        <v>35</v>
      </c>
      <c r="T5346">
        <v>62</v>
      </c>
      <c r="U5346">
        <v>376.10572285101102</v>
      </c>
      <c r="V5346">
        <v>1.31736526946107E-2</v>
      </c>
      <c r="W5346">
        <v>475865.89450132201</v>
      </c>
      <c r="X5346" t="s">
        <v>36</v>
      </c>
      <c r="Y5346">
        <f>1-966-360-3873</f>
        <v>-5198</v>
      </c>
    </row>
    <row r="5347" spans="1:25" x14ac:dyDescent="0.35">
      <c r="A5347">
        <v>39.817978331443499</v>
      </c>
      <c r="B5347">
        <v>-120.499042993553</v>
      </c>
      <c r="C5347" t="s">
        <v>29</v>
      </c>
      <c r="D5347">
        <v>12.8784447600765</v>
      </c>
      <c r="E5347">
        <v>1</v>
      </c>
      <c r="F5347">
        <v>2990</v>
      </c>
      <c r="G5347">
        <v>4</v>
      </c>
      <c r="H5347">
        <v>3</v>
      </c>
      <c r="I5347">
        <v>1978</v>
      </c>
      <c r="J5347">
        <v>0</v>
      </c>
      <c r="K5347">
        <v>0</v>
      </c>
      <c r="L5347">
        <v>1</v>
      </c>
      <c r="M5347">
        <v>7</v>
      </c>
      <c r="N5347" t="s">
        <v>35</v>
      </c>
      <c r="O5347" t="s">
        <v>27</v>
      </c>
      <c r="P5347">
        <v>11.9381473648795</v>
      </c>
      <c r="Q5347">
        <v>1.37067912560657</v>
      </c>
      <c r="R5347">
        <v>2.1784593342381902</v>
      </c>
      <c r="S5347">
        <v>13</v>
      </c>
      <c r="T5347">
        <v>61</v>
      </c>
      <c r="U5347">
        <v>447.65419439025999</v>
      </c>
      <c r="V5347">
        <v>2.3411371237458101E-3</v>
      </c>
      <c r="W5347">
        <v>1722836.2436154201</v>
      </c>
      <c r="X5347" t="s">
        <v>36</v>
      </c>
      <c r="Y5347">
        <f>1-616-762-4108</f>
        <v>-5485</v>
      </c>
    </row>
    <row r="5348" spans="1:25" x14ac:dyDescent="0.35">
      <c r="A5348">
        <v>41.169923783354101</v>
      </c>
      <c r="B5348">
        <v>-123.081807733253</v>
      </c>
      <c r="C5348" t="s">
        <v>29</v>
      </c>
      <c r="D5348">
        <v>3.6894610208169301</v>
      </c>
      <c r="E5348">
        <v>4</v>
      </c>
      <c r="F5348">
        <v>4603</v>
      </c>
      <c r="G5348">
        <v>3</v>
      </c>
      <c r="H5348">
        <v>1</v>
      </c>
      <c r="I5348">
        <v>1966</v>
      </c>
      <c r="J5348">
        <v>0</v>
      </c>
      <c r="K5348">
        <v>1</v>
      </c>
      <c r="L5348">
        <v>1</v>
      </c>
      <c r="M5348">
        <v>5</v>
      </c>
      <c r="N5348" t="s">
        <v>26</v>
      </c>
      <c r="O5348" t="s">
        <v>32</v>
      </c>
      <c r="P5348">
        <v>9.8810532070228998</v>
      </c>
      <c r="Q5348">
        <v>1.7878116968086299</v>
      </c>
      <c r="R5348">
        <v>5.6994995218680202</v>
      </c>
      <c r="S5348">
        <v>39</v>
      </c>
      <c r="T5348">
        <v>28</v>
      </c>
      <c r="U5348">
        <v>539.58264090935802</v>
      </c>
      <c r="V5348">
        <v>1.0862480990658199E-3</v>
      </c>
      <c r="W5348">
        <v>2766022.0372455302</v>
      </c>
      <c r="X5348" t="s">
        <v>33</v>
      </c>
      <c r="Y5348">
        <f>1-847-286-8489</f>
        <v>-9621</v>
      </c>
    </row>
    <row r="5349" spans="1:25" x14ac:dyDescent="0.35">
      <c r="A5349">
        <v>32.546717279657003</v>
      </c>
      <c r="B5349">
        <v>-120.110090244386</v>
      </c>
      <c r="C5349" t="s">
        <v>29</v>
      </c>
      <c r="D5349">
        <v>15.4433867101146</v>
      </c>
      <c r="E5349">
        <v>1</v>
      </c>
      <c r="F5349">
        <v>2971</v>
      </c>
      <c r="G5349">
        <v>5</v>
      </c>
      <c r="H5349">
        <v>1</v>
      </c>
      <c r="I5349">
        <v>1989</v>
      </c>
      <c r="J5349">
        <v>1</v>
      </c>
      <c r="K5349">
        <v>0</v>
      </c>
      <c r="L5349">
        <v>1</v>
      </c>
      <c r="M5349">
        <v>2</v>
      </c>
      <c r="N5349" t="s">
        <v>26</v>
      </c>
      <c r="O5349" t="s">
        <v>27</v>
      </c>
      <c r="P5349">
        <v>10.688762399850599</v>
      </c>
      <c r="Q5349">
        <v>0.84513582487299299</v>
      </c>
      <c r="R5349">
        <v>6.0099940825813096</v>
      </c>
      <c r="S5349">
        <v>191</v>
      </c>
      <c r="T5349">
        <v>54</v>
      </c>
      <c r="U5349">
        <v>828.03667366471495</v>
      </c>
      <c r="V5349">
        <v>6.7317401548300205E-4</v>
      </c>
      <c r="W5349">
        <v>2849419.67960063</v>
      </c>
      <c r="X5349" t="s">
        <v>28</v>
      </c>
      <c r="Y5349">
        <f>1-415-565-5267</f>
        <v>-6246</v>
      </c>
    </row>
    <row r="5350" spans="1:25" x14ac:dyDescent="0.35">
      <c r="A5350">
        <v>40.862373296059303</v>
      </c>
      <c r="B5350">
        <v>-116.451229095499</v>
      </c>
      <c r="C5350" t="s">
        <v>25</v>
      </c>
      <c r="D5350">
        <v>1.94717439439357</v>
      </c>
      <c r="E5350">
        <v>7</v>
      </c>
      <c r="F5350">
        <v>4716</v>
      </c>
      <c r="G5350">
        <v>2</v>
      </c>
      <c r="H5350">
        <v>1</v>
      </c>
      <c r="I5350">
        <v>1967</v>
      </c>
      <c r="J5350">
        <v>0</v>
      </c>
      <c r="K5350">
        <v>0</v>
      </c>
      <c r="L5350">
        <v>0</v>
      </c>
      <c r="M5350">
        <v>14</v>
      </c>
      <c r="N5350" t="s">
        <v>37</v>
      </c>
      <c r="O5350" t="s">
        <v>27</v>
      </c>
      <c r="P5350">
        <v>10.7578546593559</v>
      </c>
      <c r="Q5350">
        <v>2.13847311274708</v>
      </c>
      <c r="R5350">
        <v>9.9106405671732603</v>
      </c>
      <c r="S5350">
        <v>69</v>
      </c>
      <c r="T5350">
        <v>65</v>
      </c>
      <c r="U5350">
        <v>458.13769610522399</v>
      </c>
      <c r="V5350">
        <v>2.9686174724342599E-3</v>
      </c>
      <c r="W5350">
        <v>2194482.3288977002</v>
      </c>
      <c r="X5350" t="s">
        <v>42</v>
      </c>
      <c r="Y5350">
        <f>1-809-511-1140</f>
        <v>-2459</v>
      </c>
    </row>
    <row r="5351" spans="1:25" x14ac:dyDescent="0.35">
      <c r="A5351">
        <v>33.257609813914698</v>
      </c>
      <c r="B5351">
        <v>-120.235296530776</v>
      </c>
      <c r="C5351" t="s">
        <v>34</v>
      </c>
      <c r="D5351">
        <v>36.615180766126002</v>
      </c>
      <c r="E5351">
        <v>5</v>
      </c>
      <c r="F5351">
        <v>4409</v>
      </c>
      <c r="G5351">
        <v>4</v>
      </c>
      <c r="H5351">
        <v>3</v>
      </c>
      <c r="I5351">
        <v>1965</v>
      </c>
      <c r="J5351">
        <v>1</v>
      </c>
      <c r="K5351">
        <v>1</v>
      </c>
      <c r="L5351">
        <v>0</v>
      </c>
      <c r="M5351">
        <v>12</v>
      </c>
      <c r="N5351" t="s">
        <v>26</v>
      </c>
      <c r="O5351" t="s">
        <v>27</v>
      </c>
      <c r="P5351">
        <v>12.1547473431326</v>
      </c>
      <c r="Q5351">
        <v>1.8104513261905599</v>
      </c>
      <c r="R5351">
        <v>6.3740731403707596</v>
      </c>
      <c r="S5351">
        <v>44</v>
      </c>
      <c r="T5351">
        <v>78</v>
      </c>
      <c r="U5351">
        <v>292.52206034127602</v>
      </c>
      <c r="V5351">
        <v>2.7217056021773601E-3</v>
      </c>
      <c r="W5351">
        <v>1700252.0557625899</v>
      </c>
      <c r="X5351" t="s">
        <v>43</v>
      </c>
      <c r="Y5351">
        <f>1-740-476-5076</f>
        <v>-6291</v>
      </c>
    </row>
    <row r="5352" spans="1:25" x14ac:dyDescent="0.35">
      <c r="A5352">
        <v>38.290261070672997</v>
      </c>
      <c r="B5352">
        <v>-122.07934455274599</v>
      </c>
      <c r="C5352" t="s">
        <v>29</v>
      </c>
      <c r="D5352">
        <v>45.698088929852098</v>
      </c>
      <c r="E5352">
        <v>4</v>
      </c>
      <c r="F5352">
        <v>3731</v>
      </c>
      <c r="G5352">
        <v>5</v>
      </c>
      <c r="H5352">
        <v>3</v>
      </c>
      <c r="I5352">
        <v>2007</v>
      </c>
      <c r="J5352">
        <v>1</v>
      </c>
      <c r="K5352">
        <v>0</v>
      </c>
      <c r="L5352">
        <v>1</v>
      </c>
      <c r="M5352">
        <v>2</v>
      </c>
      <c r="N5352" t="s">
        <v>35</v>
      </c>
      <c r="O5352" t="s">
        <v>30</v>
      </c>
      <c r="P5352">
        <v>5.0246769998827601</v>
      </c>
      <c r="Q5352">
        <v>0.51526988026533105</v>
      </c>
      <c r="R5352">
        <v>3.0130664954336601</v>
      </c>
      <c r="S5352">
        <v>134</v>
      </c>
      <c r="T5352">
        <v>35</v>
      </c>
      <c r="U5352">
        <v>309.33826602671201</v>
      </c>
      <c r="V5352">
        <v>5.3604931653712098E-4</v>
      </c>
      <c r="W5352">
        <v>1456715.0449678299</v>
      </c>
      <c r="X5352" t="s">
        <v>28</v>
      </c>
      <c r="Y5352">
        <f>1-920-497-9146</f>
        <v>-10562</v>
      </c>
    </row>
    <row r="5353" spans="1:25" x14ac:dyDescent="0.35">
      <c r="A5353">
        <v>34.833648209102002</v>
      </c>
      <c r="B5353">
        <v>-118.211896145712</v>
      </c>
      <c r="C5353" t="s">
        <v>29</v>
      </c>
      <c r="D5353">
        <v>12.9224127459412</v>
      </c>
      <c r="E5353">
        <v>8</v>
      </c>
      <c r="F5353">
        <v>2529</v>
      </c>
      <c r="G5353">
        <v>4</v>
      </c>
      <c r="H5353">
        <v>2</v>
      </c>
      <c r="I5353">
        <v>1978</v>
      </c>
      <c r="J5353">
        <v>1</v>
      </c>
      <c r="K5353">
        <v>0</v>
      </c>
      <c r="L5353">
        <v>1</v>
      </c>
      <c r="M5353">
        <v>8</v>
      </c>
      <c r="N5353" t="s">
        <v>41</v>
      </c>
      <c r="O5353" t="s">
        <v>27</v>
      </c>
      <c r="P5353">
        <v>10.8739201228307</v>
      </c>
      <c r="Q5353">
        <v>0.51298963844739398</v>
      </c>
      <c r="R5353">
        <v>5.8356216581964402</v>
      </c>
      <c r="S5353">
        <v>20</v>
      </c>
      <c r="T5353">
        <v>50</v>
      </c>
      <c r="U5353">
        <v>695.37928149574395</v>
      </c>
      <c r="V5353">
        <v>3.16330565440885E-3</v>
      </c>
      <c r="W5353">
        <v>2025631.11009571</v>
      </c>
      <c r="X5353" t="s">
        <v>40</v>
      </c>
      <c r="Y5353">
        <f>1-552-105-6889</f>
        <v>-7545</v>
      </c>
    </row>
    <row r="5354" spans="1:25" x14ac:dyDescent="0.35">
      <c r="A5354">
        <v>41.924614855659399</v>
      </c>
      <c r="B5354">
        <v>-114.742980503689</v>
      </c>
      <c r="C5354" t="s">
        <v>29</v>
      </c>
      <c r="D5354">
        <v>37.018410412042101</v>
      </c>
      <c r="E5354">
        <v>9</v>
      </c>
      <c r="F5354">
        <v>758</v>
      </c>
      <c r="G5354">
        <v>3</v>
      </c>
      <c r="H5354">
        <v>2</v>
      </c>
      <c r="I5354">
        <v>1988</v>
      </c>
      <c r="J5354">
        <v>0</v>
      </c>
      <c r="K5354">
        <v>0</v>
      </c>
      <c r="L5354">
        <v>1</v>
      </c>
      <c r="M5354">
        <v>13</v>
      </c>
      <c r="N5354" t="s">
        <v>41</v>
      </c>
      <c r="O5354" t="s">
        <v>30</v>
      </c>
      <c r="P5354">
        <v>10.073953178253101</v>
      </c>
      <c r="Q5354">
        <v>2.0032002257724502</v>
      </c>
      <c r="R5354">
        <v>9.5571529647831301</v>
      </c>
      <c r="S5354">
        <v>41</v>
      </c>
      <c r="T5354">
        <v>48</v>
      </c>
      <c r="U5354">
        <v>912.97354777511896</v>
      </c>
      <c r="V5354">
        <v>1.7150395778364101E-2</v>
      </c>
      <c r="W5354">
        <v>955966.99562445097</v>
      </c>
      <c r="X5354" t="s">
        <v>40</v>
      </c>
      <c r="Y5354">
        <f>1-826-685-3321</f>
        <v>-4831</v>
      </c>
    </row>
    <row r="5355" spans="1:25" x14ac:dyDescent="0.35">
      <c r="A5355">
        <v>40.257526440154898</v>
      </c>
      <c r="B5355">
        <v>-122.12927563904999</v>
      </c>
      <c r="C5355" t="s">
        <v>25</v>
      </c>
      <c r="D5355">
        <v>7.2395804313934802</v>
      </c>
      <c r="E5355">
        <v>8</v>
      </c>
      <c r="F5355">
        <v>3276</v>
      </c>
      <c r="G5355">
        <v>1</v>
      </c>
      <c r="H5355">
        <v>3</v>
      </c>
      <c r="I5355">
        <v>1985</v>
      </c>
      <c r="J5355">
        <v>0</v>
      </c>
      <c r="K5355">
        <v>0</v>
      </c>
      <c r="L5355">
        <v>0</v>
      </c>
      <c r="M5355">
        <v>7</v>
      </c>
      <c r="N5355" t="s">
        <v>35</v>
      </c>
      <c r="O5355" t="s">
        <v>27</v>
      </c>
      <c r="P5355">
        <v>13.869909631071501</v>
      </c>
      <c r="Q5355">
        <v>1.6433649433789901</v>
      </c>
      <c r="R5355">
        <v>2.2687613412755301</v>
      </c>
      <c r="S5355">
        <v>160</v>
      </c>
      <c r="T5355">
        <v>75</v>
      </c>
      <c r="U5355">
        <v>984.05135412737297</v>
      </c>
      <c r="V5355">
        <v>2.13675213675213E-3</v>
      </c>
      <c r="W5355">
        <v>3458570.7522512102</v>
      </c>
      <c r="X5355" t="s">
        <v>43</v>
      </c>
      <c r="Y5355">
        <f>1-299-116-2109</f>
        <v>-2523</v>
      </c>
    </row>
    <row r="5356" spans="1:25" x14ac:dyDescent="0.35">
      <c r="A5356">
        <v>39.242506788445098</v>
      </c>
      <c r="B5356">
        <v>-117.239063060953</v>
      </c>
      <c r="C5356" t="s">
        <v>25</v>
      </c>
      <c r="D5356">
        <v>47.797997978002499</v>
      </c>
      <c r="E5356">
        <v>5</v>
      </c>
      <c r="F5356">
        <v>1707</v>
      </c>
      <c r="G5356">
        <v>1</v>
      </c>
      <c r="H5356">
        <v>1</v>
      </c>
      <c r="I5356">
        <v>1995</v>
      </c>
      <c r="J5356">
        <v>1</v>
      </c>
      <c r="K5356">
        <v>1</v>
      </c>
      <c r="L5356">
        <v>1</v>
      </c>
      <c r="M5356">
        <v>9</v>
      </c>
      <c r="N5356" t="s">
        <v>35</v>
      </c>
      <c r="O5356" t="s">
        <v>32</v>
      </c>
      <c r="P5356">
        <v>10.995392115268499</v>
      </c>
      <c r="Q5356">
        <v>1.9053766472533</v>
      </c>
      <c r="R5356">
        <v>6.7893635721616398E-3</v>
      </c>
      <c r="S5356">
        <v>50</v>
      </c>
      <c r="T5356">
        <v>73</v>
      </c>
      <c r="U5356">
        <v>935.07983468608404</v>
      </c>
      <c r="V5356">
        <v>5.2724077328646698E-3</v>
      </c>
      <c r="W5356">
        <v>1850764.5483180501</v>
      </c>
      <c r="X5356" t="s">
        <v>38</v>
      </c>
      <c r="Y5356">
        <f>1-754-878-2354</f>
        <v>-3985</v>
      </c>
    </row>
    <row r="5357" spans="1:25" x14ac:dyDescent="0.35">
      <c r="A5357">
        <v>38.117437463088997</v>
      </c>
      <c r="B5357">
        <v>-124.086231589758</v>
      </c>
      <c r="C5357" t="s">
        <v>29</v>
      </c>
      <c r="D5357">
        <v>4.2814055937431998</v>
      </c>
      <c r="E5357">
        <v>0</v>
      </c>
      <c r="F5357">
        <v>1724</v>
      </c>
      <c r="G5357">
        <v>2</v>
      </c>
      <c r="H5357">
        <v>2</v>
      </c>
      <c r="I5357">
        <v>1958</v>
      </c>
      <c r="J5357">
        <v>1</v>
      </c>
      <c r="K5357">
        <v>0</v>
      </c>
      <c r="L5357">
        <v>1</v>
      </c>
      <c r="M5357">
        <v>14</v>
      </c>
      <c r="N5357" t="s">
        <v>41</v>
      </c>
      <c r="O5357" t="s">
        <v>27</v>
      </c>
      <c r="P5357">
        <v>3.0458716434978399</v>
      </c>
      <c r="Q5357">
        <v>1.5795339704326301</v>
      </c>
      <c r="R5357">
        <v>8.4443162793267703</v>
      </c>
      <c r="S5357">
        <v>131</v>
      </c>
      <c r="T5357">
        <v>50</v>
      </c>
      <c r="U5357">
        <v>743.98171905398203</v>
      </c>
      <c r="V5357">
        <v>8.1206496519721505E-3</v>
      </c>
      <c r="W5357">
        <v>1423379.2349231599</v>
      </c>
      <c r="X5357" t="s">
        <v>28</v>
      </c>
      <c r="Y5357">
        <f>1-581-507-7581</f>
        <v>-8668</v>
      </c>
    </row>
    <row r="5358" spans="1:25" x14ac:dyDescent="0.35">
      <c r="A5358">
        <v>36.547106260958003</v>
      </c>
      <c r="B5358">
        <v>-119.818462893399</v>
      </c>
      <c r="C5358" t="s">
        <v>25</v>
      </c>
      <c r="D5358">
        <v>26.5360778718549</v>
      </c>
      <c r="E5358">
        <v>3</v>
      </c>
      <c r="F5358">
        <v>2917</v>
      </c>
      <c r="G5358">
        <v>2</v>
      </c>
      <c r="H5358">
        <v>3</v>
      </c>
      <c r="I5358">
        <v>1956</v>
      </c>
      <c r="J5358">
        <v>0</v>
      </c>
      <c r="K5358">
        <v>1</v>
      </c>
      <c r="L5358">
        <v>0</v>
      </c>
      <c r="M5358">
        <v>4</v>
      </c>
      <c r="N5358" t="s">
        <v>35</v>
      </c>
      <c r="O5358" t="s">
        <v>32</v>
      </c>
      <c r="P5358">
        <v>11.970517342959701</v>
      </c>
      <c r="Q5358">
        <v>1.16070272813863</v>
      </c>
      <c r="R5358">
        <v>3.5087695842022599</v>
      </c>
      <c r="S5358">
        <v>15</v>
      </c>
      <c r="T5358">
        <v>66</v>
      </c>
      <c r="U5358">
        <v>905.58269646684801</v>
      </c>
      <c r="V5358">
        <v>1.37127185464518E-3</v>
      </c>
      <c r="W5358">
        <v>2956573.8454809501</v>
      </c>
      <c r="X5358" t="s">
        <v>33</v>
      </c>
      <c r="Y5358">
        <f>1-397-125-7579</f>
        <v>-8100</v>
      </c>
    </row>
    <row r="5359" spans="1:25" x14ac:dyDescent="0.35">
      <c r="A5359">
        <v>32.903295256747001</v>
      </c>
      <c r="B5359">
        <v>-116.623747108876</v>
      </c>
      <c r="C5359" t="s">
        <v>25</v>
      </c>
      <c r="D5359">
        <v>10.053207292019099</v>
      </c>
      <c r="E5359">
        <v>6</v>
      </c>
      <c r="F5359">
        <v>1857</v>
      </c>
      <c r="G5359">
        <v>1</v>
      </c>
      <c r="H5359">
        <v>2</v>
      </c>
      <c r="I5359">
        <v>1985</v>
      </c>
      <c r="J5359">
        <v>0</v>
      </c>
      <c r="K5359">
        <v>0</v>
      </c>
      <c r="L5359">
        <v>1</v>
      </c>
      <c r="M5359">
        <v>10</v>
      </c>
      <c r="N5359" t="s">
        <v>41</v>
      </c>
      <c r="O5359" t="s">
        <v>30</v>
      </c>
      <c r="P5359">
        <v>5.8853419582173698</v>
      </c>
      <c r="Q5359">
        <v>1.16579433414518</v>
      </c>
      <c r="R5359">
        <v>2.8856358043365602</v>
      </c>
      <c r="S5359">
        <v>70</v>
      </c>
      <c r="T5359">
        <v>75</v>
      </c>
      <c r="U5359">
        <v>412.81163773575798</v>
      </c>
      <c r="V5359">
        <v>5.38502961766289E-3</v>
      </c>
      <c r="W5359">
        <v>903713.50824484497</v>
      </c>
      <c r="X5359" t="s">
        <v>36</v>
      </c>
      <c r="Y5359">
        <f>1-370-297-8278</f>
        <v>-8944</v>
      </c>
    </row>
    <row r="5360" spans="1:25" x14ac:dyDescent="0.35">
      <c r="A5360">
        <v>36.052377733130101</v>
      </c>
      <c r="B5360">
        <v>-119.815588074722</v>
      </c>
      <c r="C5360" t="s">
        <v>34</v>
      </c>
      <c r="D5360">
        <v>8.1965784115498703</v>
      </c>
      <c r="E5360">
        <v>1</v>
      </c>
      <c r="F5360">
        <v>4821</v>
      </c>
      <c r="G5360">
        <v>2</v>
      </c>
      <c r="H5360">
        <v>3</v>
      </c>
      <c r="I5360">
        <v>1985</v>
      </c>
      <c r="J5360">
        <v>1</v>
      </c>
      <c r="K5360">
        <v>0</v>
      </c>
      <c r="L5360">
        <v>1</v>
      </c>
      <c r="M5360">
        <v>4</v>
      </c>
      <c r="N5360" t="s">
        <v>41</v>
      </c>
      <c r="O5360" t="s">
        <v>32</v>
      </c>
      <c r="P5360">
        <v>13.250136032679301</v>
      </c>
      <c r="Q5360">
        <v>0.50563582672207497</v>
      </c>
      <c r="R5360">
        <v>3.27966945146171</v>
      </c>
      <c r="S5360">
        <v>119</v>
      </c>
      <c r="T5360">
        <v>65</v>
      </c>
      <c r="U5360">
        <v>709.65651788040805</v>
      </c>
      <c r="V5360">
        <v>8.2970338104127698E-4</v>
      </c>
      <c r="W5360">
        <v>3732495.8495084802</v>
      </c>
      <c r="X5360" t="s">
        <v>43</v>
      </c>
      <c r="Y5360">
        <f>1-657-522-9370</f>
        <v>-10548</v>
      </c>
    </row>
    <row r="5361" spans="1:25" x14ac:dyDescent="0.35">
      <c r="A5361">
        <v>41.496391532191197</v>
      </c>
      <c r="B5361">
        <v>-118.567882923748</v>
      </c>
      <c r="C5361" t="s">
        <v>25</v>
      </c>
      <c r="D5361">
        <v>41.302142942051503</v>
      </c>
      <c r="E5361">
        <v>1</v>
      </c>
      <c r="F5361">
        <v>2696</v>
      </c>
      <c r="G5361">
        <v>1</v>
      </c>
      <c r="H5361">
        <v>1</v>
      </c>
      <c r="I5361">
        <v>1969</v>
      </c>
      <c r="J5361">
        <v>0</v>
      </c>
      <c r="K5361">
        <v>0</v>
      </c>
      <c r="L5361">
        <v>1</v>
      </c>
      <c r="M5361">
        <v>2</v>
      </c>
      <c r="N5361" t="s">
        <v>26</v>
      </c>
      <c r="O5361" t="s">
        <v>27</v>
      </c>
      <c r="P5361">
        <v>12.114015810978</v>
      </c>
      <c r="Q5361">
        <v>2.2743156478070801</v>
      </c>
      <c r="R5361">
        <v>1.63380962552682</v>
      </c>
      <c r="S5361">
        <v>102</v>
      </c>
      <c r="T5361">
        <v>34</v>
      </c>
      <c r="U5361">
        <v>218.870209771265</v>
      </c>
      <c r="V5361">
        <v>7.4183976261127599E-4</v>
      </c>
      <c r="W5361">
        <v>680425.25695654901</v>
      </c>
      <c r="X5361" t="s">
        <v>42</v>
      </c>
      <c r="Y5361">
        <f>1-351-289-8623</f>
        <v>-9262</v>
      </c>
    </row>
    <row r="5362" spans="1:25" x14ac:dyDescent="0.35">
      <c r="A5362">
        <v>35.783448388135298</v>
      </c>
      <c r="B5362">
        <v>-116.628341976477</v>
      </c>
      <c r="C5362" t="s">
        <v>34</v>
      </c>
      <c r="D5362">
        <v>19.1936708324363</v>
      </c>
      <c r="E5362">
        <v>5</v>
      </c>
      <c r="F5362">
        <v>2924</v>
      </c>
      <c r="G5362">
        <v>3</v>
      </c>
      <c r="H5362">
        <v>2</v>
      </c>
      <c r="I5362">
        <v>1996</v>
      </c>
      <c r="J5362">
        <v>0</v>
      </c>
      <c r="K5362">
        <v>1</v>
      </c>
      <c r="L5362">
        <v>0</v>
      </c>
      <c r="M5362">
        <v>10</v>
      </c>
      <c r="N5362" t="s">
        <v>26</v>
      </c>
      <c r="O5362" t="s">
        <v>27</v>
      </c>
      <c r="P5362">
        <v>13.806296031677199</v>
      </c>
      <c r="Q5362">
        <v>0.640831863877658</v>
      </c>
      <c r="R5362">
        <v>9.9739127985245499</v>
      </c>
      <c r="S5362">
        <v>76</v>
      </c>
      <c r="T5362">
        <v>31</v>
      </c>
      <c r="U5362">
        <v>371.46762058010597</v>
      </c>
      <c r="V5362">
        <v>3.41997264021887E-3</v>
      </c>
      <c r="W5362">
        <v>1361334.04331691</v>
      </c>
      <c r="X5362" t="s">
        <v>42</v>
      </c>
      <c r="Y5362">
        <f>1-480-193-7393</f>
        <v>-8065</v>
      </c>
    </row>
    <row r="5363" spans="1:25" x14ac:dyDescent="0.35">
      <c r="A5363">
        <v>35.3943989387584</v>
      </c>
      <c r="B5363">
        <v>-119.201086717317</v>
      </c>
      <c r="C5363" t="s">
        <v>25</v>
      </c>
      <c r="D5363">
        <v>13.403569396314699</v>
      </c>
      <c r="E5363">
        <v>8</v>
      </c>
      <c r="F5363">
        <v>3193</v>
      </c>
      <c r="G5363">
        <v>3</v>
      </c>
      <c r="H5363">
        <v>3</v>
      </c>
      <c r="I5363">
        <v>2009</v>
      </c>
      <c r="J5363">
        <v>0</v>
      </c>
      <c r="K5363">
        <v>0</v>
      </c>
      <c r="L5363">
        <v>0</v>
      </c>
      <c r="M5363">
        <v>6</v>
      </c>
      <c r="N5363" t="s">
        <v>26</v>
      </c>
      <c r="O5363" t="s">
        <v>32</v>
      </c>
      <c r="P5363">
        <v>3.9958634475581101</v>
      </c>
      <c r="Q5363">
        <v>0.86077489000588703</v>
      </c>
      <c r="R5363">
        <v>2.5655126464237901</v>
      </c>
      <c r="S5363">
        <v>197</v>
      </c>
      <c r="T5363">
        <v>73</v>
      </c>
      <c r="U5363">
        <v>726.449775951064</v>
      </c>
      <c r="V5363">
        <v>1.8791105543376099E-3</v>
      </c>
      <c r="W5363">
        <v>2584820.5522994902</v>
      </c>
      <c r="X5363" t="s">
        <v>36</v>
      </c>
      <c r="Y5363">
        <f>1-524-707-2911</f>
        <v>-4141</v>
      </c>
    </row>
    <row r="5364" spans="1:25" x14ac:dyDescent="0.35">
      <c r="A5364">
        <v>39.848245712458599</v>
      </c>
      <c r="B5364">
        <v>-120.719095865304</v>
      </c>
      <c r="C5364" t="s">
        <v>25</v>
      </c>
      <c r="D5364">
        <v>19.952807665031202</v>
      </c>
      <c r="E5364">
        <v>6</v>
      </c>
      <c r="F5364">
        <v>913</v>
      </c>
      <c r="G5364">
        <v>1</v>
      </c>
      <c r="H5364">
        <v>3</v>
      </c>
      <c r="I5364">
        <v>1982</v>
      </c>
      <c r="J5364">
        <v>0</v>
      </c>
      <c r="K5364">
        <v>1</v>
      </c>
      <c r="L5364">
        <v>0</v>
      </c>
      <c r="M5364">
        <v>8</v>
      </c>
      <c r="N5364" t="s">
        <v>41</v>
      </c>
      <c r="O5364" t="s">
        <v>27</v>
      </c>
      <c r="P5364">
        <v>12.042234927170099</v>
      </c>
      <c r="Q5364">
        <v>1.6414689995513201</v>
      </c>
      <c r="R5364">
        <v>0.44356303021750598</v>
      </c>
      <c r="S5364">
        <v>142</v>
      </c>
      <c r="T5364">
        <v>42</v>
      </c>
      <c r="U5364">
        <v>941.15142521533005</v>
      </c>
      <c r="V5364">
        <v>8.7623220153340599E-3</v>
      </c>
      <c r="W5364">
        <v>1147083.5117938099</v>
      </c>
      <c r="X5364" t="s">
        <v>36</v>
      </c>
      <c r="Y5364">
        <f>1-831-259-9110</f>
        <v>-10199</v>
      </c>
    </row>
    <row r="5365" spans="1:25" x14ac:dyDescent="0.35">
      <c r="A5365">
        <v>41.022527767847698</v>
      </c>
      <c r="B5365">
        <v>-120.747635992279</v>
      </c>
      <c r="C5365" t="s">
        <v>34</v>
      </c>
      <c r="D5365">
        <v>11.097180786956599</v>
      </c>
      <c r="E5365">
        <v>6</v>
      </c>
      <c r="F5365">
        <v>2261</v>
      </c>
      <c r="G5365">
        <v>4</v>
      </c>
      <c r="H5365">
        <v>3</v>
      </c>
      <c r="I5365">
        <v>2021</v>
      </c>
      <c r="J5365">
        <v>1</v>
      </c>
      <c r="K5365">
        <v>1</v>
      </c>
      <c r="L5365">
        <v>1</v>
      </c>
      <c r="M5365">
        <v>12</v>
      </c>
      <c r="N5365" t="s">
        <v>35</v>
      </c>
      <c r="O5365" t="s">
        <v>27</v>
      </c>
      <c r="P5365">
        <v>6.08760145806722</v>
      </c>
      <c r="Q5365">
        <v>2.3142327418537199</v>
      </c>
      <c r="R5365">
        <v>1.5678604298875101</v>
      </c>
      <c r="S5365">
        <v>169</v>
      </c>
      <c r="T5365">
        <v>31</v>
      </c>
      <c r="U5365">
        <v>812.89413880925201</v>
      </c>
      <c r="V5365">
        <v>5.3073861123396704E-3</v>
      </c>
      <c r="W5365">
        <v>2255263.68574108</v>
      </c>
      <c r="X5365" t="s">
        <v>42</v>
      </c>
      <c r="Y5365">
        <f>1-539-169-6911</f>
        <v>-7618</v>
      </c>
    </row>
    <row r="5366" spans="1:25" x14ac:dyDescent="0.35">
      <c r="A5366">
        <v>38.4680538308411</v>
      </c>
      <c r="B5366">
        <v>-114.102585053173</v>
      </c>
      <c r="C5366" t="s">
        <v>29</v>
      </c>
      <c r="D5366">
        <v>42.1375174161196</v>
      </c>
      <c r="E5366">
        <v>2</v>
      </c>
      <c r="F5366">
        <v>1889</v>
      </c>
      <c r="G5366">
        <v>3</v>
      </c>
      <c r="H5366">
        <v>1</v>
      </c>
      <c r="I5366">
        <v>2022</v>
      </c>
      <c r="J5366">
        <v>1</v>
      </c>
      <c r="K5366">
        <v>1</v>
      </c>
      <c r="L5366">
        <v>1</v>
      </c>
      <c r="M5366">
        <v>13</v>
      </c>
      <c r="N5366" t="s">
        <v>35</v>
      </c>
      <c r="O5366" t="s">
        <v>27</v>
      </c>
      <c r="P5366">
        <v>3.8219349936324898</v>
      </c>
      <c r="Q5366">
        <v>2.1885823803468401</v>
      </c>
      <c r="R5366">
        <v>4.6021470352590397</v>
      </c>
      <c r="S5366">
        <v>100</v>
      </c>
      <c r="T5366">
        <v>76</v>
      </c>
      <c r="U5366">
        <v>742.98592134296905</v>
      </c>
      <c r="V5366">
        <v>6.8819481206987797E-3</v>
      </c>
      <c r="W5366">
        <v>1674041.8137856901</v>
      </c>
      <c r="X5366" t="s">
        <v>44</v>
      </c>
      <c r="Y5366">
        <f>1-871-914-6357</f>
        <v>-8141</v>
      </c>
    </row>
    <row r="5367" spans="1:25" x14ac:dyDescent="0.35">
      <c r="A5367">
        <v>34.342391730360397</v>
      </c>
      <c r="B5367">
        <v>-124.25531108169901</v>
      </c>
      <c r="C5367" t="s">
        <v>25</v>
      </c>
      <c r="D5367">
        <v>19.108756732974399</v>
      </c>
      <c r="E5367">
        <v>9</v>
      </c>
      <c r="F5367">
        <v>2029</v>
      </c>
      <c r="G5367">
        <v>5</v>
      </c>
      <c r="H5367">
        <v>3</v>
      </c>
      <c r="I5367">
        <v>1982</v>
      </c>
      <c r="J5367">
        <v>1</v>
      </c>
      <c r="K5367">
        <v>0</v>
      </c>
      <c r="L5367">
        <v>1</v>
      </c>
      <c r="M5367">
        <v>11</v>
      </c>
      <c r="N5367" t="s">
        <v>26</v>
      </c>
      <c r="O5367" t="s">
        <v>27</v>
      </c>
      <c r="P5367">
        <v>10.5570731748067</v>
      </c>
      <c r="Q5367">
        <v>1.67852082539822</v>
      </c>
      <c r="R5367">
        <v>6.3722275722657198</v>
      </c>
      <c r="S5367">
        <v>131</v>
      </c>
      <c r="T5367">
        <v>35</v>
      </c>
      <c r="U5367">
        <v>248.18459969686199</v>
      </c>
      <c r="V5367">
        <v>5.4213898472153703E-3</v>
      </c>
      <c r="W5367">
        <v>932983.61267992004</v>
      </c>
      <c r="X5367" t="s">
        <v>39</v>
      </c>
      <c r="Y5367">
        <f>1-600-131-8555</f>
        <v>-9285</v>
      </c>
    </row>
    <row r="5368" spans="1:25" x14ac:dyDescent="0.35">
      <c r="A5368">
        <v>35.504974702644702</v>
      </c>
      <c r="B5368">
        <v>-116.517461897217</v>
      </c>
      <c r="C5368" t="s">
        <v>34</v>
      </c>
      <c r="D5368">
        <v>41.911588936927998</v>
      </c>
      <c r="E5368">
        <v>6</v>
      </c>
      <c r="F5368">
        <v>4403</v>
      </c>
      <c r="G5368">
        <v>1</v>
      </c>
      <c r="H5368">
        <v>1</v>
      </c>
      <c r="I5368">
        <v>2021</v>
      </c>
      <c r="J5368">
        <v>0</v>
      </c>
      <c r="K5368">
        <v>1</v>
      </c>
      <c r="L5368">
        <v>0</v>
      </c>
      <c r="M5368">
        <v>8</v>
      </c>
      <c r="N5368" t="s">
        <v>26</v>
      </c>
      <c r="O5368" t="s">
        <v>32</v>
      </c>
      <c r="P5368">
        <v>10.175254538013901</v>
      </c>
      <c r="Q5368">
        <v>2.0578295028341298</v>
      </c>
      <c r="R5368">
        <v>3.6585269506151201</v>
      </c>
      <c r="S5368">
        <v>54</v>
      </c>
      <c r="T5368">
        <v>74</v>
      </c>
      <c r="U5368">
        <v>837.551963568171</v>
      </c>
      <c r="V5368">
        <v>1.8169429934135799E-3</v>
      </c>
      <c r="W5368">
        <v>3892001.21752242</v>
      </c>
      <c r="X5368" t="s">
        <v>42</v>
      </c>
      <c r="Y5368">
        <f>1-485-958-2950</f>
        <v>-4392</v>
      </c>
    </row>
    <row r="5369" spans="1:25" x14ac:dyDescent="0.35">
      <c r="A5369">
        <v>36.822687012374402</v>
      </c>
      <c r="B5369">
        <v>-123.13915141936199</v>
      </c>
      <c r="C5369" t="s">
        <v>34</v>
      </c>
      <c r="D5369">
        <v>29.729551109488501</v>
      </c>
      <c r="E5369">
        <v>0</v>
      </c>
      <c r="F5369">
        <v>1921</v>
      </c>
      <c r="G5369">
        <v>3</v>
      </c>
      <c r="H5369">
        <v>3</v>
      </c>
      <c r="I5369">
        <v>2020</v>
      </c>
      <c r="J5369">
        <v>1</v>
      </c>
      <c r="K5369">
        <v>0</v>
      </c>
      <c r="L5369">
        <v>1</v>
      </c>
      <c r="M5369">
        <v>13</v>
      </c>
      <c r="N5369" t="s">
        <v>35</v>
      </c>
      <c r="O5369" t="s">
        <v>30</v>
      </c>
      <c r="P5369">
        <v>10.6246706045946</v>
      </c>
      <c r="Q5369">
        <v>1.4610772446253599</v>
      </c>
      <c r="R5369">
        <v>2.1473017605756199</v>
      </c>
      <c r="S5369">
        <v>178</v>
      </c>
      <c r="T5369">
        <v>24</v>
      </c>
      <c r="U5369">
        <v>788.32250646132502</v>
      </c>
      <c r="V5369">
        <v>6.7673086933888599E-3</v>
      </c>
      <c r="W5369">
        <v>1937202.76852168</v>
      </c>
      <c r="X5369" t="s">
        <v>31</v>
      </c>
      <c r="Y5369">
        <f>1-397-700-9733</f>
        <v>-10829</v>
      </c>
    </row>
    <row r="5370" spans="1:25" x14ac:dyDescent="0.35">
      <c r="A5370">
        <v>33.796289894107197</v>
      </c>
      <c r="B5370">
        <v>-124.137157443186</v>
      </c>
      <c r="C5370" t="s">
        <v>29</v>
      </c>
      <c r="D5370">
        <v>26.917991067897901</v>
      </c>
      <c r="E5370">
        <v>3</v>
      </c>
      <c r="F5370">
        <v>1557</v>
      </c>
      <c r="G5370">
        <v>2</v>
      </c>
      <c r="H5370">
        <v>2</v>
      </c>
      <c r="I5370">
        <v>1966</v>
      </c>
      <c r="J5370">
        <v>1</v>
      </c>
      <c r="K5370">
        <v>0</v>
      </c>
      <c r="L5370">
        <v>0</v>
      </c>
      <c r="M5370">
        <v>11</v>
      </c>
      <c r="N5370" t="s">
        <v>37</v>
      </c>
      <c r="O5370" t="s">
        <v>32</v>
      </c>
      <c r="P5370">
        <v>6.9866264949348604</v>
      </c>
      <c r="Q5370">
        <v>2.2602424031425499</v>
      </c>
      <c r="R5370">
        <v>1.2688466850201101</v>
      </c>
      <c r="S5370">
        <v>198</v>
      </c>
      <c r="T5370">
        <v>76</v>
      </c>
      <c r="U5370">
        <v>757.16571187664897</v>
      </c>
      <c r="V5370">
        <v>7.06486833654463E-3</v>
      </c>
      <c r="W5370">
        <v>1296388.84429562</v>
      </c>
      <c r="X5370" t="s">
        <v>44</v>
      </c>
      <c r="Y5370">
        <f>1-536-427-1339</f>
        <v>-2301</v>
      </c>
    </row>
    <row r="5371" spans="1:25" x14ac:dyDescent="0.35">
      <c r="A5371">
        <v>39.274841588187599</v>
      </c>
      <c r="B5371">
        <v>-120.416405891803</v>
      </c>
      <c r="C5371" t="s">
        <v>25</v>
      </c>
      <c r="D5371">
        <v>17.443030204230499</v>
      </c>
      <c r="E5371">
        <v>4</v>
      </c>
      <c r="F5371">
        <v>3673</v>
      </c>
      <c r="G5371">
        <v>2</v>
      </c>
      <c r="H5371">
        <v>2</v>
      </c>
      <c r="I5371">
        <v>1966</v>
      </c>
      <c r="J5371">
        <v>0</v>
      </c>
      <c r="K5371">
        <v>1</v>
      </c>
      <c r="L5371">
        <v>0</v>
      </c>
      <c r="M5371">
        <v>11</v>
      </c>
      <c r="N5371" t="s">
        <v>35</v>
      </c>
      <c r="O5371" t="s">
        <v>30</v>
      </c>
      <c r="P5371">
        <v>8.5684743502493195</v>
      </c>
      <c r="Q5371">
        <v>2.4608355606868701</v>
      </c>
      <c r="R5371">
        <v>8.2817578339190998</v>
      </c>
      <c r="S5371">
        <v>124</v>
      </c>
      <c r="T5371">
        <v>41</v>
      </c>
      <c r="U5371">
        <v>248.79586158573099</v>
      </c>
      <c r="V5371">
        <v>2.9948271167982501E-3</v>
      </c>
      <c r="W5371">
        <v>1115860.5241720199</v>
      </c>
      <c r="X5371" t="s">
        <v>36</v>
      </c>
      <c r="Y5371">
        <f>1-643-237-1460</f>
        <v>-2339</v>
      </c>
    </row>
    <row r="5372" spans="1:25" x14ac:dyDescent="0.35">
      <c r="A5372">
        <v>40.154387189467698</v>
      </c>
      <c r="B5372">
        <v>-114.600921755578</v>
      </c>
      <c r="C5372" t="s">
        <v>25</v>
      </c>
      <c r="D5372">
        <v>42.371770754655898</v>
      </c>
      <c r="E5372">
        <v>4</v>
      </c>
      <c r="F5372">
        <v>3940</v>
      </c>
      <c r="G5372">
        <v>1</v>
      </c>
      <c r="H5372">
        <v>1</v>
      </c>
      <c r="I5372">
        <v>2006</v>
      </c>
      <c r="J5372">
        <v>0</v>
      </c>
      <c r="K5372">
        <v>0</v>
      </c>
      <c r="L5372">
        <v>0</v>
      </c>
      <c r="M5372">
        <v>7</v>
      </c>
      <c r="N5372" t="s">
        <v>26</v>
      </c>
      <c r="O5372" t="s">
        <v>32</v>
      </c>
      <c r="P5372">
        <v>11.6608547496539</v>
      </c>
      <c r="Q5372">
        <v>2.2560420534680898</v>
      </c>
      <c r="R5372">
        <v>7.7425679790589204</v>
      </c>
      <c r="S5372">
        <v>50</v>
      </c>
      <c r="T5372">
        <v>32</v>
      </c>
      <c r="U5372">
        <v>411.4631719354</v>
      </c>
      <c r="V5372">
        <v>1.77664974619289E-3</v>
      </c>
      <c r="W5372">
        <v>1690172.34436874</v>
      </c>
      <c r="X5372" t="s">
        <v>40</v>
      </c>
      <c r="Y5372">
        <f>1-704-447-3806</f>
        <v>-4956</v>
      </c>
    </row>
    <row r="5373" spans="1:25" x14ac:dyDescent="0.35">
      <c r="A5373">
        <v>37.220469431214198</v>
      </c>
      <c r="B5373">
        <v>-115.92627974656899</v>
      </c>
      <c r="C5373" t="s">
        <v>29</v>
      </c>
      <c r="D5373">
        <v>48.798652570791504</v>
      </c>
      <c r="E5373">
        <v>0</v>
      </c>
      <c r="F5373">
        <v>3157</v>
      </c>
      <c r="G5373">
        <v>5</v>
      </c>
      <c r="H5373">
        <v>1</v>
      </c>
      <c r="I5373">
        <v>1972</v>
      </c>
      <c r="J5373">
        <v>0</v>
      </c>
      <c r="K5373">
        <v>0</v>
      </c>
      <c r="L5373">
        <v>1</v>
      </c>
      <c r="M5373">
        <v>13</v>
      </c>
      <c r="N5373" t="s">
        <v>26</v>
      </c>
      <c r="O5373" t="s">
        <v>27</v>
      </c>
      <c r="P5373">
        <v>10.845186340577801</v>
      </c>
      <c r="Q5373">
        <v>0.70019927828219497</v>
      </c>
      <c r="R5373">
        <v>8.5603040175751204</v>
      </c>
      <c r="S5373">
        <v>35</v>
      </c>
      <c r="T5373">
        <v>54</v>
      </c>
      <c r="U5373">
        <v>446.11831364798297</v>
      </c>
      <c r="V5373">
        <v>4.1178333861260604E-3</v>
      </c>
      <c r="W5373">
        <v>1636807.9553346201</v>
      </c>
      <c r="X5373" t="s">
        <v>42</v>
      </c>
      <c r="Y5373">
        <f>1-775-266-1085</f>
        <v>-2125</v>
      </c>
    </row>
    <row r="5374" spans="1:25" x14ac:dyDescent="0.35">
      <c r="A5374">
        <v>38.369968013805597</v>
      </c>
      <c r="B5374">
        <v>-121.651118246522</v>
      </c>
      <c r="C5374" t="s">
        <v>25</v>
      </c>
      <c r="D5374">
        <v>21.286755129904599</v>
      </c>
      <c r="E5374">
        <v>2</v>
      </c>
      <c r="F5374">
        <v>4081</v>
      </c>
      <c r="G5374">
        <v>5</v>
      </c>
      <c r="H5374">
        <v>3</v>
      </c>
      <c r="I5374">
        <v>1996</v>
      </c>
      <c r="J5374">
        <v>1</v>
      </c>
      <c r="K5374">
        <v>0</v>
      </c>
      <c r="L5374">
        <v>0</v>
      </c>
      <c r="M5374">
        <v>12</v>
      </c>
      <c r="N5374" t="s">
        <v>41</v>
      </c>
      <c r="O5374" t="s">
        <v>30</v>
      </c>
      <c r="P5374">
        <v>4.6943321553753501</v>
      </c>
      <c r="Q5374">
        <v>1.1668982683925999</v>
      </c>
      <c r="R5374">
        <v>2.4933903803773201</v>
      </c>
      <c r="S5374">
        <v>147</v>
      </c>
      <c r="T5374">
        <v>63</v>
      </c>
      <c r="U5374">
        <v>421.37189799881401</v>
      </c>
      <c r="V5374">
        <v>2.94045577064445E-3</v>
      </c>
      <c r="W5374">
        <v>2083949.88099515</v>
      </c>
      <c r="X5374" t="s">
        <v>39</v>
      </c>
      <c r="Y5374">
        <f>1-266-923-8666</f>
        <v>-9854</v>
      </c>
    </row>
    <row r="5375" spans="1:25" x14ac:dyDescent="0.35">
      <c r="A5375">
        <v>34.209592255825498</v>
      </c>
      <c r="B5375">
        <v>-122.025238762616</v>
      </c>
      <c r="C5375" t="s">
        <v>25</v>
      </c>
      <c r="D5375">
        <v>21.0221454959581</v>
      </c>
      <c r="E5375">
        <v>2</v>
      </c>
      <c r="F5375">
        <v>1486</v>
      </c>
      <c r="G5375">
        <v>4</v>
      </c>
      <c r="H5375">
        <v>3</v>
      </c>
      <c r="I5375">
        <v>1961</v>
      </c>
      <c r="J5375">
        <v>1</v>
      </c>
      <c r="K5375">
        <v>0</v>
      </c>
      <c r="L5375">
        <v>0</v>
      </c>
      <c r="M5375">
        <v>7</v>
      </c>
      <c r="N5375" t="s">
        <v>41</v>
      </c>
      <c r="O5375" t="s">
        <v>32</v>
      </c>
      <c r="P5375">
        <v>8.7802529224998604</v>
      </c>
      <c r="Q5375">
        <v>1.5087255002378901</v>
      </c>
      <c r="R5375">
        <v>7.9050543494387204</v>
      </c>
      <c r="S5375">
        <v>94</v>
      </c>
      <c r="T5375">
        <v>27</v>
      </c>
      <c r="U5375">
        <v>216.683484452512</v>
      </c>
      <c r="V5375">
        <v>4.7106325706594799E-3</v>
      </c>
      <c r="W5375">
        <v>626073.95624374703</v>
      </c>
      <c r="X5375" t="s">
        <v>39</v>
      </c>
      <c r="Y5375">
        <f>1-290-358-4329</f>
        <v>-4976</v>
      </c>
    </row>
    <row r="5376" spans="1:25" x14ac:dyDescent="0.35">
      <c r="A5376">
        <v>41.123064414743297</v>
      </c>
      <c r="B5376">
        <v>-119.89614170521401</v>
      </c>
      <c r="C5376" t="s">
        <v>25</v>
      </c>
      <c r="D5376">
        <v>34.711141336476501</v>
      </c>
      <c r="E5376">
        <v>4</v>
      </c>
      <c r="F5376">
        <v>4339</v>
      </c>
      <c r="G5376">
        <v>1</v>
      </c>
      <c r="H5376">
        <v>2</v>
      </c>
      <c r="I5376">
        <v>1989</v>
      </c>
      <c r="J5376">
        <v>0</v>
      </c>
      <c r="K5376">
        <v>0</v>
      </c>
      <c r="L5376">
        <v>0</v>
      </c>
      <c r="M5376">
        <v>9</v>
      </c>
      <c r="N5376" t="s">
        <v>37</v>
      </c>
      <c r="O5376" t="s">
        <v>32</v>
      </c>
      <c r="P5376">
        <v>13.619329821938599</v>
      </c>
      <c r="Q5376">
        <v>1.6570300796139901</v>
      </c>
      <c r="R5376">
        <v>6.9923497593319697</v>
      </c>
      <c r="S5376">
        <v>41</v>
      </c>
      <c r="T5376">
        <v>51</v>
      </c>
      <c r="U5376">
        <v>885.54316955786999</v>
      </c>
      <c r="V5376">
        <v>2.0742106476146498E-3</v>
      </c>
      <c r="W5376">
        <v>4026202.6489794101</v>
      </c>
      <c r="X5376" t="s">
        <v>38</v>
      </c>
      <c r="Y5376">
        <f>1-391-195-6804</f>
        <v>-7389</v>
      </c>
    </row>
    <row r="5377" spans="1:25" x14ac:dyDescent="0.35">
      <c r="A5377">
        <v>38.663143895185897</v>
      </c>
      <c r="B5377">
        <v>-119.140207944812</v>
      </c>
      <c r="C5377" t="s">
        <v>29</v>
      </c>
      <c r="D5377">
        <v>28.337010858537798</v>
      </c>
      <c r="E5377">
        <v>9</v>
      </c>
      <c r="F5377">
        <v>3147</v>
      </c>
      <c r="G5377">
        <v>5</v>
      </c>
      <c r="H5377">
        <v>3</v>
      </c>
      <c r="I5377">
        <v>1977</v>
      </c>
      <c r="J5377">
        <v>0</v>
      </c>
      <c r="K5377">
        <v>0</v>
      </c>
      <c r="L5377">
        <v>1</v>
      </c>
      <c r="M5377">
        <v>2</v>
      </c>
      <c r="N5377" t="s">
        <v>26</v>
      </c>
      <c r="O5377" t="s">
        <v>30</v>
      </c>
      <c r="P5377">
        <v>4.0377129597808796</v>
      </c>
      <c r="Q5377">
        <v>2.30595659062352</v>
      </c>
      <c r="R5377">
        <v>8.2018870432741497</v>
      </c>
      <c r="S5377">
        <v>71</v>
      </c>
      <c r="T5377">
        <v>73</v>
      </c>
      <c r="U5377">
        <v>614.22679395359103</v>
      </c>
      <c r="V5377">
        <v>6.3552589768032998E-4</v>
      </c>
      <c r="W5377">
        <v>2211726.4190001502</v>
      </c>
      <c r="X5377" t="s">
        <v>43</v>
      </c>
      <c r="Y5377">
        <f>1-740-414-4674</f>
        <v>-5827</v>
      </c>
    </row>
    <row r="5378" spans="1:25" x14ac:dyDescent="0.35">
      <c r="A5378">
        <v>33.308240961713402</v>
      </c>
      <c r="B5378">
        <v>-114.52583445828699</v>
      </c>
      <c r="C5378" t="s">
        <v>25</v>
      </c>
      <c r="D5378">
        <v>49.187383156866197</v>
      </c>
      <c r="E5378">
        <v>0</v>
      </c>
      <c r="F5378">
        <v>2007</v>
      </c>
      <c r="G5378">
        <v>3</v>
      </c>
      <c r="H5378">
        <v>2</v>
      </c>
      <c r="I5378">
        <v>2012</v>
      </c>
      <c r="J5378">
        <v>0</v>
      </c>
      <c r="K5378">
        <v>1</v>
      </c>
      <c r="L5378">
        <v>0</v>
      </c>
      <c r="M5378">
        <v>6</v>
      </c>
      <c r="N5378" t="s">
        <v>26</v>
      </c>
      <c r="O5378" t="s">
        <v>32</v>
      </c>
      <c r="P5378">
        <v>6.3940745344833498</v>
      </c>
      <c r="Q5378">
        <v>1.4421159107226</v>
      </c>
      <c r="R5378">
        <v>1.70375500563969</v>
      </c>
      <c r="S5378">
        <v>197</v>
      </c>
      <c r="T5378">
        <v>34</v>
      </c>
      <c r="U5378">
        <v>234.63971850232301</v>
      </c>
      <c r="V5378">
        <v>2.9895366218236101E-3</v>
      </c>
      <c r="W5378">
        <v>690280.280217928</v>
      </c>
      <c r="X5378" t="s">
        <v>31</v>
      </c>
      <c r="Y5378">
        <f>1-509-580-1693</f>
        <v>-2781</v>
      </c>
    </row>
    <row r="5379" spans="1:25" x14ac:dyDescent="0.35">
      <c r="A5379">
        <v>38.402274750966697</v>
      </c>
      <c r="B5379">
        <v>-118.75272214303</v>
      </c>
      <c r="C5379" t="s">
        <v>29</v>
      </c>
      <c r="D5379">
        <v>6.7304465455733897</v>
      </c>
      <c r="E5379">
        <v>1</v>
      </c>
      <c r="F5379">
        <v>3832</v>
      </c>
      <c r="G5379">
        <v>4</v>
      </c>
      <c r="H5379">
        <v>1</v>
      </c>
      <c r="I5379">
        <v>1956</v>
      </c>
      <c r="J5379">
        <v>1</v>
      </c>
      <c r="K5379">
        <v>1</v>
      </c>
      <c r="L5379">
        <v>1</v>
      </c>
      <c r="M5379">
        <v>13</v>
      </c>
      <c r="N5379" t="s">
        <v>41</v>
      </c>
      <c r="O5379" t="s">
        <v>27</v>
      </c>
      <c r="P5379">
        <v>13.805104823613201</v>
      </c>
      <c r="Q5379">
        <v>2.3757587279557999</v>
      </c>
      <c r="R5379">
        <v>4.3597891146194501</v>
      </c>
      <c r="S5379">
        <v>130</v>
      </c>
      <c r="T5379">
        <v>20</v>
      </c>
      <c r="U5379">
        <v>606.02006129019196</v>
      </c>
      <c r="V5379">
        <v>3.3924843423799502E-3</v>
      </c>
      <c r="W5379">
        <v>2783349.4450019901</v>
      </c>
      <c r="X5379" t="s">
        <v>44</v>
      </c>
      <c r="Y5379">
        <f>1-745-891-7463</f>
        <v>-9098</v>
      </c>
    </row>
    <row r="5380" spans="1:25" x14ac:dyDescent="0.35">
      <c r="A5380">
        <v>33.790621632948898</v>
      </c>
      <c r="B5380">
        <v>-123.922248204968</v>
      </c>
      <c r="C5380" t="s">
        <v>25</v>
      </c>
      <c r="D5380">
        <v>49.117683356751698</v>
      </c>
      <c r="E5380">
        <v>0</v>
      </c>
      <c r="F5380">
        <v>2155</v>
      </c>
      <c r="G5380">
        <v>4</v>
      </c>
      <c r="H5380">
        <v>3</v>
      </c>
      <c r="I5380">
        <v>1953</v>
      </c>
      <c r="J5380">
        <v>1</v>
      </c>
      <c r="K5380">
        <v>0</v>
      </c>
      <c r="L5380">
        <v>1</v>
      </c>
      <c r="M5380">
        <v>11</v>
      </c>
      <c r="N5380" t="s">
        <v>35</v>
      </c>
      <c r="O5380" t="s">
        <v>30</v>
      </c>
      <c r="P5380">
        <v>13.213553325809601</v>
      </c>
      <c r="Q5380">
        <v>1.9352801293556201</v>
      </c>
      <c r="R5380">
        <v>9.0733857728897203</v>
      </c>
      <c r="S5380">
        <v>165</v>
      </c>
      <c r="T5380">
        <v>51</v>
      </c>
      <c r="U5380">
        <v>297.36858081199398</v>
      </c>
      <c r="V5380">
        <v>5.1044083526682101E-3</v>
      </c>
      <c r="W5380">
        <v>904077.07511338999</v>
      </c>
      <c r="X5380" t="s">
        <v>39</v>
      </c>
      <c r="Y5380">
        <f>1-387-531-5038</f>
        <v>-5955</v>
      </c>
    </row>
    <row r="5381" spans="1:25" x14ac:dyDescent="0.35">
      <c r="A5381">
        <v>41.490298224215501</v>
      </c>
      <c r="B5381">
        <v>-114.598125739716</v>
      </c>
      <c r="C5381" t="s">
        <v>25</v>
      </c>
      <c r="D5381">
        <v>3.4404219697074701</v>
      </c>
      <c r="E5381">
        <v>7</v>
      </c>
      <c r="F5381">
        <v>695</v>
      </c>
      <c r="G5381">
        <v>3</v>
      </c>
      <c r="H5381">
        <v>2</v>
      </c>
      <c r="I5381">
        <v>1996</v>
      </c>
      <c r="J5381">
        <v>0</v>
      </c>
      <c r="K5381">
        <v>1</v>
      </c>
      <c r="L5381">
        <v>0</v>
      </c>
      <c r="M5381">
        <v>4</v>
      </c>
      <c r="N5381" t="s">
        <v>37</v>
      </c>
      <c r="O5381" t="s">
        <v>32</v>
      </c>
      <c r="P5381">
        <v>12.30966516294</v>
      </c>
      <c r="Q5381">
        <v>1.3761019544662401</v>
      </c>
      <c r="R5381">
        <v>6.1875686734717297</v>
      </c>
      <c r="S5381">
        <v>7</v>
      </c>
      <c r="T5381">
        <v>36</v>
      </c>
      <c r="U5381">
        <v>602.45869210683202</v>
      </c>
      <c r="V5381">
        <v>5.7553956834532297E-3</v>
      </c>
      <c r="W5381">
        <v>808592.13483157696</v>
      </c>
      <c r="X5381" t="s">
        <v>43</v>
      </c>
      <c r="Y5381">
        <f>1-621-509-4412</f>
        <v>-5541</v>
      </c>
    </row>
    <row r="5382" spans="1:25" x14ac:dyDescent="0.35">
      <c r="A5382">
        <v>36.076154709057199</v>
      </c>
      <c r="B5382">
        <v>-115.28609206057099</v>
      </c>
      <c r="C5382" t="s">
        <v>29</v>
      </c>
      <c r="D5382">
        <v>49.077178999215</v>
      </c>
      <c r="E5382">
        <v>8</v>
      </c>
      <c r="F5382">
        <v>2980</v>
      </c>
      <c r="G5382">
        <v>1</v>
      </c>
      <c r="H5382">
        <v>3</v>
      </c>
      <c r="I5382">
        <v>1965</v>
      </c>
      <c r="J5382">
        <v>1</v>
      </c>
      <c r="K5382">
        <v>1</v>
      </c>
      <c r="L5382">
        <v>1</v>
      </c>
      <c r="M5382">
        <v>3</v>
      </c>
      <c r="N5382" t="s">
        <v>37</v>
      </c>
      <c r="O5382" t="s">
        <v>27</v>
      </c>
      <c r="P5382">
        <v>7.1742186592314496</v>
      </c>
      <c r="Q5382">
        <v>0.63001121057939802</v>
      </c>
      <c r="R5382">
        <v>1.3654170566144701</v>
      </c>
      <c r="S5382">
        <v>131</v>
      </c>
      <c r="T5382">
        <v>70</v>
      </c>
      <c r="U5382">
        <v>242.096011412476</v>
      </c>
      <c r="V5382">
        <v>1.00671140939597E-3</v>
      </c>
      <c r="W5382">
        <v>1022322.48468723</v>
      </c>
      <c r="X5382" t="s">
        <v>42</v>
      </c>
      <c r="Y5382">
        <f>1-486-832-6813</f>
        <v>-8130</v>
      </c>
    </row>
    <row r="5383" spans="1:25" x14ac:dyDescent="0.35">
      <c r="A5383">
        <v>35.897617327227998</v>
      </c>
      <c r="B5383">
        <v>-119.719099017152</v>
      </c>
      <c r="C5383" t="s">
        <v>25</v>
      </c>
      <c r="D5383">
        <v>27.2132129519354</v>
      </c>
      <c r="E5383">
        <v>7</v>
      </c>
      <c r="F5383">
        <v>2996</v>
      </c>
      <c r="G5383">
        <v>2</v>
      </c>
      <c r="H5383">
        <v>3</v>
      </c>
      <c r="I5383">
        <v>1953</v>
      </c>
      <c r="J5383">
        <v>1</v>
      </c>
      <c r="K5383">
        <v>1</v>
      </c>
      <c r="L5383">
        <v>1</v>
      </c>
      <c r="M5383">
        <v>6</v>
      </c>
      <c r="N5383" t="s">
        <v>35</v>
      </c>
      <c r="O5383" t="s">
        <v>27</v>
      </c>
      <c r="P5383">
        <v>8.9961711189379407</v>
      </c>
      <c r="Q5383">
        <v>0.77746595105028604</v>
      </c>
      <c r="R5383">
        <v>7.7074564690659004</v>
      </c>
      <c r="S5383">
        <v>88</v>
      </c>
      <c r="T5383">
        <v>33</v>
      </c>
      <c r="U5383">
        <v>934.71836539759602</v>
      </c>
      <c r="V5383">
        <v>2.0026702269692899E-3</v>
      </c>
      <c r="W5383">
        <v>3004389.0991190802</v>
      </c>
      <c r="X5383" t="s">
        <v>39</v>
      </c>
      <c r="Y5383">
        <f>1-644-786-7040</f>
        <v>-8469</v>
      </c>
    </row>
    <row r="5384" spans="1:25" x14ac:dyDescent="0.35">
      <c r="A5384">
        <v>36.234607938521599</v>
      </c>
      <c r="B5384">
        <v>-122.546763633143</v>
      </c>
      <c r="C5384" t="s">
        <v>29</v>
      </c>
      <c r="D5384">
        <v>1.35324305218903</v>
      </c>
      <c r="E5384">
        <v>3</v>
      </c>
      <c r="F5384">
        <v>1876</v>
      </c>
      <c r="G5384">
        <v>4</v>
      </c>
      <c r="H5384">
        <v>3</v>
      </c>
      <c r="I5384">
        <v>1957</v>
      </c>
      <c r="J5384">
        <v>1</v>
      </c>
      <c r="K5384">
        <v>0</v>
      </c>
      <c r="L5384">
        <v>0</v>
      </c>
      <c r="M5384">
        <v>12</v>
      </c>
      <c r="N5384" t="s">
        <v>26</v>
      </c>
      <c r="O5384" t="s">
        <v>32</v>
      </c>
      <c r="P5384">
        <v>3.95231502945694</v>
      </c>
      <c r="Q5384">
        <v>2.0844296421280202</v>
      </c>
      <c r="R5384">
        <v>4.9459846183897298</v>
      </c>
      <c r="S5384">
        <v>178</v>
      </c>
      <c r="T5384">
        <v>70</v>
      </c>
      <c r="U5384">
        <v>375.06621134175703</v>
      </c>
      <c r="V5384">
        <v>6.3965884861407196E-3</v>
      </c>
      <c r="W5384">
        <v>965863.16642900696</v>
      </c>
      <c r="X5384" t="s">
        <v>42</v>
      </c>
      <c r="Y5384">
        <f>1-966-656-3494</f>
        <v>-5115</v>
      </c>
    </row>
    <row r="5385" spans="1:25" x14ac:dyDescent="0.35">
      <c r="A5385">
        <v>38.884787208581002</v>
      </c>
      <c r="B5385">
        <v>-115.424930590076</v>
      </c>
      <c r="C5385" t="s">
        <v>29</v>
      </c>
      <c r="D5385">
        <v>31.201235386826902</v>
      </c>
      <c r="E5385">
        <v>2</v>
      </c>
      <c r="F5385">
        <v>1158</v>
      </c>
      <c r="G5385">
        <v>3</v>
      </c>
      <c r="H5385">
        <v>2</v>
      </c>
      <c r="I5385">
        <v>2006</v>
      </c>
      <c r="J5385">
        <v>1</v>
      </c>
      <c r="K5385">
        <v>0</v>
      </c>
      <c r="L5385">
        <v>1</v>
      </c>
      <c r="M5385">
        <v>4</v>
      </c>
      <c r="N5385" t="s">
        <v>37</v>
      </c>
      <c r="O5385" t="s">
        <v>30</v>
      </c>
      <c r="P5385">
        <v>12.725232822250399</v>
      </c>
      <c r="Q5385">
        <v>0.52751020688820005</v>
      </c>
      <c r="R5385">
        <v>9.8900790059968298</v>
      </c>
      <c r="S5385">
        <v>63</v>
      </c>
      <c r="T5385">
        <v>76</v>
      </c>
      <c r="U5385">
        <v>346.02428391777499</v>
      </c>
      <c r="V5385">
        <v>3.45423143350604E-3</v>
      </c>
      <c r="W5385">
        <v>724890.02980565396</v>
      </c>
      <c r="X5385" t="s">
        <v>43</v>
      </c>
      <c r="Y5385">
        <f>1-601-963-8507</f>
        <v>-10070</v>
      </c>
    </row>
    <row r="5386" spans="1:25" x14ac:dyDescent="0.35">
      <c r="A5386">
        <v>36.806554383036101</v>
      </c>
      <c r="B5386">
        <v>-117.202190850383</v>
      </c>
      <c r="C5386" t="s">
        <v>34</v>
      </c>
      <c r="D5386">
        <v>43.977396106648101</v>
      </c>
      <c r="E5386">
        <v>4</v>
      </c>
      <c r="F5386">
        <v>4958</v>
      </c>
      <c r="G5386">
        <v>5</v>
      </c>
      <c r="H5386">
        <v>1</v>
      </c>
      <c r="I5386">
        <v>2001</v>
      </c>
      <c r="J5386">
        <v>0</v>
      </c>
      <c r="K5386">
        <v>1</v>
      </c>
      <c r="L5386">
        <v>1</v>
      </c>
      <c r="M5386">
        <v>12</v>
      </c>
      <c r="N5386" t="s">
        <v>41</v>
      </c>
      <c r="O5386" t="s">
        <v>30</v>
      </c>
      <c r="P5386">
        <v>6.0179053218308596</v>
      </c>
      <c r="Q5386">
        <v>0.90421462498819105</v>
      </c>
      <c r="R5386">
        <v>7.1170626082597703</v>
      </c>
      <c r="S5386">
        <v>84</v>
      </c>
      <c r="T5386">
        <v>31</v>
      </c>
      <c r="U5386">
        <v>748.66742660298803</v>
      </c>
      <c r="V5386">
        <v>2.4203307785397301E-3</v>
      </c>
      <c r="W5386">
        <v>4140102.9739956101</v>
      </c>
      <c r="X5386" t="s">
        <v>39</v>
      </c>
      <c r="Y5386">
        <f>1-941-651-1493</f>
        <v>-3084</v>
      </c>
    </row>
    <row r="5387" spans="1:25" x14ac:dyDescent="0.35">
      <c r="A5387">
        <v>37.263001419915298</v>
      </c>
      <c r="B5387">
        <v>-117.461821393892</v>
      </c>
      <c r="C5387" t="s">
        <v>29</v>
      </c>
      <c r="D5387">
        <v>9.2794553411800997</v>
      </c>
      <c r="E5387">
        <v>0</v>
      </c>
      <c r="F5387">
        <v>2320</v>
      </c>
      <c r="G5387">
        <v>2</v>
      </c>
      <c r="H5387">
        <v>3</v>
      </c>
      <c r="I5387">
        <v>1998</v>
      </c>
      <c r="J5387">
        <v>1</v>
      </c>
      <c r="K5387">
        <v>1</v>
      </c>
      <c r="L5387">
        <v>1</v>
      </c>
      <c r="M5387">
        <v>2</v>
      </c>
      <c r="N5387" t="s">
        <v>26</v>
      </c>
      <c r="O5387" t="s">
        <v>30</v>
      </c>
      <c r="P5387">
        <v>14.971368818628701</v>
      </c>
      <c r="Q5387">
        <v>0.62511586062893199</v>
      </c>
      <c r="R5387">
        <v>9.8197328997458708</v>
      </c>
      <c r="S5387">
        <v>116</v>
      </c>
      <c r="T5387">
        <v>73</v>
      </c>
      <c r="U5387">
        <v>766.36062701030403</v>
      </c>
      <c r="V5387">
        <v>8.6206896551724104E-4</v>
      </c>
      <c r="W5387">
        <v>2286387.4490905199</v>
      </c>
      <c r="X5387" t="s">
        <v>31</v>
      </c>
      <c r="Y5387">
        <f>1-393-807-7626</f>
        <v>-8825</v>
      </c>
    </row>
    <row r="5388" spans="1:25" x14ac:dyDescent="0.35">
      <c r="A5388">
        <v>39.8722467498066</v>
      </c>
      <c r="B5388">
        <v>-115.646001402952</v>
      </c>
      <c r="C5388" t="s">
        <v>29</v>
      </c>
      <c r="D5388">
        <v>14.576644078056701</v>
      </c>
      <c r="E5388">
        <v>5</v>
      </c>
      <c r="F5388">
        <v>4282</v>
      </c>
      <c r="G5388">
        <v>4</v>
      </c>
      <c r="H5388">
        <v>3</v>
      </c>
      <c r="I5388">
        <v>1967</v>
      </c>
      <c r="J5388">
        <v>1</v>
      </c>
      <c r="K5388">
        <v>1</v>
      </c>
      <c r="L5388">
        <v>1</v>
      </c>
      <c r="M5388">
        <v>7</v>
      </c>
      <c r="N5388" t="s">
        <v>41</v>
      </c>
      <c r="O5388" t="s">
        <v>27</v>
      </c>
      <c r="P5388">
        <v>13.386541260057401</v>
      </c>
      <c r="Q5388">
        <v>1.7145172538220299</v>
      </c>
      <c r="R5388">
        <v>7.5736407880759398</v>
      </c>
      <c r="S5388">
        <v>195</v>
      </c>
      <c r="T5388">
        <v>58</v>
      </c>
      <c r="U5388">
        <v>263.55612682899499</v>
      </c>
      <c r="V5388">
        <v>1.6347501167678601E-3</v>
      </c>
      <c r="W5388">
        <v>1531719.13176933</v>
      </c>
      <c r="X5388" t="s">
        <v>31</v>
      </c>
      <c r="Y5388">
        <f>1-476-815-8420</f>
        <v>-9710</v>
      </c>
    </row>
    <row r="5389" spans="1:25" x14ac:dyDescent="0.35">
      <c r="A5389">
        <v>37.1550758275745</v>
      </c>
      <c r="B5389">
        <v>-117.05003930059</v>
      </c>
      <c r="C5389" t="s">
        <v>29</v>
      </c>
      <c r="D5389">
        <v>9.2095342511654703</v>
      </c>
      <c r="E5389">
        <v>1</v>
      </c>
      <c r="F5389">
        <v>3136</v>
      </c>
      <c r="G5389">
        <v>1</v>
      </c>
      <c r="H5389">
        <v>1</v>
      </c>
      <c r="I5389">
        <v>2011</v>
      </c>
      <c r="J5389">
        <v>1</v>
      </c>
      <c r="K5389">
        <v>1</v>
      </c>
      <c r="L5389">
        <v>1</v>
      </c>
      <c r="M5389">
        <v>8</v>
      </c>
      <c r="N5389" t="s">
        <v>26</v>
      </c>
      <c r="O5389" t="s">
        <v>27</v>
      </c>
      <c r="P5389">
        <v>4.6959666896543197</v>
      </c>
      <c r="Q5389">
        <v>0.55761554115844003</v>
      </c>
      <c r="R5389">
        <v>2.9066336815459199</v>
      </c>
      <c r="S5389">
        <v>152</v>
      </c>
      <c r="T5389">
        <v>30</v>
      </c>
      <c r="U5389">
        <v>266.96610103256899</v>
      </c>
      <c r="V5389">
        <v>2.5510204081632599E-3</v>
      </c>
      <c r="W5389">
        <v>1027919.26653822</v>
      </c>
      <c r="X5389" t="s">
        <v>39</v>
      </c>
      <c r="Y5389">
        <f>1-695-872-9552</f>
        <v>-11118</v>
      </c>
    </row>
    <row r="5390" spans="1:25" x14ac:dyDescent="0.35">
      <c r="A5390">
        <v>32.542484217635902</v>
      </c>
      <c r="B5390">
        <v>-115.50898244252301</v>
      </c>
      <c r="C5390" t="s">
        <v>34</v>
      </c>
      <c r="D5390">
        <v>49.8299760360036</v>
      </c>
      <c r="E5390">
        <v>8</v>
      </c>
      <c r="F5390">
        <v>3655</v>
      </c>
      <c r="G5390">
        <v>4</v>
      </c>
      <c r="H5390">
        <v>2</v>
      </c>
      <c r="I5390">
        <v>1978</v>
      </c>
      <c r="J5390">
        <v>0</v>
      </c>
      <c r="K5390">
        <v>1</v>
      </c>
      <c r="L5390">
        <v>0</v>
      </c>
      <c r="M5390">
        <v>14</v>
      </c>
      <c r="N5390" t="s">
        <v>37</v>
      </c>
      <c r="O5390" t="s">
        <v>30</v>
      </c>
      <c r="P5390">
        <v>10.529655803878001</v>
      </c>
      <c r="Q5390">
        <v>1.1651387797642201</v>
      </c>
      <c r="R5390">
        <v>8.9365902036773903</v>
      </c>
      <c r="S5390">
        <v>58</v>
      </c>
      <c r="T5390">
        <v>25</v>
      </c>
      <c r="U5390">
        <v>745.60995584332295</v>
      </c>
      <c r="V5390">
        <v>3.8303693570451401E-3</v>
      </c>
      <c r="W5390">
        <v>3051800.2184967902</v>
      </c>
      <c r="X5390" t="s">
        <v>39</v>
      </c>
      <c r="Y5390">
        <f>1-574-766-8945</f>
        <v>-10284</v>
      </c>
    </row>
    <row r="5391" spans="1:25" x14ac:dyDescent="0.35">
      <c r="A5391">
        <v>37.640303875007803</v>
      </c>
      <c r="B5391">
        <v>-120.35218333863401</v>
      </c>
      <c r="C5391" t="s">
        <v>34</v>
      </c>
      <c r="D5391">
        <v>31.261948129667001</v>
      </c>
      <c r="E5391">
        <v>3</v>
      </c>
      <c r="F5391">
        <v>1666</v>
      </c>
      <c r="G5391">
        <v>5</v>
      </c>
      <c r="H5391">
        <v>1</v>
      </c>
      <c r="I5391">
        <v>1961</v>
      </c>
      <c r="J5391">
        <v>1</v>
      </c>
      <c r="K5391">
        <v>0</v>
      </c>
      <c r="L5391">
        <v>0</v>
      </c>
      <c r="M5391">
        <v>14</v>
      </c>
      <c r="N5391" t="s">
        <v>35</v>
      </c>
      <c r="O5391" t="s">
        <v>30</v>
      </c>
      <c r="P5391">
        <v>8.3775820830354792</v>
      </c>
      <c r="Q5391">
        <v>2.00250388867715</v>
      </c>
      <c r="R5391">
        <v>0.71208407855106604</v>
      </c>
      <c r="S5391">
        <v>37</v>
      </c>
      <c r="T5391">
        <v>57</v>
      </c>
      <c r="U5391">
        <v>284.073567845056</v>
      </c>
      <c r="V5391">
        <v>8.4033613445378096E-3</v>
      </c>
      <c r="W5391">
        <v>817731.67365927505</v>
      </c>
      <c r="X5391" t="s">
        <v>33</v>
      </c>
      <c r="Y5391">
        <f>1-433-402-1590</f>
        <v>-2424</v>
      </c>
    </row>
    <row r="5392" spans="1:25" x14ac:dyDescent="0.35">
      <c r="A5392">
        <v>39.6077344241736</v>
      </c>
      <c r="B5392">
        <v>-116.194547832401</v>
      </c>
      <c r="C5392" t="s">
        <v>25</v>
      </c>
      <c r="D5392">
        <v>18.7380488894553</v>
      </c>
      <c r="E5392">
        <v>1</v>
      </c>
      <c r="F5392">
        <v>2955</v>
      </c>
      <c r="G5392">
        <v>4</v>
      </c>
      <c r="H5392">
        <v>2</v>
      </c>
      <c r="I5392">
        <v>2013</v>
      </c>
      <c r="J5392">
        <v>0</v>
      </c>
      <c r="K5392">
        <v>0</v>
      </c>
      <c r="L5392">
        <v>0</v>
      </c>
      <c r="M5392">
        <v>5</v>
      </c>
      <c r="N5392" t="s">
        <v>26</v>
      </c>
      <c r="O5392" t="s">
        <v>27</v>
      </c>
      <c r="P5392">
        <v>9.7878110789419299</v>
      </c>
      <c r="Q5392">
        <v>1.94128996246081</v>
      </c>
      <c r="R5392">
        <v>0.21046966423373001</v>
      </c>
      <c r="S5392">
        <v>136</v>
      </c>
      <c r="T5392">
        <v>54</v>
      </c>
      <c r="U5392">
        <v>431.81224191787601</v>
      </c>
      <c r="V5392">
        <v>1.6920473773265601E-3</v>
      </c>
      <c r="W5392">
        <v>1617787.77500362</v>
      </c>
      <c r="X5392" t="s">
        <v>36</v>
      </c>
      <c r="Y5392">
        <f>1-874-996-8144</f>
        <v>-10013</v>
      </c>
    </row>
    <row r="5393" spans="1:25" x14ac:dyDescent="0.35">
      <c r="A5393">
        <v>33.113905745150298</v>
      </c>
      <c r="B5393">
        <v>-120.723513049068</v>
      </c>
      <c r="C5393" t="s">
        <v>29</v>
      </c>
      <c r="D5393">
        <v>10.8388333164551</v>
      </c>
      <c r="E5393">
        <v>5</v>
      </c>
      <c r="F5393">
        <v>4933</v>
      </c>
      <c r="G5393">
        <v>2</v>
      </c>
      <c r="H5393">
        <v>1</v>
      </c>
      <c r="I5393">
        <v>1969</v>
      </c>
      <c r="J5393">
        <v>1</v>
      </c>
      <c r="K5393">
        <v>0</v>
      </c>
      <c r="L5393">
        <v>1</v>
      </c>
      <c r="M5393">
        <v>11</v>
      </c>
      <c r="N5393" t="s">
        <v>35</v>
      </c>
      <c r="O5393" t="s">
        <v>32</v>
      </c>
      <c r="P5393">
        <v>2.1745886603587001</v>
      </c>
      <c r="Q5393">
        <v>2.1413994342353502</v>
      </c>
      <c r="R5393">
        <v>7.9951786792850301</v>
      </c>
      <c r="S5393">
        <v>157</v>
      </c>
      <c r="T5393">
        <v>56</v>
      </c>
      <c r="U5393">
        <v>440.04177428271902</v>
      </c>
      <c r="V5393">
        <v>2.2298803973241398E-3</v>
      </c>
      <c r="W5393">
        <v>2227577.18618778</v>
      </c>
      <c r="X5393" t="s">
        <v>28</v>
      </c>
      <c r="Y5393">
        <f>1-570-881-6766</f>
        <v>-8216</v>
      </c>
    </row>
    <row r="5394" spans="1:25" x14ac:dyDescent="0.35">
      <c r="A5394">
        <v>34.261547877916598</v>
      </c>
      <c r="B5394">
        <v>-117.91939945888601</v>
      </c>
      <c r="C5394" t="s">
        <v>29</v>
      </c>
      <c r="D5394">
        <v>12.906259712070201</v>
      </c>
      <c r="E5394">
        <v>6</v>
      </c>
      <c r="F5394">
        <v>2364</v>
      </c>
      <c r="G5394">
        <v>5</v>
      </c>
      <c r="H5394">
        <v>1</v>
      </c>
      <c r="I5394">
        <v>2001</v>
      </c>
      <c r="J5394">
        <v>1</v>
      </c>
      <c r="K5394">
        <v>0</v>
      </c>
      <c r="L5394">
        <v>0</v>
      </c>
      <c r="M5394">
        <v>14</v>
      </c>
      <c r="N5394" t="s">
        <v>35</v>
      </c>
      <c r="O5394" t="s">
        <v>27</v>
      </c>
      <c r="P5394">
        <v>12.7202881632314</v>
      </c>
      <c r="Q5394">
        <v>2.21849034221363</v>
      </c>
      <c r="R5394">
        <v>4.6618022877249201</v>
      </c>
      <c r="S5394">
        <v>21</v>
      </c>
      <c r="T5394">
        <v>67</v>
      </c>
      <c r="U5394">
        <v>636.69497284853696</v>
      </c>
      <c r="V5394">
        <v>5.9221658206429703E-3</v>
      </c>
      <c r="W5394">
        <v>1868473.97679876</v>
      </c>
      <c r="X5394" t="s">
        <v>28</v>
      </c>
      <c r="Y5394">
        <f>1-259-885-6145</f>
        <v>-7288</v>
      </c>
    </row>
    <row r="5395" spans="1:25" x14ac:dyDescent="0.35">
      <c r="A5395">
        <v>40.284896486648897</v>
      </c>
      <c r="B5395">
        <v>-122.66395271762001</v>
      </c>
      <c r="C5395" t="s">
        <v>29</v>
      </c>
      <c r="D5395">
        <v>49.469386161950503</v>
      </c>
      <c r="E5395">
        <v>4</v>
      </c>
      <c r="F5395">
        <v>4969</v>
      </c>
      <c r="G5395">
        <v>4</v>
      </c>
      <c r="H5395">
        <v>1</v>
      </c>
      <c r="I5395">
        <v>2002</v>
      </c>
      <c r="J5395">
        <v>0</v>
      </c>
      <c r="K5395">
        <v>0</v>
      </c>
      <c r="L5395">
        <v>1</v>
      </c>
      <c r="M5395">
        <v>10</v>
      </c>
      <c r="N5395" t="s">
        <v>41</v>
      </c>
      <c r="O5395" t="s">
        <v>32</v>
      </c>
      <c r="P5395">
        <v>6.17345370991442</v>
      </c>
      <c r="Q5395">
        <v>0.55918225837381796</v>
      </c>
      <c r="R5395">
        <v>7.3895577529360796</v>
      </c>
      <c r="S5395">
        <v>108</v>
      </c>
      <c r="T5395">
        <v>77</v>
      </c>
      <c r="U5395">
        <v>615.61491794479502</v>
      </c>
      <c r="V5395">
        <v>2.0124773596297001E-3</v>
      </c>
      <c r="W5395">
        <v>3312226.9967543501</v>
      </c>
      <c r="X5395" t="s">
        <v>31</v>
      </c>
      <c r="Y5395">
        <f>1-654-311-3348</f>
        <v>-4312</v>
      </c>
    </row>
    <row r="5396" spans="1:25" x14ac:dyDescent="0.35">
      <c r="A5396">
        <v>38.242778065669597</v>
      </c>
      <c r="B5396">
        <v>-115.550131131822</v>
      </c>
      <c r="C5396" t="s">
        <v>34</v>
      </c>
      <c r="D5396">
        <v>3.7192413781907301</v>
      </c>
      <c r="E5396">
        <v>3</v>
      </c>
      <c r="F5396">
        <v>3019</v>
      </c>
      <c r="G5396">
        <v>2</v>
      </c>
      <c r="H5396">
        <v>3</v>
      </c>
      <c r="I5396">
        <v>1954</v>
      </c>
      <c r="J5396">
        <v>0</v>
      </c>
      <c r="K5396">
        <v>1</v>
      </c>
      <c r="L5396">
        <v>0</v>
      </c>
      <c r="M5396">
        <v>12</v>
      </c>
      <c r="N5396" t="s">
        <v>41</v>
      </c>
      <c r="O5396" t="s">
        <v>27</v>
      </c>
      <c r="P5396">
        <v>12.554879486477001</v>
      </c>
      <c r="Q5396">
        <v>1.51337837658889</v>
      </c>
      <c r="R5396">
        <v>3.5419043757980999</v>
      </c>
      <c r="S5396">
        <v>107</v>
      </c>
      <c r="T5396">
        <v>72</v>
      </c>
      <c r="U5396">
        <v>728.20646519369905</v>
      </c>
      <c r="V5396">
        <v>3.9748261013580598E-3</v>
      </c>
      <c r="W5396">
        <v>2470652.0153615298</v>
      </c>
      <c r="X5396" t="s">
        <v>40</v>
      </c>
      <c r="Y5396">
        <f>1-360-385-9718</f>
        <v>-10462</v>
      </c>
    </row>
    <row r="5397" spans="1:25" x14ac:dyDescent="0.35">
      <c r="A5397">
        <v>39.767382361187302</v>
      </c>
      <c r="B5397">
        <v>-114.519929485332</v>
      </c>
      <c r="C5397" t="s">
        <v>34</v>
      </c>
      <c r="D5397">
        <v>39.934875879010399</v>
      </c>
      <c r="E5397">
        <v>3</v>
      </c>
      <c r="F5397">
        <v>1961</v>
      </c>
      <c r="G5397">
        <v>3</v>
      </c>
      <c r="H5397">
        <v>3</v>
      </c>
      <c r="I5397">
        <v>1982</v>
      </c>
      <c r="J5397">
        <v>1</v>
      </c>
      <c r="K5397">
        <v>1</v>
      </c>
      <c r="L5397">
        <v>1</v>
      </c>
      <c r="M5397">
        <v>4</v>
      </c>
      <c r="N5397" t="s">
        <v>37</v>
      </c>
      <c r="O5397" t="s">
        <v>32</v>
      </c>
      <c r="P5397">
        <v>12.6591967320444</v>
      </c>
      <c r="Q5397">
        <v>1.1223101222449099</v>
      </c>
      <c r="R5397">
        <v>6.09489742199613</v>
      </c>
      <c r="S5397">
        <v>170</v>
      </c>
      <c r="T5397">
        <v>65</v>
      </c>
      <c r="U5397">
        <v>462.85505939291897</v>
      </c>
      <c r="V5397">
        <v>2.03977562468128E-3</v>
      </c>
      <c r="W5397">
        <v>1327244.7168113701</v>
      </c>
      <c r="X5397" t="s">
        <v>42</v>
      </c>
      <c r="Y5397">
        <f>1-833-328-3981</f>
        <v>-5141</v>
      </c>
    </row>
    <row r="5398" spans="1:25" x14ac:dyDescent="0.35">
      <c r="A5398">
        <v>39.059702391543802</v>
      </c>
      <c r="B5398">
        <v>-123.434776125342</v>
      </c>
      <c r="C5398" t="s">
        <v>34</v>
      </c>
      <c r="D5398">
        <v>6.8846270825481204</v>
      </c>
      <c r="E5398">
        <v>6</v>
      </c>
      <c r="F5398">
        <v>2882</v>
      </c>
      <c r="G5398">
        <v>4</v>
      </c>
      <c r="H5398">
        <v>1</v>
      </c>
      <c r="I5398">
        <v>1957</v>
      </c>
      <c r="J5398">
        <v>1</v>
      </c>
      <c r="K5398">
        <v>0</v>
      </c>
      <c r="L5398">
        <v>0</v>
      </c>
      <c r="M5398">
        <v>8</v>
      </c>
      <c r="N5398" t="s">
        <v>41</v>
      </c>
      <c r="O5398" t="s">
        <v>32</v>
      </c>
      <c r="P5398">
        <v>6.8375041696601802</v>
      </c>
      <c r="Q5398">
        <v>2.0831941499393398</v>
      </c>
      <c r="R5398">
        <v>9.0546877890898294</v>
      </c>
      <c r="S5398">
        <v>114</v>
      </c>
      <c r="T5398">
        <v>58</v>
      </c>
      <c r="U5398">
        <v>797.67762348223096</v>
      </c>
      <c r="V5398">
        <v>2.7758501040943701E-3</v>
      </c>
      <c r="W5398">
        <v>2459652.4578624698</v>
      </c>
      <c r="X5398" t="s">
        <v>42</v>
      </c>
      <c r="Y5398">
        <f>1-920-713-8195</f>
        <v>-9827</v>
      </c>
    </row>
    <row r="5399" spans="1:25" x14ac:dyDescent="0.35">
      <c r="A5399">
        <v>32.567454001796698</v>
      </c>
      <c r="B5399">
        <v>-121.406861963477</v>
      </c>
      <c r="C5399" t="s">
        <v>29</v>
      </c>
      <c r="D5399">
        <v>33.785164954914499</v>
      </c>
      <c r="E5399">
        <v>3</v>
      </c>
      <c r="F5399">
        <v>985</v>
      </c>
      <c r="G5399">
        <v>5</v>
      </c>
      <c r="H5399">
        <v>2</v>
      </c>
      <c r="I5399">
        <v>1994</v>
      </c>
      <c r="J5399">
        <v>0</v>
      </c>
      <c r="K5399">
        <v>1</v>
      </c>
      <c r="L5399">
        <v>1</v>
      </c>
      <c r="M5399">
        <v>11</v>
      </c>
      <c r="N5399" t="s">
        <v>35</v>
      </c>
      <c r="O5399" t="s">
        <v>32</v>
      </c>
      <c r="P5399">
        <v>4.3231816188962897</v>
      </c>
      <c r="Q5399">
        <v>1.62627075301498</v>
      </c>
      <c r="R5399">
        <v>4.9313443991254902</v>
      </c>
      <c r="S5399">
        <v>72</v>
      </c>
      <c r="T5399">
        <v>66</v>
      </c>
      <c r="U5399">
        <v>407.77363383226202</v>
      </c>
      <c r="V5399">
        <v>1.11675126903553E-2</v>
      </c>
      <c r="W5399">
        <v>872651.22707123996</v>
      </c>
      <c r="X5399" t="s">
        <v>42</v>
      </c>
      <c r="Y5399">
        <f>1-742-853-3577</f>
        <v>-5171</v>
      </c>
    </row>
    <row r="5400" spans="1:25" x14ac:dyDescent="0.35">
      <c r="A5400">
        <v>39.386694474566198</v>
      </c>
      <c r="B5400">
        <v>-119.87723799941899</v>
      </c>
      <c r="C5400" t="s">
        <v>29</v>
      </c>
      <c r="D5400">
        <v>48.305706680985999</v>
      </c>
      <c r="E5400">
        <v>3</v>
      </c>
      <c r="F5400">
        <v>2201</v>
      </c>
      <c r="G5400">
        <v>2</v>
      </c>
      <c r="H5400">
        <v>2</v>
      </c>
      <c r="I5400">
        <v>1978</v>
      </c>
      <c r="J5400">
        <v>1</v>
      </c>
      <c r="K5400">
        <v>0</v>
      </c>
      <c r="L5400">
        <v>1</v>
      </c>
      <c r="M5400">
        <v>5</v>
      </c>
      <c r="N5400" t="s">
        <v>35</v>
      </c>
      <c r="O5400" t="s">
        <v>30</v>
      </c>
      <c r="P5400">
        <v>10.044257677985801</v>
      </c>
      <c r="Q5400">
        <v>2.0646633259801002</v>
      </c>
      <c r="R5400">
        <v>8.7752626394257494</v>
      </c>
      <c r="S5400">
        <v>109</v>
      </c>
      <c r="T5400">
        <v>49</v>
      </c>
      <c r="U5400">
        <v>650.83376213784504</v>
      </c>
      <c r="V5400">
        <v>2.2716946842344298E-3</v>
      </c>
      <c r="W5400">
        <v>1761521.27596615</v>
      </c>
      <c r="X5400" t="s">
        <v>31</v>
      </c>
      <c r="Y5400">
        <f>1-883-453-8800</f>
        <v>-10135</v>
      </c>
    </row>
    <row r="5401" spans="1:25" x14ac:dyDescent="0.35">
      <c r="A5401">
        <v>40.061131632473</v>
      </c>
      <c r="B5401">
        <v>-122.018471611537</v>
      </c>
      <c r="C5401" t="s">
        <v>34</v>
      </c>
      <c r="D5401">
        <v>41.836373475584402</v>
      </c>
      <c r="E5401">
        <v>2</v>
      </c>
      <c r="F5401">
        <v>543</v>
      </c>
      <c r="G5401">
        <v>5</v>
      </c>
      <c r="H5401">
        <v>1</v>
      </c>
      <c r="I5401">
        <v>2017</v>
      </c>
      <c r="J5401">
        <v>1</v>
      </c>
      <c r="K5401">
        <v>0</v>
      </c>
      <c r="L5401">
        <v>0</v>
      </c>
      <c r="M5401">
        <v>3</v>
      </c>
      <c r="N5401" t="s">
        <v>41</v>
      </c>
      <c r="O5401" t="s">
        <v>27</v>
      </c>
      <c r="P5401">
        <v>6.0722479861221599</v>
      </c>
      <c r="Q5401">
        <v>2.4677869507626999</v>
      </c>
      <c r="R5401">
        <v>2.3324615631410599</v>
      </c>
      <c r="S5401">
        <v>11</v>
      </c>
      <c r="T5401">
        <v>31</v>
      </c>
      <c r="U5401">
        <v>302.72054247897802</v>
      </c>
      <c r="V5401">
        <v>5.5248618784530298E-3</v>
      </c>
      <c r="W5401">
        <v>532860.24589254998</v>
      </c>
      <c r="X5401" t="s">
        <v>33</v>
      </c>
      <c r="Y5401">
        <f>1-997-499-5818</f>
        <v>-7313</v>
      </c>
    </row>
    <row r="5402" spans="1:25" x14ac:dyDescent="0.35">
      <c r="A5402">
        <v>34.377683718518497</v>
      </c>
      <c r="B5402">
        <v>-120.534107207243</v>
      </c>
      <c r="C5402" t="s">
        <v>29</v>
      </c>
      <c r="D5402">
        <v>48.070294920456298</v>
      </c>
      <c r="E5402">
        <v>3</v>
      </c>
      <c r="F5402">
        <v>3273</v>
      </c>
      <c r="G5402">
        <v>5</v>
      </c>
      <c r="H5402">
        <v>3</v>
      </c>
      <c r="I5402">
        <v>2001</v>
      </c>
      <c r="J5402">
        <v>1</v>
      </c>
      <c r="K5402">
        <v>0</v>
      </c>
      <c r="L5402">
        <v>0</v>
      </c>
      <c r="M5402">
        <v>10</v>
      </c>
      <c r="N5402" t="s">
        <v>37</v>
      </c>
      <c r="O5402" t="s">
        <v>32</v>
      </c>
      <c r="P5402">
        <v>2.8002422241820999</v>
      </c>
      <c r="Q5402">
        <v>1.4224628701162201</v>
      </c>
      <c r="R5402">
        <v>1.5719561621003499</v>
      </c>
      <c r="S5402">
        <v>147</v>
      </c>
      <c r="T5402">
        <v>43</v>
      </c>
      <c r="U5402">
        <v>592.71034694116702</v>
      </c>
      <c r="V5402">
        <v>3.05530094714329E-3</v>
      </c>
      <c r="W5402">
        <v>2305892.0343962102</v>
      </c>
      <c r="X5402" t="s">
        <v>33</v>
      </c>
      <c r="Y5402">
        <f>1-700-756-8477</f>
        <v>-9932</v>
      </c>
    </row>
    <row r="5403" spans="1:25" x14ac:dyDescent="0.35">
      <c r="A5403">
        <v>37.151729982886501</v>
      </c>
      <c r="B5403">
        <v>-114.87460746110899</v>
      </c>
      <c r="C5403" t="s">
        <v>34</v>
      </c>
      <c r="D5403">
        <v>47.443317620149301</v>
      </c>
      <c r="E5403">
        <v>7</v>
      </c>
      <c r="F5403">
        <v>1381</v>
      </c>
      <c r="G5403">
        <v>3</v>
      </c>
      <c r="H5403">
        <v>1</v>
      </c>
      <c r="I5403">
        <v>1990</v>
      </c>
      <c r="J5403">
        <v>0</v>
      </c>
      <c r="K5403">
        <v>1</v>
      </c>
      <c r="L5403">
        <v>1</v>
      </c>
      <c r="M5403">
        <v>5</v>
      </c>
      <c r="N5403" t="s">
        <v>41</v>
      </c>
      <c r="O5403" t="s">
        <v>27</v>
      </c>
      <c r="P5403">
        <v>9.0694360076885694</v>
      </c>
      <c r="Q5403">
        <v>0.60163844000998001</v>
      </c>
      <c r="R5403">
        <v>6.4251732744107501</v>
      </c>
      <c r="S5403">
        <v>70</v>
      </c>
      <c r="T5403">
        <v>31</v>
      </c>
      <c r="U5403">
        <v>375.09871550163001</v>
      </c>
      <c r="V5403">
        <v>3.6205648081100599E-3</v>
      </c>
      <c r="W5403">
        <v>791237.32977819606</v>
      </c>
      <c r="X5403" t="s">
        <v>31</v>
      </c>
      <c r="Y5403">
        <f>1-654-555-8365</f>
        <v>-9573</v>
      </c>
    </row>
    <row r="5404" spans="1:25" x14ac:dyDescent="0.35">
      <c r="A5404">
        <v>33.572068285897302</v>
      </c>
      <c r="B5404">
        <v>-116.187958697998</v>
      </c>
      <c r="C5404" t="s">
        <v>25</v>
      </c>
      <c r="D5404">
        <v>5.0242869824977099</v>
      </c>
      <c r="E5404">
        <v>6</v>
      </c>
      <c r="F5404">
        <v>4156</v>
      </c>
      <c r="G5404">
        <v>2</v>
      </c>
      <c r="H5404">
        <v>1</v>
      </c>
      <c r="I5404">
        <v>1986</v>
      </c>
      <c r="J5404">
        <v>1</v>
      </c>
      <c r="K5404">
        <v>0</v>
      </c>
      <c r="L5404">
        <v>1</v>
      </c>
      <c r="M5404">
        <v>3</v>
      </c>
      <c r="N5404" t="s">
        <v>35</v>
      </c>
      <c r="O5404" t="s">
        <v>32</v>
      </c>
      <c r="P5404">
        <v>2.2857025720875499</v>
      </c>
      <c r="Q5404">
        <v>0.62330146595702096</v>
      </c>
      <c r="R5404">
        <v>3.5916763018632798</v>
      </c>
      <c r="S5404">
        <v>157</v>
      </c>
      <c r="T5404">
        <v>36</v>
      </c>
      <c r="U5404">
        <v>527.51308501381197</v>
      </c>
      <c r="V5404">
        <v>7.2184793070259796E-4</v>
      </c>
      <c r="W5404">
        <v>2335977.6785316402</v>
      </c>
      <c r="X5404" t="s">
        <v>39</v>
      </c>
      <c r="Y5404">
        <f>1-909-513-7975</f>
        <v>-9396</v>
      </c>
    </row>
    <row r="5405" spans="1:25" x14ac:dyDescent="0.35">
      <c r="A5405">
        <v>39.605761362337901</v>
      </c>
      <c r="B5405">
        <v>-119.21680755832</v>
      </c>
      <c r="C5405" t="s">
        <v>29</v>
      </c>
      <c r="D5405">
        <v>24.567376494617399</v>
      </c>
      <c r="E5405">
        <v>0</v>
      </c>
      <c r="F5405">
        <v>2804</v>
      </c>
      <c r="G5405">
        <v>4</v>
      </c>
      <c r="H5405">
        <v>1</v>
      </c>
      <c r="I5405">
        <v>1991</v>
      </c>
      <c r="J5405">
        <v>0</v>
      </c>
      <c r="K5405">
        <v>0</v>
      </c>
      <c r="L5405">
        <v>0</v>
      </c>
      <c r="M5405">
        <v>11</v>
      </c>
      <c r="N5405" t="s">
        <v>37</v>
      </c>
      <c r="O5405" t="s">
        <v>30</v>
      </c>
      <c r="P5405">
        <v>14.4603745125087</v>
      </c>
      <c r="Q5405">
        <v>2.20688557707272</v>
      </c>
      <c r="R5405">
        <v>0.83769921351906895</v>
      </c>
      <c r="S5405">
        <v>124</v>
      </c>
      <c r="T5405">
        <v>36</v>
      </c>
      <c r="U5405">
        <v>909.50557919095002</v>
      </c>
      <c r="V5405">
        <v>3.9229671897289499E-3</v>
      </c>
      <c r="W5405">
        <v>2794341.3141708798</v>
      </c>
      <c r="X5405" t="s">
        <v>28</v>
      </c>
      <c r="Y5405">
        <f>1-973-836-2574</f>
        <v>-4382</v>
      </c>
    </row>
    <row r="5406" spans="1:25" x14ac:dyDescent="0.35">
      <c r="A5406">
        <v>38.363828696792602</v>
      </c>
      <c r="B5406">
        <v>-123.19469481268899</v>
      </c>
      <c r="C5406" t="s">
        <v>34</v>
      </c>
      <c r="D5406">
        <v>22.4317686900403</v>
      </c>
      <c r="E5406">
        <v>7</v>
      </c>
      <c r="F5406">
        <v>4570</v>
      </c>
      <c r="G5406">
        <v>5</v>
      </c>
      <c r="H5406">
        <v>1</v>
      </c>
      <c r="I5406">
        <v>1984</v>
      </c>
      <c r="J5406">
        <v>1</v>
      </c>
      <c r="K5406">
        <v>0</v>
      </c>
      <c r="L5406">
        <v>1</v>
      </c>
      <c r="M5406">
        <v>2</v>
      </c>
      <c r="N5406" t="s">
        <v>26</v>
      </c>
      <c r="O5406" t="s">
        <v>30</v>
      </c>
      <c r="P5406">
        <v>12.4322059821274</v>
      </c>
      <c r="Q5406">
        <v>0.51897508613570698</v>
      </c>
      <c r="R5406">
        <v>9.0753391423113694</v>
      </c>
      <c r="S5406">
        <v>36</v>
      </c>
      <c r="T5406">
        <v>40</v>
      </c>
      <c r="U5406">
        <v>277.266111982827</v>
      </c>
      <c r="V5406">
        <v>4.3763676148796501E-4</v>
      </c>
      <c r="W5406">
        <v>1594382.6940373799</v>
      </c>
      <c r="X5406" t="s">
        <v>31</v>
      </c>
      <c r="Y5406">
        <f>1-378-808-9912</f>
        <v>-11097</v>
      </c>
    </row>
    <row r="5407" spans="1:25" x14ac:dyDescent="0.35">
      <c r="A5407">
        <v>39.294404458666499</v>
      </c>
      <c r="B5407">
        <v>-124.278134171953</v>
      </c>
      <c r="C5407" t="s">
        <v>29</v>
      </c>
      <c r="D5407">
        <v>49.2620588378646</v>
      </c>
      <c r="E5407">
        <v>1</v>
      </c>
      <c r="F5407">
        <v>4396</v>
      </c>
      <c r="G5407">
        <v>2</v>
      </c>
      <c r="H5407">
        <v>2</v>
      </c>
      <c r="I5407">
        <v>1974</v>
      </c>
      <c r="J5407">
        <v>0</v>
      </c>
      <c r="K5407">
        <v>0</v>
      </c>
      <c r="L5407">
        <v>1</v>
      </c>
      <c r="M5407">
        <v>7</v>
      </c>
      <c r="N5407" t="s">
        <v>35</v>
      </c>
      <c r="O5407" t="s">
        <v>27</v>
      </c>
      <c r="P5407">
        <v>9.3768905051861609</v>
      </c>
      <c r="Q5407">
        <v>1.1653884375011101</v>
      </c>
      <c r="R5407">
        <v>1.8083612873496</v>
      </c>
      <c r="S5407">
        <v>149</v>
      </c>
      <c r="T5407">
        <v>36</v>
      </c>
      <c r="U5407">
        <v>383.376377147293</v>
      </c>
      <c r="V5407">
        <v>1.5923566878980799E-3</v>
      </c>
      <c r="W5407">
        <v>1865592.27577742</v>
      </c>
      <c r="X5407" t="s">
        <v>31</v>
      </c>
      <c r="Y5407">
        <f>1-393-761-9476</f>
        <v>-10629</v>
      </c>
    </row>
    <row r="5408" spans="1:25" x14ac:dyDescent="0.35">
      <c r="A5408">
        <v>40.527223833462301</v>
      </c>
      <c r="B5408">
        <v>-123.668913301141</v>
      </c>
      <c r="C5408" t="s">
        <v>34</v>
      </c>
      <c r="D5408">
        <v>41.003171760664202</v>
      </c>
      <c r="E5408">
        <v>2</v>
      </c>
      <c r="F5408">
        <v>2514</v>
      </c>
      <c r="G5408">
        <v>5</v>
      </c>
      <c r="H5408">
        <v>2</v>
      </c>
      <c r="I5408">
        <v>1997</v>
      </c>
      <c r="J5408">
        <v>0</v>
      </c>
      <c r="K5408">
        <v>0</v>
      </c>
      <c r="L5408">
        <v>1</v>
      </c>
      <c r="M5408">
        <v>6</v>
      </c>
      <c r="N5408" t="s">
        <v>35</v>
      </c>
      <c r="O5408" t="s">
        <v>27</v>
      </c>
      <c r="P5408">
        <v>11.996425066645999</v>
      </c>
      <c r="Q5408">
        <v>1.8719409336439501</v>
      </c>
      <c r="R5408">
        <v>8.7347245245904102</v>
      </c>
      <c r="S5408">
        <v>73</v>
      </c>
      <c r="T5408">
        <v>47</v>
      </c>
      <c r="U5408">
        <v>972.99479189534202</v>
      </c>
      <c r="V5408">
        <v>2.38663484486873E-3</v>
      </c>
      <c r="W5408">
        <v>2799773.3467997801</v>
      </c>
      <c r="X5408" t="s">
        <v>28</v>
      </c>
      <c r="Y5408">
        <f>1-271-501-1027</f>
        <v>-1798</v>
      </c>
    </row>
    <row r="5409" spans="1:25" x14ac:dyDescent="0.35">
      <c r="A5409">
        <v>34.800259479034501</v>
      </c>
      <c r="B5409">
        <v>-115.630347855834</v>
      </c>
      <c r="C5409" t="s">
        <v>29</v>
      </c>
      <c r="D5409">
        <v>28.769054098059399</v>
      </c>
      <c r="E5409">
        <v>6</v>
      </c>
      <c r="F5409">
        <v>1795</v>
      </c>
      <c r="G5409">
        <v>5</v>
      </c>
      <c r="H5409">
        <v>3</v>
      </c>
      <c r="I5409">
        <v>1978</v>
      </c>
      <c r="J5409">
        <v>1</v>
      </c>
      <c r="K5409">
        <v>0</v>
      </c>
      <c r="L5409">
        <v>1</v>
      </c>
      <c r="M5409">
        <v>9</v>
      </c>
      <c r="N5409" t="s">
        <v>26</v>
      </c>
      <c r="O5409" t="s">
        <v>27</v>
      </c>
      <c r="P5409">
        <v>3.23827987614718</v>
      </c>
      <c r="Q5409">
        <v>0.894217803312086</v>
      </c>
      <c r="R5409">
        <v>1.8768917805659899</v>
      </c>
      <c r="S5409">
        <v>57</v>
      </c>
      <c r="T5409">
        <v>32</v>
      </c>
      <c r="U5409">
        <v>631.81807196228397</v>
      </c>
      <c r="V5409">
        <v>5.0139275766016697E-3</v>
      </c>
      <c r="W5409">
        <v>1516883.5995425</v>
      </c>
      <c r="X5409" t="s">
        <v>31</v>
      </c>
      <c r="Y5409">
        <f>1-997-980-6936</f>
        <v>-8912</v>
      </c>
    </row>
    <row r="5410" spans="1:25" x14ac:dyDescent="0.35">
      <c r="A5410">
        <v>39.637292430643498</v>
      </c>
      <c r="B5410">
        <v>-122.297161708549</v>
      </c>
      <c r="C5410" t="s">
        <v>25</v>
      </c>
      <c r="D5410">
        <v>44.193557484688498</v>
      </c>
      <c r="E5410">
        <v>3</v>
      </c>
      <c r="F5410">
        <v>833</v>
      </c>
      <c r="G5410">
        <v>5</v>
      </c>
      <c r="H5410">
        <v>2</v>
      </c>
      <c r="I5410">
        <v>2010</v>
      </c>
      <c r="J5410">
        <v>0</v>
      </c>
      <c r="K5410">
        <v>0</v>
      </c>
      <c r="L5410">
        <v>0</v>
      </c>
      <c r="M5410">
        <v>2</v>
      </c>
      <c r="N5410" t="s">
        <v>37</v>
      </c>
      <c r="O5410" t="s">
        <v>32</v>
      </c>
      <c r="P5410">
        <v>10.926949651617001</v>
      </c>
      <c r="Q5410">
        <v>1.0710638402242301</v>
      </c>
      <c r="R5410">
        <v>7.7136311552978798</v>
      </c>
      <c r="S5410">
        <v>16</v>
      </c>
      <c r="T5410">
        <v>75</v>
      </c>
      <c r="U5410">
        <v>757.17746972644204</v>
      </c>
      <c r="V5410">
        <v>2.40096038415366E-3</v>
      </c>
      <c r="W5410">
        <v>992590.99422452203</v>
      </c>
      <c r="X5410" t="s">
        <v>36</v>
      </c>
      <c r="Y5410">
        <f>1-730-185-2898</f>
        <v>-3812</v>
      </c>
    </row>
    <row r="5411" spans="1:25" x14ac:dyDescent="0.35">
      <c r="A5411">
        <v>39.084049014609697</v>
      </c>
      <c r="B5411">
        <v>-119.141150552198</v>
      </c>
      <c r="C5411" t="s">
        <v>25</v>
      </c>
      <c r="D5411">
        <v>9.9915984954695105</v>
      </c>
      <c r="E5411">
        <v>4</v>
      </c>
      <c r="F5411">
        <v>2984</v>
      </c>
      <c r="G5411">
        <v>4</v>
      </c>
      <c r="H5411">
        <v>3</v>
      </c>
      <c r="I5411">
        <v>2018</v>
      </c>
      <c r="J5411">
        <v>1</v>
      </c>
      <c r="K5411">
        <v>1</v>
      </c>
      <c r="L5411">
        <v>1</v>
      </c>
      <c r="M5411">
        <v>14</v>
      </c>
      <c r="N5411" t="s">
        <v>37</v>
      </c>
      <c r="O5411" t="s">
        <v>30</v>
      </c>
      <c r="P5411">
        <v>12.316621627615699</v>
      </c>
      <c r="Q5411">
        <v>1.8010099713154499</v>
      </c>
      <c r="R5411">
        <v>1.00947243384869</v>
      </c>
      <c r="S5411">
        <v>97</v>
      </c>
      <c r="T5411">
        <v>45</v>
      </c>
      <c r="U5411">
        <v>347.05856118515601</v>
      </c>
      <c r="V5411">
        <v>4.6916890080428899E-3</v>
      </c>
      <c r="W5411">
        <v>1612914.3432481</v>
      </c>
      <c r="X5411" t="s">
        <v>43</v>
      </c>
      <c r="Y5411">
        <f>1-512-182-6845</f>
        <v>-7538</v>
      </c>
    </row>
    <row r="5412" spans="1:25" x14ac:dyDescent="0.35">
      <c r="A5412">
        <v>40.023611817634098</v>
      </c>
      <c r="B5412">
        <v>-117.57543736172801</v>
      </c>
      <c r="C5412" t="s">
        <v>25</v>
      </c>
      <c r="D5412">
        <v>2.80467643045057</v>
      </c>
      <c r="E5412">
        <v>8</v>
      </c>
      <c r="F5412">
        <v>4770</v>
      </c>
      <c r="G5412">
        <v>2</v>
      </c>
      <c r="H5412">
        <v>1</v>
      </c>
      <c r="I5412">
        <v>2022</v>
      </c>
      <c r="J5412">
        <v>1</v>
      </c>
      <c r="K5412">
        <v>1</v>
      </c>
      <c r="L5412">
        <v>1</v>
      </c>
      <c r="M5412">
        <v>8</v>
      </c>
      <c r="N5412" t="s">
        <v>37</v>
      </c>
      <c r="O5412" t="s">
        <v>30</v>
      </c>
      <c r="P5412">
        <v>5.2304677136130397</v>
      </c>
      <c r="Q5412">
        <v>1.0282302184682499</v>
      </c>
      <c r="R5412">
        <v>4.7628411781072302</v>
      </c>
      <c r="S5412">
        <v>160</v>
      </c>
      <c r="T5412">
        <v>23</v>
      </c>
      <c r="U5412">
        <v>787.37983478752994</v>
      </c>
      <c r="V5412">
        <v>1.67714884696016E-3</v>
      </c>
      <c r="W5412">
        <v>4002651.0769599499</v>
      </c>
      <c r="X5412" t="s">
        <v>39</v>
      </c>
      <c r="Y5412">
        <f>1-589-785-1629</f>
        <v>-3002</v>
      </c>
    </row>
    <row r="5413" spans="1:25" x14ac:dyDescent="0.35">
      <c r="A5413">
        <v>34.993181680313</v>
      </c>
      <c r="B5413">
        <v>-122.154932870219</v>
      </c>
      <c r="C5413" t="s">
        <v>29</v>
      </c>
      <c r="D5413">
        <v>23.7811949749</v>
      </c>
      <c r="E5413">
        <v>3</v>
      </c>
      <c r="F5413">
        <v>2108</v>
      </c>
      <c r="G5413">
        <v>5</v>
      </c>
      <c r="H5413">
        <v>1</v>
      </c>
      <c r="I5413">
        <v>2016</v>
      </c>
      <c r="J5413">
        <v>1</v>
      </c>
      <c r="K5413">
        <v>0</v>
      </c>
      <c r="L5413">
        <v>0</v>
      </c>
      <c r="M5413">
        <v>2</v>
      </c>
      <c r="N5413" t="s">
        <v>41</v>
      </c>
      <c r="O5413" t="s">
        <v>30</v>
      </c>
      <c r="P5413">
        <v>2.8401616069556601</v>
      </c>
      <c r="Q5413">
        <v>1.46670122432386</v>
      </c>
      <c r="R5413">
        <v>4.3593967143897201</v>
      </c>
      <c r="S5413">
        <v>157</v>
      </c>
      <c r="T5413">
        <v>61</v>
      </c>
      <c r="U5413">
        <v>609.62380959094003</v>
      </c>
      <c r="V5413">
        <v>9.4876660341555903E-4</v>
      </c>
      <c r="W5413">
        <v>1512760.6774185</v>
      </c>
      <c r="X5413" t="s">
        <v>38</v>
      </c>
      <c r="Y5413">
        <f>1-403-904-2230</f>
        <v>-3536</v>
      </c>
    </row>
    <row r="5414" spans="1:25" x14ac:dyDescent="0.35">
      <c r="A5414">
        <v>38.623557841859601</v>
      </c>
      <c r="B5414">
        <v>-123.47023500538</v>
      </c>
      <c r="C5414" t="s">
        <v>34</v>
      </c>
      <c r="D5414">
        <v>42.724161266899202</v>
      </c>
      <c r="E5414">
        <v>2</v>
      </c>
      <c r="F5414">
        <v>4032</v>
      </c>
      <c r="G5414">
        <v>3</v>
      </c>
      <c r="H5414">
        <v>2</v>
      </c>
      <c r="I5414">
        <v>2004</v>
      </c>
      <c r="J5414">
        <v>0</v>
      </c>
      <c r="K5414">
        <v>1</v>
      </c>
      <c r="L5414">
        <v>1</v>
      </c>
      <c r="M5414">
        <v>12</v>
      </c>
      <c r="N5414" t="s">
        <v>37</v>
      </c>
      <c r="O5414" t="s">
        <v>30</v>
      </c>
      <c r="P5414">
        <v>5.8933221009072803</v>
      </c>
      <c r="Q5414">
        <v>0.72642173112366504</v>
      </c>
      <c r="R5414">
        <v>7.5869447005618804</v>
      </c>
      <c r="S5414">
        <v>122</v>
      </c>
      <c r="T5414">
        <v>33</v>
      </c>
      <c r="U5414">
        <v>911.58235432741799</v>
      </c>
      <c r="V5414">
        <v>2.97619047619047E-3</v>
      </c>
      <c r="W5414">
        <v>3997740.81877281</v>
      </c>
      <c r="X5414" t="s">
        <v>44</v>
      </c>
      <c r="Y5414">
        <f>1-332-934-2028</f>
        <v>-3293</v>
      </c>
    </row>
    <row r="5415" spans="1:25" x14ac:dyDescent="0.35">
      <c r="A5415">
        <v>34.002856253384103</v>
      </c>
      <c r="B5415">
        <v>-116.912942526907</v>
      </c>
      <c r="C5415" t="s">
        <v>29</v>
      </c>
      <c r="D5415">
        <v>21.739909113695798</v>
      </c>
      <c r="E5415">
        <v>8</v>
      </c>
      <c r="F5415">
        <v>4349</v>
      </c>
      <c r="G5415">
        <v>2</v>
      </c>
      <c r="H5415">
        <v>3</v>
      </c>
      <c r="I5415">
        <v>1979</v>
      </c>
      <c r="J5415">
        <v>0</v>
      </c>
      <c r="K5415">
        <v>0</v>
      </c>
      <c r="L5415">
        <v>1</v>
      </c>
      <c r="M5415">
        <v>10</v>
      </c>
      <c r="N5415" t="s">
        <v>37</v>
      </c>
      <c r="O5415" t="s">
        <v>30</v>
      </c>
      <c r="P5415">
        <v>3.2853466412822501</v>
      </c>
      <c r="Q5415">
        <v>0.89057723390919896</v>
      </c>
      <c r="R5415">
        <v>7.5165054673104601</v>
      </c>
      <c r="S5415">
        <v>6</v>
      </c>
      <c r="T5415">
        <v>32</v>
      </c>
      <c r="U5415">
        <v>963.51242063203495</v>
      </c>
      <c r="V5415">
        <v>2.2993791676247399E-3</v>
      </c>
      <c r="W5415">
        <v>4394036.9492121199</v>
      </c>
      <c r="X5415" t="s">
        <v>40</v>
      </c>
      <c r="Y5415">
        <f>1-973-664-7893</f>
        <v>-9529</v>
      </c>
    </row>
    <row r="5416" spans="1:25" x14ac:dyDescent="0.35">
      <c r="A5416">
        <v>38.102356727666297</v>
      </c>
      <c r="B5416">
        <v>-116.28382239076799</v>
      </c>
      <c r="C5416" t="s">
        <v>34</v>
      </c>
      <c r="D5416">
        <v>8.8094423799798491</v>
      </c>
      <c r="E5416">
        <v>9</v>
      </c>
      <c r="F5416">
        <v>2672</v>
      </c>
      <c r="G5416">
        <v>4</v>
      </c>
      <c r="H5416">
        <v>3</v>
      </c>
      <c r="I5416">
        <v>2003</v>
      </c>
      <c r="J5416">
        <v>0</v>
      </c>
      <c r="K5416">
        <v>0</v>
      </c>
      <c r="L5416">
        <v>0</v>
      </c>
      <c r="M5416">
        <v>14</v>
      </c>
      <c r="N5416" t="s">
        <v>26</v>
      </c>
      <c r="O5416" t="s">
        <v>30</v>
      </c>
      <c r="P5416">
        <v>8.8072833324663993</v>
      </c>
      <c r="Q5416">
        <v>0.65549507508309202</v>
      </c>
      <c r="R5416">
        <v>9.7126567396448706</v>
      </c>
      <c r="S5416">
        <v>74</v>
      </c>
      <c r="T5416">
        <v>45</v>
      </c>
      <c r="U5416">
        <v>482.603341564326</v>
      </c>
      <c r="V5416">
        <v>5.2395209580838303E-3</v>
      </c>
      <c r="W5416">
        <v>1614306.22680369</v>
      </c>
      <c r="X5416" t="s">
        <v>38</v>
      </c>
      <c r="Y5416">
        <f>1-264-398-1228</f>
        <v>-1889</v>
      </c>
    </row>
    <row r="5417" spans="1:25" x14ac:dyDescent="0.35">
      <c r="A5417">
        <v>37.703423767720103</v>
      </c>
      <c r="B5417">
        <v>-117.09040836962799</v>
      </c>
      <c r="C5417" t="s">
        <v>25</v>
      </c>
      <c r="D5417">
        <v>9.1512991064883291</v>
      </c>
      <c r="E5417">
        <v>9</v>
      </c>
      <c r="F5417">
        <v>1615</v>
      </c>
      <c r="G5417">
        <v>4</v>
      </c>
      <c r="H5417">
        <v>1</v>
      </c>
      <c r="I5417">
        <v>2010</v>
      </c>
      <c r="J5417">
        <v>0</v>
      </c>
      <c r="K5417">
        <v>1</v>
      </c>
      <c r="L5417">
        <v>0</v>
      </c>
      <c r="M5417">
        <v>13</v>
      </c>
      <c r="N5417" t="s">
        <v>41</v>
      </c>
      <c r="O5417" t="s">
        <v>32</v>
      </c>
      <c r="P5417">
        <v>6.4565402074585601</v>
      </c>
      <c r="Q5417">
        <v>1.57909711527608</v>
      </c>
      <c r="R5417">
        <v>8.3687348579504892</v>
      </c>
      <c r="S5417">
        <v>197</v>
      </c>
      <c r="T5417">
        <v>74</v>
      </c>
      <c r="U5417">
        <v>305.13191344697299</v>
      </c>
      <c r="V5417">
        <v>8.0495356037151699E-3</v>
      </c>
      <c r="W5417">
        <v>807686.49944301695</v>
      </c>
      <c r="X5417" t="s">
        <v>44</v>
      </c>
      <c r="Y5417">
        <f>1-684-186-5737</f>
        <v>-6606</v>
      </c>
    </row>
    <row r="5418" spans="1:25" x14ac:dyDescent="0.35">
      <c r="A5418">
        <v>32.667888266608102</v>
      </c>
      <c r="B5418">
        <v>-114.36958846773101</v>
      </c>
      <c r="C5418" t="s">
        <v>25</v>
      </c>
      <c r="D5418">
        <v>49.145577733677598</v>
      </c>
      <c r="E5418">
        <v>5</v>
      </c>
      <c r="F5418">
        <v>3461</v>
      </c>
      <c r="G5418">
        <v>5</v>
      </c>
      <c r="H5418">
        <v>1</v>
      </c>
      <c r="I5418">
        <v>2005</v>
      </c>
      <c r="J5418">
        <v>1</v>
      </c>
      <c r="K5418">
        <v>0</v>
      </c>
      <c r="L5418">
        <v>1</v>
      </c>
      <c r="M5418">
        <v>14</v>
      </c>
      <c r="N5418" t="s">
        <v>35</v>
      </c>
      <c r="O5418" t="s">
        <v>30</v>
      </c>
      <c r="P5418">
        <v>13.2230224033962</v>
      </c>
      <c r="Q5418">
        <v>1.96209468987337</v>
      </c>
      <c r="R5418">
        <v>2.09859371945443</v>
      </c>
      <c r="S5418">
        <v>104</v>
      </c>
      <c r="T5418">
        <v>69</v>
      </c>
      <c r="U5418">
        <v>402.609047959512</v>
      </c>
      <c r="V5418">
        <v>4.0450736781277004E-3</v>
      </c>
      <c r="W5418">
        <v>1780569.34574636</v>
      </c>
      <c r="X5418" t="s">
        <v>36</v>
      </c>
      <c r="Y5418">
        <f>1-739-504-1470</f>
        <v>-2712</v>
      </c>
    </row>
    <row r="5419" spans="1:25" x14ac:dyDescent="0.35">
      <c r="A5419">
        <v>41.053989647832204</v>
      </c>
      <c r="B5419">
        <v>-119.26964786830101</v>
      </c>
      <c r="C5419" t="s">
        <v>34</v>
      </c>
      <c r="D5419">
        <v>36.412023251535402</v>
      </c>
      <c r="E5419">
        <v>2</v>
      </c>
      <c r="F5419">
        <v>1534</v>
      </c>
      <c r="G5419">
        <v>1</v>
      </c>
      <c r="H5419">
        <v>3</v>
      </c>
      <c r="I5419">
        <v>1983</v>
      </c>
      <c r="J5419">
        <v>1</v>
      </c>
      <c r="K5419">
        <v>0</v>
      </c>
      <c r="L5419">
        <v>0</v>
      </c>
      <c r="M5419">
        <v>14</v>
      </c>
      <c r="N5419" t="s">
        <v>37</v>
      </c>
      <c r="O5419" t="s">
        <v>30</v>
      </c>
      <c r="P5419">
        <v>5.1647431214284003</v>
      </c>
      <c r="Q5419">
        <v>0.66847231053980904</v>
      </c>
      <c r="R5419">
        <v>3.1062693340259599</v>
      </c>
      <c r="S5419">
        <v>77</v>
      </c>
      <c r="T5419">
        <v>76</v>
      </c>
      <c r="U5419">
        <v>742.891377463102</v>
      </c>
      <c r="V5419">
        <v>9.12646675358539E-3</v>
      </c>
      <c r="W5419">
        <v>1320480.84368601</v>
      </c>
      <c r="X5419" t="s">
        <v>31</v>
      </c>
      <c r="Y5419">
        <f>1-764-668-1019</f>
        <v>-2450</v>
      </c>
    </row>
    <row r="5420" spans="1:25" x14ac:dyDescent="0.35">
      <c r="A5420">
        <v>33.992545580882101</v>
      </c>
      <c r="B5420">
        <v>-123.025144225153</v>
      </c>
      <c r="C5420" t="s">
        <v>29</v>
      </c>
      <c r="D5420">
        <v>2.42367406169046</v>
      </c>
      <c r="E5420">
        <v>5</v>
      </c>
      <c r="F5420">
        <v>3028</v>
      </c>
      <c r="G5420">
        <v>2</v>
      </c>
      <c r="H5420">
        <v>1</v>
      </c>
      <c r="I5420">
        <v>1962</v>
      </c>
      <c r="J5420">
        <v>1</v>
      </c>
      <c r="K5420">
        <v>0</v>
      </c>
      <c r="L5420">
        <v>0</v>
      </c>
      <c r="M5420">
        <v>7</v>
      </c>
      <c r="N5420" t="s">
        <v>41</v>
      </c>
      <c r="O5420" t="s">
        <v>32</v>
      </c>
      <c r="P5420">
        <v>4.7678934778563402</v>
      </c>
      <c r="Q5420">
        <v>2.47418379840826</v>
      </c>
      <c r="R5420">
        <v>4.0200708867627899</v>
      </c>
      <c r="S5420">
        <v>178</v>
      </c>
      <c r="T5420">
        <v>56</v>
      </c>
      <c r="U5420">
        <v>387.24796628598199</v>
      </c>
      <c r="V5420">
        <v>2.3117569352707999E-3</v>
      </c>
      <c r="W5420">
        <v>1165265.91619454</v>
      </c>
      <c r="X5420" t="s">
        <v>33</v>
      </c>
      <c r="Y5420">
        <f>1-342-107-3778</f>
        <v>-4226</v>
      </c>
    </row>
    <row r="5421" spans="1:25" x14ac:dyDescent="0.35">
      <c r="A5421">
        <v>36.207251355232302</v>
      </c>
      <c r="B5421">
        <v>-119.802327281446</v>
      </c>
      <c r="C5421" t="s">
        <v>25</v>
      </c>
      <c r="D5421">
        <v>36.065626628327898</v>
      </c>
      <c r="E5421">
        <v>8</v>
      </c>
      <c r="F5421">
        <v>986</v>
      </c>
      <c r="G5421">
        <v>1</v>
      </c>
      <c r="H5421">
        <v>3</v>
      </c>
      <c r="I5421">
        <v>1973</v>
      </c>
      <c r="J5421">
        <v>0</v>
      </c>
      <c r="K5421">
        <v>1</v>
      </c>
      <c r="L5421">
        <v>0</v>
      </c>
      <c r="M5421">
        <v>8</v>
      </c>
      <c r="N5421" t="s">
        <v>41</v>
      </c>
      <c r="O5421" t="s">
        <v>27</v>
      </c>
      <c r="P5421">
        <v>9.99213374323595</v>
      </c>
      <c r="Q5421">
        <v>0.836094662993076</v>
      </c>
      <c r="R5421">
        <v>0.55397824997292799</v>
      </c>
      <c r="S5421">
        <v>156</v>
      </c>
      <c r="T5421">
        <v>76</v>
      </c>
      <c r="U5421">
        <v>340.54377239009699</v>
      </c>
      <c r="V5421">
        <v>8.11359026369168E-3</v>
      </c>
      <c r="W5421">
        <v>508756.62671363697</v>
      </c>
      <c r="X5421" t="s">
        <v>40</v>
      </c>
      <c r="Y5421">
        <f>1-649-216-2600</f>
        <v>-3464</v>
      </c>
    </row>
    <row r="5422" spans="1:25" x14ac:dyDescent="0.35">
      <c r="A5422">
        <v>34.331301777414303</v>
      </c>
      <c r="B5422">
        <v>-117.160883713789</v>
      </c>
      <c r="C5422" t="s">
        <v>34</v>
      </c>
      <c r="D5422">
        <v>22.749404830181199</v>
      </c>
      <c r="E5422">
        <v>7</v>
      </c>
      <c r="F5422">
        <v>1517</v>
      </c>
      <c r="G5422">
        <v>2</v>
      </c>
      <c r="H5422">
        <v>2</v>
      </c>
      <c r="I5422">
        <v>1986</v>
      </c>
      <c r="J5422">
        <v>1</v>
      </c>
      <c r="K5422">
        <v>0</v>
      </c>
      <c r="L5422">
        <v>1</v>
      </c>
      <c r="M5422">
        <v>14</v>
      </c>
      <c r="N5422" t="s">
        <v>41</v>
      </c>
      <c r="O5422" t="s">
        <v>32</v>
      </c>
      <c r="P5422">
        <v>7.6310164810960099</v>
      </c>
      <c r="Q5422">
        <v>1.29812674348927</v>
      </c>
      <c r="R5422">
        <v>6.5172019427158601</v>
      </c>
      <c r="S5422">
        <v>31</v>
      </c>
      <c r="T5422">
        <v>31</v>
      </c>
      <c r="U5422">
        <v>942.26238342924103</v>
      </c>
      <c r="V5422">
        <v>9.2287409360580098E-3</v>
      </c>
      <c r="W5422">
        <v>1727156.0323798601</v>
      </c>
      <c r="X5422" t="s">
        <v>38</v>
      </c>
      <c r="Y5422">
        <f>1-386-943-3493</f>
        <v>-4821</v>
      </c>
    </row>
    <row r="5423" spans="1:25" x14ac:dyDescent="0.35">
      <c r="A5423">
        <v>35.191201604208601</v>
      </c>
      <c r="B5423">
        <v>-116.618072502244</v>
      </c>
      <c r="C5423" t="s">
        <v>29</v>
      </c>
      <c r="D5423">
        <v>38.192778364003097</v>
      </c>
      <c r="E5423">
        <v>4</v>
      </c>
      <c r="F5423">
        <v>3391</v>
      </c>
      <c r="G5423">
        <v>4</v>
      </c>
      <c r="H5423">
        <v>1</v>
      </c>
      <c r="I5423">
        <v>1960</v>
      </c>
      <c r="J5423">
        <v>0</v>
      </c>
      <c r="K5423">
        <v>1</v>
      </c>
      <c r="L5423">
        <v>1</v>
      </c>
      <c r="M5423">
        <v>9</v>
      </c>
      <c r="N5423" t="s">
        <v>35</v>
      </c>
      <c r="O5423" t="s">
        <v>27</v>
      </c>
      <c r="P5423">
        <v>7.4744983986887901</v>
      </c>
      <c r="Q5423">
        <v>1.53002101106072</v>
      </c>
      <c r="R5423">
        <v>0.39640190253151902</v>
      </c>
      <c r="S5423">
        <v>144</v>
      </c>
      <c r="T5423">
        <v>27</v>
      </c>
      <c r="U5423">
        <v>207.44756295917699</v>
      </c>
      <c r="V5423">
        <v>2.6540843409023798E-3</v>
      </c>
      <c r="W5423">
        <v>1007347.50833202</v>
      </c>
      <c r="X5423" t="s">
        <v>42</v>
      </c>
      <c r="Y5423">
        <f>1-905-776-4070</f>
        <v>-5750</v>
      </c>
    </row>
    <row r="5424" spans="1:25" x14ac:dyDescent="0.35">
      <c r="A5424">
        <v>39.785587766820598</v>
      </c>
      <c r="B5424">
        <v>-118.61341279067</v>
      </c>
      <c r="C5424" t="s">
        <v>29</v>
      </c>
      <c r="D5424">
        <v>9.7402129859010191</v>
      </c>
      <c r="E5424">
        <v>5</v>
      </c>
      <c r="F5424">
        <v>3291</v>
      </c>
      <c r="G5424">
        <v>3</v>
      </c>
      <c r="H5424">
        <v>3</v>
      </c>
      <c r="I5424">
        <v>1986</v>
      </c>
      <c r="J5424">
        <v>0</v>
      </c>
      <c r="K5424">
        <v>0</v>
      </c>
      <c r="L5424">
        <v>0</v>
      </c>
      <c r="M5424">
        <v>2</v>
      </c>
      <c r="N5424" t="s">
        <v>26</v>
      </c>
      <c r="O5424" t="s">
        <v>27</v>
      </c>
      <c r="P5424">
        <v>12.181324336185099</v>
      </c>
      <c r="Q5424">
        <v>2.1951495070193601</v>
      </c>
      <c r="R5424">
        <v>4.8971925358925903</v>
      </c>
      <c r="S5424">
        <v>175</v>
      </c>
      <c r="T5424">
        <v>36</v>
      </c>
      <c r="U5424">
        <v>944.89421160858205</v>
      </c>
      <c r="V5424">
        <v>6.0771801883925799E-4</v>
      </c>
      <c r="W5424">
        <v>3440553.50761203</v>
      </c>
      <c r="X5424" t="s">
        <v>44</v>
      </c>
      <c r="Y5424">
        <f>1-614-980-2207</f>
        <v>-3800</v>
      </c>
    </row>
    <row r="5425" spans="1:25" x14ac:dyDescent="0.35">
      <c r="A5425">
        <v>37.973635749141103</v>
      </c>
      <c r="B5425">
        <v>-121.688076407718</v>
      </c>
      <c r="C5425" t="s">
        <v>25</v>
      </c>
      <c r="D5425">
        <v>31.595206321826499</v>
      </c>
      <c r="E5425">
        <v>1</v>
      </c>
      <c r="F5425">
        <v>4419</v>
      </c>
      <c r="G5425">
        <v>2</v>
      </c>
      <c r="H5425">
        <v>3</v>
      </c>
      <c r="I5425">
        <v>2019</v>
      </c>
      <c r="J5425">
        <v>1</v>
      </c>
      <c r="K5425">
        <v>0</v>
      </c>
      <c r="L5425">
        <v>1</v>
      </c>
      <c r="M5425">
        <v>8</v>
      </c>
      <c r="N5425" t="s">
        <v>35</v>
      </c>
      <c r="O5425" t="s">
        <v>32</v>
      </c>
      <c r="P5425">
        <v>6.9715443042958896</v>
      </c>
      <c r="Q5425">
        <v>2.3837013730866299</v>
      </c>
      <c r="R5425">
        <v>5.5415832372901503</v>
      </c>
      <c r="S5425">
        <v>51</v>
      </c>
      <c r="T5425">
        <v>72</v>
      </c>
      <c r="U5425">
        <v>621.57891406973397</v>
      </c>
      <c r="V5425">
        <v>1.8103643358225801E-3</v>
      </c>
      <c r="W5425">
        <v>3039720.4615756599</v>
      </c>
      <c r="X5425" t="s">
        <v>42</v>
      </c>
      <c r="Y5425">
        <f>1-902-996-8053</f>
        <v>-9950</v>
      </c>
    </row>
    <row r="5426" spans="1:25" x14ac:dyDescent="0.35">
      <c r="A5426">
        <v>40.353485478189498</v>
      </c>
      <c r="B5426">
        <v>-124.071794637897</v>
      </c>
      <c r="C5426" t="s">
        <v>25</v>
      </c>
      <c r="D5426">
        <v>28.649010746818899</v>
      </c>
      <c r="E5426">
        <v>4</v>
      </c>
      <c r="F5426">
        <v>4575</v>
      </c>
      <c r="G5426">
        <v>5</v>
      </c>
      <c r="H5426">
        <v>1</v>
      </c>
      <c r="I5426">
        <v>1980</v>
      </c>
      <c r="J5426">
        <v>1</v>
      </c>
      <c r="K5426">
        <v>0</v>
      </c>
      <c r="L5426">
        <v>1</v>
      </c>
      <c r="M5426">
        <v>13</v>
      </c>
      <c r="N5426" t="s">
        <v>37</v>
      </c>
      <c r="O5426" t="s">
        <v>30</v>
      </c>
      <c r="P5426">
        <v>14.552462173710399</v>
      </c>
      <c r="Q5426">
        <v>1.1071735411359001</v>
      </c>
      <c r="R5426">
        <v>6.3452853483833298</v>
      </c>
      <c r="S5426">
        <v>29</v>
      </c>
      <c r="T5426">
        <v>32</v>
      </c>
      <c r="U5426">
        <v>217.463431295611</v>
      </c>
      <c r="V5426">
        <v>2.8415300546448001E-3</v>
      </c>
      <c r="W5426">
        <v>1386762.63567281</v>
      </c>
      <c r="X5426" t="s">
        <v>31</v>
      </c>
      <c r="Y5426">
        <f>1-349-918-7308</f>
        <v>-8574</v>
      </c>
    </row>
    <row r="5427" spans="1:25" x14ac:dyDescent="0.35">
      <c r="A5427">
        <v>36.480468113989602</v>
      </c>
      <c r="B5427">
        <v>-119.565245482498</v>
      </c>
      <c r="C5427" t="s">
        <v>34</v>
      </c>
      <c r="D5427">
        <v>13.632693438869</v>
      </c>
      <c r="E5427">
        <v>4</v>
      </c>
      <c r="F5427">
        <v>3696</v>
      </c>
      <c r="G5427">
        <v>1</v>
      </c>
      <c r="H5427">
        <v>3</v>
      </c>
      <c r="I5427">
        <v>1955</v>
      </c>
      <c r="J5427">
        <v>0</v>
      </c>
      <c r="K5427">
        <v>1</v>
      </c>
      <c r="L5427">
        <v>1</v>
      </c>
      <c r="M5427">
        <v>10</v>
      </c>
      <c r="N5427" t="s">
        <v>41</v>
      </c>
      <c r="O5427" t="s">
        <v>27</v>
      </c>
      <c r="P5427">
        <v>11.6902826660467</v>
      </c>
      <c r="Q5427">
        <v>0.90527017017910305</v>
      </c>
      <c r="R5427">
        <v>0.93032225906561605</v>
      </c>
      <c r="S5427">
        <v>44</v>
      </c>
      <c r="T5427">
        <v>43</v>
      </c>
      <c r="U5427">
        <v>591.26701914283501</v>
      </c>
      <c r="V5427">
        <v>2.7056277056276999E-3</v>
      </c>
      <c r="W5427">
        <v>2412836.73383231</v>
      </c>
      <c r="X5427" t="s">
        <v>33</v>
      </c>
      <c r="Y5427">
        <f>1-250-395-8561</f>
        <v>-9205</v>
      </c>
    </row>
    <row r="5428" spans="1:25" x14ac:dyDescent="0.35">
      <c r="A5428">
        <v>39.535656571776101</v>
      </c>
      <c r="B5428">
        <v>-117.612455259794</v>
      </c>
      <c r="C5428" t="s">
        <v>34</v>
      </c>
      <c r="D5428">
        <v>49.742907001168703</v>
      </c>
      <c r="E5428">
        <v>7</v>
      </c>
      <c r="F5428">
        <v>3294</v>
      </c>
      <c r="G5428">
        <v>5</v>
      </c>
      <c r="H5428">
        <v>1</v>
      </c>
      <c r="I5428">
        <v>1967</v>
      </c>
      <c r="J5428">
        <v>1</v>
      </c>
      <c r="K5428">
        <v>1</v>
      </c>
      <c r="L5428">
        <v>0</v>
      </c>
      <c r="M5428">
        <v>11</v>
      </c>
      <c r="N5428" t="s">
        <v>26</v>
      </c>
      <c r="O5428" t="s">
        <v>27</v>
      </c>
      <c r="P5428">
        <v>11.108678549747699</v>
      </c>
      <c r="Q5428">
        <v>1.24054373635974</v>
      </c>
      <c r="R5428">
        <v>8.0430899237997</v>
      </c>
      <c r="S5428">
        <v>189</v>
      </c>
      <c r="T5428">
        <v>75</v>
      </c>
      <c r="U5428">
        <v>278.13267344101098</v>
      </c>
      <c r="V5428">
        <v>3.3394049787492399E-3</v>
      </c>
      <c r="W5428">
        <v>1293648.7025645999</v>
      </c>
      <c r="X5428" t="s">
        <v>33</v>
      </c>
      <c r="Y5428">
        <f>1-593-418-1908</f>
        <v>-2918</v>
      </c>
    </row>
    <row r="5429" spans="1:25" x14ac:dyDescent="0.35">
      <c r="A5429">
        <v>37.192850900751701</v>
      </c>
      <c r="B5429">
        <v>-118.32163498885799</v>
      </c>
      <c r="C5429" t="s">
        <v>25</v>
      </c>
      <c r="D5429">
        <v>22.593663927258401</v>
      </c>
      <c r="E5429">
        <v>2</v>
      </c>
      <c r="F5429">
        <v>1251</v>
      </c>
      <c r="G5429">
        <v>3</v>
      </c>
      <c r="H5429">
        <v>2</v>
      </c>
      <c r="I5429">
        <v>1976</v>
      </c>
      <c r="J5429">
        <v>1</v>
      </c>
      <c r="K5429">
        <v>1</v>
      </c>
      <c r="L5429">
        <v>0</v>
      </c>
      <c r="M5429">
        <v>4</v>
      </c>
      <c r="N5429" t="s">
        <v>41</v>
      </c>
      <c r="O5429" t="s">
        <v>27</v>
      </c>
      <c r="P5429">
        <v>6.9542807333983898</v>
      </c>
      <c r="Q5429">
        <v>0.92916979905069097</v>
      </c>
      <c r="R5429">
        <v>2.4113469254607902</v>
      </c>
      <c r="S5429">
        <v>7</v>
      </c>
      <c r="T5429">
        <v>45</v>
      </c>
      <c r="U5429">
        <v>210.11421731658999</v>
      </c>
      <c r="V5429">
        <v>3.1974420463629001E-3</v>
      </c>
      <c r="W5429">
        <v>599150.23262132704</v>
      </c>
      <c r="X5429" t="s">
        <v>33</v>
      </c>
      <c r="Y5429">
        <f>1-778-854-9866</f>
        <v>-11497</v>
      </c>
    </row>
    <row r="5430" spans="1:25" x14ac:dyDescent="0.35">
      <c r="A5430">
        <v>37.631327877441301</v>
      </c>
      <c r="B5430">
        <v>-115.484454127395</v>
      </c>
      <c r="C5430" t="s">
        <v>25</v>
      </c>
      <c r="D5430">
        <v>1.7980731866733799</v>
      </c>
      <c r="E5430">
        <v>8</v>
      </c>
      <c r="F5430">
        <v>4136</v>
      </c>
      <c r="G5430">
        <v>4</v>
      </c>
      <c r="H5430">
        <v>2</v>
      </c>
      <c r="I5430">
        <v>1983</v>
      </c>
      <c r="J5430">
        <v>1</v>
      </c>
      <c r="K5430">
        <v>0</v>
      </c>
      <c r="L5430">
        <v>1</v>
      </c>
      <c r="M5430">
        <v>11</v>
      </c>
      <c r="N5430" t="s">
        <v>37</v>
      </c>
      <c r="O5430" t="s">
        <v>32</v>
      </c>
      <c r="P5430">
        <v>12.323129585644599</v>
      </c>
      <c r="Q5430">
        <v>2.4890850161835201</v>
      </c>
      <c r="R5430">
        <v>0.34334605909597199</v>
      </c>
      <c r="S5430">
        <v>19</v>
      </c>
      <c r="T5430">
        <v>55</v>
      </c>
      <c r="U5430">
        <v>876.87048063378302</v>
      </c>
      <c r="V5430">
        <v>2.6595744680850998E-3</v>
      </c>
      <c r="W5430">
        <v>3994128.58131692</v>
      </c>
      <c r="X5430" t="s">
        <v>36</v>
      </c>
      <c r="Y5430">
        <f>1-785-205-3350</f>
        <v>-4339</v>
      </c>
    </row>
    <row r="5431" spans="1:25" x14ac:dyDescent="0.35">
      <c r="A5431">
        <v>34.270371367447702</v>
      </c>
      <c r="B5431">
        <v>-120.94008597831601</v>
      </c>
      <c r="C5431" t="s">
        <v>29</v>
      </c>
      <c r="D5431">
        <v>12.4171298427467</v>
      </c>
      <c r="E5431">
        <v>1</v>
      </c>
      <c r="F5431">
        <v>1652</v>
      </c>
      <c r="G5431">
        <v>3</v>
      </c>
      <c r="H5431">
        <v>2</v>
      </c>
      <c r="I5431">
        <v>1995</v>
      </c>
      <c r="J5431">
        <v>0</v>
      </c>
      <c r="K5431">
        <v>0</v>
      </c>
      <c r="L5431">
        <v>1</v>
      </c>
      <c r="M5431">
        <v>13</v>
      </c>
      <c r="N5431" t="s">
        <v>35</v>
      </c>
      <c r="O5431" t="s">
        <v>32</v>
      </c>
      <c r="P5431">
        <v>6.80734891661674</v>
      </c>
      <c r="Q5431">
        <v>1.0486636830740701</v>
      </c>
      <c r="R5431">
        <v>6.1068024225162496</v>
      </c>
      <c r="S5431">
        <v>189</v>
      </c>
      <c r="T5431">
        <v>39</v>
      </c>
      <c r="U5431">
        <v>789.535720288265</v>
      </c>
      <c r="V5431">
        <v>7.8692493946731206E-3</v>
      </c>
      <c r="W5431">
        <v>1488463.37688088</v>
      </c>
      <c r="X5431" t="s">
        <v>36</v>
      </c>
      <c r="Y5431">
        <f>1-858-490-5888</f>
        <v>-7235</v>
      </c>
    </row>
    <row r="5432" spans="1:25" x14ac:dyDescent="0.35">
      <c r="A5432">
        <v>37.673284083220402</v>
      </c>
      <c r="B5432">
        <v>-123.092414873674</v>
      </c>
      <c r="C5432" t="s">
        <v>29</v>
      </c>
      <c r="D5432">
        <v>7.7360456392381396</v>
      </c>
      <c r="E5432">
        <v>6</v>
      </c>
      <c r="F5432">
        <v>4245</v>
      </c>
      <c r="G5432">
        <v>3</v>
      </c>
      <c r="H5432">
        <v>3</v>
      </c>
      <c r="I5432">
        <v>1960</v>
      </c>
      <c r="J5432">
        <v>1</v>
      </c>
      <c r="K5432">
        <v>1</v>
      </c>
      <c r="L5432">
        <v>0</v>
      </c>
      <c r="M5432">
        <v>7</v>
      </c>
      <c r="N5432" t="s">
        <v>26</v>
      </c>
      <c r="O5432" t="s">
        <v>30</v>
      </c>
      <c r="P5432">
        <v>13.457365299325</v>
      </c>
      <c r="Q5432">
        <v>1.8501732189794999</v>
      </c>
      <c r="R5432">
        <v>4.1804227003798999</v>
      </c>
      <c r="S5432">
        <v>68</v>
      </c>
      <c r="T5432">
        <v>71</v>
      </c>
      <c r="U5432">
        <v>632.49516718018697</v>
      </c>
      <c r="V5432">
        <v>1.64899882214369E-3</v>
      </c>
      <c r="W5432">
        <v>3056302.0609585298</v>
      </c>
      <c r="X5432" t="s">
        <v>31</v>
      </c>
      <c r="Y5432">
        <f>1-808-783-4703</f>
        <v>-6293</v>
      </c>
    </row>
    <row r="5433" spans="1:25" x14ac:dyDescent="0.35">
      <c r="A5433">
        <v>35.5986485859057</v>
      </c>
      <c r="B5433">
        <v>-122.539050722954</v>
      </c>
      <c r="C5433" t="s">
        <v>34</v>
      </c>
      <c r="D5433">
        <v>4.68097846880885</v>
      </c>
      <c r="E5433">
        <v>0</v>
      </c>
      <c r="F5433">
        <v>3217</v>
      </c>
      <c r="G5433">
        <v>2</v>
      </c>
      <c r="H5433">
        <v>3</v>
      </c>
      <c r="I5433">
        <v>1973</v>
      </c>
      <c r="J5433">
        <v>0</v>
      </c>
      <c r="K5433">
        <v>0</v>
      </c>
      <c r="L5433">
        <v>0</v>
      </c>
      <c r="M5433">
        <v>12</v>
      </c>
      <c r="N5433" t="s">
        <v>41</v>
      </c>
      <c r="O5433" t="s">
        <v>32</v>
      </c>
      <c r="P5433">
        <v>11.1006207033815</v>
      </c>
      <c r="Q5433">
        <v>2.1039688518978399</v>
      </c>
      <c r="R5433">
        <v>3.5189872507904099</v>
      </c>
      <c r="S5433">
        <v>88</v>
      </c>
      <c r="T5433">
        <v>78</v>
      </c>
      <c r="U5433">
        <v>325.08510898211102</v>
      </c>
      <c r="V5433">
        <v>3.73018340068386E-3</v>
      </c>
      <c r="W5433">
        <v>1179812.9052178599</v>
      </c>
      <c r="X5433" t="s">
        <v>42</v>
      </c>
      <c r="Y5433">
        <f>1-897-235-4961</f>
        <v>-6092</v>
      </c>
    </row>
    <row r="5434" spans="1:25" x14ac:dyDescent="0.35">
      <c r="A5434">
        <v>41.9237269777772</v>
      </c>
      <c r="B5434">
        <v>-117.500127253587</v>
      </c>
      <c r="C5434" t="s">
        <v>25</v>
      </c>
      <c r="D5434">
        <v>7.2659833861305199</v>
      </c>
      <c r="E5434">
        <v>5</v>
      </c>
      <c r="F5434">
        <v>2463</v>
      </c>
      <c r="G5434">
        <v>3</v>
      </c>
      <c r="H5434">
        <v>1</v>
      </c>
      <c r="I5434">
        <v>1989</v>
      </c>
      <c r="J5434">
        <v>0</v>
      </c>
      <c r="K5434">
        <v>1</v>
      </c>
      <c r="L5434">
        <v>0</v>
      </c>
      <c r="M5434">
        <v>8</v>
      </c>
      <c r="N5434" t="s">
        <v>35</v>
      </c>
      <c r="O5434" t="s">
        <v>32</v>
      </c>
      <c r="P5434">
        <v>7.7084176782019096</v>
      </c>
      <c r="Q5434">
        <v>2.0938684794686702</v>
      </c>
      <c r="R5434">
        <v>5.7986561392837102</v>
      </c>
      <c r="S5434">
        <v>149</v>
      </c>
      <c r="T5434">
        <v>70</v>
      </c>
      <c r="U5434">
        <v>550.56991562635699</v>
      </c>
      <c r="V5434">
        <v>3.24807145757206E-3</v>
      </c>
      <c r="W5434">
        <v>1588551.6447749201</v>
      </c>
      <c r="X5434" t="s">
        <v>28</v>
      </c>
      <c r="Y5434">
        <f>1-772-180-8845</f>
        <v>-9796</v>
      </c>
    </row>
    <row r="5435" spans="1:25" x14ac:dyDescent="0.35">
      <c r="A5435">
        <v>39.609133621044599</v>
      </c>
      <c r="B5435">
        <v>-119.19971566698</v>
      </c>
      <c r="C5435" t="s">
        <v>29</v>
      </c>
      <c r="D5435">
        <v>22.9099404089757</v>
      </c>
      <c r="E5435">
        <v>0</v>
      </c>
      <c r="F5435">
        <v>1398</v>
      </c>
      <c r="G5435">
        <v>4</v>
      </c>
      <c r="H5435">
        <v>2</v>
      </c>
      <c r="I5435">
        <v>2013</v>
      </c>
      <c r="J5435">
        <v>0</v>
      </c>
      <c r="K5435">
        <v>1</v>
      </c>
      <c r="L5435">
        <v>0</v>
      </c>
      <c r="M5435">
        <v>12</v>
      </c>
      <c r="N5435" t="s">
        <v>37</v>
      </c>
      <c r="O5435" t="s">
        <v>32</v>
      </c>
      <c r="P5435">
        <v>9.5323263747919995</v>
      </c>
      <c r="Q5435">
        <v>2.0204021690634102</v>
      </c>
      <c r="R5435">
        <v>6.2237584255304199</v>
      </c>
      <c r="S5435">
        <v>195</v>
      </c>
      <c r="T5435">
        <v>67</v>
      </c>
      <c r="U5435">
        <v>799.18215777093303</v>
      </c>
      <c r="V5435">
        <v>8.58369098712446E-3</v>
      </c>
      <c r="W5435">
        <v>1500864.52457502</v>
      </c>
      <c r="X5435" t="s">
        <v>43</v>
      </c>
      <c r="Y5435">
        <f>1-946-471-2728</f>
        <v>-4144</v>
      </c>
    </row>
    <row r="5436" spans="1:25" x14ac:dyDescent="0.35">
      <c r="A5436">
        <v>38.768520715288297</v>
      </c>
      <c r="B5436">
        <v>-123.137881265407</v>
      </c>
      <c r="C5436" t="s">
        <v>34</v>
      </c>
      <c r="D5436">
        <v>14.048989105850699</v>
      </c>
      <c r="E5436">
        <v>2</v>
      </c>
      <c r="F5436">
        <v>1112</v>
      </c>
      <c r="G5436">
        <v>1</v>
      </c>
      <c r="H5436">
        <v>1</v>
      </c>
      <c r="I5436">
        <v>1993</v>
      </c>
      <c r="J5436">
        <v>1</v>
      </c>
      <c r="K5436">
        <v>1</v>
      </c>
      <c r="L5436">
        <v>0</v>
      </c>
      <c r="M5436">
        <v>9</v>
      </c>
      <c r="N5436" t="s">
        <v>41</v>
      </c>
      <c r="O5436" t="s">
        <v>30</v>
      </c>
      <c r="P5436">
        <v>4.0727734483388804</v>
      </c>
      <c r="Q5436">
        <v>0.72097937308622595</v>
      </c>
      <c r="R5436">
        <v>5.6432820535830901</v>
      </c>
      <c r="S5436">
        <v>188</v>
      </c>
      <c r="T5436">
        <v>69</v>
      </c>
      <c r="U5436">
        <v>240.54476393712901</v>
      </c>
      <c r="V5436">
        <v>8.0935251798561099E-3</v>
      </c>
      <c r="W5436">
        <v>445210.62001941499</v>
      </c>
      <c r="X5436" t="s">
        <v>39</v>
      </c>
      <c r="Y5436">
        <f>1-875-545-6981</f>
        <v>-8400</v>
      </c>
    </row>
    <row r="5437" spans="1:25" x14ac:dyDescent="0.35">
      <c r="A5437">
        <v>36.221687983039502</v>
      </c>
      <c r="B5437">
        <v>-122.36302954709799</v>
      </c>
      <c r="C5437" t="s">
        <v>34</v>
      </c>
      <c r="D5437">
        <v>20.808514991987199</v>
      </c>
      <c r="E5437">
        <v>4</v>
      </c>
      <c r="F5437">
        <v>1448</v>
      </c>
      <c r="G5437">
        <v>5</v>
      </c>
      <c r="H5437">
        <v>1</v>
      </c>
      <c r="I5437">
        <v>1968</v>
      </c>
      <c r="J5437">
        <v>1</v>
      </c>
      <c r="K5437">
        <v>0</v>
      </c>
      <c r="L5437">
        <v>0</v>
      </c>
      <c r="M5437">
        <v>4</v>
      </c>
      <c r="N5437" t="s">
        <v>35</v>
      </c>
      <c r="O5437" t="s">
        <v>32</v>
      </c>
      <c r="P5437">
        <v>12.783374998094899</v>
      </c>
      <c r="Q5437">
        <v>1.62806539599609</v>
      </c>
      <c r="R5437">
        <v>6.8980615004769801</v>
      </c>
      <c r="S5437">
        <v>40</v>
      </c>
      <c r="T5437">
        <v>37</v>
      </c>
      <c r="U5437">
        <v>584.15866207506497</v>
      </c>
      <c r="V5437">
        <v>2.7624309392265101E-3</v>
      </c>
      <c r="W5437">
        <v>1250359.7071170399</v>
      </c>
      <c r="X5437" t="s">
        <v>43</v>
      </c>
      <c r="Y5437">
        <f>1-728-640-4770</f>
        <v>-6137</v>
      </c>
    </row>
    <row r="5438" spans="1:25" x14ac:dyDescent="0.35">
      <c r="A5438">
        <v>40.7290881905014</v>
      </c>
      <c r="B5438">
        <v>-114.983466791144</v>
      </c>
      <c r="C5438" t="s">
        <v>34</v>
      </c>
      <c r="D5438">
        <v>46.160357013731797</v>
      </c>
      <c r="E5438">
        <v>5</v>
      </c>
      <c r="F5438">
        <v>828</v>
      </c>
      <c r="G5438">
        <v>3</v>
      </c>
      <c r="H5438">
        <v>3</v>
      </c>
      <c r="I5438">
        <v>1970</v>
      </c>
      <c r="J5438">
        <v>1</v>
      </c>
      <c r="K5438">
        <v>1</v>
      </c>
      <c r="L5438">
        <v>0</v>
      </c>
      <c r="M5438">
        <v>6</v>
      </c>
      <c r="N5438" t="s">
        <v>41</v>
      </c>
      <c r="O5438" t="s">
        <v>27</v>
      </c>
      <c r="P5438">
        <v>13.508486271792099</v>
      </c>
      <c r="Q5438">
        <v>1.46682963160612</v>
      </c>
      <c r="R5438">
        <v>4.49087312119552</v>
      </c>
      <c r="S5438">
        <v>185</v>
      </c>
      <c r="T5438">
        <v>33</v>
      </c>
      <c r="U5438">
        <v>236.12505143371001</v>
      </c>
      <c r="V5438">
        <v>7.2463768115942004E-3</v>
      </c>
      <c r="W5438">
        <v>506475.183784394</v>
      </c>
      <c r="X5438" t="s">
        <v>36</v>
      </c>
      <c r="Y5438">
        <f>1-710-827-6877</f>
        <v>-8413</v>
      </c>
    </row>
    <row r="5439" spans="1:25" x14ac:dyDescent="0.35">
      <c r="A5439">
        <v>33.192573048905203</v>
      </c>
      <c r="B5439">
        <v>-120.023786897726</v>
      </c>
      <c r="C5439" t="s">
        <v>34</v>
      </c>
      <c r="D5439">
        <v>37.349013480221998</v>
      </c>
      <c r="E5439">
        <v>4</v>
      </c>
      <c r="F5439">
        <v>996</v>
      </c>
      <c r="G5439">
        <v>2</v>
      </c>
      <c r="H5439">
        <v>3</v>
      </c>
      <c r="I5439">
        <v>2017</v>
      </c>
      <c r="J5439">
        <v>0</v>
      </c>
      <c r="K5439">
        <v>0</v>
      </c>
      <c r="L5439">
        <v>1</v>
      </c>
      <c r="M5439">
        <v>2</v>
      </c>
      <c r="N5439" t="s">
        <v>41</v>
      </c>
      <c r="O5439" t="s">
        <v>30</v>
      </c>
      <c r="P5439">
        <v>8.5247573084566106</v>
      </c>
      <c r="Q5439">
        <v>1.3239774095021299</v>
      </c>
      <c r="R5439">
        <v>1.7291187820971501</v>
      </c>
      <c r="S5439">
        <v>195</v>
      </c>
      <c r="T5439">
        <v>29</v>
      </c>
      <c r="U5439">
        <v>749.98319156331695</v>
      </c>
      <c r="V5439">
        <v>2.00803212851405E-3</v>
      </c>
      <c r="W5439">
        <v>962608.12732234597</v>
      </c>
      <c r="X5439" t="s">
        <v>33</v>
      </c>
      <c r="Y5439">
        <f>1-710-112-2804</f>
        <v>-3625</v>
      </c>
    </row>
    <row r="5440" spans="1:25" x14ac:dyDescent="0.35">
      <c r="A5440">
        <v>41.788800311245502</v>
      </c>
      <c r="B5440">
        <v>-115.180082946543</v>
      </c>
      <c r="C5440" t="s">
        <v>25</v>
      </c>
      <c r="D5440">
        <v>26.289676271047199</v>
      </c>
      <c r="E5440">
        <v>7</v>
      </c>
      <c r="F5440">
        <v>1661</v>
      </c>
      <c r="G5440">
        <v>1</v>
      </c>
      <c r="H5440">
        <v>2</v>
      </c>
      <c r="I5440">
        <v>2008</v>
      </c>
      <c r="J5440">
        <v>0</v>
      </c>
      <c r="K5440">
        <v>1</v>
      </c>
      <c r="L5440">
        <v>0</v>
      </c>
      <c r="M5440">
        <v>12</v>
      </c>
      <c r="N5440" t="s">
        <v>35</v>
      </c>
      <c r="O5440" t="s">
        <v>27</v>
      </c>
      <c r="P5440">
        <v>8.9451247466069006</v>
      </c>
      <c r="Q5440">
        <v>2.04918143897592</v>
      </c>
      <c r="R5440">
        <v>8.6866699686647895</v>
      </c>
      <c r="S5440">
        <v>53</v>
      </c>
      <c r="T5440">
        <v>64</v>
      </c>
      <c r="U5440">
        <v>498.31376480899598</v>
      </c>
      <c r="V5440">
        <v>7.2245635159542401E-3</v>
      </c>
      <c r="W5440">
        <v>1021625.24000346</v>
      </c>
      <c r="X5440" t="s">
        <v>36</v>
      </c>
      <c r="Y5440">
        <f>1-820-550-8359</f>
        <v>-9728</v>
      </c>
    </row>
    <row r="5441" spans="1:25" x14ac:dyDescent="0.35">
      <c r="A5441">
        <v>34.7526909080038</v>
      </c>
      <c r="B5441">
        <v>-114.93521705368001</v>
      </c>
      <c r="C5441" t="s">
        <v>34</v>
      </c>
      <c r="D5441">
        <v>22.844848680749401</v>
      </c>
      <c r="E5441">
        <v>9</v>
      </c>
      <c r="F5441">
        <v>927</v>
      </c>
      <c r="G5441">
        <v>3</v>
      </c>
      <c r="H5441">
        <v>3</v>
      </c>
      <c r="I5441">
        <v>2004</v>
      </c>
      <c r="J5441">
        <v>0</v>
      </c>
      <c r="K5441">
        <v>0</v>
      </c>
      <c r="L5441">
        <v>0</v>
      </c>
      <c r="M5441">
        <v>5</v>
      </c>
      <c r="N5441" t="s">
        <v>41</v>
      </c>
      <c r="O5441" t="s">
        <v>32</v>
      </c>
      <c r="P5441">
        <v>2.33550360810646</v>
      </c>
      <c r="Q5441">
        <v>0.89483075195836204</v>
      </c>
      <c r="R5441">
        <v>1.62319707715831</v>
      </c>
      <c r="S5441">
        <v>58</v>
      </c>
      <c r="T5441">
        <v>69</v>
      </c>
      <c r="U5441">
        <v>939.492855955148</v>
      </c>
      <c r="V5441">
        <v>5.3937432578209203E-3</v>
      </c>
      <c r="W5441">
        <v>1097337.89718211</v>
      </c>
      <c r="X5441" t="s">
        <v>42</v>
      </c>
      <c r="Y5441">
        <f>1-788-535-7622</f>
        <v>-8944</v>
      </c>
    </row>
    <row r="5442" spans="1:25" x14ac:dyDescent="0.35">
      <c r="A5442">
        <v>38.944243447224999</v>
      </c>
      <c r="B5442">
        <v>-122.60177504895699</v>
      </c>
      <c r="C5442" t="s">
        <v>29</v>
      </c>
      <c r="D5442">
        <v>7.0325174534272197</v>
      </c>
      <c r="E5442">
        <v>0</v>
      </c>
      <c r="F5442">
        <v>2655</v>
      </c>
      <c r="G5442">
        <v>5</v>
      </c>
      <c r="H5442">
        <v>2</v>
      </c>
      <c r="I5442">
        <v>1984</v>
      </c>
      <c r="J5442">
        <v>0</v>
      </c>
      <c r="K5442">
        <v>1</v>
      </c>
      <c r="L5442">
        <v>0</v>
      </c>
      <c r="M5442">
        <v>14</v>
      </c>
      <c r="N5442" t="s">
        <v>26</v>
      </c>
      <c r="O5442" t="s">
        <v>27</v>
      </c>
      <c r="P5442">
        <v>11.0756025233231</v>
      </c>
      <c r="Q5442">
        <v>1.1433437774753801</v>
      </c>
      <c r="R5442">
        <v>1.0156365163001899</v>
      </c>
      <c r="S5442">
        <v>114</v>
      </c>
      <c r="T5442">
        <v>57</v>
      </c>
      <c r="U5442">
        <v>508.84890847145698</v>
      </c>
      <c r="V5442">
        <v>5.27306967984934E-3</v>
      </c>
      <c r="W5442">
        <v>1848974.1254674101</v>
      </c>
      <c r="X5442" t="s">
        <v>28</v>
      </c>
      <c r="Y5442">
        <f>1-516-132-7080</f>
        <v>-7727</v>
      </c>
    </row>
    <row r="5443" spans="1:25" x14ac:dyDescent="0.35">
      <c r="A5443">
        <v>34.374220746174501</v>
      </c>
      <c r="B5443">
        <v>-122.442264520992</v>
      </c>
      <c r="C5443" t="s">
        <v>25</v>
      </c>
      <c r="D5443">
        <v>22.391417968218601</v>
      </c>
      <c r="E5443">
        <v>1</v>
      </c>
      <c r="F5443">
        <v>3845</v>
      </c>
      <c r="G5443">
        <v>4</v>
      </c>
      <c r="H5443">
        <v>2</v>
      </c>
      <c r="I5443">
        <v>1978</v>
      </c>
      <c r="J5443">
        <v>0</v>
      </c>
      <c r="K5443">
        <v>1</v>
      </c>
      <c r="L5443">
        <v>0</v>
      </c>
      <c r="M5443">
        <v>14</v>
      </c>
      <c r="N5443" t="s">
        <v>37</v>
      </c>
      <c r="O5443" t="s">
        <v>32</v>
      </c>
      <c r="P5443">
        <v>2.7441324749487199</v>
      </c>
      <c r="Q5443">
        <v>0.57357394656791205</v>
      </c>
      <c r="R5443">
        <v>1.06659516858713</v>
      </c>
      <c r="S5443">
        <v>56</v>
      </c>
      <c r="T5443">
        <v>58</v>
      </c>
      <c r="U5443">
        <v>856.52485196411305</v>
      </c>
      <c r="V5443">
        <v>3.6410923276983002E-3</v>
      </c>
      <c r="W5443">
        <v>3638894.7690445501</v>
      </c>
      <c r="X5443" t="s">
        <v>40</v>
      </c>
      <c r="Y5443">
        <f>1-479-874-5212</f>
        <v>-6564</v>
      </c>
    </row>
    <row r="5444" spans="1:25" x14ac:dyDescent="0.35">
      <c r="A5444">
        <v>37.040088966295698</v>
      </c>
      <c r="B5444">
        <v>-120.76894934212601</v>
      </c>
      <c r="C5444" t="s">
        <v>25</v>
      </c>
      <c r="D5444">
        <v>42.722184609799598</v>
      </c>
      <c r="E5444">
        <v>4</v>
      </c>
      <c r="F5444">
        <v>4676</v>
      </c>
      <c r="G5444">
        <v>1</v>
      </c>
      <c r="H5444">
        <v>2</v>
      </c>
      <c r="I5444">
        <v>2011</v>
      </c>
      <c r="J5444">
        <v>1</v>
      </c>
      <c r="K5444">
        <v>1</v>
      </c>
      <c r="L5444">
        <v>1</v>
      </c>
      <c r="M5444">
        <v>13</v>
      </c>
      <c r="N5444" t="s">
        <v>35</v>
      </c>
      <c r="O5444" t="s">
        <v>27</v>
      </c>
      <c r="P5444">
        <v>12.627388216310001</v>
      </c>
      <c r="Q5444">
        <v>2.4812567443586699</v>
      </c>
      <c r="R5444">
        <v>2.11503338965642</v>
      </c>
      <c r="S5444">
        <v>19</v>
      </c>
      <c r="T5444">
        <v>71</v>
      </c>
      <c r="U5444">
        <v>274.255202796753</v>
      </c>
      <c r="V5444">
        <v>2.7801539777587599E-3</v>
      </c>
      <c r="W5444">
        <v>1629685.28014442</v>
      </c>
      <c r="X5444" t="s">
        <v>42</v>
      </c>
      <c r="Y5444">
        <f>1-758-394-3785</f>
        <v>-4936</v>
      </c>
    </row>
    <row r="5445" spans="1:25" x14ac:dyDescent="0.35">
      <c r="A5445">
        <v>32.583883946269999</v>
      </c>
      <c r="B5445">
        <v>-120.58056645009199</v>
      </c>
      <c r="C5445" t="s">
        <v>29</v>
      </c>
      <c r="D5445">
        <v>11.6026659573442</v>
      </c>
      <c r="E5445">
        <v>6</v>
      </c>
      <c r="F5445">
        <v>1917</v>
      </c>
      <c r="G5445">
        <v>1</v>
      </c>
      <c r="H5445">
        <v>1</v>
      </c>
      <c r="I5445">
        <v>1975</v>
      </c>
      <c r="J5445">
        <v>0</v>
      </c>
      <c r="K5445">
        <v>0</v>
      </c>
      <c r="L5445">
        <v>0</v>
      </c>
      <c r="M5445">
        <v>6</v>
      </c>
      <c r="N5445" t="s">
        <v>37</v>
      </c>
      <c r="O5445" t="s">
        <v>30</v>
      </c>
      <c r="P5445">
        <v>9.6591880107537893</v>
      </c>
      <c r="Q5445">
        <v>1.06668993129831</v>
      </c>
      <c r="R5445">
        <v>2.81911351980908</v>
      </c>
      <c r="S5445">
        <v>176</v>
      </c>
      <c r="T5445">
        <v>23</v>
      </c>
      <c r="U5445">
        <v>209.14986936044801</v>
      </c>
      <c r="V5445">
        <v>3.1298904538341098E-3</v>
      </c>
      <c r="W5445">
        <v>503970.38188841002</v>
      </c>
      <c r="X5445" t="s">
        <v>38</v>
      </c>
      <c r="Y5445">
        <f>1-349-634-1291</f>
        <v>-2273</v>
      </c>
    </row>
    <row r="5446" spans="1:25" x14ac:dyDescent="0.35">
      <c r="A5446">
        <v>37.163153981252599</v>
      </c>
      <c r="B5446">
        <v>-122.900414673835</v>
      </c>
      <c r="C5446" t="s">
        <v>29</v>
      </c>
      <c r="D5446">
        <v>6.0127390494382196</v>
      </c>
      <c r="E5446">
        <v>6</v>
      </c>
      <c r="F5446">
        <v>3686</v>
      </c>
      <c r="G5446">
        <v>4</v>
      </c>
      <c r="H5446">
        <v>1</v>
      </c>
      <c r="I5446">
        <v>1971</v>
      </c>
      <c r="J5446">
        <v>1</v>
      </c>
      <c r="K5446">
        <v>0</v>
      </c>
      <c r="L5446">
        <v>1</v>
      </c>
      <c r="M5446">
        <v>12</v>
      </c>
      <c r="N5446" t="s">
        <v>41</v>
      </c>
      <c r="O5446" t="s">
        <v>30</v>
      </c>
      <c r="P5446">
        <v>12.193549629873999</v>
      </c>
      <c r="Q5446">
        <v>0.78859293049729196</v>
      </c>
      <c r="R5446">
        <v>0.51000132228324002</v>
      </c>
      <c r="S5446">
        <v>75</v>
      </c>
      <c r="T5446">
        <v>71</v>
      </c>
      <c r="U5446">
        <v>328.66458247870497</v>
      </c>
      <c r="V5446">
        <v>3.2555615843732999E-3</v>
      </c>
      <c r="W5446">
        <v>1602156.5458080301</v>
      </c>
      <c r="X5446" t="s">
        <v>40</v>
      </c>
      <c r="Y5446">
        <f>1-954-380-3922</f>
        <v>-5255</v>
      </c>
    </row>
    <row r="5447" spans="1:25" x14ac:dyDescent="0.35">
      <c r="A5447">
        <v>41.507819388222998</v>
      </c>
      <c r="B5447">
        <v>-124.376296011855</v>
      </c>
      <c r="C5447" t="s">
        <v>34</v>
      </c>
      <c r="D5447">
        <v>8.5607960436901092</v>
      </c>
      <c r="E5447">
        <v>4</v>
      </c>
      <c r="F5447">
        <v>4397</v>
      </c>
      <c r="G5447">
        <v>3</v>
      </c>
      <c r="H5447">
        <v>1</v>
      </c>
      <c r="I5447">
        <v>1979</v>
      </c>
      <c r="J5447">
        <v>0</v>
      </c>
      <c r="K5447">
        <v>0</v>
      </c>
      <c r="L5447">
        <v>0</v>
      </c>
      <c r="M5447">
        <v>4</v>
      </c>
      <c r="N5447" t="s">
        <v>37</v>
      </c>
      <c r="O5447" t="s">
        <v>30</v>
      </c>
      <c r="P5447">
        <v>13.4491038580896</v>
      </c>
      <c r="Q5447">
        <v>0.54076981350119002</v>
      </c>
      <c r="R5447">
        <v>4.0082504331172997</v>
      </c>
      <c r="S5447">
        <v>17</v>
      </c>
      <c r="T5447">
        <v>23</v>
      </c>
      <c r="U5447">
        <v>202.28022953530601</v>
      </c>
      <c r="V5447">
        <v>9.0971116670457105E-4</v>
      </c>
      <c r="W5447">
        <v>1058610.2609695301</v>
      </c>
      <c r="X5447" t="s">
        <v>33</v>
      </c>
      <c r="Y5447">
        <f>1-797-626-8128</f>
        <v>-9550</v>
      </c>
    </row>
    <row r="5448" spans="1:25" x14ac:dyDescent="0.35">
      <c r="A5448">
        <v>38.332487397614102</v>
      </c>
      <c r="B5448">
        <v>-116.518543311942</v>
      </c>
      <c r="C5448" t="s">
        <v>29</v>
      </c>
      <c r="D5448">
        <v>47.2499649628813</v>
      </c>
      <c r="E5448">
        <v>7</v>
      </c>
      <c r="F5448">
        <v>3043</v>
      </c>
      <c r="G5448">
        <v>2</v>
      </c>
      <c r="H5448">
        <v>1</v>
      </c>
      <c r="I5448">
        <v>1997</v>
      </c>
      <c r="J5448">
        <v>0</v>
      </c>
      <c r="K5448">
        <v>0</v>
      </c>
      <c r="L5448">
        <v>0</v>
      </c>
      <c r="M5448">
        <v>14</v>
      </c>
      <c r="N5448" t="s">
        <v>37</v>
      </c>
      <c r="O5448" t="s">
        <v>27</v>
      </c>
      <c r="P5448">
        <v>11.0534173082025</v>
      </c>
      <c r="Q5448">
        <v>1.6858951684584</v>
      </c>
      <c r="R5448">
        <v>2.6017517544311302</v>
      </c>
      <c r="S5448">
        <v>176</v>
      </c>
      <c r="T5448">
        <v>69</v>
      </c>
      <c r="U5448">
        <v>692.52318350000803</v>
      </c>
      <c r="V5448">
        <v>4.6007229707525398E-3</v>
      </c>
      <c r="W5448">
        <v>2242318.6922530499</v>
      </c>
      <c r="X5448" t="s">
        <v>31</v>
      </c>
      <c r="Y5448">
        <f>1-275-736-1442</f>
        <v>-2452</v>
      </c>
    </row>
    <row r="5449" spans="1:25" x14ac:dyDescent="0.35">
      <c r="A5449">
        <v>39.141969729771297</v>
      </c>
      <c r="B5449">
        <v>-118.28330175993</v>
      </c>
      <c r="C5449" t="s">
        <v>34</v>
      </c>
      <c r="D5449">
        <v>24.761932676283902</v>
      </c>
      <c r="E5449">
        <v>0</v>
      </c>
      <c r="F5449">
        <v>4505</v>
      </c>
      <c r="G5449">
        <v>2</v>
      </c>
      <c r="H5449">
        <v>2</v>
      </c>
      <c r="I5449">
        <v>2007</v>
      </c>
      <c r="J5449">
        <v>0</v>
      </c>
      <c r="K5449">
        <v>1</v>
      </c>
      <c r="L5449">
        <v>0</v>
      </c>
      <c r="M5449">
        <v>3</v>
      </c>
      <c r="N5449" t="s">
        <v>37</v>
      </c>
      <c r="O5449" t="s">
        <v>30</v>
      </c>
      <c r="P5449">
        <v>8.9828777566108098</v>
      </c>
      <c r="Q5449">
        <v>2.3801585627739898</v>
      </c>
      <c r="R5449">
        <v>8.3395543140884794</v>
      </c>
      <c r="S5449">
        <v>132</v>
      </c>
      <c r="T5449">
        <v>48</v>
      </c>
      <c r="U5449">
        <v>729.76942651524098</v>
      </c>
      <c r="V5449">
        <v>6.6592674805771295E-4</v>
      </c>
      <c r="W5449">
        <v>3617550.1583871501</v>
      </c>
      <c r="X5449" t="s">
        <v>28</v>
      </c>
      <c r="Y5449">
        <f>1-916-929-3212</f>
        <v>-5056</v>
      </c>
    </row>
    <row r="5450" spans="1:25" x14ac:dyDescent="0.35">
      <c r="A5450">
        <v>34.246687921035601</v>
      </c>
      <c r="B5450">
        <v>-122.967104405155</v>
      </c>
      <c r="C5450" t="s">
        <v>29</v>
      </c>
      <c r="D5450">
        <v>46.960607595937098</v>
      </c>
      <c r="E5450">
        <v>7</v>
      </c>
      <c r="F5450">
        <v>2972</v>
      </c>
      <c r="G5450">
        <v>5</v>
      </c>
      <c r="H5450">
        <v>2</v>
      </c>
      <c r="I5450">
        <v>2017</v>
      </c>
      <c r="J5450">
        <v>0</v>
      </c>
      <c r="K5450">
        <v>0</v>
      </c>
      <c r="L5450">
        <v>1</v>
      </c>
      <c r="M5450">
        <v>6</v>
      </c>
      <c r="N5450" t="s">
        <v>26</v>
      </c>
      <c r="O5450" t="s">
        <v>30</v>
      </c>
      <c r="P5450">
        <v>14.824128956815599</v>
      </c>
      <c r="Q5450">
        <v>0.75437808630908398</v>
      </c>
      <c r="R5450">
        <v>4.75150484468901</v>
      </c>
      <c r="S5450">
        <v>143</v>
      </c>
      <c r="T5450">
        <v>65</v>
      </c>
      <c r="U5450">
        <v>713.40963760700402</v>
      </c>
      <c r="V5450">
        <v>2.0188425302826302E-3</v>
      </c>
      <c r="W5450">
        <v>2532084.7932350198</v>
      </c>
      <c r="X5450" t="s">
        <v>39</v>
      </c>
      <c r="Y5450">
        <f>1-435-713-2331</f>
        <v>-3478</v>
      </c>
    </row>
    <row r="5451" spans="1:25" x14ac:dyDescent="0.35">
      <c r="A5451">
        <v>41.112098543472797</v>
      </c>
      <c r="B5451">
        <v>-121.522198230203</v>
      </c>
      <c r="C5451" t="s">
        <v>29</v>
      </c>
      <c r="D5451">
        <v>49.159108515513999</v>
      </c>
      <c r="E5451">
        <v>3</v>
      </c>
      <c r="F5451">
        <v>4084</v>
      </c>
      <c r="G5451">
        <v>2</v>
      </c>
      <c r="H5451">
        <v>1</v>
      </c>
      <c r="I5451">
        <v>2010</v>
      </c>
      <c r="J5451">
        <v>0</v>
      </c>
      <c r="K5451">
        <v>0</v>
      </c>
      <c r="L5451">
        <v>1</v>
      </c>
      <c r="M5451">
        <v>8</v>
      </c>
      <c r="N5451" t="s">
        <v>26</v>
      </c>
      <c r="O5451" t="s">
        <v>27</v>
      </c>
      <c r="P5451">
        <v>6.4290570939840999</v>
      </c>
      <c r="Q5451">
        <v>0.69047501796754096</v>
      </c>
      <c r="R5451">
        <v>3.5027745758399602</v>
      </c>
      <c r="S5451">
        <v>91</v>
      </c>
      <c r="T5451">
        <v>44</v>
      </c>
      <c r="U5451">
        <v>872.44792712748097</v>
      </c>
      <c r="V5451">
        <v>1.9588638589618E-3</v>
      </c>
      <c r="W5451">
        <v>3739305.52657458</v>
      </c>
      <c r="X5451" t="s">
        <v>33</v>
      </c>
      <c r="Y5451">
        <f>1-796-495-2246</f>
        <v>-3536</v>
      </c>
    </row>
    <row r="5452" spans="1:25" x14ac:dyDescent="0.35">
      <c r="A5452">
        <v>34.704734758635901</v>
      </c>
      <c r="B5452">
        <v>-117.393935021403</v>
      </c>
      <c r="C5452" t="s">
        <v>25</v>
      </c>
      <c r="D5452">
        <v>37.296541416158099</v>
      </c>
      <c r="E5452">
        <v>0</v>
      </c>
      <c r="F5452">
        <v>2545</v>
      </c>
      <c r="G5452">
        <v>3</v>
      </c>
      <c r="H5452">
        <v>2</v>
      </c>
      <c r="I5452">
        <v>1961</v>
      </c>
      <c r="J5452">
        <v>1</v>
      </c>
      <c r="K5452">
        <v>0</v>
      </c>
      <c r="L5452">
        <v>0</v>
      </c>
      <c r="M5452">
        <v>2</v>
      </c>
      <c r="N5452" t="s">
        <v>41</v>
      </c>
      <c r="O5452" t="s">
        <v>27</v>
      </c>
      <c r="P5452">
        <v>14.114262118069</v>
      </c>
      <c r="Q5452">
        <v>1.9371800522768301</v>
      </c>
      <c r="R5452">
        <v>1.6793876911168399</v>
      </c>
      <c r="S5452">
        <v>24</v>
      </c>
      <c r="T5452">
        <v>27</v>
      </c>
      <c r="U5452">
        <v>606.75297965156699</v>
      </c>
      <c r="V5452">
        <v>7.8585461689587401E-4</v>
      </c>
      <c r="W5452">
        <v>1777355.49747634</v>
      </c>
      <c r="X5452" t="s">
        <v>38</v>
      </c>
      <c r="Y5452">
        <f>1-629-171-2242</f>
        <v>-3041</v>
      </c>
    </row>
    <row r="5453" spans="1:25" x14ac:dyDescent="0.35">
      <c r="A5453">
        <v>32.756017771118998</v>
      </c>
      <c r="B5453">
        <v>-121.879159703567</v>
      </c>
      <c r="C5453" t="s">
        <v>29</v>
      </c>
      <c r="D5453">
        <v>38.524901286878098</v>
      </c>
      <c r="E5453">
        <v>1</v>
      </c>
      <c r="F5453">
        <v>1155</v>
      </c>
      <c r="G5453">
        <v>3</v>
      </c>
      <c r="H5453">
        <v>2</v>
      </c>
      <c r="I5453">
        <v>1971</v>
      </c>
      <c r="J5453">
        <v>0</v>
      </c>
      <c r="K5453">
        <v>1</v>
      </c>
      <c r="L5453">
        <v>0</v>
      </c>
      <c r="M5453">
        <v>9</v>
      </c>
      <c r="N5453" t="s">
        <v>35</v>
      </c>
      <c r="O5453" t="s">
        <v>32</v>
      </c>
      <c r="P5453">
        <v>3.0880267349428601</v>
      </c>
      <c r="Q5453">
        <v>1.2571449449844101</v>
      </c>
      <c r="R5453">
        <v>7.0624782052063297</v>
      </c>
      <c r="S5453">
        <v>199</v>
      </c>
      <c r="T5453">
        <v>56</v>
      </c>
      <c r="U5453">
        <v>675.79524043931497</v>
      </c>
      <c r="V5453">
        <v>7.7922077922077896E-3</v>
      </c>
      <c r="W5453">
        <v>966689.269218656</v>
      </c>
      <c r="X5453" t="s">
        <v>31</v>
      </c>
      <c r="Y5453">
        <f>1-483-301-8486</f>
        <v>-9269</v>
      </c>
    </row>
    <row r="5454" spans="1:25" x14ac:dyDescent="0.35">
      <c r="A5454">
        <v>33.756010557614999</v>
      </c>
      <c r="B5454">
        <v>-114.031190538486</v>
      </c>
      <c r="C5454" t="s">
        <v>29</v>
      </c>
      <c r="D5454">
        <v>43.736718493044897</v>
      </c>
      <c r="E5454">
        <v>6</v>
      </c>
      <c r="F5454">
        <v>2521</v>
      </c>
      <c r="G5454">
        <v>4</v>
      </c>
      <c r="H5454">
        <v>3</v>
      </c>
      <c r="I5454">
        <v>1972</v>
      </c>
      <c r="J5454">
        <v>0</v>
      </c>
      <c r="K5454">
        <v>0</v>
      </c>
      <c r="L5454">
        <v>1</v>
      </c>
      <c r="M5454">
        <v>10</v>
      </c>
      <c r="N5454" t="s">
        <v>35</v>
      </c>
      <c r="O5454" t="s">
        <v>32</v>
      </c>
      <c r="P5454">
        <v>12.818818721360101</v>
      </c>
      <c r="Q5454">
        <v>1.6021005863860001</v>
      </c>
      <c r="R5454">
        <v>8.96931542221858</v>
      </c>
      <c r="S5454">
        <v>22</v>
      </c>
      <c r="T5454">
        <v>70</v>
      </c>
      <c r="U5454">
        <v>725.71686892703406</v>
      </c>
      <c r="V5454">
        <v>3.9666798889329601E-3</v>
      </c>
      <c r="W5454">
        <v>2155588.7057635998</v>
      </c>
      <c r="X5454" t="s">
        <v>44</v>
      </c>
      <c r="Y5454">
        <f>1-278-438-2430</f>
        <v>-3145</v>
      </c>
    </row>
    <row r="5455" spans="1:25" x14ac:dyDescent="0.35">
      <c r="A5455">
        <v>35.176739352370703</v>
      </c>
      <c r="B5455">
        <v>-121.94727906216301</v>
      </c>
      <c r="C5455" t="s">
        <v>25</v>
      </c>
      <c r="D5455">
        <v>43.9009136680029</v>
      </c>
      <c r="E5455">
        <v>9</v>
      </c>
      <c r="F5455">
        <v>3084</v>
      </c>
      <c r="G5455">
        <v>3</v>
      </c>
      <c r="H5455">
        <v>1</v>
      </c>
      <c r="I5455">
        <v>2000</v>
      </c>
      <c r="J5455">
        <v>0</v>
      </c>
      <c r="K5455">
        <v>1</v>
      </c>
      <c r="L5455">
        <v>0</v>
      </c>
      <c r="M5455">
        <v>12</v>
      </c>
      <c r="N5455" t="s">
        <v>35</v>
      </c>
      <c r="O5455" t="s">
        <v>30</v>
      </c>
      <c r="P5455">
        <v>8.3915350773002899</v>
      </c>
      <c r="Q5455">
        <v>1.61250661745195</v>
      </c>
      <c r="R5455">
        <v>5.2588849522627399</v>
      </c>
      <c r="S5455">
        <v>185</v>
      </c>
      <c r="T5455">
        <v>70</v>
      </c>
      <c r="U5455">
        <v>845.68128506540597</v>
      </c>
      <c r="V5455">
        <v>3.8910505836575798E-3</v>
      </c>
      <c r="W5455">
        <v>2841154.1817931999</v>
      </c>
      <c r="X5455" t="s">
        <v>33</v>
      </c>
      <c r="Y5455">
        <f>1-881-676-6508</f>
        <v>-8064</v>
      </c>
    </row>
    <row r="5456" spans="1:25" x14ac:dyDescent="0.35">
      <c r="A5456">
        <v>36.280676690364302</v>
      </c>
      <c r="B5456">
        <v>-115.10321191643899</v>
      </c>
      <c r="C5456" t="s">
        <v>29</v>
      </c>
      <c r="D5456">
        <v>14.1749874147932</v>
      </c>
      <c r="E5456">
        <v>3</v>
      </c>
      <c r="F5456">
        <v>1728</v>
      </c>
      <c r="G5456">
        <v>4</v>
      </c>
      <c r="H5456">
        <v>1</v>
      </c>
      <c r="I5456">
        <v>1991</v>
      </c>
      <c r="J5456">
        <v>1</v>
      </c>
      <c r="K5456">
        <v>0</v>
      </c>
      <c r="L5456">
        <v>0</v>
      </c>
      <c r="M5456">
        <v>13</v>
      </c>
      <c r="N5456" t="s">
        <v>41</v>
      </c>
      <c r="O5456" t="s">
        <v>27</v>
      </c>
      <c r="P5456">
        <v>6.3754667951039501</v>
      </c>
      <c r="Q5456">
        <v>1.8631941085182899</v>
      </c>
      <c r="R5456">
        <v>9.4173572527326499</v>
      </c>
      <c r="S5456">
        <v>41</v>
      </c>
      <c r="T5456">
        <v>33</v>
      </c>
      <c r="U5456">
        <v>622.83477255775199</v>
      </c>
      <c r="V5456">
        <v>7.5231481481481399E-3</v>
      </c>
      <c r="W5456">
        <v>1343725.1308331301</v>
      </c>
      <c r="X5456" t="s">
        <v>33</v>
      </c>
      <c r="Y5456">
        <f>1-682-800-2487</f>
        <v>-3968</v>
      </c>
    </row>
    <row r="5457" spans="1:25" x14ac:dyDescent="0.35">
      <c r="A5457">
        <v>38.3094982997169</v>
      </c>
      <c r="B5457">
        <v>-120.894328326332</v>
      </c>
      <c r="C5457" t="s">
        <v>34</v>
      </c>
      <c r="D5457">
        <v>41.774029143801002</v>
      </c>
      <c r="E5457">
        <v>2</v>
      </c>
      <c r="F5457">
        <v>4525</v>
      </c>
      <c r="G5457">
        <v>5</v>
      </c>
      <c r="H5457">
        <v>1</v>
      </c>
      <c r="I5457">
        <v>2021</v>
      </c>
      <c r="J5457">
        <v>0</v>
      </c>
      <c r="K5457">
        <v>1</v>
      </c>
      <c r="L5457">
        <v>1</v>
      </c>
      <c r="M5457">
        <v>9</v>
      </c>
      <c r="N5457" t="s">
        <v>26</v>
      </c>
      <c r="O5457" t="s">
        <v>30</v>
      </c>
      <c r="P5457">
        <v>2.9249508387748899</v>
      </c>
      <c r="Q5457">
        <v>1.52513407340476</v>
      </c>
      <c r="R5457">
        <v>8.0127260004484793</v>
      </c>
      <c r="S5457">
        <v>36</v>
      </c>
      <c r="T5457">
        <v>43</v>
      </c>
      <c r="U5457">
        <v>252.68397457775399</v>
      </c>
      <c r="V5457">
        <v>1.9889502762430902E-3</v>
      </c>
      <c r="W5457">
        <v>1560962.2090276501</v>
      </c>
      <c r="X5457" t="s">
        <v>42</v>
      </c>
      <c r="Y5457">
        <f>1-479-476-6089</f>
        <v>-7043</v>
      </c>
    </row>
    <row r="5458" spans="1:25" x14ac:dyDescent="0.35">
      <c r="A5458">
        <v>39.681789466286098</v>
      </c>
      <c r="B5458">
        <v>-119.21194089833899</v>
      </c>
      <c r="C5458" t="s">
        <v>25</v>
      </c>
      <c r="D5458">
        <v>48.935259305163001</v>
      </c>
      <c r="E5458">
        <v>8</v>
      </c>
      <c r="F5458">
        <v>2376</v>
      </c>
      <c r="G5458">
        <v>3</v>
      </c>
      <c r="H5458">
        <v>1</v>
      </c>
      <c r="I5458">
        <v>2015</v>
      </c>
      <c r="J5458">
        <v>1</v>
      </c>
      <c r="K5458">
        <v>1</v>
      </c>
      <c r="L5458">
        <v>0</v>
      </c>
      <c r="M5458">
        <v>13</v>
      </c>
      <c r="N5458" t="s">
        <v>26</v>
      </c>
      <c r="O5458" t="s">
        <v>27</v>
      </c>
      <c r="P5458">
        <v>4.09093034184085</v>
      </c>
      <c r="Q5458">
        <v>0.86335928627158998</v>
      </c>
      <c r="R5458">
        <v>8.2984651962517404</v>
      </c>
      <c r="S5458">
        <v>18</v>
      </c>
      <c r="T5458">
        <v>54</v>
      </c>
      <c r="U5458">
        <v>613.53753091343003</v>
      </c>
      <c r="V5458">
        <v>5.4713804713804699E-3</v>
      </c>
      <c r="W5458">
        <v>1753590.8996552499</v>
      </c>
      <c r="X5458" t="s">
        <v>40</v>
      </c>
      <c r="Y5458">
        <f>1-885-335-1378</f>
        <v>-2597</v>
      </c>
    </row>
    <row r="5459" spans="1:25" x14ac:dyDescent="0.35">
      <c r="A5459">
        <v>40.6687083405332</v>
      </c>
      <c r="B5459">
        <v>-115.756624465041</v>
      </c>
      <c r="C5459" t="s">
        <v>25</v>
      </c>
      <c r="D5459">
        <v>46.861850508469601</v>
      </c>
      <c r="E5459">
        <v>2</v>
      </c>
      <c r="F5459">
        <v>4903</v>
      </c>
      <c r="G5459">
        <v>3</v>
      </c>
      <c r="H5459">
        <v>2</v>
      </c>
      <c r="I5459">
        <v>2014</v>
      </c>
      <c r="J5459">
        <v>1</v>
      </c>
      <c r="K5459">
        <v>1</v>
      </c>
      <c r="L5459">
        <v>1</v>
      </c>
      <c r="M5459">
        <v>10</v>
      </c>
      <c r="N5459" t="s">
        <v>35</v>
      </c>
      <c r="O5459" t="s">
        <v>30</v>
      </c>
      <c r="P5459">
        <v>13.716952156201501</v>
      </c>
      <c r="Q5459">
        <v>1.3482572356289999</v>
      </c>
      <c r="R5459">
        <v>5.4221724788994301</v>
      </c>
      <c r="S5459">
        <v>95</v>
      </c>
      <c r="T5459">
        <v>21</v>
      </c>
      <c r="U5459">
        <v>546.89657754719599</v>
      </c>
      <c r="V5459">
        <v>2.03956761166632E-3</v>
      </c>
      <c r="W5459">
        <v>3148268.6838166201</v>
      </c>
      <c r="X5459" t="s">
        <v>33</v>
      </c>
      <c r="Y5459">
        <f>1-455-673-9617</f>
        <v>-10744</v>
      </c>
    </row>
    <row r="5460" spans="1:25" x14ac:dyDescent="0.35">
      <c r="A5460">
        <v>39.936530029007699</v>
      </c>
      <c r="B5460">
        <v>-122.98379378241501</v>
      </c>
      <c r="C5460" t="s">
        <v>34</v>
      </c>
      <c r="D5460">
        <v>23.380510276578001</v>
      </c>
      <c r="E5460">
        <v>2</v>
      </c>
      <c r="F5460">
        <v>1701</v>
      </c>
      <c r="G5460">
        <v>2</v>
      </c>
      <c r="H5460">
        <v>3</v>
      </c>
      <c r="I5460">
        <v>1979</v>
      </c>
      <c r="J5460">
        <v>1</v>
      </c>
      <c r="K5460">
        <v>0</v>
      </c>
      <c r="L5460">
        <v>0</v>
      </c>
      <c r="M5460">
        <v>11</v>
      </c>
      <c r="N5460" t="s">
        <v>37</v>
      </c>
      <c r="O5460" t="s">
        <v>27</v>
      </c>
      <c r="P5460">
        <v>4.4011855848949999</v>
      </c>
      <c r="Q5460">
        <v>0.66324325110127402</v>
      </c>
      <c r="R5460">
        <v>8.7563605286591297</v>
      </c>
      <c r="S5460">
        <v>141</v>
      </c>
      <c r="T5460">
        <v>50</v>
      </c>
      <c r="U5460">
        <v>986.93710537850802</v>
      </c>
      <c r="V5460">
        <v>6.4667842445620197E-3</v>
      </c>
      <c r="W5460">
        <v>1733757.9283878801</v>
      </c>
      <c r="X5460" t="s">
        <v>44</v>
      </c>
      <c r="Y5460">
        <f>1-507-854-2572</f>
        <v>-3932</v>
      </c>
    </row>
    <row r="5461" spans="1:25" x14ac:dyDescent="0.35">
      <c r="A5461">
        <v>39.288844935017998</v>
      </c>
      <c r="B5461">
        <v>-122.144867928314</v>
      </c>
      <c r="C5461" t="s">
        <v>29</v>
      </c>
      <c r="D5461">
        <v>6.0331840192118502</v>
      </c>
      <c r="E5461">
        <v>0</v>
      </c>
      <c r="F5461">
        <v>546</v>
      </c>
      <c r="G5461">
        <v>4</v>
      </c>
      <c r="H5461">
        <v>1</v>
      </c>
      <c r="I5461">
        <v>1977</v>
      </c>
      <c r="J5461">
        <v>0</v>
      </c>
      <c r="K5461">
        <v>0</v>
      </c>
      <c r="L5461">
        <v>1</v>
      </c>
      <c r="M5461">
        <v>14</v>
      </c>
      <c r="N5461" t="s">
        <v>35</v>
      </c>
      <c r="O5461" t="s">
        <v>32</v>
      </c>
      <c r="P5461">
        <v>4.3554578923267204</v>
      </c>
      <c r="Q5461">
        <v>1.88694591719621</v>
      </c>
      <c r="R5461">
        <v>2.0696144162217101</v>
      </c>
      <c r="S5461">
        <v>115</v>
      </c>
      <c r="T5461">
        <v>44</v>
      </c>
      <c r="U5461">
        <v>797.38506184159996</v>
      </c>
      <c r="V5461">
        <v>2.5641025641025599E-2</v>
      </c>
      <c r="W5461">
        <v>590506.022190933</v>
      </c>
      <c r="X5461" t="s">
        <v>38</v>
      </c>
      <c r="Y5461">
        <f>1-721-878-7963</f>
        <v>-9561</v>
      </c>
    </row>
    <row r="5462" spans="1:25" x14ac:dyDescent="0.35">
      <c r="A5462">
        <v>35.063671444939601</v>
      </c>
      <c r="B5462">
        <v>-119.841745505904</v>
      </c>
      <c r="C5462" t="s">
        <v>29</v>
      </c>
      <c r="D5462">
        <v>36.767177362768699</v>
      </c>
      <c r="E5462">
        <v>3</v>
      </c>
      <c r="F5462">
        <v>1888</v>
      </c>
      <c r="G5462">
        <v>1</v>
      </c>
      <c r="H5462">
        <v>3</v>
      </c>
      <c r="I5462">
        <v>1971</v>
      </c>
      <c r="J5462">
        <v>0</v>
      </c>
      <c r="K5462">
        <v>0</v>
      </c>
      <c r="L5462">
        <v>0</v>
      </c>
      <c r="M5462">
        <v>11</v>
      </c>
      <c r="N5462" t="s">
        <v>41</v>
      </c>
      <c r="O5462" t="s">
        <v>27</v>
      </c>
      <c r="P5462">
        <v>10.6294049511264</v>
      </c>
      <c r="Q5462">
        <v>2.4841506243617602</v>
      </c>
      <c r="R5462">
        <v>2.5593579298383</v>
      </c>
      <c r="S5462">
        <v>56</v>
      </c>
      <c r="T5462">
        <v>61</v>
      </c>
      <c r="U5462">
        <v>637.87027773460102</v>
      </c>
      <c r="V5462">
        <v>5.8262711864406702E-3</v>
      </c>
      <c r="W5462">
        <v>1228540.57921129</v>
      </c>
      <c r="X5462" t="s">
        <v>36</v>
      </c>
      <c r="Y5462">
        <f>1-897-205-3838</f>
        <v>-4939</v>
      </c>
    </row>
    <row r="5463" spans="1:25" x14ac:dyDescent="0.35">
      <c r="A5463">
        <v>35.079160468628402</v>
      </c>
      <c r="B5463">
        <v>-114.311430100854</v>
      </c>
      <c r="C5463" t="s">
        <v>34</v>
      </c>
      <c r="D5463">
        <v>10.467623057789099</v>
      </c>
      <c r="E5463">
        <v>6</v>
      </c>
      <c r="F5463">
        <v>3656</v>
      </c>
      <c r="G5463">
        <v>3</v>
      </c>
      <c r="H5463">
        <v>1</v>
      </c>
      <c r="I5463">
        <v>2019</v>
      </c>
      <c r="J5463">
        <v>1</v>
      </c>
      <c r="K5463">
        <v>0</v>
      </c>
      <c r="L5463">
        <v>0</v>
      </c>
      <c r="M5463">
        <v>14</v>
      </c>
      <c r="N5463" t="s">
        <v>35</v>
      </c>
      <c r="O5463" t="s">
        <v>30</v>
      </c>
      <c r="P5463">
        <v>7.0181741597580798</v>
      </c>
      <c r="Q5463">
        <v>2.3442069057963701</v>
      </c>
      <c r="R5463">
        <v>1.1683784479739101</v>
      </c>
      <c r="S5463">
        <v>124</v>
      </c>
      <c r="T5463">
        <v>67</v>
      </c>
      <c r="U5463">
        <v>640.609158645712</v>
      </c>
      <c r="V5463">
        <v>3.82932166301969E-3</v>
      </c>
      <c r="W5463">
        <v>2621427.3361881799</v>
      </c>
      <c r="X5463" t="s">
        <v>40</v>
      </c>
      <c r="Y5463">
        <f>1-450-127-5296</f>
        <v>-5872</v>
      </c>
    </row>
    <row r="5464" spans="1:25" x14ac:dyDescent="0.35">
      <c r="A5464">
        <v>35.803166676114998</v>
      </c>
      <c r="B5464">
        <v>-117.272152258253</v>
      </c>
      <c r="C5464" t="s">
        <v>34</v>
      </c>
      <c r="D5464">
        <v>49.750376375723</v>
      </c>
      <c r="E5464">
        <v>5</v>
      </c>
      <c r="F5464">
        <v>2490</v>
      </c>
      <c r="G5464">
        <v>4</v>
      </c>
      <c r="H5464">
        <v>1</v>
      </c>
      <c r="I5464">
        <v>1962</v>
      </c>
      <c r="J5464">
        <v>1</v>
      </c>
      <c r="K5464">
        <v>0</v>
      </c>
      <c r="L5464">
        <v>0</v>
      </c>
      <c r="M5464">
        <v>7</v>
      </c>
      <c r="N5464" t="s">
        <v>26</v>
      </c>
      <c r="O5464" t="s">
        <v>32</v>
      </c>
      <c r="P5464">
        <v>3.3870925919767001</v>
      </c>
      <c r="Q5464">
        <v>2.4225537297858799</v>
      </c>
      <c r="R5464">
        <v>7.8499886455082697</v>
      </c>
      <c r="S5464">
        <v>139</v>
      </c>
      <c r="T5464">
        <v>35</v>
      </c>
      <c r="U5464">
        <v>779.42689300769905</v>
      </c>
      <c r="V5464">
        <v>2.8112449799196702E-3</v>
      </c>
      <c r="W5464">
        <v>2097363.3443410899</v>
      </c>
      <c r="X5464" t="s">
        <v>44</v>
      </c>
      <c r="Y5464">
        <f>1-775-920-7202</f>
        <v>-8896</v>
      </c>
    </row>
    <row r="5465" spans="1:25" x14ac:dyDescent="0.35">
      <c r="A5465">
        <v>32.534349334642997</v>
      </c>
      <c r="B5465">
        <v>-123.54140957795001</v>
      </c>
      <c r="C5465" t="s">
        <v>25</v>
      </c>
      <c r="D5465">
        <v>37.046023570074198</v>
      </c>
      <c r="E5465">
        <v>8</v>
      </c>
      <c r="F5465">
        <v>3864</v>
      </c>
      <c r="G5465">
        <v>3</v>
      </c>
      <c r="H5465">
        <v>2</v>
      </c>
      <c r="I5465">
        <v>2019</v>
      </c>
      <c r="J5465">
        <v>0</v>
      </c>
      <c r="K5465">
        <v>0</v>
      </c>
      <c r="L5465">
        <v>1</v>
      </c>
      <c r="M5465">
        <v>7</v>
      </c>
      <c r="N5465" t="s">
        <v>35</v>
      </c>
      <c r="O5465" t="s">
        <v>27</v>
      </c>
      <c r="P5465">
        <v>2.6594615663148198</v>
      </c>
      <c r="Q5465">
        <v>2.4558557431439398</v>
      </c>
      <c r="R5465">
        <v>8.1478835145016806</v>
      </c>
      <c r="S5465">
        <v>173</v>
      </c>
      <c r="T5465">
        <v>20</v>
      </c>
      <c r="U5465">
        <v>491.264780925509</v>
      </c>
      <c r="V5465">
        <v>1.8115942028985501E-3</v>
      </c>
      <c r="W5465">
        <v>2080483.50929343</v>
      </c>
      <c r="X5465" t="s">
        <v>38</v>
      </c>
      <c r="Y5465">
        <f>1-247-829-7146</f>
        <v>-8221</v>
      </c>
    </row>
    <row r="5466" spans="1:25" x14ac:dyDescent="0.35">
      <c r="A5466">
        <v>40.306893413788501</v>
      </c>
      <c r="B5466">
        <v>-117.248808874177</v>
      </c>
      <c r="C5466" t="s">
        <v>25</v>
      </c>
      <c r="D5466">
        <v>25.636146345697099</v>
      </c>
      <c r="E5466">
        <v>1</v>
      </c>
      <c r="F5466">
        <v>738</v>
      </c>
      <c r="G5466">
        <v>5</v>
      </c>
      <c r="H5466">
        <v>3</v>
      </c>
      <c r="I5466">
        <v>2000</v>
      </c>
      <c r="J5466">
        <v>0</v>
      </c>
      <c r="K5466">
        <v>0</v>
      </c>
      <c r="L5466">
        <v>0</v>
      </c>
      <c r="M5466">
        <v>4</v>
      </c>
      <c r="N5466" t="s">
        <v>35</v>
      </c>
      <c r="O5466" t="s">
        <v>27</v>
      </c>
      <c r="P5466">
        <v>6.2235866215394697</v>
      </c>
      <c r="Q5466">
        <v>0.61061531772604305</v>
      </c>
      <c r="R5466">
        <v>7.5975271022235704</v>
      </c>
      <c r="S5466">
        <v>57</v>
      </c>
      <c r="T5466">
        <v>53</v>
      </c>
      <c r="U5466">
        <v>847.905640177328</v>
      </c>
      <c r="V5466">
        <v>5.4200542005420002E-3</v>
      </c>
      <c r="W5466">
        <v>999142.71124661597</v>
      </c>
      <c r="X5466" t="s">
        <v>31</v>
      </c>
      <c r="Y5466">
        <f>1-847-308-4714</f>
        <v>-5868</v>
      </c>
    </row>
    <row r="5467" spans="1:25" x14ac:dyDescent="0.35">
      <c r="A5467">
        <v>38.487177019963703</v>
      </c>
      <c r="B5467">
        <v>-115.00375546039599</v>
      </c>
      <c r="C5467" t="s">
        <v>25</v>
      </c>
      <c r="D5467">
        <v>8.9077317381674597</v>
      </c>
      <c r="E5467">
        <v>7</v>
      </c>
      <c r="F5467">
        <v>2063</v>
      </c>
      <c r="G5467">
        <v>5</v>
      </c>
      <c r="H5467">
        <v>2</v>
      </c>
      <c r="I5467">
        <v>1989</v>
      </c>
      <c r="J5467">
        <v>0</v>
      </c>
      <c r="K5467">
        <v>1</v>
      </c>
      <c r="L5467">
        <v>0</v>
      </c>
      <c r="M5467">
        <v>14</v>
      </c>
      <c r="N5467" t="s">
        <v>26</v>
      </c>
      <c r="O5467" t="s">
        <v>32</v>
      </c>
      <c r="P5467">
        <v>2.33664875428149</v>
      </c>
      <c r="Q5467">
        <v>0.59737318213970103</v>
      </c>
      <c r="R5467">
        <v>5.1736369029736</v>
      </c>
      <c r="S5467">
        <v>135</v>
      </c>
      <c r="T5467">
        <v>34</v>
      </c>
      <c r="U5467">
        <v>920.96729311674801</v>
      </c>
      <c r="V5467">
        <v>6.7862336403296097E-3</v>
      </c>
      <c r="W5467">
        <v>2274521.9878805499</v>
      </c>
      <c r="X5467" t="s">
        <v>28</v>
      </c>
      <c r="Y5467">
        <f>1-631-751-3531</f>
        <v>-4912</v>
      </c>
    </row>
    <row r="5468" spans="1:25" x14ac:dyDescent="0.35">
      <c r="A5468">
        <v>36.022272396951301</v>
      </c>
      <c r="B5468">
        <v>-121.086605560097</v>
      </c>
      <c r="C5468" t="s">
        <v>34</v>
      </c>
      <c r="D5468">
        <v>42.506524417568102</v>
      </c>
      <c r="E5468">
        <v>1</v>
      </c>
      <c r="F5468">
        <v>3723</v>
      </c>
      <c r="G5468">
        <v>1</v>
      </c>
      <c r="H5468">
        <v>2</v>
      </c>
      <c r="I5468">
        <v>2021</v>
      </c>
      <c r="J5468">
        <v>1</v>
      </c>
      <c r="K5468">
        <v>1</v>
      </c>
      <c r="L5468">
        <v>1</v>
      </c>
      <c r="M5468">
        <v>6</v>
      </c>
      <c r="N5468" t="s">
        <v>37</v>
      </c>
      <c r="O5468" t="s">
        <v>32</v>
      </c>
      <c r="P5468">
        <v>9.6691878039212593</v>
      </c>
      <c r="Q5468">
        <v>2.4211246637550801</v>
      </c>
      <c r="R5468">
        <v>5.3974182903380497</v>
      </c>
      <c r="S5468">
        <v>169</v>
      </c>
      <c r="T5468">
        <v>36</v>
      </c>
      <c r="U5468">
        <v>278.72155039978497</v>
      </c>
      <c r="V5468">
        <v>1.6116035455278001E-3</v>
      </c>
      <c r="W5468">
        <v>1425880.7767542</v>
      </c>
      <c r="X5468" t="s">
        <v>43</v>
      </c>
      <c r="Y5468">
        <f>1-282-307-8033</f>
        <v>-8621</v>
      </c>
    </row>
    <row r="5469" spans="1:25" x14ac:dyDescent="0.35">
      <c r="A5469">
        <v>35.6045380640929</v>
      </c>
      <c r="B5469">
        <v>-120.603266327254</v>
      </c>
      <c r="C5469" t="s">
        <v>29</v>
      </c>
      <c r="D5469">
        <v>11.981884666086</v>
      </c>
      <c r="E5469">
        <v>4</v>
      </c>
      <c r="F5469">
        <v>2903</v>
      </c>
      <c r="G5469">
        <v>1</v>
      </c>
      <c r="H5469">
        <v>2</v>
      </c>
      <c r="I5469">
        <v>2006</v>
      </c>
      <c r="J5469">
        <v>1</v>
      </c>
      <c r="K5469">
        <v>0</v>
      </c>
      <c r="L5469">
        <v>0</v>
      </c>
      <c r="M5469">
        <v>6</v>
      </c>
      <c r="N5469" t="s">
        <v>35</v>
      </c>
      <c r="O5469" t="s">
        <v>32</v>
      </c>
      <c r="P5469">
        <v>9.1445665287416702</v>
      </c>
      <c r="Q5469">
        <v>1.06087501820968</v>
      </c>
      <c r="R5469">
        <v>9.6378858732220696</v>
      </c>
      <c r="S5469">
        <v>189</v>
      </c>
      <c r="T5469">
        <v>38</v>
      </c>
      <c r="U5469">
        <v>976.38902843362098</v>
      </c>
      <c r="V5469">
        <v>2.06682741991043E-3</v>
      </c>
      <c r="W5469">
        <v>3030290.32505253</v>
      </c>
      <c r="X5469" t="s">
        <v>28</v>
      </c>
      <c r="Y5469">
        <f>1-771-409-2358</f>
        <v>-3537</v>
      </c>
    </row>
    <row r="5470" spans="1:25" x14ac:dyDescent="0.35">
      <c r="A5470">
        <v>35.134842318232899</v>
      </c>
      <c r="B5470">
        <v>-115.81381987565101</v>
      </c>
      <c r="C5470" t="s">
        <v>29</v>
      </c>
      <c r="D5470">
        <v>25.355078209688401</v>
      </c>
      <c r="E5470">
        <v>6</v>
      </c>
      <c r="F5470">
        <v>4842</v>
      </c>
      <c r="G5470">
        <v>2</v>
      </c>
      <c r="H5470">
        <v>1</v>
      </c>
      <c r="I5470">
        <v>1956</v>
      </c>
      <c r="J5470">
        <v>1</v>
      </c>
      <c r="K5470">
        <v>1</v>
      </c>
      <c r="L5470">
        <v>0</v>
      </c>
      <c r="M5470">
        <v>9</v>
      </c>
      <c r="N5470" t="s">
        <v>41</v>
      </c>
      <c r="O5470" t="s">
        <v>30</v>
      </c>
      <c r="P5470">
        <v>3.0752099971895799</v>
      </c>
      <c r="Q5470">
        <v>1.04942765252821</v>
      </c>
      <c r="R5470">
        <v>7.5631083126796499</v>
      </c>
      <c r="S5470">
        <v>132</v>
      </c>
      <c r="T5470">
        <v>76</v>
      </c>
      <c r="U5470">
        <v>390.61211644319502</v>
      </c>
      <c r="V5470">
        <v>1.8587360594795499E-3</v>
      </c>
      <c r="W5470">
        <v>1926350.9168900701</v>
      </c>
      <c r="X5470" t="s">
        <v>28</v>
      </c>
      <c r="Y5470">
        <f>1-243-903-9143</f>
        <v>-10288</v>
      </c>
    </row>
    <row r="5471" spans="1:25" x14ac:dyDescent="0.35">
      <c r="A5471">
        <v>41.755951562030702</v>
      </c>
      <c r="B5471">
        <v>-124.374291776661</v>
      </c>
      <c r="C5471" t="s">
        <v>29</v>
      </c>
      <c r="D5471">
        <v>21.229388046098201</v>
      </c>
      <c r="E5471">
        <v>2</v>
      </c>
      <c r="F5471">
        <v>2506</v>
      </c>
      <c r="G5471">
        <v>5</v>
      </c>
      <c r="H5471">
        <v>1</v>
      </c>
      <c r="I5471">
        <v>1951</v>
      </c>
      <c r="J5471">
        <v>1</v>
      </c>
      <c r="K5471">
        <v>0</v>
      </c>
      <c r="L5471">
        <v>0</v>
      </c>
      <c r="M5471">
        <v>3</v>
      </c>
      <c r="N5471" t="s">
        <v>37</v>
      </c>
      <c r="O5471" t="s">
        <v>32</v>
      </c>
      <c r="P5471">
        <v>7.9665155621702102</v>
      </c>
      <c r="Q5471">
        <v>0.97309413561463598</v>
      </c>
      <c r="R5471">
        <v>4.7105414869720201</v>
      </c>
      <c r="S5471">
        <v>20</v>
      </c>
      <c r="T5471">
        <v>42</v>
      </c>
      <c r="U5471">
        <v>267.421769451214</v>
      </c>
      <c r="V5471">
        <v>1.19712689545091E-3</v>
      </c>
      <c r="W5471">
        <v>984397.06535123102</v>
      </c>
      <c r="X5471" t="s">
        <v>36</v>
      </c>
      <c r="Y5471">
        <f>1-805-526-3971</f>
        <v>-5301</v>
      </c>
    </row>
    <row r="5472" spans="1:25" x14ac:dyDescent="0.35">
      <c r="A5472">
        <v>35.564911155030899</v>
      </c>
      <c r="B5472">
        <v>-122.060892049903</v>
      </c>
      <c r="C5472" t="s">
        <v>25</v>
      </c>
      <c r="D5472">
        <v>40.3123331462442</v>
      </c>
      <c r="E5472">
        <v>0</v>
      </c>
      <c r="F5472">
        <v>2291</v>
      </c>
      <c r="G5472">
        <v>5</v>
      </c>
      <c r="H5472">
        <v>1</v>
      </c>
      <c r="I5472">
        <v>1976</v>
      </c>
      <c r="J5472">
        <v>0</v>
      </c>
      <c r="K5472">
        <v>1</v>
      </c>
      <c r="L5472">
        <v>0</v>
      </c>
      <c r="M5472">
        <v>9</v>
      </c>
      <c r="N5472" t="s">
        <v>41</v>
      </c>
      <c r="O5472" t="s">
        <v>30</v>
      </c>
      <c r="P5472">
        <v>13.127286813349</v>
      </c>
      <c r="Q5472">
        <v>0.82426270840836102</v>
      </c>
      <c r="R5472">
        <v>3.5783524456712499</v>
      </c>
      <c r="S5472">
        <v>167</v>
      </c>
      <c r="T5472">
        <v>39</v>
      </c>
      <c r="U5472">
        <v>865.09207428772402</v>
      </c>
      <c r="V5472">
        <v>3.9284155390659102E-3</v>
      </c>
      <c r="W5472">
        <v>2369477.6109459698</v>
      </c>
      <c r="X5472" t="s">
        <v>43</v>
      </c>
      <c r="Y5472">
        <f>1-419-260-9531</f>
        <v>-10209</v>
      </c>
    </row>
    <row r="5473" spans="1:25" x14ac:dyDescent="0.35">
      <c r="A5473">
        <v>33.297167331942397</v>
      </c>
      <c r="B5473">
        <v>-115.52555027696501</v>
      </c>
      <c r="C5473" t="s">
        <v>29</v>
      </c>
      <c r="D5473">
        <v>43.285291951277102</v>
      </c>
      <c r="E5473">
        <v>7</v>
      </c>
      <c r="F5473">
        <v>4789</v>
      </c>
      <c r="G5473">
        <v>4</v>
      </c>
      <c r="H5473">
        <v>2</v>
      </c>
      <c r="I5473">
        <v>1951</v>
      </c>
      <c r="J5473">
        <v>1</v>
      </c>
      <c r="K5473">
        <v>1</v>
      </c>
      <c r="L5473">
        <v>0</v>
      </c>
      <c r="M5473">
        <v>8</v>
      </c>
      <c r="N5473" t="s">
        <v>37</v>
      </c>
      <c r="O5473" t="s">
        <v>32</v>
      </c>
      <c r="P5473">
        <v>5.7559683310996199</v>
      </c>
      <c r="Q5473">
        <v>1.45074505532708</v>
      </c>
      <c r="R5473">
        <v>4.0008780095144703</v>
      </c>
      <c r="S5473">
        <v>22</v>
      </c>
      <c r="T5473">
        <v>23</v>
      </c>
      <c r="U5473">
        <v>974.94573856882801</v>
      </c>
      <c r="V5473">
        <v>1.67049488410941E-3</v>
      </c>
      <c r="W5473">
        <v>5020876.9445975302</v>
      </c>
      <c r="X5473" t="s">
        <v>36</v>
      </c>
      <c r="Y5473">
        <f>1-707-830-5574</f>
        <v>-7110</v>
      </c>
    </row>
    <row r="5474" spans="1:25" x14ac:dyDescent="0.35">
      <c r="A5474">
        <v>34.038421184648897</v>
      </c>
      <c r="B5474">
        <v>-119.77686416901901</v>
      </c>
      <c r="C5474" t="s">
        <v>29</v>
      </c>
      <c r="D5474">
        <v>5.9819192558901397</v>
      </c>
      <c r="E5474">
        <v>5</v>
      </c>
      <c r="F5474">
        <v>970</v>
      </c>
      <c r="G5474">
        <v>3</v>
      </c>
      <c r="H5474">
        <v>3</v>
      </c>
      <c r="I5474">
        <v>1986</v>
      </c>
      <c r="J5474">
        <v>1</v>
      </c>
      <c r="K5474">
        <v>1</v>
      </c>
      <c r="L5474">
        <v>1</v>
      </c>
      <c r="M5474">
        <v>3</v>
      </c>
      <c r="N5474" t="s">
        <v>26</v>
      </c>
      <c r="O5474" t="s">
        <v>27</v>
      </c>
      <c r="P5474">
        <v>14.197852898773199</v>
      </c>
      <c r="Q5474">
        <v>0.86018725947299901</v>
      </c>
      <c r="R5474">
        <v>1.39209496707307</v>
      </c>
      <c r="S5474">
        <v>148</v>
      </c>
      <c r="T5474">
        <v>65</v>
      </c>
      <c r="U5474">
        <v>892.34725077886105</v>
      </c>
      <c r="V5474">
        <v>3.0927835051546299E-3</v>
      </c>
      <c r="W5474">
        <v>1354887.9798898899</v>
      </c>
      <c r="X5474" t="s">
        <v>31</v>
      </c>
      <c r="Y5474">
        <f>1-771-327-1432</f>
        <v>-2529</v>
      </c>
    </row>
    <row r="5475" spans="1:25" x14ac:dyDescent="0.35">
      <c r="A5475">
        <v>36.752823803240901</v>
      </c>
      <c r="B5475">
        <v>-115.1583599913</v>
      </c>
      <c r="C5475" t="s">
        <v>34</v>
      </c>
      <c r="D5475">
        <v>35.962289247261097</v>
      </c>
      <c r="E5475">
        <v>9</v>
      </c>
      <c r="F5475">
        <v>4795</v>
      </c>
      <c r="G5475">
        <v>5</v>
      </c>
      <c r="H5475">
        <v>2</v>
      </c>
      <c r="I5475">
        <v>1995</v>
      </c>
      <c r="J5475">
        <v>1</v>
      </c>
      <c r="K5475">
        <v>1</v>
      </c>
      <c r="L5475">
        <v>1</v>
      </c>
      <c r="M5475">
        <v>13</v>
      </c>
      <c r="N5475" t="s">
        <v>26</v>
      </c>
      <c r="O5475" t="s">
        <v>27</v>
      </c>
      <c r="P5475">
        <v>14.237175284314601</v>
      </c>
      <c r="Q5475">
        <v>0.73951753218267502</v>
      </c>
      <c r="R5475">
        <v>9.5331483932885401</v>
      </c>
      <c r="S5475">
        <v>3</v>
      </c>
      <c r="T5475">
        <v>58</v>
      </c>
      <c r="U5475">
        <v>397.69315822484401</v>
      </c>
      <c r="V5475">
        <v>2.7111574556830001E-3</v>
      </c>
      <c r="W5475">
        <v>2438692.7373050801</v>
      </c>
      <c r="X5475" t="s">
        <v>33</v>
      </c>
      <c r="Y5475">
        <f>1-505-889-2637</f>
        <v>-4030</v>
      </c>
    </row>
    <row r="5476" spans="1:25" x14ac:dyDescent="0.35">
      <c r="A5476">
        <v>38.740403643281802</v>
      </c>
      <c r="B5476">
        <v>-123.10070294804</v>
      </c>
      <c r="C5476" t="s">
        <v>29</v>
      </c>
      <c r="D5476">
        <v>8.1122120903854995</v>
      </c>
      <c r="E5476">
        <v>4</v>
      </c>
      <c r="F5476">
        <v>2049</v>
      </c>
      <c r="G5476">
        <v>5</v>
      </c>
      <c r="H5476">
        <v>2</v>
      </c>
      <c r="I5476">
        <v>1950</v>
      </c>
      <c r="J5476">
        <v>0</v>
      </c>
      <c r="K5476">
        <v>1</v>
      </c>
      <c r="L5476">
        <v>1</v>
      </c>
      <c r="M5476">
        <v>7</v>
      </c>
      <c r="N5476" t="s">
        <v>35</v>
      </c>
      <c r="O5476" t="s">
        <v>32</v>
      </c>
      <c r="P5476">
        <v>8.3939604389459106</v>
      </c>
      <c r="Q5476">
        <v>2.2264977294185102</v>
      </c>
      <c r="R5476">
        <v>5.3089458997905199</v>
      </c>
      <c r="S5476">
        <v>35</v>
      </c>
      <c r="T5476">
        <v>42</v>
      </c>
      <c r="U5476">
        <v>895.00127220726802</v>
      </c>
      <c r="V5476">
        <v>3.41630063445583E-3</v>
      </c>
      <c r="W5476">
        <v>2257548.0177184702</v>
      </c>
      <c r="X5476" t="s">
        <v>28</v>
      </c>
      <c r="Y5476">
        <f>1-893-750-5139</f>
        <v>-6781</v>
      </c>
    </row>
    <row r="5477" spans="1:25" x14ac:dyDescent="0.35">
      <c r="A5477">
        <v>40.571025492646797</v>
      </c>
      <c r="B5477">
        <v>-122.789048109071</v>
      </c>
      <c r="C5477" t="s">
        <v>25</v>
      </c>
      <c r="D5477">
        <v>33.750395740908203</v>
      </c>
      <c r="E5477">
        <v>7</v>
      </c>
      <c r="F5477">
        <v>2470</v>
      </c>
      <c r="G5477">
        <v>1</v>
      </c>
      <c r="H5477">
        <v>2</v>
      </c>
      <c r="I5477">
        <v>2014</v>
      </c>
      <c r="J5477">
        <v>0</v>
      </c>
      <c r="K5477">
        <v>1</v>
      </c>
      <c r="L5477">
        <v>1</v>
      </c>
      <c r="M5477">
        <v>9</v>
      </c>
      <c r="N5477" t="s">
        <v>37</v>
      </c>
      <c r="O5477" t="s">
        <v>30</v>
      </c>
      <c r="P5477">
        <v>8.7134195501843195</v>
      </c>
      <c r="Q5477">
        <v>2.2351211790027601</v>
      </c>
      <c r="R5477">
        <v>3.7216314834042201</v>
      </c>
      <c r="S5477">
        <v>79</v>
      </c>
      <c r="T5477">
        <v>46</v>
      </c>
      <c r="U5477">
        <v>665.20305700064705</v>
      </c>
      <c r="V5477">
        <v>3.6437246963562701E-3</v>
      </c>
      <c r="W5477">
        <v>1894974.8391877499</v>
      </c>
      <c r="X5477" t="s">
        <v>31</v>
      </c>
      <c r="Y5477">
        <f>1-627-751-1289</f>
        <v>-2666</v>
      </c>
    </row>
    <row r="5478" spans="1:25" x14ac:dyDescent="0.35">
      <c r="A5478">
        <v>38.822948387975003</v>
      </c>
      <c r="B5478">
        <v>-121.40638536371399</v>
      </c>
      <c r="C5478" t="s">
        <v>25</v>
      </c>
      <c r="D5478">
        <v>1.6985655946976499</v>
      </c>
      <c r="E5478">
        <v>0</v>
      </c>
      <c r="F5478">
        <v>2464</v>
      </c>
      <c r="G5478">
        <v>3</v>
      </c>
      <c r="H5478">
        <v>2</v>
      </c>
      <c r="I5478">
        <v>1970</v>
      </c>
      <c r="J5478">
        <v>0</v>
      </c>
      <c r="K5478">
        <v>1</v>
      </c>
      <c r="L5478">
        <v>1</v>
      </c>
      <c r="M5478">
        <v>10</v>
      </c>
      <c r="N5478" t="s">
        <v>41</v>
      </c>
      <c r="O5478" t="s">
        <v>27</v>
      </c>
      <c r="P5478">
        <v>4.4576049961377304</v>
      </c>
      <c r="Q5478">
        <v>2.3484948426298402</v>
      </c>
      <c r="R5478">
        <v>2.6885907397355102</v>
      </c>
      <c r="S5478">
        <v>48</v>
      </c>
      <c r="T5478">
        <v>21</v>
      </c>
      <c r="U5478">
        <v>735.57709470809095</v>
      </c>
      <c r="V5478">
        <v>4.0584415584415503E-3</v>
      </c>
      <c r="W5478">
        <v>2057521.58391689</v>
      </c>
      <c r="X5478" t="s">
        <v>36</v>
      </c>
      <c r="Y5478">
        <f>1-446-958-5167</f>
        <v>-6570</v>
      </c>
    </row>
    <row r="5479" spans="1:25" x14ac:dyDescent="0.35">
      <c r="A5479">
        <v>36.468370704188601</v>
      </c>
      <c r="B5479">
        <v>-124.482557485085</v>
      </c>
      <c r="C5479" t="s">
        <v>29</v>
      </c>
      <c r="D5479">
        <v>11.8508265476563</v>
      </c>
      <c r="E5479">
        <v>8</v>
      </c>
      <c r="F5479">
        <v>2983</v>
      </c>
      <c r="G5479">
        <v>4</v>
      </c>
      <c r="H5479">
        <v>2</v>
      </c>
      <c r="I5479">
        <v>1993</v>
      </c>
      <c r="J5479">
        <v>0</v>
      </c>
      <c r="K5479">
        <v>0</v>
      </c>
      <c r="L5479">
        <v>1</v>
      </c>
      <c r="M5479">
        <v>14</v>
      </c>
      <c r="N5479" t="s">
        <v>41</v>
      </c>
      <c r="O5479" t="s">
        <v>30</v>
      </c>
      <c r="P5479">
        <v>12.358611897710199</v>
      </c>
      <c r="Q5479">
        <v>1.1700514216211899</v>
      </c>
      <c r="R5479">
        <v>9.7036055332543807</v>
      </c>
      <c r="S5479">
        <v>141</v>
      </c>
      <c r="T5479">
        <v>44</v>
      </c>
      <c r="U5479">
        <v>397.37445476811598</v>
      </c>
      <c r="V5479">
        <v>4.6932618169627802E-3</v>
      </c>
      <c r="W5479">
        <v>1399347.73852502</v>
      </c>
      <c r="X5479" t="s">
        <v>33</v>
      </c>
      <c r="Y5479">
        <f>1-401-499-4163</f>
        <v>-5062</v>
      </c>
    </row>
    <row r="5480" spans="1:25" x14ac:dyDescent="0.35">
      <c r="A5480">
        <v>38.032793779372099</v>
      </c>
      <c r="B5480">
        <v>-123.61312645724099</v>
      </c>
      <c r="C5480" t="s">
        <v>25</v>
      </c>
      <c r="D5480">
        <v>5.7713303523730604</v>
      </c>
      <c r="E5480">
        <v>5</v>
      </c>
      <c r="F5480">
        <v>3811</v>
      </c>
      <c r="G5480">
        <v>2</v>
      </c>
      <c r="H5480">
        <v>2</v>
      </c>
      <c r="I5480">
        <v>1979</v>
      </c>
      <c r="J5480">
        <v>1</v>
      </c>
      <c r="K5480">
        <v>0</v>
      </c>
      <c r="L5480">
        <v>0</v>
      </c>
      <c r="M5480">
        <v>10</v>
      </c>
      <c r="N5480" t="s">
        <v>37</v>
      </c>
      <c r="O5480" t="s">
        <v>32</v>
      </c>
      <c r="P5480">
        <v>13.5592030323253</v>
      </c>
      <c r="Q5480">
        <v>1.1472505145143499</v>
      </c>
      <c r="R5480">
        <v>5.9188231750709601</v>
      </c>
      <c r="S5480">
        <v>73</v>
      </c>
      <c r="T5480">
        <v>24</v>
      </c>
      <c r="U5480">
        <v>774.98962402940106</v>
      </c>
      <c r="V5480">
        <v>2.6239832065074698E-3</v>
      </c>
      <c r="W5480">
        <v>3176457.1693728799</v>
      </c>
      <c r="X5480" t="s">
        <v>44</v>
      </c>
      <c r="Y5480">
        <f>1-232-287-5246</f>
        <v>-5764</v>
      </c>
    </row>
    <row r="5481" spans="1:25" x14ac:dyDescent="0.35">
      <c r="A5481">
        <v>33.2028427124947</v>
      </c>
      <c r="B5481">
        <v>-124.36682155856199</v>
      </c>
      <c r="C5481" t="s">
        <v>29</v>
      </c>
      <c r="D5481">
        <v>33.382895994478702</v>
      </c>
      <c r="E5481">
        <v>2</v>
      </c>
      <c r="F5481">
        <v>4479</v>
      </c>
      <c r="G5481">
        <v>2</v>
      </c>
      <c r="H5481">
        <v>3</v>
      </c>
      <c r="I5481">
        <v>2010</v>
      </c>
      <c r="J5481">
        <v>0</v>
      </c>
      <c r="K5481">
        <v>1</v>
      </c>
      <c r="L5481">
        <v>1</v>
      </c>
      <c r="M5481">
        <v>5</v>
      </c>
      <c r="N5481" t="s">
        <v>41</v>
      </c>
      <c r="O5481" t="s">
        <v>32</v>
      </c>
      <c r="P5481">
        <v>14.0024698297992</v>
      </c>
      <c r="Q5481">
        <v>0.56928887154125396</v>
      </c>
      <c r="R5481">
        <v>3.6363503348976298</v>
      </c>
      <c r="S5481">
        <v>132</v>
      </c>
      <c r="T5481">
        <v>68</v>
      </c>
      <c r="U5481">
        <v>490.43584024550199</v>
      </c>
      <c r="V5481">
        <v>1.1163206072784099E-3</v>
      </c>
      <c r="W5481">
        <v>2616000.3121498302</v>
      </c>
      <c r="X5481" t="s">
        <v>36</v>
      </c>
      <c r="Y5481">
        <f>1-386-544-3515</f>
        <v>-4444</v>
      </c>
    </row>
    <row r="5482" spans="1:25" x14ac:dyDescent="0.35">
      <c r="A5482">
        <v>36.728565952744901</v>
      </c>
      <c r="B5482">
        <v>-116.84894795967099</v>
      </c>
      <c r="C5482" t="s">
        <v>34</v>
      </c>
      <c r="D5482">
        <v>26.1896613978946</v>
      </c>
      <c r="E5482">
        <v>3</v>
      </c>
      <c r="F5482">
        <v>975</v>
      </c>
      <c r="G5482">
        <v>4</v>
      </c>
      <c r="H5482">
        <v>3</v>
      </c>
      <c r="I5482">
        <v>1976</v>
      </c>
      <c r="J5482">
        <v>1</v>
      </c>
      <c r="K5482">
        <v>0</v>
      </c>
      <c r="L5482">
        <v>1</v>
      </c>
      <c r="M5482">
        <v>5</v>
      </c>
      <c r="N5482" t="s">
        <v>35</v>
      </c>
      <c r="O5482" t="s">
        <v>32</v>
      </c>
      <c r="P5482">
        <v>14.9223687355158</v>
      </c>
      <c r="Q5482">
        <v>2.06732898396222</v>
      </c>
      <c r="R5482">
        <v>3.9465731486203901</v>
      </c>
      <c r="S5482">
        <v>119</v>
      </c>
      <c r="T5482">
        <v>61</v>
      </c>
      <c r="U5482">
        <v>947.09799835536705</v>
      </c>
      <c r="V5482">
        <v>5.1282051282051204E-3</v>
      </c>
      <c r="W5482">
        <v>1335985.6084257299</v>
      </c>
      <c r="X5482" t="s">
        <v>42</v>
      </c>
      <c r="Y5482">
        <f>1-339-273-8313</f>
        <v>-8924</v>
      </c>
    </row>
    <row r="5483" spans="1:25" x14ac:dyDescent="0.35">
      <c r="A5483">
        <v>35.379706329355102</v>
      </c>
      <c r="B5483">
        <v>-122.031879145384</v>
      </c>
      <c r="C5483" t="s">
        <v>34</v>
      </c>
      <c r="D5483">
        <v>27.614647969180002</v>
      </c>
      <c r="E5483">
        <v>1</v>
      </c>
      <c r="F5483">
        <v>3146</v>
      </c>
      <c r="G5483">
        <v>4</v>
      </c>
      <c r="H5483">
        <v>1</v>
      </c>
      <c r="I5483">
        <v>2009</v>
      </c>
      <c r="J5483">
        <v>0</v>
      </c>
      <c r="K5483">
        <v>0</v>
      </c>
      <c r="L5483">
        <v>0</v>
      </c>
      <c r="M5483">
        <v>6</v>
      </c>
      <c r="N5483" t="s">
        <v>35</v>
      </c>
      <c r="O5483" t="s">
        <v>27</v>
      </c>
      <c r="P5483">
        <v>2.7649137840365299</v>
      </c>
      <c r="Q5483">
        <v>0.61146608909705202</v>
      </c>
      <c r="R5483">
        <v>1.71587938847014</v>
      </c>
      <c r="S5483">
        <v>187</v>
      </c>
      <c r="T5483">
        <v>77</v>
      </c>
      <c r="U5483">
        <v>573.47993313824099</v>
      </c>
      <c r="V5483">
        <v>1.90718372536554E-3</v>
      </c>
      <c r="W5483">
        <v>1954989.94432414</v>
      </c>
      <c r="X5483" t="s">
        <v>42</v>
      </c>
      <c r="Y5483">
        <f>1-300-934-3925</f>
        <v>-5158</v>
      </c>
    </row>
    <row r="5484" spans="1:25" x14ac:dyDescent="0.35">
      <c r="A5484">
        <v>36.861089248627103</v>
      </c>
      <c r="B5484">
        <v>-116.14450601827799</v>
      </c>
      <c r="C5484" t="s">
        <v>25</v>
      </c>
      <c r="D5484">
        <v>19.139067367771101</v>
      </c>
      <c r="E5484">
        <v>4</v>
      </c>
      <c r="F5484">
        <v>4108</v>
      </c>
      <c r="G5484">
        <v>4</v>
      </c>
      <c r="H5484">
        <v>2</v>
      </c>
      <c r="I5484">
        <v>1991</v>
      </c>
      <c r="J5484">
        <v>0</v>
      </c>
      <c r="K5484">
        <v>1</v>
      </c>
      <c r="L5484">
        <v>1</v>
      </c>
      <c r="M5484">
        <v>13</v>
      </c>
      <c r="N5484" t="s">
        <v>37</v>
      </c>
      <c r="O5484" t="s">
        <v>30</v>
      </c>
      <c r="P5484">
        <v>3.8041988650523701</v>
      </c>
      <c r="Q5484">
        <v>1.30372882450919</v>
      </c>
      <c r="R5484">
        <v>3.6444224505248601</v>
      </c>
      <c r="S5484">
        <v>127</v>
      </c>
      <c r="T5484">
        <v>61</v>
      </c>
      <c r="U5484">
        <v>890.949377384836</v>
      </c>
      <c r="V5484">
        <v>3.1645569620253099E-3</v>
      </c>
      <c r="W5484">
        <v>4053047.6885675699</v>
      </c>
      <c r="X5484" t="s">
        <v>44</v>
      </c>
      <c r="Y5484">
        <f>1-380-667-4789</f>
        <v>-5835</v>
      </c>
    </row>
    <row r="5485" spans="1:25" x14ac:dyDescent="0.35">
      <c r="A5485">
        <v>36.4958974103644</v>
      </c>
      <c r="B5485">
        <v>-121.893765527057</v>
      </c>
      <c r="C5485" t="s">
        <v>29</v>
      </c>
      <c r="D5485">
        <v>18.966081181138101</v>
      </c>
      <c r="E5485">
        <v>8</v>
      </c>
      <c r="F5485">
        <v>3993</v>
      </c>
      <c r="G5485">
        <v>3</v>
      </c>
      <c r="H5485">
        <v>3</v>
      </c>
      <c r="I5485">
        <v>1957</v>
      </c>
      <c r="J5485">
        <v>0</v>
      </c>
      <c r="K5485">
        <v>1</v>
      </c>
      <c r="L5485">
        <v>1</v>
      </c>
      <c r="M5485">
        <v>3</v>
      </c>
      <c r="N5485" t="s">
        <v>41</v>
      </c>
      <c r="O5485" t="s">
        <v>32</v>
      </c>
      <c r="P5485">
        <v>12.9265502495681</v>
      </c>
      <c r="Q5485">
        <v>1.4683994361461301</v>
      </c>
      <c r="R5485">
        <v>4.0672213688928398</v>
      </c>
      <c r="S5485">
        <v>168</v>
      </c>
      <c r="T5485">
        <v>48</v>
      </c>
      <c r="U5485">
        <v>532.07979457805402</v>
      </c>
      <c r="V5485">
        <v>7.5131480090157704E-4</v>
      </c>
      <c r="W5485">
        <v>2423786.6581506999</v>
      </c>
      <c r="X5485" t="s">
        <v>39</v>
      </c>
      <c r="Y5485">
        <f>1-814-299-4722</f>
        <v>-5834</v>
      </c>
    </row>
    <row r="5486" spans="1:25" x14ac:dyDescent="0.35">
      <c r="A5486">
        <v>38.0355123136573</v>
      </c>
      <c r="B5486">
        <v>-120.717011312672</v>
      </c>
      <c r="C5486" t="s">
        <v>34</v>
      </c>
      <c r="D5486">
        <v>5.4010910261146599</v>
      </c>
      <c r="E5486">
        <v>3</v>
      </c>
      <c r="F5486">
        <v>1404</v>
      </c>
      <c r="G5486">
        <v>4</v>
      </c>
      <c r="H5486">
        <v>3</v>
      </c>
      <c r="I5486">
        <v>2012</v>
      </c>
      <c r="J5486">
        <v>0</v>
      </c>
      <c r="K5486">
        <v>1</v>
      </c>
      <c r="L5486">
        <v>0</v>
      </c>
      <c r="M5486">
        <v>6</v>
      </c>
      <c r="N5486" t="s">
        <v>26</v>
      </c>
      <c r="O5486" t="s">
        <v>27</v>
      </c>
      <c r="P5486">
        <v>13.654633302882299</v>
      </c>
      <c r="Q5486">
        <v>1.13519055467589</v>
      </c>
      <c r="R5486">
        <v>3.5646454780287802</v>
      </c>
      <c r="S5486">
        <v>53</v>
      </c>
      <c r="T5486">
        <v>74</v>
      </c>
      <c r="U5486">
        <v>330.12269246056297</v>
      </c>
      <c r="V5486">
        <v>4.2735042735042696E-3</v>
      </c>
      <c r="W5486">
        <v>897881.73975294502</v>
      </c>
      <c r="X5486" t="s">
        <v>36</v>
      </c>
      <c r="Y5486">
        <f>1-932-964-6509</f>
        <v>-8404</v>
      </c>
    </row>
    <row r="5487" spans="1:25" x14ac:dyDescent="0.35">
      <c r="A5487">
        <v>36.820633528042002</v>
      </c>
      <c r="B5487">
        <v>-117.38620274698501</v>
      </c>
      <c r="C5487" t="s">
        <v>34</v>
      </c>
      <c r="D5487">
        <v>41.733405122123699</v>
      </c>
      <c r="E5487">
        <v>1</v>
      </c>
      <c r="F5487">
        <v>1138</v>
      </c>
      <c r="G5487">
        <v>5</v>
      </c>
      <c r="H5487">
        <v>2</v>
      </c>
      <c r="I5487">
        <v>1976</v>
      </c>
      <c r="J5487">
        <v>0</v>
      </c>
      <c r="K5487">
        <v>0</v>
      </c>
      <c r="L5487">
        <v>1</v>
      </c>
      <c r="M5487">
        <v>11</v>
      </c>
      <c r="N5487" t="s">
        <v>35</v>
      </c>
      <c r="O5487" t="s">
        <v>32</v>
      </c>
      <c r="P5487">
        <v>13.2673201069183</v>
      </c>
      <c r="Q5487">
        <v>1.3255145862066</v>
      </c>
      <c r="R5487">
        <v>3.0381559675369001</v>
      </c>
      <c r="S5487">
        <v>98</v>
      </c>
      <c r="T5487">
        <v>39</v>
      </c>
      <c r="U5487">
        <v>926.89001363232296</v>
      </c>
      <c r="V5487">
        <v>9.66608084358523E-3</v>
      </c>
      <c r="W5487">
        <v>1306854.0253743499</v>
      </c>
      <c r="X5487" t="s">
        <v>44</v>
      </c>
      <c r="Y5487">
        <f>1-393-236-5470</f>
        <v>-6098</v>
      </c>
    </row>
    <row r="5488" spans="1:25" x14ac:dyDescent="0.35">
      <c r="A5488">
        <v>36.997954274700803</v>
      </c>
      <c r="B5488">
        <v>-117.069509667011</v>
      </c>
      <c r="C5488" t="s">
        <v>25</v>
      </c>
      <c r="D5488">
        <v>28.3100792445994</v>
      </c>
      <c r="E5488">
        <v>6</v>
      </c>
      <c r="F5488">
        <v>1475</v>
      </c>
      <c r="G5488">
        <v>3</v>
      </c>
      <c r="H5488">
        <v>1</v>
      </c>
      <c r="I5488">
        <v>2016</v>
      </c>
      <c r="J5488">
        <v>0</v>
      </c>
      <c r="K5488">
        <v>0</v>
      </c>
      <c r="L5488">
        <v>1</v>
      </c>
      <c r="M5488">
        <v>10</v>
      </c>
      <c r="N5488" t="s">
        <v>37</v>
      </c>
      <c r="O5488" t="s">
        <v>32</v>
      </c>
      <c r="P5488">
        <v>6.9493592226438601</v>
      </c>
      <c r="Q5488">
        <v>2.1028048223649001</v>
      </c>
      <c r="R5488">
        <v>6.1881201476031098</v>
      </c>
      <c r="S5488">
        <v>21</v>
      </c>
      <c r="T5488">
        <v>44</v>
      </c>
      <c r="U5488">
        <v>453.42364601246601</v>
      </c>
      <c r="V5488">
        <v>6.7796610169491497E-3</v>
      </c>
      <c r="W5488">
        <v>930172.98874204606</v>
      </c>
      <c r="X5488" t="s">
        <v>42</v>
      </c>
      <c r="Y5488">
        <f>1-354-212-8363</f>
        <v>-8928</v>
      </c>
    </row>
    <row r="5489" spans="1:25" x14ac:dyDescent="0.35">
      <c r="A5489">
        <v>36.330455586927798</v>
      </c>
      <c r="B5489">
        <v>-115.21231703941</v>
      </c>
      <c r="C5489" t="s">
        <v>25</v>
      </c>
      <c r="D5489">
        <v>47.314273787495402</v>
      </c>
      <c r="E5489">
        <v>3</v>
      </c>
      <c r="F5489">
        <v>2380</v>
      </c>
      <c r="G5489">
        <v>5</v>
      </c>
      <c r="H5489">
        <v>3</v>
      </c>
      <c r="I5489">
        <v>2015</v>
      </c>
      <c r="J5489">
        <v>1</v>
      </c>
      <c r="K5489">
        <v>0</v>
      </c>
      <c r="L5489">
        <v>0</v>
      </c>
      <c r="M5489">
        <v>9</v>
      </c>
      <c r="N5489" t="s">
        <v>37</v>
      </c>
      <c r="O5489" t="s">
        <v>27</v>
      </c>
      <c r="P5489">
        <v>11.1645348452953</v>
      </c>
      <c r="Q5489">
        <v>0.82509584099056699</v>
      </c>
      <c r="R5489">
        <v>1.9694643878643501</v>
      </c>
      <c r="S5489">
        <v>75</v>
      </c>
      <c r="T5489">
        <v>38</v>
      </c>
      <c r="U5489">
        <v>744.56903194687698</v>
      </c>
      <c r="V5489">
        <v>3.7815126050420099E-3</v>
      </c>
      <c r="W5489">
        <v>2196434.0010588099</v>
      </c>
      <c r="X5489" t="s">
        <v>44</v>
      </c>
      <c r="Y5489">
        <f>1-446-378-7125</f>
        <v>-7948</v>
      </c>
    </row>
    <row r="5490" spans="1:25" x14ac:dyDescent="0.35">
      <c r="A5490">
        <v>38.542242920742197</v>
      </c>
      <c r="B5490">
        <v>-117.60982254945699</v>
      </c>
      <c r="C5490" t="s">
        <v>25</v>
      </c>
      <c r="D5490">
        <v>34.659064073893298</v>
      </c>
      <c r="E5490">
        <v>3</v>
      </c>
      <c r="F5490">
        <v>4749</v>
      </c>
      <c r="G5490">
        <v>5</v>
      </c>
      <c r="H5490">
        <v>1</v>
      </c>
      <c r="I5490">
        <v>1955</v>
      </c>
      <c r="J5490">
        <v>0</v>
      </c>
      <c r="K5490">
        <v>1</v>
      </c>
      <c r="L5490">
        <v>0</v>
      </c>
      <c r="M5490">
        <v>8</v>
      </c>
      <c r="N5490" t="s">
        <v>37</v>
      </c>
      <c r="O5490" t="s">
        <v>32</v>
      </c>
      <c r="P5490">
        <v>2.52034428048341</v>
      </c>
      <c r="Q5490">
        <v>0.56595767204792302</v>
      </c>
      <c r="R5490">
        <v>2.4724952515218299</v>
      </c>
      <c r="S5490">
        <v>3</v>
      </c>
      <c r="T5490">
        <v>47</v>
      </c>
      <c r="U5490">
        <v>386.14130121848899</v>
      </c>
      <c r="V5490">
        <v>1.6845651716150701E-3</v>
      </c>
      <c r="W5490">
        <v>2046412.4366500301</v>
      </c>
      <c r="X5490" t="s">
        <v>44</v>
      </c>
      <c r="Y5490">
        <f>1-778-327-7385</f>
        <v>-8489</v>
      </c>
    </row>
    <row r="5491" spans="1:25" x14ac:dyDescent="0.35">
      <c r="A5491">
        <v>33.623783833808702</v>
      </c>
      <c r="B5491">
        <v>-123.755318337229</v>
      </c>
      <c r="C5491" t="s">
        <v>34</v>
      </c>
      <c r="D5491">
        <v>20.344578328112298</v>
      </c>
      <c r="E5491">
        <v>4</v>
      </c>
      <c r="F5491">
        <v>1631</v>
      </c>
      <c r="G5491">
        <v>3</v>
      </c>
      <c r="H5491">
        <v>2</v>
      </c>
      <c r="I5491">
        <v>1996</v>
      </c>
      <c r="J5491">
        <v>1</v>
      </c>
      <c r="K5491">
        <v>1</v>
      </c>
      <c r="L5491">
        <v>1</v>
      </c>
      <c r="M5491">
        <v>10</v>
      </c>
      <c r="N5491" t="s">
        <v>26</v>
      </c>
      <c r="O5491" t="s">
        <v>32</v>
      </c>
      <c r="P5491">
        <v>7.7286688156711598</v>
      </c>
      <c r="Q5491">
        <v>0.80940064782964705</v>
      </c>
      <c r="R5491">
        <v>9.2179658368690696</v>
      </c>
      <c r="S5491">
        <v>85</v>
      </c>
      <c r="T5491">
        <v>39</v>
      </c>
      <c r="U5491">
        <v>735.00060623808599</v>
      </c>
      <c r="V5491">
        <v>6.1312078479460403E-3</v>
      </c>
      <c r="W5491">
        <v>1637180.1036753301</v>
      </c>
      <c r="X5491" t="s">
        <v>31</v>
      </c>
      <c r="Y5491">
        <f>1-770-978-7339</f>
        <v>-9086</v>
      </c>
    </row>
    <row r="5492" spans="1:25" x14ac:dyDescent="0.35">
      <c r="A5492">
        <v>40.515294528140501</v>
      </c>
      <c r="B5492">
        <v>-122.122025967299</v>
      </c>
      <c r="C5492" t="s">
        <v>34</v>
      </c>
      <c r="D5492">
        <v>24.023590561521399</v>
      </c>
      <c r="E5492">
        <v>2</v>
      </c>
      <c r="F5492">
        <v>1916</v>
      </c>
      <c r="G5492">
        <v>4</v>
      </c>
      <c r="H5492">
        <v>1</v>
      </c>
      <c r="I5492">
        <v>1974</v>
      </c>
      <c r="J5492">
        <v>1</v>
      </c>
      <c r="K5492">
        <v>1</v>
      </c>
      <c r="L5492">
        <v>0</v>
      </c>
      <c r="M5492">
        <v>10</v>
      </c>
      <c r="N5492" t="s">
        <v>41</v>
      </c>
      <c r="O5492" t="s">
        <v>32</v>
      </c>
      <c r="P5492">
        <v>12.1760702951157</v>
      </c>
      <c r="Q5492">
        <v>1.93247716528457</v>
      </c>
      <c r="R5492">
        <v>0.35635487605723898</v>
      </c>
      <c r="S5492">
        <v>79</v>
      </c>
      <c r="T5492">
        <v>76</v>
      </c>
      <c r="U5492">
        <v>544.34618092299104</v>
      </c>
      <c r="V5492">
        <v>5.2192066805845502E-3</v>
      </c>
      <c r="W5492">
        <v>1403732.8794954801</v>
      </c>
      <c r="X5492" t="s">
        <v>44</v>
      </c>
      <c r="Y5492">
        <f>1-974-370-5851</f>
        <v>-7194</v>
      </c>
    </row>
    <row r="5493" spans="1:25" x14ac:dyDescent="0.35">
      <c r="A5493">
        <v>40.1496229985678</v>
      </c>
      <c r="B5493">
        <v>-115.995350332638</v>
      </c>
      <c r="C5493" t="s">
        <v>29</v>
      </c>
      <c r="D5493">
        <v>46.560049674653698</v>
      </c>
      <c r="E5493">
        <v>4</v>
      </c>
      <c r="F5493">
        <v>3405</v>
      </c>
      <c r="G5493">
        <v>2</v>
      </c>
      <c r="H5493">
        <v>1</v>
      </c>
      <c r="I5493">
        <v>1966</v>
      </c>
      <c r="J5493">
        <v>0</v>
      </c>
      <c r="K5493">
        <v>0</v>
      </c>
      <c r="L5493">
        <v>1</v>
      </c>
      <c r="M5493">
        <v>5</v>
      </c>
      <c r="N5493" t="s">
        <v>35</v>
      </c>
      <c r="O5493" t="s">
        <v>30</v>
      </c>
      <c r="P5493">
        <v>13.205745886132499</v>
      </c>
      <c r="Q5493">
        <v>1.3425974721248699</v>
      </c>
      <c r="R5493">
        <v>3.2180089605875102</v>
      </c>
      <c r="S5493">
        <v>29</v>
      </c>
      <c r="T5493">
        <v>20</v>
      </c>
      <c r="U5493">
        <v>592.18173922158303</v>
      </c>
      <c r="V5493">
        <v>1.46842878120411E-3</v>
      </c>
      <c r="W5493">
        <v>2214782.8535515498</v>
      </c>
      <c r="X5493" t="s">
        <v>44</v>
      </c>
      <c r="Y5493">
        <f>1-376-600-8552</f>
        <v>-9527</v>
      </c>
    </row>
    <row r="5494" spans="1:25" x14ac:dyDescent="0.35">
      <c r="A5494">
        <v>41.127208345936999</v>
      </c>
      <c r="B5494">
        <v>-118.663948658848</v>
      </c>
      <c r="C5494" t="s">
        <v>25</v>
      </c>
      <c r="D5494">
        <v>4.9406830828748003</v>
      </c>
      <c r="E5494">
        <v>8</v>
      </c>
      <c r="F5494">
        <v>2474</v>
      </c>
      <c r="G5494">
        <v>4</v>
      </c>
      <c r="H5494">
        <v>3</v>
      </c>
      <c r="I5494">
        <v>1958</v>
      </c>
      <c r="J5494">
        <v>0</v>
      </c>
      <c r="K5494">
        <v>0</v>
      </c>
      <c r="L5494">
        <v>1</v>
      </c>
      <c r="M5494">
        <v>7</v>
      </c>
      <c r="N5494" t="s">
        <v>26</v>
      </c>
      <c r="O5494" t="s">
        <v>27</v>
      </c>
      <c r="P5494">
        <v>9.9390108921527904</v>
      </c>
      <c r="Q5494">
        <v>1.2725381638562001</v>
      </c>
      <c r="R5494">
        <v>5.3309006499161002</v>
      </c>
      <c r="S5494">
        <v>4</v>
      </c>
      <c r="T5494">
        <v>44</v>
      </c>
      <c r="U5494">
        <v>395.41416071474202</v>
      </c>
      <c r="V5494">
        <v>2.8294260307194798E-3</v>
      </c>
      <c r="W5494">
        <v>1275472.5201037601</v>
      </c>
      <c r="X5494" t="s">
        <v>36</v>
      </c>
      <c r="Y5494">
        <f>1-823-342-4612</f>
        <v>-5776</v>
      </c>
    </row>
    <row r="5495" spans="1:25" x14ac:dyDescent="0.35">
      <c r="A5495">
        <v>39.704471042634097</v>
      </c>
      <c r="B5495">
        <v>-120.479756155901</v>
      </c>
      <c r="C5495" t="s">
        <v>34</v>
      </c>
      <c r="D5495">
        <v>46.486193251138197</v>
      </c>
      <c r="E5495">
        <v>4</v>
      </c>
      <c r="F5495">
        <v>3387</v>
      </c>
      <c r="G5495">
        <v>4</v>
      </c>
      <c r="H5495">
        <v>3</v>
      </c>
      <c r="I5495">
        <v>1992</v>
      </c>
      <c r="J5495">
        <v>0</v>
      </c>
      <c r="K5495">
        <v>0</v>
      </c>
      <c r="L5495">
        <v>1</v>
      </c>
      <c r="M5495">
        <v>12</v>
      </c>
      <c r="N5495" t="s">
        <v>41</v>
      </c>
      <c r="O5495" t="s">
        <v>27</v>
      </c>
      <c r="P5495">
        <v>13.420021963634699</v>
      </c>
      <c r="Q5495">
        <v>0.66491810208450897</v>
      </c>
      <c r="R5495">
        <v>1.54583969002751</v>
      </c>
      <c r="S5495">
        <v>83</v>
      </c>
      <c r="T5495">
        <v>20</v>
      </c>
      <c r="U5495">
        <v>389.08010128455697</v>
      </c>
      <c r="V5495">
        <v>3.5429583702391498E-3</v>
      </c>
      <c r="W5495">
        <v>1611508.1166203199</v>
      </c>
      <c r="X5495" t="s">
        <v>28</v>
      </c>
      <c r="Y5495">
        <f>1-812-709-1837</f>
        <v>-3357</v>
      </c>
    </row>
    <row r="5496" spans="1:25" x14ac:dyDescent="0.35">
      <c r="A5496">
        <v>40.469107613244503</v>
      </c>
      <c r="B5496">
        <v>-116.539492008967</v>
      </c>
      <c r="C5496" t="s">
        <v>34</v>
      </c>
      <c r="D5496">
        <v>33.5224281569837</v>
      </c>
      <c r="E5496">
        <v>9</v>
      </c>
      <c r="F5496">
        <v>4146</v>
      </c>
      <c r="G5496">
        <v>4</v>
      </c>
      <c r="H5496">
        <v>1</v>
      </c>
      <c r="I5496">
        <v>1966</v>
      </c>
      <c r="J5496">
        <v>0</v>
      </c>
      <c r="K5496">
        <v>1</v>
      </c>
      <c r="L5496">
        <v>0</v>
      </c>
      <c r="M5496">
        <v>11</v>
      </c>
      <c r="N5496" t="s">
        <v>26</v>
      </c>
      <c r="O5496" t="s">
        <v>27</v>
      </c>
      <c r="P5496">
        <v>2.5551382049169802</v>
      </c>
      <c r="Q5496">
        <v>0.62307082486927601</v>
      </c>
      <c r="R5496">
        <v>6.1212453801057096</v>
      </c>
      <c r="S5496">
        <v>181</v>
      </c>
      <c r="T5496">
        <v>26</v>
      </c>
      <c r="U5496">
        <v>746.86028970836196</v>
      </c>
      <c r="V5496">
        <v>2.6531596719729799E-3</v>
      </c>
      <c r="W5496">
        <v>3243889.8699169401</v>
      </c>
      <c r="X5496" t="s">
        <v>36</v>
      </c>
      <c r="Y5496">
        <f>1-814-269-7859</f>
        <v>-8941</v>
      </c>
    </row>
    <row r="5497" spans="1:25" x14ac:dyDescent="0.35">
      <c r="A5497">
        <v>37.42874735481</v>
      </c>
      <c r="B5497">
        <v>-117.57501837163301</v>
      </c>
      <c r="C5497" t="s">
        <v>25</v>
      </c>
      <c r="D5497">
        <v>29.891100149738499</v>
      </c>
      <c r="E5497">
        <v>0</v>
      </c>
      <c r="F5497">
        <v>1916</v>
      </c>
      <c r="G5497">
        <v>5</v>
      </c>
      <c r="H5497">
        <v>1</v>
      </c>
      <c r="I5497">
        <v>1994</v>
      </c>
      <c r="J5497">
        <v>1</v>
      </c>
      <c r="K5497">
        <v>0</v>
      </c>
      <c r="L5497">
        <v>0</v>
      </c>
      <c r="M5497">
        <v>11</v>
      </c>
      <c r="N5497" t="s">
        <v>26</v>
      </c>
      <c r="O5497" t="s">
        <v>32</v>
      </c>
      <c r="P5497">
        <v>3.82317855279741</v>
      </c>
      <c r="Q5497">
        <v>1.1250247777214299</v>
      </c>
      <c r="R5497">
        <v>2.6068744984783998</v>
      </c>
      <c r="S5497">
        <v>120</v>
      </c>
      <c r="T5497">
        <v>42</v>
      </c>
      <c r="U5497">
        <v>809.93115357913405</v>
      </c>
      <c r="V5497">
        <v>5.7411273486430003E-3</v>
      </c>
      <c r="W5497">
        <v>1865440.9823634</v>
      </c>
      <c r="X5497" t="s">
        <v>39</v>
      </c>
      <c r="Y5497">
        <f>1-460-378-1514</f>
        <v>-2351</v>
      </c>
    </row>
    <row r="5498" spans="1:25" x14ac:dyDescent="0.35">
      <c r="A5498">
        <v>39.937590789770802</v>
      </c>
      <c r="B5498">
        <v>-123.20909057038</v>
      </c>
      <c r="C5498" t="s">
        <v>25</v>
      </c>
      <c r="D5498">
        <v>28.202894204337898</v>
      </c>
      <c r="E5498">
        <v>9</v>
      </c>
      <c r="F5498">
        <v>2481</v>
      </c>
      <c r="G5498">
        <v>5</v>
      </c>
      <c r="H5498">
        <v>3</v>
      </c>
      <c r="I5498">
        <v>2005</v>
      </c>
      <c r="J5498">
        <v>0</v>
      </c>
      <c r="K5498">
        <v>0</v>
      </c>
      <c r="L5498">
        <v>0</v>
      </c>
      <c r="M5498">
        <v>4</v>
      </c>
      <c r="N5498" t="s">
        <v>41</v>
      </c>
      <c r="O5498" t="s">
        <v>27</v>
      </c>
      <c r="P5498">
        <v>5.2032205053474998</v>
      </c>
      <c r="Q5498">
        <v>1.7463222192219701</v>
      </c>
      <c r="R5498">
        <v>9.4626518719056705</v>
      </c>
      <c r="S5498">
        <v>58</v>
      </c>
      <c r="T5498">
        <v>65</v>
      </c>
      <c r="U5498">
        <v>517.19807456953697</v>
      </c>
      <c r="V5498">
        <v>1.6122531237404199E-3</v>
      </c>
      <c r="W5498">
        <v>1568542.2124211499</v>
      </c>
      <c r="X5498" t="s">
        <v>28</v>
      </c>
      <c r="Y5498">
        <f>1-455-237-1842</f>
        <v>-2533</v>
      </c>
    </row>
    <row r="5499" spans="1:25" x14ac:dyDescent="0.35">
      <c r="A5499">
        <v>34.121244905549197</v>
      </c>
      <c r="B5499">
        <v>-115.461920691918</v>
      </c>
      <c r="C5499" t="s">
        <v>34</v>
      </c>
      <c r="D5499">
        <v>45.284367716950101</v>
      </c>
      <c r="E5499">
        <v>4</v>
      </c>
      <c r="F5499">
        <v>543</v>
      </c>
      <c r="G5499">
        <v>1</v>
      </c>
      <c r="H5499">
        <v>1</v>
      </c>
      <c r="I5499">
        <v>2019</v>
      </c>
      <c r="J5499">
        <v>0</v>
      </c>
      <c r="K5499">
        <v>1</v>
      </c>
      <c r="L5499">
        <v>1</v>
      </c>
      <c r="M5499">
        <v>8</v>
      </c>
      <c r="N5499" t="s">
        <v>35</v>
      </c>
      <c r="O5499" t="s">
        <v>32</v>
      </c>
      <c r="P5499">
        <v>7.3941050862057303</v>
      </c>
      <c r="Q5499">
        <v>1.0895222198532599</v>
      </c>
      <c r="R5499">
        <v>2.5507125124324901</v>
      </c>
      <c r="S5499">
        <v>74</v>
      </c>
      <c r="T5499">
        <v>79</v>
      </c>
      <c r="U5499">
        <v>678.21461853866299</v>
      </c>
      <c r="V5499">
        <v>1.47329650092081E-2</v>
      </c>
      <c r="W5499">
        <v>579186.897657861</v>
      </c>
      <c r="X5499" t="s">
        <v>43</v>
      </c>
      <c r="Y5499">
        <f>1-599-847-4074</f>
        <v>-5519</v>
      </c>
    </row>
    <row r="5500" spans="1:25" x14ac:dyDescent="0.35">
      <c r="A5500">
        <v>40.637090757131297</v>
      </c>
      <c r="B5500">
        <v>-116.307364290853</v>
      </c>
      <c r="C5500" t="s">
        <v>25</v>
      </c>
      <c r="D5500">
        <v>29.545877802753601</v>
      </c>
      <c r="E5500">
        <v>8</v>
      </c>
      <c r="F5500">
        <v>4027</v>
      </c>
      <c r="G5500">
        <v>5</v>
      </c>
      <c r="H5500">
        <v>2</v>
      </c>
      <c r="I5500">
        <v>2018</v>
      </c>
      <c r="J5500">
        <v>0</v>
      </c>
      <c r="K5500">
        <v>0</v>
      </c>
      <c r="L5500">
        <v>1</v>
      </c>
      <c r="M5500">
        <v>2</v>
      </c>
      <c r="N5500" t="s">
        <v>41</v>
      </c>
      <c r="O5500" t="s">
        <v>27</v>
      </c>
      <c r="P5500">
        <v>4.9092775577423398</v>
      </c>
      <c r="Q5500">
        <v>1.96803016605209</v>
      </c>
      <c r="R5500">
        <v>9.3043833973185901</v>
      </c>
      <c r="S5500">
        <v>176</v>
      </c>
      <c r="T5500">
        <v>26</v>
      </c>
      <c r="U5500">
        <v>619.19291640192705</v>
      </c>
      <c r="V5500">
        <v>4.9664762850757304E-4</v>
      </c>
      <c r="W5500">
        <v>2843155.3579567801</v>
      </c>
      <c r="X5500" t="s">
        <v>28</v>
      </c>
      <c r="Y5500">
        <f>1-644-331-4930</f>
        <v>-5904</v>
      </c>
    </row>
    <row r="5501" spans="1:25" x14ac:dyDescent="0.35">
      <c r="A5501">
        <v>37.861894805869802</v>
      </c>
      <c r="B5501">
        <v>-117.573925185813</v>
      </c>
      <c r="C5501" t="s">
        <v>29</v>
      </c>
      <c r="D5501">
        <v>7.5445424587055303</v>
      </c>
      <c r="E5501">
        <v>2</v>
      </c>
      <c r="F5501">
        <v>3122</v>
      </c>
      <c r="G5501">
        <v>3</v>
      </c>
      <c r="H5501">
        <v>1</v>
      </c>
      <c r="I5501">
        <v>1965</v>
      </c>
      <c r="J5501">
        <v>0</v>
      </c>
      <c r="K5501">
        <v>0</v>
      </c>
      <c r="L5501">
        <v>1</v>
      </c>
      <c r="M5501">
        <v>6</v>
      </c>
      <c r="N5501" t="s">
        <v>26</v>
      </c>
      <c r="O5501" t="s">
        <v>27</v>
      </c>
      <c r="P5501">
        <v>9.4695732979998599</v>
      </c>
      <c r="Q5501">
        <v>2.0767669145004199</v>
      </c>
      <c r="R5501">
        <v>6.2538147524858898</v>
      </c>
      <c r="S5501">
        <v>99</v>
      </c>
      <c r="T5501">
        <v>66</v>
      </c>
      <c r="U5501">
        <v>312.43535240532202</v>
      </c>
      <c r="V5501">
        <v>1.9218449711723201E-3</v>
      </c>
      <c r="W5501">
        <v>1062311.5140482699</v>
      </c>
      <c r="X5501" t="s">
        <v>38</v>
      </c>
      <c r="Y5501">
        <f>1-200-436-9364</f>
        <v>-9999</v>
      </c>
    </row>
    <row r="5502" spans="1:25" x14ac:dyDescent="0.35">
      <c r="A5502">
        <v>41.878087267402201</v>
      </c>
      <c r="B5502">
        <v>-120.62763316072601</v>
      </c>
      <c r="C5502" t="s">
        <v>34</v>
      </c>
      <c r="D5502">
        <v>34.119577859288498</v>
      </c>
      <c r="E5502">
        <v>2</v>
      </c>
      <c r="F5502">
        <v>4735</v>
      </c>
      <c r="G5502">
        <v>2</v>
      </c>
      <c r="H5502">
        <v>2</v>
      </c>
      <c r="I5502">
        <v>1983</v>
      </c>
      <c r="J5502">
        <v>0</v>
      </c>
      <c r="K5502">
        <v>0</v>
      </c>
      <c r="L5502">
        <v>1</v>
      </c>
      <c r="M5502">
        <v>13</v>
      </c>
      <c r="N5502" t="s">
        <v>41</v>
      </c>
      <c r="O5502" t="s">
        <v>27</v>
      </c>
      <c r="P5502">
        <v>14.193245636470699</v>
      </c>
      <c r="Q5502">
        <v>2.25844486598705</v>
      </c>
      <c r="R5502">
        <v>6.9786728487417404</v>
      </c>
      <c r="S5502">
        <v>94</v>
      </c>
      <c r="T5502">
        <v>20</v>
      </c>
      <c r="U5502">
        <v>919.37909964632604</v>
      </c>
      <c r="V5502">
        <v>2.7455121436114E-3</v>
      </c>
      <c r="W5502">
        <v>4522017.7429534504</v>
      </c>
      <c r="X5502" t="s">
        <v>40</v>
      </c>
      <c r="Y5502">
        <f>1-944-881-4129</f>
        <v>-5953</v>
      </c>
    </row>
    <row r="5503" spans="1:25" x14ac:dyDescent="0.35">
      <c r="A5503">
        <v>35.939149024408898</v>
      </c>
      <c r="B5503">
        <v>-116.93852475185599</v>
      </c>
      <c r="C5503" t="s">
        <v>29</v>
      </c>
      <c r="D5503">
        <v>13.4480428211569</v>
      </c>
      <c r="E5503">
        <v>8</v>
      </c>
      <c r="F5503">
        <v>1949</v>
      </c>
      <c r="G5503">
        <v>5</v>
      </c>
      <c r="H5503">
        <v>2</v>
      </c>
      <c r="I5503">
        <v>1971</v>
      </c>
      <c r="J5503">
        <v>0</v>
      </c>
      <c r="K5503">
        <v>0</v>
      </c>
      <c r="L5503">
        <v>1</v>
      </c>
      <c r="M5503">
        <v>8</v>
      </c>
      <c r="N5503" t="s">
        <v>35</v>
      </c>
      <c r="O5503" t="s">
        <v>30</v>
      </c>
      <c r="P5503">
        <v>12.626523319187299</v>
      </c>
      <c r="Q5503">
        <v>1.33788531540843</v>
      </c>
      <c r="R5503">
        <v>0.176077483826897</v>
      </c>
      <c r="S5503">
        <v>108</v>
      </c>
      <c r="T5503">
        <v>33</v>
      </c>
      <c r="U5503">
        <v>963.89037096756601</v>
      </c>
      <c r="V5503">
        <v>4.1046690610569503E-3</v>
      </c>
      <c r="W5503">
        <v>2196357.2632248499</v>
      </c>
      <c r="X5503" t="s">
        <v>39</v>
      </c>
      <c r="Y5503">
        <f>1-803-176-4759</f>
        <v>-5737</v>
      </c>
    </row>
    <row r="5504" spans="1:25" x14ac:dyDescent="0.35">
      <c r="A5504">
        <v>34.790512339889197</v>
      </c>
      <c r="B5504">
        <v>-119.568759490003</v>
      </c>
      <c r="C5504" t="s">
        <v>25</v>
      </c>
      <c r="D5504">
        <v>5.5016400103092398</v>
      </c>
      <c r="E5504">
        <v>0</v>
      </c>
      <c r="F5504">
        <v>3073</v>
      </c>
      <c r="G5504">
        <v>5</v>
      </c>
      <c r="H5504">
        <v>2</v>
      </c>
      <c r="I5504">
        <v>1978</v>
      </c>
      <c r="J5504">
        <v>1</v>
      </c>
      <c r="K5504">
        <v>0</v>
      </c>
      <c r="L5504">
        <v>1</v>
      </c>
      <c r="M5504">
        <v>4</v>
      </c>
      <c r="N5504" t="s">
        <v>26</v>
      </c>
      <c r="O5504" t="s">
        <v>30</v>
      </c>
      <c r="P5504">
        <v>5.5350990985341797</v>
      </c>
      <c r="Q5504">
        <v>1.39206784007411</v>
      </c>
      <c r="R5504">
        <v>1.9010889886197699</v>
      </c>
      <c r="S5504">
        <v>62</v>
      </c>
      <c r="T5504">
        <v>61</v>
      </c>
      <c r="U5504">
        <v>716.65667694101205</v>
      </c>
      <c r="V5504">
        <v>1.3016596160104099E-3</v>
      </c>
      <c r="W5504">
        <v>2606489.8755356101</v>
      </c>
      <c r="X5504" t="s">
        <v>36</v>
      </c>
      <c r="Y5504">
        <f>1-550-115-5394</f>
        <v>-6058</v>
      </c>
    </row>
    <row r="5505" spans="1:25" x14ac:dyDescent="0.35">
      <c r="A5505">
        <v>39.938681231424702</v>
      </c>
      <c r="B5505">
        <v>-115.20178135603599</v>
      </c>
      <c r="C5505" t="s">
        <v>29</v>
      </c>
      <c r="D5505">
        <v>24.999619696282299</v>
      </c>
      <c r="E5505">
        <v>5</v>
      </c>
      <c r="F5505">
        <v>1463</v>
      </c>
      <c r="G5505">
        <v>2</v>
      </c>
      <c r="H5505">
        <v>1</v>
      </c>
      <c r="I5505">
        <v>1985</v>
      </c>
      <c r="J5505">
        <v>0</v>
      </c>
      <c r="K5505">
        <v>1</v>
      </c>
      <c r="L5505">
        <v>1</v>
      </c>
      <c r="M5505">
        <v>13</v>
      </c>
      <c r="N5505" t="s">
        <v>37</v>
      </c>
      <c r="O5505" t="s">
        <v>30</v>
      </c>
      <c r="P5505">
        <v>11.544305209065399</v>
      </c>
      <c r="Q5505">
        <v>0.962709982581751</v>
      </c>
      <c r="R5505">
        <v>9.5035551031605099</v>
      </c>
      <c r="S5505">
        <v>151</v>
      </c>
      <c r="T5505">
        <v>30</v>
      </c>
      <c r="U5505">
        <v>585.373565321618</v>
      </c>
      <c r="V5505">
        <v>8.8858509911141498E-3</v>
      </c>
      <c r="W5505">
        <v>1163095.1110223599</v>
      </c>
      <c r="X5505" t="s">
        <v>43</v>
      </c>
      <c r="Y5505">
        <f>1-996-498-7576</f>
        <v>-9069</v>
      </c>
    </row>
    <row r="5506" spans="1:25" x14ac:dyDescent="0.35">
      <c r="A5506">
        <v>36.8886476005029</v>
      </c>
      <c r="B5506">
        <v>-121.542718228273</v>
      </c>
      <c r="C5506" t="s">
        <v>29</v>
      </c>
      <c r="D5506">
        <v>32.883200413981697</v>
      </c>
      <c r="E5506">
        <v>9</v>
      </c>
      <c r="F5506">
        <v>3253</v>
      </c>
      <c r="G5506">
        <v>3</v>
      </c>
      <c r="H5506">
        <v>1</v>
      </c>
      <c r="I5506">
        <v>1979</v>
      </c>
      <c r="J5506">
        <v>1</v>
      </c>
      <c r="K5506">
        <v>1</v>
      </c>
      <c r="L5506">
        <v>0</v>
      </c>
      <c r="M5506">
        <v>13</v>
      </c>
      <c r="N5506" t="s">
        <v>41</v>
      </c>
      <c r="O5506" t="s">
        <v>27</v>
      </c>
      <c r="P5506">
        <v>7.3164020920519901</v>
      </c>
      <c r="Q5506">
        <v>1.4671716761039599</v>
      </c>
      <c r="R5506">
        <v>7.8593077014773103</v>
      </c>
      <c r="S5506">
        <v>145</v>
      </c>
      <c r="T5506">
        <v>74</v>
      </c>
      <c r="U5506">
        <v>236.50913366514899</v>
      </c>
      <c r="V5506">
        <v>3.9963110974484996E-3</v>
      </c>
      <c r="W5506">
        <v>1044795.65769898</v>
      </c>
      <c r="X5506" t="s">
        <v>31</v>
      </c>
      <c r="Y5506">
        <f>1-818-795-1756</f>
        <v>-3368</v>
      </c>
    </row>
    <row r="5507" spans="1:25" x14ac:dyDescent="0.35">
      <c r="A5507">
        <v>34.984224939957599</v>
      </c>
      <c r="B5507">
        <v>-115.092776993575</v>
      </c>
      <c r="C5507" t="s">
        <v>29</v>
      </c>
      <c r="D5507">
        <v>19.473124073408901</v>
      </c>
      <c r="E5507">
        <v>9</v>
      </c>
      <c r="F5507">
        <v>1925</v>
      </c>
      <c r="G5507">
        <v>1</v>
      </c>
      <c r="H5507">
        <v>3</v>
      </c>
      <c r="I5507">
        <v>2007</v>
      </c>
      <c r="J5507">
        <v>1</v>
      </c>
      <c r="K5507">
        <v>1</v>
      </c>
      <c r="L5507">
        <v>0</v>
      </c>
      <c r="M5507">
        <v>13</v>
      </c>
      <c r="N5507" t="s">
        <v>37</v>
      </c>
      <c r="O5507" t="s">
        <v>27</v>
      </c>
      <c r="P5507">
        <v>11.788755407452101</v>
      </c>
      <c r="Q5507">
        <v>0.92184026331916102</v>
      </c>
      <c r="R5507">
        <v>3.1626769821864098</v>
      </c>
      <c r="S5507">
        <v>122</v>
      </c>
      <c r="T5507">
        <v>76</v>
      </c>
      <c r="U5507">
        <v>841.667897824796</v>
      </c>
      <c r="V5507">
        <v>6.7532467532467498E-3</v>
      </c>
      <c r="W5507">
        <v>2001214.3935442099</v>
      </c>
      <c r="X5507" t="s">
        <v>28</v>
      </c>
      <c r="Y5507">
        <f>1-780-898-8891</f>
        <v>-10568</v>
      </c>
    </row>
    <row r="5508" spans="1:25" x14ac:dyDescent="0.35">
      <c r="A5508">
        <v>41.484776233357401</v>
      </c>
      <c r="B5508">
        <v>-118.28226310419601</v>
      </c>
      <c r="C5508" t="s">
        <v>34</v>
      </c>
      <c r="D5508">
        <v>11.331860324296001</v>
      </c>
      <c r="E5508">
        <v>7</v>
      </c>
      <c r="F5508">
        <v>3623</v>
      </c>
      <c r="G5508">
        <v>4</v>
      </c>
      <c r="H5508">
        <v>1</v>
      </c>
      <c r="I5508">
        <v>1982</v>
      </c>
      <c r="J5508">
        <v>1</v>
      </c>
      <c r="K5508">
        <v>0</v>
      </c>
      <c r="L5508">
        <v>0</v>
      </c>
      <c r="M5508">
        <v>3</v>
      </c>
      <c r="N5508" t="s">
        <v>37</v>
      </c>
      <c r="O5508" t="s">
        <v>32</v>
      </c>
      <c r="P5508">
        <v>5.9012000534194504</v>
      </c>
      <c r="Q5508">
        <v>1.1545654620802099</v>
      </c>
      <c r="R5508">
        <v>6.6018380648094999</v>
      </c>
      <c r="S5508">
        <v>161</v>
      </c>
      <c r="T5508">
        <v>54</v>
      </c>
      <c r="U5508">
        <v>802.59606100082601</v>
      </c>
      <c r="V5508">
        <v>8.2804305823902795E-4</v>
      </c>
      <c r="W5508">
        <v>3087163.79027892</v>
      </c>
      <c r="X5508" t="s">
        <v>39</v>
      </c>
      <c r="Y5508">
        <f>1-324-299-7128</f>
        <v>-7750</v>
      </c>
    </row>
    <row r="5509" spans="1:25" x14ac:dyDescent="0.35">
      <c r="A5509">
        <v>41.416210307440203</v>
      </c>
      <c r="B5509">
        <v>-123.62063170243501</v>
      </c>
      <c r="C5509" t="s">
        <v>25</v>
      </c>
      <c r="D5509">
        <v>2.0854739810404799</v>
      </c>
      <c r="E5509">
        <v>8</v>
      </c>
      <c r="F5509">
        <v>1677</v>
      </c>
      <c r="G5509">
        <v>3</v>
      </c>
      <c r="H5509">
        <v>2</v>
      </c>
      <c r="I5509">
        <v>1971</v>
      </c>
      <c r="J5509">
        <v>1</v>
      </c>
      <c r="K5509">
        <v>0</v>
      </c>
      <c r="L5509">
        <v>0</v>
      </c>
      <c r="M5509">
        <v>12</v>
      </c>
      <c r="N5509" t="s">
        <v>35</v>
      </c>
      <c r="O5509" t="s">
        <v>32</v>
      </c>
      <c r="P5509">
        <v>3.1475697972538201</v>
      </c>
      <c r="Q5509">
        <v>0.53762120315912698</v>
      </c>
      <c r="R5509">
        <v>6.6654296397361303</v>
      </c>
      <c r="S5509">
        <v>69</v>
      </c>
      <c r="T5509">
        <v>74</v>
      </c>
      <c r="U5509">
        <v>561.68112485608196</v>
      </c>
      <c r="V5509">
        <v>7.1556350626117999E-3</v>
      </c>
      <c r="W5509">
        <v>1156075.1941520399</v>
      </c>
      <c r="X5509" t="s">
        <v>33</v>
      </c>
      <c r="Y5509">
        <f>1-984-281-5024</f>
        <v>-6288</v>
      </c>
    </row>
    <row r="5510" spans="1:25" x14ac:dyDescent="0.35">
      <c r="A5510">
        <v>32.747089911112397</v>
      </c>
      <c r="B5510">
        <v>-121.475318778342</v>
      </c>
      <c r="C5510" t="s">
        <v>29</v>
      </c>
      <c r="D5510">
        <v>15.6903235849775</v>
      </c>
      <c r="E5510">
        <v>3</v>
      </c>
      <c r="F5510">
        <v>2164</v>
      </c>
      <c r="G5510">
        <v>3</v>
      </c>
      <c r="H5510">
        <v>1</v>
      </c>
      <c r="I5510">
        <v>1982</v>
      </c>
      <c r="J5510">
        <v>0</v>
      </c>
      <c r="K5510">
        <v>0</v>
      </c>
      <c r="L5510">
        <v>1</v>
      </c>
      <c r="M5510">
        <v>3</v>
      </c>
      <c r="N5510" t="s">
        <v>35</v>
      </c>
      <c r="O5510" t="s">
        <v>27</v>
      </c>
      <c r="P5510">
        <v>6.4326661190707499</v>
      </c>
      <c r="Q5510">
        <v>1.87152636640516</v>
      </c>
      <c r="R5510">
        <v>5.0508028800687104</v>
      </c>
      <c r="S5510">
        <v>98</v>
      </c>
      <c r="T5510">
        <v>42</v>
      </c>
      <c r="U5510">
        <v>983.89058720920696</v>
      </c>
      <c r="V5510">
        <v>1.38632162661737E-3</v>
      </c>
      <c r="W5510">
        <v>2310437.7048660801</v>
      </c>
      <c r="X5510" t="s">
        <v>39</v>
      </c>
      <c r="Y5510">
        <f>1-988-111-5105</f>
        <v>-6203</v>
      </c>
    </row>
    <row r="5511" spans="1:25" x14ac:dyDescent="0.35">
      <c r="A5511">
        <v>37.131481039013998</v>
      </c>
      <c r="B5511">
        <v>-116.379127672818</v>
      </c>
      <c r="C5511" t="s">
        <v>25</v>
      </c>
      <c r="D5511">
        <v>38.999177151144202</v>
      </c>
      <c r="E5511">
        <v>0</v>
      </c>
      <c r="F5511">
        <v>3808</v>
      </c>
      <c r="G5511">
        <v>2</v>
      </c>
      <c r="H5511">
        <v>1</v>
      </c>
      <c r="I5511">
        <v>2010</v>
      </c>
      <c r="J5511">
        <v>0</v>
      </c>
      <c r="K5511">
        <v>0</v>
      </c>
      <c r="L5511">
        <v>0</v>
      </c>
      <c r="M5511">
        <v>7</v>
      </c>
      <c r="N5511" t="s">
        <v>37</v>
      </c>
      <c r="O5511" t="s">
        <v>27</v>
      </c>
      <c r="P5511">
        <v>13.367036476480701</v>
      </c>
      <c r="Q5511">
        <v>2.0681204952518701</v>
      </c>
      <c r="R5511">
        <v>4.6184837413587303</v>
      </c>
      <c r="S5511">
        <v>124</v>
      </c>
      <c r="T5511">
        <v>51</v>
      </c>
      <c r="U5511">
        <v>372.91847626661502</v>
      </c>
      <c r="V5511">
        <v>1.8382352941176401E-3</v>
      </c>
      <c r="W5511">
        <v>1617281.0512150901</v>
      </c>
      <c r="X5511" t="s">
        <v>42</v>
      </c>
      <c r="Y5511">
        <f>1-260-361-2055</f>
        <v>-2675</v>
      </c>
    </row>
    <row r="5512" spans="1:25" x14ac:dyDescent="0.35">
      <c r="A5512">
        <v>33.798020089800197</v>
      </c>
      <c r="B5512">
        <v>-116.308392029044</v>
      </c>
      <c r="C5512" t="s">
        <v>34</v>
      </c>
      <c r="D5512">
        <v>19.653364368433799</v>
      </c>
      <c r="E5512">
        <v>5</v>
      </c>
      <c r="F5512">
        <v>731</v>
      </c>
      <c r="G5512">
        <v>1</v>
      </c>
      <c r="H5512">
        <v>3</v>
      </c>
      <c r="I5512">
        <v>1990</v>
      </c>
      <c r="J5512">
        <v>0</v>
      </c>
      <c r="K5512">
        <v>1</v>
      </c>
      <c r="L5512">
        <v>0</v>
      </c>
      <c r="M5512">
        <v>8</v>
      </c>
      <c r="N5512" t="s">
        <v>37</v>
      </c>
      <c r="O5512" t="s">
        <v>32</v>
      </c>
      <c r="P5512">
        <v>2.4984819978375201</v>
      </c>
      <c r="Q5512">
        <v>2.1338441643319599</v>
      </c>
      <c r="R5512">
        <v>0.11215747919918399</v>
      </c>
      <c r="S5512">
        <v>41</v>
      </c>
      <c r="T5512">
        <v>49</v>
      </c>
      <c r="U5512">
        <v>331.79836593404201</v>
      </c>
      <c r="V5512">
        <v>1.09439124487004E-2</v>
      </c>
      <c r="W5512">
        <v>380325.26913847303</v>
      </c>
      <c r="X5512" t="s">
        <v>39</v>
      </c>
      <c r="Y5512">
        <f>1-276-971-5773</f>
        <v>-7019</v>
      </c>
    </row>
    <row r="5513" spans="1:25" x14ac:dyDescent="0.35">
      <c r="A5513">
        <v>36.030805851301999</v>
      </c>
      <c r="B5513">
        <v>-119.68625315861701</v>
      </c>
      <c r="C5513" t="s">
        <v>25</v>
      </c>
      <c r="D5513">
        <v>5.2035988015773498</v>
      </c>
      <c r="E5513">
        <v>6</v>
      </c>
      <c r="F5513">
        <v>2818</v>
      </c>
      <c r="G5513">
        <v>5</v>
      </c>
      <c r="H5513">
        <v>1</v>
      </c>
      <c r="I5513">
        <v>1955</v>
      </c>
      <c r="J5513">
        <v>0</v>
      </c>
      <c r="K5513">
        <v>0</v>
      </c>
      <c r="L5513">
        <v>1</v>
      </c>
      <c r="M5513">
        <v>5</v>
      </c>
      <c r="N5513" t="s">
        <v>35</v>
      </c>
      <c r="O5513" t="s">
        <v>30</v>
      </c>
      <c r="P5513">
        <v>2.52669840266234</v>
      </c>
      <c r="Q5513">
        <v>1.3941827889789</v>
      </c>
      <c r="R5513">
        <v>8.2789605374984294</v>
      </c>
      <c r="S5513">
        <v>128</v>
      </c>
      <c r="T5513">
        <v>63</v>
      </c>
      <c r="U5513">
        <v>506.999197181402</v>
      </c>
      <c r="V5513">
        <v>1.77430801987224E-3</v>
      </c>
      <c r="W5513">
        <v>1617586.49265127</v>
      </c>
      <c r="X5513" t="s">
        <v>39</v>
      </c>
      <c r="Y5513">
        <f>1-715-750-1791</f>
        <v>-3255</v>
      </c>
    </row>
    <row r="5514" spans="1:25" x14ac:dyDescent="0.35">
      <c r="A5514">
        <v>37.683901077573402</v>
      </c>
      <c r="B5514">
        <v>-120.58970888300099</v>
      </c>
      <c r="C5514" t="s">
        <v>29</v>
      </c>
      <c r="D5514">
        <v>2.3509596092935898</v>
      </c>
      <c r="E5514">
        <v>8</v>
      </c>
      <c r="F5514">
        <v>2094</v>
      </c>
      <c r="G5514">
        <v>2</v>
      </c>
      <c r="H5514">
        <v>1</v>
      </c>
      <c r="I5514">
        <v>1986</v>
      </c>
      <c r="J5514">
        <v>1</v>
      </c>
      <c r="K5514">
        <v>0</v>
      </c>
      <c r="L5514">
        <v>1</v>
      </c>
      <c r="M5514">
        <v>3</v>
      </c>
      <c r="N5514" t="s">
        <v>37</v>
      </c>
      <c r="O5514" t="s">
        <v>27</v>
      </c>
      <c r="P5514">
        <v>8.6104299375734392</v>
      </c>
      <c r="Q5514">
        <v>0.92182037919840898</v>
      </c>
      <c r="R5514">
        <v>5.1887577525955697</v>
      </c>
      <c r="S5514">
        <v>97</v>
      </c>
      <c r="T5514">
        <v>25</v>
      </c>
      <c r="U5514">
        <v>726.49922308060604</v>
      </c>
      <c r="V5514">
        <v>1.4326647564469901E-3</v>
      </c>
      <c r="W5514">
        <v>1723171.02143422</v>
      </c>
      <c r="X5514" t="s">
        <v>44</v>
      </c>
      <c r="Y5514">
        <f>1-277-202-1221</f>
        <v>-1699</v>
      </c>
    </row>
    <row r="5515" spans="1:25" x14ac:dyDescent="0.35">
      <c r="A5515">
        <v>40.764683247872703</v>
      </c>
      <c r="B5515">
        <v>-120.082837659079</v>
      </c>
      <c r="C5515" t="s">
        <v>25</v>
      </c>
      <c r="D5515">
        <v>14.259034494352401</v>
      </c>
      <c r="E5515">
        <v>5</v>
      </c>
      <c r="F5515">
        <v>1681</v>
      </c>
      <c r="G5515">
        <v>5</v>
      </c>
      <c r="H5515">
        <v>3</v>
      </c>
      <c r="I5515">
        <v>1971</v>
      </c>
      <c r="J5515">
        <v>0</v>
      </c>
      <c r="K5515">
        <v>0</v>
      </c>
      <c r="L5515">
        <v>0</v>
      </c>
      <c r="M5515">
        <v>13</v>
      </c>
      <c r="N5515" t="s">
        <v>37</v>
      </c>
      <c r="O5515" t="s">
        <v>32</v>
      </c>
      <c r="P5515">
        <v>7.4960715621639196</v>
      </c>
      <c r="Q5515">
        <v>1.33366428399822</v>
      </c>
      <c r="R5515">
        <v>6.6790128193197598</v>
      </c>
      <c r="S5515">
        <v>197</v>
      </c>
      <c r="T5515">
        <v>73</v>
      </c>
      <c r="U5515">
        <v>829.54695592193298</v>
      </c>
      <c r="V5515">
        <v>7.73349196906603E-3</v>
      </c>
      <c r="W5515">
        <v>1678383.7271424499</v>
      </c>
      <c r="X5515" t="s">
        <v>31</v>
      </c>
      <c r="Y5515">
        <f>1-823-492-4054</f>
        <v>-5368</v>
      </c>
    </row>
    <row r="5516" spans="1:25" x14ac:dyDescent="0.35">
      <c r="A5516">
        <v>41.081689769891597</v>
      </c>
      <c r="B5516">
        <v>-120.863416040391</v>
      </c>
      <c r="C5516" t="s">
        <v>25</v>
      </c>
      <c r="D5516">
        <v>49.250243883030599</v>
      </c>
      <c r="E5516">
        <v>5</v>
      </c>
      <c r="F5516">
        <v>1510</v>
      </c>
      <c r="G5516">
        <v>3</v>
      </c>
      <c r="H5516">
        <v>2</v>
      </c>
      <c r="I5516">
        <v>2014</v>
      </c>
      <c r="J5516">
        <v>1</v>
      </c>
      <c r="K5516">
        <v>1</v>
      </c>
      <c r="L5516">
        <v>0</v>
      </c>
      <c r="M5516">
        <v>11</v>
      </c>
      <c r="N5516" t="s">
        <v>41</v>
      </c>
      <c r="O5516" t="s">
        <v>27</v>
      </c>
      <c r="P5516">
        <v>11.6310787069936</v>
      </c>
      <c r="Q5516">
        <v>1.3098087609442799</v>
      </c>
      <c r="R5516">
        <v>4.0962739334132596</v>
      </c>
      <c r="S5516">
        <v>186</v>
      </c>
      <c r="T5516">
        <v>32</v>
      </c>
      <c r="U5516">
        <v>271.33402057810201</v>
      </c>
      <c r="V5516">
        <v>7.2847682119205302E-3</v>
      </c>
      <c r="W5516">
        <v>802466.83339279599</v>
      </c>
      <c r="X5516" t="s">
        <v>28</v>
      </c>
      <c r="Y5516">
        <f>1-845-745-4922</f>
        <v>-6511</v>
      </c>
    </row>
    <row r="5517" spans="1:25" x14ac:dyDescent="0.35">
      <c r="A5517">
        <v>35.337550423762103</v>
      </c>
      <c r="B5517">
        <v>-119.799241543032</v>
      </c>
      <c r="C5517" t="s">
        <v>29</v>
      </c>
      <c r="D5517">
        <v>17.7830135149608</v>
      </c>
      <c r="E5517">
        <v>2</v>
      </c>
      <c r="F5517">
        <v>4200</v>
      </c>
      <c r="G5517">
        <v>2</v>
      </c>
      <c r="H5517">
        <v>1</v>
      </c>
      <c r="I5517">
        <v>1991</v>
      </c>
      <c r="J5517">
        <v>0</v>
      </c>
      <c r="K5517">
        <v>1</v>
      </c>
      <c r="L5517">
        <v>1</v>
      </c>
      <c r="M5517">
        <v>9</v>
      </c>
      <c r="N5517" t="s">
        <v>41</v>
      </c>
      <c r="O5517" t="s">
        <v>27</v>
      </c>
      <c r="P5517">
        <v>8.7059113318255203</v>
      </c>
      <c r="Q5517">
        <v>2.4673741199399402</v>
      </c>
      <c r="R5517">
        <v>0.91870737682700199</v>
      </c>
      <c r="S5517">
        <v>31</v>
      </c>
      <c r="T5517">
        <v>28</v>
      </c>
      <c r="U5517">
        <v>625.34504060333495</v>
      </c>
      <c r="V5517">
        <v>2.1428571428571399E-3</v>
      </c>
      <c r="W5517">
        <v>2922766.5085413898</v>
      </c>
      <c r="X5517" t="s">
        <v>36</v>
      </c>
      <c r="Y5517">
        <f>1-786-150-3568</f>
        <v>-4503</v>
      </c>
    </row>
    <row r="5518" spans="1:25" x14ac:dyDescent="0.35">
      <c r="A5518">
        <v>40.972160344268197</v>
      </c>
      <c r="B5518">
        <v>-117.698167001426</v>
      </c>
      <c r="C5518" t="s">
        <v>29</v>
      </c>
      <c r="D5518">
        <v>36.1791184178755</v>
      </c>
      <c r="E5518">
        <v>5</v>
      </c>
      <c r="F5518">
        <v>630</v>
      </c>
      <c r="G5518">
        <v>3</v>
      </c>
      <c r="H5518">
        <v>1</v>
      </c>
      <c r="I5518">
        <v>1971</v>
      </c>
      <c r="J5518">
        <v>1</v>
      </c>
      <c r="K5518">
        <v>1</v>
      </c>
      <c r="L5518">
        <v>0</v>
      </c>
      <c r="M5518">
        <v>8</v>
      </c>
      <c r="N5518" t="s">
        <v>41</v>
      </c>
      <c r="O5518" t="s">
        <v>27</v>
      </c>
      <c r="P5518">
        <v>3.86565834126481</v>
      </c>
      <c r="Q5518">
        <v>1.5049651759320699</v>
      </c>
      <c r="R5518">
        <v>4.0174466932421504</v>
      </c>
      <c r="S5518">
        <v>156</v>
      </c>
      <c r="T5518">
        <v>79</v>
      </c>
      <c r="U5518">
        <v>938.26253766447303</v>
      </c>
      <c r="V5518">
        <v>1.26984126984126E-2</v>
      </c>
      <c r="W5518">
        <v>816152.847782203</v>
      </c>
      <c r="X5518" t="s">
        <v>31</v>
      </c>
      <c r="Y5518">
        <f>1-877-773-6295</f>
        <v>-7944</v>
      </c>
    </row>
    <row r="5519" spans="1:25" x14ac:dyDescent="0.35">
      <c r="A5519">
        <v>41.824929097670797</v>
      </c>
      <c r="B5519">
        <v>-120.51046528735699</v>
      </c>
      <c r="C5519" t="s">
        <v>34</v>
      </c>
      <c r="D5519">
        <v>34.4861101573523</v>
      </c>
      <c r="E5519">
        <v>7</v>
      </c>
      <c r="F5519">
        <v>2362</v>
      </c>
      <c r="G5519">
        <v>5</v>
      </c>
      <c r="H5519">
        <v>1</v>
      </c>
      <c r="I5519">
        <v>2022</v>
      </c>
      <c r="J5519">
        <v>0</v>
      </c>
      <c r="K5519">
        <v>0</v>
      </c>
      <c r="L5519">
        <v>1</v>
      </c>
      <c r="M5519">
        <v>2</v>
      </c>
      <c r="N5519" t="s">
        <v>41</v>
      </c>
      <c r="O5519" t="s">
        <v>32</v>
      </c>
      <c r="P5519">
        <v>14.725776450281</v>
      </c>
      <c r="Q5519">
        <v>1.7699067206382</v>
      </c>
      <c r="R5519">
        <v>0.38992649610602298</v>
      </c>
      <c r="S5519">
        <v>56</v>
      </c>
      <c r="T5519">
        <v>74</v>
      </c>
      <c r="U5519">
        <v>379.17808446460401</v>
      </c>
      <c r="V5519">
        <v>8.4674005080440302E-4</v>
      </c>
      <c r="W5519">
        <v>1363299.19436567</v>
      </c>
      <c r="X5519" t="s">
        <v>40</v>
      </c>
      <c r="Y5519">
        <f>1-294-774-2321</f>
        <v>-3388</v>
      </c>
    </row>
    <row r="5520" spans="1:25" x14ac:dyDescent="0.35">
      <c r="A5520">
        <v>40.0682565618309</v>
      </c>
      <c r="B5520">
        <v>-120.49421907044101</v>
      </c>
      <c r="C5520" t="s">
        <v>29</v>
      </c>
      <c r="D5520">
        <v>5.0598598469314897</v>
      </c>
      <c r="E5520">
        <v>1</v>
      </c>
      <c r="F5520">
        <v>4423</v>
      </c>
      <c r="G5520">
        <v>2</v>
      </c>
      <c r="H5520">
        <v>1</v>
      </c>
      <c r="I5520">
        <v>2005</v>
      </c>
      <c r="J5520">
        <v>0</v>
      </c>
      <c r="K5520">
        <v>1</v>
      </c>
      <c r="L5520">
        <v>1</v>
      </c>
      <c r="M5520">
        <v>7</v>
      </c>
      <c r="N5520" t="s">
        <v>41</v>
      </c>
      <c r="O5520" t="s">
        <v>27</v>
      </c>
      <c r="P5520">
        <v>10.2876155482061</v>
      </c>
      <c r="Q5520">
        <v>0.721776986114402</v>
      </c>
      <c r="R5520">
        <v>6.4738200050945798</v>
      </c>
      <c r="S5520">
        <v>79</v>
      </c>
      <c r="T5520">
        <v>23</v>
      </c>
      <c r="U5520">
        <v>488.73383498593302</v>
      </c>
      <c r="V5520">
        <v>1.58263621976034E-3</v>
      </c>
      <c r="W5520">
        <v>2350704.5206659301</v>
      </c>
      <c r="X5520" t="s">
        <v>40</v>
      </c>
      <c r="Y5520">
        <f>1-644-401-1143</f>
        <v>-2187</v>
      </c>
    </row>
    <row r="5521" spans="1:25" x14ac:dyDescent="0.35">
      <c r="A5521">
        <v>34.517807692971303</v>
      </c>
      <c r="B5521">
        <v>-118.30899374807601</v>
      </c>
      <c r="C5521" t="s">
        <v>25</v>
      </c>
      <c r="D5521">
        <v>1.5400807310995801</v>
      </c>
      <c r="E5521">
        <v>3</v>
      </c>
      <c r="F5521">
        <v>1709</v>
      </c>
      <c r="G5521">
        <v>3</v>
      </c>
      <c r="H5521">
        <v>3</v>
      </c>
      <c r="I5521">
        <v>1982</v>
      </c>
      <c r="J5521">
        <v>1</v>
      </c>
      <c r="K5521">
        <v>0</v>
      </c>
      <c r="L5521">
        <v>0</v>
      </c>
      <c r="M5521">
        <v>6</v>
      </c>
      <c r="N5521" t="s">
        <v>37</v>
      </c>
      <c r="O5521" t="s">
        <v>27</v>
      </c>
      <c r="P5521">
        <v>7.7111586544012898</v>
      </c>
      <c r="Q5521">
        <v>2.3105818741761199</v>
      </c>
      <c r="R5521">
        <v>7.9113789296565402</v>
      </c>
      <c r="S5521">
        <v>59</v>
      </c>
      <c r="T5521">
        <v>44</v>
      </c>
      <c r="U5521">
        <v>804.71088283582606</v>
      </c>
      <c r="V5521">
        <v>3.5108250438853099E-3</v>
      </c>
      <c r="W5521">
        <v>1594592.6285982199</v>
      </c>
      <c r="X5521" t="s">
        <v>40</v>
      </c>
      <c r="Y5521">
        <f>1-223-165-1154</f>
        <v>-1541</v>
      </c>
    </row>
    <row r="5522" spans="1:25" x14ac:dyDescent="0.35">
      <c r="A5522">
        <v>33.763406855952702</v>
      </c>
      <c r="B5522">
        <v>-114.628320335327</v>
      </c>
      <c r="C5522" t="s">
        <v>25</v>
      </c>
      <c r="D5522">
        <v>48.785262922187101</v>
      </c>
      <c r="E5522">
        <v>8</v>
      </c>
      <c r="F5522">
        <v>2047</v>
      </c>
      <c r="G5522">
        <v>1</v>
      </c>
      <c r="H5522">
        <v>1</v>
      </c>
      <c r="I5522">
        <v>2007</v>
      </c>
      <c r="J5522">
        <v>0</v>
      </c>
      <c r="K5522">
        <v>1</v>
      </c>
      <c r="L5522">
        <v>0</v>
      </c>
      <c r="M5522">
        <v>9</v>
      </c>
      <c r="N5522" t="s">
        <v>37</v>
      </c>
      <c r="O5522" t="s">
        <v>30</v>
      </c>
      <c r="P5522">
        <v>8.0210893485997694</v>
      </c>
      <c r="Q5522">
        <v>2.41216352821806</v>
      </c>
      <c r="R5522">
        <v>3.8681502471117901</v>
      </c>
      <c r="S5522">
        <v>149</v>
      </c>
      <c r="T5522">
        <v>77</v>
      </c>
      <c r="U5522">
        <v>740.00762486544795</v>
      </c>
      <c r="V5522">
        <v>4.3966780654616502E-3</v>
      </c>
      <c r="W5522">
        <v>1725776.67961699</v>
      </c>
      <c r="X5522" t="s">
        <v>31</v>
      </c>
      <c r="Y5522">
        <f>1-201-943-9825</f>
        <v>-10968</v>
      </c>
    </row>
    <row r="5523" spans="1:25" x14ac:dyDescent="0.35">
      <c r="A5523">
        <v>37.5758728348058</v>
      </c>
      <c r="B5523">
        <v>-120.301462829031</v>
      </c>
      <c r="C5523" t="s">
        <v>29</v>
      </c>
      <c r="D5523">
        <v>42.2635472039006</v>
      </c>
      <c r="E5523">
        <v>5</v>
      </c>
      <c r="F5523">
        <v>4073</v>
      </c>
      <c r="G5523">
        <v>1</v>
      </c>
      <c r="H5523">
        <v>1</v>
      </c>
      <c r="I5523">
        <v>2004</v>
      </c>
      <c r="J5523">
        <v>0</v>
      </c>
      <c r="K5523">
        <v>1</v>
      </c>
      <c r="L5523">
        <v>1</v>
      </c>
      <c r="M5523">
        <v>11</v>
      </c>
      <c r="N5523" t="s">
        <v>37</v>
      </c>
      <c r="O5523" t="s">
        <v>27</v>
      </c>
      <c r="P5523">
        <v>8.9081389670250992</v>
      </c>
      <c r="Q5523">
        <v>0.970121018689314</v>
      </c>
      <c r="R5523">
        <v>8.1781917329788794</v>
      </c>
      <c r="S5523">
        <v>120</v>
      </c>
      <c r="T5523">
        <v>78</v>
      </c>
      <c r="U5523">
        <v>673.18536187950599</v>
      </c>
      <c r="V5523">
        <v>2.7007120058924602E-3</v>
      </c>
      <c r="W5523">
        <v>2940947.42908007</v>
      </c>
      <c r="X5523" t="s">
        <v>28</v>
      </c>
      <c r="Y5523">
        <f>1-852-853-3179</f>
        <v>-4883</v>
      </c>
    </row>
    <row r="5524" spans="1:25" x14ac:dyDescent="0.35">
      <c r="A5524">
        <v>33.531920483878103</v>
      </c>
      <c r="B5524">
        <v>-117.955258371059</v>
      </c>
      <c r="C5524" t="s">
        <v>29</v>
      </c>
      <c r="D5524">
        <v>42.401908829502197</v>
      </c>
      <c r="E5524">
        <v>3</v>
      </c>
      <c r="F5524">
        <v>826</v>
      </c>
      <c r="G5524">
        <v>1</v>
      </c>
      <c r="H5524">
        <v>3</v>
      </c>
      <c r="I5524">
        <v>1967</v>
      </c>
      <c r="J5524">
        <v>0</v>
      </c>
      <c r="K5524">
        <v>1</v>
      </c>
      <c r="L5524">
        <v>0</v>
      </c>
      <c r="M5524">
        <v>5</v>
      </c>
      <c r="N5524" t="s">
        <v>41</v>
      </c>
      <c r="O5524" t="s">
        <v>32</v>
      </c>
      <c r="P5524">
        <v>11.666824781589</v>
      </c>
      <c r="Q5524">
        <v>0.86782257806720697</v>
      </c>
      <c r="R5524">
        <v>5.8680481447741499</v>
      </c>
      <c r="S5524">
        <v>178</v>
      </c>
      <c r="T5524">
        <v>47</v>
      </c>
      <c r="U5524">
        <v>578.02296581006306</v>
      </c>
      <c r="V5524">
        <v>6.05326876513317E-3</v>
      </c>
      <c r="W5524">
        <v>654199.54014559602</v>
      </c>
      <c r="X5524" t="s">
        <v>39</v>
      </c>
      <c r="Y5524">
        <f>1-745-840-5687</f>
        <v>-7271</v>
      </c>
    </row>
    <row r="5525" spans="1:25" x14ac:dyDescent="0.35">
      <c r="A5525">
        <v>33.9127027875073</v>
      </c>
      <c r="B5525">
        <v>-117.984929195891</v>
      </c>
      <c r="C5525" t="s">
        <v>25</v>
      </c>
      <c r="D5525">
        <v>33.748542720808899</v>
      </c>
      <c r="E5525">
        <v>6</v>
      </c>
      <c r="F5525">
        <v>1739</v>
      </c>
      <c r="G5525">
        <v>2</v>
      </c>
      <c r="H5525">
        <v>3</v>
      </c>
      <c r="I5525">
        <v>2014</v>
      </c>
      <c r="J5525">
        <v>1</v>
      </c>
      <c r="K5525">
        <v>1</v>
      </c>
      <c r="L5525">
        <v>1</v>
      </c>
      <c r="M5525">
        <v>2</v>
      </c>
      <c r="N5525" t="s">
        <v>37</v>
      </c>
      <c r="O5525" t="s">
        <v>27</v>
      </c>
      <c r="P5525">
        <v>8.6625161466431706</v>
      </c>
      <c r="Q5525">
        <v>0.88326232221647705</v>
      </c>
      <c r="R5525">
        <v>8.9994855429478697</v>
      </c>
      <c r="S5525">
        <v>153</v>
      </c>
      <c r="T5525">
        <v>46</v>
      </c>
      <c r="U5525">
        <v>301.79197427473702</v>
      </c>
      <c r="V5525">
        <v>1.15008625646923E-3</v>
      </c>
      <c r="W5525">
        <v>801384.39512569294</v>
      </c>
      <c r="X5525" t="s">
        <v>44</v>
      </c>
      <c r="Y5525">
        <f>1-406-763-6557</f>
        <v>-7725</v>
      </c>
    </row>
    <row r="5526" spans="1:25" x14ac:dyDescent="0.35">
      <c r="A5526">
        <v>32.824126790410602</v>
      </c>
      <c r="B5526">
        <v>-123.73480938374099</v>
      </c>
      <c r="C5526" t="s">
        <v>34</v>
      </c>
      <c r="D5526">
        <v>15.9121257397093</v>
      </c>
      <c r="E5526">
        <v>9</v>
      </c>
      <c r="F5526">
        <v>1552</v>
      </c>
      <c r="G5526">
        <v>3</v>
      </c>
      <c r="H5526">
        <v>3</v>
      </c>
      <c r="I5526">
        <v>1978</v>
      </c>
      <c r="J5526">
        <v>0</v>
      </c>
      <c r="K5526">
        <v>1</v>
      </c>
      <c r="L5526">
        <v>0</v>
      </c>
      <c r="M5526">
        <v>12</v>
      </c>
      <c r="N5526" t="s">
        <v>26</v>
      </c>
      <c r="O5526" t="s">
        <v>27</v>
      </c>
      <c r="P5526">
        <v>11.088926928912599</v>
      </c>
      <c r="Q5526">
        <v>1.12237807925283</v>
      </c>
      <c r="R5526">
        <v>1.9525592537849099</v>
      </c>
      <c r="S5526">
        <v>117</v>
      </c>
      <c r="T5526">
        <v>63</v>
      </c>
      <c r="U5526">
        <v>916.17864620228795</v>
      </c>
      <c r="V5526">
        <v>7.7319587628865904E-3</v>
      </c>
      <c r="W5526">
        <v>1849735.3456548401</v>
      </c>
      <c r="X5526" t="s">
        <v>42</v>
      </c>
      <c r="Y5526">
        <f>1-615-194-9200</f>
        <v>-10008</v>
      </c>
    </row>
    <row r="5527" spans="1:25" x14ac:dyDescent="0.35">
      <c r="A5527">
        <v>41.9898479466693</v>
      </c>
      <c r="B5527">
        <v>-118.38142082263199</v>
      </c>
      <c r="C5527" t="s">
        <v>29</v>
      </c>
      <c r="D5527">
        <v>29.456224818629298</v>
      </c>
      <c r="E5527">
        <v>4</v>
      </c>
      <c r="F5527">
        <v>2942</v>
      </c>
      <c r="G5527">
        <v>2</v>
      </c>
      <c r="H5527">
        <v>1</v>
      </c>
      <c r="I5527">
        <v>1979</v>
      </c>
      <c r="J5527">
        <v>0</v>
      </c>
      <c r="K5527">
        <v>1</v>
      </c>
      <c r="L5527">
        <v>0</v>
      </c>
      <c r="M5527">
        <v>5</v>
      </c>
      <c r="N5527" t="s">
        <v>35</v>
      </c>
      <c r="O5527" t="s">
        <v>27</v>
      </c>
      <c r="P5527">
        <v>10.2186100228122</v>
      </c>
      <c r="Q5527">
        <v>0.81839045172178904</v>
      </c>
      <c r="R5527">
        <v>4.6812708044673599</v>
      </c>
      <c r="S5527">
        <v>157</v>
      </c>
      <c r="T5527">
        <v>55</v>
      </c>
      <c r="U5527">
        <v>447.71109535426399</v>
      </c>
      <c r="V5527">
        <v>1.6995241332426901E-3</v>
      </c>
      <c r="W5527">
        <v>1495718.49044034</v>
      </c>
      <c r="X5527" t="s">
        <v>42</v>
      </c>
      <c r="Y5527">
        <f>1-878-262-3407</f>
        <v>-4546</v>
      </c>
    </row>
    <row r="5528" spans="1:25" x14ac:dyDescent="0.35">
      <c r="A5528">
        <v>37.053909883508297</v>
      </c>
      <c r="B5528">
        <v>-118.414244654085</v>
      </c>
      <c r="C5528" t="s">
        <v>29</v>
      </c>
      <c r="D5528">
        <v>11.768008954217001</v>
      </c>
      <c r="E5528">
        <v>0</v>
      </c>
      <c r="F5528">
        <v>577</v>
      </c>
      <c r="G5528">
        <v>5</v>
      </c>
      <c r="H5528">
        <v>1</v>
      </c>
      <c r="I5528">
        <v>1984</v>
      </c>
      <c r="J5528">
        <v>0</v>
      </c>
      <c r="K5528">
        <v>1</v>
      </c>
      <c r="L5528">
        <v>0</v>
      </c>
      <c r="M5528">
        <v>5</v>
      </c>
      <c r="N5528" t="s">
        <v>35</v>
      </c>
      <c r="O5528" t="s">
        <v>32</v>
      </c>
      <c r="P5528">
        <v>3.1696026584430199</v>
      </c>
      <c r="Q5528">
        <v>1.21797691663875</v>
      </c>
      <c r="R5528">
        <v>0.82856206431941504</v>
      </c>
      <c r="S5528">
        <v>78</v>
      </c>
      <c r="T5528">
        <v>24</v>
      </c>
      <c r="U5528">
        <v>760.39411598210904</v>
      </c>
      <c r="V5528">
        <v>8.6655112651646393E-3</v>
      </c>
      <c r="W5528">
        <v>708929.56470525404</v>
      </c>
      <c r="X5528" t="s">
        <v>33</v>
      </c>
      <c r="Y5528">
        <f>1-550-595-3186</f>
        <v>-4330</v>
      </c>
    </row>
    <row r="5529" spans="1:25" x14ac:dyDescent="0.35">
      <c r="A5529">
        <v>36.7556077724009</v>
      </c>
      <c r="B5529">
        <v>-118.117644871671</v>
      </c>
      <c r="C5529" t="s">
        <v>29</v>
      </c>
      <c r="D5529">
        <v>11.6963276752324</v>
      </c>
      <c r="E5529">
        <v>1</v>
      </c>
      <c r="F5529">
        <v>3455</v>
      </c>
      <c r="G5529">
        <v>5</v>
      </c>
      <c r="H5529">
        <v>2</v>
      </c>
      <c r="I5529">
        <v>1982</v>
      </c>
      <c r="J5529">
        <v>1</v>
      </c>
      <c r="K5529">
        <v>1</v>
      </c>
      <c r="L5529">
        <v>0</v>
      </c>
      <c r="M5529">
        <v>10</v>
      </c>
      <c r="N5529" t="s">
        <v>26</v>
      </c>
      <c r="O5529" t="s">
        <v>30</v>
      </c>
      <c r="P5529">
        <v>14.8158914598027</v>
      </c>
      <c r="Q5529">
        <v>1.6299070659330399</v>
      </c>
      <c r="R5529">
        <v>2.2096769947557098</v>
      </c>
      <c r="S5529">
        <v>63</v>
      </c>
      <c r="T5529">
        <v>33</v>
      </c>
      <c r="U5529">
        <v>617.24587210377604</v>
      </c>
      <c r="V5529">
        <v>2.8943560057887101E-3</v>
      </c>
      <c r="W5529">
        <v>2636416.73271148</v>
      </c>
      <c r="X5529" t="s">
        <v>31</v>
      </c>
      <c r="Y5529">
        <f>1-281-128-4607</f>
        <v>-5015</v>
      </c>
    </row>
    <row r="5530" spans="1:25" x14ac:dyDescent="0.35">
      <c r="A5530">
        <v>33.412015840912602</v>
      </c>
      <c r="B5530">
        <v>-115.00309068706299</v>
      </c>
      <c r="C5530" t="s">
        <v>34</v>
      </c>
      <c r="D5530">
        <v>46.015445209688203</v>
      </c>
      <c r="E5530">
        <v>7</v>
      </c>
      <c r="F5530">
        <v>1491</v>
      </c>
      <c r="G5530">
        <v>1</v>
      </c>
      <c r="H5530">
        <v>3</v>
      </c>
      <c r="I5530">
        <v>1961</v>
      </c>
      <c r="J5530">
        <v>1</v>
      </c>
      <c r="K5530">
        <v>0</v>
      </c>
      <c r="L5530">
        <v>1</v>
      </c>
      <c r="M5530">
        <v>11</v>
      </c>
      <c r="N5530" t="s">
        <v>37</v>
      </c>
      <c r="O5530" t="s">
        <v>27</v>
      </c>
      <c r="P5530">
        <v>12.7385810781022</v>
      </c>
      <c r="Q5530">
        <v>0.92141926301369304</v>
      </c>
      <c r="R5530">
        <v>8.6548517824607707</v>
      </c>
      <c r="S5530">
        <v>50</v>
      </c>
      <c r="T5530">
        <v>54</v>
      </c>
      <c r="U5530">
        <v>289.81986688267102</v>
      </c>
      <c r="V5530">
        <v>7.3775989268946999E-3</v>
      </c>
      <c r="W5530">
        <v>669042.41957292205</v>
      </c>
      <c r="X5530" t="s">
        <v>28</v>
      </c>
      <c r="Y5530">
        <f>1-355-358-9915</f>
        <v>-10627</v>
      </c>
    </row>
    <row r="5531" spans="1:25" x14ac:dyDescent="0.35">
      <c r="A5531">
        <v>33.3736586159674</v>
      </c>
      <c r="B5531">
        <v>-117.09923202357101</v>
      </c>
      <c r="C5531" t="s">
        <v>25</v>
      </c>
      <c r="D5531">
        <v>23.533928194514498</v>
      </c>
      <c r="E5531">
        <v>5</v>
      </c>
      <c r="F5531">
        <v>1498</v>
      </c>
      <c r="G5531">
        <v>1</v>
      </c>
      <c r="H5531">
        <v>2</v>
      </c>
      <c r="I5531">
        <v>1951</v>
      </c>
      <c r="J5531">
        <v>1</v>
      </c>
      <c r="K5531">
        <v>0</v>
      </c>
      <c r="L5531">
        <v>0</v>
      </c>
      <c r="M5531">
        <v>2</v>
      </c>
      <c r="N5531" t="s">
        <v>35</v>
      </c>
      <c r="O5531" t="s">
        <v>32</v>
      </c>
      <c r="P5531">
        <v>4.2685583087441401</v>
      </c>
      <c r="Q5531">
        <v>2.12498430112479</v>
      </c>
      <c r="R5531">
        <v>3.69396761315297</v>
      </c>
      <c r="S5531">
        <v>178</v>
      </c>
      <c r="T5531">
        <v>49</v>
      </c>
      <c r="U5531">
        <v>920.25860184849205</v>
      </c>
      <c r="V5531">
        <v>1.3351134846461899E-3</v>
      </c>
      <c r="W5531">
        <v>1462665.6019329899</v>
      </c>
      <c r="X5531" t="s">
        <v>38</v>
      </c>
      <c r="Y5531">
        <f>1-987-954-7158</f>
        <v>-9098</v>
      </c>
    </row>
    <row r="5532" spans="1:25" x14ac:dyDescent="0.35">
      <c r="A5532">
        <v>38.445663518440902</v>
      </c>
      <c r="B5532">
        <v>-122.942697472483</v>
      </c>
      <c r="C5532" t="s">
        <v>34</v>
      </c>
      <c r="D5532">
        <v>3.4663359332805102</v>
      </c>
      <c r="E5532">
        <v>3</v>
      </c>
      <c r="F5532">
        <v>3038</v>
      </c>
      <c r="G5532">
        <v>1</v>
      </c>
      <c r="H5532">
        <v>2</v>
      </c>
      <c r="I5532">
        <v>2007</v>
      </c>
      <c r="J5532">
        <v>1</v>
      </c>
      <c r="K5532">
        <v>1</v>
      </c>
      <c r="L5532">
        <v>0</v>
      </c>
      <c r="M5532">
        <v>5</v>
      </c>
      <c r="N5532" t="s">
        <v>35</v>
      </c>
      <c r="O5532" t="s">
        <v>32</v>
      </c>
      <c r="P5532">
        <v>8.7702049580238004</v>
      </c>
      <c r="Q5532">
        <v>1.3507598213441301</v>
      </c>
      <c r="R5532">
        <v>1.47187515138906</v>
      </c>
      <c r="S5532">
        <v>93</v>
      </c>
      <c r="T5532">
        <v>34</v>
      </c>
      <c r="U5532">
        <v>354.75360656922197</v>
      </c>
      <c r="V5532">
        <v>1.6458196181698399E-3</v>
      </c>
      <c r="W5532">
        <v>1284457.0368409699</v>
      </c>
      <c r="X5532" t="s">
        <v>33</v>
      </c>
      <c r="Y5532">
        <f>1-662-249-9540</f>
        <v>-10450</v>
      </c>
    </row>
    <row r="5533" spans="1:25" x14ac:dyDescent="0.35">
      <c r="A5533">
        <v>37.938815650212398</v>
      </c>
      <c r="B5533">
        <v>-122.899273959007</v>
      </c>
      <c r="C5533" t="s">
        <v>34</v>
      </c>
      <c r="D5533">
        <v>41.205881243480697</v>
      </c>
      <c r="E5533">
        <v>0</v>
      </c>
      <c r="F5533">
        <v>3750</v>
      </c>
      <c r="G5533">
        <v>2</v>
      </c>
      <c r="H5533">
        <v>1</v>
      </c>
      <c r="I5533">
        <v>2012</v>
      </c>
      <c r="J5533">
        <v>0</v>
      </c>
      <c r="K5533">
        <v>0</v>
      </c>
      <c r="L5533">
        <v>1</v>
      </c>
      <c r="M5533">
        <v>4</v>
      </c>
      <c r="N5533" t="s">
        <v>41</v>
      </c>
      <c r="O5533" t="s">
        <v>32</v>
      </c>
      <c r="P5533">
        <v>7.3866221915690602</v>
      </c>
      <c r="Q5533">
        <v>1.7907590816750001</v>
      </c>
      <c r="R5533">
        <v>3.2142836638075298</v>
      </c>
      <c r="S5533">
        <v>6</v>
      </c>
      <c r="T5533">
        <v>46</v>
      </c>
      <c r="U5533">
        <v>649.66573721037901</v>
      </c>
      <c r="V5533">
        <v>1.06666666666666E-3</v>
      </c>
      <c r="W5533">
        <v>2587843.54616503</v>
      </c>
      <c r="X5533" t="s">
        <v>39</v>
      </c>
      <c r="Y5533">
        <f>1-639-811-9920</f>
        <v>-11369</v>
      </c>
    </row>
    <row r="5534" spans="1:25" x14ac:dyDescent="0.35">
      <c r="A5534">
        <v>40.892626096301399</v>
      </c>
      <c r="B5534">
        <v>-118.103856075653</v>
      </c>
      <c r="C5534" t="s">
        <v>29</v>
      </c>
      <c r="D5534">
        <v>25.819032181189201</v>
      </c>
      <c r="E5534">
        <v>6</v>
      </c>
      <c r="F5534">
        <v>3301</v>
      </c>
      <c r="G5534">
        <v>2</v>
      </c>
      <c r="H5534">
        <v>2</v>
      </c>
      <c r="I5534">
        <v>1987</v>
      </c>
      <c r="J5534">
        <v>0</v>
      </c>
      <c r="K5534">
        <v>1</v>
      </c>
      <c r="L5534">
        <v>1</v>
      </c>
      <c r="M5534">
        <v>9</v>
      </c>
      <c r="N5534" t="s">
        <v>26</v>
      </c>
      <c r="O5534" t="s">
        <v>27</v>
      </c>
      <c r="P5534">
        <v>13.2237167794258</v>
      </c>
      <c r="Q5534">
        <v>0.53065144706785805</v>
      </c>
      <c r="R5534">
        <v>2.93975472976856</v>
      </c>
      <c r="S5534">
        <v>10</v>
      </c>
      <c r="T5534">
        <v>58</v>
      </c>
      <c r="U5534">
        <v>406.41247896532502</v>
      </c>
      <c r="V5534">
        <v>2.72644653135413E-3</v>
      </c>
      <c r="W5534">
        <v>1708893.7039920799</v>
      </c>
      <c r="X5534" t="s">
        <v>33</v>
      </c>
      <c r="Y5534">
        <f>1-478-979-1973</f>
        <v>-3429</v>
      </c>
    </row>
    <row r="5535" spans="1:25" x14ac:dyDescent="0.35">
      <c r="A5535">
        <v>40.279556256304801</v>
      </c>
      <c r="B5535">
        <v>-118.974517462552</v>
      </c>
      <c r="C5535" t="s">
        <v>29</v>
      </c>
      <c r="D5535">
        <v>3.14602109320677</v>
      </c>
      <c r="E5535">
        <v>7</v>
      </c>
      <c r="F5535">
        <v>1564</v>
      </c>
      <c r="G5535">
        <v>2</v>
      </c>
      <c r="H5535">
        <v>1</v>
      </c>
      <c r="I5535">
        <v>1991</v>
      </c>
      <c r="J5535">
        <v>0</v>
      </c>
      <c r="K5535">
        <v>1</v>
      </c>
      <c r="L5535">
        <v>0</v>
      </c>
      <c r="M5535">
        <v>9</v>
      </c>
      <c r="N5535" t="s">
        <v>37</v>
      </c>
      <c r="O5535" t="s">
        <v>30</v>
      </c>
      <c r="P5535">
        <v>12.182655714595301</v>
      </c>
      <c r="Q5535">
        <v>1.24182499029008</v>
      </c>
      <c r="R5535">
        <v>1.29112033492867</v>
      </c>
      <c r="S5535">
        <v>94</v>
      </c>
      <c r="T5535">
        <v>49</v>
      </c>
      <c r="U5535">
        <v>438.678612808585</v>
      </c>
      <c r="V5535">
        <v>5.7544757033247997E-3</v>
      </c>
      <c r="W5535">
        <v>904033.65987187601</v>
      </c>
      <c r="X5535" t="s">
        <v>43</v>
      </c>
      <c r="Y5535">
        <f>1-831-869-2516</f>
        <v>-4215</v>
      </c>
    </row>
    <row r="5536" spans="1:25" x14ac:dyDescent="0.35">
      <c r="A5536">
        <v>41.030766773461302</v>
      </c>
      <c r="B5536">
        <v>-118.542408115781</v>
      </c>
      <c r="C5536" t="s">
        <v>29</v>
      </c>
      <c r="D5536">
        <v>8.4340990577020793</v>
      </c>
      <c r="E5536">
        <v>4</v>
      </c>
      <c r="F5536">
        <v>765</v>
      </c>
      <c r="G5536">
        <v>2</v>
      </c>
      <c r="H5536">
        <v>3</v>
      </c>
      <c r="I5536">
        <v>1992</v>
      </c>
      <c r="J5536">
        <v>1</v>
      </c>
      <c r="K5536">
        <v>0</v>
      </c>
      <c r="L5536">
        <v>0</v>
      </c>
      <c r="M5536">
        <v>13</v>
      </c>
      <c r="N5536" t="s">
        <v>37</v>
      </c>
      <c r="O5536" t="s">
        <v>27</v>
      </c>
      <c r="P5536">
        <v>3.42484366591234</v>
      </c>
      <c r="Q5536">
        <v>2.1306186984845001</v>
      </c>
      <c r="R5536">
        <v>9.7946074139547505</v>
      </c>
      <c r="S5536">
        <v>58</v>
      </c>
      <c r="T5536">
        <v>42</v>
      </c>
      <c r="U5536">
        <v>628.411321735299</v>
      </c>
      <c r="V5536">
        <v>1.6993464052287501E-2</v>
      </c>
      <c r="W5536">
        <v>658284.98425509001</v>
      </c>
      <c r="X5536" t="s">
        <v>42</v>
      </c>
      <c r="Y5536">
        <f>1-681-535-3162</f>
        <v>-4377</v>
      </c>
    </row>
    <row r="5537" spans="1:25" x14ac:dyDescent="0.35">
      <c r="A5537">
        <v>41.427197792004797</v>
      </c>
      <c r="B5537">
        <v>-121.227898273416</v>
      </c>
      <c r="C5537" t="s">
        <v>25</v>
      </c>
      <c r="D5537">
        <v>1.3721642652603701</v>
      </c>
      <c r="E5537">
        <v>0</v>
      </c>
      <c r="F5537">
        <v>4790</v>
      </c>
      <c r="G5537">
        <v>3</v>
      </c>
      <c r="H5537">
        <v>3</v>
      </c>
      <c r="I5537">
        <v>1980</v>
      </c>
      <c r="J5537">
        <v>0</v>
      </c>
      <c r="K5537">
        <v>0</v>
      </c>
      <c r="L5537">
        <v>0</v>
      </c>
      <c r="M5537">
        <v>8</v>
      </c>
      <c r="N5537" t="s">
        <v>41</v>
      </c>
      <c r="O5537" t="s">
        <v>30</v>
      </c>
      <c r="P5537">
        <v>3.1912942771134598</v>
      </c>
      <c r="Q5537">
        <v>0.68196696659103895</v>
      </c>
      <c r="R5537">
        <v>4.0235283782704796</v>
      </c>
      <c r="S5537">
        <v>6</v>
      </c>
      <c r="T5537">
        <v>72</v>
      </c>
      <c r="U5537">
        <v>893.86621684378804</v>
      </c>
      <c r="V5537">
        <v>1.67014613778705E-3</v>
      </c>
      <c r="W5537">
        <v>4471293.8374757897</v>
      </c>
      <c r="X5537" t="s">
        <v>40</v>
      </c>
      <c r="Y5537">
        <f>1-901-760-7214</f>
        <v>-8874</v>
      </c>
    </row>
    <row r="5538" spans="1:25" x14ac:dyDescent="0.35">
      <c r="A5538">
        <v>36.857166648875697</v>
      </c>
      <c r="B5538">
        <v>-114.28957889894301</v>
      </c>
      <c r="C5538" t="s">
        <v>25</v>
      </c>
      <c r="D5538">
        <v>39.393991587267301</v>
      </c>
      <c r="E5538">
        <v>6</v>
      </c>
      <c r="F5538">
        <v>4856</v>
      </c>
      <c r="G5538">
        <v>4</v>
      </c>
      <c r="H5538">
        <v>1</v>
      </c>
      <c r="I5538">
        <v>1958</v>
      </c>
      <c r="J5538">
        <v>1</v>
      </c>
      <c r="K5538">
        <v>1</v>
      </c>
      <c r="L5538">
        <v>1</v>
      </c>
      <c r="M5538">
        <v>3</v>
      </c>
      <c r="N5538" t="s">
        <v>37</v>
      </c>
      <c r="O5538" t="s">
        <v>32</v>
      </c>
      <c r="P5538">
        <v>5.1012118073127697</v>
      </c>
      <c r="Q5538">
        <v>2.3539615313055999</v>
      </c>
      <c r="R5538">
        <v>5.9867113757898496</v>
      </c>
      <c r="S5538">
        <v>155</v>
      </c>
      <c r="T5538">
        <v>60</v>
      </c>
      <c r="U5538">
        <v>973.79543730464604</v>
      </c>
      <c r="V5538">
        <v>6.1779242174629298E-4</v>
      </c>
      <c r="W5538">
        <v>4991254.4910931401</v>
      </c>
      <c r="X5538" t="s">
        <v>28</v>
      </c>
      <c r="Y5538">
        <f>1-292-905-6927</f>
        <v>-8123</v>
      </c>
    </row>
    <row r="5539" spans="1:25" x14ac:dyDescent="0.35">
      <c r="A5539">
        <v>37.413387188993703</v>
      </c>
      <c r="B5539">
        <v>-122.59037004178499</v>
      </c>
      <c r="C5539" t="s">
        <v>25</v>
      </c>
      <c r="D5539">
        <v>49.859221632562402</v>
      </c>
      <c r="E5539">
        <v>3</v>
      </c>
      <c r="F5539">
        <v>2135</v>
      </c>
      <c r="G5539">
        <v>2</v>
      </c>
      <c r="H5539">
        <v>1</v>
      </c>
      <c r="I5539">
        <v>2002</v>
      </c>
      <c r="J5539">
        <v>0</v>
      </c>
      <c r="K5539">
        <v>1</v>
      </c>
      <c r="L5539">
        <v>1</v>
      </c>
      <c r="M5539">
        <v>14</v>
      </c>
      <c r="N5539" t="s">
        <v>35</v>
      </c>
      <c r="O5539" t="s">
        <v>27</v>
      </c>
      <c r="P5539">
        <v>8.9005683323073299</v>
      </c>
      <c r="Q5539">
        <v>1.9827143713567299</v>
      </c>
      <c r="R5539">
        <v>4.0109103742036503</v>
      </c>
      <c r="S5539">
        <v>174</v>
      </c>
      <c r="T5539">
        <v>53</v>
      </c>
      <c r="U5539">
        <v>437.05155615995398</v>
      </c>
      <c r="V5539">
        <v>6.5573770491803201E-3</v>
      </c>
      <c r="W5539">
        <v>1201524.04407548</v>
      </c>
      <c r="X5539" t="s">
        <v>28</v>
      </c>
      <c r="Y5539">
        <f>1-238-890-9135</f>
        <v>-10262</v>
      </c>
    </row>
    <row r="5540" spans="1:25" x14ac:dyDescent="0.35">
      <c r="A5540">
        <v>33.629798241563201</v>
      </c>
      <c r="B5540">
        <v>-116.715541575084</v>
      </c>
      <c r="C5540" t="s">
        <v>34</v>
      </c>
      <c r="D5540">
        <v>21.176318145153498</v>
      </c>
      <c r="E5540">
        <v>0</v>
      </c>
      <c r="F5540">
        <v>654</v>
      </c>
      <c r="G5540">
        <v>4</v>
      </c>
      <c r="H5540">
        <v>2</v>
      </c>
      <c r="I5540">
        <v>1987</v>
      </c>
      <c r="J5540">
        <v>0</v>
      </c>
      <c r="K5540">
        <v>1</v>
      </c>
      <c r="L5540">
        <v>0</v>
      </c>
      <c r="M5540">
        <v>5</v>
      </c>
      <c r="N5540" t="s">
        <v>41</v>
      </c>
      <c r="O5540" t="s">
        <v>32</v>
      </c>
      <c r="P5540">
        <v>14.3275893396551</v>
      </c>
      <c r="Q5540">
        <v>1.7789327175932299</v>
      </c>
      <c r="R5540">
        <v>5.1625483397522096</v>
      </c>
      <c r="S5540">
        <v>155</v>
      </c>
      <c r="T5540">
        <v>50</v>
      </c>
      <c r="U5540">
        <v>875.20132931638398</v>
      </c>
      <c r="V5540">
        <v>7.6452599388379203E-3</v>
      </c>
      <c r="W5540">
        <v>998407.19768768596</v>
      </c>
      <c r="X5540" t="s">
        <v>44</v>
      </c>
      <c r="Y5540">
        <f>1-375-666-4391</f>
        <v>-5431</v>
      </c>
    </row>
    <row r="5541" spans="1:25" x14ac:dyDescent="0.35">
      <c r="A5541">
        <v>35.250978954603099</v>
      </c>
      <c r="B5541">
        <v>-115.785190003815</v>
      </c>
      <c r="C5541" t="s">
        <v>29</v>
      </c>
      <c r="D5541">
        <v>11.4711655895428</v>
      </c>
      <c r="E5541">
        <v>8</v>
      </c>
      <c r="F5541">
        <v>3557</v>
      </c>
      <c r="G5541">
        <v>3</v>
      </c>
      <c r="H5541">
        <v>2</v>
      </c>
      <c r="I5541">
        <v>1985</v>
      </c>
      <c r="J5541">
        <v>1</v>
      </c>
      <c r="K5541">
        <v>1</v>
      </c>
      <c r="L5541">
        <v>0</v>
      </c>
      <c r="M5541">
        <v>14</v>
      </c>
      <c r="N5541" t="s">
        <v>37</v>
      </c>
      <c r="O5541" t="s">
        <v>32</v>
      </c>
      <c r="P5541">
        <v>11.806556432922701</v>
      </c>
      <c r="Q5541">
        <v>0.93530551118205696</v>
      </c>
      <c r="R5541">
        <v>7.3193700433481101</v>
      </c>
      <c r="S5541">
        <v>13</v>
      </c>
      <c r="T5541">
        <v>79</v>
      </c>
      <c r="U5541">
        <v>673.65232496127999</v>
      </c>
      <c r="V5541">
        <v>3.9359010402024103E-3</v>
      </c>
      <c r="W5541">
        <v>2803843.6984440698</v>
      </c>
      <c r="X5541" t="s">
        <v>44</v>
      </c>
      <c r="Y5541">
        <f>1-338-394-3594</f>
        <v>-4325</v>
      </c>
    </row>
    <row r="5542" spans="1:25" x14ac:dyDescent="0.35">
      <c r="A5542">
        <v>36.913853041010398</v>
      </c>
      <c r="B5542">
        <v>-115.84015880373001</v>
      </c>
      <c r="C5542" t="s">
        <v>25</v>
      </c>
      <c r="D5542">
        <v>21.0651191245231</v>
      </c>
      <c r="E5542">
        <v>5</v>
      </c>
      <c r="F5542">
        <v>1672</v>
      </c>
      <c r="G5542">
        <v>2</v>
      </c>
      <c r="H5542">
        <v>2</v>
      </c>
      <c r="I5542">
        <v>1955</v>
      </c>
      <c r="J5542">
        <v>0</v>
      </c>
      <c r="K5542">
        <v>0</v>
      </c>
      <c r="L5542">
        <v>0</v>
      </c>
      <c r="M5542">
        <v>11</v>
      </c>
      <c r="N5542" t="s">
        <v>37</v>
      </c>
      <c r="O5542" t="s">
        <v>30</v>
      </c>
      <c r="P5542">
        <v>6.7894311293323204</v>
      </c>
      <c r="Q5542">
        <v>0.85604126443009998</v>
      </c>
      <c r="R5542">
        <v>3.7587342995690598</v>
      </c>
      <c r="S5542">
        <v>62</v>
      </c>
      <c r="T5542">
        <v>53</v>
      </c>
      <c r="U5542">
        <v>573.712195897725</v>
      </c>
      <c r="V5542">
        <v>6.5789473684210497E-3</v>
      </c>
      <c r="W5542">
        <v>1084234.55758156</v>
      </c>
      <c r="X5542" t="s">
        <v>31</v>
      </c>
      <c r="Y5542">
        <f>1-953-117-3767</f>
        <v>-4836</v>
      </c>
    </row>
    <row r="5543" spans="1:25" x14ac:dyDescent="0.35">
      <c r="A5543">
        <v>37.027967127247102</v>
      </c>
      <c r="B5543">
        <v>-119.245723382419</v>
      </c>
      <c r="C5543" t="s">
        <v>29</v>
      </c>
      <c r="D5543">
        <v>37.751187780187799</v>
      </c>
      <c r="E5543">
        <v>7</v>
      </c>
      <c r="F5543">
        <v>2649</v>
      </c>
      <c r="G5543">
        <v>2</v>
      </c>
      <c r="H5543">
        <v>2</v>
      </c>
      <c r="I5543">
        <v>1981</v>
      </c>
      <c r="J5543">
        <v>1</v>
      </c>
      <c r="K5543">
        <v>1</v>
      </c>
      <c r="L5543">
        <v>1</v>
      </c>
      <c r="M5543">
        <v>10</v>
      </c>
      <c r="N5543" t="s">
        <v>41</v>
      </c>
      <c r="O5543" t="s">
        <v>30</v>
      </c>
      <c r="P5543">
        <v>2.5979743176653902</v>
      </c>
      <c r="Q5543">
        <v>0.60043965830995805</v>
      </c>
      <c r="R5543">
        <v>8.5530232756991609</v>
      </c>
      <c r="S5543">
        <v>33</v>
      </c>
      <c r="T5543">
        <v>58</v>
      </c>
      <c r="U5543">
        <v>401.46542882519299</v>
      </c>
      <c r="V5543">
        <v>3.77500943752359E-3</v>
      </c>
      <c r="W5543">
        <v>1365977.0146444801</v>
      </c>
      <c r="X5543" t="s">
        <v>28</v>
      </c>
      <c r="Y5543">
        <f>1-445-251-2100</f>
        <v>-2795</v>
      </c>
    </row>
    <row r="5544" spans="1:25" x14ac:dyDescent="0.35">
      <c r="A5544">
        <v>35.1636955288811</v>
      </c>
      <c r="B5544">
        <v>-116.17401196911599</v>
      </c>
      <c r="C5544" t="s">
        <v>29</v>
      </c>
      <c r="D5544">
        <v>36.378160257432</v>
      </c>
      <c r="E5544">
        <v>2</v>
      </c>
      <c r="F5544">
        <v>1555</v>
      </c>
      <c r="G5544">
        <v>4</v>
      </c>
      <c r="H5544">
        <v>1</v>
      </c>
      <c r="I5544">
        <v>1966</v>
      </c>
      <c r="J5544">
        <v>1</v>
      </c>
      <c r="K5544">
        <v>0</v>
      </c>
      <c r="L5544">
        <v>1</v>
      </c>
      <c r="M5544">
        <v>7</v>
      </c>
      <c r="N5544" t="s">
        <v>37</v>
      </c>
      <c r="O5544" t="s">
        <v>32</v>
      </c>
      <c r="P5544">
        <v>13.8742174938532</v>
      </c>
      <c r="Q5544">
        <v>2.17598913744134</v>
      </c>
      <c r="R5544">
        <v>0.81476595975136701</v>
      </c>
      <c r="S5544">
        <v>171</v>
      </c>
      <c r="T5544">
        <v>28</v>
      </c>
      <c r="U5544">
        <v>756.628153733678</v>
      </c>
      <c r="V5544">
        <v>4.5016077170418004E-3</v>
      </c>
      <c r="W5544">
        <v>1534255.4752533201</v>
      </c>
      <c r="X5544" t="s">
        <v>38</v>
      </c>
      <c r="Y5544">
        <f>1-327-986-2974</f>
        <v>-4286</v>
      </c>
    </row>
    <row r="5545" spans="1:25" x14ac:dyDescent="0.35">
      <c r="A5545">
        <v>39.946449226044003</v>
      </c>
      <c r="B5545">
        <v>-116.03619438331501</v>
      </c>
      <c r="C5545" t="s">
        <v>25</v>
      </c>
      <c r="D5545">
        <v>5.71835805373252</v>
      </c>
      <c r="E5545">
        <v>2</v>
      </c>
      <c r="F5545">
        <v>1551</v>
      </c>
      <c r="G5545">
        <v>2</v>
      </c>
      <c r="H5545">
        <v>1</v>
      </c>
      <c r="I5545">
        <v>2017</v>
      </c>
      <c r="J5545">
        <v>0</v>
      </c>
      <c r="K5545">
        <v>0</v>
      </c>
      <c r="L5545">
        <v>1</v>
      </c>
      <c r="M5545">
        <v>10</v>
      </c>
      <c r="N5545" t="s">
        <v>26</v>
      </c>
      <c r="O5545" t="s">
        <v>30</v>
      </c>
      <c r="P5545">
        <v>8.9892381004212201</v>
      </c>
      <c r="Q5545">
        <v>1.32360921496342</v>
      </c>
      <c r="R5545">
        <v>6.1409520571924698</v>
      </c>
      <c r="S5545">
        <v>149</v>
      </c>
      <c r="T5545">
        <v>39</v>
      </c>
      <c r="U5545">
        <v>601.26278714639705</v>
      </c>
      <c r="V5545">
        <v>6.4474532559638904E-3</v>
      </c>
      <c r="W5545">
        <v>1124305.3830127099</v>
      </c>
      <c r="X5545" t="s">
        <v>39</v>
      </c>
      <c r="Y5545">
        <f>1-728-687-4318</f>
        <v>-5732</v>
      </c>
    </row>
    <row r="5546" spans="1:25" x14ac:dyDescent="0.35">
      <c r="A5546">
        <v>39.828139120415997</v>
      </c>
      <c r="B5546">
        <v>-114.60426882413699</v>
      </c>
      <c r="C5546" t="s">
        <v>29</v>
      </c>
      <c r="D5546">
        <v>15.8169124455911</v>
      </c>
      <c r="E5546">
        <v>9</v>
      </c>
      <c r="F5546">
        <v>4591</v>
      </c>
      <c r="G5546">
        <v>1</v>
      </c>
      <c r="H5546">
        <v>3</v>
      </c>
      <c r="I5546">
        <v>1977</v>
      </c>
      <c r="J5546">
        <v>0</v>
      </c>
      <c r="K5546">
        <v>1</v>
      </c>
      <c r="L5546">
        <v>1</v>
      </c>
      <c r="M5546">
        <v>2</v>
      </c>
      <c r="N5546" t="s">
        <v>35</v>
      </c>
      <c r="O5546" t="s">
        <v>30</v>
      </c>
      <c r="P5546">
        <v>6.8914720200064599</v>
      </c>
      <c r="Q5546">
        <v>2.2655821460079402</v>
      </c>
      <c r="R5546">
        <v>3.39561261822826</v>
      </c>
      <c r="S5546">
        <v>92</v>
      </c>
      <c r="T5546">
        <v>55</v>
      </c>
      <c r="U5546">
        <v>766.85606401930295</v>
      </c>
      <c r="V5546">
        <v>4.3563493792202098E-4</v>
      </c>
      <c r="W5546">
        <v>3778794.7127669598</v>
      </c>
      <c r="X5546" t="s">
        <v>43</v>
      </c>
      <c r="Y5546">
        <f>1-763-327-9509</f>
        <v>-10598</v>
      </c>
    </row>
    <row r="5547" spans="1:25" x14ac:dyDescent="0.35">
      <c r="A5547">
        <v>34.647491170715199</v>
      </c>
      <c r="B5547">
        <v>-115.703841817636</v>
      </c>
      <c r="C5547" t="s">
        <v>34</v>
      </c>
      <c r="D5547">
        <v>33.208271404165799</v>
      </c>
      <c r="E5547">
        <v>5</v>
      </c>
      <c r="F5547">
        <v>2588</v>
      </c>
      <c r="G5547">
        <v>3</v>
      </c>
      <c r="H5547">
        <v>3</v>
      </c>
      <c r="I5547">
        <v>1995</v>
      </c>
      <c r="J5547">
        <v>1</v>
      </c>
      <c r="K5547">
        <v>1</v>
      </c>
      <c r="L5547">
        <v>1</v>
      </c>
      <c r="M5547">
        <v>12</v>
      </c>
      <c r="N5547" t="s">
        <v>35</v>
      </c>
      <c r="O5547" t="s">
        <v>27</v>
      </c>
      <c r="P5547">
        <v>8.2619057927325699</v>
      </c>
      <c r="Q5547">
        <v>1.9348379468447701</v>
      </c>
      <c r="R5547">
        <v>4.8452740016495204</v>
      </c>
      <c r="S5547">
        <v>71</v>
      </c>
      <c r="T5547">
        <v>51</v>
      </c>
      <c r="U5547">
        <v>824.80665460815396</v>
      </c>
      <c r="V5547">
        <v>4.6367851622874804E-3</v>
      </c>
      <c r="W5547">
        <v>2566079.1830719998</v>
      </c>
      <c r="X5547" t="s">
        <v>28</v>
      </c>
      <c r="Y5547">
        <f>1-479-989-4127</f>
        <v>-5594</v>
      </c>
    </row>
    <row r="5548" spans="1:25" x14ac:dyDescent="0.35">
      <c r="A5548">
        <v>38.3343240540473</v>
      </c>
      <c r="B5548">
        <v>-115.106139880006</v>
      </c>
      <c r="C5548" t="s">
        <v>25</v>
      </c>
      <c r="D5548">
        <v>19.488999304477801</v>
      </c>
      <c r="E5548">
        <v>0</v>
      </c>
      <c r="F5548">
        <v>3764</v>
      </c>
      <c r="G5548">
        <v>2</v>
      </c>
      <c r="H5548">
        <v>1</v>
      </c>
      <c r="I5548">
        <v>1974</v>
      </c>
      <c r="J5548">
        <v>0</v>
      </c>
      <c r="K5548">
        <v>0</v>
      </c>
      <c r="L5548">
        <v>0</v>
      </c>
      <c r="M5548">
        <v>10</v>
      </c>
      <c r="N5548" t="s">
        <v>26</v>
      </c>
      <c r="O5548" t="s">
        <v>30</v>
      </c>
      <c r="P5548">
        <v>8.1402435222059299</v>
      </c>
      <c r="Q5548">
        <v>2.24067525753139</v>
      </c>
      <c r="R5548">
        <v>5.64734358611652</v>
      </c>
      <c r="S5548">
        <v>56</v>
      </c>
      <c r="T5548">
        <v>78</v>
      </c>
      <c r="U5548">
        <v>483.45190348266698</v>
      </c>
      <c r="V5548">
        <v>2.6567481402763001E-3</v>
      </c>
      <c r="W5548">
        <v>1994133.7389535599</v>
      </c>
      <c r="X5548" t="s">
        <v>36</v>
      </c>
      <c r="Y5548">
        <f>1-485-242-3369</f>
        <v>-4095</v>
      </c>
    </row>
    <row r="5549" spans="1:25" x14ac:dyDescent="0.35">
      <c r="A5549">
        <v>37.3548555348668</v>
      </c>
      <c r="B5549">
        <v>-123.90444015873599</v>
      </c>
      <c r="C5549" t="s">
        <v>25</v>
      </c>
      <c r="D5549">
        <v>13.9997939054534</v>
      </c>
      <c r="E5549">
        <v>9</v>
      </c>
      <c r="F5549">
        <v>995</v>
      </c>
      <c r="G5549">
        <v>3</v>
      </c>
      <c r="H5549">
        <v>2</v>
      </c>
      <c r="I5549">
        <v>1988</v>
      </c>
      <c r="J5549">
        <v>0</v>
      </c>
      <c r="K5549">
        <v>1</v>
      </c>
      <c r="L5549">
        <v>1</v>
      </c>
      <c r="M5549">
        <v>6</v>
      </c>
      <c r="N5549" t="s">
        <v>26</v>
      </c>
      <c r="O5549" t="s">
        <v>30</v>
      </c>
      <c r="P5549">
        <v>12.141154793305899</v>
      </c>
      <c r="Q5549">
        <v>1.1879507945000101</v>
      </c>
      <c r="R5549">
        <v>7.8107054421289899</v>
      </c>
      <c r="S5549">
        <v>152</v>
      </c>
      <c r="T5549">
        <v>52</v>
      </c>
      <c r="U5549">
        <v>909.15478497070296</v>
      </c>
      <c r="V5549">
        <v>6.0301507537688396E-3</v>
      </c>
      <c r="W5549">
        <v>1266313.8092412101</v>
      </c>
      <c r="X5549" t="s">
        <v>36</v>
      </c>
      <c r="Y5549">
        <f>1-597-216-9405</f>
        <v>-10217</v>
      </c>
    </row>
    <row r="5550" spans="1:25" x14ac:dyDescent="0.35">
      <c r="A5550">
        <v>32.519801733135402</v>
      </c>
      <c r="B5550">
        <v>-122.46533360153499</v>
      </c>
      <c r="C5550" t="s">
        <v>29</v>
      </c>
      <c r="D5550">
        <v>22.533293785022401</v>
      </c>
      <c r="E5550">
        <v>7</v>
      </c>
      <c r="F5550">
        <v>2475</v>
      </c>
      <c r="G5550">
        <v>5</v>
      </c>
      <c r="H5550">
        <v>3</v>
      </c>
      <c r="I5550">
        <v>1997</v>
      </c>
      <c r="J5550">
        <v>0</v>
      </c>
      <c r="K5550">
        <v>0</v>
      </c>
      <c r="L5550">
        <v>0</v>
      </c>
      <c r="M5550">
        <v>3</v>
      </c>
      <c r="N5550" t="s">
        <v>41</v>
      </c>
      <c r="O5550" t="s">
        <v>32</v>
      </c>
      <c r="P5550">
        <v>3.2641909336314501</v>
      </c>
      <c r="Q5550">
        <v>1.64848809345373</v>
      </c>
      <c r="R5550">
        <v>0.69810001018896894</v>
      </c>
      <c r="S5550">
        <v>170</v>
      </c>
      <c r="T5550">
        <v>69</v>
      </c>
      <c r="U5550">
        <v>305.34462386090598</v>
      </c>
      <c r="V5550">
        <v>1.21212121212121E-3</v>
      </c>
      <c r="W5550">
        <v>1042439.7919288001</v>
      </c>
      <c r="X5550" t="s">
        <v>39</v>
      </c>
      <c r="Y5550">
        <f>1-909-342-4272</f>
        <v>-5522</v>
      </c>
    </row>
    <row r="5551" spans="1:25" x14ac:dyDescent="0.35">
      <c r="A5551">
        <v>41.5410944027944</v>
      </c>
      <c r="B5551">
        <v>-118.284415516896</v>
      </c>
      <c r="C5551" t="s">
        <v>29</v>
      </c>
      <c r="D5551">
        <v>12.4638510812345</v>
      </c>
      <c r="E5551">
        <v>6</v>
      </c>
      <c r="F5551">
        <v>3905</v>
      </c>
      <c r="G5551">
        <v>4</v>
      </c>
      <c r="H5551">
        <v>2</v>
      </c>
      <c r="I5551">
        <v>1952</v>
      </c>
      <c r="J5551">
        <v>0</v>
      </c>
      <c r="K5551">
        <v>1</v>
      </c>
      <c r="L5551">
        <v>1</v>
      </c>
      <c r="M5551">
        <v>3</v>
      </c>
      <c r="N5551" t="s">
        <v>35</v>
      </c>
      <c r="O5551" t="s">
        <v>32</v>
      </c>
      <c r="P5551">
        <v>11.365369719180601</v>
      </c>
      <c r="Q5551">
        <v>1.8196734098879599</v>
      </c>
      <c r="R5551">
        <v>0.72994804904480204</v>
      </c>
      <c r="S5551">
        <v>63</v>
      </c>
      <c r="T5551">
        <v>46</v>
      </c>
      <c r="U5551">
        <v>301.457204715518</v>
      </c>
      <c r="V5551">
        <v>7.68245838668373E-4</v>
      </c>
      <c r="W5551">
        <v>1519146.31325566</v>
      </c>
      <c r="X5551" t="s">
        <v>38</v>
      </c>
      <c r="Y5551">
        <f>1-967-855-1846</f>
        <v>-3667</v>
      </c>
    </row>
    <row r="5552" spans="1:25" x14ac:dyDescent="0.35">
      <c r="A5552">
        <v>39.108725193304302</v>
      </c>
      <c r="B5552">
        <v>-118.08443439350199</v>
      </c>
      <c r="C5552" t="s">
        <v>34</v>
      </c>
      <c r="D5552">
        <v>3.3478775875387199</v>
      </c>
      <c r="E5552">
        <v>7</v>
      </c>
      <c r="F5552">
        <v>1200</v>
      </c>
      <c r="G5552">
        <v>5</v>
      </c>
      <c r="H5552">
        <v>1</v>
      </c>
      <c r="I5552">
        <v>2010</v>
      </c>
      <c r="J5552">
        <v>1</v>
      </c>
      <c r="K5552">
        <v>0</v>
      </c>
      <c r="L5552">
        <v>0</v>
      </c>
      <c r="M5552">
        <v>14</v>
      </c>
      <c r="N5552" t="s">
        <v>41</v>
      </c>
      <c r="O5552" t="s">
        <v>32</v>
      </c>
      <c r="P5552">
        <v>8.6000836106971992</v>
      </c>
      <c r="Q5552">
        <v>0.74006154551475001</v>
      </c>
      <c r="R5552">
        <v>2.0617988782488799</v>
      </c>
      <c r="S5552">
        <v>83</v>
      </c>
      <c r="T5552">
        <v>26</v>
      </c>
      <c r="U5552">
        <v>972.07427087927499</v>
      </c>
      <c r="V5552">
        <v>1.16666666666666E-2</v>
      </c>
      <c r="W5552">
        <v>1496588.1694416499</v>
      </c>
      <c r="X5552" t="s">
        <v>42</v>
      </c>
      <c r="Y5552">
        <f>1-229-285-5745</f>
        <v>-6258</v>
      </c>
    </row>
    <row r="5553" spans="1:25" x14ac:dyDescent="0.35">
      <c r="A5553">
        <v>32.920203425894599</v>
      </c>
      <c r="B5553">
        <v>-114.882337296054</v>
      </c>
      <c r="C5553" t="s">
        <v>25</v>
      </c>
      <c r="D5553">
        <v>9.3825722125253606</v>
      </c>
      <c r="E5553">
        <v>9</v>
      </c>
      <c r="F5553">
        <v>2649</v>
      </c>
      <c r="G5553">
        <v>5</v>
      </c>
      <c r="H5553">
        <v>2</v>
      </c>
      <c r="I5553">
        <v>2013</v>
      </c>
      <c r="J5553">
        <v>1</v>
      </c>
      <c r="K5553">
        <v>0</v>
      </c>
      <c r="L5553">
        <v>1</v>
      </c>
      <c r="M5553">
        <v>5</v>
      </c>
      <c r="N5553" t="s">
        <v>35</v>
      </c>
      <c r="O5553" t="s">
        <v>30</v>
      </c>
      <c r="P5553">
        <v>14.333389797645999</v>
      </c>
      <c r="Q5553">
        <v>2.0555769416356999</v>
      </c>
      <c r="R5553">
        <v>1.4584825898762499</v>
      </c>
      <c r="S5553">
        <v>70</v>
      </c>
      <c r="T5553">
        <v>72</v>
      </c>
      <c r="U5553">
        <v>433.53964799267402</v>
      </c>
      <c r="V5553">
        <v>1.88750471876179E-3</v>
      </c>
      <c r="W5553">
        <v>1622549.5987062801</v>
      </c>
      <c r="X5553" t="s">
        <v>44</v>
      </c>
      <c r="Y5553">
        <f>1-669-462-8607</f>
        <v>-9737</v>
      </c>
    </row>
    <row r="5554" spans="1:25" x14ac:dyDescent="0.35">
      <c r="A5554">
        <v>38.489968304593297</v>
      </c>
      <c r="B5554">
        <v>-116.003408896466</v>
      </c>
      <c r="C5554" t="s">
        <v>29</v>
      </c>
      <c r="D5554">
        <v>21.837181789091801</v>
      </c>
      <c r="E5554">
        <v>3</v>
      </c>
      <c r="F5554">
        <v>2374</v>
      </c>
      <c r="G5554">
        <v>3</v>
      </c>
      <c r="H5554">
        <v>2</v>
      </c>
      <c r="I5554">
        <v>2008</v>
      </c>
      <c r="J5554">
        <v>1</v>
      </c>
      <c r="K5554">
        <v>0</v>
      </c>
      <c r="L5554">
        <v>1</v>
      </c>
      <c r="M5554">
        <v>11</v>
      </c>
      <c r="N5554" t="s">
        <v>26</v>
      </c>
      <c r="O5554" t="s">
        <v>32</v>
      </c>
      <c r="P5554">
        <v>3.9758282397150899</v>
      </c>
      <c r="Q5554">
        <v>1.6697733690346701</v>
      </c>
      <c r="R5554">
        <v>0.75563413493563603</v>
      </c>
      <c r="S5554">
        <v>191</v>
      </c>
      <c r="T5554">
        <v>37</v>
      </c>
      <c r="U5554">
        <v>733.38735007236096</v>
      </c>
      <c r="V5554">
        <v>4.6335299073293999E-3</v>
      </c>
      <c r="W5554">
        <v>2049609.35870918</v>
      </c>
      <c r="X5554" t="s">
        <v>33</v>
      </c>
      <c r="Y5554">
        <f>1-507-871-4775</f>
        <v>-6152</v>
      </c>
    </row>
    <row r="5555" spans="1:25" x14ac:dyDescent="0.35">
      <c r="A5555">
        <v>38.253587552562898</v>
      </c>
      <c r="B5555">
        <v>-116.57294815706599</v>
      </c>
      <c r="C5555" t="s">
        <v>29</v>
      </c>
      <c r="D5555">
        <v>16.868380349479398</v>
      </c>
      <c r="E5555">
        <v>2</v>
      </c>
      <c r="F5555">
        <v>4255</v>
      </c>
      <c r="G5555">
        <v>2</v>
      </c>
      <c r="H5555">
        <v>2</v>
      </c>
      <c r="I5555">
        <v>1957</v>
      </c>
      <c r="J5555">
        <v>0</v>
      </c>
      <c r="K5555">
        <v>1</v>
      </c>
      <c r="L5555">
        <v>0</v>
      </c>
      <c r="M5555">
        <v>10</v>
      </c>
      <c r="N5555" t="s">
        <v>35</v>
      </c>
      <c r="O5555" t="s">
        <v>30</v>
      </c>
      <c r="P5555">
        <v>6.2340958390650698</v>
      </c>
      <c r="Q5555">
        <v>0.97677429938814098</v>
      </c>
      <c r="R5555">
        <v>1.31785579033072</v>
      </c>
      <c r="S5555">
        <v>107</v>
      </c>
      <c r="T5555">
        <v>65</v>
      </c>
      <c r="U5555">
        <v>667.60321044402099</v>
      </c>
      <c r="V5555">
        <v>2.3501762632197401E-3</v>
      </c>
      <c r="W5555">
        <v>2999714.9853363601</v>
      </c>
      <c r="X5555" t="s">
        <v>42</v>
      </c>
      <c r="Y5555">
        <f>1-913-557-4118</f>
        <v>-5587</v>
      </c>
    </row>
    <row r="5556" spans="1:25" x14ac:dyDescent="0.35">
      <c r="A5556">
        <v>34.892477723654501</v>
      </c>
      <c r="B5556">
        <v>-121.787424960122</v>
      </c>
      <c r="C5556" t="s">
        <v>29</v>
      </c>
      <c r="D5556">
        <v>23.9213031461946</v>
      </c>
      <c r="E5556">
        <v>7</v>
      </c>
      <c r="F5556">
        <v>3903</v>
      </c>
      <c r="G5556">
        <v>1</v>
      </c>
      <c r="H5556">
        <v>3</v>
      </c>
      <c r="I5556">
        <v>1983</v>
      </c>
      <c r="J5556">
        <v>0</v>
      </c>
      <c r="K5556">
        <v>1</v>
      </c>
      <c r="L5556">
        <v>0</v>
      </c>
      <c r="M5556">
        <v>3</v>
      </c>
      <c r="N5556" t="s">
        <v>41</v>
      </c>
      <c r="O5556" t="s">
        <v>30</v>
      </c>
      <c r="P5556">
        <v>6.3628111541038601</v>
      </c>
      <c r="Q5556">
        <v>0.62945060754859306</v>
      </c>
      <c r="R5556">
        <v>7.1525000619837602</v>
      </c>
      <c r="S5556">
        <v>177</v>
      </c>
      <c r="T5556">
        <v>65</v>
      </c>
      <c r="U5556">
        <v>449.20444999782399</v>
      </c>
      <c r="V5556">
        <v>7.6863950807071397E-4</v>
      </c>
      <c r="W5556">
        <v>1943173.7797548</v>
      </c>
      <c r="X5556" t="s">
        <v>43</v>
      </c>
      <c r="Y5556">
        <f>1-960-671-2519</f>
        <v>-4149</v>
      </c>
    </row>
    <row r="5557" spans="1:25" x14ac:dyDescent="0.35">
      <c r="A5557">
        <v>35.346339517452101</v>
      </c>
      <c r="B5557">
        <v>-114.920915080402</v>
      </c>
      <c r="C5557" t="s">
        <v>29</v>
      </c>
      <c r="D5557">
        <v>10.594953832893101</v>
      </c>
      <c r="E5557">
        <v>0</v>
      </c>
      <c r="F5557">
        <v>2150</v>
      </c>
      <c r="G5557">
        <v>4</v>
      </c>
      <c r="H5557">
        <v>3</v>
      </c>
      <c r="I5557">
        <v>1967</v>
      </c>
      <c r="J5557">
        <v>1</v>
      </c>
      <c r="K5557">
        <v>0</v>
      </c>
      <c r="L5557">
        <v>0</v>
      </c>
      <c r="M5557">
        <v>9</v>
      </c>
      <c r="N5557" t="s">
        <v>41</v>
      </c>
      <c r="O5557" t="s">
        <v>30</v>
      </c>
      <c r="P5557">
        <v>8.7673454550317</v>
      </c>
      <c r="Q5557">
        <v>1.1920193983463301</v>
      </c>
      <c r="R5557">
        <v>0.59435688241818496</v>
      </c>
      <c r="S5557">
        <v>171</v>
      </c>
      <c r="T5557">
        <v>69</v>
      </c>
      <c r="U5557">
        <v>753.36858290451801</v>
      </c>
      <c r="V5557">
        <v>4.1860465116279003E-3</v>
      </c>
      <c r="W5557">
        <v>1957881.53952114</v>
      </c>
      <c r="X5557" t="s">
        <v>38</v>
      </c>
      <c r="Y5557">
        <f>1-714-813-7307</f>
        <v>-8833</v>
      </c>
    </row>
    <row r="5558" spans="1:25" x14ac:dyDescent="0.35">
      <c r="A5558">
        <v>36.142380421534099</v>
      </c>
      <c r="B5558">
        <v>-119.257290921589</v>
      </c>
      <c r="C5558" t="s">
        <v>25</v>
      </c>
      <c r="D5558">
        <v>37.3676281006247</v>
      </c>
      <c r="E5558">
        <v>1</v>
      </c>
      <c r="F5558">
        <v>699</v>
      </c>
      <c r="G5558">
        <v>5</v>
      </c>
      <c r="H5558">
        <v>2</v>
      </c>
      <c r="I5558">
        <v>1979</v>
      </c>
      <c r="J5558">
        <v>0</v>
      </c>
      <c r="K5558">
        <v>0</v>
      </c>
      <c r="L5558">
        <v>0</v>
      </c>
      <c r="M5558">
        <v>14</v>
      </c>
      <c r="N5558" t="s">
        <v>26</v>
      </c>
      <c r="O5558" t="s">
        <v>27</v>
      </c>
      <c r="P5558">
        <v>5.5838605331546098</v>
      </c>
      <c r="Q5558">
        <v>1.99459431858822</v>
      </c>
      <c r="R5558">
        <v>7.2086870970398902</v>
      </c>
      <c r="S5558">
        <v>63</v>
      </c>
      <c r="T5558">
        <v>21</v>
      </c>
      <c r="U5558">
        <v>526.31151105905201</v>
      </c>
      <c r="V5558">
        <v>2.0028612303290401E-2</v>
      </c>
      <c r="W5558">
        <v>639928.80642764003</v>
      </c>
      <c r="X5558" t="s">
        <v>42</v>
      </c>
      <c r="Y5558">
        <f>1-400-768-7888</f>
        <v>-9055</v>
      </c>
    </row>
    <row r="5559" spans="1:25" x14ac:dyDescent="0.35">
      <c r="A5559">
        <v>36.699223336547298</v>
      </c>
      <c r="B5559">
        <v>-121.285028987313</v>
      </c>
      <c r="C5559" t="s">
        <v>29</v>
      </c>
      <c r="D5559">
        <v>28.4891382776444</v>
      </c>
      <c r="E5559">
        <v>7</v>
      </c>
      <c r="F5559">
        <v>2073</v>
      </c>
      <c r="G5559">
        <v>3</v>
      </c>
      <c r="H5559">
        <v>2</v>
      </c>
      <c r="I5559">
        <v>1974</v>
      </c>
      <c r="J5559">
        <v>1</v>
      </c>
      <c r="K5559">
        <v>0</v>
      </c>
      <c r="L5559">
        <v>1</v>
      </c>
      <c r="M5559">
        <v>6</v>
      </c>
      <c r="N5559" t="s">
        <v>35</v>
      </c>
      <c r="O5559" t="s">
        <v>27</v>
      </c>
      <c r="P5559">
        <v>14.7273199715411</v>
      </c>
      <c r="Q5559">
        <v>2.3098070391697698</v>
      </c>
      <c r="R5559">
        <v>6.5189423690792596</v>
      </c>
      <c r="S5559">
        <v>55</v>
      </c>
      <c r="T5559">
        <v>25</v>
      </c>
      <c r="U5559">
        <v>584.583051024616</v>
      </c>
      <c r="V5559">
        <v>2.8943560057887101E-3</v>
      </c>
      <c r="W5559">
        <v>1484213.77826212</v>
      </c>
      <c r="X5559" t="s">
        <v>43</v>
      </c>
      <c r="Y5559">
        <f>1-958-500-3938</f>
        <v>-5395</v>
      </c>
    </row>
    <row r="5560" spans="1:25" x14ac:dyDescent="0.35">
      <c r="A5560">
        <v>37.622232583795899</v>
      </c>
      <c r="B5560">
        <v>-123.686383346032</v>
      </c>
      <c r="C5560" t="s">
        <v>25</v>
      </c>
      <c r="D5560">
        <v>34.182110944389699</v>
      </c>
      <c r="E5560">
        <v>7</v>
      </c>
      <c r="F5560">
        <v>1749</v>
      </c>
      <c r="G5560">
        <v>3</v>
      </c>
      <c r="H5560">
        <v>2</v>
      </c>
      <c r="I5560">
        <v>1975</v>
      </c>
      <c r="J5560">
        <v>0</v>
      </c>
      <c r="K5560">
        <v>0</v>
      </c>
      <c r="L5560">
        <v>0</v>
      </c>
      <c r="M5560">
        <v>7</v>
      </c>
      <c r="N5560" t="s">
        <v>26</v>
      </c>
      <c r="O5560" t="s">
        <v>27</v>
      </c>
      <c r="P5560">
        <v>2.7212499237952699</v>
      </c>
      <c r="Q5560">
        <v>1.8270896232475899</v>
      </c>
      <c r="R5560">
        <v>8.4442624253107805</v>
      </c>
      <c r="S5560">
        <v>57</v>
      </c>
      <c r="T5560">
        <v>29</v>
      </c>
      <c r="U5560">
        <v>726.89581315783096</v>
      </c>
      <c r="V5560">
        <v>4.00228702115494E-3</v>
      </c>
      <c r="W5560">
        <v>1373433.0657269999</v>
      </c>
      <c r="X5560" t="s">
        <v>40</v>
      </c>
      <c r="Y5560">
        <f>1-486-225-9537</f>
        <v>-10247</v>
      </c>
    </row>
    <row r="5561" spans="1:25" x14ac:dyDescent="0.35">
      <c r="A5561">
        <v>39.199114488441097</v>
      </c>
      <c r="B5561">
        <v>-119.649336551258</v>
      </c>
      <c r="C5561" t="s">
        <v>29</v>
      </c>
      <c r="D5561">
        <v>37.639068821465003</v>
      </c>
      <c r="E5561">
        <v>8</v>
      </c>
      <c r="F5561">
        <v>847</v>
      </c>
      <c r="G5561">
        <v>3</v>
      </c>
      <c r="H5561">
        <v>3</v>
      </c>
      <c r="I5561">
        <v>1999</v>
      </c>
      <c r="J5561">
        <v>0</v>
      </c>
      <c r="K5561">
        <v>0</v>
      </c>
      <c r="L5561">
        <v>0</v>
      </c>
      <c r="M5561">
        <v>8</v>
      </c>
      <c r="N5561" t="s">
        <v>41</v>
      </c>
      <c r="O5561" t="s">
        <v>32</v>
      </c>
      <c r="P5561">
        <v>13.3781405832194</v>
      </c>
      <c r="Q5561">
        <v>1.38565690722524</v>
      </c>
      <c r="R5561">
        <v>1.8212017972094801</v>
      </c>
      <c r="S5561">
        <v>43</v>
      </c>
      <c r="T5561">
        <v>46</v>
      </c>
      <c r="U5561">
        <v>241.08564594368499</v>
      </c>
      <c r="V5561">
        <v>9.4451003541912593E-3</v>
      </c>
      <c r="W5561">
        <v>510227.09358590801</v>
      </c>
      <c r="X5561" t="s">
        <v>31</v>
      </c>
      <c r="Y5561">
        <f>1-472-103-9536</f>
        <v>-10110</v>
      </c>
    </row>
    <row r="5562" spans="1:25" x14ac:dyDescent="0.35">
      <c r="A5562">
        <v>33.849793728600801</v>
      </c>
      <c r="B5562">
        <v>-123.980367735415</v>
      </c>
      <c r="C5562" t="s">
        <v>34</v>
      </c>
      <c r="D5562">
        <v>26.296090596050199</v>
      </c>
      <c r="E5562">
        <v>7</v>
      </c>
      <c r="F5562">
        <v>3376</v>
      </c>
      <c r="G5562">
        <v>5</v>
      </c>
      <c r="H5562">
        <v>3</v>
      </c>
      <c r="I5562">
        <v>2007</v>
      </c>
      <c r="J5562">
        <v>1</v>
      </c>
      <c r="K5562">
        <v>1</v>
      </c>
      <c r="L5562">
        <v>1</v>
      </c>
      <c r="M5562">
        <v>3</v>
      </c>
      <c r="N5562" t="s">
        <v>35</v>
      </c>
      <c r="O5562" t="s">
        <v>32</v>
      </c>
      <c r="P5562">
        <v>4.9607894984248704</v>
      </c>
      <c r="Q5562">
        <v>1.2847562650579001</v>
      </c>
      <c r="R5562">
        <v>5.5070046263794499</v>
      </c>
      <c r="S5562">
        <v>168</v>
      </c>
      <c r="T5562">
        <v>54</v>
      </c>
      <c r="U5562">
        <v>987.93825338111606</v>
      </c>
      <c r="V5562">
        <v>8.8862559241706103E-4</v>
      </c>
      <c r="W5562">
        <v>3798831.0778113101</v>
      </c>
      <c r="X5562" t="s">
        <v>28</v>
      </c>
      <c r="Y5562">
        <f>1-375-247-7138</f>
        <v>-7759</v>
      </c>
    </row>
    <row r="5563" spans="1:25" x14ac:dyDescent="0.35">
      <c r="A5563">
        <v>41.937980010322597</v>
      </c>
      <c r="B5563">
        <v>-118.221398538485</v>
      </c>
      <c r="C5563" t="s">
        <v>25</v>
      </c>
      <c r="D5563">
        <v>33.8394566251283</v>
      </c>
      <c r="E5563">
        <v>1</v>
      </c>
      <c r="F5563">
        <v>3264</v>
      </c>
      <c r="G5563">
        <v>1</v>
      </c>
      <c r="H5563">
        <v>1</v>
      </c>
      <c r="I5563">
        <v>1992</v>
      </c>
      <c r="J5563">
        <v>0</v>
      </c>
      <c r="K5563">
        <v>1</v>
      </c>
      <c r="L5563">
        <v>0</v>
      </c>
      <c r="M5563">
        <v>4</v>
      </c>
      <c r="N5563" t="s">
        <v>35</v>
      </c>
      <c r="O5563" t="s">
        <v>30</v>
      </c>
      <c r="P5563">
        <v>11.692622759246699</v>
      </c>
      <c r="Q5563">
        <v>2.1269143987549399</v>
      </c>
      <c r="R5563">
        <v>9.2275842424721706</v>
      </c>
      <c r="S5563">
        <v>114</v>
      </c>
      <c r="T5563">
        <v>46</v>
      </c>
      <c r="U5563">
        <v>434.45758647565702</v>
      </c>
      <c r="V5563">
        <v>1.2254901960784301E-3</v>
      </c>
      <c r="W5563">
        <v>1611636.0328009999</v>
      </c>
      <c r="X5563" t="s">
        <v>40</v>
      </c>
      <c r="Y5563">
        <f>1-747-745-8348</f>
        <v>-9839</v>
      </c>
    </row>
    <row r="5564" spans="1:25" x14ac:dyDescent="0.35">
      <c r="A5564">
        <v>33.116304931234403</v>
      </c>
      <c r="B5564">
        <v>-115.707498729565</v>
      </c>
      <c r="C5564" t="s">
        <v>25</v>
      </c>
      <c r="D5564">
        <v>12.644873012969001</v>
      </c>
      <c r="E5564">
        <v>1</v>
      </c>
      <c r="F5564">
        <v>1422</v>
      </c>
      <c r="G5564">
        <v>5</v>
      </c>
      <c r="H5564">
        <v>3</v>
      </c>
      <c r="I5564">
        <v>2017</v>
      </c>
      <c r="J5564">
        <v>0</v>
      </c>
      <c r="K5564">
        <v>1</v>
      </c>
      <c r="L5564">
        <v>1</v>
      </c>
      <c r="M5564">
        <v>11</v>
      </c>
      <c r="N5564" t="s">
        <v>37</v>
      </c>
      <c r="O5564" t="s">
        <v>30</v>
      </c>
      <c r="P5564">
        <v>7.4947386518418098</v>
      </c>
      <c r="Q5564">
        <v>1.1412323467985701</v>
      </c>
      <c r="R5564">
        <v>3.6161406124189401</v>
      </c>
      <c r="S5564">
        <v>36</v>
      </c>
      <c r="T5564">
        <v>47</v>
      </c>
      <c r="U5564">
        <v>709.75595098426697</v>
      </c>
      <c r="V5564">
        <v>7.7355836849507696E-3</v>
      </c>
      <c r="W5564">
        <v>1496808.2714708101</v>
      </c>
      <c r="X5564" t="s">
        <v>39</v>
      </c>
      <c r="Y5564">
        <f>1-895-671-1667</f>
        <v>-3232</v>
      </c>
    </row>
    <row r="5565" spans="1:25" x14ac:dyDescent="0.35">
      <c r="A5565">
        <v>41.884289663838103</v>
      </c>
      <c r="B5565">
        <v>-119.392795451531</v>
      </c>
      <c r="C5565" t="s">
        <v>34</v>
      </c>
      <c r="D5565">
        <v>27.588881528589301</v>
      </c>
      <c r="E5565">
        <v>1</v>
      </c>
      <c r="F5565">
        <v>2209</v>
      </c>
      <c r="G5565">
        <v>1</v>
      </c>
      <c r="H5565">
        <v>2</v>
      </c>
      <c r="I5565">
        <v>2001</v>
      </c>
      <c r="J5565">
        <v>0</v>
      </c>
      <c r="K5565">
        <v>1</v>
      </c>
      <c r="L5565">
        <v>0</v>
      </c>
      <c r="M5565">
        <v>8</v>
      </c>
      <c r="N5565" t="s">
        <v>37</v>
      </c>
      <c r="O5565" t="s">
        <v>30</v>
      </c>
      <c r="P5565">
        <v>9.4550308598246797</v>
      </c>
      <c r="Q5565">
        <v>1.26546019963733</v>
      </c>
      <c r="R5565">
        <v>6.88443954734828</v>
      </c>
      <c r="S5565">
        <v>88</v>
      </c>
      <c r="T5565">
        <v>22</v>
      </c>
      <c r="U5565">
        <v>332.61346369415003</v>
      </c>
      <c r="V5565">
        <v>3.6215482118605699E-3</v>
      </c>
      <c r="W5565">
        <v>924301.70380512194</v>
      </c>
      <c r="X5565" t="s">
        <v>40</v>
      </c>
      <c r="Y5565">
        <f>1-429-239-8946</f>
        <v>-9613</v>
      </c>
    </row>
    <row r="5566" spans="1:25" x14ac:dyDescent="0.35">
      <c r="A5566">
        <v>38.545612700142101</v>
      </c>
      <c r="B5566">
        <v>-118.810288118139</v>
      </c>
      <c r="C5566" t="s">
        <v>29</v>
      </c>
      <c r="D5566">
        <v>15.949511836607799</v>
      </c>
      <c r="E5566">
        <v>4</v>
      </c>
      <c r="F5566">
        <v>737</v>
      </c>
      <c r="G5566">
        <v>5</v>
      </c>
      <c r="H5566">
        <v>2</v>
      </c>
      <c r="I5566">
        <v>2022</v>
      </c>
      <c r="J5566">
        <v>0</v>
      </c>
      <c r="K5566">
        <v>0</v>
      </c>
      <c r="L5566">
        <v>0</v>
      </c>
      <c r="M5566">
        <v>11</v>
      </c>
      <c r="N5566" t="s">
        <v>37</v>
      </c>
      <c r="O5566" t="s">
        <v>27</v>
      </c>
      <c r="P5566">
        <v>8.2236617872958302</v>
      </c>
      <c r="Q5566">
        <v>0.677181566174618</v>
      </c>
      <c r="R5566">
        <v>7.1918950121430596</v>
      </c>
      <c r="S5566">
        <v>161</v>
      </c>
      <c r="T5566">
        <v>57</v>
      </c>
      <c r="U5566">
        <v>895.39120725830503</v>
      </c>
      <c r="V5566">
        <v>1.4925373134328301E-2</v>
      </c>
      <c r="W5566">
        <v>966224.61198949104</v>
      </c>
      <c r="X5566" t="s">
        <v>38</v>
      </c>
      <c r="Y5566">
        <f>1-848-232-9982</f>
        <v>-11061</v>
      </c>
    </row>
    <row r="5567" spans="1:25" x14ac:dyDescent="0.35">
      <c r="A5567">
        <v>39.725775084371698</v>
      </c>
      <c r="B5567">
        <v>-119.480894913271</v>
      </c>
      <c r="C5567" t="s">
        <v>34</v>
      </c>
      <c r="D5567">
        <v>45.612971010795597</v>
      </c>
      <c r="E5567">
        <v>3</v>
      </c>
      <c r="F5567">
        <v>2217</v>
      </c>
      <c r="G5567">
        <v>5</v>
      </c>
      <c r="H5567">
        <v>3</v>
      </c>
      <c r="I5567">
        <v>2016</v>
      </c>
      <c r="J5567">
        <v>0</v>
      </c>
      <c r="K5567">
        <v>0</v>
      </c>
      <c r="L5567">
        <v>1</v>
      </c>
      <c r="M5567">
        <v>4</v>
      </c>
      <c r="N5567" t="s">
        <v>26</v>
      </c>
      <c r="O5567" t="s">
        <v>27</v>
      </c>
      <c r="P5567">
        <v>11.8528498092214</v>
      </c>
      <c r="Q5567">
        <v>1.27729570560144</v>
      </c>
      <c r="R5567">
        <v>8.7641839953143492</v>
      </c>
      <c r="S5567">
        <v>174</v>
      </c>
      <c r="T5567">
        <v>62</v>
      </c>
      <c r="U5567">
        <v>666.72053308278601</v>
      </c>
      <c r="V5567">
        <v>1.8042399639152001E-3</v>
      </c>
      <c r="W5567">
        <v>1891294.5364868599</v>
      </c>
      <c r="X5567" t="s">
        <v>31</v>
      </c>
      <c r="Y5567">
        <f>1-435-455-4726</f>
        <v>-5615</v>
      </c>
    </row>
    <row r="5568" spans="1:25" x14ac:dyDescent="0.35">
      <c r="A5568">
        <v>34.984857012651801</v>
      </c>
      <c r="B5568">
        <v>-120.034012050493</v>
      </c>
      <c r="C5568" t="s">
        <v>25</v>
      </c>
      <c r="D5568">
        <v>29.076991393614701</v>
      </c>
      <c r="E5568">
        <v>3</v>
      </c>
      <c r="F5568">
        <v>4922</v>
      </c>
      <c r="G5568">
        <v>5</v>
      </c>
      <c r="H5568">
        <v>3</v>
      </c>
      <c r="I5568">
        <v>2001</v>
      </c>
      <c r="J5568">
        <v>0</v>
      </c>
      <c r="K5568">
        <v>0</v>
      </c>
      <c r="L5568">
        <v>0</v>
      </c>
      <c r="M5568">
        <v>6</v>
      </c>
      <c r="N5568" t="s">
        <v>37</v>
      </c>
      <c r="O5568" t="s">
        <v>27</v>
      </c>
      <c r="P5568">
        <v>12.9825635776736</v>
      </c>
      <c r="Q5568">
        <v>1.8132753610526999</v>
      </c>
      <c r="R5568">
        <v>0.23100586549740201</v>
      </c>
      <c r="S5568">
        <v>94</v>
      </c>
      <c r="T5568">
        <v>48</v>
      </c>
      <c r="U5568">
        <v>531.53133701312197</v>
      </c>
      <c r="V5568">
        <v>1.21901665989435E-3</v>
      </c>
      <c r="W5568">
        <v>3092692.59551549</v>
      </c>
      <c r="X5568" t="s">
        <v>31</v>
      </c>
      <c r="Y5568">
        <f>1-209-732-9674</f>
        <v>-10614</v>
      </c>
    </row>
    <row r="5569" spans="1:25" x14ac:dyDescent="0.35">
      <c r="A5569">
        <v>35.469226901582701</v>
      </c>
      <c r="B5569">
        <v>-121.080597225684</v>
      </c>
      <c r="C5569" t="s">
        <v>29</v>
      </c>
      <c r="D5569">
        <v>36.696487429864803</v>
      </c>
      <c r="E5569">
        <v>7</v>
      </c>
      <c r="F5569">
        <v>1906</v>
      </c>
      <c r="G5569">
        <v>2</v>
      </c>
      <c r="H5569">
        <v>1</v>
      </c>
      <c r="I5569">
        <v>1984</v>
      </c>
      <c r="J5569">
        <v>0</v>
      </c>
      <c r="K5569">
        <v>0</v>
      </c>
      <c r="L5569">
        <v>1</v>
      </c>
      <c r="M5569">
        <v>13</v>
      </c>
      <c r="N5569" t="s">
        <v>26</v>
      </c>
      <c r="O5569" t="s">
        <v>30</v>
      </c>
      <c r="P5569">
        <v>5.6419408829476199</v>
      </c>
      <c r="Q5569">
        <v>0.77311471829110701</v>
      </c>
      <c r="R5569">
        <v>3.0820218562184198</v>
      </c>
      <c r="S5569">
        <v>195</v>
      </c>
      <c r="T5569">
        <v>33</v>
      </c>
      <c r="U5569">
        <v>328.52769677072502</v>
      </c>
      <c r="V5569">
        <v>6.8205666316893997E-3</v>
      </c>
      <c r="W5569">
        <v>663485.04389009404</v>
      </c>
      <c r="X5569" t="s">
        <v>42</v>
      </c>
      <c r="Y5569">
        <f>1-329-321-4472</f>
        <v>-5121</v>
      </c>
    </row>
    <row r="5570" spans="1:25" x14ac:dyDescent="0.35">
      <c r="A5570">
        <v>32.628467651192501</v>
      </c>
      <c r="B5570">
        <v>-124.463951282092</v>
      </c>
      <c r="C5570" t="s">
        <v>34</v>
      </c>
      <c r="D5570">
        <v>13.7626827652683</v>
      </c>
      <c r="E5570">
        <v>6</v>
      </c>
      <c r="F5570">
        <v>4468</v>
      </c>
      <c r="G5570">
        <v>1</v>
      </c>
      <c r="H5570">
        <v>2</v>
      </c>
      <c r="I5570">
        <v>1979</v>
      </c>
      <c r="J5570">
        <v>1</v>
      </c>
      <c r="K5570">
        <v>0</v>
      </c>
      <c r="L5570">
        <v>1</v>
      </c>
      <c r="M5570">
        <v>10</v>
      </c>
      <c r="N5570" t="s">
        <v>26</v>
      </c>
      <c r="O5570" t="s">
        <v>27</v>
      </c>
      <c r="P5570">
        <v>8.9919389376105894</v>
      </c>
      <c r="Q5570">
        <v>0.71353113821672198</v>
      </c>
      <c r="R5570">
        <v>2.25253477985936</v>
      </c>
      <c r="S5570">
        <v>181</v>
      </c>
      <c r="T5570">
        <v>77</v>
      </c>
      <c r="U5570">
        <v>721.21848566620395</v>
      </c>
      <c r="V5570">
        <v>2.2381378692927401E-3</v>
      </c>
      <c r="W5570">
        <v>3308383.1767190001</v>
      </c>
      <c r="X5570" t="s">
        <v>33</v>
      </c>
      <c r="Y5570">
        <f>1-883-494-1129</f>
        <v>-2505</v>
      </c>
    </row>
    <row r="5571" spans="1:25" x14ac:dyDescent="0.35">
      <c r="A5571">
        <v>37.948157836101998</v>
      </c>
      <c r="B5571">
        <v>-120.523101477558</v>
      </c>
      <c r="C5571" t="s">
        <v>34</v>
      </c>
      <c r="D5571">
        <v>44.015142011795398</v>
      </c>
      <c r="E5571">
        <v>6</v>
      </c>
      <c r="F5571">
        <v>3364</v>
      </c>
      <c r="G5571">
        <v>4</v>
      </c>
      <c r="H5571">
        <v>1</v>
      </c>
      <c r="I5571">
        <v>1972</v>
      </c>
      <c r="J5571">
        <v>1</v>
      </c>
      <c r="K5571">
        <v>1</v>
      </c>
      <c r="L5571">
        <v>0</v>
      </c>
      <c r="M5571">
        <v>7</v>
      </c>
      <c r="N5571" t="s">
        <v>35</v>
      </c>
      <c r="O5571" t="s">
        <v>32</v>
      </c>
      <c r="P5571">
        <v>2.64063647067838</v>
      </c>
      <c r="Q5571">
        <v>0.82552826144858604</v>
      </c>
      <c r="R5571">
        <v>5.4602677782256599</v>
      </c>
      <c r="S5571">
        <v>28</v>
      </c>
      <c r="T5571">
        <v>37</v>
      </c>
      <c r="U5571">
        <v>257.27282451086199</v>
      </c>
      <c r="V5571">
        <v>2.0808561236622999E-3</v>
      </c>
      <c r="W5571">
        <v>1193301.80233728</v>
      </c>
      <c r="X5571" t="s">
        <v>36</v>
      </c>
      <c r="Y5571">
        <f>1-456-988-8099</f>
        <v>-9542</v>
      </c>
    </row>
    <row r="5572" spans="1:25" x14ac:dyDescent="0.35">
      <c r="A5572">
        <v>37.149747940127597</v>
      </c>
      <c r="B5572">
        <v>-118.898782467261</v>
      </c>
      <c r="C5572" t="s">
        <v>34</v>
      </c>
      <c r="D5572">
        <v>11.861341778153101</v>
      </c>
      <c r="E5572">
        <v>1</v>
      </c>
      <c r="F5572">
        <v>2712</v>
      </c>
      <c r="G5572">
        <v>2</v>
      </c>
      <c r="H5572">
        <v>2</v>
      </c>
      <c r="I5572">
        <v>1989</v>
      </c>
      <c r="J5572">
        <v>1</v>
      </c>
      <c r="K5572">
        <v>0</v>
      </c>
      <c r="L5572">
        <v>0</v>
      </c>
      <c r="M5572">
        <v>8</v>
      </c>
      <c r="N5572" t="s">
        <v>37</v>
      </c>
      <c r="O5572" t="s">
        <v>27</v>
      </c>
      <c r="P5572">
        <v>9.6595555538048998</v>
      </c>
      <c r="Q5572">
        <v>1.5735597321786401</v>
      </c>
      <c r="R5572">
        <v>1.4048281593623599</v>
      </c>
      <c r="S5572">
        <v>39</v>
      </c>
      <c r="T5572">
        <v>77</v>
      </c>
      <c r="U5572">
        <v>780.72380570826601</v>
      </c>
      <c r="V5572">
        <v>2.9498525073746299E-3</v>
      </c>
      <c r="W5572">
        <v>2380900.83995282</v>
      </c>
      <c r="X5572" t="s">
        <v>36</v>
      </c>
      <c r="Y5572">
        <f>1-732-275-4877</f>
        <v>-5883</v>
      </c>
    </row>
    <row r="5573" spans="1:25" x14ac:dyDescent="0.35">
      <c r="A5573">
        <v>41.5481688333997</v>
      </c>
      <c r="B5573">
        <v>-123.234913481719</v>
      </c>
      <c r="C5573" t="s">
        <v>34</v>
      </c>
      <c r="D5573">
        <v>17.4796897705418</v>
      </c>
      <c r="E5573">
        <v>9</v>
      </c>
      <c r="F5573">
        <v>3794</v>
      </c>
      <c r="G5573">
        <v>5</v>
      </c>
      <c r="H5573">
        <v>1</v>
      </c>
      <c r="I5573">
        <v>2021</v>
      </c>
      <c r="J5573">
        <v>1</v>
      </c>
      <c r="K5573">
        <v>0</v>
      </c>
      <c r="L5573">
        <v>1</v>
      </c>
      <c r="M5573">
        <v>2</v>
      </c>
      <c r="N5573" t="s">
        <v>35</v>
      </c>
      <c r="O5573" t="s">
        <v>27</v>
      </c>
      <c r="P5573">
        <v>10.8167656334429</v>
      </c>
      <c r="Q5573">
        <v>0.98154399404186199</v>
      </c>
      <c r="R5573">
        <v>2.3277008665405101</v>
      </c>
      <c r="S5573">
        <v>159</v>
      </c>
      <c r="T5573">
        <v>33</v>
      </c>
      <c r="U5573">
        <v>564.93481744738699</v>
      </c>
      <c r="V5573">
        <v>5.2714812862414298E-4</v>
      </c>
      <c r="W5573">
        <v>2494648.3196418099</v>
      </c>
      <c r="X5573" t="s">
        <v>44</v>
      </c>
      <c r="Y5573">
        <f>1-788-170-2324</f>
        <v>-3281</v>
      </c>
    </row>
    <row r="5574" spans="1:25" x14ac:dyDescent="0.35">
      <c r="A5574">
        <v>36.551232058026002</v>
      </c>
      <c r="B5574">
        <v>-120.119966024955</v>
      </c>
      <c r="C5574" t="s">
        <v>29</v>
      </c>
      <c r="D5574">
        <v>4.0186340309783901</v>
      </c>
      <c r="E5574">
        <v>4</v>
      </c>
      <c r="F5574">
        <v>2554</v>
      </c>
      <c r="G5574">
        <v>5</v>
      </c>
      <c r="H5574">
        <v>1</v>
      </c>
      <c r="I5574">
        <v>1976</v>
      </c>
      <c r="J5574">
        <v>0</v>
      </c>
      <c r="K5574">
        <v>0</v>
      </c>
      <c r="L5574">
        <v>1</v>
      </c>
      <c r="M5574">
        <v>12</v>
      </c>
      <c r="N5574" t="s">
        <v>35</v>
      </c>
      <c r="O5574" t="s">
        <v>27</v>
      </c>
      <c r="P5574">
        <v>7.9786732806538998</v>
      </c>
      <c r="Q5574">
        <v>2.2563323426331801</v>
      </c>
      <c r="R5574">
        <v>5.2996552539403297</v>
      </c>
      <c r="S5574">
        <v>116</v>
      </c>
      <c r="T5574">
        <v>64</v>
      </c>
      <c r="U5574">
        <v>979.03103507660501</v>
      </c>
      <c r="V5574">
        <v>4.6985121378230197E-3</v>
      </c>
      <c r="W5574">
        <v>2797310.4293198702</v>
      </c>
      <c r="X5574" t="s">
        <v>42</v>
      </c>
      <c r="Y5574">
        <f>1-840-272-9943</f>
        <v>-11054</v>
      </c>
    </row>
    <row r="5575" spans="1:25" x14ac:dyDescent="0.35">
      <c r="A5575">
        <v>34.500429420366601</v>
      </c>
      <c r="B5575">
        <v>-122.365560373298</v>
      </c>
      <c r="C5575" t="s">
        <v>25</v>
      </c>
      <c r="D5575">
        <v>23.845965265860698</v>
      </c>
      <c r="E5575">
        <v>4</v>
      </c>
      <c r="F5575">
        <v>1269</v>
      </c>
      <c r="G5575">
        <v>1</v>
      </c>
      <c r="H5575">
        <v>2</v>
      </c>
      <c r="I5575">
        <v>1977</v>
      </c>
      <c r="J5575">
        <v>1</v>
      </c>
      <c r="K5575">
        <v>0</v>
      </c>
      <c r="L5575">
        <v>1</v>
      </c>
      <c r="M5575">
        <v>13</v>
      </c>
      <c r="N5575" t="s">
        <v>41</v>
      </c>
      <c r="O5575" t="s">
        <v>32</v>
      </c>
      <c r="P5575">
        <v>5.3244443026896997</v>
      </c>
      <c r="Q5575">
        <v>1.53776702683202</v>
      </c>
      <c r="R5575">
        <v>5.5462913409852899</v>
      </c>
      <c r="S5575">
        <v>139</v>
      </c>
      <c r="T5575">
        <v>78</v>
      </c>
      <c r="U5575">
        <v>248.876886620253</v>
      </c>
      <c r="V5575">
        <v>1.0244286840031499E-2</v>
      </c>
      <c r="W5575">
        <v>504262.94730049901</v>
      </c>
      <c r="X5575" t="s">
        <v>38</v>
      </c>
      <c r="Y5575">
        <f>1-660-484-4653</f>
        <v>-5796</v>
      </c>
    </row>
    <row r="5576" spans="1:25" x14ac:dyDescent="0.35">
      <c r="A5576">
        <v>41.656599210601499</v>
      </c>
      <c r="B5576">
        <v>-121.145235334166</v>
      </c>
      <c r="C5576" t="s">
        <v>34</v>
      </c>
      <c r="D5576">
        <v>31.457591880188499</v>
      </c>
      <c r="E5576">
        <v>8</v>
      </c>
      <c r="F5576">
        <v>1918</v>
      </c>
      <c r="G5576">
        <v>5</v>
      </c>
      <c r="H5576">
        <v>1</v>
      </c>
      <c r="I5576">
        <v>2018</v>
      </c>
      <c r="J5576">
        <v>0</v>
      </c>
      <c r="K5576">
        <v>0</v>
      </c>
      <c r="L5576">
        <v>1</v>
      </c>
      <c r="M5576">
        <v>8</v>
      </c>
      <c r="N5576" t="s">
        <v>26</v>
      </c>
      <c r="O5576" t="s">
        <v>27</v>
      </c>
      <c r="P5576">
        <v>8.0694103200306202</v>
      </c>
      <c r="Q5576">
        <v>1.80092431686445</v>
      </c>
      <c r="R5576">
        <v>5.1877137184448197</v>
      </c>
      <c r="S5576">
        <v>19</v>
      </c>
      <c r="T5576">
        <v>44</v>
      </c>
      <c r="U5576">
        <v>570.95791837931404</v>
      </c>
      <c r="V5576">
        <v>4.1710114702815399E-3</v>
      </c>
      <c r="W5576">
        <v>1493514.7462933699</v>
      </c>
      <c r="X5576" t="s">
        <v>42</v>
      </c>
      <c r="Y5576">
        <f>1-889-530-1987</f>
        <v>-3405</v>
      </c>
    </row>
    <row r="5577" spans="1:25" x14ac:dyDescent="0.35">
      <c r="A5577">
        <v>39.269697667091698</v>
      </c>
      <c r="B5577">
        <v>-122.254204893185</v>
      </c>
      <c r="C5577" t="s">
        <v>34</v>
      </c>
      <c r="D5577">
        <v>16.361616510353201</v>
      </c>
      <c r="E5577">
        <v>5</v>
      </c>
      <c r="F5577">
        <v>2443</v>
      </c>
      <c r="G5577">
        <v>5</v>
      </c>
      <c r="H5577">
        <v>3</v>
      </c>
      <c r="I5577">
        <v>2003</v>
      </c>
      <c r="J5577">
        <v>1</v>
      </c>
      <c r="K5577">
        <v>0</v>
      </c>
      <c r="L5577">
        <v>1</v>
      </c>
      <c r="M5577">
        <v>13</v>
      </c>
      <c r="N5577" t="s">
        <v>41</v>
      </c>
      <c r="O5577" t="s">
        <v>27</v>
      </c>
      <c r="P5577">
        <v>10.1367793175998</v>
      </c>
      <c r="Q5577">
        <v>0.76569411607392002</v>
      </c>
      <c r="R5577">
        <v>6.4697834135650396</v>
      </c>
      <c r="S5577">
        <v>118</v>
      </c>
      <c r="T5577">
        <v>76</v>
      </c>
      <c r="U5577">
        <v>990.32039496332902</v>
      </c>
      <c r="V5577">
        <v>5.3213262382316804E-3</v>
      </c>
      <c r="W5577">
        <v>2923045.3426404502</v>
      </c>
      <c r="X5577" t="s">
        <v>44</v>
      </c>
      <c r="Y5577">
        <f>1-631-143-2096</f>
        <v>-2869</v>
      </c>
    </row>
    <row r="5578" spans="1:25" x14ac:dyDescent="0.35">
      <c r="A5578">
        <v>33.598303237327599</v>
      </c>
      <c r="B5578">
        <v>-117.41479904041501</v>
      </c>
      <c r="C5578" t="s">
        <v>29</v>
      </c>
      <c r="D5578">
        <v>16.8099017820714</v>
      </c>
      <c r="E5578">
        <v>7</v>
      </c>
      <c r="F5578">
        <v>3586</v>
      </c>
      <c r="G5578">
        <v>4</v>
      </c>
      <c r="H5578">
        <v>1</v>
      </c>
      <c r="I5578">
        <v>1962</v>
      </c>
      <c r="J5578">
        <v>0</v>
      </c>
      <c r="K5578">
        <v>1</v>
      </c>
      <c r="L5578">
        <v>0</v>
      </c>
      <c r="M5578">
        <v>14</v>
      </c>
      <c r="N5578" t="s">
        <v>35</v>
      </c>
      <c r="O5578" t="s">
        <v>30</v>
      </c>
      <c r="P5578">
        <v>11.819986040945</v>
      </c>
      <c r="Q5578">
        <v>1.8351096303800001</v>
      </c>
      <c r="R5578">
        <v>7.9481636309042996</v>
      </c>
      <c r="S5578">
        <v>188</v>
      </c>
      <c r="T5578">
        <v>61</v>
      </c>
      <c r="U5578">
        <v>352.33681534225002</v>
      </c>
      <c r="V5578">
        <v>3.9040713887339598E-3</v>
      </c>
      <c r="W5578">
        <v>1534707.23497888</v>
      </c>
      <c r="X5578" t="s">
        <v>44</v>
      </c>
      <c r="Y5578">
        <f>1-702-277-1788</f>
        <v>-2766</v>
      </c>
    </row>
    <row r="5579" spans="1:25" x14ac:dyDescent="0.35">
      <c r="A5579">
        <v>40.264453887629699</v>
      </c>
      <c r="B5579">
        <v>-124.00903586557099</v>
      </c>
      <c r="C5579" t="s">
        <v>29</v>
      </c>
      <c r="D5579">
        <v>37.087546718014202</v>
      </c>
      <c r="E5579">
        <v>7</v>
      </c>
      <c r="F5579">
        <v>3272</v>
      </c>
      <c r="G5579">
        <v>2</v>
      </c>
      <c r="H5579">
        <v>2</v>
      </c>
      <c r="I5579">
        <v>1997</v>
      </c>
      <c r="J5579">
        <v>1</v>
      </c>
      <c r="K5579">
        <v>0</v>
      </c>
      <c r="L5579">
        <v>1</v>
      </c>
      <c r="M5579">
        <v>3</v>
      </c>
      <c r="N5579" t="s">
        <v>37</v>
      </c>
      <c r="O5579" t="s">
        <v>27</v>
      </c>
      <c r="P5579">
        <v>5.4393985092899504</v>
      </c>
      <c r="Q5579">
        <v>1.8733949998739301</v>
      </c>
      <c r="R5579">
        <v>3.7574298068794398</v>
      </c>
      <c r="S5579">
        <v>183</v>
      </c>
      <c r="T5579">
        <v>77</v>
      </c>
      <c r="U5579">
        <v>646.48840519857799</v>
      </c>
      <c r="V5579">
        <v>9.16870415647921E-4</v>
      </c>
      <c r="W5579">
        <v>2230604.8220490799</v>
      </c>
      <c r="X5579" t="s">
        <v>42</v>
      </c>
      <c r="Y5579">
        <f>1-264-574-3375</f>
        <v>-4212</v>
      </c>
    </row>
    <row r="5580" spans="1:25" x14ac:dyDescent="0.35">
      <c r="A5580">
        <v>32.821983823884899</v>
      </c>
      <c r="B5580">
        <v>-115.39905614255601</v>
      </c>
      <c r="C5580" t="s">
        <v>29</v>
      </c>
      <c r="D5580">
        <v>21.209090721540001</v>
      </c>
      <c r="E5580">
        <v>8</v>
      </c>
      <c r="F5580">
        <v>2650</v>
      </c>
      <c r="G5580">
        <v>3</v>
      </c>
      <c r="H5580">
        <v>2</v>
      </c>
      <c r="I5580">
        <v>1974</v>
      </c>
      <c r="J5580">
        <v>1</v>
      </c>
      <c r="K5580">
        <v>1</v>
      </c>
      <c r="L5580">
        <v>1</v>
      </c>
      <c r="M5580">
        <v>7</v>
      </c>
      <c r="N5580" t="s">
        <v>26</v>
      </c>
      <c r="O5580" t="s">
        <v>32</v>
      </c>
      <c r="P5580">
        <v>12.511142204201001</v>
      </c>
      <c r="Q5580">
        <v>2.28709813929584</v>
      </c>
      <c r="R5580">
        <v>4.19349782913309</v>
      </c>
      <c r="S5580">
        <v>78</v>
      </c>
      <c r="T5580">
        <v>59</v>
      </c>
      <c r="U5580">
        <v>941.45962415004601</v>
      </c>
      <c r="V5580">
        <v>2.64150943396226E-3</v>
      </c>
      <c r="W5580">
        <v>2881192.5139955399</v>
      </c>
      <c r="X5580" t="s">
        <v>28</v>
      </c>
      <c r="Y5580">
        <f>1-837-453-3586</f>
        <v>-4875</v>
      </c>
    </row>
    <row r="5581" spans="1:25" x14ac:dyDescent="0.35">
      <c r="A5581">
        <v>40.407175389065102</v>
      </c>
      <c r="B5581">
        <v>-120.177508710973</v>
      </c>
      <c r="C5581" t="s">
        <v>25</v>
      </c>
      <c r="D5581">
        <v>31.3533596507807</v>
      </c>
      <c r="E5581">
        <v>2</v>
      </c>
      <c r="F5581">
        <v>3235</v>
      </c>
      <c r="G5581">
        <v>2</v>
      </c>
      <c r="H5581">
        <v>3</v>
      </c>
      <c r="I5581">
        <v>1985</v>
      </c>
      <c r="J5581">
        <v>0</v>
      </c>
      <c r="K5581">
        <v>0</v>
      </c>
      <c r="L5581">
        <v>1</v>
      </c>
      <c r="M5581">
        <v>2</v>
      </c>
      <c r="N5581" t="s">
        <v>35</v>
      </c>
      <c r="O5581" t="s">
        <v>30</v>
      </c>
      <c r="P5581">
        <v>4.2365040119354296</v>
      </c>
      <c r="Q5581">
        <v>0.80006084963275204</v>
      </c>
      <c r="R5581">
        <v>5.5432748669096403</v>
      </c>
      <c r="S5581">
        <v>92</v>
      </c>
      <c r="T5581">
        <v>51</v>
      </c>
      <c r="U5581">
        <v>935.32789640506701</v>
      </c>
      <c r="V5581">
        <v>6.1823802163833003E-4</v>
      </c>
      <c r="W5581">
        <v>3238376.9213801199</v>
      </c>
      <c r="X5581" t="s">
        <v>42</v>
      </c>
      <c r="Y5581">
        <f>1-542-955-7623</f>
        <v>-9119</v>
      </c>
    </row>
    <row r="5582" spans="1:25" x14ac:dyDescent="0.35">
      <c r="A5582">
        <v>33.429091927342803</v>
      </c>
      <c r="B5582">
        <v>-116.661569202346</v>
      </c>
      <c r="C5582" t="s">
        <v>34</v>
      </c>
      <c r="D5582">
        <v>20.019747700882402</v>
      </c>
      <c r="E5582">
        <v>5</v>
      </c>
      <c r="F5582">
        <v>4346</v>
      </c>
      <c r="G5582">
        <v>5</v>
      </c>
      <c r="H5582">
        <v>1</v>
      </c>
      <c r="I5582">
        <v>1994</v>
      </c>
      <c r="J5582">
        <v>0</v>
      </c>
      <c r="K5582">
        <v>0</v>
      </c>
      <c r="L5582">
        <v>1</v>
      </c>
      <c r="M5582">
        <v>2</v>
      </c>
      <c r="N5582" t="s">
        <v>26</v>
      </c>
      <c r="O5582" t="s">
        <v>27</v>
      </c>
      <c r="P5582">
        <v>8.5130325851798805</v>
      </c>
      <c r="Q5582">
        <v>2.12655776842126</v>
      </c>
      <c r="R5582">
        <v>9.0215963896317692</v>
      </c>
      <c r="S5582">
        <v>146</v>
      </c>
      <c r="T5582">
        <v>48</v>
      </c>
      <c r="U5582">
        <v>941.62497661913505</v>
      </c>
      <c r="V5582">
        <v>4.6019328117809401E-4</v>
      </c>
      <c r="W5582">
        <v>4276111.5828224001</v>
      </c>
      <c r="X5582" t="s">
        <v>31</v>
      </c>
      <c r="Y5582">
        <f>1-565-906-3627</f>
        <v>-5097</v>
      </c>
    </row>
    <row r="5583" spans="1:25" x14ac:dyDescent="0.35">
      <c r="A5583">
        <v>36.762159416340801</v>
      </c>
      <c r="B5583">
        <v>-122.12524875893899</v>
      </c>
      <c r="C5583" t="s">
        <v>34</v>
      </c>
      <c r="D5583">
        <v>24.591196471303501</v>
      </c>
      <c r="E5583">
        <v>2</v>
      </c>
      <c r="F5583">
        <v>2765</v>
      </c>
      <c r="G5583">
        <v>4</v>
      </c>
      <c r="H5583">
        <v>2</v>
      </c>
      <c r="I5583">
        <v>2004</v>
      </c>
      <c r="J5583">
        <v>1</v>
      </c>
      <c r="K5583">
        <v>0</v>
      </c>
      <c r="L5583">
        <v>1</v>
      </c>
      <c r="M5583">
        <v>3</v>
      </c>
      <c r="N5583" t="s">
        <v>26</v>
      </c>
      <c r="O5583" t="s">
        <v>30</v>
      </c>
      <c r="P5583">
        <v>8.8028745233583408</v>
      </c>
      <c r="Q5583">
        <v>1.84247485032072</v>
      </c>
      <c r="R5583">
        <v>5.5361697486021999</v>
      </c>
      <c r="S5583">
        <v>1</v>
      </c>
      <c r="T5583">
        <v>41</v>
      </c>
      <c r="U5583">
        <v>900.17555179463204</v>
      </c>
      <c r="V5583">
        <v>1.08499095840868E-3</v>
      </c>
      <c r="W5583">
        <v>2951368.6435992401</v>
      </c>
      <c r="X5583" t="s">
        <v>31</v>
      </c>
      <c r="Y5583">
        <f>1-511-379-3922</f>
        <v>-4811</v>
      </c>
    </row>
    <row r="5584" spans="1:25" x14ac:dyDescent="0.35">
      <c r="A5584">
        <v>41.113561086795301</v>
      </c>
      <c r="B5584">
        <v>-117.451966126613</v>
      </c>
      <c r="C5584" t="s">
        <v>34</v>
      </c>
      <c r="D5584">
        <v>8.0138468138328598</v>
      </c>
      <c r="E5584">
        <v>3</v>
      </c>
      <c r="F5584">
        <v>4381</v>
      </c>
      <c r="G5584">
        <v>4</v>
      </c>
      <c r="H5584">
        <v>1</v>
      </c>
      <c r="I5584">
        <v>1969</v>
      </c>
      <c r="J5584">
        <v>1</v>
      </c>
      <c r="K5584">
        <v>1</v>
      </c>
      <c r="L5584">
        <v>0</v>
      </c>
      <c r="M5584">
        <v>14</v>
      </c>
      <c r="N5584" t="s">
        <v>37</v>
      </c>
      <c r="O5584" t="s">
        <v>30</v>
      </c>
      <c r="P5584">
        <v>14.969363778916399</v>
      </c>
      <c r="Q5584">
        <v>1.18130831621161</v>
      </c>
      <c r="R5584">
        <v>4.6630043208319201</v>
      </c>
      <c r="S5584">
        <v>57</v>
      </c>
      <c r="T5584">
        <v>36</v>
      </c>
      <c r="U5584">
        <v>684.19363840575204</v>
      </c>
      <c r="V5584">
        <v>3.1956174389408802E-3</v>
      </c>
      <c r="W5584">
        <v>3402867.3286479702</v>
      </c>
      <c r="X5584" t="s">
        <v>36</v>
      </c>
      <c r="Y5584">
        <f>1-721-208-3392</f>
        <v>-4320</v>
      </c>
    </row>
    <row r="5585" spans="1:25" x14ac:dyDescent="0.35">
      <c r="A5585">
        <v>41.794073233921601</v>
      </c>
      <c r="B5585">
        <v>-116.37268301441399</v>
      </c>
      <c r="C5585" t="s">
        <v>25</v>
      </c>
      <c r="D5585">
        <v>1.2539586672949401</v>
      </c>
      <c r="E5585">
        <v>6</v>
      </c>
      <c r="F5585">
        <v>3676</v>
      </c>
      <c r="G5585">
        <v>4</v>
      </c>
      <c r="H5585">
        <v>1</v>
      </c>
      <c r="I5585">
        <v>1990</v>
      </c>
      <c r="J5585">
        <v>1</v>
      </c>
      <c r="K5585">
        <v>1</v>
      </c>
      <c r="L5585">
        <v>0</v>
      </c>
      <c r="M5585">
        <v>9</v>
      </c>
      <c r="N5585" t="s">
        <v>37</v>
      </c>
      <c r="O5585" t="s">
        <v>30</v>
      </c>
      <c r="P5585">
        <v>2.9115463304620199</v>
      </c>
      <c r="Q5585">
        <v>1.1205580078475901</v>
      </c>
      <c r="R5585">
        <v>7.4502501305241502</v>
      </c>
      <c r="S5585">
        <v>43</v>
      </c>
      <c r="T5585">
        <v>77</v>
      </c>
      <c r="U5585">
        <v>362.93661838121</v>
      </c>
      <c r="V5585">
        <v>2.4483133841131598E-3</v>
      </c>
      <c r="W5585">
        <v>1616415.5410410101</v>
      </c>
      <c r="X5585" t="s">
        <v>38</v>
      </c>
      <c r="Y5585">
        <f>1-271-719-8593</f>
        <v>-9582</v>
      </c>
    </row>
    <row r="5586" spans="1:25" x14ac:dyDescent="0.35">
      <c r="A5586">
        <v>36.737657458454201</v>
      </c>
      <c r="B5586">
        <v>-122.35731356419301</v>
      </c>
      <c r="C5586" t="s">
        <v>34</v>
      </c>
      <c r="D5586">
        <v>20.0803681645056</v>
      </c>
      <c r="E5586">
        <v>8</v>
      </c>
      <c r="F5586">
        <v>1492</v>
      </c>
      <c r="G5586">
        <v>1</v>
      </c>
      <c r="H5586">
        <v>2</v>
      </c>
      <c r="I5586">
        <v>2012</v>
      </c>
      <c r="J5586">
        <v>1</v>
      </c>
      <c r="K5586">
        <v>1</v>
      </c>
      <c r="L5586">
        <v>1</v>
      </c>
      <c r="M5586">
        <v>5</v>
      </c>
      <c r="N5586" t="s">
        <v>41</v>
      </c>
      <c r="O5586" t="s">
        <v>32</v>
      </c>
      <c r="P5586">
        <v>6.7505311733746103</v>
      </c>
      <c r="Q5586">
        <v>1.54260423405827</v>
      </c>
      <c r="R5586">
        <v>5.61329411120564</v>
      </c>
      <c r="S5586">
        <v>51</v>
      </c>
      <c r="T5586">
        <v>29</v>
      </c>
      <c r="U5586">
        <v>412.02579716643697</v>
      </c>
      <c r="V5586">
        <v>3.35120643431635E-3</v>
      </c>
      <c r="W5586">
        <v>936849.96877183905</v>
      </c>
      <c r="X5586" t="s">
        <v>44</v>
      </c>
      <c r="Y5586">
        <f>1-857-397-6153</f>
        <v>-7406</v>
      </c>
    </row>
    <row r="5587" spans="1:25" x14ac:dyDescent="0.35">
      <c r="A5587">
        <v>36.716365934358201</v>
      </c>
      <c r="B5587">
        <v>-124.417214250941</v>
      </c>
      <c r="C5587" t="s">
        <v>25</v>
      </c>
      <c r="D5587">
        <v>24.740927156063702</v>
      </c>
      <c r="E5587">
        <v>4</v>
      </c>
      <c r="F5587">
        <v>1294</v>
      </c>
      <c r="G5587">
        <v>5</v>
      </c>
      <c r="H5587">
        <v>3</v>
      </c>
      <c r="I5587">
        <v>2021</v>
      </c>
      <c r="J5587">
        <v>1</v>
      </c>
      <c r="K5587">
        <v>1</v>
      </c>
      <c r="L5587">
        <v>1</v>
      </c>
      <c r="M5587">
        <v>10</v>
      </c>
      <c r="N5587" t="s">
        <v>41</v>
      </c>
      <c r="O5587" t="s">
        <v>27</v>
      </c>
      <c r="P5587">
        <v>5.2606827675899996</v>
      </c>
      <c r="Q5587">
        <v>1.0511921703788101</v>
      </c>
      <c r="R5587">
        <v>7.6677116495717001</v>
      </c>
      <c r="S5587">
        <v>118</v>
      </c>
      <c r="T5587">
        <v>22</v>
      </c>
      <c r="U5587">
        <v>536.57218964297294</v>
      </c>
      <c r="V5587">
        <v>7.7279752704791302E-3</v>
      </c>
      <c r="W5587">
        <v>1246209.6876979501</v>
      </c>
      <c r="X5587" t="s">
        <v>40</v>
      </c>
      <c r="Y5587">
        <f>1-453-710-3384</f>
        <v>-4546</v>
      </c>
    </row>
    <row r="5588" spans="1:25" x14ac:dyDescent="0.35">
      <c r="A5588">
        <v>39.3434451315361</v>
      </c>
      <c r="B5588">
        <v>-114.20785989973</v>
      </c>
      <c r="C5588" t="s">
        <v>25</v>
      </c>
      <c r="D5588">
        <v>45.129949410180103</v>
      </c>
      <c r="E5588">
        <v>6</v>
      </c>
      <c r="F5588">
        <v>871</v>
      </c>
      <c r="G5588">
        <v>3</v>
      </c>
      <c r="H5588">
        <v>2</v>
      </c>
      <c r="I5588">
        <v>1992</v>
      </c>
      <c r="J5588">
        <v>0</v>
      </c>
      <c r="K5588">
        <v>0</v>
      </c>
      <c r="L5588">
        <v>1</v>
      </c>
      <c r="M5588">
        <v>5</v>
      </c>
      <c r="N5588" t="s">
        <v>26</v>
      </c>
      <c r="O5588" t="s">
        <v>30</v>
      </c>
      <c r="P5588">
        <v>14.359819096280599</v>
      </c>
      <c r="Q5588">
        <v>1.6367162564211899</v>
      </c>
      <c r="R5588">
        <v>0.79577713208864498</v>
      </c>
      <c r="S5588">
        <v>179</v>
      </c>
      <c r="T5588">
        <v>31</v>
      </c>
      <c r="U5588">
        <v>518.76602067403905</v>
      </c>
      <c r="V5588">
        <v>5.7405281285878296E-3</v>
      </c>
      <c r="W5588">
        <v>722065.38598597294</v>
      </c>
      <c r="X5588" t="s">
        <v>38</v>
      </c>
      <c r="Y5588">
        <f>1-514-112-9794</f>
        <v>-10419</v>
      </c>
    </row>
    <row r="5589" spans="1:25" x14ac:dyDescent="0.35">
      <c r="A5589">
        <v>40.6197479268777</v>
      </c>
      <c r="B5589">
        <v>-120.99615156731799</v>
      </c>
      <c r="C5589" t="s">
        <v>34</v>
      </c>
      <c r="D5589">
        <v>2.0586465037044799</v>
      </c>
      <c r="E5589">
        <v>4</v>
      </c>
      <c r="F5589">
        <v>1534</v>
      </c>
      <c r="G5589">
        <v>1</v>
      </c>
      <c r="H5589">
        <v>3</v>
      </c>
      <c r="I5589">
        <v>1962</v>
      </c>
      <c r="J5589">
        <v>0</v>
      </c>
      <c r="K5589">
        <v>1</v>
      </c>
      <c r="L5589">
        <v>0</v>
      </c>
      <c r="M5589">
        <v>11</v>
      </c>
      <c r="N5589" t="s">
        <v>37</v>
      </c>
      <c r="O5589" t="s">
        <v>27</v>
      </c>
      <c r="P5589">
        <v>14.209352640794201</v>
      </c>
      <c r="Q5589">
        <v>2.1803419371993402</v>
      </c>
      <c r="R5589">
        <v>5.7589019188015804</v>
      </c>
      <c r="S5589">
        <v>0</v>
      </c>
      <c r="T5589">
        <v>34</v>
      </c>
      <c r="U5589">
        <v>975.93583805636604</v>
      </c>
      <c r="V5589">
        <v>7.1707953063885202E-3</v>
      </c>
      <c r="W5589">
        <v>1788674.9359909201</v>
      </c>
      <c r="X5589" t="s">
        <v>43</v>
      </c>
      <c r="Y5589">
        <f>1-531-993-1949</f>
        <v>-3472</v>
      </c>
    </row>
    <row r="5590" spans="1:25" x14ac:dyDescent="0.35">
      <c r="A5590">
        <v>38.626385495513297</v>
      </c>
      <c r="B5590">
        <v>-115.115890306061</v>
      </c>
      <c r="C5590" t="s">
        <v>29</v>
      </c>
      <c r="D5590">
        <v>3.6271700848639901</v>
      </c>
      <c r="E5590">
        <v>9</v>
      </c>
      <c r="F5590">
        <v>1093</v>
      </c>
      <c r="G5590">
        <v>4</v>
      </c>
      <c r="H5590">
        <v>1</v>
      </c>
      <c r="I5590">
        <v>1973</v>
      </c>
      <c r="J5590">
        <v>0</v>
      </c>
      <c r="K5590">
        <v>1</v>
      </c>
      <c r="L5590">
        <v>0</v>
      </c>
      <c r="M5590">
        <v>5</v>
      </c>
      <c r="N5590" t="s">
        <v>26</v>
      </c>
      <c r="O5590" t="s">
        <v>30</v>
      </c>
      <c r="P5590">
        <v>6.0976372118324003</v>
      </c>
      <c r="Q5590">
        <v>2.04498048116759</v>
      </c>
      <c r="R5590">
        <v>1.09265792522522</v>
      </c>
      <c r="S5590">
        <v>172</v>
      </c>
      <c r="T5590">
        <v>20</v>
      </c>
      <c r="U5590">
        <v>721.96263255988504</v>
      </c>
      <c r="V5590">
        <v>4.5745654162854497E-3</v>
      </c>
      <c r="W5590">
        <v>1054738.55028809</v>
      </c>
      <c r="X5590" t="s">
        <v>43</v>
      </c>
      <c r="Y5590">
        <f>1-917-925-7961</f>
        <v>-9802</v>
      </c>
    </row>
    <row r="5591" spans="1:25" x14ac:dyDescent="0.35">
      <c r="A5591">
        <v>41.786332154314998</v>
      </c>
      <c r="B5591">
        <v>-120.04428450809399</v>
      </c>
      <c r="C5591" t="s">
        <v>34</v>
      </c>
      <c r="D5591">
        <v>10.8576066445744</v>
      </c>
      <c r="E5591">
        <v>8</v>
      </c>
      <c r="F5591">
        <v>1106</v>
      </c>
      <c r="G5591">
        <v>5</v>
      </c>
      <c r="H5591">
        <v>1</v>
      </c>
      <c r="I5591">
        <v>2022</v>
      </c>
      <c r="J5591">
        <v>0</v>
      </c>
      <c r="K5591">
        <v>1</v>
      </c>
      <c r="L5591">
        <v>0</v>
      </c>
      <c r="M5591">
        <v>3</v>
      </c>
      <c r="N5591" t="s">
        <v>37</v>
      </c>
      <c r="O5591" t="s">
        <v>32</v>
      </c>
      <c r="P5591">
        <v>6.9757477804858103</v>
      </c>
      <c r="Q5591">
        <v>1.7822993057749801</v>
      </c>
      <c r="R5591">
        <v>9.7650791780392208</v>
      </c>
      <c r="S5591">
        <v>147</v>
      </c>
      <c r="T5591">
        <v>56</v>
      </c>
      <c r="U5591">
        <v>790.96272549110404</v>
      </c>
      <c r="V5591">
        <v>2.7124773960216998E-3</v>
      </c>
      <c r="W5591">
        <v>1301075.41239242</v>
      </c>
      <c r="X5591" t="s">
        <v>43</v>
      </c>
      <c r="Y5591">
        <f>1-844-963-7421</f>
        <v>-9227</v>
      </c>
    </row>
    <row r="5592" spans="1:25" x14ac:dyDescent="0.35">
      <c r="A5592">
        <v>33.811218817074298</v>
      </c>
      <c r="B5592">
        <v>-116.70887356135199</v>
      </c>
      <c r="C5592" t="s">
        <v>25</v>
      </c>
      <c r="D5592">
        <v>47.080510302984102</v>
      </c>
      <c r="E5592">
        <v>5</v>
      </c>
      <c r="F5592">
        <v>576</v>
      </c>
      <c r="G5592">
        <v>5</v>
      </c>
      <c r="H5592">
        <v>1</v>
      </c>
      <c r="I5592">
        <v>1957</v>
      </c>
      <c r="J5592">
        <v>1</v>
      </c>
      <c r="K5592">
        <v>1</v>
      </c>
      <c r="L5592">
        <v>0</v>
      </c>
      <c r="M5592">
        <v>9</v>
      </c>
      <c r="N5592" t="s">
        <v>35</v>
      </c>
      <c r="O5592" t="s">
        <v>30</v>
      </c>
      <c r="P5592">
        <v>10.924937080053599</v>
      </c>
      <c r="Q5592">
        <v>1.0885930063964999</v>
      </c>
      <c r="R5592">
        <v>1.4134621110118399</v>
      </c>
      <c r="S5592">
        <v>58</v>
      </c>
      <c r="T5592">
        <v>20</v>
      </c>
      <c r="U5592">
        <v>460.85865610556601</v>
      </c>
      <c r="V5592">
        <v>1.5625E-2</v>
      </c>
      <c r="W5592">
        <v>775682.69763570896</v>
      </c>
      <c r="X5592" t="s">
        <v>28</v>
      </c>
      <c r="Y5592">
        <f>1-243-239-6593</f>
        <v>-7074</v>
      </c>
    </row>
    <row r="5593" spans="1:25" x14ac:dyDescent="0.35">
      <c r="A5593">
        <v>35.893671500047098</v>
      </c>
      <c r="B5593">
        <v>-119.93860833744699</v>
      </c>
      <c r="C5593" t="s">
        <v>29</v>
      </c>
      <c r="D5593">
        <v>42.789298082531701</v>
      </c>
      <c r="E5593">
        <v>1</v>
      </c>
      <c r="F5593">
        <v>1726</v>
      </c>
      <c r="G5593">
        <v>3</v>
      </c>
      <c r="H5593">
        <v>2</v>
      </c>
      <c r="I5593">
        <v>2015</v>
      </c>
      <c r="J5593">
        <v>1</v>
      </c>
      <c r="K5593">
        <v>0</v>
      </c>
      <c r="L5593">
        <v>0</v>
      </c>
      <c r="M5593">
        <v>8</v>
      </c>
      <c r="N5593" t="s">
        <v>35</v>
      </c>
      <c r="O5593" t="s">
        <v>30</v>
      </c>
      <c r="P5593">
        <v>10.6451550699647</v>
      </c>
      <c r="Q5593">
        <v>1.3390009474303499</v>
      </c>
      <c r="R5593">
        <v>0.33308112000340601</v>
      </c>
      <c r="S5593">
        <v>100</v>
      </c>
      <c r="T5593">
        <v>75</v>
      </c>
      <c r="U5593">
        <v>660.08055970094097</v>
      </c>
      <c r="V5593">
        <v>4.6349942062572404E-3</v>
      </c>
      <c r="W5593">
        <v>1446753.3037849399</v>
      </c>
      <c r="X5593" t="s">
        <v>36</v>
      </c>
      <c r="Y5593">
        <f>1-896-324-8522</f>
        <v>-9741</v>
      </c>
    </row>
    <row r="5594" spans="1:25" x14ac:dyDescent="0.35">
      <c r="A5594">
        <v>36.401601925645899</v>
      </c>
      <c r="B5594">
        <v>-119.333629252245</v>
      </c>
      <c r="C5594" t="s">
        <v>25</v>
      </c>
      <c r="D5594">
        <v>4.9849789187828</v>
      </c>
      <c r="E5594">
        <v>7</v>
      </c>
      <c r="F5594">
        <v>2878</v>
      </c>
      <c r="G5594">
        <v>5</v>
      </c>
      <c r="H5594">
        <v>3</v>
      </c>
      <c r="I5594">
        <v>1988</v>
      </c>
      <c r="J5594">
        <v>1</v>
      </c>
      <c r="K5594">
        <v>1</v>
      </c>
      <c r="L5594">
        <v>0</v>
      </c>
      <c r="M5594">
        <v>11</v>
      </c>
      <c r="N5594" t="s">
        <v>26</v>
      </c>
      <c r="O5594" t="s">
        <v>32</v>
      </c>
      <c r="P5594">
        <v>12.6182616427893</v>
      </c>
      <c r="Q5594">
        <v>1.3539810032639501</v>
      </c>
      <c r="R5594">
        <v>5.2658573937356898</v>
      </c>
      <c r="S5594">
        <v>141</v>
      </c>
      <c r="T5594">
        <v>61</v>
      </c>
      <c r="U5594">
        <v>378.046004902851</v>
      </c>
      <c r="V5594">
        <v>3.82209867963863E-3</v>
      </c>
      <c r="W5594">
        <v>1669608.9028326699</v>
      </c>
      <c r="X5594" t="s">
        <v>33</v>
      </c>
      <c r="Y5594">
        <f>1-628-629-5800</f>
        <v>-7056</v>
      </c>
    </row>
    <row r="5595" spans="1:25" x14ac:dyDescent="0.35">
      <c r="A5595">
        <v>37.753323999181703</v>
      </c>
      <c r="B5595">
        <v>-117.326673915171</v>
      </c>
      <c r="C5595" t="s">
        <v>25</v>
      </c>
      <c r="D5595">
        <v>49.828557446675497</v>
      </c>
      <c r="E5595">
        <v>3</v>
      </c>
      <c r="F5595">
        <v>2581</v>
      </c>
      <c r="G5595">
        <v>3</v>
      </c>
      <c r="H5595">
        <v>1</v>
      </c>
      <c r="I5595">
        <v>1966</v>
      </c>
      <c r="J5595">
        <v>0</v>
      </c>
      <c r="K5595">
        <v>0</v>
      </c>
      <c r="L5595">
        <v>0</v>
      </c>
      <c r="M5595">
        <v>13</v>
      </c>
      <c r="N5595" t="s">
        <v>41</v>
      </c>
      <c r="O5595" t="s">
        <v>32</v>
      </c>
      <c r="P5595">
        <v>14.7179262596713</v>
      </c>
      <c r="Q5595">
        <v>1.1431441249118499</v>
      </c>
      <c r="R5595">
        <v>6.1632246406704398</v>
      </c>
      <c r="S5595">
        <v>48</v>
      </c>
      <c r="T5595">
        <v>79</v>
      </c>
      <c r="U5595">
        <v>642.70182527158602</v>
      </c>
      <c r="V5595">
        <v>5.0368074389771401E-3</v>
      </c>
      <c r="W5595">
        <v>1876271.1269555199</v>
      </c>
      <c r="X5595" t="s">
        <v>33</v>
      </c>
      <c r="Y5595">
        <f>1-644-521-8490</f>
        <v>-9654</v>
      </c>
    </row>
    <row r="5596" spans="1:25" x14ac:dyDescent="0.35">
      <c r="A5596">
        <v>41.7721448445104</v>
      </c>
      <c r="B5596">
        <v>-118.498829736388</v>
      </c>
      <c r="C5596" t="s">
        <v>34</v>
      </c>
      <c r="D5596">
        <v>22.0771393991118</v>
      </c>
      <c r="E5596">
        <v>9</v>
      </c>
      <c r="F5596">
        <v>3662</v>
      </c>
      <c r="G5596">
        <v>5</v>
      </c>
      <c r="H5596">
        <v>1</v>
      </c>
      <c r="I5596">
        <v>1967</v>
      </c>
      <c r="J5596">
        <v>0</v>
      </c>
      <c r="K5596">
        <v>0</v>
      </c>
      <c r="L5596">
        <v>1</v>
      </c>
      <c r="M5596">
        <v>8</v>
      </c>
      <c r="N5596" t="s">
        <v>35</v>
      </c>
      <c r="O5596" t="s">
        <v>30</v>
      </c>
      <c r="P5596">
        <v>14.3849915206651</v>
      </c>
      <c r="Q5596">
        <v>0.62632799492496005</v>
      </c>
      <c r="R5596">
        <v>2.0170921332585698</v>
      </c>
      <c r="S5596">
        <v>193</v>
      </c>
      <c r="T5596">
        <v>48</v>
      </c>
      <c r="U5596">
        <v>279.23871601222902</v>
      </c>
      <c r="V5596">
        <v>2.1845985800109202E-3</v>
      </c>
      <c r="W5596">
        <v>1339281.07360772</v>
      </c>
      <c r="X5596" t="s">
        <v>44</v>
      </c>
      <c r="Y5596">
        <f>1-330-276-2600</f>
        <v>-3205</v>
      </c>
    </row>
    <row r="5597" spans="1:25" x14ac:dyDescent="0.35">
      <c r="A5597">
        <v>32.848445056959598</v>
      </c>
      <c r="B5597">
        <v>-118.266542561045</v>
      </c>
      <c r="C5597" t="s">
        <v>25</v>
      </c>
      <c r="D5597">
        <v>47.489763062091797</v>
      </c>
      <c r="E5597">
        <v>3</v>
      </c>
      <c r="F5597">
        <v>3742</v>
      </c>
      <c r="G5597">
        <v>2</v>
      </c>
      <c r="H5597">
        <v>1</v>
      </c>
      <c r="I5597">
        <v>2022</v>
      </c>
      <c r="J5597">
        <v>0</v>
      </c>
      <c r="K5597">
        <v>0</v>
      </c>
      <c r="L5597">
        <v>1</v>
      </c>
      <c r="M5597">
        <v>2</v>
      </c>
      <c r="N5597" t="s">
        <v>35</v>
      </c>
      <c r="O5597" t="s">
        <v>30</v>
      </c>
      <c r="P5597">
        <v>13.3594203907476</v>
      </c>
      <c r="Q5597">
        <v>0.68068792188580196</v>
      </c>
      <c r="R5597">
        <v>7.5069761687192802</v>
      </c>
      <c r="S5597">
        <v>171</v>
      </c>
      <c r="T5597">
        <v>65</v>
      </c>
      <c r="U5597">
        <v>605.731399306154</v>
      </c>
      <c r="V5597">
        <v>5.34473543559593E-4</v>
      </c>
      <c r="W5597">
        <v>2533919.1628394998</v>
      </c>
      <c r="X5597" t="s">
        <v>42</v>
      </c>
      <c r="Y5597">
        <f>1-432-831-3031</f>
        <v>-4293</v>
      </c>
    </row>
    <row r="5598" spans="1:25" x14ac:dyDescent="0.35">
      <c r="A5598">
        <v>41.057988075113499</v>
      </c>
      <c r="B5598">
        <v>-114.659259512509</v>
      </c>
      <c r="C5598" t="s">
        <v>25</v>
      </c>
      <c r="D5598">
        <v>23.429271350126001</v>
      </c>
      <c r="E5598">
        <v>0</v>
      </c>
      <c r="F5598">
        <v>4148</v>
      </c>
      <c r="G5598">
        <v>2</v>
      </c>
      <c r="H5598">
        <v>1</v>
      </c>
      <c r="I5598">
        <v>1969</v>
      </c>
      <c r="J5598">
        <v>1</v>
      </c>
      <c r="K5598">
        <v>1</v>
      </c>
      <c r="L5598">
        <v>1</v>
      </c>
      <c r="M5598">
        <v>13</v>
      </c>
      <c r="N5598" t="s">
        <v>41</v>
      </c>
      <c r="O5598" t="s">
        <v>30</v>
      </c>
      <c r="P5598">
        <v>4.4216892170865796</v>
      </c>
      <c r="Q5598">
        <v>1.1973613495695401</v>
      </c>
      <c r="R5598">
        <v>3.8272599312344302</v>
      </c>
      <c r="S5598">
        <v>56</v>
      </c>
      <c r="T5598">
        <v>46</v>
      </c>
      <c r="U5598">
        <v>662.52013442553005</v>
      </c>
      <c r="V5598">
        <v>3.1340405014464801E-3</v>
      </c>
      <c r="W5598">
        <v>2957775.2593412502</v>
      </c>
      <c r="X5598" t="s">
        <v>28</v>
      </c>
      <c r="Y5598">
        <f>1-209-371-5212</f>
        <v>-5791</v>
      </c>
    </row>
    <row r="5599" spans="1:25" x14ac:dyDescent="0.35">
      <c r="A5599">
        <v>38.720477153450801</v>
      </c>
      <c r="B5599">
        <v>-115.821142340786</v>
      </c>
      <c r="C5599" t="s">
        <v>34</v>
      </c>
      <c r="D5599">
        <v>19.0176203082775</v>
      </c>
      <c r="E5599">
        <v>0</v>
      </c>
      <c r="F5599">
        <v>737</v>
      </c>
      <c r="G5599">
        <v>5</v>
      </c>
      <c r="H5599">
        <v>3</v>
      </c>
      <c r="I5599">
        <v>2014</v>
      </c>
      <c r="J5599">
        <v>0</v>
      </c>
      <c r="K5599">
        <v>1</v>
      </c>
      <c r="L5599">
        <v>1</v>
      </c>
      <c r="M5599">
        <v>13</v>
      </c>
      <c r="N5599" t="s">
        <v>41</v>
      </c>
      <c r="O5599" t="s">
        <v>27</v>
      </c>
      <c r="P5599">
        <v>11.6554138782758</v>
      </c>
      <c r="Q5599">
        <v>1.4854429852047</v>
      </c>
      <c r="R5599">
        <v>7.9168131563865103</v>
      </c>
      <c r="S5599">
        <v>15</v>
      </c>
      <c r="T5599">
        <v>69</v>
      </c>
      <c r="U5599">
        <v>637.98663952322499</v>
      </c>
      <c r="V5599">
        <v>1.7639077340569801E-2</v>
      </c>
      <c r="W5599">
        <v>986918.01229917305</v>
      </c>
      <c r="X5599" t="s">
        <v>33</v>
      </c>
      <c r="Y5599">
        <f>1-226-523-5227</f>
        <v>-5975</v>
      </c>
    </row>
    <row r="5600" spans="1:25" x14ac:dyDescent="0.35">
      <c r="A5600">
        <v>37.828299774454997</v>
      </c>
      <c r="B5600">
        <v>-119.447981924285</v>
      </c>
      <c r="C5600" t="s">
        <v>25</v>
      </c>
      <c r="D5600">
        <v>36.066449096833097</v>
      </c>
      <c r="E5600">
        <v>4</v>
      </c>
      <c r="F5600">
        <v>3144</v>
      </c>
      <c r="G5600">
        <v>5</v>
      </c>
      <c r="H5600">
        <v>2</v>
      </c>
      <c r="I5600">
        <v>1973</v>
      </c>
      <c r="J5600">
        <v>0</v>
      </c>
      <c r="K5600">
        <v>0</v>
      </c>
      <c r="L5600">
        <v>0</v>
      </c>
      <c r="M5600">
        <v>7</v>
      </c>
      <c r="N5600" t="s">
        <v>37</v>
      </c>
      <c r="O5600" t="s">
        <v>32</v>
      </c>
      <c r="P5600">
        <v>4.0575493048523299</v>
      </c>
      <c r="Q5600">
        <v>1.60093013919186</v>
      </c>
      <c r="R5600">
        <v>8.0443440211847204</v>
      </c>
      <c r="S5600">
        <v>27</v>
      </c>
      <c r="T5600">
        <v>43</v>
      </c>
      <c r="U5600">
        <v>483.94135030294399</v>
      </c>
      <c r="V5600">
        <v>2.2264631043256902E-3</v>
      </c>
      <c r="W5600">
        <v>1699808.7700012999</v>
      </c>
      <c r="X5600" t="s">
        <v>28</v>
      </c>
      <c r="Y5600">
        <f>1-959-181-7369</f>
        <v>-8508</v>
      </c>
    </row>
    <row r="5601" spans="1:25" x14ac:dyDescent="0.35">
      <c r="A5601">
        <v>38.994577053635801</v>
      </c>
      <c r="B5601">
        <v>-121.373916502386</v>
      </c>
      <c r="C5601" t="s">
        <v>25</v>
      </c>
      <c r="D5601">
        <v>8.6586251260183804</v>
      </c>
      <c r="E5601">
        <v>4</v>
      </c>
      <c r="F5601">
        <v>684</v>
      </c>
      <c r="G5601">
        <v>4</v>
      </c>
      <c r="H5601">
        <v>2</v>
      </c>
      <c r="I5601">
        <v>1991</v>
      </c>
      <c r="J5601">
        <v>1</v>
      </c>
      <c r="K5601">
        <v>1</v>
      </c>
      <c r="L5601">
        <v>1</v>
      </c>
      <c r="M5601">
        <v>9</v>
      </c>
      <c r="N5601" t="s">
        <v>41</v>
      </c>
      <c r="O5601" t="s">
        <v>32</v>
      </c>
      <c r="P5601">
        <v>4.6402721596375702</v>
      </c>
      <c r="Q5601">
        <v>1.4564194396297701</v>
      </c>
      <c r="R5601">
        <v>8.0535510236613099</v>
      </c>
      <c r="S5601">
        <v>102</v>
      </c>
      <c r="T5601">
        <v>35</v>
      </c>
      <c r="U5601">
        <v>409.854544663296</v>
      </c>
      <c r="V5601">
        <v>1.3157894736842099E-2</v>
      </c>
      <c r="W5601">
        <v>515723.14269548497</v>
      </c>
      <c r="X5601" t="s">
        <v>36</v>
      </c>
      <c r="Y5601">
        <f>1-468-571-5754</f>
        <v>-6792</v>
      </c>
    </row>
    <row r="5602" spans="1:25" x14ac:dyDescent="0.35">
      <c r="A5602">
        <v>34.302167443122897</v>
      </c>
      <c r="B5602">
        <v>-116.61296825311901</v>
      </c>
      <c r="C5602" t="s">
        <v>25</v>
      </c>
      <c r="D5602">
        <v>26.300254148839901</v>
      </c>
      <c r="E5602">
        <v>0</v>
      </c>
      <c r="F5602">
        <v>4219</v>
      </c>
      <c r="G5602">
        <v>2</v>
      </c>
      <c r="H5602">
        <v>1</v>
      </c>
      <c r="I5602">
        <v>1982</v>
      </c>
      <c r="J5602">
        <v>0</v>
      </c>
      <c r="K5602">
        <v>1</v>
      </c>
      <c r="L5602">
        <v>0</v>
      </c>
      <c r="M5602">
        <v>13</v>
      </c>
      <c r="N5602" t="s">
        <v>37</v>
      </c>
      <c r="O5602" t="s">
        <v>30</v>
      </c>
      <c r="P5602">
        <v>7.1836924329247704</v>
      </c>
      <c r="Q5602">
        <v>1.9649458944675799</v>
      </c>
      <c r="R5602">
        <v>7.1600075235576099</v>
      </c>
      <c r="S5602">
        <v>27</v>
      </c>
      <c r="T5602">
        <v>52</v>
      </c>
      <c r="U5602">
        <v>962.781120368193</v>
      </c>
      <c r="V5602">
        <v>3.0812988859919401E-3</v>
      </c>
      <c r="W5602">
        <v>4278758.1972779799</v>
      </c>
      <c r="X5602" t="s">
        <v>40</v>
      </c>
      <c r="Y5602">
        <f>1-821-686-6453</f>
        <v>-7959</v>
      </c>
    </row>
    <row r="5603" spans="1:25" x14ac:dyDescent="0.35">
      <c r="A5603">
        <v>39.258753512355099</v>
      </c>
      <c r="B5603">
        <v>-119.86857580106501</v>
      </c>
      <c r="C5603" t="s">
        <v>34</v>
      </c>
      <c r="D5603">
        <v>38.5838320883554</v>
      </c>
      <c r="E5603">
        <v>4</v>
      </c>
      <c r="F5603">
        <v>3630</v>
      </c>
      <c r="G5603">
        <v>4</v>
      </c>
      <c r="H5603">
        <v>3</v>
      </c>
      <c r="I5603">
        <v>1979</v>
      </c>
      <c r="J5603">
        <v>0</v>
      </c>
      <c r="K5603">
        <v>0</v>
      </c>
      <c r="L5603">
        <v>0</v>
      </c>
      <c r="M5603">
        <v>14</v>
      </c>
      <c r="N5603" t="s">
        <v>26</v>
      </c>
      <c r="O5603" t="s">
        <v>32</v>
      </c>
      <c r="P5603">
        <v>12.2020413511715</v>
      </c>
      <c r="Q5603">
        <v>0.64614815407697401</v>
      </c>
      <c r="R5603">
        <v>9.7120669099115204</v>
      </c>
      <c r="S5603">
        <v>97</v>
      </c>
      <c r="T5603">
        <v>32</v>
      </c>
      <c r="U5603">
        <v>961.328710551261</v>
      </c>
      <c r="V5603">
        <v>3.85674931129476E-3</v>
      </c>
      <c r="W5603">
        <v>3763704.3395920098</v>
      </c>
      <c r="X5603" t="s">
        <v>39</v>
      </c>
      <c r="Y5603">
        <f>1-879-510-1428</f>
        <v>-2816</v>
      </c>
    </row>
    <row r="5604" spans="1:25" x14ac:dyDescent="0.35">
      <c r="A5604">
        <v>40.389387266578701</v>
      </c>
      <c r="B5604">
        <v>-115.300149972974</v>
      </c>
      <c r="C5604" t="s">
        <v>29</v>
      </c>
      <c r="D5604">
        <v>17.119112515758999</v>
      </c>
      <c r="E5604">
        <v>5</v>
      </c>
      <c r="F5604">
        <v>1206</v>
      </c>
      <c r="G5604">
        <v>1</v>
      </c>
      <c r="H5604">
        <v>2</v>
      </c>
      <c r="I5604">
        <v>1970</v>
      </c>
      <c r="J5604">
        <v>1</v>
      </c>
      <c r="K5604">
        <v>1</v>
      </c>
      <c r="L5604">
        <v>0</v>
      </c>
      <c r="M5604">
        <v>13</v>
      </c>
      <c r="N5604" t="s">
        <v>41</v>
      </c>
      <c r="O5604" t="s">
        <v>30</v>
      </c>
      <c r="P5604">
        <v>6.5987815328629802</v>
      </c>
      <c r="Q5604">
        <v>0.97050680107330201</v>
      </c>
      <c r="R5604">
        <v>5.1327734362569304</v>
      </c>
      <c r="S5604">
        <v>144</v>
      </c>
      <c r="T5604">
        <v>49</v>
      </c>
      <c r="U5604">
        <v>752.08277180089499</v>
      </c>
      <c r="V5604">
        <v>1.0779436152570401E-2</v>
      </c>
      <c r="W5604">
        <v>1149571.80115798</v>
      </c>
      <c r="X5604" t="s">
        <v>42</v>
      </c>
      <c r="Y5604">
        <f>1-758-469-9278</f>
        <v>-10504</v>
      </c>
    </row>
    <row r="5605" spans="1:25" x14ac:dyDescent="0.35">
      <c r="A5605">
        <v>34.004805760356803</v>
      </c>
      <c r="B5605">
        <v>-116.48791827067301</v>
      </c>
      <c r="C5605" t="s">
        <v>25</v>
      </c>
      <c r="D5605">
        <v>31.492966271734101</v>
      </c>
      <c r="E5605">
        <v>4</v>
      </c>
      <c r="F5605">
        <v>1182</v>
      </c>
      <c r="G5605">
        <v>2</v>
      </c>
      <c r="H5605">
        <v>3</v>
      </c>
      <c r="I5605">
        <v>1952</v>
      </c>
      <c r="J5605">
        <v>0</v>
      </c>
      <c r="K5605">
        <v>0</v>
      </c>
      <c r="L5605">
        <v>0</v>
      </c>
      <c r="M5605">
        <v>14</v>
      </c>
      <c r="N5605" t="s">
        <v>41</v>
      </c>
      <c r="O5605" t="s">
        <v>32</v>
      </c>
      <c r="P5605">
        <v>13.983838298487001</v>
      </c>
      <c r="Q5605">
        <v>0.79172222006903203</v>
      </c>
      <c r="R5605">
        <v>1.4552208067760399</v>
      </c>
      <c r="S5605">
        <v>69</v>
      </c>
      <c r="T5605">
        <v>71</v>
      </c>
      <c r="U5605">
        <v>969.97900239205603</v>
      </c>
      <c r="V5605">
        <v>1.1844331641285901E-2</v>
      </c>
      <c r="W5605">
        <v>1360906.8233745</v>
      </c>
      <c r="X5605" t="s">
        <v>40</v>
      </c>
      <c r="Y5605">
        <f>1-870-259-8280</f>
        <v>-9408</v>
      </c>
    </row>
    <row r="5606" spans="1:25" x14ac:dyDescent="0.35">
      <c r="A5606">
        <v>39.295041904694898</v>
      </c>
      <c r="B5606">
        <v>-117.57730131957</v>
      </c>
      <c r="C5606" t="s">
        <v>34</v>
      </c>
      <c r="D5606">
        <v>35.999007108529497</v>
      </c>
      <c r="E5606">
        <v>9</v>
      </c>
      <c r="F5606">
        <v>3566</v>
      </c>
      <c r="G5606">
        <v>1</v>
      </c>
      <c r="H5606">
        <v>3</v>
      </c>
      <c r="I5606">
        <v>1999</v>
      </c>
      <c r="J5606">
        <v>0</v>
      </c>
      <c r="K5606">
        <v>0</v>
      </c>
      <c r="L5606">
        <v>0</v>
      </c>
      <c r="M5606">
        <v>13</v>
      </c>
      <c r="N5606" t="s">
        <v>35</v>
      </c>
      <c r="O5606" t="s">
        <v>27</v>
      </c>
      <c r="P5606">
        <v>9.4849223155723905</v>
      </c>
      <c r="Q5606">
        <v>1.53152842664387</v>
      </c>
      <c r="R5606">
        <v>1.1053671292283</v>
      </c>
      <c r="S5606">
        <v>85</v>
      </c>
      <c r="T5606">
        <v>52</v>
      </c>
      <c r="U5606">
        <v>543.33769160623797</v>
      </c>
      <c r="V5606">
        <v>3.6455412226584398E-3</v>
      </c>
      <c r="W5606">
        <v>2164722.5655921102</v>
      </c>
      <c r="X5606" t="s">
        <v>42</v>
      </c>
      <c r="Y5606">
        <f>1-993-553-6853</f>
        <v>-8398</v>
      </c>
    </row>
    <row r="5607" spans="1:25" x14ac:dyDescent="0.35">
      <c r="A5607">
        <v>36.2254886884879</v>
      </c>
      <c r="B5607">
        <v>-118.761010349461</v>
      </c>
      <c r="C5607" t="s">
        <v>29</v>
      </c>
      <c r="D5607">
        <v>42.473620422754799</v>
      </c>
      <c r="E5607">
        <v>3</v>
      </c>
      <c r="F5607">
        <v>962</v>
      </c>
      <c r="G5607">
        <v>4</v>
      </c>
      <c r="H5607">
        <v>3</v>
      </c>
      <c r="I5607">
        <v>1959</v>
      </c>
      <c r="J5607">
        <v>0</v>
      </c>
      <c r="K5607">
        <v>1</v>
      </c>
      <c r="L5607">
        <v>1</v>
      </c>
      <c r="M5607">
        <v>14</v>
      </c>
      <c r="N5607" t="s">
        <v>41</v>
      </c>
      <c r="O5607" t="s">
        <v>30</v>
      </c>
      <c r="P5607">
        <v>3.0053064855710998</v>
      </c>
      <c r="Q5607">
        <v>1.0183123546677</v>
      </c>
      <c r="R5607">
        <v>7.8062110641000499</v>
      </c>
      <c r="S5607">
        <v>23</v>
      </c>
      <c r="T5607">
        <v>31</v>
      </c>
      <c r="U5607">
        <v>297.54578800840801</v>
      </c>
      <c r="V5607">
        <v>1.45530145530145E-2</v>
      </c>
      <c r="W5607">
        <v>621642.99712556996</v>
      </c>
      <c r="X5607" t="s">
        <v>42</v>
      </c>
      <c r="Y5607">
        <f>1-408-236-7652</f>
        <v>-8295</v>
      </c>
    </row>
    <row r="5608" spans="1:25" x14ac:dyDescent="0.35">
      <c r="A5608">
        <v>34.045229522102098</v>
      </c>
      <c r="B5608">
        <v>-116.82461080867</v>
      </c>
      <c r="C5608" t="s">
        <v>29</v>
      </c>
      <c r="D5608">
        <v>30.723022092771298</v>
      </c>
      <c r="E5608">
        <v>4</v>
      </c>
      <c r="F5608">
        <v>1537</v>
      </c>
      <c r="G5608">
        <v>5</v>
      </c>
      <c r="H5608">
        <v>1</v>
      </c>
      <c r="I5608">
        <v>1977</v>
      </c>
      <c r="J5608">
        <v>1</v>
      </c>
      <c r="K5608">
        <v>0</v>
      </c>
      <c r="L5608">
        <v>1</v>
      </c>
      <c r="M5608">
        <v>6</v>
      </c>
      <c r="N5608" t="s">
        <v>35</v>
      </c>
      <c r="O5608" t="s">
        <v>32</v>
      </c>
      <c r="P5608">
        <v>10.3980767511213</v>
      </c>
      <c r="Q5608">
        <v>0.75544494917736305</v>
      </c>
      <c r="R5608">
        <v>6.0909312514850598</v>
      </c>
      <c r="S5608">
        <v>67</v>
      </c>
      <c r="T5608">
        <v>45</v>
      </c>
      <c r="U5608">
        <v>203.94890837014901</v>
      </c>
      <c r="V5608">
        <v>3.90370852309694E-3</v>
      </c>
      <c r="W5608">
        <v>653078.63914361002</v>
      </c>
      <c r="X5608" t="s">
        <v>42</v>
      </c>
      <c r="Y5608">
        <f>1-637-338-9709</f>
        <v>-10683</v>
      </c>
    </row>
    <row r="5609" spans="1:25" x14ac:dyDescent="0.35">
      <c r="A5609">
        <v>41.279244497681802</v>
      </c>
      <c r="B5609">
        <v>-123.169932848405</v>
      </c>
      <c r="C5609" t="s">
        <v>29</v>
      </c>
      <c r="D5609">
        <v>47.401781862394699</v>
      </c>
      <c r="E5609">
        <v>0</v>
      </c>
      <c r="F5609">
        <v>3574</v>
      </c>
      <c r="G5609">
        <v>1</v>
      </c>
      <c r="H5609">
        <v>1</v>
      </c>
      <c r="I5609">
        <v>1961</v>
      </c>
      <c r="J5609">
        <v>0</v>
      </c>
      <c r="K5609">
        <v>0</v>
      </c>
      <c r="L5609">
        <v>0</v>
      </c>
      <c r="M5609">
        <v>8</v>
      </c>
      <c r="N5609" t="s">
        <v>26</v>
      </c>
      <c r="O5609" t="s">
        <v>30</v>
      </c>
      <c r="P5609">
        <v>7.8338202409904696</v>
      </c>
      <c r="Q5609">
        <v>1.5947544553428601</v>
      </c>
      <c r="R5609">
        <v>5.9857216467406396</v>
      </c>
      <c r="S5609">
        <v>93</v>
      </c>
      <c r="T5609">
        <v>35</v>
      </c>
      <c r="U5609">
        <v>558.05839672859395</v>
      </c>
      <c r="V5609">
        <v>2.2383883603805201E-3</v>
      </c>
      <c r="W5609">
        <v>2016150.0539863701</v>
      </c>
      <c r="X5609" t="s">
        <v>33</v>
      </c>
      <c r="Y5609">
        <f>1-374-306-7795</f>
        <v>-8474</v>
      </c>
    </row>
    <row r="5610" spans="1:25" x14ac:dyDescent="0.35">
      <c r="A5610">
        <v>36.075993135069602</v>
      </c>
      <c r="B5610">
        <v>-124.201869117314</v>
      </c>
      <c r="C5610" t="s">
        <v>29</v>
      </c>
      <c r="D5610">
        <v>40.749460728461997</v>
      </c>
      <c r="E5610">
        <v>3</v>
      </c>
      <c r="F5610">
        <v>4682</v>
      </c>
      <c r="G5610">
        <v>4</v>
      </c>
      <c r="H5610">
        <v>2</v>
      </c>
      <c r="I5610">
        <v>1997</v>
      </c>
      <c r="J5610">
        <v>1</v>
      </c>
      <c r="K5610">
        <v>0</v>
      </c>
      <c r="L5610">
        <v>0</v>
      </c>
      <c r="M5610">
        <v>12</v>
      </c>
      <c r="N5610" t="s">
        <v>26</v>
      </c>
      <c r="O5610" t="s">
        <v>30</v>
      </c>
      <c r="P5610">
        <v>6.6341309878202397</v>
      </c>
      <c r="Q5610">
        <v>1.81423778501199</v>
      </c>
      <c r="R5610">
        <v>8.1324454682242706</v>
      </c>
      <c r="S5610">
        <v>28</v>
      </c>
      <c r="T5610">
        <v>57</v>
      </c>
      <c r="U5610">
        <v>962.598839724252</v>
      </c>
      <c r="V5610">
        <v>2.5630072618539001E-3</v>
      </c>
      <c r="W5610">
        <v>4721500.7510057604</v>
      </c>
      <c r="X5610" t="s">
        <v>33</v>
      </c>
      <c r="Y5610">
        <f>1-457-956-5141</f>
        <v>-6553</v>
      </c>
    </row>
    <row r="5611" spans="1:25" x14ac:dyDescent="0.35">
      <c r="A5611">
        <v>39.098518477551998</v>
      </c>
      <c r="B5611">
        <v>-117.10712803125701</v>
      </c>
      <c r="C5611" t="s">
        <v>25</v>
      </c>
      <c r="D5611">
        <v>17.419671877480202</v>
      </c>
      <c r="E5611">
        <v>6</v>
      </c>
      <c r="F5611">
        <v>4567</v>
      </c>
      <c r="G5611">
        <v>1</v>
      </c>
      <c r="H5611">
        <v>2</v>
      </c>
      <c r="I5611">
        <v>1997</v>
      </c>
      <c r="J5611">
        <v>1</v>
      </c>
      <c r="K5611">
        <v>1</v>
      </c>
      <c r="L5611">
        <v>1</v>
      </c>
      <c r="M5611">
        <v>5</v>
      </c>
      <c r="N5611" t="s">
        <v>35</v>
      </c>
      <c r="O5611" t="s">
        <v>32</v>
      </c>
      <c r="P5611">
        <v>4.5597261803065701</v>
      </c>
      <c r="Q5611">
        <v>1.7360224613133799</v>
      </c>
      <c r="R5611">
        <v>0.128432280117043</v>
      </c>
      <c r="S5611">
        <v>182</v>
      </c>
      <c r="T5611">
        <v>66</v>
      </c>
      <c r="U5611">
        <v>230.434572537061</v>
      </c>
      <c r="V5611">
        <v>1.09481059776658E-3</v>
      </c>
      <c r="W5611">
        <v>1213126.28632459</v>
      </c>
      <c r="X5611" t="s">
        <v>28</v>
      </c>
      <c r="Y5611">
        <f>1-250-892-4048</f>
        <v>-5189</v>
      </c>
    </row>
    <row r="5612" spans="1:25" x14ac:dyDescent="0.35">
      <c r="A5612">
        <v>35.640549452516801</v>
      </c>
      <c r="B5612">
        <v>-123.036735761404</v>
      </c>
      <c r="C5612" t="s">
        <v>25</v>
      </c>
      <c r="D5612">
        <v>46.107414384560997</v>
      </c>
      <c r="E5612">
        <v>4</v>
      </c>
      <c r="F5612">
        <v>4428</v>
      </c>
      <c r="G5612">
        <v>5</v>
      </c>
      <c r="H5612">
        <v>2</v>
      </c>
      <c r="I5612">
        <v>1958</v>
      </c>
      <c r="J5612">
        <v>0</v>
      </c>
      <c r="K5612">
        <v>0</v>
      </c>
      <c r="L5612">
        <v>0</v>
      </c>
      <c r="M5612">
        <v>3</v>
      </c>
      <c r="N5612" t="s">
        <v>37</v>
      </c>
      <c r="O5612" t="s">
        <v>30</v>
      </c>
      <c r="P5612">
        <v>6.4462638407574904</v>
      </c>
      <c r="Q5612">
        <v>1.26755400925276</v>
      </c>
      <c r="R5612">
        <v>0.30521452506797703</v>
      </c>
      <c r="S5612">
        <v>186</v>
      </c>
      <c r="T5612">
        <v>42</v>
      </c>
      <c r="U5612">
        <v>280.91939566830303</v>
      </c>
      <c r="V5612">
        <v>6.7750677506775003E-4</v>
      </c>
      <c r="W5612">
        <v>1337441.3482286099</v>
      </c>
      <c r="X5612" t="s">
        <v>33</v>
      </c>
      <c r="Y5612">
        <f>1-855-769-6386</f>
        <v>-8009</v>
      </c>
    </row>
    <row r="5613" spans="1:25" x14ac:dyDescent="0.35">
      <c r="A5613">
        <v>40.366002102482703</v>
      </c>
      <c r="B5613">
        <v>-121.455988817118</v>
      </c>
      <c r="C5613" t="s">
        <v>29</v>
      </c>
      <c r="D5613">
        <v>11.9364920092464</v>
      </c>
      <c r="E5613">
        <v>7</v>
      </c>
      <c r="F5613">
        <v>3831</v>
      </c>
      <c r="G5613">
        <v>2</v>
      </c>
      <c r="H5613">
        <v>3</v>
      </c>
      <c r="I5613">
        <v>1969</v>
      </c>
      <c r="J5613">
        <v>1</v>
      </c>
      <c r="K5613">
        <v>1</v>
      </c>
      <c r="L5613">
        <v>0</v>
      </c>
      <c r="M5613">
        <v>11</v>
      </c>
      <c r="N5613" t="s">
        <v>37</v>
      </c>
      <c r="O5613" t="s">
        <v>27</v>
      </c>
      <c r="P5613">
        <v>13.845966323107</v>
      </c>
      <c r="Q5613">
        <v>1.07264419575907</v>
      </c>
      <c r="R5613">
        <v>4.5164944827753697</v>
      </c>
      <c r="S5613">
        <v>39</v>
      </c>
      <c r="T5613">
        <v>28</v>
      </c>
      <c r="U5613">
        <v>840.07096796664098</v>
      </c>
      <c r="V5613">
        <v>2.8713129731140598E-3</v>
      </c>
      <c r="W5613">
        <v>3517068.3896564599</v>
      </c>
      <c r="X5613" t="s">
        <v>40</v>
      </c>
      <c r="Y5613">
        <f>1-946-679-3530</f>
        <v>-5154</v>
      </c>
    </row>
    <row r="5614" spans="1:25" x14ac:dyDescent="0.35">
      <c r="A5614">
        <v>34.4502158942338</v>
      </c>
      <c r="B5614">
        <v>-123.86951683950301</v>
      </c>
      <c r="C5614" t="s">
        <v>34</v>
      </c>
      <c r="D5614">
        <v>18.450393663970001</v>
      </c>
      <c r="E5614">
        <v>9</v>
      </c>
      <c r="F5614">
        <v>1390</v>
      </c>
      <c r="G5614">
        <v>5</v>
      </c>
      <c r="H5614">
        <v>1</v>
      </c>
      <c r="I5614">
        <v>1999</v>
      </c>
      <c r="J5614">
        <v>1</v>
      </c>
      <c r="K5614">
        <v>0</v>
      </c>
      <c r="L5614">
        <v>1</v>
      </c>
      <c r="M5614">
        <v>10</v>
      </c>
      <c r="N5614" t="s">
        <v>26</v>
      </c>
      <c r="O5614" t="s">
        <v>32</v>
      </c>
      <c r="P5614">
        <v>7.6703814096290204</v>
      </c>
      <c r="Q5614">
        <v>2.10987990961224</v>
      </c>
      <c r="R5614">
        <v>9.9962212030906503</v>
      </c>
      <c r="S5614">
        <v>3</v>
      </c>
      <c r="T5614">
        <v>36</v>
      </c>
      <c r="U5614">
        <v>764.14795283492799</v>
      </c>
      <c r="V5614">
        <v>7.1942446043165402E-3</v>
      </c>
      <c r="W5614">
        <v>1451052.37158391</v>
      </c>
      <c r="X5614" t="s">
        <v>44</v>
      </c>
      <c r="Y5614">
        <f>1-866-387-4259</f>
        <v>-5511</v>
      </c>
    </row>
    <row r="5615" spans="1:25" x14ac:dyDescent="0.35">
      <c r="A5615">
        <v>37.677856261238603</v>
      </c>
      <c r="B5615">
        <v>-117.077176722077</v>
      </c>
      <c r="C5615" t="s">
        <v>34</v>
      </c>
      <c r="D5615">
        <v>38.530471491380801</v>
      </c>
      <c r="E5615">
        <v>6</v>
      </c>
      <c r="F5615">
        <v>2323</v>
      </c>
      <c r="G5615">
        <v>1</v>
      </c>
      <c r="H5615">
        <v>3</v>
      </c>
      <c r="I5615">
        <v>1966</v>
      </c>
      <c r="J5615">
        <v>0</v>
      </c>
      <c r="K5615">
        <v>0</v>
      </c>
      <c r="L5615">
        <v>0</v>
      </c>
      <c r="M5615">
        <v>5</v>
      </c>
      <c r="N5615" t="s">
        <v>41</v>
      </c>
      <c r="O5615" t="s">
        <v>30</v>
      </c>
      <c r="P5615">
        <v>7.1027403792054598</v>
      </c>
      <c r="Q5615">
        <v>0.87865637687165898</v>
      </c>
      <c r="R5615">
        <v>3.3465624477895801</v>
      </c>
      <c r="S5615">
        <v>157</v>
      </c>
      <c r="T5615">
        <v>33</v>
      </c>
      <c r="U5615">
        <v>356.245723471384</v>
      </c>
      <c r="V5615">
        <v>2.1523891519586698E-3</v>
      </c>
      <c r="W5615">
        <v>859283.55534593598</v>
      </c>
      <c r="X5615" t="s">
        <v>36</v>
      </c>
      <c r="Y5615">
        <f>1-976-584-4420</f>
        <v>-5979</v>
      </c>
    </row>
    <row r="5616" spans="1:25" x14ac:dyDescent="0.35">
      <c r="A5616">
        <v>41.369824089277799</v>
      </c>
      <c r="B5616">
        <v>-118.65435855538</v>
      </c>
      <c r="C5616" t="s">
        <v>29</v>
      </c>
      <c r="D5616">
        <v>7.7029645134352798</v>
      </c>
      <c r="E5616">
        <v>9</v>
      </c>
      <c r="F5616">
        <v>3739</v>
      </c>
      <c r="G5616">
        <v>2</v>
      </c>
      <c r="H5616">
        <v>3</v>
      </c>
      <c r="I5616">
        <v>1960</v>
      </c>
      <c r="J5616">
        <v>0</v>
      </c>
      <c r="K5616">
        <v>1</v>
      </c>
      <c r="L5616">
        <v>1</v>
      </c>
      <c r="M5616">
        <v>6</v>
      </c>
      <c r="N5616" t="s">
        <v>41</v>
      </c>
      <c r="O5616" t="s">
        <v>30</v>
      </c>
      <c r="P5616">
        <v>9.3270993239497493</v>
      </c>
      <c r="Q5616">
        <v>1.4101378605395001</v>
      </c>
      <c r="R5616">
        <v>8.8498259406551707</v>
      </c>
      <c r="S5616">
        <v>0</v>
      </c>
      <c r="T5616">
        <v>32</v>
      </c>
      <c r="U5616">
        <v>702.04506240620003</v>
      </c>
      <c r="V5616">
        <v>1.60470714094677E-3</v>
      </c>
      <c r="W5616">
        <v>2973702.7338969498</v>
      </c>
      <c r="X5616" t="s">
        <v>33</v>
      </c>
      <c r="Y5616">
        <f>1-259-182-3035</f>
        <v>-3475</v>
      </c>
    </row>
    <row r="5617" spans="1:25" x14ac:dyDescent="0.35">
      <c r="A5617">
        <v>41.631953788643003</v>
      </c>
      <c r="B5617">
        <v>-114.699871405975</v>
      </c>
      <c r="C5617" t="s">
        <v>29</v>
      </c>
      <c r="D5617">
        <v>7.97366835889936</v>
      </c>
      <c r="E5617">
        <v>3</v>
      </c>
      <c r="F5617">
        <v>1660</v>
      </c>
      <c r="G5617">
        <v>4</v>
      </c>
      <c r="H5617">
        <v>1</v>
      </c>
      <c r="I5617">
        <v>2005</v>
      </c>
      <c r="J5617">
        <v>0</v>
      </c>
      <c r="K5617">
        <v>1</v>
      </c>
      <c r="L5617">
        <v>0</v>
      </c>
      <c r="M5617">
        <v>11</v>
      </c>
      <c r="N5617" t="s">
        <v>37</v>
      </c>
      <c r="O5617" t="s">
        <v>27</v>
      </c>
      <c r="P5617">
        <v>11.5630740663126</v>
      </c>
      <c r="Q5617">
        <v>1.2403358473388399</v>
      </c>
      <c r="R5617">
        <v>4.2443652346958904</v>
      </c>
      <c r="S5617">
        <v>178</v>
      </c>
      <c r="T5617">
        <v>41</v>
      </c>
      <c r="U5617">
        <v>362.72489037526498</v>
      </c>
      <c r="V5617">
        <v>6.6265060240963802E-3</v>
      </c>
      <c r="W5617">
        <v>955805.73086382996</v>
      </c>
      <c r="X5617" t="s">
        <v>40</v>
      </c>
      <c r="Y5617">
        <f>1-405-379-3865</f>
        <v>-4648</v>
      </c>
    </row>
    <row r="5618" spans="1:25" x14ac:dyDescent="0.35">
      <c r="A5618">
        <v>33.6042228390898</v>
      </c>
      <c r="B5618">
        <v>-117.71218659192699</v>
      </c>
      <c r="C5618" t="s">
        <v>25</v>
      </c>
      <c r="D5618">
        <v>17.559664957396699</v>
      </c>
      <c r="E5618">
        <v>5</v>
      </c>
      <c r="F5618">
        <v>2898</v>
      </c>
      <c r="G5618">
        <v>4</v>
      </c>
      <c r="H5618">
        <v>2</v>
      </c>
      <c r="I5618">
        <v>1982</v>
      </c>
      <c r="J5618">
        <v>1</v>
      </c>
      <c r="K5618">
        <v>1</v>
      </c>
      <c r="L5618">
        <v>0</v>
      </c>
      <c r="M5618">
        <v>6</v>
      </c>
      <c r="N5618" t="s">
        <v>26</v>
      </c>
      <c r="O5618" t="s">
        <v>32</v>
      </c>
      <c r="P5618">
        <v>12.2630343555041</v>
      </c>
      <c r="Q5618">
        <v>1.73411626590773</v>
      </c>
      <c r="R5618">
        <v>5.1712305886452903</v>
      </c>
      <c r="S5618">
        <v>129</v>
      </c>
      <c r="T5618">
        <v>37</v>
      </c>
      <c r="U5618">
        <v>331.94999231018602</v>
      </c>
      <c r="V5618">
        <v>2.0703933747412001E-3</v>
      </c>
      <c r="W5618">
        <v>1416004.3466887199</v>
      </c>
      <c r="X5618" t="s">
        <v>40</v>
      </c>
      <c r="Y5618">
        <f>1-844-804-2792</f>
        <v>-4439</v>
      </c>
    </row>
    <row r="5619" spans="1:25" x14ac:dyDescent="0.35">
      <c r="A5619">
        <v>37.571374512696302</v>
      </c>
      <c r="B5619">
        <v>-124.261759116706</v>
      </c>
      <c r="C5619" t="s">
        <v>25</v>
      </c>
      <c r="D5619">
        <v>29.0998091308381</v>
      </c>
      <c r="E5619">
        <v>1</v>
      </c>
      <c r="F5619">
        <v>4009</v>
      </c>
      <c r="G5619">
        <v>2</v>
      </c>
      <c r="H5619">
        <v>1</v>
      </c>
      <c r="I5619">
        <v>2008</v>
      </c>
      <c r="J5619">
        <v>1</v>
      </c>
      <c r="K5619">
        <v>1</v>
      </c>
      <c r="L5619">
        <v>1</v>
      </c>
      <c r="M5619">
        <v>2</v>
      </c>
      <c r="N5619" t="s">
        <v>26</v>
      </c>
      <c r="O5619" t="s">
        <v>32</v>
      </c>
      <c r="P5619">
        <v>6.7395988997735996</v>
      </c>
      <c r="Q5619">
        <v>1.4637727843447399</v>
      </c>
      <c r="R5619">
        <v>9.1494756460262998</v>
      </c>
      <c r="S5619">
        <v>117</v>
      </c>
      <c r="T5619">
        <v>69</v>
      </c>
      <c r="U5619">
        <v>867.80786430269995</v>
      </c>
      <c r="V5619">
        <v>4.9887752556747301E-4</v>
      </c>
      <c r="W5619">
        <v>3784380.53201081</v>
      </c>
      <c r="X5619" t="s">
        <v>36</v>
      </c>
      <c r="Y5619">
        <f>1-860-678-2960</f>
        <v>-4497</v>
      </c>
    </row>
    <row r="5620" spans="1:25" x14ac:dyDescent="0.35">
      <c r="A5620">
        <v>35.9650302862442</v>
      </c>
      <c r="B5620">
        <v>-121.03448653977399</v>
      </c>
      <c r="C5620" t="s">
        <v>34</v>
      </c>
      <c r="D5620">
        <v>10.668386955817899</v>
      </c>
      <c r="E5620">
        <v>4</v>
      </c>
      <c r="F5620">
        <v>988</v>
      </c>
      <c r="G5620">
        <v>1</v>
      </c>
      <c r="H5620">
        <v>3</v>
      </c>
      <c r="I5620">
        <v>2014</v>
      </c>
      <c r="J5620">
        <v>0</v>
      </c>
      <c r="K5620">
        <v>1</v>
      </c>
      <c r="L5620">
        <v>1</v>
      </c>
      <c r="M5620">
        <v>9</v>
      </c>
      <c r="N5620" t="s">
        <v>37</v>
      </c>
      <c r="O5620" t="s">
        <v>32</v>
      </c>
      <c r="P5620">
        <v>3.6905828524912101</v>
      </c>
      <c r="Q5620">
        <v>0.53516156543368398</v>
      </c>
      <c r="R5620">
        <v>3.62578824170921</v>
      </c>
      <c r="S5620">
        <v>79</v>
      </c>
      <c r="T5620">
        <v>52</v>
      </c>
      <c r="U5620">
        <v>810.48529478109799</v>
      </c>
      <c r="V5620">
        <v>9.1093117408906805E-3</v>
      </c>
      <c r="W5620">
        <v>1129169.4334179701</v>
      </c>
      <c r="X5620" t="s">
        <v>31</v>
      </c>
      <c r="Y5620">
        <f>1-764-226-7101</f>
        <v>-8090</v>
      </c>
    </row>
    <row r="5621" spans="1:25" x14ac:dyDescent="0.35">
      <c r="A5621">
        <v>34.371070482066401</v>
      </c>
      <c r="B5621">
        <v>-114.517329453343</v>
      </c>
      <c r="C5621" t="s">
        <v>25</v>
      </c>
      <c r="D5621">
        <v>23.152849428704499</v>
      </c>
      <c r="E5621">
        <v>1</v>
      </c>
      <c r="F5621">
        <v>3754</v>
      </c>
      <c r="G5621">
        <v>4</v>
      </c>
      <c r="H5621">
        <v>2</v>
      </c>
      <c r="I5621">
        <v>1968</v>
      </c>
      <c r="J5621">
        <v>1</v>
      </c>
      <c r="K5621">
        <v>0</v>
      </c>
      <c r="L5621">
        <v>1</v>
      </c>
      <c r="M5621">
        <v>8</v>
      </c>
      <c r="N5621" t="s">
        <v>26</v>
      </c>
      <c r="O5621" t="s">
        <v>30</v>
      </c>
      <c r="P5621">
        <v>11.1651669798933</v>
      </c>
      <c r="Q5621">
        <v>0.96825320299627304</v>
      </c>
      <c r="R5621">
        <v>7.4236924506367101</v>
      </c>
      <c r="S5621">
        <v>97</v>
      </c>
      <c r="T5621">
        <v>33</v>
      </c>
      <c r="U5621">
        <v>930.23090675609205</v>
      </c>
      <c r="V5621">
        <v>2.13106020245071E-3</v>
      </c>
      <c r="W5621">
        <v>3859810.62617409</v>
      </c>
      <c r="X5621" t="s">
        <v>38</v>
      </c>
      <c r="Y5621">
        <f>1-451-531-2860</f>
        <v>-3841</v>
      </c>
    </row>
    <row r="5622" spans="1:25" x14ac:dyDescent="0.35">
      <c r="A5622">
        <v>35.514803735386003</v>
      </c>
      <c r="B5622">
        <v>-123.898357109391</v>
      </c>
      <c r="C5622" t="s">
        <v>29</v>
      </c>
      <c r="D5622">
        <v>13.512265683158899</v>
      </c>
      <c r="E5622">
        <v>1</v>
      </c>
      <c r="F5622">
        <v>4178</v>
      </c>
      <c r="G5622">
        <v>4</v>
      </c>
      <c r="H5622">
        <v>1</v>
      </c>
      <c r="I5622">
        <v>1958</v>
      </c>
      <c r="J5622">
        <v>0</v>
      </c>
      <c r="K5622">
        <v>0</v>
      </c>
      <c r="L5622">
        <v>1</v>
      </c>
      <c r="M5622">
        <v>8</v>
      </c>
      <c r="N5622" t="s">
        <v>35</v>
      </c>
      <c r="O5622" t="s">
        <v>32</v>
      </c>
      <c r="P5622">
        <v>6.3128996423811001</v>
      </c>
      <c r="Q5622">
        <v>2.1953861207438399</v>
      </c>
      <c r="R5622">
        <v>5.9709657668444001</v>
      </c>
      <c r="S5622">
        <v>44</v>
      </c>
      <c r="T5622">
        <v>58</v>
      </c>
      <c r="U5622">
        <v>871.85890235633894</v>
      </c>
      <c r="V5622">
        <v>1.9147917663953999E-3</v>
      </c>
      <c r="W5622">
        <v>3784742.9838473098</v>
      </c>
      <c r="X5622" t="s">
        <v>36</v>
      </c>
      <c r="Y5622">
        <f>1-774-286-2610</f>
        <v>-3669</v>
      </c>
    </row>
    <row r="5623" spans="1:25" x14ac:dyDescent="0.35">
      <c r="A5623">
        <v>33.916493086299603</v>
      </c>
      <c r="B5623">
        <v>-116.57729603171801</v>
      </c>
      <c r="C5623" t="s">
        <v>29</v>
      </c>
      <c r="D5623">
        <v>12.460961985861999</v>
      </c>
      <c r="E5623">
        <v>9</v>
      </c>
      <c r="F5623">
        <v>1977</v>
      </c>
      <c r="G5623">
        <v>2</v>
      </c>
      <c r="H5623">
        <v>1</v>
      </c>
      <c r="I5623">
        <v>2004</v>
      </c>
      <c r="J5623">
        <v>0</v>
      </c>
      <c r="K5623">
        <v>1</v>
      </c>
      <c r="L5623">
        <v>0</v>
      </c>
      <c r="M5623">
        <v>7</v>
      </c>
      <c r="N5623" t="s">
        <v>35</v>
      </c>
      <c r="O5623" t="s">
        <v>30</v>
      </c>
      <c r="P5623">
        <v>10.122317804158801</v>
      </c>
      <c r="Q5623">
        <v>1.9185504797425801</v>
      </c>
      <c r="R5623">
        <v>1.82171111586323</v>
      </c>
      <c r="S5623">
        <v>40</v>
      </c>
      <c r="T5623">
        <v>37</v>
      </c>
      <c r="U5623">
        <v>738.143319804008</v>
      </c>
      <c r="V5623">
        <v>3.5407182599898799E-3</v>
      </c>
      <c r="W5623">
        <v>1678453.0176324199</v>
      </c>
      <c r="X5623" t="s">
        <v>33</v>
      </c>
      <c r="Y5623">
        <f>1-220-559-9532</f>
        <v>-10310</v>
      </c>
    </row>
    <row r="5624" spans="1:25" x14ac:dyDescent="0.35">
      <c r="A5624">
        <v>32.7109153919695</v>
      </c>
      <c r="B5624">
        <v>-120.498110526205</v>
      </c>
      <c r="C5624" t="s">
        <v>29</v>
      </c>
      <c r="D5624">
        <v>46.530721786215899</v>
      </c>
      <c r="E5624">
        <v>4</v>
      </c>
      <c r="F5624">
        <v>4885</v>
      </c>
      <c r="G5624">
        <v>2</v>
      </c>
      <c r="H5624">
        <v>2</v>
      </c>
      <c r="I5624">
        <v>2006</v>
      </c>
      <c r="J5624">
        <v>0</v>
      </c>
      <c r="K5624">
        <v>0</v>
      </c>
      <c r="L5624">
        <v>1</v>
      </c>
      <c r="M5624">
        <v>2</v>
      </c>
      <c r="N5624" t="s">
        <v>41</v>
      </c>
      <c r="O5624" t="s">
        <v>27</v>
      </c>
      <c r="P5624">
        <v>3.5259011534226601</v>
      </c>
      <c r="Q5624">
        <v>1.9482774535588601</v>
      </c>
      <c r="R5624">
        <v>5.85659540157938</v>
      </c>
      <c r="S5624">
        <v>194</v>
      </c>
      <c r="T5624">
        <v>62</v>
      </c>
      <c r="U5624">
        <v>621.05518321668796</v>
      </c>
      <c r="V5624">
        <v>4.0941658137154499E-4</v>
      </c>
      <c r="W5624">
        <v>3127538.1478182301</v>
      </c>
      <c r="X5624" t="s">
        <v>43</v>
      </c>
      <c r="Y5624">
        <f>1-928-591-1336</f>
        <v>-2854</v>
      </c>
    </row>
    <row r="5625" spans="1:25" x14ac:dyDescent="0.35">
      <c r="A5625">
        <v>39.504468320803099</v>
      </c>
      <c r="B5625">
        <v>-116.67152144754699</v>
      </c>
      <c r="C5625" t="s">
        <v>34</v>
      </c>
      <c r="D5625">
        <v>48.2845235073301</v>
      </c>
      <c r="E5625">
        <v>6</v>
      </c>
      <c r="F5625">
        <v>3974</v>
      </c>
      <c r="G5625">
        <v>5</v>
      </c>
      <c r="H5625">
        <v>3</v>
      </c>
      <c r="I5625">
        <v>1994</v>
      </c>
      <c r="J5625">
        <v>1</v>
      </c>
      <c r="K5625">
        <v>1</v>
      </c>
      <c r="L5625">
        <v>0</v>
      </c>
      <c r="M5625">
        <v>9</v>
      </c>
      <c r="N5625" t="s">
        <v>37</v>
      </c>
      <c r="O5625" t="s">
        <v>32</v>
      </c>
      <c r="P5625">
        <v>8.5094227110623599</v>
      </c>
      <c r="Q5625">
        <v>1.64954726408527</v>
      </c>
      <c r="R5625">
        <v>6.1602650026605801</v>
      </c>
      <c r="S5625">
        <v>199</v>
      </c>
      <c r="T5625">
        <v>39</v>
      </c>
      <c r="U5625">
        <v>604.53007908765801</v>
      </c>
      <c r="V5625">
        <v>2.2647206844489099E-3</v>
      </c>
      <c r="W5625">
        <v>2860220.1125554</v>
      </c>
      <c r="X5625" t="s">
        <v>28</v>
      </c>
      <c r="Y5625">
        <f>1-576-391-1359</f>
        <v>-2325</v>
      </c>
    </row>
    <row r="5626" spans="1:25" x14ac:dyDescent="0.35">
      <c r="A5626">
        <v>34.097852971738497</v>
      </c>
      <c r="B5626">
        <v>-124.40213000722299</v>
      </c>
      <c r="C5626" t="s">
        <v>25</v>
      </c>
      <c r="D5626">
        <v>42.974912069261002</v>
      </c>
      <c r="E5626">
        <v>1</v>
      </c>
      <c r="F5626">
        <v>4227</v>
      </c>
      <c r="G5626">
        <v>5</v>
      </c>
      <c r="H5626">
        <v>2</v>
      </c>
      <c r="I5626">
        <v>1983</v>
      </c>
      <c r="J5626">
        <v>0</v>
      </c>
      <c r="K5626">
        <v>0</v>
      </c>
      <c r="L5626">
        <v>0</v>
      </c>
      <c r="M5626">
        <v>2</v>
      </c>
      <c r="N5626" t="s">
        <v>26</v>
      </c>
      <c r="O5626" t="s">
        <v>32</v>
      </c>
      <c r="P5626">
        <v>4.6814631917831999</v>
      </c>
      <c r="Q5626">
        <v>1.5928745353660001</v>
      </c>
      <c r="R5626">
        <v>5.457430871373</v>
      </c>
      <c r="S5626">
        <v>8</v>
      </c>
      <c r="T5626">
        <v>22</v>
      </c>
      <c r="U5626">
        <v>477.36126411229901</v>
      </c>
      <c r="V5626">
        <v>4.7314880529926602E-4</v>
      </c>
      <c r="W5626">
        <v>2309314.70346971</v>
      </c>
      <c r="X5626" t="s">
        <v>43</v>
      </c>
      <c r="Y5626">
        <f>1-572-168-6958</f>
        <v>-7697</v>
      </c>
    </row>
    <row r="5627" spans="1:25" x14ac:dyDescent="0.35">
      <c r="A5627">
        <v>36.954217492528301</v>
      </c>
      <c r="B5627">
        <v>-114.106168081089</v>
      </c>
      <c r="C5627" t="s">
        <v>29</v>
      </c>
      <c r="D5627">
        <v>26.681013814542698</v>
      </c>
      <c r="E5627">
        <v>1</v>
      </c>
      <c r="F5627">
        <v>3085</v>
      </c>
      <c r="G5627">
        <v>1</v>
      </c>
      <c r="H5627">
        <v>1</v>
      </c>
      <c r="I5627">
        <v>1970</v>
      </c>
      <c r="J5627">
        <v>0</v>
      </c>
      <c r="K5627">
        <v>1</v>
      </c>
      <c r="L5627">
        <v>0</v>
      </c>
      <c r="M5627">
        <v>14</v>
      </c>
      <c r="N5627" t="s">
        <v>41</v>
      </c>
      <c r="O5627" t="s">
        <v>30</v>
      </c>
      <c r="P5627">
        <v>13.623273099959601</v>
      </c>
      <c r="Q5627">
        <v>1.8783709413462999</v>
      </c>
      <c r="R5627">
        <v>3.31935605987417</v>
      </c>
      <c r="S5627">
        <v>90</v>
      </c>
      <c r="T5627">
        <v>40</v>
      </c>
      <c r="U5627">
        <v>691.982238789843</v>
      </c>
      <c r="V5627">
        <v>4.5380875202593197E-3</v>
      </c>
      <c r="W5627">
        <v>2372873.4963123002</v>
      </c>
      <c r="X5627" t="s">
        <v>44</v>
      </c>
      <c r="Y5627">
        <f>1-841-136-3599</f>
        <v>-4575</v>
      </c>
    </row>
    <row r="5628" spans="1:25" x14ac:dyDescent="0.35">
      <c r="A5628">
        <v>37.910407922956303</v>
      </c>
      <c r="B5628">
        <v>-121.968878816748</v>
      </c>
      <c r="C5628" t="s">
        <v>34</v>
      </c>
      <c r="D5628">
        <v>13.111210985714299</v>
      </c>
      <c r="E5628">
        <v>0</v>
      </c>
      <c r="F5628">
        <v>4341</v>
      </c>
      <c r="G5628">
        <v>5</v>
      </c>
      <c r="H5628">
        <v>1</v>
      </c>
      <c r="I5628">
        <v>1997</v>
      </c>
      <c r="J5628">
        <v>0</v>
      </c>
      <c r="K5628">
        <v>1</v>
      </c>
      <c r="L5628">
        <v>1</v>
      </c>
      <c r="M5628">
        <v>4</v>
      </c>
      <c r="N5628" t="s">
        <v>35</v>
      </c>
      <c r="O5628" t="s">
        <v>32</v>
      </c>
      <c r="P5628">
        <v>10.518231186243501</v>
      </c>
      <c r="Q5628">
        <v>0.58395738564063504</v>
      </c>
      <c r="R5628">
        <v>0.248010030212334</v>
      </c>
      <c r="S5628">
        <v>140</v>
      </c>
      <c r="T5628">
        <v>32</v>
      </c>
      <c r="U5628">
        <v>384.06165022101902</v>
      </c>
      <c r="V5628">
        <v>9.2144667127389999E-4</v>
      </c>
      <c r="W5628">
        <v>2095395.3847902201</v>
      </c>
      <c r="X5628" t="s">
        <v>42</v>
      </c>
      <c r="Y5628">
        <f>1-843-578-3606</f>
        <v>-5026</v>
      </c>
    </row>
    <row r="5629" spans="1:25" x14ac:dyDescent="0.35">
      <c r="A5629">
        <v>39.590459271098403</v>
      </c>
      <c r="B5629">
        <v>-120.031521625084</v>
      </c>
      <c r="C5629" t="s">
        <v>25</v>
      </c>
      <c r="D5629">
        <v>28.701877474073701</v>
      </c>
      <c r="E5629">
        <v>1</v>
      </c>
      <c r="F5629">
        <v>2433</v>
      </c>
      <c r="G5629">
        <v>5</v>
      </c>
      <c r="H5629">
        <v>1</v>
      </c>
      <c r="I5629">
        <v>1960</v>
      </c>
      <c r="J5629">
        <v>0</v>
      </c>
      <c r="K5629">
        <v>0</v>
      </c>
      <c r="L5629">
        <v>0</v>
      </c>
      <c r="M5629">
        <v>8</v>
      </c>
      <c r="N5629" t="s">
        <v>41</v>
      </c>
      <c r="O5629" t="s">
        <v>27</v>
      </c>
      <c r="P5629">
        <v>10.775713127221801</v>
      </c>
      <c r="Q5629">
        <v>0.83965841177067402</v>
      </c>
      <c r="R5629">
        <v>8.9844469328015997</v>
      </c>
      <c r="S5629">
        <v>8</v>
      </c>
      <c r="T5629">
        <v>26</v>
      </c>
      <c r="U5629">
        <v>270.38890983367799</v>
      </c>
      <c r="V5629">
        <v>3.2881216605014302E-3</v>
      </c>
      <c r="W5629">
        <v>863956.92103449395</v>
      </c>
      <c r="X5629" t="s">
        <v>36</v>
      </c>
      <c r="Y5629">
        <f>1-385-723-9789</f>
        <v>-10896</v>
      </c>
    </row>
    <row r="5630" spans="1:25" x14ac:dyDescent="0.35">
      <c r="A5630">
        <v>34.829055864191801</v>
      </c>
      <c r="B5630">
        <v>-121.825156025238</v>
      </c>
      <c r="C5630" t="s">
        <v>25</v>
      </c>
      <c r="D5630">
        <v>31.4657588966468</v>
      </c>
      <c r="E5630">
        <v>0</v>
      </c>
      <c r="F5630">
        <v>786</v>
      </c>
      <c r="G5630">
        <v>2</v>
      </c>
      <c r="H5630">
        <v>3</v>
      </c>
      <c r="I5630">
        <v>1953</v>
      </c>
      <c r="J5630">
        <v>0</v>
      </c>
      <c r="K5630">
        <v>1</v>
      </c>
      <c r="L5630">
        <v>1</v>
      </c>
      <c r="M5630">
        <v>10</v>
      </c>
      <c r="N5630" t="s">
        <v>26</v>
      </c>
      <c r="O5630" t="s">
        <v>32</v>
      </c>
      <c r="P5630">
        <v>6.5812400958112001</v>
      </c>
      <c r="Q5630">
        <v>1.0628601893287799</v>
      </c>
      <c r="R5630">
        <v>1.7844137432094</v>
      </c>
      <c r="S5630">
        <v>57</v>
      </c>
      <c r="T5630">
        <v>41</v>
      </c>
      <c r="U5630">
        <v>216.507355760385</v>
      </c>
      <c r="V5630">
        <v>1.27226463104325E-2</v>
      </c>
      <c r="W5630">
        <v>425822.661303317</v>
      </c>
      <c r="X5630" t="s">
        <v>36</v>
      </c>
      <c r="Y5630">
        <f>1-971-517-7309</f>
        <v>-8796</v>
      </c>
    </row>
    <row r="5631" spans="1:25" x14ac:dyDescent="0.35">
      <c r="A5631">
        <v>40.563131070688499</v>
      </c>
      <c r="B5631">
        <v>-122.2011726965</v>
      </c>
      <c r="C5631" t="s">
        <v>25</v>
      </c>
      <c r="D5631">
        <v>30.510848184527799</v>
      </c>
      <c r="E5631">
        <v>5</v>
      </c>
      <c r="F5631">
        <v>1502</v>
      </c>
      <c r="G5631">
        <v>1</v>
      </c>
      <c r="H5631">
        <v>1</v>
      </c>
      <c r="I5631">
        <v>1987</v>
      </c>
      <c r="J5631">
        <v>0</v>
      </c>
      <c r="K5631">
        <v>0</v>
      </c>
      <c r="L5631">
        <v>0</v>
      </c>
      <c r="M5631">
        <v>8</v>
      </c>
      <c r="N5631" t="s">
        <v>37</v>
      </c>
      <c r="O5631" t="s">
        <v>32</v>
      </c>
      <c r="P5631">
        <v>13.296077031616599</v>
      </c>
      <c r="Q5631">
        <v>0.93850783241646796</v>
      </c>
      <c r="R5631">
        <v>7.9891403002822097</v>
      </c>
      <c r="S5631">
        <v>182</v>
      </c>
      <c r="T5631">
        <v>62</v>
      </c>
      <c r="U5631">
        <v>778.88244674065595</v>
      </c>
      <c r="V5631">
        <v>5.3262316910785597E-3</v>
      </c>
      <c r="W5631">
        <v>1300663.7743458899</v>
      </c>
      <c r="X5631" t="s">
        <v>28</v>
      </c>
      <c r="Y5631">
        <f>1-381-437-1826</f>
        <v>-2643</v>
      </c>
    </row>
    <row r="5632" spans="1:25" x14ac:dyDescent="0.35">
      <c r="A5632">
        <v>33.450149945206597</v>
      </c>
      <c r="B5632">
        <v>-122.260698167852</v>
      </c>
      <c r="C5632" t="s">
        <v>25</v>
      </c>
      <c r="D5632">
        <v>47.531820482466003</v>
      </c>
      <c r="E5632">
        <v>8</v>
      </c>
      <c r="F5632">
        <v>4230</v>
      </c>
      <c r="G5632">
        <v>5</v>
      </c>
      <c r="H5632">
        <v>1</v>
      </c>
      <c r="I5632">
        <v>1955</v>
      </c>
      <c r="J5632">
        <v>1</v>
      </c>
      <c r="K5632">
        <v>0</v>
      </c>
      <c r="L5632">
        <v>0</v>
      </c>
      <c r="M5632">
        <v>3</v>
      </c>
      <c r="N5632" t="s">
        <v>26</v>
      </c>
      <c r="O5632" t="s">
        <v>30</v>
      </c>
      <c r="P5632">
        <v>12.760267262229799</v>
      </c>
      <c r="Q5632">
        <v>1.9362358280518399</v>
      </c>
      <c r="R5632">
        <v>9.6080009957827599</v>
      </c>
      <c r="S5632">
        <v>0</v>
      </c>
      <c r="T5632">
        <v>34</v>
      </c>
      <c r="U5632">
        <v>666.85139023971897</v>
      </c>
      <c r="V5632">
        <v>7.0921985815602798E-4</v>
      </c>
      <c r="W5632">
        <v>3214238.26183403</v>
      </c>
      <c r="X5632" t="s">
        <v>44</v>
      </c>
      <c r="Y5632">
        <f>1-829-776-7827</f>
        <v>-9431</v>
      </c>
    </row>
    <row r="5633" spans="1:25" x14ac:dyDescent="0.35">
      <c r="A5633">
        <v>35.606330844947401</v>
      </c>
      <c r="B5633">
        <v>-115.515440393964</v>
      </c>
      <c r="C5633" t="s">
        <v>34</v>
      </c>
      <c r="D5633">
        <v>43.912439626797102</v>
      </c>
      <c r="E5633">
        <v>9</v>
      </c>
      <c r="F5633">
        <v>902</v>
      </c>
      <c r="G5633">
        <v>1</v>
      </c>
      <c r="H5633">
        <v>2</v>
      </c>
      <c r="I5633">
        <v>1990</v>
      </c>
      <c r="J5633">
        <v>0</v>
      </c>
      <c r="K5633">
        <v>1</v>
      </c>
      <c r="L5633">
        <v>0</v>
      </c>
      <c r="M5633">
        <v>9</v>
      </c>
      <c r="N5633" t="s">
        <v>41</v>
      </c>
      <c r="O5633" t="s">
        <v>32</v>
      </c>
      <c r="P5633">
        <v>8.1590624432097805</v>
      </c>
      <c r="Q5633">
        <v>1.03393592219026</v>
      </c>
      <c r="R5633">
        <v>6.2644686686176696</v>
      </c>
      <c r="S5633">
        <v>79</v>
      </c>
      <c r="T5633">
        <v>49</v>
      </c>
      <c r="U5633">
        <v>215.64365972214301</v>
      </c>
      <c r="V5633">
        <v>9.9778270509977805E-3</v>
      </c>
      <c r="W5633">
        <v>483329.70715786098</v>
      </c>
      <c r="X5633" t="s">
        <v>44</v>
      </c>
      <c r="Y5633">
        <f>1-515-301-2061</f>
        <v>-2876</v>
      </c>
    </row>
    <row r="5634" spans="1:25" x14ac:dyDescent="0.35">
      <c r="A5634">
        <v>35.905495915700001</v>
      </c>
      <c r="B5634">
        <v>-122.584217919446</v>
      </c>
      <c r="C5634" t="s">
        <v>34</v>
      </c>
      <c r="D5634">
        <v>19.813487554013001</v>
      </c>
      <c r="E5634">
        <v>6</v>
      </c>
      <c r="F5634">
        <v>4694</v>
      </c>
      <c r="G5634">
        <v>4</v>
      </c>
      <c r="H5634">
        <v>1</v>
      </c>
      <c r="I5634">
        <v>1976</v>
      </c>
      <c r="J5634">
        <v>1</v>
      </c>
      <c r="K5634">
        <v>0</v>
      </c>
      <c r="L5634">
        <v>1</v>
      </c>
      <c r="M5634">
        <v>7</v>
      </c>
      <c r="N5634" t="s">
        <v>35</v>
      </c>
      <c r="O5634" t="s">
        <v>30</v>
      </c>
      <c r="P5634">
        <v>3.2274104489962099</v>
      </c>
      <c r="Q5634">
        <v>2.3055297218461601</v>
      </c>
      <c r="R5634">
        <v>7.8183754143558701</v>
      </c>
      <c r="S5634">
        <v>61</v>
      </c>
      <c r="T5634">
        <v>67</v>
      </c>
      <c r="U5634">
        <v>420.53761442494101</v>
      </c>
      <c r="V5634">
        <v>1.4912654452492501E-3</v>
      </c>
      <c r="W5634">
        <v>2132467.7464015801</v>
      </c>
      <c r="X5634" t="s">
        <v>31</v>
      </c>
      <c r="Y5634">
        <f>1-757-432-6498</f>
        <v>-7686</v>
      </c>
    </row>
    <row r="5635" spans="1:25" x14ac:dyDescent="0.35">
      <c r="A5635">
        <v>40.117972554258003</v>
      </c>
      <c r="B5635">
        <v>-123.082159206649</v>
      </c>
      <c r="C5635" t="s">
        <v>34</v>
      </c>
      <c r="D5635">
        <v>35.215026667790397</v>
      </c>
      <c r="E5635">
        <v>9</v>
      </c>
      <c r="F5635">
        <v>3706</v>
      </c>
      <c r="G5635">
        <v>5</v>
      </c>
      <c r="H5635">
        <v>1</v>
      </c>
      <c r="I5635">
        <v>2022</v>
      </c>
      <c r="J5635">
        <v>1</v>
      </c>
      <c r="K5635">
        <v>0</v>
      </c>
      <c r="L5635">
        <v>0</v>
      </c>
      <c r="M5635">
        <v>6</v>
      </c>
      <c r="N5635" t="s">
        <v>26</v>
      </c>
      <c r="O5635" t="s">
        <v>32</v>
      </c>
      <c r="P5635">
        <v>5.9664311419578997</v>
      </c>
      <c r="Q5635">
        <v>2.14097760386962</v>
      </c>
      <c r="R5635">
        <v>2.75180021139108</v>
      </c>
      <c r="S5635">
        <v>170</v>
      </c>
      <c r="T5635">
        <v>43</v>
      </c>
      <c r="U5635">
        <v>904.70048723660295</v>
      </c>
      <c r="V5635">
        <v>1.6189962223421401E-3</v>
      </c>
      <c r="W5635">
        <v>3692726.8323025098</v>
      </c>
      <c r="X5635" t="s">
        <v>28</v>
      </c>
      <c r="Y5635">
        <f>1-687-596-4848</f>
        <v>-6130</v>
      </c>
    </row>
    <row r="5636" spans="1:25" x14ac:dyDescent="0.35">
      <c r="A5636">
        <v>37.0680132079275</v>
      </c>
      <c r="B5636">
        <v>-124.01939211695699</v>
      </c>
      <c r="C5636" t="s">
        <v>25</v>
      </c>
      <c r="D5636">
        <v>33.523725423164997</v>
      </c>
      <c r="E5636">
        <v>9</v>
      </c>
      <c r="F5636">
        <v>1905</v>
      </c>
      <c r="G5636">
        <v>2</v>
      </c>
      <c r="H5636">
        <v>3</v>
      </c>
      <c r="I5636">
        <v>2018</v>
      </c>
      <c r="J5636">
        <v>0</v>
      </c>
      <c r="K5636">
        <v>1</v>
      </c>
      <c r="L5636">
        <v>1</v>
      </c>
      <c r="M5636">
        <v>2</v>
      </c>
      <c r="N5636" t="s">
        <v>35</v>
      </c>
      <c r="O5636" t="s">
        <v>27</v>
      </c>
      <c r="P5636">
        <v>10.8388675186687</v>
      </c>
      <c r="Q5636">
        <v>1.5714273712006099</v>
      </c>
      <c r="R5636">
        <v>5.4519146783765304</v>
      </c>
      <c r="S5636">
        <v>39</v>
      </c>
      <c r="T5636">
        <v>53</v>
      </c>
      <c r="U5636">
        <v>605.83428795190696</v>
      </c>
      <c r="V5636">
        <v>1.0498687664041899E-3</v>
      </c>
      <c r="W5636">
        <v>1426045.23536432</v>
      </c>
      <c r="X5636" t="s">
        <v>31</v>
      </c>
      <c r="Y5636">
        <f>1-940-211-5115</f>
        <v>-6265</v>
      </c>
    </row>
    <row r="5637" spans="1:25" x14ac:dyDescent="0.35">
      <c r="A5637">
        <v>34.279628879862699</v>
      </c>
      <c r="B5637">
        <v>-115.332477237541</v>
      </c>
      <c r="C5637" t="s">
        <v>25</v>
      </c>
      <c r="D5637">
        <v>39.5866768016256</v>
      </c>
      <c r="E5637">
        <v>3</v>
      </c>
      <c r="F5637">
        <v>3000</v>
      </c>
      <c r="G5637">
        <v>5</v>
      </c>
      <c r="H5637">
        <v>2</v>
      </c>
      <c r="I5637">
        <v>1962</v>
      </c>
      <c r="J5637">
        <v>1</v>
      </c>
      <c r="K5637">
        <v>0</v>
      </c>
      <c r="L5637">
        <v>1</v>
      </c>
      <c r="M5637">
        <v>12</v>
      </c>
      <c r="N5637" t="s">
        <v>41</v>
      </c>
      <c r="O5637" t="s">
        <v>32</v>
      </c>
      <c r="P5637">
        <v>13.306503220922</v>
      </c>
      <c r="Q5637">
        <v>1.0420016157979499</v>
      </c>
      <c r="R5637">
        <v>5.6229585406461098</v>
      </c>
      <c r="S5637">
        <v>40</v>
      </c>
      <c r="T5637">
        <v>32</v>
      </c>
      <c r="U5637">
        <v>626.51162470703503</v>
      </c>
      <c r="V5637">
        <v>4.0000000000000001E-3</v>
      </c>
      <c r="W5637">
        <v>2272860.45680772</v>
      </c>
      <c r="X5637" t="s">
        <v>36</v>
      </c>
      <c r="Y5637">
        <f>1-752-724-4846</f>
        <v>-6321</v>
      </c>
    </row>
    <row r="5638" spans="1:25" x14ac:dyDescent="0.35">
      <c r="A5638">
        <v>40.804106841057497</v>
      </c>
      <c r="B5638">
        <v>-123.232116450802</v>
      </c>
      <c r="C5638" t="s">
        <v>29</v>
      </c>
      <c r="D5638">
        <v>34.719481865568703</v>
      </c>
      <c r="E5638">
        <v>0</v>
      </c>
      <c r="F5638">
        <v>1833</v>
      </c>
      <c r="G5638">
        <v>2</v>
      </c>
      <c r="H5638">
        <v>1</v>
      </c>
      <c r="I5638">
        <v>1971</v>
      </c>
      <c r="J5638">
        <v>1</v>
      </c>
      <c r="K5638">
        <v>0</v>
      </c>
      <c r="L5638">
        <v>1</v>
      </c>
      <c r="M5638">
        <v>9</v>
      </c>
      <c r="N5638" t="s">
        <v>41</v>
      </c>
      <c r="O5638" t="s">
        <v>30</v>
      </c>
      <c r="P5638">
        <v>11.2868704370969</v>
      </c>
      <c r="Q5638">
        <v>2.19626269746409</v>
      </c>
      <c r="R5638">
        <v>9.4432436896305898</v>
      </c>
      <c r="S5638">
        <v>185</v>
      </c>
      <c r="T5638">
        <v>43</v>
      </c>
      <c r="U5638">
        <v>461.87335986197502</v>
      </c>
      <c r="V5638">
        <v>4.90998363338788E-3</v>
      </c>
      <c r="W5638">
        <v>1038669.8297383999</v>
      </c>
      <c r="X5638" t="s">
        <v>31</v>
      </c>
      <c r="Y5638">
        <f>1-214-282-6191</f>
        <v>-6686</v>
      </c>
    </row>
    <row r="5639" spans="1:25" x14ac:dyDescent="0.35">
      <c r="A5639">
        <v>32.911434511826002</v>
      </c>
      <c r="B5639">
        <v>-121.769709999575</v>
      </c>
      <c r="C5639" t="s">
        <v>25</v>
      </c>
      <c r="D5639">
        <v>32.673127261103197</v>
      </c>
      <c r="E5639">
        <v>8</v>
      </c>
      <c r="F5639">
        <v>3784</v>
      </c>
      <c r="G5639">
        <v>1</v>
      </c>
      <c r="H5639">
        <v>2</v>
      </c>
      <c r="I5639">
        <v>2015</v>
      </c>
      <c r="J5639">
        <v>1</v>
      </c>
      <c r="K5639">
        <v>0</v>
      </c>
      <c r="L5639">
        <v>0</v>
      </c>
      <c r="M5639">
        <v>8</v>
      </c>
      <c r="N5639" t="s">
        <v>35</v>
      </c>
      <c r="O5639" t="s">
        <v>30</v>
      </c>
      <c r="P5639">
        <v>11.427298824755001</v>
      </c>
      <c r="Q5639">
        <v>0.80279743334356002</v>
      </c>
      <c r="R5639">
        <v>9.2636637159935997</v>
      </c>
      <c r="S5639">
        <v>64</v>
      </c>
      <c r="T5639">
        <v>48</v>
      </c>
      <c r="U5639">
        <v>207.84018136031699</v>
      </c>
      <c r="V5639">
        <v>2.1141649048625698E-3</v>
      </c>
      <c r="W5639">
        <v>1029165.15916891</v>
      </c>
      <c r="X5639" t="s">
        <v>31</v>
      </c>
      <c r="Y5639">
        <f>1-977-872-1373</f>
        <v>-3221</v>
      </c>
    </row>
    <row r="5640" spans="1:25" x14ac:dyDescent="0.35">
      <c r="A5640">
        <v>34.230048769272699</v>
      </c>
      <c r="B5640">
        <v>-122.513689791065</v>
      </c>
      <c r="C5640" t="s">
        <v>25</v>
      </c>
      <c r="D5640">
        <v>6.0171663539128</v>
      </c>
      <c r="E5640">
        <v>5</v>
      </c>
      <c r="F5640">
        <v>4954</v>
      </c>
      <c r="G5640">
        <v>3</v>
      </c>
      <c r="H5640">
        <v>1</v>
      </c>
      <c r="I5640">
        <v>1990</v>
      </c>
      <c r="J5640">
        <v>1</v>
      </c>
      <c r="K5640">
        <v>0</v>
      </c>
      <c r="L5640">
        <v>1</v>
      </c>
      <c r="M5640">
        <v>2</v>
      </c>
      <c r="N5640" t="s">
        <v>26</v>
      </c>
      <c r="O5640" t="s">
        <v>27</v>
      </c>
      <c r="P5640">
        <v>13.242989873893601</v>
      </c>
      <c r="Q5640">
        <v>2.0285706436139099</v>
      </c>
      <c r="R5640">
        <v>5.1983099397536296</v>
      </c>
      <c r="S5640">
        <v>148</v>
      </c>
      <c r="T5640">
        <v>73</v>
      </c>
      <c r="U5640">
        <v>672.93143219804199</v>
      </c>
      <c r="V5640">
        <v>4.0371417036737901E-4</v>
      </c>
      <c r="W5640">
        <v>3643652.3541667601</v>
      </c>
      <c r="X5640" t="s">
        <v>44</v>
      </c>
      <c r="Y5640">
        <f>1-929-567-5031</f>
        <v>-6526</v>
      </c>
    </row>
    <row r="5641" spans="1:25" x14ac:dyDescent="0.35">
      <c r="A5641">
        <v>41.777864128181101</v>
      </c>
      <c r="B5641">
        <v>-114.651141386304</v>
      </c>
      <c r="C5641" t="s">
        <v>25</v>
      </c>
      <c r="D5641">
        <v>2.86394139656869</v>
      </c>
      <c r="E5641">
        <v>2</v>
      </c>
      <c r="F5641">
        <v>3675</v>
      </c>
      <c r="G5641">
        <v>4</v>
      </c>
      <c r="H5641">
        <v>3</v>
      </c>
      <c r="I5641">
        <v>1980</v>
      </c>
      <c r="J5641">
        <v>1</v>
      </c>
      <c r="K5641">
        <v>1</v>
      </c>
      <c r="L5641">
        <v>0</v>
      </c>
      <c r="M5641">
        <v>10</v>
      </c>
      <c r="N5641" t="s">
        <v>35</v>
      </c>
      <c r="O5641" t="s">
        <v>32</v>
      </c>
      <c r="P5641">
        <v>14.611025644404</v>
      </c>
      <c r="Q5641">
        <v>0.88135458406350897</v>
      </c>
      <c r="R5641">
        <v>3.77690576884059</v>
      </c>
      <c r="S5641">
        <v>169</v>
      </c>
      <c r="T5641">
        <v>53</v>
      </c>
      <c r="U5641">
        <v>877.61063736831602</v>
      </c>
      <c r="V5641">
        <v>2.7210884353741399E-3</v>
      </c>
      <c r="W5641">
        <v>3663144.4167105001</v>
      </c>
      <c r="X5641" t="s">
        <v>28</v>
      </c>
      <c r="Y5641">
        <f>1-787-111-6062</f>
        <v>-6959</v>
      </c>
    </row>
    <row r="5642" spans="1:25" x14ac:dyDescent="0.35">
      <c r="A5642">
        <v>36.972333594863002</v>
      </c>
      <c r="B5642">
        <v>-116.218902534432</v>
      </c>
      <c r="C5642" t="s">
        <v>29</v>
      </c>
      <c r="D5642">
        <v>14.7630779230255</v>
      </c>
      <c r="E5642">
        <v>9</v>
      </c>
      <c r="F5642">
        <v>2985</v>
      </c>
      <c r="G5642">
        <v>1</v>
      </c>
      <c r="H5642">
        <v>1</v>
      </c>
      <c r="I5642">
        <v>1999</v>
      </c>
      <c r="J5642">
        <v>0</v>
      </c>
      <c r="K5642">
        <v>0</v>
      </c>
      <c r="L5642">
        <v>0</v>
      </c>
      <c r="M5642">
        <v>14</v>
      </c>
      <c r="N5642" t="s">
        <v>41</v>
      </c>
      <c r="O5642" t="s">
        <v>30</v>
      </c>
      <c r="P5642">
        <v>9.9290048623906504</v>
      </c>
      <c r="Q5642">
        <v>2.05609699331298</v>
      </c>
      <c r="R5642">
        <v>1.0595304513136301</v>
      </c>
      <c r="S5642">
        <v>85</v>
      </c>
      <c r="T5642">
        <v>44</v>
      </c>
      <c r="U5642">
        <v>783.26538048643101</v>
      </c>
      <c r="V5642">
        <v>4.6901172529313197E-3</v>
      </c>
      <c r="W5642">
        <v>2374414.5921633798</v>
      </c>
      <c r="X5642" t="s">
        <v>42</v>
      </c>
      <c r="Y5642">
        <f>1-377-534-7724</f>
        <v>-8634</v>
      </c>
    </row>
    <row r="5643" spans="1:25" x14ac:dyDescent="0.35">
      <c r="A5643">
        <v>41.463006235837597</v>
      </c>
      <c r="B5643">
        <v>-114.126512142625</v>
      </c>
      <c r="C5643" t="s">
        <v>25</v>
      </c>
      <c r="D5643">
        <v>17.7460111476923</v>
      </c>
      <c r="E5643">
        <v>3</v>
      </c>
      <c r="F5643">
        <v>1377</v>
      </c>
      <c r="G5643">
        <v>4</v>
      </c>
      <c r="H5643">
        <v>1</v>
      </c>
      <c r="I5643">
        <v>1961</v>
      </c>
      <c r="J5643">
        <v>0</v>
      </c>
      <c r="K5643">
        <v>0</v>
      </c>
      <c r="L5643">
        <v>1</v>
      </c>
      <c r="M5643">
        <v>6</v>
      </c>
      <c r="N5643" t="s">
        <v>35</v>
      </c>
      <c r="O5643" t="s">
        <v>30</v>
      </c>
      <c r="P5643">
        <v>3.4008381504486702</v>
      </c>
      <c r="Q5643">
        <v>2.34987210733971</v>
      </c>
      <c r="R5643">
        <v>2.0556317695852702</v>
      </c>
      <c r="S5643">
        <v>197</v>
      </c>
      <c r="T5643">
        <v>26</v>
      </c>
      <c r="U5643">
        <v>357.62448301548699</v>
      </c>
      <c r="V5643">
        <v>4.3572984749455299E-3</v>
      </c>
      <c r="W5643">
        <v>616781.17297155003</v>
      </c>
      <c r="X5643" t="s">
        <v>33</v>
      </c>
      <c r="Y5643">
        <f>1-839-131-4064</f>
        <v>-5033</v>
      </c>
    </row>
    <row r="5644" spans="1:25" x14ac:dyDescent="0.35">
      <c r="A5644">
        <v>41.750517900611499</v>
      </c>
      <c r="B5644">
        <v>-118.482159734492</v>
      </c>
      <c r="C5644" t="s">
        <v>34</v>
      </c>
      <c r="D5644">
        <v>47.0295249712212</v>
      </c>
      <c r="E5644">
        <v>1</v>
      </c>
      <c r="F5644">
        <v>3606</v>
      </c>
      <c r="G5644">
        <v>2</v>
      </c>
      <c r="H5644">
        <v>2</v>
      </c>
      <c r="I5644">
        <v>2021</v>
      </c>
      <c r="J5644">
        <v>1</v>
      </c>
      <c r="K5644">
        <v>1</v>
      </c>
      <c r="L5644">
        <v>0</v>
      </c>
      <c r="M5644">
        <v>13</v>
      </c>
      <c r="N5644" t="s">
        <v>41</v>
      </c>
      <c r="O5644" t="s">
        <v>27</v>
      </c>
      <c r="P5644">
        <v>3.2187934659819999</v>
      </c>
      <c r="Q5644">
        <v>0.65982158884535003</v>
      </c>
      <c r="R5644">
        <v>3.1481777848330998</v>
      </c>
      <c r="S5644">
        <v>169</v>
      </c>
      <c r="T5644">
        <v>32</v>
      </c>
      <c r="U5644">
        <v>667.45525146079001</v>
      </c>
      <c r="V5644">
        <v>3.6051026067665001E-3</v>
      </c>
      <c r="W5644">
        <v>2735353.3592405799</v>
      </c>
      <c r="X5644" t="s">
        <v>44</v>
      </c>
      <c r="Y5644">
        <f>1-366-154-1415</f>
        <v>-1934</v>
      </c>
    </row>
    <row r="5645" spans="1:25" x14ac:dyDescent="0.35">
      <c r="A5645">
        <v>34.5034862509061</v>
      </c>
      <c r="B5645">
        <v>-114.208801292001</v>
      </c>
      <c r="C5645" t="s">
        <v>25</v>
      </c>
      <c r="D5645">
        <v>19.115655213776002</v>
      </c>
      <c r="E5645">
        <v>5</v>
      </c>
      <c r="F5645">
        <v>2608</v>
      </c>
      <c r="G5645">
        <v>1</v>
      </c>
      <c r="H5645">
        <v>2</v>
      </c>
      <c r="I5645">
        <v>1967</v>
      </c>
      <c r="J5645">
        <v>0</v>
      </c>
      <c r="K5645">
        <v>0</v>
      </c>
      <c r="L5645">
        <v>0</v>
      </c>
      <c r="M5645">
        <v>8</v>
      </c>
      <c r="N5645" t="s">
        <v>26</v>
      </c>
      <c r="O5645" t="s">
        <v>32</v>
      </c>
      <c r="P5645">
        <v>7.2993198909007004</v>
      </c>
      <c r="Q5645">
        <v>0.83040983632897503</v>
      </c>
      <c r="R5645">
        <v>7.4236777712078199</v>
      </c>
      <c r="S5645">
        <v>15</v>
      </c>
      <c r="T5645">
        <v>74</v>
      </c>
      <c r="U5645">
        <v>654.94932061824704</v>
      </c>
      <c r="V5645">
        <v>3.0674846625766798E-3</v>
      </c>
      <c r="W5645">
        <v>1682229.01176839</v>
      </c>
      <c r="X5645" t="s">
        <v>33</v>
      </c>
      <c r="Y5645">
        <f>1-301-133-3920</f>
        <v>-4353</v>
      </c>
    </row>
    <row r="5646" spans="1:25" x14ac:dyDescent="0.35">
      <c r="A5646">
        <v>41.915759538609102</v>
      </c>
      <c r="B5646">
        <v>-121.944591324455</v>
      </c>
      <c r="C5646" t="s">
        <v>34</v>
      </c>
      <c r="D5646">
        <v>14.944964130979301</v>
      </c>
      <c r="E5646">
        <v>7</v>
      </c>
      <c r="F5646">
        <v>3548</v>
      </c>
      <c r="G5646">
        <v>5</v>
      </c>
      <c r="H5646">
        <v>3</v>
      </c>
      <c r="I5646">
        <v>2014</v>
      </c>
      <c r="J5646">
        <v>1</v>
      </c>
      <c r="K5646">
        <v>1</v>
      </c>
      <c r="L5646">
        <v>1</v>
      </c>
      <c r="M5646">
        <v>3</v>
      </c>
      <c r="N5646" t="s">
        <v>26</v>
      </c>
      <c r="O5646" t="s">
        <v>30</v>
      </c>
      <c r="P5646">
        <v>7.3003023989535896</v>
      </c>
      <c r="Q5646">
        <v>2.2959904992265101</v>
      </c>
      <c r="R5646">
        <v>3.4929768071344198</v>
      </c>
      <c r="S5646">
        <v>28</v>
      </c>
      <c r="T5646">
        <v>22</v>
      </c>
      <c r="U5646">
        <v>874.46785638312201</v>
      </c>
      <c r="V5646">
        <v>8.4554678692220901E-4</v>
      </c>
      <c r="W5646">
        <v>3664232.14921406</v>
      </c>
      <c r="X5646" t="s">
        <v>31</v>
      </c>
      <c r="Y5646">
        <f>1-958-176-3158</f>
        <v>-4291</v>
      </c>
    </row>
    <row r="5647" spans="1:25" x14ac:dyDescent="0.35">
      <c r="A5647">
        <v>40.253546023009299</v>
      </c>
      <c r="B5647">
        <v>-123.437787963917</v>
      </c>
      <c r="C5647" t="s">
        <v>34</v>
      </c>
      <c r="D5647">
        <v>46.194726296189998</v>
      </c>
      <c r="E5647">
        <v>5</v>
      </c>
      <c r="F5647">
        <v>3569</v>
      </c>
      <c r="G5647">
        <v>1</v>
      </c>
      <c r="H5647">
        <v>2</v>
      </c>
      <c r="I5647">
        <v>2020</v>
      </c>
      <c r="J5647">
        <v>0</v>
      </c>
      <c r="K5647">
        <v>0</v>
      </c>
      <c r="L5647">
        <v>0</v>
      </c>
      <c r="M5647">
        <v>14</v>
      </c>
      <c r="N5647" t="s">
        <v>37</v>
      </c>
      <c r="O5647" t="s">
        <v>30</v>
      </c>
      <c r="P5647">
        <v>2.5330733279784901</v>
      </c>
      <c r="Q5647">
        <v>1.74356399032884</v>
      </c>
      <c r="R5647">
        <v>6.0422810109528502</v>
      </c>
      <c r="S5647">
        <v>44</v>
      </c>
      <c r="T5647">
        <v>78</v>
      </c>
      <c r="U5647">
        <v>415.68105906575698</v>
      </c>
      <c r="V5647">
        <v>3.9226674138414103E-3</v>
      </c>
      <c r="W5647">
        <v>1569750.1067727299</v>
      </c>
      <c r="X5647" t="s">
        <v>39</v>
      </c>
      <c r="Y5647">
        <f>1-867-661-6494</f>
        <v>-8021</v>
      </c>
    </row>
    <row r="5648" spans="1:25" x14ac:dyDescent="0.35">
      <c r="A5648">
        <v>37.105037821675403</v>
      </c>
      <c r="B5648">
        <v>-121.94956291415301</v>
      </c>
      <c r="C5648" t="s">
        <v>25</v>
      </c>
      <c r="D5648">
        <v>40.424420098806998</v>
      </c>
      <c r="E5648">
        <v>3</v>
      </c>
      <c r="F5648">
        <v>562</v>
      </c>
      <c r="G5648">
        <v>5</v>
      </c>
      <c r="H5648">
        <v>2</v>
      </c>
      <c r="I5648">
        <v>1971</v>
      </c>
      <c r="J5648">
        <v>0</v>
      </c>
      <c r="K5648">
        <v>0</v>
      </c>
      <c r="L5648">
        <v>1</v>
      </c>
      <c r="M5648">
        <v>10</v>
      </c>
      <c r="N5648" t="s">
        <v>37</v>
      </c>
      <c r="O5648" t="s">
        <v>32</v>
      </c>
      <c r="P5648">
        <v>4.3447140561482698</v>
      </c>
      <c r="Q5648">
        <v>1.24538128138122</v>
      </c>
      <c r="R5648">
        <v>2.5025682614372302</v>
      </c>
      <c r="S5648">
        <v>167</v>
      </c>
      <c r="T5648">
        <v>42</v>
      </c>
      <c r="U5648">
        <v>573.133201659414</v>
      </c>
      <c r="V5648">
        <v>1.7793594306049799E-2</v>
      </c>
      <c r="W5648">
        <v>596117.36996174697</v>
      </c>
      <c r="X5648" t="s">
        <v>43</v>
      </c>
      <c r="Y5648">
        <f>1-773-123-5494</f>
        <v>-6389</v>
      </c>
    </row>
    <row r="5649" spans="1:25" x14ac:dyDescent="0.35">
      <c r="A5649">
        <v>35.872812998668003</v>
      </c>
      <c r="B5649">
        <v>-119.516473116461</v>
      </c>
      <c r="C5649" t="s">
        <v>29</v>
      </c>
      <c r="D5649">
        <v>36.565411105930501</v>
      </c>
      <c r="E5649">
        <v>7</v>
      </c>
      <c r="F5649">
        <v>2511</v>
      </c>
      <c r="G5649">
        <v>5</v>
      </c>
      <c r="H5649">
        <v>3</v>
      </c>
      <c r="I5649">
        <v>1983</v>
      </c>
      <c r="J5649">
        <v>1</v>
      </c>
      <c r="K5649">
        <v>0</v>
      </c>
      <c r="L5649">
        <v>1</v>
      </c>
      <c r="M5649">
        <v>2</v>
      </c>
      <c r="N5649" t="s">
        <v>37</v>
      </c>
      <c r="O5649" t="s">
        <v>32</v>
      </c>
      <c r="P5649">
        <v>9.5607360163315303</v>
      </c>
      <c r="Q5649">
        <v>1.7633272554796799</v>
      </c>
      <c r="R5649">
        <v>3.69351639640211</v>
      </c>
      <c r="S5649">
        <v>91</v>
      </c>
      <c r="T5649">
        <v>56</v>
      </c>
      <c r="U5649">
        <v>879.46310908297403</v>
      </c>
      <c r="V5649">
        <v>7.9649542015133401E-4</v>
      </c>
      <c r="W5649">
        <v>2754341.5895777601</v>
      </c>
      <c r="X5649" t="s">
        <v>38</v>
      </c>
      <c r="Y5649">
        <f>1-384-732-3984</f>
        <v>-5099</v>
      </c>
    </row>
    <row r="5650" spans="1:25" x14ac:dyDescent="0.35">
      <c r="A5650">
        <v>38.889213486621401</v>
      </c>
      <c r="B5650">
        <v>-123.70883098558301</v>
      </c>
      <c r="C5650" t="s">
        <v>34</v>
      </c>
      <c r="D5650">
        <v>35.292210383270501</v>
      </c>
      <c r="E5650">
        <v>8</v>
      </c>
      <c r="F5650">
        <v>4374</v>
      </c>
      <c r="G5650">
        <v>2</v>
      </c>
      <c r="H5650">
        <v>2</v>
      </c>
      <c r="I5650">
        <v>1961</v>
      </c>
      <c r="J5650">
        <v>0</v>
      </c>
      <c r="K5650">
        <v>0</v>
      </c>
      <c r="L5650">
        <v>0</v>
      </c>
      <c r="M5650">
        <v>11</v>
      </c>
      <c r="N5650" t="s">
        <v>41</v>
      </c>
      <c r="O5650" t="s">
        <v>32</v>
      </c>
      <c r="P5650">
        <v>3.7694307025034002</v>
      </c>
      <c r="Q5650">
        <v>1.9165605530377501</v>
      </c>
      <c r="R5650">
        <v>4.5578021377388698</v>
      </c>
      <c r="S5650">
        <v>159</v>
      </c>
      <c r="T5650">
        <v>36</v>
      </c>
      <c r="U5650">
        <v>499.56683734312401</v>
      </c>
      <c r="V5650">
        <v>2.51486053955189E-3</v>
      </c>
      <c r="W5650">
        <v>2271020.90724293</v>
      </c>
      <c r="X5650" t="s">
        <v>33</v>
      </c>
      <c r="Y5650">
        <f>1-972-378-4021</f>
        <v>-5370</v>
      </c>
    </row>
    <row r="5651" spans="1:25" x14ac:dyDescent="0.35">
      <c r="A5651">
        <v>39.915111609668102</v>
      </c>
      <c r="B5651">
        <v>-117.78617058926299</v>
      </c>
      <c r="C5651" t="s">
        <v>29</v>
      </c>
      <c r="D5651">
        <v>12.582469501584701</v>
      </c>
      <c r="E5651">
        <v>4</v>
      </c>
      <c r="F5651">
        <v>4054</v>
      </c>
      <c r="G5651">
        <v>4</v>
      </c>
      <c r="H5651">
        <v>2</v>
      </c>
      <c r="I5651">
        <v>2019</v>
      </c>
      <c r="J5651">
        <v>0</v>
      </c>
      <c r="K5651">
        <v>1</v>
      </c>
      <c r="L5651">
        <v>1</v>
      </c>
      <c r="M5651">
        <v>12</v>
      </c>
      <c r="N5651" t="s">
        <v>35</v>
      </c>
      <c r="O5651" t="s">
        <v>32</v>
      </c>
      <c r="P5651">
        <v>12.362834284515399</v>
      </c>
      <c r="Q5651">
        <v>2.4835213536957998</v>
      </c>
      <c r="R5651">
        <v>2.51023761283053E-3</v>
      </c>
      <c r="S5651">
        <v>186</v>
      </c>
      <c r="T5651">
        <v>65</v>
      </c>
      <c r="U5651">
        <v>392.41732853738898</v>
      </c>
      <c r="V5651">
        <v>2.9600394671928901E-3</v>
      </c>
      <c r="W5651">
        <v>2026643.18808516</v>
      </c>
      <c r="X5651" t="s">
        <v>44</v>
      </c>
      <c r="Y5651">
        <f>1-527-243-1240</f>
        <v>-2009</v>
      </c>
    </row>
    <row r="5652" spans="1:25" x14ac:dyDescent="0.35">
      <c r="A5652">
        <v>41.581330283851798</v>
      </c>
      <c r="B5652">
        <v>-114.90138856273001</v>
      </c>
      <c r="C5652" t="s">
        <v>29</v>
      </c>
      <c r="D5652">
        <v>9.64060342353309</v>
      </c>
      <c r="E5652">
        <v>1</v>
      </c>
      <c r="F5652">
        <v>2653</v>
      </c>
      <c r="G5652">
        <v>5</v>
      </c>
      <c r="H5652">
        <v>1</v>
      </c>
      <c r="I5652">
        <v>1965</v>
      </c>
      <c r="J5652">
        <v>0</v>
      </c>
      <c r="K5652">
        <v>1</v>
      </c>
      <c r="L5652">
        <v>0</v>
      </c>
      <c r="M5652">
        <v>11</v>
      </c>
      <c r="N5652" t="s">
        <v>26</v>
      </c>
      <c r="O5652" t="s">
        <v>27</v>
      </c>
      <c r="P5652">
        <v>10.7686091305671</v>
      </c>
      <c r="Q5652">
        <v>1.47231971972912</v>
      </c>
      <c r="R5652">
        <v>7.92035149628797</v>
      </c>
      <c r="S5652">
        <v>194</v>
      </c>
      <c r="T5652">
        <v>34</v>
      </c>
      <c r="U5652">
        <v>973.57550243434196</v>
      </c>
      <c r="V5652">
        <v>4.1462495288352797E-3</v>
      </c>
      <c r="W5652">
        <v>2882943.2628626302</v>
      </c>
      <c r="X5652" t="s">
        <v>31</v>
      </c>
      <c r="Y5652">
        <f>1-362-223-4659</f>
        <v>-5243</v>
      </c>
    </row>
    <row r="5653" spans="1:25" x14ac:dyDescent="0.35">
      <c r="A5653">
        <v>36.4569283660297</v>
      </c>
      <c r="B5653">
        <v>-116.648513141728</v>
      </c>
      <c r="C5653" t="s">
        <v>34</v>
      </c>
      <c r="D5653">
        <v>14.453455478431</v>
      </c>
      <c r="E5653">
        <v>2</v>
      </c>
      <c r="F5653">
        <v>3548</v>
      </c>
      <c r="G5653">
        <v>5</v>
      </c>
      <c r="H5653">
        <v>1</v>
      </c>
      <c r="I5653">
        <v>1964</v>
      </c>
      <c r="J5653">
        <v>1</v>
      </c>
      <c r="K5653">
        <v>0</v>
      </c>
      <c r="L5653">
        <v>0</v>
      </c>
      <c r="M5653">
        <v>7</v>
      </c>
      <c r="N5653" t="s">
        <v>26</v>
      </c>
      <c r="O5653" t="s">
        <v>27</v>
      </c>
      <c r="P5653">
        <v>14.468565178226299</v>
      </c>
      <c r="Q5653">
        <v>1.4266884000025799</v>
      </c>
      <c r="R5653">
        <v>1.59396263669129</v>
      </c>
      <c r="S5653">
        <v>187</v>
      </c>
      <c r="T5653">
        <v>38</v>
      </c>
      <c r="U5653">
        <v>849.63395877681899</v>
      </c>
      <c r="V5653">
        <v>1.9729425028184801E-3</v>
      </c>
      <c r="W5653">
        <v>3312931.8931551301</v>
      </c>
      <c r="X5653" t="s">
        <v>28</v>
      </c>
      <c r="Y5653">
        <f>1-986-301-8603</f>
        <v>-9889</v>
      </c>
    </row>
    <row r="5654" spans="1:25" x14ac:dyDescent="0.35">
      <c r="A5654">
        <v>41.495775581167599</v>
      </c>
      <c r="B5654">
        <v>-114.398213877031</v>
      </c>
      <c r="C5654" t="s">
        <v>29</v>
      </c>
      <c r="D5654">
        <v>42.687642459867199</v>
      </c>
      <c r="E5654">
        <v>7</v>
      </c>
      <c r="F5654">
        <v>4092</v>
      </c>
      <c r="G5654">
        <v>5</v>
      </c>
      <c r="H5654">
        <v>2</v>
      </c>
      <c r="I5654">
        <v>1973</v>
      </c>
      <c r="J5654">
        <v>1</v>
      </c>
      <c r="K5654">
        <v>0</v>
      </c>
      <c r="L5654">
        <v>1</v>
      </c>
      <c r="M5654">
        <v>2</v>
      </c>
      <c r="N5654" t="s">
        <v>41</v>
      </c>
      <c r="O5654" t="s">
        <v>30</v>
      </c>
      <c r="P5654">
        <v>2.5401651917222399</v>
      </c>
      <c r="Q5654">
        <v>1.1544976635158</v>
      </c>
      <c r="R5654">
        <v>4.6654900668214196</v>
      </c>
      <c r="S5654">
        <v>34</v>
      </c>
      <c r="T5654">
        <v>78</v>
      </c>
      <c r="U5654">
        <v>825.26123036875902</v>
      </c>
      <c r="V5654">
        <v>4.8875855327468198E-4</v>
      </c>
      <c r="W5654">
        <v>3722111.6056977501</v>
      </c>
      <c r="X5654" t="s">
        <v>42</v>
      </c>
      <c r="Y5654">
        <f>1-207-986-2909</f>
        <v>-4101</v>
      </c>
    </row>
    <row r="5655" spans="1:25" x14ac:dyDescent="0.35">
      <c r="A5655">
        <v>36.189079579000797</v>
      </c>
      <c r="B5655">
        <v>-118.387126629614</v>
      </c>
      <c r="C5655" t="s">
        <v>25</v>
      </c>
      <c r="D5655">
        <v>11.7701051028929</v>
      </c>
      <c r="E5655">
        <v>5</v>
      </c>
      <c r="F5655">
        <v>3718</v>
      </c>
      <c r="G5655">
        <v>3</v>
      </c>
      <c r="H5655">
        <v>1</v>
      </c>
      <c r="I5655">
        <v>1993</v>
      </c>
      <c r="J5655">
        <v>0</v>
      </c>
      <c r="K5655">
        <v>1</v>
      </c>
      <c r="L5655">
        <v>1</v>
      </c>
      <c r="M5655">
        <v>2</v>
      </c>
      <c r="N5655" t="s">
        <v>41</v>
      </c>
      <c r="O5655" t="s">
        <v>27</v>
      </c>
      <c r="P5655">
        <v>9.6431722964612998</v>
      </c>
      <c r="Q5655">
        <v>1.48723548660855</v>
      </c>
      <c r="R5655">
        <v>9.7745407871582994</v>
      </c>
      <c r="S5655">
        <v>176</v>
      </c>
      <c r="T5655">
        <v>72</v>
      </c>
      <c r="U5655">
        <v>514.41360008307902</v>
      </c>
      <c r="V5655">
        <v>5.3792361484669097E-4</v>
      </c>
      <c r="W5655">
        <v>2145996.53386627</v>
      </c>
      <c r="X5655" t="s">
        <v>44</v>
      </c>
      <c r="Y5655">
        <f>1-481-663-3264</f>
        <v>-4407</v>
      </c>
    </row>
    <row r="5656" spans="1:25" x14ac:dyDescent="0.35">
      <c r="A5656">
        <v>41.135805871874098</v>
      </c>
      <c r="B5656">
        <v>-118.088243191922</v>
      </c>
      <c r="C5656" t="s">
        <v>25</v>
      </c>
      <c r="D5656">
        <v>16.324776640651201</v>
      </c>
      <c r="E5656">
        <v>8</v>
      </c>
      <c r="F5656">
        <v>738</v>
      </c>
      <c r="G5656">
        <v>1</v>
      </c>
      <c r="H5656">
        <v>3</v>
      </c>
      <c r="I5656">
        <v>1969</v>
      </c>
      <c r="J5656">
        <v>0</v>
      </c>
      <c r="K5656">
        <v>0</v>
      </c>
      <c r="L5656">
        <v>1</v>
      </c>
      <c r="M5656">
        <v>2</v>
      </c>
      <c r="N5656" t="s">
        <v>26</v>
      </c>
      <c r="O5656" t="s">
        <v>32</v>
      </c>
      <c r="P5656">
        <v>4.6455701362098401</v>
      </c>
      <c r="Q5656">
        <v>1.48781422618777</v>
      </c>
      <c r="R5656">
        <v>2.1397504013509501</v>
      </c>
      <c r="S5656">
        <v>114</v>
      </c>
      <c r="T5656">
        <v>67</v>
      </c>
      <c r="U5656">
        <v>531.90681389664906</v>
      </c>
      <c r="V5656">
        <v>2.7100271002710001E-3</v>
      </c>
      <c r="W5656">
        <v>434117.38291924697</v>
      </c>
      <c r="X5656" t="s">
        <v>44</v>
      </c>
      <c r="Y5656">
        <f>1-347-664-6400</f>
        <v>-7410</v>
      </c>
    </row>
    <row r="5657" spans="1:25" x14ac:dyDescent="0.35">
      <c r="A5657">
        <v>35.204176020124201</v>
      </c>
      <c r="B5657">
        <v>-124.314963172025</v>
      </c>
      <c r="C5657" t="s">
        <v>25</v>
      </c>
      <c r="D5657">
        <v>32.846596511100401</v>
      </c>
      <c r="E5657">
        <v>0</v>
      </c>
      <c r="F5657">
        <v>1675</v>
      </c>
      <c r="G5657">
        <v>3</v>
      </c>
      <c r="H5657">
        <v>3</v>
      </c>
      <c r="I5657">
        <v>1979</v>
      </c>
      <c r="J5657">
        <v>1</v>
      </c>
      <c r="K5657">
        <v>0</v>
      </c>
      <c r="L5657">
        <v>1</v>
      </c>
      <c r="M5657">
        <v>13</v>
      </c>
      <c r="N5657" t="s">
        <v>35</v>
      </c>
      <c r="O5657" t="s">
        <v>30</v>
      </c>
      <c r="P5657">
        <v>8.0129901943162896</v>
      </c>
      <c r="Q5657">
        <v>2.2142137011399501</v>
      </c>
      <c r="R5657">
        <v>4.1649239857870697</v>
      </c>
      <c r="S5657">
        <v>50</v>
      </c>
      <c r="T5657">
        <v>67</v>
      </c>
      <c r="U5657">
        <v>633.58705898258904</v>
      </c>
      <c r="V5657">
        <v>7.7611940298507398E-3</v>
      </c>
      <c r="W5657">
        <v>1279518.4347379101</v>
      </c>
      <c r="X5657" t="s">
        <v>33</v>
      </c>
      <c r="Y5657">
        <f>1-652-469-9140</f>
        <v>-10260</v>
      </c>
    </row>
    <row r="5658" spans="1:25" x14ac:dyDescent="0.35">
      <c r="A5658">
        <v>35.454011256800896</v>
      </c>
      <c r="B5658">
        <v>-118.150685856802</v>
      </c>
      <c r="C5658" t="s">
        <v>25</v>
      </c>
      <c r="D5658">
        <v>9.2990829542415092</v>
      </c>
      <c r="E5658">
        <v>9</v>
      </c>
      <c r="F5658">
        <v>1271</v>
      </c>
      <c r="G5658">
        <v>3</v>
      </c>
      <c r="H5658">
        <v>2</v>
      </c>
      <c r="I5658">
        <v>1958</v>
      </c>
      <c r="J5658">
        <v>1</v>
      </c>
      <c r="K5658">
        <v>1</v>
      </c>
      <c r="L5658">
        <v>1</v>
      </c>
      <c r="M5658">
        <v>14</v>
      </c>
      <c r="N5658" t="s">
        <v>37</v>
      </c>
      <c r="O5658" t="s">
        <v>32</v>
      </c>
      <c r="P5658">
        <v>9.7089756162143299</v>
      </c>
      <c r="Q5658">
        <v>1.8478719194575</v>
      </c>
      <c r="R5658">
        <v>5.8608336598349702</v>
      </c>
      <c r="S5658">
        <v>92</v>
      </c>
      <c r="T5658">
        <v>45</v>
      </c>
      <c r="U5658">
        <v>799.70587089855405</v>
      </c>
      <c r="V5658">
        <v>1.1014948859166001E-2</v>
      </c>
      <c r="W5658">
        <v>1353232.6397733199</v>
      </c>
      <c r="X5658" t="s">
        <v>39</v>
      </c>
      <c r="Y5658">
        <f>1-585-816-5818</f>
        <v>-7218</v>
      </c>
    </row>
    <row r="5659" spans="1:25" x14ac:dyDescent="0.35">
      <c r="A5659">
        <v>34.1568664036309</v>
      </c>
      <c r="B5659">
        <v>-123.659350110803</v>
      </c>
      <c r="C5659" t="s">
        <v>34</v>
      </c>
      <c r="D5659">
        <v>11.5569428643231</v>
      </c>
      <c r="E5659">
        <v>0</v>
      </c>
      <c r="F5659">
        <v>2534</v>
      </c>
      <c r="G5659">
        <v>1</v>
      </c>
      <c r="H5659">
        <v>3</v>
      </c>
      <c r="I5659">
        <v>2018</v>
      </c>
      <c r="J5659">
        <v>1</v>
      </c>
      <c r="K5659">
        <v>1</v>
      </c>
      <c r="L5659">
        <v>1</v>
      </c>
      <c r="M5659">
        <v>7</v>
      </c>
      <c r="N5659" t="s">
        <v>37</v>
      </c>
      <c r="O5659" t="s">
        <v>27</v>
      </c>
      <c r="P5659">
        <v>14.950940094638099</v>
      </c>
      <c r="Q5659">
        <v>0.66278072779597796</v>
      </c>
      <c r="R5659">
        <v>1.47779794958496</v>
      </c>
      <c r="S5659">
        <v>43</v>
      </c>
      <c r="T5659">
        <v>43</v>
      </c>
      <c r="U5659">
        <v>557.60574284629797</v>
      </c>
      <c r="V5659">
        <v>2.7624309392265101E-3</v>
      </c>
      <c r="W5659">
        <v>1855623.6149277899</v>
      </c>
      <c r="X5659" t="s">
        <v>42</v>
      </c>
      <c r="Y5659">
        <f>1-751-465-6982</f>
        <v>-8197</v>
      </c>
    </row>
    <row r="5660" spans="1:25" x14ac:dyDescent="0.35">
      <c r="A5660">
        <v>40.236755044134597</v>
      </c>
      <c r="B5660">
        <v>-121.445497294603</v>
      </c>
      <c r="C5660" t="s">
        <v>25</v>
      </c>
      <c r="D5660">
        <v>21.689329927067199</v>
      </c>
      <c r="E5660">
        <v>9</v>
      </c>
      <c r="F5660">
        <v>2315</v>
      </c>
      <c r="G5660">
        <v>4</v>
      </c>
      <c r="H5660">
        <v>2</v>
      </c>
      <c r="I5660">
        <v>1951</v>
      </c>
      <c r="J5660">
        <v>1</v>
      </c>
      <c r="K5660">
        <v>0</v>
      </c>
      <c r="L5660">
        <v>0</v>
      </c>
      <c r="M5660">
        <v>2</v>
      </c>
      <c r="N5660" t="s">
        <v>35</v>
      </c>
      <c r="O5660" t="s">
        <v>32</v>
      </c>
      <c r="P5660">
        <v>4.2492944725750501</v>
      </c>
      <c r="Q5660">
        <v>1.3836627191575099</v>
      </c>
      <c r="R5660">
        <v>4.97154690267425</v>
      </c>
      <c r="S5660">
        <v>15</v>
      </c>
      <c r="T5660">
        <v>58</v>
      </c>
      <c r="U5660">
        <v>235.084319826003</v>
      </c>
      <c r="V5660">
        <v>8.63930885529157E-4</v>
      </c>
      <c r="W5660">
        <v>709681.99023573904</v>
      </c>
      <c r="X5660" t="s">
        <v>38</v>
      </c>
      <c r="Y5660">
        <f>1-641-177-9723</f>
        <v>-10540</v>
      </c>
    </row>
    <row r="5661" spans="1:25" x14ac:dyDescent="0.35">
      <c r="A5661">
        <v>38.1654487293968</v>
      </c>
      <c r="B5661">
        <v>-121.64668435588899</v>
      </c>
      <c r="C5661" t="s">
        <v>25</v>
      </c>
      <c r="D5661">
        <v>5.4018903647181897</v>
      </c>
      <c r="E5661">
        <v>7</v>
      </c>
      <c r="F5661">
        <v>3386</v>
      </c>
      <c r="G5661">
        <v>5</v>
      </c>
      <c r="H5661">
        <v>1</v>
      </c>
      <c r="I5661">
        <v>1977</v>
      </c>
      <c r="J5661">
        <v>0</v>
      </c>
      <c r="K5661">
        <v>0</v>
      </c>
      <c r="L5661">
        <v>1</v>
      </c>
      <c r="M5661">
        <v>10</v>
      </c>
      <c r="N5661" t="s">
        <v>37</v>
      </c>
      <c r="O5661" t="s">
        <v>30</v>
      </c>
      <c r="P5661">
        <v>12.409530476642701</v>
      </c>
      <c r="Q5661">
        <v>0.84813679387708896</v>
      </c>
      <c r="R5661">
        <v>0.74754587657973104</v>
      </c>
      <c r="S5661">
        <v>147</v>
      </c>
      <c r="T5661">
        <v>59</v>
      </c>
      <c r="U5661">
        <v>634.51787420420897</v>
      </c>
      <c r="V5661">
        <v>2.9533372711163602E-3</v>
      </c>
      <c r="W5661">
        <v>2387410.24709378</v>
      </c>
      <c r="X5661" t="s">
        <v>36</v>
      </c>
      <c r="Y5661">
        <f>1-548-301-7661</f>
        <v>-8509</v>
      </c>
    </row>
    <row r="5662" spans="1:25" x14ac:dyDescent="0.35">
      <c r="A5662">
        <v>41.324580034056403</v>
      </c>
      <c r="B5662">
        <v>-116.597500562607</v>
      </c>
      <c r="C5662" t="s">
        <v>25</v>
      </c>
      <c r="D5662">
        <v>49.7156091238597</v>
      </c>
      <c r="E5662">
        <v>6</v>
      </c>
      <c r="F5662">
        <v>4047</v>
      </c>
      <c r="G5662">
        <v>3</v>
      </c>
      <c r="H5662">
        <v>2</v>
      </c>
      <c r="I5662">
        <v>1969</v>
      </c>
      <c r="J5662">
        <v>0</v>
      </c>
      <c r="K5662">
        <v>0</v>
      </c>
      <c r="L5662">
        <v>1</v>
      </c>
      <c r="M5662">
        <v>5</v>
      </c>
      <c r="N5662" t="s">
        <v>41</v>
      </c>
      <c r="O5662" t="s">
        <v>30</v>
      </c>
      <c r="P5662">
        <v>6.7233303101704296</v>
      </c>
      <c r="Q5662">
        <v>2.1938927374590098</v>
      </c>
      <c r="R5662">
        <v>0.68166440020764396</v>
      </c>
      <c r="S5662">
        <v>91</v>
      </c>
      <c r="T5662">
        <v>42</v>
      </c>
      <c r="U5662">
        <v>577.92354310276596</v>
      </c>
      <c r="V5662">
        <v>1.2354830738818801E-3</v>
      </c>
      <c r="W5662">
        <v>2612450.5091434899</v>
      </c>
      <c r="X5662" t="s">
        <v>36</v>
      </c>
      <c r="Y5662">
        <f>1-687-318-2627</f>
        <v>-3631</v>
      </c>
    </row>
    <row r="5663" spans="1:25" x14ac:dyDescent="0.35">
      <c r="A5663">
        <v>38.5348390357494</v>
      </c>
      <c r="B5663">
        <v>-118.30631359677</v>
      </c>
      <c r="C5663" t="s">
        <v>25</v>
      </c>
      <c r="D5663">
        <v>13.927622376025999</v>
      </c>
      <c r="E5663">
        <v>8</v>
      </c>
      <c r="F5663">
        <v>4840</v>
      </c>
      <c r="G5663">
        <v>3</v>
      </c>
      <c r="H5663">
        <v>1</v>
      </c>
      <c r="I5663">
        <v>1960</v>
      </c>
      <c r="J5663">
        <v>1</v>
      </c>
      <c r="K5663">
        <v>0</v>
      </c>
      <c r="L5663">
        <v>1</v>
      </c>
      <c r="M5663">
        <v>2</v>
      </c>
      <c r="N5663" t="s">
        <v>26</v>
      </c>
      <c r="O5663" t="s">
        <v>32</v>
      </c>
      <c r="P5663">
        <v>5.4594418158233697</v>
      </c>
      <c r="Q5663">
        <v>1.1913548745322</v>
      </c>
      <c r="R5663">
        <v>7.7112704212566596</v>
      </c>
      <c r="S5663">
        <v>170</v>
      </c>
      <c r="T5663">
        <v>41</v>
      </c>
      <c r="U5663">
        <v>258.57643569190702</v>
      </c>
      <c r="V5663">
        <v>4.13223140495867E-4</v>
      </c>
      <c r="W5663">
        <v>1452518.0167528</v>
      </c>
      <c r="X5663" t="s">
        <v>33</v>
      </c>
      <c r="Y5663">
        <f>1-846-418-8022</f>
        <v>-9285</v>
      </c>
    </row>
    <row r="5664" spans="1:25" x14ac:dyDescent="0.35">
      <c r="A5664">
        <v>37.744961669503802</v>
      </c>
      <c r="B5664">
        <v>-120.273437971302</v>
      </c>
      <c r="C5664" t="s">
        <v>29</v>
      </c>
      <c r="D5664">
        <v>18.096380828484801</v>
      </c>
      <c r="E5664">
        <v>8</v>
      </c>
      <c r="F5664">
        <v>1172</v>
      </c>
      <c r="G5664">
        <v>1</v>
      </c>
      <c r="H5664">
        <v>2</v>
      </c>
      <c r="I5664">
        <v>1959</v>
      </c>
      <c r="J5664">
        <v>0</v>
      </c>
      <c r="K5664">
        <v>1</v>
      </c>
      <c r="L5664">
        <v>0</v>
      </c>
      <c r="M5664">
        <v>14</v>
      </c>
      <c r="N5664" t="s">
        <v>37</v>
      </c>
      <c r="O5664" t="s">
        <v>32</v>
      </c>
      <c r="P5664">
        <v>9.9474580458109507</v>
      </c>
      <c r="Q5664">
        <v>0.58902058830065596</v>
      </c>
      <c r="R5664">
        <v>6.1773729444229701</v>
      </c>
      <c r="S5664">
        <v>196</v>
      </c>
      <c r="T5664">
        <v>77</v>
      </c>
      <c r="U5664">
        <v>756.21836696433502</v>
      </c>
      <c r="V5664">
        <v>1.1945392491467499E-2</v>
      </c>
      <c r="W5664">
        <v>1025426.5113664001</v>
      </c>
      <c r="X5664" t="s">
        <v>40</v>
      </c>
      <c r="Y5664">
        <f>1-233-595-6324</f>
        <v>-7151</v>
      </c>
    </row>
    <row r="5665" spans="1:25" x14ac:dyDescent="0.35">
      <c r="A5665">
        <v>35.126405267387</v>
      </c>
      <c r="B5665">
        <v>-115.09913548062799</v>
      </c>
      <c r="C5665" t="s">
        <v>29</v>
      </c>
      <c r="D5665">
        <v>13.6639570935015</v>
      </c>
      <c r="E5665">
        <v>2</v>
      </c>
      <c r="F5665">
        <v>1045</v>
      </c>
      <c r="G5665">
        <v>5</v>
      </c>
      <c r="H5665">
        <v>2</v>
      </c>
      <c r="I5665">
        <v>1970</v>
      </c>
      <c r="J5665">
        <v>0</v>
      </c>
      <c r="K5665">
        <v>1</v>
      </c>
      <c r="L5665">
        <v>1</v>
      </c>
      <c r="M5665">
        <v>3</v>
      </c>
      <c r="N5665" t="s">
        <v>26</v>
      </c>
      <c r="O5665" t="s">
        <v>30</v>
      </c>
      <c r="P5665">
        <v>8.3725485174759697</v>
      </c>
      <c r="Q5665">
        <v>0.91871714809974803</v>
      </c>
      <c r="R5665">
        <v>9.6067100984144993</v>
      </c>
      <c r="S5665">
        <v>99</v>
      </c>
      <c r="T5665">
        <v>55</v>
      </c>
      <c r="U5665">
        <v>940.56200462490904</v>
      </c>
      <c r="V5665">
        <v>2.8708133971291801E-3</v>
      </c>
      <c r="W5665">
        <v>1390009.1856611299</v>
      </c>
      <c r="X5665" t="s">
        <v>28</v>
      </c>
      <c r="Y5665">
        <f>1-357-714-1032</f>
        <v>-2102</v>
      </c>
    </row>
    <row r="5666" spans="1:25" x14ac:dyDescent="0.35">
      <c r="A5666">
        <v>41.533385156489601</v>
      </c>
      <c r="B5666">
        <v>-119.711765294166</v>
      </c>
      <c r="C5666" t="s">
        <v>25</v>
      </c>
      <c r="D5666">
        <v>10.6370336420306</v>
      </c>
      <c r="E5666">
        <v>5</v>
      </c>
      <c r="F5666">
        <v>711</v>
      </c>
      <c r="G5666">
        <v>2</v>
      </c>
      <c r="H5666">
        <v>1</v>
      </c>
      <c r="I5666">
        <v>1968</v>
      </c>
      <c r="J5666">
        <v>1</v>
      </c>
      <c r="K5666">
        <v>0</v>
      </c>
      <c r="L5666">
        <v>0</v>
      </c>
      <c r="M5666">
        <v>3</v>
      </c>
      <c r="N5666" t="s">
        <v>26</v>
      </c>
      <c r="O5666" t="s">
        <v>30</v>
      </c>
      <c r="P5666">
        <v>2.00128129016516</v>
      </c>
      <c r="Q5666">
        <v>2.1452725366046299</v>
      </c>
      <c r="R5666">
        <v>8.2908990302500492</v>
      </c>
      <c r="S5666">
        <v>131</v>
      </c>
      <c r="T5666">
        <v>42</v>
      </c>
      <c r="U5666">
        <v>230.16369472098199</v>
      </c>
      <c r="V5666">
        <v>4.2194092827004199E-3</v>
      </c>
      <c r="W5666">
        <v>130202.29308555499</v>
      </c>
      <c r="X5666" t="s">
        <v>33</v>
      </c>
      <c r="Y5666">
        <f>1-879-397-5530</f>
        <v>-6805</v>
      </c>
    </row>
    <row r="5667" spans="1:25" x14ac:dyDescent="0.35">
      <c r="A5667">
        <v>39.725400408597203</v>
      </c>
      <c r="B5667">
        <v>-123.09631731849601</v>
      </c>
      <c r="C5667" t="s">
        <v>34</v>
      </c>
      <c r="D5667">
        <v>28.284870422757201</v>
      </c>
      <c r="E5667">
        <v>1</v>
      </c>
      <c r="F5667">
        <v>4966</v>
      </c>
      <c r="G5667">
        <v>1</v>
      </c>
      <c r="H5667">
        <v>2</v>
      </c>
      <c r="I5667">
        <v>1962</v>
      </c>
      <c r="J5667">
        <v>0</v>
      </c>
      <c r="K5667">
        <v>1</v>
      </c>
      <c r="L5667">
        <v>1</v>
      </c>
      <c r="M5667">
        <v>11</v>
      </c>
      <c r="N5667" t="s">
        <v>26</v>
      </c>
      <c r="O5667" t="s">
        <v>32</v>
      </c>
      <c r="P5667">
        <v>13.291593346935301</v>
      </c>
      <c r="Q5667">
        <v>0.88329999415620897</v>
      </c>
      <c r="R5667">
        <v>9.14215709276945</v>
      </c>
      <c r="S5667">
        <v>66</v>
      </c>
      <c r="T5667">
        <v>43</v>
      </c>
      <c r="U5667">
        <v>650.05660251993697</v>
      </c>
      <c r="V5667">
        <v>2.2150624244865001E-3</v>
      </c>
      <c r="W5667">
        <v>3361496.4808403798</v>
      </c>
      <c r="X5667" t="s">
        <v>36</v>
      </c>
      <c r="Y5667">
        <f>1-903-231-4585</f>
        <v>-5718</v>
      </c>
    </row>
    <row r="5668" spans="1:25" x14ac:dyDescent="0.35">
      <c r="A5668">
        <v>39.073129433236197</v>
      </c>
      <c r="B5668">
        <v>-117.97794611126901</v>
      </c>
      <c r="C5668" t="s">
        <v>34</v>
      </c>
      <c r="D5668">
        <v>21.275092885665298</v>
      </c>
      <c r="E5668">
        <v>6</v>
      </c>
      <c r="F5668">
        <v>1000</v>
      </c>
      <c r="G5668">
        <v>2</v>
      </c>
      <c r="H5668">
        <v>3</v>
      </c>
      <c r="I5668">
        <v>1967</v>
      </c>
      <c r="J5668">
        <v>1</v>
      </c>
      <c r="K5668">
        <v>0</v>
      </c>
      <c r="L5668">
        <v>0</v>
      </c>
      <c r="M5668">
        <v>13</v>
      </c>
      <c r="N5668" t="s">
        <v>41</v>
      </c>
      <c r="O5668" t="s">
        <v>30</v>
      </c>
      <c r="P5668">
        <v>10.7342559635053</v>
      </c>
      <c r="Q5668">
        <v>1.280675426031</v>
      </c>
      <c r="R5668">
        <v>9.2406491033742206</v>
      </c>
      <c r="S5668">
        <v>10</v>
      </c>
      <c r="T5668">
        <v>47</v>
      </c>
      <c r="U5668">
        <v>955.20657109678598</v>
      </c>
      <c r="V5668">
        <v>1.2999999999999999E-2</v>
      </c>
      <c r="W5668">
        <v>1160205.70373544</v>
      </c>
      <c r="X5668" t="s">
        <v>36</v>
      </c>
      <c r="Y5668">
        <f>1-376-578-8451</f>
        <v>-9404</v>
      </c>
    </row>
    <row r="5669" spans="1:25" x14ac:dyDescent="0.35">
      <c r="A5669">
        <v>34.9909260686455</v>
      </c>
      <c r="B5669">
        <v>-118.10018569724301</v>
      </c>
      <c r="C5669" t="s">
        <v>25</v>
      </c>
      <c r="D5669">
        <v>23.646106558664801</v>
      </c>
      <c r="E5669">
        <v>5</v>
      </c>
      <c r="F5669">
        <v>1178</v>
      </c>
      <c r="G5669">
        <v>3</v>
      </c>
      <c r="H5669">
        <v>1</v>
      </c>
      <c r="I5669">
        <v>1982</v>
      </c>
      <c r="J5669">
        <v>1</v>
      </c>
      <c r="K5669">
        <v>0</v>
      </c>
      <c r="L5669">
        <v>0</v>
      </c>
      <c r="M5669">
        <v>3</v>
      </c>
      <c r="N5669" t="s">
        <v>37</v>
      </c>
      <c r="O5669" t="s">
        <v>30</v>
      </c>
      <c r="P5669">
        <v>11.880898328732201</v>
      </c>
      <c r="Q5669">
        <v>0.94868392513112798</v>
      </c>
      <c r="R5669">
        <v>2.7551159312247901</v>
      </c>
      <c r="S5669">
        <v>107</v>
      </c>
      <c r="T5669">
        <v>32</v>
      </c>
      <c r="U5669">
        <v>514.63610847495204</v>
      </c>
      <c r="V5669">
        <v>2.5466893039049199E-3</v>
      </c>
      <c r="W5669">
        <v>946518.57956757699</v>
      </c>
      <c r="X5669" t="s">
        <v>33</v>
      </c>
      <c r="Y5669">
        <f>1-497-417-8350</f>
        <v>-9263</v>
      </c>
    </row>
    <row r="5670" spans="1:25" x14ac:dyDescent="0.35">
      <c r="A5670">
        <v>38.944765505056701</v>
      </c>
      <c r="B5670">
        <v>-117.445002757776</v>
      </c>
      <c r="C5670" t="s">
        <v>34</v>
      </c>
      <c r="D5670">
        <v>44.234451200968401</v>
      </c>
      <c r="E5670">
        <v>8</v>
      </c>
      <c r="F5670">
        <v>1936</v>
      </c>
      <c r="G5670">
        <v>2</v>
      </c>
      <c r="H5670">
        <v>3</v>
      </c>
      <c r="I5670">
        <v>2010</v>
      </c>
      <c r="J5670">
        <v>1</v>
      </c>
      <c r="K5670">
        <v>1</v>
      </c>
      <c r="L5670">
        <v>0</v>
      </c>
      <c r="M5670">
        <v>9</v>
      </c>
      <c r="N5670" t="s">
        <v>41</v>
      </c>
      <c r="O5670" t="s">
        <v>30</v>
      </c>
      <c r="P5670">
        <v>5.99755308083681</v>
      </c>
      <c r="Q5670">
        <v>1.19815481610242</v>
      </c>
      <c r="R5670">
        <v>6.9847681319891697</v>
      </c>
      <c r="S5670">
        <v>27</v>
      </c>
      <c r="T5670">
        <v>58</v>
      </c>
      <c r="U5670">
        <v>948.93393650581004</v>
      </c>
      <c r="V5670">
        <v>4.6487603305785099E-3</v>
      </c>
      <c r="W5670">
        <v>2191482.2432066002</v>
      </c>
      <c r="X5670" t="s">
        <v>36</v>
      </c>
      <c r="Y5670">
        <f>1-774-584-9774</f>
        <v>-11131</v>
      </c>
    </row>
    <row r="5671" spans="1:25" x14ac:dyDescent="0.35">
      <c r="A5671">
        <v>40.9491319127739</v>
      </c>
      <c r="B5671">
        <v>-118.841559940137</v>
      </c>
      <c r="C5671" t="s">
        <v>25</v>
      </c>
      <c r="D5671">
        <v>22.070276276848599</v>
      </c>
      <c r="E5671">
        <v>0</v>
      </c>
      <c r="F5671">
        <v>2342</v>
      </c>
      <c r="G5671">
        <v>4</v>
      </c>
      <c r="H5671">
        <v>1</v>
      </c>
      <c r="I5671">
        <v>1950</v>
      </c>
      <c r="J5671">
        <v>1</v>
      </c>
      <c r="K5671">
        <v>0</v>
      </c>
      <c r="L5671">
        <v>1</v>
      </c>
      <c r="M5671">
        <v>7</v>
      </c>
      <c r="N5671" t="s">
        <v>35</v>
      </c>
      <c r="O5671" t="s">
        <v>30</v>
      </c>
      <c r="P5671">
        <v>4.0115183689361702</v>
      </c>
      <c r="Q5671">
        <v>0.76675457326941998</v>
      </c>
      <c r="R5671">
        <v>6.4033346354515803</v>
      </c>
      <c r="S5671">
        <v>140</v>
      </c>
      <c r="T5671">
        <v>39</v>
      </c>
      <c r="U5671">
        <v>380.38664110093299</v>
      </c>
      <c r="V5671">
        <v>2.9888983774551598E-3</v>
      </c>
      <c r="W5671">
        <v>1002645.2784967599</v>
      </c>
      <c r="X5671" t="s">
        <v>44</v>
      </c>
      <c r="Y5671">
        <f>1-634-771-2965</f>
        <v>-4369</v>
      </c>
    </row>
    <row r="5672" spans="1:25" x14ac:dyDescent="0.35">
      <c r="A5672">
        <v>41.452713893543802</v>
      </c>
      <c r="B5672">
        <v>-115.283309528393</v>
      </c>
      <c r="C5672" t="s">
        <v>29</v>
      </c>
      <c r="D5672">
        <v>7.1988422676511199</v>
      </c>
      <c r="E5672">
        <v>3</v>
      </c>
      <c r="F5672">
        <v>3244</v>
      </c>
      <c r="G5672">
        <v>5</v>
      </c>
      <c r="H5672">
        <v>1</v>
      </c>
      <c r="I5672">
        <v>2020</v>
      </c>
      <c r="J5672">
        <v>1</v>
      </c>
      <c r="K5672">
        <v>0</v>
      </c>
      <c r="L5672">
        <v>1</v>
      </c>
      <c r="M5672">
        <v>9</v>
      </c>
      <c r="N5672" t="s">
        <v>41</v>
      </c>
      <c r="O5672" t="s">
        <v>27</v>
      </c>
      <c r="P5672">
        <v>11.6277364614532</v>
      </c>
      <c r="Q5672">
        <v>1.6814312505554601</v>
      </c>
      <c r="R5672">
        <v>1.4042390290644799</v>
      </c>
      <c r="S5672">
        <v>99</v>
      </c>
      <c r="T5672">
        <v>32</v>
      </c>
      <c r="U5672">
        <v>269.10699755486098</v>
      </c>
      <c r="V5672">
        <v>2.7743526510480799E-3</v>
      </c>
      <c r="W5672">
        <v>1356799.9655184599</v>
      </c>
      <c r="X5672" t="s">
        <v>36</v>
      </c>
      <c r="Y5672">
        <f>1-389-381-6130</f>
        <v>-6899</v>
      </c>
    </row>
    <row r="5673" spans="1:25" x14ac:dyDescent="0.35">
      <c r="A5673">
        <v>38.225311056388897</v>
      </c>
      <c r="B5673">
        <v>-114.561489837997</v>
      </c>
      <c r="C5673" t="s">
        <v>34</v>
      </c>
      <c r="D5673">
        <v>22.0755779612117</v>
      </c>
      <c r="E5673">
        <v>3</v>
      </c>
      <c r="F5673">
        <v>4448</v>
      </c>
      <c r="G5673">
        <v>5</v>
      </c>
      <c r="H5673">
        <v>3</v>
      </c>
      <c r="I5673">
        <v>1970</v>
      </c>
      <c r="J5673">
        <v>1</v>
      </c>
      <c r="K5673">
        <v>1</v>
      </c>
      <c r="L5673">
        <v>0</v>
      </c>
      <c r="M5673">
        <v>6</v>
      </c>
      <c r="N5673" t="s">
        <v>41</v>
      </c>
      <c r="O5673" t="s">
        <v>32</v>
      </c>
      <c r="P5673">
        <v>9.4653857768019591</v>
      </c>
      <c r="Q5673">
        <v>1.14079283106633</v>
      </c>
      <c r="R5673">
        <v>1.08349512116038</v>
      </c>
      <c r="S5673">
        <v>102</v>
      </c>
      <c r="T5673">
        <v>41</v>
      </c>
      <c r="U5673">
        <v>304.33928692612699</v>
      </c>
      <c r="V5673">
        <v>1.34892086330935E-3</v>
      </c>
      <c r="W5673">
        <v>1908282.58516872</v>
      </c>
      <c r="X5673" t="s">
        <v>44</v>
      </c>
      <c r="Y5673">
        <f>1-755-132-6991</f>
        <v>-7877</v>
      </c>
    </row>
    <row r="5674" spans="1:25" x14ac:dyDescent="0.35">
      <c r="A5674">
        <v>41.431937144311199</v>
      </c>
      <c r="B5674">
        <v>-116.58120421873799</v>
      </c>
      <c r="C5674" t="s">
        <v>34</v>
      </c>
      <c r="D5674">
        <v>13.433341862653601</v>
      </c>
      <c r="E5674">
        <v>9</v>
      </c>
      <c r="F5674">
        <v>2902</v>
      </c>
      <c r="G5674">
        <v>5</v>
      </c>
      <c r="H5674">
        <v>3</v>
      </c>
      <c r="I5674">
        <v>1957</v>
      </c>
      <c r="J5674">
        <v>1</v>
      </c>
      <c r="K5674">
        <v>0</v>
      </c>
      <c r="L5674">
        <v>0</v>
      </c>
      <c r="M5674">
        <v>9</v>
      </c>
      <c r="N5674" t="s">
        <v>37</v>
      </c>
      <c r="O5674" t="s">
        <v>32</v>
      </c>
      <c r="P5674">
        <v>9.5654206936576998</v>
      </c>
      <c r="Q5674">
        <v>1.16848780052235</v>
      </c>
      <c r="R5674">
        <v>4.04432042238939</v>
      </c>
      <c r="S5674">
        <v>11</v>
      </c>
      <c r="T5674">
        <v>36</v>
      </c>
      <c r="U5674">
        <v>823.67798498335901</v>
      </c>
      <c r="V5674">
        <v>3.1013094417643001E-3</v>
      </c>
      <c r="W5674">
        <v>2788872.0498360302</v>
      </c>
      <c r="X5674" t="s">
        <v>42</v>
      </c>
      <c r="Y5674">
        <f>1-669-960-6035</f>
        <v>-7663</v>
      </c>
    </row>
    <row r="5675" spans="1:25" x14ac:dyDescent="0.35">
      <c r="A5675">
        <v>37.618493071179401</v>
      </c>
      <c r="B5675">
        <v>-115.48132428686</v>
      </c>
      <c r="C5675" t="s">
        <v>34</v>
      </c>
      <c r="D5675">
        <v>42.684836447729502</v>
      </c>
      <c r="E5675">
        <v>1</v>
      </c>
      <c r="F5675">
        <v>530</v>
      </c>
      <c r="G5675">
        <v>2</v>
      </c>
      <c r="H5675">
        <v>1</v>
      </c>
      <c r="I5675">
        <v>1993</v>
      </c>
      <c r="J5675">
        <v>0</v>
      </c>
      <c r="K5675">
        <v>0</v>
      </c>
      <c r="L5675">
        <v>0</v>
      </c>
      <c r="M5675">
        <v>10</v>
      </c>
      <c r="N5675" t="s">
        <v>26</v>
      </c>
      <c r="O5675" t="s">
        <v>27</v>
      </c>
      <c r="P5675">
        <v>2.5336928650026</v>
      </c>
      <c r="Q5675">
        <v>2.1212878416316601</v>
      </c>
      <c r="R5675">
        <v>5.4047486534611098</v>
      </c>
      <c r="S5675">
        <v>145</v>
      </c>
      <c r="T5675">
        <v>45</v>
      </c>
      <c r="U5675">
        <v>298.97802821636998</v>
      </c>
      <c r="V5675">
        <v>1.8867924528301799E-2</v>
      </c>
      <c r="W5675">
        <v>218570.079774746</v>
      </c>
      <c r="X5675" t="s">
        <v>38</v>
      </c>
      <c r="Y5675">
        <f>1-315-913-2403</f>
        <v>-3630</v>
      </c>
    </row>
    <row r="5676" spans="1:25" x14ac:dyDescent="0.35">
      <c r="A5676">
        <v>33.5857153926273</v>
      </c>
      <c r="B5676">
        <v>-120.87748717135599</v>
      </c>
      <c r="C5676" t="s">
        <v>25</v>
      </c>
      <c r="D5676">
        <v>19.220712550754801</v>
      </c>
      <c r="E5676">
        <v>1</v>
      </c>
      <c r="F5676">
        <v>1671</v>
      </c>
      <c r="G5676">
        <v>1</v>
      </c>
      <c r="H5676">
        <v>3</v>
      </c>
      <c r="I5676">
        <v>1962</v>
      </c>
      <c r="J5676">
        <v>1</v>
      </c>
      <c r="K5676">
        <v>0</v>
      </c>
      <c r="L5676">
        <v>1</v>
      </c>
      <c r="M5676">
        <v>11</v>
      </c>
      <c r="N5676" t="s">
        <v>26</v>
      </c>
      <c r="O5676" t="s">
        <v>30</v>
      </c>
      <c r="P5676">
        <v>12.6753524472699</v>
      </c>
      <c r="Q5676">
        <v>1.2207600013815101</v>
      </c>
      <c r="R5676">
        <v>3.01413581800804</v>
      </c>
      <c r="S5676">
        <v>100</v>
      </c>
      <c r="T5676">
        <v>31</v>
      </c>
      <c r="U5676">
        <v>296.47825298579698</v>
      </c>
      <c r="V5676">
        <v>6.5828845002992202E-3</v>
      </c>
      <c r="W5676">
        <v>752565.15107721498</v>
      </c>
      <c r="X5676" t="s">
        <v>43</v>
      </c>
      <c r="Y5676">
        <f>1-502-688-4096</f>
        <v>-5285</v>
      </c>
    </row>
    <row r="5677" spans="1:25" x14ac:dyDescent="0.35">
      <c r="A5677">
        <v>37.430065637224402</v>
      </c>
      <c r="B5677">
        <v>-120.157095116351</v>
      </c>
      <c r="C5677" t="s">
        <v>34</v>
      </c>
      <c r="D5677">
        <v>23.648269723666498</v>
      </c>
      <c r="E5677">
        <v>1</v>
      </c>
      <c r="F5677">
        <v>4848</v>
      </c>
      <c r="G5677">
        <v>1</v>
      </c>
      <c r="H5677">
        <v>1</v>
      </c>
      <c r="I5677">
        <v>1988</v>
      </c>
      <c r="J5677">
        <v>0</v>
      </c>
      <c r="K5677">
        <v>1</v>
      </c>
      <c r="L5677">
        <v>0</v>
      </c>
      <c r="M5677">
        <v>8</v>
      </c>
      <c r="N5677" t="s">
        <v>41</v>
      </c>
      <c r="O5677" t="s">
        <v>30</v>
      </c>
      <c r="P5677">
        <v>6.0554004832694499</v>
      </c>
      <c r="Q5677">
        <v>1.4779798181830801</v>
      </c>
      <c r="R5677">
        <v>8.5768721232588998</v>
      </c>
      <c r="S5677">
        <v>126</v>
      </c>
      <c r="T5677">
        <v>58</v>
      </c>
      <c r="U5677">
        <v>724.69475206972095</v>
      </c>
      <c r="V5677">
        <v>1.65016501650165E-3</v>
      </c>
      <c r="W5677">
        <v>3644564.2379061701</v>
      </c>
      <c r="X5677" t="s">
        <v>33</v>
      </c>
      <c r="Y5677">
        <f>1-746-346-6815</f>
        <v>-7906</v>
      </c>
    </row>
    <row r="5678" spans="1:25" x14ac:dyDescent="0.35">
      <c r="A5678">
        <v>35.052498861037698</v>
      </c>
      <c r="B5678">
        <v>-124.129350952127</v>
      </c>
      <c r="C5678" t="s">
        <v>25</v>
      </c>
      <c r="D5678">
        <v>44.842556000918599</v>
      </c>
      <c r="E5678">
        <v>3</v>
      </c>
      <c r="F5678">
        <v>4711</v>
      </c>
      <c r="G5678">
        <v>5</v>
      </c>
      <c r="H5678">
        <v>1</v>
      </c>
      <c r="I5678">
        <v>1955</v>
      </c>
      <c r="J5678">
        <v>1</v>
      </c>
      <c r="K5678">
        <v>1</v>
      </c>
      <c r="L5678">
        <v>1</v>
      </c>
      <c r="M5678">
        <v>9</v>
      </c>
      <c r="N5678" t="s">
        <v>35</v>
      </c>
      <c r="O5678" t="s">
        <v>32</v>
      </c>
      <c r="P5678">
        <v>2.0678508695781401</v>
      </c>
      <c r="Q5678">
        <v>1.6842903350674601</v>
      </c>
      <c r="R5678">
        <v>8.1941643031258593</v>
      </c>
      <c r="S5678">
        <v>157</v>
      </c>
      <c r="T5678">
        <v>22</v>
      </c>
      <c r="U5678">
        <v>441.42872916842799</v>
      </c>
      <c r="V5678">
        <v>1.9104224156230099E-3</v>
      </c>
      <c r="W5678">
        <v>2337479.8783847098</v>
      </c>
      <c r="X5678" t="s">
        <v>36</v>
      </c>
      <c r="Y5678">
        <f>1-613-404-8982</f>
        <v>-9998</v>
      </c>
    </row>
    <row r="5679" spans="1:25" x14ac:dyDescent="0.35">
      <c r="A5679">
        <v>34.073331133929102</v>
      </c>
      <c r="B5679">
        <v>-119.173038401295</v>
      </c>
      <c r="C5679" t="s">
        <v>34</v>
      </c>
      <c r="D5679">
        <v>40.390496039881697</v>
      </c>
      <c r="E5679">
        <v>0</v>
      </c>
      <c r="F5679">
        <v>2669</v>
      </c>
      <c r="G5679">
        <v>5</v>
      </c>
      <c r="H5679">
        <v>2</v>
      </c>
      <c r="I5679">
        <v>2011</v>
      </c>
      <c r="J5679">
        <v>0</v>
      </c>
      <c r="K5679">
        <v>0</v>
      </c>
      <c r="L5679">
        <v>0</v>
      </c>
      <c r="M5679">
        <v>12</v>
      </c>
      <c r="N5679" t="s">
        <v>41</v>
      </c>
      <c r="O5679" t="s">
        <v>30</v>
      </c>
      <c r="P5679">
        <v>7.6489942700606104</v>
      </c>
      <c r="Q5679">
        <v>1.0282525430723699</v>
      </c>
      <c r="R5679">
        <v>3.4283987280656798</v>
      </c>
      <c r="S5679">
        <v>28</v>
      </c>
      <c r="T5679">
        <v>23</v>
      </c>
      <c r="U5679">
        <v>455.92670746761797</v>
      </c>
      <c r="V5679">
        <v>4.4960659423004803E-3</v>
      </c>
      <c r="W5679">
        <v>1596523.94643476</v>
      </c>
      <c r="X5679" t="s">
        <v>44</v>
      </c>
      <c r="Y5679">
        <f>1-478-269-5415</f>
        <v>-6161</v>
      </c>
    </row>
    <row r="5680" spans="1:25" x14ac:dyDescent="0.35">
      <c r="A5680">
        <v>32.7381818283596</v>
      </c>
      <c r="B5680">
        <v>-120.596377356269</v>
      </c>
      <c r="C5680" t="s">
        <v>29</v>
      </c>
      <c r="D5680">
        <v>49.361991685480902</v>
      </c>
      <c r="E5680">
        <v>3</v>
      </c>
      <c r="F5680">
        <v>1750</v>
      </c>
      <c r="G5680">
        <v>1</v>
      </c>
      <c r="H5680">
        <v>1</v>
      </c>
      <c r="I5680">
        <v>2021</v>
      </c>
      <c r="J5680">
        <v>1</v>
      </c>
      <c r="K5680">
        <v>1</v>
      </c>
      <c r="L5680">
        <v>0</v>
      </c>
      <c r="M5680">
        <v>8</v>
      </c>
      <c r="N5680" t="s">
        <v>41</v>
      </c>
      <c r="O5680" t="s">
        <v>30</v>
      </c>
      <c r="P5680">
        <v>7.0063469787864801</v>
      </c>
      <c r="Q5680">
        <v>1.4907005535435001</v>
      </c>
      <c r="R5680">
        <v>6.1085120056997599</v>
      </c>
      <c r="S5680">
        <v>142</v>
      </c>
      <c r="T5680">
        <v>30</v>
      </c>
      <c r="U5680">
        <v>988.711768019945</v>
      </c>
      <c r="V5680">
        <v>4.57142857142857E-3</v>
      </c>
      <c r="W5680">
        <v>1937639.28552401</v>
      </c>
      <c r="X5680" t="s">
        <v>40</v>
      </c>
      <c r="Y5680">
        <f>1-911-427-9926</f>
        <v>-11263</v>
      </c>
    </row>
    <row r="5681" spans="1:25" x14ac:dyDescent="0.35">
      <c r="A5681">
        <v>34.496357076169403</v>
      </c>
      <c r="B5681">
        <v>-116.16436651697801</v>
      </c>
      <c r="C5681" t="s">
        <v>25</v>
      </c>
      <c r="D5681">
        <v>30.904449103880602</v>
      </c>
      <c r="E5681">
        <v>5</v>
      </c>
      <c r="F5681">
        <v>1607</v>
      </c>
      <c r="G5681">
        <v>5</v>
      </c>
      <c r="H5681">
        <v>1</v>
      </c>
      <c r="I5681">
        <v>2014</v>
      </c>
      <c r="J5681">
        <v>0</v>
      </c>
      <c r="K5681">
        <v>1</v>
      </c>
      <c r="L5681">
        <v>0</v>
      </c>
      <c r="M5681">
        <v>3</v>
      </c>
      <c r="N5681" t="s">
        <v>26</v>
      </c>
      <c r="O5681" t="s">
        <v>27</v>
      </c>
      <c r="P5681">
        <v>10.592464475122799</v>
      </c>
      <c r="Q5681">
        <v>1.11432367969996</v>
      </c>
      <c r="R5681">
        <v>2.2966080956365502</v>
      </c>
      <c r="S5681">
        <v>6</v>
      </c>
      <c r="T5681">
        <v>53</v>
      </c>
      <c r="U5681">
        <v>390.26416553404601</v>
      </c>
      <c r="V5681">
        <v>1.8668326073428699E-3</v>
      </c>
      <c r="W5681">
        <v>1071250.4318297401</v>
      </c>
      <c r="X5681" t="s">
        <v>38</v>
      </c>
      <c r="Y5681">
        <f>1-551-773-2398</f>
        <v>-3721</v>
      </c>
    </row>
    <row r="5682" spans="1:25" x14ac:dyDescent="0.35">
      <c r="A5682">
        <v>41.811468796356301</v>
      </c>
      <c r="B5682">
        <v>-123.638415285362</v>
      </c>
      <c r="C5682" t="s">
        <v>29</v>
      </c>
      <c r="D5682">
        <v>7.1606090141886103</v>
      </c>
      <c r="E5682">
        <v>9</v>
      </c>
      <c r="F5682">
        <v>4634</v>
      </c>
      <c r="G5682">
        <v>2</v>
      </c>
      <c r="H5682">
        <v>1</v>
      </c>
      <c r="I5682">
        <v>1952</v>
      </c>
      <c r="J5682">
        <v>0</v>
      </c>
      <c r="K5682">
        <v>1</v>
      </c>
      <c r="L5682">
        <v>0</v>
      </c>
      <c r="M5682">
        <v>6</v>
      </c>
      <c r="N5682" t="s">
        <v>41</v>
      </c>
      <c r="O5682" t="s">
        <v>30</v>
      </c>
      <c r="P5682">
        <v>9.4085218979859597</v>
      </c>
      <c r="Q5682">
        <v>1.7661833428851701</v>
      </c>
      <c r="R5682">
        <v>9.9064865612985198</v>
      </c>
      <c r="S5682">
        <v>107</v>
      </c>
      <c r="T5682">
        <v>49</v>
      </c>
      <c r="U5682">
        <v>594.70202368825505</v>
      </c>
      <c r="V5682">
        <v>1.2947777298230401E-3</v>
      </c>
      <c r="W5682">
        <v>2890941.2481130701</v>
      </c>
      <c r="X5682" t="s">
        <v>44</v>
      </c>
      <c r="Y5682">
        <f>1-731-387-2487</f>
        <v>-3604</v>
      </c>
    </row>
    <row r="5683" spans="1:25" x14ac:dyDescent="0.35">
      <c r="A5683">
        <v>41.215394227348</v>
      </c>
      <c r="B5683">
        <v>-121.417139923872</v>
      </c>
      <c r="C5683" t="s">
        <v>29</v>
      </c>
      <c r="D5683">
        <v>36.3767952008848</v>
      </c>
      <c r="E5683">
        <v>0</v>
      </c>
      <c r="F5683">
        <v>2739</v>
      </c>
      <c r="G5683">
        <v>3</v>
      </c>
      <c r="H5683">
        <v>2</v>
      </c>
      <c r="I5683">
        <v>1995</v>
      </c>
      <c r="J5683">
        <v>1</v>
      </c>
      <c r="K5683">
        <v>0</v>
      </c>
      <c r="L5683">
        <v>1</v>
      </c>
      <c r="M5683">
        <v>12</v>
      </c>
      <c r="N5683" t="s">
        <v>26</v>
      </c>
      <c r="O5683" t="s">
        <v>30</v>
      </c>
      <c r="P5683">
        <v>12.9595517011625</v>
      </c>
      <c r="Q5683">
        <v>1.9186825959684899</v>
      </c>
      <c r="R5683">
        <v>7.2650569562629101</v>
      </c>
      <c r="S5683">
        <v>194</v>
      </c>
      <c r="T5683">
        <v>29</v>
      </c>
      <c r="U5683">
        <v>479.80423065459399</v>
      </c>
      <c r="V5683">
        <v>4.3811610076670299E-3</v>
      </c>
      <c r="W5683">
        <v>1625612.42566523</v>
      </c>
      <c r="X5683" t="s">
        <v>38</v>
      </c>
      <c r="Y5683">
        <f>1-677-509-4864</f>
        <v>-6049</v>
      </c>
    </row>
    <row r="5684" spans="1:25" x14ac:dyDescent="0.35">
      <c r="A5684">
        <v>33.8702155681679</v>
      </c>
      <c r="B5684">
        <v>-120.84529217584701</v>
      </c>
      <c r="C5684" t="s">
        <v>25</v>
      </c>
      <c r="D5684">
        <v>44.018569320846403</v>
      </c>
      <c r="E5684">
        <v>3</v>
      </c>
      <c r="F5684">
        <v>3988</v>
      </c>
      <c r="G5684">
        <v>3</v>
      </c>
      <c r="H5684">
        <v>1</v>
      </c>
      <c r="I5684">
        <v>1992</v>
      </c>
      <c r="J5684">
        <v>0</v>
      </c>
      <c r="K5684">
        <v>0</v>
      </c>
      <c r="L5684">
        <v>1</v>
      </c>
      <c r="M5684">
        <v>6</v>
      </c>
      <c r="N5684" t="s">
        <v>35</v>
      </c>
      <c r="O5684" t="s">
        <v>30</v>
      </c>
      <c r="P5684">
        <v>13.841161534528601</v>
      </c>
      <c r="Q5684">
        <v>1.9211919002537901</v>
      </c>
      <c r="R5684">
        <v>9.3660926630322905</v>
      </c>
      <c r="S5684">
        <v>177</v>
      </c>
      <c r="T5684">
        <v>57</v>
      </c>
      <c r="U5684">
        <v>443.99313299908101</v>
      </c>
      <c r="V5684">
        <v>1.5045135406218601E-3</v>
      </c>
      <c r="W5684">
        <v>1979298.38473429</v>
      </c>
      <c r="X5684" t="s">
        <v>38</v>
      </c>
      <c r="Y5684">
        <f>1-823-613-1748</f>
        <v>-3183</v>
      </c>
    </row>
    <row r="5685" spans="1:25" x14ac:dyDescent="0.35">
      <c r="A5685">
        <v>34.913703820268701</v>
      </c>
      <c r="B5685">
        <v>-121.175509024934</v>
      </c>
      <c r="C5685" t="s">
        <v>25</v>
      </c>
      <c r="D5685">
        <v>40.2736980355225</v>
      </c>
      <c r="E5685">
        <v>1</v>
      </c>
      <c r="F5685">
        <v>1987</v>
      </c>
      <c r="G5685">
        <v>5</v>
      </c>
      <c r="H5685">
        <v>3</v>
      </c>
      <c r="I5685">
        <v>2015</v>
      </c>
      <c r="J5685">
        <v>0</v>
      </c>
      <c r="K5685">
        <v>1</v>
      </c>
      <c r="L5685">
        <v>0</v>
      </c>
      <c r="M5685">
        <v>3</v>
      </c>
      <c r="N5685" t="s">
        <v>37</v>
      </c>
      <c r="O5685" t="s">
        <v>30</v>
      </c>
      <c r="P5685">
        <v>11.717068575905399</v>
      </c>
      <c r="Q5685">
        <v>0.69637608495956305</v>
      </c>
      <c r="R5685">
        <v>3.9682872221382102</v>
      </c>
      <c r="S5685">
        <v>196</v>
      </c>
      <c r="T5685">
        <v>62</v>
      </c>
      <c r="U5685">
        <v>599.36321711006701</v>
      </c>
      <c r="V5685">
        <v>1.50981378963261E-3</v>
      </c>
      <c r="W5685">
        <v>1666635.3206758599</v>
      </c>
      <c r="X5685" t="s">
        <v>43</v>
      </c>
      <c r="Y5685">
        <f>1-413-978-9442</f>
        <v>-10832</v>
      </c>
    </row>
    <row r="5686" spans="1:25" x14ac:dyDescent="0.35">
      <c r="A5686">
        <v>38.865266807815097</v>
      </c>
      <c r="B5686">
        <v>-115.716314942521</v>
      </c>
      <c r="C5686" t="s">
        <v>29</v>
      </c>
      <c r="D5686">
        <v>19.297981292543302</v>
      </c>
      <c r="E5686">
        <v>0</v>
      </c>
      <c r="F5686">
        <v>3321</v>
      </c>
      <c r="G5686">
        <v>2</v>
      </c>
      <c r="H5686">
        <v>3</v>
      </c>
      <c r="I5686">
        <v>1984</v>
      </c>
      <c r="J5686">
        <v>0</v>
      </c>
      <c r="K5686">
        <v>0</v>
      </c>
      <c r="L5686">
        <v>1</v>
      </c>
      <c r="M5686">
        <v>3</v>
      </c>
      <c r="N5686" t="s">
        <v>35</v>
      </c>
      <c r="O5686" t="s">
        <v>30</v>
      </c>
      <c r="P5686">
        <v>9.4556280343231496</v>
      </c>
      <c r="Q5686">
        <v>1.65427218043719</v>
      </c>
      <c r="R5686">
        <v>3.39011679603954</v>
      </c>
      <c r="S5686">
        <v>77</v>
      </c>
      <c r="T5686">
        <v>76</v>
      </c>
      <c r="U5686">
        <v>513.412572282572</v>
      </c>
      <c r="V5686">
        <v>9.03342366757E-4</v>
      </c>
      <c r="W5686">
        <v>1888385.0909611799</v>
      </c>
      <c r="X5686" t="s">
        <v>39</v>
      </c>
      <c r="Y5686">
        <f>1-381-970-5149</f>
        <v>-6499</v>
      </c>
    </row>
    <row r="5687" spans="1:25" x14ac:dyDescent="0.35">
      <c r="A5687">
        <v>38.352772422084399</v>
      </c>
      <c r="B5687">
        <v>-122.92734655569301</v>
      </c>
      <c r="C5687" t="s">
        <v>29</v>
      </c>
      <c r="D5687">
        <v>44.283839328066897</v>
      </c>
      <c r="E5687">
        <v>7</v>
      </c>
      <c r="F5687">
        <v>4833</v>
      </c>
      <c r="G5687">
        <v>3</v>
      </c>
      <c r="H5687">
        <v>2</v>
      </c>
      <c r="I5687">
        <v>1961</v>
      </c>
      <c r="J5687">
        <v>1</v>
      </c>
      <c r="K5687">
        <v>0</v>
      </c>
      <c r="L5687">
        <v>0</v>
      </c>
      <c r="M5687">
        <v>11</v>
      </c>
      <c r="N5687" t="s">
        <v>35</v>
      </c>
      <c r="O5687" t="s">
        <v>32</v>
      </c>
      <c r="P5687">
        <v>13.861108837452401</v>
      </c>
      <c r="Q5687">
        <v>0.55203554065390603</v>
      </c>
      <c r="R5687">
        <v>9.4707711260164995</v>
      </c>
      <c r="S5687">
        <v>197</v>
      </c>
      <c r="T5687">
        <v>30</v>
      </c>
      <c r="U5687">
        <v>448.973924444533</v>
      </c>
      <c r="V5687">
        <v>2.2760190357955699E-3</v>
      </c>
      <c r="W5687">
        <v>2382003.3350716699</v>
      </c>
      <c r="X5687" t="s">
        <v>33</v>
      </c>
      <c r="Y5687">
        <f>1-619-662-2108</f>
        <v>-3388</v>
      </c>
    </row>
    <row r="5688" spans="1:25" x14ac:dyDescent="0.35">
      <c r="A5688">
        <v>33.440816959216797</v>
      </c>
      <c r="B5688">
        <v>-117.613205986354</v>
      </c>
      <c r="C5688" t="s">
        <v>25</v>
      </c>
      <c r="D5688">
        <v>24.0761794305926</v>
      </c>
      <c r="E5688">
        <v>9</v>
      </c>
      <c r="F5688">
        <v>1181</v>
      </c>
      <c r="G5688">
        <v>5</v>
      </c>
      <c r="H5688">
        <v>3</v>
      </c>
      <c r="I5688">
        <v>1955</v>
      </c>
      <c r="J5688">
        <v>1</v>
      </c>
      <c r="K5688">
        <v>1</v>
      </c>
      <c r="L5688">
        <v>0</v>
      </c>
      <c r="M5688">
        <v>4</v>
      </c>
      <c r="N5688" t="s">
        <v>37</v>
      </c>
      <c r="O5688" t="s">
        <v>30</v>
      </c>
      <c r="P5688">
        <v>7.2248344284860098</v>
      </c>
      <c r="Q5688">
        <v>0.98377344803736999</v>
      </c>
      <c r="R5688">
        <v>6.6045277972849803</v>
      </c>
      <c r="S5688">
        <v>77</v>
      </c>
      <c r="T5688">
        <v>45</v>
      </c>
      <c r="U5688">
        <v>767.52482249215404</v>
      </c>
      <c r="V5688">
        <v>3.3869602032176099E-3</v>
      </c>
      <c r="W5688">
        <v>1293636.59585583</v>
      </c>
      <c r="X5688" t="s">
        <v>31</v>
      </c>
      <c r="Y5688">
        <f>1-660-166-9577</f>
        <v>-10402</v>
      </c>
    </row>
    <row r="5689" spans="1:25" x14ac:dyDescent="0.35">
      <c r="A5689">
        <v>35.595423821983204</v>
      </c>
      <c r="B5689">
        <v>-123.09697466229601</v>
      </c>
      <c r="C5689" t="s">
        <v>25</v>
      </c>
      <c r="D5689">
        <v>5.7671744456158303</v>
      </c>
      <c r="E5689">
        <v>7</v>
      </c>
      <c r="F5689">
        <v>3581</v>
      </c>
      <c r="G5689">
        <v>2</v>
      </c>
      <c r="H5689">
        <v>2</v>
      </c>
      <c r="I5689">
        <v>2009</v>
      </c>
      <c r="J5689">
        <v>0</v>
      </c>
      <c r="K5689">
        <v>0</v>
      </c>
      <c r="L5689">
        <v>1</v>
      </c>
      <c r="M5689">
        <v>10</v>
      </c>
      <c r="N5689" t="s">
        <v>26</v>
      </c>
      <c r="O5689" t="s">
        <v>27</v>
      </c>
      <c r="P5689">
        <v>5.8336909739326703</v>
      </c>
      <c r="Q5689">
        <v>1.4672872657273599</v>
      </c>
      <c r="R5689">
        <v>8.3134012973985492</v>
      </c>
      <c r="S5689">
        <v>70</v>
      </c>
      <c r="T5689">
        <v>32</v>
      </c>
      <c r="U5689">
        <v>462.18726981981098</v>
      </c>
      <c r="V5689">
        <v>2.7925160569673198E-3</v>
      </c>
      <c r="W5689">
        <v>1810794.6744530799</v>
      </c>
      <c r="X5689" t="s">
        <v>38</v>
      </c>
      <c r="Y5689">
        <f>1-277-358-3287</f>
        <v>-3921</v>
      </c>
    </row>
    <row r="5690" spans="1:25" x14ac:dyDescent="0.35">
      <c r="A5690">
        <v>40.032275597671003</v>
      </c>
      <c r="B5690">
        <v>-117.704688522908</v>
      </c>
      <c r="C5690" t="s">
        <v>25</v>
      </c>
      <c r="D5690">
        <v>32.8430161784852</v>
      </c>
      <c r="E5690">
        <v>4</v>
      </c>
      <c r="F5690">
        <v>615</v>
      </c>
      <c r="G5690">
        <v>4</v>
      </c>
      <c r="H5690">
        <v>3</v>
      </c>
      <c r="I5690">
        <v>1954</v>
      </c>
      <c r="J5690">
        <v>1</v>
      </c>
      <c r="K5690">
        <v>0</v>
      </c>
      <c r="L5690">
        <v>1</v>
      </c>
      <c r="M5690">
        <v>10</v>
      </c>
      <c r="N5690" t="s">
        <v>37</v>
      </c>
      <c r="O5690" t="s">
        <v>30</v>
      </c>
      <c r="P5690">
        <v>2.6605730186477201</v>
      </c>
      <c r="Q5690">
        <v>0.864881572451628</v>
      </c>
      <c r="R5690">
        <v>7.9969791735538003</v>
      </c>
      <c r="S5690">
        <v>83</v>
      </c>
      <c r="T5690">
        <v>39</v>
      </c>
      <c r="U5690">
        <v>919.964580877402</v>
      </c>
      <c r="V5690">
        <v>1.6260162601626001E-2</v>
      </c>
      <c r="W5690">
        <v>836243.23736634105</v>
      </c>
      <c r="X5690" t="s">
        <v>31</v>
      </c>
      <c r="Y5690">
        <f>1-713-172-9186</f>
        <v>-10070</v>
      </c>
    </row>
    <row r="5691" spans="1:25" x14ac:dyDescent="0.35">
      <c r="A5691">
        <v>34.556763231285998</v>
      </c>
      <c r="B5691">
        <v>-114.326622706626</v>
      </c>
      <c r="C5691" t="s">
        <v>25</v>
      </c>
      <c r="D5691">
        <v>2.5159347712458899</v>
      </c>
      <c r="E5691">
        <v>4</v>
      </c>
      <c r="F5691">
        <v>3560</v>
      </c>
      <c r="G5691">
        <v>2</v>
      </c>
      <c r="H5691">
        <v>2</v>
      </c>
      <c r="I5691">
        <v>2005</v>
      </c>
      <c r="J5691">
        <v>1</v>
      </c>
      <c r="K5691">
        <v>1</v>
      </c>
      <c r="L5691">
        <v>0</v>
      </c>
      <c r="M5691">
        <v>5</v>
      </c>
      <c r="N5691" t="s">
        <v>35</v>
      </c>
      <c r="O5691" t="s">
        <v>32</v>
      </c>
      <c r="P5691">
        <v>10.554536557199899</v>
      </c>
      <c r="Q5691">
        <v>2.4955014153868298</v>
      </c>
      <c r="R5691">
        <v>8.4994936640588996</v>
      </c>
      <c r="S5691">
        <v>54</v>
      </c>
      <c r="T5691">
        <v>68</v>
      </c>
      <c r="U5691">
        <v>803.40289170930498</v>
      </c>
      <c r="V5691">
        <v>1.4044943820224699E-3</v>
      </c>
      <c r="W5691">
        <v>3242516.3254556698</v>
      </c>
      <c r="X5691" t="s">
        <v>28</v>
      </c>
      <c r="Y5691">
        <f>1-793-167-2228</f>
        <v>-3187</v>
      </c>
    </row>
    <row r="5692" spans="1:25" x14ac:dyDescent="0.35">
      <c r="A5692">
        <v>33.905459497753498</v>
      </c>
      <c r="B5692">
        <v>-116.12181877257299</v>
      </c>
      <c r="C5692" t="s">
        <v>29</v>
      </c>
      <c r="D5692">
        <v>35.197515572567099</v>
      </c>
      <c r="E5692">
        <v>8</v>
      </c>
      <c r="F5692">
        <v>2563</v>
      </c>
      <c r="G5692">
        <v>2</v>
      </c>
      <c r="H5692">
        <v>2</v>
      </c>
      <c r="I5692">
        <v>1996</v>
      </c>
      <c r="J5692">
        <v>1</v>
      </c>
      <c r="K5692">
        <v>1</v>
      </c>
      <c r="L5692">
        <v>1</v>
      </c>
      <c r="M5692">
        <v>6</v>
      </c>
      <c r="N5692" t="s">
        <v>41</v>
      </c>
      <c r="O5692" t="s">
        <v>32</v>
      </c>
      <c r="P5692">
        <v>13.697728237426</v>
      </c>
      <c r="Q5692">
        <v>2.36405825496698</v>
      </c>
      <c r="R5692">
        <v>4.2487992089422502</v>
      </c>
      <c r="S5692">
        <v>25</v>
      </c>
      <c r="T5692">
        <v>78</v>
      </c>
      <c r="U5692">
        <v>898.01295609102306</v>
      </c>
      <c r="V5692">
        <v>2.3410066328521202E-3</v>
      </c>
      <c r="W5692">
        <v>2720902.9302176102</v>
      </c>
      <c r="X5692" t="s">
        <v>36</v>
      </c>
      <c r="Y5692">
        <f>1-431-995-5539</f>
        <v>-6964</v>
      </c>
    </row>
    <row r="5693" spans="1:25" x14ac:dyDescent="0.35">
      <c r="A5693">
        <v>38.360220845350803</v>
      </c>
      <c r="B5693">
        <v>-117.837701207292</v>
      </c>
      <c r="C5693" t="s">
        <v>34</v>
      </c>
      <c r="D5693">
        <v>12.0038134808044</v>
      </c>
      <c r="E5693">
        <v>5</v>
      </c>
      <c r="F5693">
        <v>3180</v>
      </c>
      <c r="G5693">
        <v>2</v>
      </c>
      <c r="H5693">
        <v>3</v>
      </c>
      <c r="I5693">
        <v>2004</v>
      </c>
      <c r="J5693">
        <v>0</v>
      </c>
      <c r="K5693">
        <v>0</v>
      </c>
      <c r="L5693">
        <v>1</v>
      </c>
      <c r="M5693">
        <v>7</v>
      </c>
      <c r="N5693" t="s">
        <v>35</v>
      </c>
      <c r="O5693" t="s">
        <v>27</v>
      </c>
      <c r="P5693">
        <v>12.9198190057571</v>
      </c>
      <c r="Q5693">
        <v>0.559219915865665</v>
      </c>
      <c r="R5693">
        <v>1.9164122221173101</v>
      </c>
      <c r="S5693">
        <v>167</v>
      </c>
      <c r="T5693">
        <v>56</v>
      </c>
      <c r="U5693">
        <v>673.83917279137802</v>
      </c>
      <c r="V5693">
        <v>2.2012578616352201E-3</v>
      </c>
      <c r="W5693">
        <v>2418297.1202950701</v>
      </c>
      <c r="X5693" t="s">
        <v>44</v>
      </c>
      <c r="Y5693">
        <f>1-978-517-7807</f>
        <v>-9301</v>
      </c>
    </row>
    <row r="5694" spans="1:25" x14ac:dyDescent="0.35">
      <c r="A5694">
        <v>39.556593341179202</v>
      </c>
      <c r="B5694">
        <v>-114.81031455691</v>
      </c>
      <c r="C5694" t="s">
        <v>25</v>
      </c>
      <c r="D5694">
        <v>13.485361789512901</v>
      </c>
      <c r="E5694">
        <v>0</v>
      </c>
      <c r="F5694">
        <v>4874</v>
      </c>
      <c r="G5694">
        <v>3</v>
      </c>
      <c r="H5694">
        <v>1</v>
      </c>
      <c r="I5694">
        <v>1987</v>
      </c>
      <c r="J5694">
        <v>0</v>
      </c>
      <c r="K5694">
        <v>1</v>
      </c>
      <c r="L5694">
        <v>1</v>
      </c>
      <c r="M5694">
        <v>10</v>
      </c>
      <c r="N5694" t="s">
        <v>35</v>
      </c>
      <c r="O5694" t="s">
        <v>30</v>
      </c>
      <c r="P5694">
        <v>4.1388972448133998</v>
      </c>
      <c r="Q5694">
        <v>1.73308929852488</v>
      </c>
      <c r="R5694">
        <v>2.66984856658364</v>
      </c>
      <c r="S5694">
        <v>190</v>
      </c>
      <c r="T5694">
        <v>35</v>
      </c>
      <c r="U5694">
        <v>380.95879924650899</v>
      </c>
      <c r="V5694">
        <v>2.0517029134181301E-3</v>
      </c>
      <c r="W5694">
        <v>2109890.4436216401</v>
      </c>
      <c r="X5694" t="s">
        <v>36</v>
      </c>
      <c r="Y5694">
        <f>1-548-112-9024</f>
        <v>-9683</v>
      </c>
    </row>
    <row r="5695" spans="1:25" x14ac:dyDescent="0.35">
      <c r="A5695">
        <v>40.327828203025099</v>
      </c>
      <c r="B5695">
        <v>-116.538584397349</v>
      </c>
      <c r="C5695" t="s">
        <v>34</v>
      </c>
      <c r="D5695">
        <v>18.903220744895901</v>
      </c>
      <c r="E5695">
        <v>3</v>
      </c>
      <c r="F5695">
        <v>4674</v>
      </c>
      <c r="G5695">
        <v>2</v>
      </c>
      <c r="H5695">
        <v>3</v>
      </c>
      <c r="I5695">
        <v>2016</v>
      </c>
      <c r="J5695">
        <v>1</v>
      </c>
      <c r="K5695">
        <v>0</v>
      </c>
      <c r="L5695">
        <v>0</v>
      </c>
      <c r="M5695">
        <v>9</v>
      </c>
      <c r="N5695" t="s">
        <v>41</v>
      </c>
      <c r="O5695" t="s">
        <v>27</v>
      </c>
      <c r="P5695">
        <v>4.0826429011855803</v>
      </c>
      <c r="Q5695">
        <v>1.5335210696375201</v>
      </c>
      <c r="R5695">
        <v>9.8810737233905606</v>
      </c>
      <c r="S5695">
        <v>194</v>
      </c>
      <c r="T5695">
        <v>51</v>
      </c>
      <c r="U5695">
        <v>614.83942581486997</v>
      </c>
      <c r="V5695">
        <v>1.9255455712451799E-3</v>
      </c>
      <c r="W5695">
        <v>2921180.7191832</v>
      </c>
      <c r="X5695" t="s">
        <v>38</v>
      </c>
      <c r="Y5695">
        <f>1-329-668-4980</f>
        <v>-5976</v>
      </c>
    </row>
    <row r="5696" spans="1:25" x14ac:dyDescent="0.35">
      <c r="A5696">
        <v>40.454704341560699</v>
      </c>
      <c r="B5696">
        <v>-115.632128503667</v>
      </c>
      <c r="C5696" t="s">
        <v>29</v>
      </c>
      <c r="D5696">
        <v>34.686629825765898</v>
      </c>
      <c r="E5696">
        <v>2</v>
      </c>
      <c r="F5696">
        <v>817</v>
      </c>
      <c r="G5696">
        <v>5</v>
      </c>
      <c r="H5696">
        <v>3</v>
      </c>
      <c r="I5696">
        <v>1984</v>
      </c>
      <c r="J5696">
        <v>0</v>
      </c>
      <c r="K5696">
        <v>0</v>
      </c>
      <c r="L5696">
        <v>0</v>
      </c>
      <c r="M5696">
        <v>6</v>
      </c>
      <c r="N5696" t="s">
        <v>35</v>
      </c>
      <c r="O5696" t="s">
        <v>32</v>
      </c>
      <c r="P5696">
        <v>11.1386580034583</v>
      </c>
      <c r="Q5696">
        <v>2.3990037865975</v>
      </c>
      <c r="R5696">
        <v>1.2569352451838001</v>
      </c>
      <c r="S5696">
        <v>46</v>
      </c>
      <c r="T5696">
        <v>31</v>
      </c>
      <c r="U5696">
        <v>511.30750955577201</v>
      </c>
      <c r="V5696">
        <v>7.3439412484700099E-3</v>
      </c>
      <c r="W5696">
        <v>815630.38923469803</v>
      </c>
      <c r="X5696" t="s">
        <v>43</v>
      </c>
      <c r="Y5696">
        <f>1-763-410-2765</f>
        <v>-3937</v>
      </c>
    </row>
    <row r="5697" spans="1:25" x14ac:dyDescent="0.35">
      <c r="A5697">
        <v>38.595271313018102</v>
      </c>
      <c r="B5697">
        <v>-118.83358738287301</v>
      </c>
      <c r="C5697" t="s">
        <v>29</v>
      </c>
      <c r="D5697">
        <v>25.331858907417299</v>
      </c>
      <c r="E5697">
        <v>8</v>
      </c>
      <c r="F5697">
        <v>1569</v>
      </c>
      <c r="G5697">
        <v>1</v>
      </c>
      <c r="H5697">
        <v>1</v>
      </c>
      <c r="I5697">
        <v>1967</v>
      </c>
      <c r="J5697">
        <v>0</v>
      </c>
      <c r="K5697">
        <v>1</v>
      </c>
      <c r="L5697">
        <v>1</v>
      </c>
      <c r="M5697">
        <v>9</v>
      </c>
      <c r="N5697" t="s">
        <v>37</v>
      </c>
      <c r="O5697" t="s">
        <v>32</v>
      </c>
      <c r="P5697">
        <v>5.9818727671147398</v>
      </c>
      <c r="Q5697">
        <v>1.2859798932103099</v>
      </c>
      <c r="R5697">
        <v>3.8540307444095099</v>
      </c>
      <c r="S5697">
        <v>33</v>
      </c>
      <c r="T5697">
        <v>24</v>
      </c>
      <c r="U5697">
        <v>517.22693849237896</v>
      </c>
      <c r="V5697">
        <v>5.7361376673040103E-3</v>
      </c>
      <c r="W5697">
        <v>890640.88511144801</v>
      </c>
      <c r="X5697" t="s">
        <v>36</v>
      </c>
      <c r="Y5697">
        <f>1-937-889-3568</f>
        <v>-5393</v>
      </c>
    </row>
    <row r="5698" spans="1:25" x14ac:dyDescent="0.35">
      <c r="A5698">
        <v>38.826531936240102</v>
      </c>
      <c r="B5698">
        <v>-114.12750050614</v>
      </c>
      <c r="C5698" t="s">
        <v>34</v>
      </c>
      <c r="D5698">
        <v>13.080983813219801</v>
      </c>
      <c r="E5698">
        <v>7</v>
      </c>
      <c r="F5698">
        <v>924</v>
      </c>
      <c r="G5698">
        <v>2</v>
      </c>
      <c r="H5698">
        <v>3</v>
      </c>
      <c r="I5698">
        <v>2000</v>
      </c>
      <c r="J5698">
        <v>1</v>
      </c>
      <c r="K5698">
        <v>0</v>
      </c>
      <c r="L5698">
        <v>1</v>
      </c>
      <c r="M5698">
        <v>4</v>
      </c>
      <c r="N5698" t="s">
        <v>37</v>
      </c>
      <c r="O5698" t="s">
        <v>27</v>
      </c>
      <c r="P5698">
        <v>10.1562162424273</v>
      </c>
      <c r="Q5698">
        <v>0.51514568665202898</v>
      </c>
      <c r="R5698">
        <v>5.6847962377596399</v>
      </c>
      <c r="S5698">
        <v>95</v>
      </c>
      <c r="T5698">
        <v>36</v>
      </c>
      <c r="U5698">
        <v>277.22882046839101</v>
      </c>
      <c r="V5698">
        <v>4.3290043290043203E-3</v>
      </c>
      <c r="W5698">
        <v>582905.28509610204</v>
      </c>
      <c r="X5698" t="s">
        <v>36</v>
      </c>
      <c r="Y5698">
        <f>1-665-158-8671</f>
        <v>-9493</v>
      </c>
    </row>
    <row r="5699" spans="1:25" x14ac:dyDescent="0.35">
      <c r="A5699">
        <v>34.385801195083801</v>
      </c>
      <c r="B5699">
        <v>-122.16973668771701</v>
      </c>
      <c r="C5699" t="s">
        <v>25</v>
      </c>
      <c r="D5699">
        <v>28.839768452240602</v>
      </c>
      <c r="E5699">
        <v>5</v>
      </c>
      <c r="F5699">
        <v>3158</v>
      </c>
      <c r="G5699">
        <v>1</v>
      </c>
      <c r="H5699">
        <v>1</v>
      </c>
      <c r="I5699">
        <v>1973</v>
      </c>
      <c r="J5699">
        <v>0</v>
      </c>
      <c r="K5699">
        <v>1</v>
      </c>
      <c r="L5699">
        <v>1</v>
      </c>
      <c r="M5699">
        <v>4</v>
      </c>
      <c r="N5699" t="s">
        <v>37</v>
      </c>
      <c r="O5699" t="s">
        <v>30</v>
      </c>
      <c r="P5699">
        <v>4.9429433856485803</v>
      </c>
      <c r="Q5699">
        <v>0.57231168485263895</v>
      </c>
      <c r="R5699">
        <v>5.1556002035146999</v>
      </c>
      <c r="S5699">
        <v>168</v>
      </c>
      <c r="T5699">
        <v>30</v>
      </c>
      <c r="U5699">
        <v>446.76027098668999</v>
      </c>
      <c r="V5699">
        <v>1.2666244458518E-3</v>
      </c>
      <c r="W5699">
        <v>1620875.5077764301</v>
      </c>
      <c r="X5699" t="s">
        <v>43</v>
      </c>
      <c r="Y5699">
        <f>1-354-873-4649</f>
        <v>-5875</v>
      </c>
    </row>
    <row r="5700" spans="1:25" x14ac:dyDescent="0.35">
      <c r="A5700">
        <v>33.995861334279503</v>
      </c>
      <c r="B5700">
        <v>-117.929762507484</v>
      </c>
      <c r="C5700" t="s">
        <v>29</v>
      </c>
      <c r="D5700">
        <v>40.697795938692501</v>
      </c>
      <c r="E5700">
        <v>6</v>
      </c>
      <c r="F5700">
        <v>2706</v>
      </c>
      <c r="G5700">
        <v>3</v>
      </c>
      <c r="H5700">
        <v>2</v>
      </c>
      <c r="I5700">
        <v>2019</v>
      </c>
      <c r="J5700">
        <v>1</v>
      </c>
      <c r="K5700">
        <v>0</v>
      </c>
      <c r="L5700">
        <v>1</v>
      </c>
      <c r="M5700">
        <v>12</v>
      </c>
      <c r="N5700" t="s">
        <v>37</v>
      </c>
      <c r="O5700" t="s">
        <v>32</v>
      </c>
      <c r="P5700">
        <v>9.5270916272345207</v>
      </c>
      <c r="Q5700">
        <v>1.02762270665766</v>
      </c>
      <c r="R5700">
        <v>4.71348330405774</v>
      </c>
      <c r="S5700">
        <v>62</v>
      </c>
      <c r="T5700">
        <v>29</v>
      </c>
      <c r="U5700">
        <v>698.78792953962397</v>
      </c>
      <c r="V5700">
        <v>4.4345898004434503E-3</v>
      </c>
      <c r="W5700">
        <v>2217074.2261489802</v>
      </c>
      <c r="X5700" t="s">
        <v>28</v>
      </c>
      <c r="Y5700">
        <f>1-307-577-8183</f>
        <v>-9066</v>
      </c>
    </row>
    <row r="5701" spans="1:25" x14ac:dyDescent="0.35">
      <c r="A5701">
        <v>34.372870585609697</v>
      </c>
      <c r="B5701">
        <v>-122.091147160098</v>
      </c>
      <c r="C5701" t="s">
        <v>34</v>
      </c>
      <c r="D5701">
        <v>26.400236282295001</v>
      </c>
      <c r="E5701">
        <v>6</v>
      </c>
      <c r="F5701">
        <v>633</v>
      </c>
      <c r="G5701">
        <v>5</v>
      </c>
      <c r="H5701">
        <v>3</v>
      </c>
      <c r="I5701">
        <v>2010</v>
      </c>
      <c r="J5701">
        <v>0</v>
      </c>
      <c r="K5701">
        <v>0</v>
      </c>
      <c r="L5701">
        <v>1</v>
      </c>
      <c r="M5701">
        <v>12</v>
      </c>
      <c r="N5701" t="s">
        <v>37</v>
      </c>
      <c r="O5701" t="s">
        <v>27</v>
      </c>
      <c r="P5701">
        <v>9.1858673009138307</v>
      </c>
      <c r="Q5701">
        <v>2.0773341911094398</v>
      </c>
      <c r="R5701">
        <v>5.3742592431890497</v>
      </c>
      <c r="S5701">
        <v>117</v>
      </c>
      <c r="T5701">
        <v>76</v>
      </c>
      <c r="U5701">
        <v>531.663424479951</v>
      </c>
      <c r="V5701">
        <v>1.8957345971563899E-2</v>
      </c>
      <c r="W5701">
        <v>676764.97810473305</v>
      </c>
      <c r="X5701" t="s">
        <v>40</v>
      </c>
      <c r="Y5701">
        <f>1-603-158-4634</f>
        <v>-5394</v>
      </c>
    </row>
    <row r="5702" spans="1:25" x14ac:dyDescent="0.35">
      <c r="A5702">
        <v>38.517563271824898</v>
      </c>
      <c r="B5702">
        <v>-122.052678248097</v>
      </c>
      <c r="C5702" t="s">
        <v>34</v>
      </c>
      <c r="D5702">
        <v>26.6077283583124</v>
      </c>
      <c r="E5702">
        <v>0</v>
      </c>
      <c r="F5702">
        <v>2405</v>
      </c>
      <c r="G5702">
        <v>4</v>
      </c>
      <c r="H5702">
        <v>2</v>
      </c>
      <c r="I5702">
        <v>1969</v>
      </c>
      <c r="J5702">
        <v>1</v>
      </c>
      <c r="K5702">
        <v>1</v>
      </c>
      <c r="L5702">
        <v>1</v>
      </c>
      <c r="M5702">
        <v>12</v>
      </c>
      <c r="N5702" t="s">
        <v>35</v>
      </c>
      <c r="O5702" t="s">
        <v>30</v>
      </c>
      <c r="P5702">
        <v>10.904092555206001</v>
      </c>
      <c r="Q5702">
        <v>2.2238286721236298</v>
      </c>
      <c r="R5702">
        <v>0.69525933884754798</v>
      </c>
      <c r="S5702">
        <v>149</v>
      </c>
      <c r="T5702">
        <v>67</v>
      </c>
      <c r="U5702">
        <v>549.72188345600296</v>
      </c>
      <c r="V5702">
        <v>4.9896049896049899E-3</v>
      </c>
      <c r="W5702">
        <v>1796502.8095293799</v>
      </c>
      <c r="X5702" t="s">
        <v>33</v>
      </c>
      <c r="Y5702">
        <f>1-540-292-3399</f>
        <v>-4230</v>
      </c>
    </row>
    <row r="5703" spans="1:25" x14ac:dyDescent="0.35">
      <c r="A5703">
        <v>38.861391006277401</v>
      </c>
      <c r="B5703">
        <v>-117.56853390278199</v>
      </c>
      <c r="C5703" t="s">
        <v>34</v>
      </c>
      <c r="D5703">
        <v>4.7070985218927301</v>
      </c>
      <c r="E5703">
        <v>5</v>
      </c>
      <c r="F5703">
        <v>3395</v>
      </c>
      <c r="G5703">
        <v>4</v>
      </c>
      <c r="H5703">
        <v>3</v>
      </c>
      <c r="I5703">
        <v>2011</v>
      </c>
      <c r="J5703">
        <v>0</v>
      </c>
      <c r="K5703">
        <v>0</v>
      </c>
      <c r="L5703">
        <v>0</v>
      </c>
      <c r="M5703">
        <v>9</v>
      </c>
      <c r="N5703" t="s">
        <v>41</v>
      </c>
      <c r="O5703" t="s">
        <v>27</v>
      </c>
      <c r="P5703">
        <v>3.3907162536049502</v>
      </c>
      <c r="Q5703">
        <v>1.77097595255276</v>
      </c>
      <c r="R5703">
        <v>3.2573275446153298</v>
      </c>
      <c r="S5703">
        <v>175</v>
      </c>
      <c r="T5703">
        <v>71</v>
      </c>
      <c r="U5703">
        <v>239.85612127887299</v>
      </c>
      <c r="V5703">
        <v>2.6509572901325402E-3</v>
      </c>
      <c r="W5703">
        <v>922677.490371992</v>
      </c>
      <c r="X5703" t="s">
        <v>39</v>
      </c>
      <c r="Y5703">
        <f>1-626-137-5451</f>
        <v>-6213</v>
      </c>
    </row>
    <row r="5704" spans="1:25" x14ac:dyDescent="0.35">
      <c r="A5704">
        <v>35.547934816050997</v>
      </c>
      <c r="B5704">
        <v>-118.4868502234</v>
      </c>
      <c r="C5704" t="s">
        <v>25</v>
      </c>
      <c r="D5704">
        <v>34.297775290867698</v>
      </c>
      <c r="E5704">
        <v>2</v>
      </c>
      <c r="F5704">
        <v>3483</v>
      </c>
      <c r="G5704">
        <v>3</v>
      </c>
      <c r="H5704">
        <v>3</v>
      </c>
      <c r="I5704">
        <v>2003</v>
      </c>
      <c r="J5704">
        <v>1</v>
      </c>
      <c r="K5704">
        <v>1</v>
      </c>
      <c r="L5704">
        <v>0</v>
      </c>
      <c r="M5704">
        <v>2</v>
      </c>
      <c r="N5704" t="s">
        <v>37</v>
      </c>
      <c r="O5704" t="s">
        <v>30</v>
      </c>
      <c r="P5704">
        <v>12.4059807293351</v>
      </c>
      <c r="Q5704">
        <v>2.4723732511674599</v>
      </c>
      <c r="R5704">
        <v>9.8444037314052704</v>
      </c>
      <c r="S5704">
        <v>158</v>
      </c>
      <c r="T5704">
        <v>35</v>
      </c>
      <c r="U5704">
        <v>239.37525151686199</v>
      </c>
      <c r="V5704">
        <v>5.7421762848119398E-4</v>
      </c>
      <c r="W5704">
        <v>1275113.0579033999</v>
      </c>
      <c r="X5704" t="s">
        <v>31</v>
      </c>
      <c r="Y5704">
        <f>1-503-623-3765</f>
        <v>-4890</v>
      </c>
    </row>
    <row r="5705" spans="1:25" x14ac:dyDescent="0.35">
      <c r="A5705">
        <v>36.645283757365398</v>
      </c>
      <c r="B5705">
        <v>-117.450732710941</v>
      </c>
      <c r="C5705" t="s">
        <v>29</v>
      </c>
      <c r="D5705">
        <v>26.934511491137499</v>
      </c>
      <c r="E5705">
        <v>0</v>
      </c>
      <c r="F5705">
        <v>2112</v>
      </c>
      <c r="G5705">
        <v>4</v>
      </c>
      <c r="H5705">
        <v>3</v>
      </c>
      <c r="I5705">
        <v>1962</v>
      </c>
      <c r="J5705">
        <v>1</v>
      </c>
      <c r="K5705">
        <v>0</v>
      </c>
      <c r="L5705">
        <v>0</v>
      </c>
      <c r="M5705">
        <v>12</v>
      </c>
      <c r="N5705" t="s">
        <v>35</v>
      </c>
      <c r="O5705" t="s">
        <v>30</v>
      </c>
      <c r="P5705">
        <v>4.2887985759950702</v>
      </c>
      <c r="Q5705">
        <v>1.00103423379162</v>
      </c>
      <c r="R5705">
        <v>0.82314506094914397</v>
      </c>
      <c r="S5705">
        <v>139</v>
      </c>
      <c r="T5705">
        <v>67</v>
      </c>
      <c r="U5705">
        <v>202.21703699454</v>
      </c>
      <c r="V5705">
        <v>5.6818181818181802E-3</v>
      </c>
      <c r="W5705">
        <v>676944.69954996603</v>
      </c>
      <c r="X5705" t="s">
        <v>28</v>
      </c>
      <c r="Y5705">
        <f>1-688-554-9864</f>
        <v>-11105</v>
      </c>
    </row>
    <row r="5706" spans="1:25" x14ac:dyDescent="0.35">
      <c r="A5706">
        <v>37.7231027328178</v>
      </c>
      <c r="B5706">
        <v>-114.959430482233</v>
      </c>
      <c r="C5706" t="s">
        <v>29</v>
      </c>
      <c r="D5706">
        <v>45.592697085855399</v>
      </c>
      <c r="E5706">
        <v>3</v>
      </c>
      <c r="F5706">
        <v>4697</v>
      </c>
      <c r="G5706">
        <v>4</v>
      </c>
      <c r="H5706">
        <v>2</v>
      </c>
      <c r="I5706">
        <v>1978</v>
      </c>
      <c r="J5706">
        <v>0</v>
      </c>
      <c r="K5706">
        <v>1</v>
      </c>
      <c r="L5706">
        <v>1</v>
      </c>
      <c r="M5706">
        <v>6</v>
      </c>
      <c r="N5706" t="s">
        <v>37</v>
      </c>
      <c r="O5706" t="s">
        <v>30</v>
      </c>
      <c r="P5706">
        <v>4.6423936457766004</v>
      </c>
      <c r="Q5706">
        <v>2.0980276153360302</v>
      </c>
      <c r="R5706">
        <v>3.3436663580262298</v>
      </c>
      <c r="S5706">
        <v>32</v>
      </c>
      <c r="T5706">
        <v>64</v>
      </c>
      <c r="U5706">
        <v>267.294121095604</v>
      </c>
      <c r="V5706">
        <v>1.2774111134766801E-3</v>
      </c>
      <c r="W5706">
        <v>1589661.85944159</v>
      </c>
      <c r="X5706" t="s">
        <v>40</v>
      </c>
      <c r="Y5706">
        <f>1-325-132-4211</f>
        <v>-4667</v>
      </c>
    </row>
    <row r="5707" spans="1:25" x14ac:dyDescent="0.35">
      <c r="A5707">
        <v>41.057569576773602</v>
      </c>
      <c r="B5707">
        <v>-119.84640601580401</v>
      </c>
      <c r="C5707" t="s">
        <v>25</v>
      </c>
      <c r="D5707">
        <v>46.296558472595699</v>
      </c>
      <c r="E5707">
        <v>5</v>
      </c>
      <c r="F5707">
        <v>2722</v>
      </c>
      <c r="G5707">
        <v>1</v>
      </c>
      <c r="H5707">
        <v>2</v>
      </c>
      <c r="I5707">
        <v>1963</v>
      </c>
      <c r="J5707">
        <v>1</v>
      </c>
      <c r="K5707">
        <v>1</v>
      </c>
      <c r="L5707">
        <v>1</v>
      </c>
      <c r="M5707">
        <v>12</v>
      </c>
      <c r="N5707" t="s">
        <v>26</v>
      </c>
      <c r="O5707" t="s">
        <v>32</v>
      </c>
      <c r="P5707">
        <v>2.6835996509102702</v>
      </c>
      <c r="Q5707">
        <v>2.00747615766242</v>
      </c>
      <c r="R5707">
        <v>4.1737404940576797</v>
      </c>
      <c r="S5707">
        <v>129</v>
      </c>
      <c r="T5707">
        <v>32</v>
      </c>
      <c r="U5707">
        <v>864.85667133465699</v>
      </c>
      <c r="V5707">
        <v>4.40852314474651E-3</v>
      </c>
      <c r="W5707">
        <v>2486362.4562298101</v>
      </c>
      <c r="X5707" t="s">
        <v>28</v>
      </c>
      <c r="Y5707">
        <f>1-492-232-8641</f>
        <v>-9364</v>
      </c>
    </row>
    <row r="5708" spans="1:25" x14ac:dyDescent="0.35">
      <c r="A5708">
        <v>37.575622749432299</v>
      </c>
      <c r="B5708">
        <v>-124.36695608260101</v>
      </c>
      <c r="C5708" t="s">
        <v>25</v>
      </c>
      <c r="D5708">
        <v>30.542134568004698</v>
      </c>
      <c r="E5708">
        <v>5</v>
      </c>
      <c r="F5708">
        <v>3024</v>
      </c>
      <c r="G5708">
        <v>2</v>
      </c>
      <c r="H5708">
        <v>3</v>
      </c>
      <c r="I5708">
        <v>1952</v>
      </c>
      <c r="J5708">
        <v>1</v>
      </c>
      <c r="K5708">
        <v>1</v>
      </c>
      <c r="L5708">
        <v>0</v>
      </c>
      <c r="M5708">
        <v>12</v>
      </c>
      <c r="N5708" t="s">
        <v>35</v>
      </c>
      <c r="O5708" t="s">
        <v>30</v>
      </c>
      <c r="P5708">
        <v>4.4684317408256398</v>
      </c>
      <c r="Q5708">
        <v>1.5317558411851</v>
      </c>
      <c r="R5708">
        <v>7.93665216279435</v>
      </c>
      <c r="S5708">
        <v>124</v>
      </c>
      <c r="T5708">
        <v>75</v>
      </c>
      <c r="U5708">
        <v>746.77312213880998</v>
      </c>
      <c r="V5708">
        <v>3.9682539682539602E-3</v>
      </c>
      <c r="W5708">
        <v>2451433.1357574002</v>
      </c>
      <c r="X5708" t="s">
        <v>36</v>
      </c>
      <c r="Y5708">
        <f>1-747-142-7377</f>
        <v>-8265</v>
      </c>
    </row>
    <row r="5709" spans="1:25" x14ac:dyDescent="0.35">
      <c r="A5709">
        <v>39.727692222777797</v>
      </c>
      <c r="B5709">
        <v>-119.07275277234</v>
      </c>
      <c r="C5709" t="s">
        <v>34</v>
      </c>
      <c r="D5709">
        <v>15.6362491863862</v>
      </c>
      <c r="E5709">
        <v>6</v>
      </c>
      <c r="F5709">
        <v>4205</v>
      </c>
      <c r="G5709">
        <v>1</v>
      </c>
      <c r="H5709">
        <v>3</v>
      </c>
      <c r="I5709">
        <v>1963</v>
      </c>
      <c r="J5709">
        <v>0</v>
      </c>
      <c r="K5709">
        <v>1</v>
      </c>
      <c r="L5709">
        <v>1</v>
      </c>
      <c r="M5709">
        <v>14</v>
      </c>
      <c r="N5709" t="s">
        <v>35</v>
      </c>
      <c r="O5709" t="s">
        <v>27</v>
      </c>
      <c r="P5709">
        <v>4.3128396756132696</v>
      </c>
      <c r="Q5709">
        <v>2.3605621969936799</v>
      </c>
      <c r="R5709">
        <v>3.39224544186925</v>
      </c>
      <c r="S5709">
        <v>61</v>
      </c>
      <c r="T5709">
        <v>74</v>
      </c>
      <c r="U5709">
        <v>624.92089141545296</v>
      </c>
      <c r="V5709">
        <v>3.3293697978596902E-3</v>
      </c>
      <c r="W5709">
        <v>2844535.1519630901</v>
      </c>
      <c r="X5709" t="s">
        <v>28</v>
      </c>
      <c r="Y5709">
        <f>1-501-588-2033</f>
        <v>-3121</v>
      </c>
    </row>
    <row r="5710" spans="1:25" x14ac:dyDescent="0.35">
      <c r="A5710">
        <v>32.9776122920318</v>
      </c>
      <c r="B5710">
        <v>-115.375816945954</v>
      </c>
      <c r="C5710" t="s">
        <v>25</v>
      </c>
      <c r="D5710">
        <v>38.528580664498698</v>
      </c>
      <c r="E5710">
        <v>4</v>
      </c>
      <c r="F5710">
        <v>1408</v>
      </c>
      <c r="G5710">
        <v>4</v>
      </c>
      <c r="H5710">
        <v>1</v>
      </c>
      <c r="I5710">
        <v>2001</v>
      </c>
      <c r="J5710">
        <v>0</v>
      </c>
      <c r="K5710">
        <v>1</v>
      </c>
      <c r="L5710">
        <v>0</v>
      </c>
      <c r="M5710">
        <v>11</v>
      </c>
      <c r="N5710" t="s">
        <v>41</v>
      </c>
      <c r="O5710" t="s">
        <v>32</v>
      </c>
      <c r="P5710">
        <v>11.761258011655199</v>
      </c>
      <c r="Q5710">
        <v>0.78124251005368395</v>
      </c>
      <c r="R5710">
        <v>2.2841927961443301E-2</v>
      </c>
      <c r="S5710">
        <v>26</v>
      </c>
      <c r="T5710">
        <v>33</v>
      </c>
      <c r="U5710">
        <v>383.01973238233001</v>
      </c>
      <c r="V5710">
        <v>7.8125E-3</v>
      </c>
      <c r="W5710">
        <v>927047.85945215297</v>
      </c>
      <c r="X5710" t="s">
        <v>42</v>
      </c>
      <c r="Y5710">
        <f>1-938-687-8266</f>
        <v>-9890</v>
      </c>
    </row>
    <row r="5711" spans="1:25" x14ac:dyDescent="0.35">
      <c r="A5711">
        <v>33.553380541990201</v>
      </c>
      <c r="B5711">
        <v>-120.610603415288</v>
      </c>
      <c r="C5711" t="s">
        <v>25</v>
      </c>
      <c r="D5711">
        <v>45.361851253090897</v>
      </c>
      <c r="E5711">
        <v>2</v>
      </c>
      <c r="F5711">
        <v>4998</v>
      </c>
      <c r="G5711">
        <v>3</v>
      </c>
      <c r="H5711">
        <v>3</v>
      </c>
      <c r="I5711">
        <v>1984</v>
      </c>
      <c r="J5711">
        <v>1</v>
      </c>
      <c r="K5711">
        <v>0</v>
      </c>
      <c r="L5711">
        <v>0</v>
      </c>
      <c r="M5711">
        <v>3</v>
      </c>
      <c r="N5711" t="s">
        <v>26</v>
      </c>
      <c r="O5711" t="s">
        <v>27</v>
      </c>
      <c r="P5711">
        <v>3.71755560981528</v>
      </c>
      <c r="Q5711">
        <v>0.69478981441439802</v>
      </c>
      <c r="R5711">
        <v>1.0339960574195199</v>
      </c>
      <c r="S5711">
        <v>61</v>
      </c>
      <c r="T5711">
        <v>51</v>
      </c>
      <c r="U5711">
        <v>523.83482621426197</v>
      </c>
      <c r="V5711">
        <v>6.00240096038415E-4</v>
      </c>
      <c r="W5711">
        <v>2739126.1428830102</v>
      </c>
      <c r="X5711" t="s">
        <v>31</v>
      </c>
      <c r="Y5711">
        <f>1-236-708-3834</f>
        <v>-4777</v>
      </c>
    </row>
    <row r="5712" spans="1:25" x14ac:dyDescent="0.35">
      <c r="A5712">
        <v>34.113152060359504</v>
      </c>
      <c r="B5712">
        <v>-121.968183973007</v>
      </c>
      <c r="C5712" t="s">
        <v>25</v>
      </c>
      <c r="D5712">
        <v>42.218721427351198</v>
      </c>
      <c r="E5712">
        <v>8</v>
      </c>
      <c r="F5712">
        <v>4331</v>
      </c>
      <c r="G5712">
        <v>2</v>
      </c>
      <c r="H5712">
        <v>1</v>
      </c>
      <c r="I5712">
        <v>1981</v>
      </c>
      <c r="J5712">
        <v>0</v>
      </c>
      <c r="K5712">
        <v>0</v>
      </c>
      <c r="L5712">
        <v>1</v>
      </c>
      <c r="M5712">
        <v>3</v>
      </c>
      <c r="N5712" t="s">
        <v>35</v>
      </c>
      <c r="O5712" t="s">
        <v>30</v>
      </c>
      <c r="P5712">
        <v>2.2313561493716101</v>
      </c>
      <c r="Q5712">
        <v>2.1734065794842801</v>
      </c>
      <c r="R5712">
        <v>2.9382938267552898</v>
      </c>
      <c r="S5712">
        <v>113</v>
      </c>
      <c r="T5712">
        <v>56</v>
      </c>
      <c r="U5712">
        <v>466.75266088705803</v>
      </c>
      <c r="V5712">
        <v>6.9268067420918901E-4</v>
      </c>
      <c r="W5712">
        <v>2064565.86797096</v>
      </c>
      <c r="X5712" t="s">
        <v>33</v>
      </c>
      <c r="Y5712">
        <f>1-333-966-4681</f>
        <v>-5979</v>
      </c>
    </row>
    <row r="5713" spans="1:25" x14ac:dyDescent="0.35">
      <c r="A5713">
        <v>39.487117886389903</v>
      </c>
      <c r="B5713">
        <v>-120.02316378402</v>
      </c>
      <c r="C5713" t="s">
        <v>25</v>
      </c>
      <c r="D5713">
        <v>4.2452280679217198</v>
      </c>
      <c r="E5713">
        <v>4</v>
      </c>
      <c r="F5713">
        <v>1883</v>
      </c>
      <c r="G5713">
        <v>3</v>
      </c>
      <c r="H5713">
        <v>3</v>
      </c>
      <c r="I5713">
        <v>1964</v>
      </c>
      <c r="J5713">
        <v>1</v>
      </c>
      <c r="K5713">
        <v>1</v>
      </c>
      <c r="L5713">
        <v>1</v>
      </c>
      <c r="M5713">
        <v>9</v>
      </c>
      <c r="N5713" t="s">
        <v>26</v>
      </c>
      <c r="O5713" t="s">
        <v>32</v>
      </c>
      <c r="P5713">
        <v>5.3089507587728697</v>
      </c>
      <c r="Q5713">
        <v>2.2142631259052399</v>
      </c>
      <c r="R5713">
        <v>5.0209713274425196</v>
      </c>
      <c r="S5713">
        <v>140</v>
      </c>
      <c r="T5713">
        <v>39</v>
      </c>
      <c r="U5713">
        <v>872.94942727945704</v>
      </c>
      <c r="V5713">
        <v>4.7796070100902801E-3</v>
      </c>
      <c r="W5713">
        <v>1987900.5530012299</v>
      </c>
      <c r="X5713" t="s">
        <v>40</v>
      </c>
      <c r="Y5713">
        <f>1-861-221-4000</f>
        <v>-5081</v>
      </c>
    </row>
    <row r="5714" spans="1:25" x14ac:dyDescent="0.35">
      <c r="A5714">
        <v>37.152241157008802</v>
      </c>
      <c r="B5714">
        <v>-123.908250553291</v>
      </c>
      <c r="C5714" t="s">
        <v>25</v>
      </c>
      <c r="D5714">
        <v>46.103366401302303</v>
      </c>
      <c r="E5714">
        <v>6</v>
      </c>
      <c r="F5714">
        <v>2189</v>
      </c>
      <c r="G5714">
        <v>5</v>
      </c>
      <c r="H5714">
        <v>1</v>
      </c>
      <c r="I5714">
        <v>1984</v>
      </c>
      <c r="J5714">
        <v>1</v>
      </c>
      <c r="K5714">
        <v>1</v>
      </c>
      <c r="L5714">
        <v>0</v>
      </c>
      <c r="M5714">
        <v>13</v>
      </c>
      <c r="N5714" t="s">
        <v>35</v>
      </c>
      <c r="O5714" t="s">
        <v>27</v>
      </c>
      <c r="P5714">
        <v>14.6797952888559</v>
      </c>
      <c r="Q5714">
        <v>1.44592366121242</v>
      </c>
      <c r="R5714">
        <v>6.08992363346725</v>
      </c>
      <c r="S5714">
        <v>144</v>
      </c>
      <c r="T5714">
        <v>43</v>
      </c>
      <c r="U5714">
        <v>359.452279475355</v>
      </c>
      <c r="V5714">
        <v>5.9387848332571897E-3</v>
      </c>
      <c r="W5714">
        <v>1291768.54119591</v>
      </c>
      <c r="X5714" t="s">
        <v>33</v>
      </c>
      <c r="Y5714">
        <f>1-884-133-2355</f>
        <v>-3371</v>
      </c>
    </row>
    <row r="5715" spans="1:25" x14ac:dyDescent="0.35">
      <c r="A5715">
        <v>38.4264152513718</v>
      </c>
      <c r="B5715">
        <v>-122.508857964426</v>
      </c>
      <c r="C5715" t="s">
        <v>25</v>
      </c>
      <c r="D5715">
        <v>19.6443876512229</v>
      </c>
      <c r="E5715">
        <v>5</v>
      </c>
      <c r="F5715">
        <v>3590</v>
      </c>
      <c r="G5715">
        <v>2</v>
      </c>
      <c r="H5715">
        <v>2</v>
      </c>
      <c r="I5715">
        <v>1987</v>
      </c>
      <c r="J5715">
        <v>0</v>
      </c>
      <c r="K5715">
        <v>1</v>
      </c>
      <c r="L5715">
        <v>0</v>
      </c>
      <c r="M5715">
        <v>13</v>
      </c>
      <c r="N5715" t="s">
        <v>37</v>
      </c>
      <c r="O5715" t="s">
        <v>32</v>
      </c>
      <c r="P5715">
        <v>6.4090508804166797</v>
      </c>
      <c r="Q5715">
        <v>1.28782502133308</v>
      </c>
      <c r="R5715">
        <v>1.3858774428516001</v>
      </c>
      <c r="S5715">
        <v>158</v>
      </c>
      <c r="T5715">
        <v>43</v>
      </c>
      <c r="U5715">
        <v>637.210558933882</v>
      </c>
      <c r="V5715">
        <v>3.6211699164345398E-3</v>
      </c>
      <c r="W5715">
        <v>2538175.4521373399</v>
      </c>
      <c r="X5715" t="s">
        <v>33</v>
      </c>
      <c r="Y5715">
        <f>1-928-224-8146</f>
        <v>-9297</v>
      </c>
    </row>
    <row r="5716" spans="1:25" x14ac:dyDescent="0.35">
      <c r="A5716">
        <v>36.784363200139701</v>
      </c>
      <c r="B5716">
        <v>-117.229204838239</v>
      </c>
      <c r="C5716" t="s">
        <v>34</v>
      </c>
      <c r="D5716">
        <v>43.496585164899003</v>
      </c>
      <c r="E5716">
        <v>9</v>
      </c>
      <c r="F5716">
        <v>3762</v>
      </c>
      <c r="G5716">
        <v>4</v>
      </c>
      <c r="H5716">
        <v>3</v>
      </c>
      <c r="I5716">
        <v>1992</v>
      </c>
      <c r="J5716">
        <v>1</v>
      </c>
      <c r="K5716">
        <v>1</v>
      </c>
      <c r="L5716">
        <v>1</v>
      </c>
      <c r="M5716">
        <v>10</v>
      </c>
      <c r="N5716" t="s">
        <v>41</v>
      </c>
      <c r="O5716" t="s">
        <v>30</v>
      </c>
      <c r="P5716">
        <v>13.0557056269323</v>
      </c>
      <c r="Q5716">
        <v>2.3194093140851799</v>
      </c>
      <c r="R5716">
        <v>2.8188764984889598</v>
      </c>
      <c r="S5716">
        <v>16</v>
      </c>
      <c r="T5716">
        <v>71</v>
      </c>
      <c r="U5716">
        <v>940.00341701880802</v>
      </c>
      <c r="V5716">
        <v>2.6581605528973899E-3</v>
      </c>
      <c r="W5716">
        <v>4086496.51251673</v>
      </c>
      <c r="X5716" t="s">
        <v>31</v>
      </c>
      <c r="Y5716">
        <f>1-586-931-8038</f>
        <v>-9554</v>
      </c>
    </row>
    <row r="5717" spans="1:25" x14ac:dyDescent="0.35">
      <c r="A5717">
        <v>37.678098726810397</v>
      </c>
      <c r="B5717">
        <v>-116.663236878085</v>
      </c>
      <c r="C5717" t="s">
        <v>34</v>
      </c>
      <c r="D5717">
        <v>49.612528245618002</v>
      </c>
      <c r="E5717">
        <v>9</v>
      </c>
      <c r="F5717">
        <v>4824</v>
      </c>
      <c r="G5717">
        <v>3</v>
      </c>
      <c r="H5717">
        <v>3</v>
      </c>
      <c r="I5717">
        <v>1954</v>
      </c>
      <c r="J5717">
        <v>1</v>
      </c>
      <c r="K5717">
        <v>0</v>
      </c>
      <c r="L5717">
        <v>0</v>
      </c>
      <c r="M5717">
        <v>7</v>
      </c>
      <c r="N5717" t="s">
        <v>37</v>
      </c>
      <c r="O5717" t="s">
        <v>27</v>
      </c>
      <c r="P5717">
        <v>13.729858590749</v>
      </c>
      <c r="Q5717">
        <v>2.3951226957673701</v>
      </c>
      <c r="R5717">
        <v>8.8977496910749494</v>
      </c>
      <c r="S5717">
        <v>43</v>
      </c>
      <c r="T5717">
        <v>42</v>
      </c>
      <c r="U5717">
        <v>445.77848499049497</v>
      </c>
      <c r="V5717">
        <v>1.45107794361525E-3</v>
      </c>
      <c r="W5717">
        <v>2414859.19453994</v>
      </c>
      <c r="X5717" t="s">
        <v>38</v>
      </c>
      <c r="Y5717">
        <f>1-348-866-2944</f>
        <v>-4157</v>
      </c>
    </row>
    <row r="5718" spans="1:25" x14ac:dyDescent="0.35">
      <c r="A5718">
        <v>38.355025869428196</v>
      </c>
      <c r="B5718">
        <v>-121.09922358899099</v>
      </c>
      <c r="C5718" t="s">
        <v>34</v>
      </c>
      <c r="D5718">
        <v>47.877611005662402</v>
      </c>
      <c r="E5718">
        <v>6</v>
      </c>
      <c r="F5718">
        <v>4209</v>
      </c>
      <c r="G5718">
        <v>1</v>
      </c>
      <c r="H5718">
        <v>1</v>
      </c>
      <c r="I5718">
        <v>1967</v>
      </c>
      <c r="J5718">
        <v>0</v>
      </c>
      <c r="K5718">
        <v>1</v>
      </c>
      <c r="L5718">
        <v>0</v>
      </c>
      <c r="M5718">
        <v>3</v>
      </c>
      <c r="N5718" t="s">
        <v>26</v>
      </c>
      <c r="O5718" t="s">
        <v>32</v>
      </c>
      <c r="P5718">
        <v>14.383708486201099</v>
      </c>
      <c r="Q5718">
        <v>0.64603396289663695</v>
      </c>
      <c r="R5718">
        <v>1.3100752507284801</v>
      </c>
      <c r="S5718">
        <v>20</v>
      </c>
      <c r="T5718">
        <v>55</v>
      </c>
      <c r="U5718">
        <v>370.49976355709202</v>
      </c>
      <c r="V5718">
        <v>7.1275837491090502E-4</v>
      </c>
      <c r="W5718">
        <v>1816865.5859157401</v>
      </c>
      <c r="X5718" t="s">
        <v>39</v>
      </c>
      <c r="Y5718">
        <f>1-308-153-4529</f>
        <v>-4989</v>
      </c>
    </row>
    <row r="5719" spans="1:25" x14ac:dyDescent="0.35">
      <c r="A5719">
        <v>37.606109053186202</v>
      </c>
      <c r="B5719">
        <v>-115.405621423848</v>
      </c>
      <c r="C5719" t="s">
        <v>34</v>
      </c>
      <c r="D5719">
        <v>2.57647890574327</v>
      </c>
      <c r="E5719">
        <v>2</v>
      </c>
      <c r="F5719">
        <v>2666</v>
      </c>
      <c r="G5719">
        <v>2</v>
      </c>
      <c r="H5719">
        <v>3</v>
      </c>
      <c r="I5719">
        <v>1954</v>
      </c>
      <c r="J5719">
        <v>0</v>
      </c>
      <c r="K5719">
        <v>0</v>
      </c>
      <c r="L5719">
        <v>1</v>
      </c>
      <c r="M5719">
        <v>3</v>
      </c>
      <c r="N5719" t="s">
        <v>35</v>
      </c>
      <c r="O5719" t="s">
        <v>30</v>
      </c>
      <c r="P5719">
        <v>5.7327731777348996</v>
      </c>
      <c r="Q5719">
        <v>1.9374117831995299</v>
      </c>
      <c r="R5719">
        <v>7.1262541497908103</v>
      </c>
      <c r="S5719">
        <v>28</v>
      </c>
      <c r="T5719">
        <v>70</v>
      </c>
      <c r="U5719">
        <v>843.23417211527897</v>
      </c>
      <c r="V5719">
        <v>1.1252813203300801E-3</v>
      </c>
      <c r="W5719">
        <v>2422267.6938384902</v>
      </c>
      <c r="X5719" t="s">
        <v>43</v>
      </c>
      <c r="Y5719">
        <f>1-626-950-8886</f>
        <v>-10461</v>
      </c>
    </row>
    <row r="5720" spans="1:25" x14ac:dyDescent="0.35">
      <c r="A5720">
        <v>35.292917164118897</v>
      </c>
      <c r="B5720">
        <v>-119.148321375699</v>
      </c>
      <c r="C5720" t="s">
        <v>29</v>
      </c>
      <c r="D5720">
        <v>6.9665075203454103</v>
      </c>
      <c r="E5720">
        <v>8</v>
      </c>
      <c r="F5720">
        <v>1437</v>
      </c>
      <c r="G5720">
        <v>1</v>
      </c>
      <c r="H5720">
        <v>3</v>
      </c>
      <c r="I5720">
        <v>1988</v>
      </c>
      <c r="J5720">
        <v>1</v>
      </c>
      <c r="K5720">
        <v>0</v>
      </c>
      <c r="L5720">
        <v>0</v>
      </c>
      <c r="M5720">
        <v>11</v>
      </c>
      <c r="N5720" t="s">
        <v>37</v>
      </c>
      <c r="O5720" t="s">
        <v>32</v>
      </c>
      <c r="P5720">
        <v>7.0458053166465797</v>
      </c>
      <c r="Q5720">
        <v>1.10501638067191</v>
      </c>
      <c r="R5720">
        <v>3.51836960797797</v>
      </c>
      <c r="S5720">
        <v>78</v>
      </c>
      <c r="T5720">
        <v>66</v>
      </c>
      <c r="U5720">
        <v>508.30172934667098</v>
      </c>
      <c r="V5720">
        <v>7.6548364648573401E-3</v>
      </c>
      <c r="W5720">
        <v>913130.73240949202</v>
      </c>
      <c r="X5720" t="s">
        <v>42</v>
      </c>
      <c r="Y5720">
        <f>1-934-651-2572</f>
        <v>-4156</v>
      </c>
    </row>
    <row r="5721" spans="1:25" x14ac:dyDescent="0.35">
      <c r="A5721">
        <v>38.204155649827399</v>
      </c>
      <c r="B5721">
        <v>-124.219980834338</v>
      </c>
      <c r="C5721" t="s">
        <v>29</v>
      </c>
      <c r="D5721">
        <v>18.813778373255801</v>
      </c>
      <c r="E5721">
        <v>2</v>
      </c>
      <c r="F5721">
        <v>4558</v>
      </c>
      <c r="G5721">
        <v>5</v>
      </c>
      <c r="H5721">
        <v>1</v>
      </c>
      <c r="I5721">
        <v>1977</v>
      </c>
      <c r="J5721">
        <v>1</v>
      </c>
      <c r="K5721">
        <v>0</v>
      </c>
      <c r="L5721">
        <v>1</v>
      </c>
      <c r="M5721">
        <v>9</v>
      </c>
      <c r="N5721" t="s">
        <v>26</v>
      </c>
      <c r="O5721" t="s">
        <v>27</v>
      </c>
      <c r="P5721">
        <v>12.5399235738266</v>
      </c>
      <c r="Q5721">
        <v>2.0750848260158699</v>
      </c>
      <c r="R5721">
        <v>8.0890721661812801</v>
      </c>
      <c r="S5721">
        <v>86</v>
      </c>
      <c r="T5721">
        <v>23</v>
      </c>
      <c r="U5721">
        <v>904.23320071179796</v>
      </c>
      <c r="V5721">
        <v>1.9745502413339102E-3</v>
      </c>
      <c r="W5721">
        <v>4540269.7141139703</v>
      </c>
      <c r="X5721" t="s">
        <v>44</v>
      </c>
      <c r="Y5721">
        <f>1-377-243-4634</f>
        <v>-5253</v>
      </c>
    </row>
    <row r="5722" spans="1:25" x14ac:dyDescent="0.35">
      <c r="A5722">
        <v>36.2056568052244</v>
      </c>
      <c r="B5722">
        <v>-123.82378923894601</v>
      </c>
      <c r="C5722" t="s">
        <v>34</v>
      </c>
      <c r="D5722">
        <v>4.2730534345114197</v>
      </c>
      <c r="E5722">
        <v>0</v>
      </c>
      <c r="F5722">
        <v>3046</v>
      </c>
      <c r="G5722">
        <v>1</v>
      </c>
      <c r="H5722">
        <v>2</v>
      </c>
      <c r="I5722">
        <v>2008</v>
      </c>
      <c r="J5722">
        <v>1</v>
      </c>
      <c r="K5722">
        <v>0</v>
      </c>
      <c r="L5722">
        <v>0</v>
      </c>
      <c r="M5722">
        <v>10</v>
      </c>
      <c r="N5722" t="s">
        <v>35</v>
      </c>
      <c r="O5722" t="s">
        <v>30</v>
      </c>
      <c r="P5722">
        <v>2.5351441344130099</v>
      </c>
      <c r="Q5722">
        <v>1.3906876062226801</v>
      </c>
      <c r="R5722">
        <v>3.1595722188214199</v>
      </c>
      <c r="S5722">
        <v>195</v>
      </c>
      <c r="T5722">
        <v>64</v>
      </c>
      <c r="U5722">
        <v>876.00457467183503</v>
      </c>
      <c r="V5722">
        <v>3.2829940906106301E-3</v>
      </c>
      <c r="W5722">
        <v>2842092.46696452</v>
      </c>
      <c r="X5722" t="s">
        <v>28</v>
      </c>
      <c r="Y5722">
        <f>1-684-889-7305</f>
        <v>-8877</v>
      </c>
    </row>
    <row r="5723" spans="1:25" x14ac:dyDescent="0.35">
      <c r="A5723">
        <v>34.433372121564801</v>
      </c>
      <c r="B5723">
        <v>-117.631785740843</v>
      </c>
      <c r="C5723" t="s">
        <v>29</v>
      </c>
      <c r="D5723">
        <v>34.522723200107798</v>
      </c>
      <c r="E5723">
        <v>2</v>
      </c>
      <c r="F5723">
        <v>4088</v>
      </c>
      <c r="G5723">
        <v>4</v>
      </c>
      <c r="H5723">
        <v>3</v>
      </c>
      <c r="I5723">
        <v>1995</v>
      </c>
      <c r="J5723">
        <v>1</v>
      </c>
      <c r="K5723">
        <v>0</v>
      </c>
      <c r="L5723">
        <v>0</v>
      </c>
      <c r="M5723">
        <v>8</v>
      </c>
      <c r="N5723" t="s">
        <v>35</v>
      </c>
      <c r="O5723" t="s">
        <v>30</v>
      </c>
      <c r="P5723">
        <v>5.7953591516632299</v>
      </c>
      <c r="Q5723">
        <v>1.56911004093341</v>
      </c>
      <c r="R5723">
        <v>3.53507738075522</v>
      </c>
      <c r="S5723">
        <v>44</v>
      </c>
      <c r="T5723">
        <v>68</v>
      </c>
      <c r="U5723">
        <v>769.24663703515</v>
      </c>
      <c r="V5723">
        <v>1.95694716242661E-3</v>
      </c>
      <c r="W5723">
        <v>3461084.3388615302</v>
      </c>
      <c r="X5723" t="s">
        <v>40</v>
      </c>
      <c r="Y5723">
        <f>1-208-166-1772</f>
        <v>-2145</v>
      </c>
    </row>
    <row r="5724" spans="1:25" x14ac:dyDescent="0.35">
      <c r="A5724">
        <v>38.277187728739399</v>
      </c>
      <c r="B5724">
        <v>-118.79402963842701</v>
      </c>
      <c r="C5724" t="s">
        <v>34</v>
      </c>
      <c r="D5724">
        <v>35.757606469520397</v>
      </c>
      <c r="E5724">
        <v>7</v>
      </c>
      <c r="F5724">
        <v>2578</v>
      </c>
      <c r="G5724">
        <v>5</v>
      </c>
      <c r="H5724">
        <v>3</v>
      </c>
      <c r="I5724">
        <v>2010</v>
      </c>
      <c r="J5724">
        <v>1</v>
      </c>
      <c r="K5724">
        <v>0</v>
      </c>
      <c r="L5724">
        <v>1</v>
      </c>
      <c r="M5724">
        <v>8</v>
      </c>
      <c r="N5724" t="s">
        <v>37</v>
      </c>
      <c r="O5724" t="s">
        <v>27</v>
      </c>
      <c r="P5724">
        <v>3.4165335258248999</v>
      </c>
      <c r="Q5724">
        <v>1.6006514930531801</v>
      </c>
      <c r="R5724">
        <v>4.97351143554181</v>
      </c>
      <c r="S5724">
        <v>16</v>
      </c>
      <c r="T5724">
        <v>66</v>
      </c>
      <c r="U5724">
        <v>588.59008852464694</v>
      </c>
      <c r="V5724">
        <v>3.1031807602792802E-3</v>
      </c>
      <c r="W5724">
        <v>1957002.1637806101</v>
      </c>
      <c r="X5724" t="s">
        <v>42</v>
      </c>
      <c r="Y5724">
        <f>1-444-400-1783</f>
        <v>-2626</v>
      </c>
    </row>
    <row r="5725" spans="1:25" x14ac:dyDescent="0.35">
      <c r="A5725">
        <v>33.350196288684401</v>
      </c>
      <c r="B5725">
        <v>-116.40628917590701</v>
      </c>
      <c r="C5725" t="s">
        <v>25</v>
      </c>
      <c r="D5725">
        <v>47.919957054180301</v>
      </c>
      <c r="E5725">
        <v>4</v>
      </c>
      <c r="F5725">
        <v>4604</v>
      </c>
      <c r="G5725">
        <v>3</v>
      </c>
      <c r="H5725">
        <v>1</v>
      </c>
      <c r="I5725">
        <v>2003</v>
      </c>
      <c r="J5725">
        <v>0</v>
      </c>
      <c r="K5725">
        <v>0</v>
      </c>
      <c r="L5725">
        <v>0</v>
      </c>
      <c r="M5725">
        <v>9</v>
      </c>
      <c r="N5725" t="s">
        <v>26</v>
      </c>
      <c r="O5725" t="s">
        <v>30</v>
      </c>
      <c r="P5725">
        <v>7.5740707832000398</v>
      </c>
      <c r="Q5725">
        <v>1.0151277498389999</v>
      </c>
      <c r="R5725">
        <v>4.7568602698582998</v>
      </c>
      <c r="S5725">
        <v>72</v>
      </c>
      <c r="T5725">
        <v>28</v>
      </c>
      <c r="U5725">
        <v>318.79552837008703</v>
      </c>
      <c r="V5725">
        <v>1.95482189400521E-3</v>
      </c>
      <c r="W5725">
        <v>1680847.04720882</v>
      </c>
      <c r="X5725" t="s">
        <v>28</v>
      </c>
      <c r="Y5725">
        <f>1-906-705-9364</f>
        <v>-10974</v>
      </c>
    </row>
    <row r="5726" spans="1:25" x14ac:dyDescent="0.35">
      <c r="A5726">
        <v>40.753133355306701</v>
      </c>
      <c r="B5726">
        <v>-118.029701429181</v>
      </c>
      <c r="C5726" t="s">
        <v>25</v>
      </c>
      <c r="D5726">
        <v>29.6927569268375</v>
      </c>
      <c r="E5726">
        <v>8</v>
      </c>
      <c r="F5726">
        <v>1082</v>
      </c>
      <c r="G5726">
        <v>3</v>
      </c>
      <c r="H5726">
        <v>3</v>
      </c>
      <c r="I5726">
        <v>1969</v>
      </c>
      <c r="J5726">
        <v>0</v>
      </c>
      <c r="K5726">
        <v>0</v>
      </c>
      <c r="L5726">
        <v>0</v>
      </c>
      <c r="M5726">
        <v>3</v>
      </c>
      <c r="N5726" t="s">
        <v>35</v>
      </c>
      <c r="O5726" t="s">
        <v>30</v>
      </c>
      <c r="P5726">
        <v>9.7469247819400398</v>
      </c>
      <c r="Q5726">
        <v>1.0676070341125501</v>
      </c>
      <c r="R5726">
        <v>3.4824467422755898</v>
      </c>
      <c r="S5726">
        <v>171</v>
      </c>
      <c r="T5726">
        <v>39</v>
      </c>
      <c r="U5726">
        <v>920.88616678857898</v>
      </c>
      <c r="V5726">
        <v>2.77264325323475E-3</v>
      </c>
      <c r="W5726">
        <v>1230763.08979908</v>
      </c>
      <c r="X5726" t="s">
        <v>39</v>
      </c>
      <c r="Y5726">
        <f>1-929-462-8479</f>
        <v>-9869</v>
      </c>
    </row>
    <row r="5727" spans="1:25" x14ac:dyDescent="0.35">
      <c r="A5727">
        <v>32.885607277598801</v>
      </c>
      <c r="B5727">
        <v>-119.22533044373</v>
      </c>
      <c r="C5727" t="s">
        <v>29</v>
      </c>
      <c r="D5727">
        <v>7.3842625500548298</v>
      </c>
      <c r="E5727">
        <v>4</v>
      </c>
      <c r="F5727">
        <v>2453</v>
      </c>
      <c r="G5727">
        <v>1</v>
      </c>
      <c r="H5727">
        <v>2</v>
      </c>
      <c r="I5727">
        <v>2022</v>
      </c>
      <c r="J5727">
        <v>1</v>
      </c>
      <c r="K5727">
        <v>1</v>
      </c>
      <c r="L5727">
        <v>1</v>
      </c>
      <c r="M5727">
        <v>11</v>
      </c>
      <c r="N5727" t="s">
        <v>26</v>
      </c>
      <c r="O5727" t="s">
        <v>32</v>
      </c>
      <c r="P5727">
        <v>9.0854832776276595</v>
      </c>
      <c r="Q5727">
        <v>1.5662905422664799</v>
      </c>
      <c r="R5727">
        <v>6.3034108569383802</v>
      </c>
      <c r="S5727">
        <v>194</v>
      </c>
      <c r="T5727">
        <v>25</v>
      </c>
      <c r="U5727">
        <v>316.77414309916003</v>
      </c>
      <c r="V5727">
        <v>4.4843049327354199E-3</v>
      </c>
      <c r="W5727">
        <v>1010184.01259376</v>
      </c>
      <c r="X5727" t="s">
        <v>39</v>
      </c>
      <c r="Y5727">
        <f>1-467-572-1751</f>
        <v>-2789</v>
      </c>
    </row>
    <row r="5728" spans="1:25" x14ac:dyDescent="0.35">
      <c r="A5728">
        <v>40.659275148403999</v>
      </c>
      <c r="B5728">
        <v>-117.663415390087</v>
      </c>
      <c r="C5728" t="s">
        <v>25</v>
      </c>
      <c r="D5728">
        <v>6.1602926544727801</v>
      </c>
      <c r="E5728">
        <v>6</v>
      </c>
      <c r="F5728">
        <v>1585</v>
      </c>
      <c r="G5728">
        <v>1</v>
      </c>
      <c r="H5728">
        <v>2</v>
      </c>
      <c r="I5728">
        <v>1992</v>
      </c>
      <c r="J5728">
        <v>1</v>
      </c>
      <c r="K5728">
        <v>1</v>
      </c>
      <c r="L5728">
        <v>0</v>
      </c>
      <c r="M5728">
        <v>7</v>
      </c>
      <c r="N5728" t="s">
        <v>26</v>
      </c>
      <c r="O5728" t="s">
        <v>27</v>
      </c>
      <c r="P5728">
        <v>12.389425133125</v>
      </c>
      <c r="Q5728">
        <v>0.77728098867148598</v>
      </c>
      <c r="R5728">
        <v>1.8622025146866401</v>
      </c>
      <c r="S5728">
        <v>199</v>
      </c>
      <c r="T5728">
        <v>69</v>
      </c>
      <c r="U5728">
        <v>288.256052338904</v>
      </c>
      <c r="V5728">
        <v>4.4164037854889501E-3</v>
      </c>
      <c r="W5728">
        <v>691761.28216821898</v>
      </c>
      <c r="X5728" t="s">
        <v>42</v>
      </c>
      <c r="Y5728">
        <f>1-629-915-1438</f>
        <v>-2981</v>
      </c>
    </row>
    <row r="5729" spans="1:25" x14ac:dyDescent="0.35">
      <c r="A5729">
        <v>36.611853360150199</v>
      </c>
      <c r="B5729">
        <v>-118.33780876244199</v>
      </c>
      <c r="C5729" t="s">
        <v>34</v>
      </c>
      <c r="D5729">
        <v>26.3824905052434</v>
      </c>
      <c r="E5729">
        <v>1</v>
      </c>
      <c r="F5729">
        <v>4401</v>
      </c>
      <c r="G5729">
        <v>4</v>
      </c>
      <c r="H5729">
        <v>3</v>
      </c>
      <c r="I5729">
        <v>2013</v>
      </c>
      <c r="J5729">
        <v>0</v>
      </c>
      <c r="K5729">
        <v>0</v>
      </c>
      <c r="L5729">
        <v>1</v>
      </c>
      <c r="M5729">
        <v>9</v>
      </c>
      <c r="N5729" t="s">
        <v>35</v>
      </c>
      <c r="O5729" t="s">
        <v>27</v>
      </c>
      <c r="P5729">
        <v>2.1107653581453998</v>
      </c>
      <c r="Q5729">
        <v>1.2625524324392099</v>
      </c>
      <c r="R5729">
        <v>7.1130170504372403</v>
      </c>
      <c r="S5729">
        <v>97</v>
      </c>
      <c r="T5729">
        <v>60</v>
      </c>
      <c r="U5729">
        <v>785.95271760721198</v>
      </c>
      <c r="V5729">
        <v>2.0449897750511202E-3</v>
      </c>
      <c r="W5729">
        <v>3606969.7703014701</v>
      </c>
      <c r="X5729" t="s">
        <v>44</v>
      </c>
      <c r="Y5729">
        <f>1-607-875-9435</f>
        <v>-10916</v>
      </c>
    </row>
    <row r="5730" spans="1:25" x14ac:dyDescent="0.35">
      <c r="A5730">
        <v>33.698392866446099</v>
      </c>
      <c r="B5730">
        <v>-118.015122518204</v>
      </c>
      <c r="C5730" t="s">
        <v>34</v>
      </c>
      <c r="D5730">
        <v>14.9514988650447</v>
      </c>
      <c r="E5730">
        <v>2</v>
      </c>
      <c r="F5730">
        <v>2841</v>
      </c>
      <c r="G5730">
        <v>3</v>
      </c>
      <c r="H5730">
        <v>2</v>
      </c>
      <c r="I5730">
        <v>1968</v>
      </c>
      <c r="J5730">
        <v>0</v>
      </c>
      <c r="K5730">
        <v>0</v>
      </c>
      <c r="L5730">
        <v>0</v>
      </c>
      <c r="M5730">
        <v>9</v>
      </c>
      <c r="N5730" t="s">
        <v>37</v>
      </c>
      <c r="O5730" t="s">
        <v>32</v>
      </c>
      <c r="P5730">
        <v>10.4866609360247</v>
      </c>
      <c r="Q5730">
        <v>2.4053762333745698</v>
      </c>
      <c r="R5730">
        <v>8.6293402198797509</v>
      </c>
      <c r="S5730">
        <v>165</v>
      </c>
      <c r="T5730">
        <v>54</v>
      </c>
      <c r="U5730">
        <v>973.87264005180702</v>
      </c>
      <c r="V5730">
        <v>3.1678986272439202E-3</v>
      </c>
      <c r="W5730">
        <v>2967138.6756949602</v>
      </c>
      <c r="X5730" t="s">
        <v>33</v>
      </c>
      <c r="Y5730">
        <f>1-486-443-1927</f>
        <v>-2855</v>
      </c>
    </row>
    <row r="5731" spans="1:25" x14ac:dyDescent="0.35">
      <c r="A5731">
        <v>33.599123257640898</v>
      </c>
      <c r="B5731">
        <v>-123.002771683755</v>
      </c>
      <c r="C5731" t="s">
        <v>29</v>
      </c>
      <c r="D5731">
        <v>36.145632412214901</v>
      </c>
      <c r="E5731">
        <v>1</v>
      </c>
      <c r="F5731">
        <v>1745</v>
      </c>
      <c r="G5731">
        <v>2</v>
      </c>
      <c r="H5731">
        <v>3</v>
      </c>
      <c r="I5731">
        <v>1982</v>
      </c>
      <c r="J5731">
        <v>0</v>
      </c>
      <c r="K5731">
        <v>0</v>
      </c>
      <c r="L5731">
        <v>1</v>
      </c>
      <c r="M5731">
        <v>12</v>
      </c>
      <c r="N5731" t="s">
        <v>37</v>
      </c>
      <c r="O5731" t="s">
        <v>27</v>
      </c>
      <c r="P5731">
        <v>13.3645511068489</v>
      </c>
      <c r="Q5731">
        <v>2.3071301362469501</v>
      </c>
      <c r="R5731">
        <v>8.6013756838608195</v>
      </c>
      <c r="S5731">
        <v>66</v>
      </c>
      <c r="T5731">
        <v>66</v>
      </c>
      <c r="U5731">
        <v>365.54123833549301</v>
      </c>
      <c r="V5731">
        <v>6.87679083094555E-3</v>
      </c>
      <c r="W5731">
        <v>887693.65880395297</v>
      </c>
      <c r="X5731" t="s">
        <v>39</v>
      </c>
      <c r="Y5731">
        <f>1-292-611-9882</f>
        <v>-10784</v>
      </c>
    </row>
    <row r="5732" spans="1:25" x14ac:dyDescent="0.35">
      <c r="A5732">
        <v>39.644668964646698</v>
      </c>
      <c r="B5732">
        <v>-123.467248824923</v>
      </c>
      <c r="C5732" t="s">
        <v>25</v>
      </c>
      <c r="D5732">
        <v>4.1743133856434298</v>
      </c>
      <c r="E5732">
        <v>7</v>
      </c>
      <c r="F5732">
        <v>2988</v>
      </c>
      <c r="G5732">
        <v>5</v>
      </c>
      <c r="H5732">
        <v>1</v>
      </c>
      <c r="I5732">
        <v>2010</v>
      </c>
      <c r="J5732">
        <v>1</v>
      </c>
      <c r="K5732">
        <v>1</v>
      </c>
      <c r="L5732">
        <v>1</v>
      </c>
      <c r="M5732">
        <v>7</v>
      </c>
      <c r="N5732" t="s">
        <v>41</v>
      </c>
      <c r="O5732" t="s">
        <v>27</v>
      </c>
      <c r="P5732">
        <v>5.9934623077879898</v>
      </c>
      <c r="Q5732">
        <v>1.9314528844491701</v>
      </c>
      <c r="R5732">
        <v>3.3893564382580301</v>
      </c>
      <c r="S5732">
        <v>162</v>
      </c>
      <c r="T5732">
        <v>76</v>
      </c>
      <c r="U5732">
        <v>812.02577323730202</v>
      </c>
      <c r="V5732">
        <v>2.34270414993306E-3</v>
      </c>
      <c r="W5732">
        <v>2836752.4408764299</v>
      </c>
      <c r="X5732" t="s">
        <v>40</v>
      </c>
      <c r="Y5732">
        <f>1-798-613-5502</f>
        <v>-6912</v>
      </c>
    </row>
    <row r="5733" spans="1:25" x14ac:dyDescent="0.35">
      <c r="A5733">
        <v>36.769949686139597</v>
      </c>
      <c r="B5733">
        <v>-122.05644929862</v>
      </c>
      <c r="C5733" t="s">
        <v>34</v>
      </c>
      <c r="D5733">
        <v>20.960841289633699</v>
      </c>
      <c r="E5733">
        <v>2</v>
      </c>
      <c r="F5733">
        <v>4795</v>
      </c>
      <c r="G5733">
        <v>3</v>
      </c>
      <c r="H5733">
        <v>1</v>
      </c>
      <c r="I5733">
        <v>2001</v>
      </c>
      <c r="J5733">
        <v>1</v>
      </c>
      <c r="K5733">
        <v>1</v>
      </c>
      <c r="L5733">
        <v>1</v>
      </c>
      <c r="M5733">
        <v>7</v>
      </c>
      <c r="N5733" t="s">
        <v>41</v>
      </c>
      <c r="O5733" t="s">
        <v>27</v>
      </c>
      <c r="P5733">
        <v>5.9231056456280804</v>
      </c>
      <c r="Q5733">
        <v>2.1657751007689998</v>
      </c>
      <c r="R5733">
        <v>3.7205427602246899</v>
      </c>
      <c r="S5733">
        <v>1</v>
      </c>
      <c r="T5733">
        <v>51</v>
      </c>
      <c r="U5733">
        <v>285.341991863217</v>
      </c>
      <c r="V5733">
        <v>1.4598540145985401E-3</v>
      </c>
      <c r="W5733">
        <v>1636396.33505844</v>
      </c>
      <c r="X5733" t="s">
        <v>40</v>
      </c>
      <c r="Y5733">
        <f>1-517-187-2907</f>
        <v>-3610</v>
      </c>
    </row>
    <row r="5734" spans="1:25" x14ac:dyDescent="0.35">
      <c r="A5734">
        <v>37.449092786151297</v>
      </c>
      <c r="B5734">
        <v>-119.763757491909</v>
      </c>
      <c r="C5734" t="s">
        <v>34</v>
      </c>
      <c r="D5734">
        <v>48.601465627148698</v>
      </c>
      <c r="E5734">
        <v>6</v>
      </c>
      <c r="F5734">
        <v>2011</v>
      </c>
      <c r="G5734">
        <v>4</v>
      </c>
      <c r="H5734">
        <v>1</v>
      </c>
      <c r="I5734">
        <v>1996</v>
      </c>
      <c r="J5734">
        <v>0</v>
      </c>
      <c r="K5734">
        <v>1</v>
      </c>
      <c r="L5734">
        <v>1</v>
      </c>
      <c r="M5734">
        <v>13</v>
      </c>
      <c r="N5734" t="s">
        <v>41</v>
      </c>
      <c r="O5734" t="s">
        <v>30</v>
      </c>
      <c r="P5734">
        <v>2.0971809350078101</v>
      </c>
      <c r="Q5734">
        <v>1.4863518360958601</v>
      </c>
      <c r="R5734">
        <v>9.9596589246549492</v>
      </c>
      <c r="S5734">
        <v>140</v>
      </c>
      <c r="T5734">
        <v>48</v>
      </c>
      <c r="U5734">
        <v>741.82368234191301</v>
      </c>
      <c r="V5734">
        <v>6.4644455494778704E-3</v>
      </c>
      <c r="W5734">
        <v>1685870.8449098601</v>
      </c>
      <c r="X5734" t="s">
        <v>38</v>
      </c>
      <c r="Y5734">
        <f>1-252-678-5190</f>
        <v>-6119</v>
      </c>
    </row>
    <row r="5735" spans="1:25" x14ac:dyDescent="0.35">
      <c r="A5735">
        <v>32.6567471193015</v>
      </c>
      <c r="B5735">
        <v>-123.50890280348</v>
      </c>
      <c r="C5735" t="s">
        <v>29</v>
      </c>
      <c r="D5735">
        <v>34.254896042376103</v>
      </c>
      <c r="E5735">
        <v>0</v>
      </c>
      <c r="F5735">
        <v>4629</v>
      </c>
      <c r="G5735">
        <v>2</v>
      </c>
      <c r="H5735">
        <v>2</v>
      </c>
      <c r="I5735">
        <v>2015</v>
      </c>
      <c r="J5735">
        <v>1</v>
      </c>
      <c r="K5735">
        <v>1</v>
      </c>
      <c r="L5735">
        <v>0</v>
      </c>
      <c r="M5735">
        <v>11</v>
      </c>
      <c r="N5735" t="s">
        <v>41</v>
      </c>
      <c r="O5735" t="s">
        <v>30</v>
      </c>
      <c r="P5735">
        <v>3.5150467248600501</v>
      </c>
      <c r="Q5735">
        <v>0.88710285805857403</v>
      </c>
      <c r="R5735">
        <v>1.8661251028246499</v>
      </c>
      <c r="S5735">
        <v>104</v>
      </c>
      <c r="T5735">
        <v>42</v>
      </c>
      <c r="U5735">
        <v>361.275167796571</v>
      </c>
      <c r="V5735">
        <v>2.3763231799524701E-3</v>
      </c>
      <c r="W5735">
        <v>1986218.70802038</v>
      </c>
      <c r="X5735" t="s">
        <v>31</v>
      </c>
      <c r="Y5735">
        <f>1-807-521-3833</f>
        <v>-5160</v>
      </c>
    </row>
    <row r="5736" spans="1:25" x14ac:dyDescent="0.35">
      <c r="A5736">
        <v>33.772931013597301</v>
      </c>
      <c r="B5736">
        <v>-115.447960490545</v>
      </c>
      <c r="C5736" t="s">
        <v>25</v>
      </c>
      <c r="D5736">
        <v>34.754389846892401</v>
      </c>
      <c r="E5736">
        <v>7</v>
      </c>
      <c r="F5736">
        <v>4936</v>
      </c>
      <c r="G5736">
        <v>3</v>
      </c>
      <c r="H5736">
        <v>2</v>
      </c>
      <c r="I5736">
        <v>2014</v>
      </c>
      <c r="J5736">
        <v>1</v>
      </c>
      <c r="K5736">
        <v>1</v>
      </c>
      <c r="L5736">
        <v>0</v>
      </c>
      <c r="M5736">
        <v>13</v>
      </c>
      <c r="N5736" t="s">
        <v>26</v>
      </c>
      <c r="O5736" t="s">
        <v>27</v>
      </c>
      <c r="P5736">
        <v>6.5973439116361501</v>
      </c>
      <c r="Q5736">
        <v>2.0931581114444899</v>
      </c>
      <c r="R5736">
        <v>4.51519528779352</v>
      </c>
      <c r="S5736">
        <v>65</v>
      </c>
      <c r="T5736">
        <v>28</v>
      </c>
      <c r="U5736">
        <v>568.76050147476599</v>
      </c>
      <c r="V5736">
        <v>2.6337115072933501E-3</v>
      </c>
      <c r="W5736">
        <v>3215242.7915084301</v>
      </c>
      <c r="X5736" t="s">
        <v>36</v>
      </c>
      <c r="Y5736">
        <f>1-422-350-7900</f>
        <v>-8671</v>
      </c>
    </row>
    <row r="5737" spans="1:25" x14ac:dyDescent="0.35">
      <c r="A5737">
        <v>36.668247963102402</v>
      </c>
      <c r="B5737">
        <v>-117.999593076328</v>
      </c>
      <c r="C5737" t="s">
        <v>34</v>
      </c>
      <c r="D5737">
        <v>18.431278269128502</v>
      </c>
      <c r="E5737">
        <v>7</v>
      </c>
      <c r="F5737">
        <v>4442</v>
      </c>
      <c r="G5737">
        <v>1</v>
      </c>
      <c r="H5737">
        <v>2</v>
      </c>
      <c r="I5737">
        <v>1952</v>
      </c>
      <c r="J5737">
        <v>1</v>
      </c>
      <c r="K5737">
        <v>0</v>
      </c>
      <c r="L5737">
        <v>0</v>
      </c>
      <c r="M5737">
        <v>10</v>
      </c>
      <c r="N5737" t="s">
        <v>35</v>
      </c>
      <c r="O5737" t="s">
        <v>27</v>
      </c>
      <c r="P5737">
        <v>6.2013142053039498</v>
      </c>
      <c r="Q5737">
        <v>2.3807032222962898</v>
      </c>
      <c r="R5737">
        <v>3.4628616162579799</v>
      </c>
      <c r="S5737">
        <v>170</v>
      </c>
      <c r="T5737">
        <v>76</v>
      </c>
      <c r="U5737">
        <v>538.43493309440305</v>
      </c>
      <c r="V5737">
        <v>2.25123818099954E-3</v>
      </c>
      <c r="W5737">
        <v>2486241.9386545601</v>
      </c>
      <c r="X5737" t="s">
        <v>38</v>
      </c>
      <c r="Y5737">
        <f>1-587-350-2235</f>
        <v>-3171</v>
      </c>
    </row>
    <row r="5738" spans="1:25" x14ac:dyDescent="0.35">
      <c r="A5738">
        <v>40.0067749681984</v>
      </c>
      <c r="B5738">
        <v>-120.250106209962</v>
      </c>
      <c r="C5738" t="s">
        <v>25</v>
      </c>
      <c r="D5738">
        <v>40.680034487131103</v>
      </c>
      <c r="E5738">
        <v>9</v>
      </c>
      <c r="F5738">
        <v>1248</v>
      </c>
      <c r="G5738">
        <v>5</v>
      </c>
      <c r="H5738">
        <v>1</v>
      </c>
      <c r="I5738">
        <v>2013</v>
      </c>
      <c r="J5738">
        <v>0</v>
      </c>
      <c r="K5738">
        <v>0</v>
      </c>
      <c r="L5738">
        <v>0</v>
      </c>
      <c r="M5738">
        <v>6</v>
      </c>
      <c r="N5738" t="s">
        <v>35</v>
      </c>
      <c r="O5738" t="s">
        <v>30</v>
      </c>
      <c r="P5738">
        <v>11.8809879169689</v>
      </c>
      <c r="Q5738">
        <v>1.70168931326572</v>
      </c>
      <c r="R5738">
        <v>3.3829819659008198</v>
      </c>
      <c r="S5738">
        <v>75</v>
      </c>
      <c r="T5738">
        <v>64</v>
      </c>
      <c r="U5738">
        <v>405.08729170641101</v>
      </c>
      <c r="V5738">
        <v>4.8076923076923002E-3</v>
      </c>
      <c r="W5738">
        <v>945259.94216980797</v>
      </c>
      <c r="X5738" t="s">
        <v>36</v>
      </c>
      <c r="Y5738">
        <f>1-545-261-4841</f>
        <v>-5646</v>
      </c>
    </row>
    <row r="5739" spans="1:25" x14ac:dyDescent="0.35">
      <c r="A5739">
        <v>34.113022335868799</v>
      </c>
      <c r="B5739">
        <v>-118.254697355087</v>
      </c>
      <c r="C5739" t="s">
        <v>25</v>
      </c>
      <c r="D5739">
        <v>20.750815300213802</v>
      </c>
      <c r="E5739">
        <v>9</v>
      </c>
      <c r="F5739">
        <v>3985</v>
      </c>
      <c r="G5739">
        <v>2</v>
      </c>
      <c r="H5739">
        <v>1</v>
      </c>
      <c r="I5739">
        <v>1978</v>
      </c>
      <c r="J5739">
        <v>0</v>
      </c>
      <c r="K5739">
        <v>1</v>
      </c>
      <c r="L5739">
        <v>1</v>
      </c>
      <c r="M5739">
        <v>8</v>
      </c>
      <c r="N5739" t="s">
        <v>35</v>
      </c>
      <c r="O5739" t="s">
        <v>32</v>
      </c>
      <c r="P5739">
        <v>6.5393585101479799</v>
      </c>
      <c r="Q5739">
        <v>1.0798865047967301</v>
      </c>
      <c r="R5739">
        <v>9.4294600262090906</v>
      </c>
      <c r="S5739">
        <v>180</v>
      </c>
      <c r="T5739">
        <v>77</v>
      </c>
      <c r="U5739">
        <v>818.04048680995004</v>
      </c>
      <c r="V5739">
        <v>2.0075282308657399E-3</v>
      </c>
      <c r="W5739">
        <v>3522766.2900732099</v>
      </c>
      <c r="X5739" t="s">
        <v>28</v>
      </c>
      <c r="Y5739">
        <f>1-403-620-2169</f>
        <v>-3191</v>
      </c>
    </row>
    <row r="5740" spans="1:25" x14ac:dyDescent="0.35">
      <c r="A5740">
        <v>32.734473259045402</v>
      </c>
      <c r="B5740">
        <v>-118.52383917932001</v>
      </c>
      <c r="C5740" t="s">
        <v>25</v>
      </c>
      <c r="D5740">
        <v>4.8269810946271603</v>
      </c>
      <c r="E5740">
        <v>0</v>
      </c>
      <c r="F5740">
        <v>2947</v>
      </c>
      <c r="G5740">
        <v>3</v>
      </c>
      <c r="H5740">
        <v>3</v>
      </c>
      <c r="I5740">
        <v>2004</v>
      </c>
      <c r="J5740">
        <v>1</v>
      </c>
      <c r="K5740">
        <v>1</v>
      </c>
      <c r="L5740">
        <v>0</v>
      </c>
      <c r="M5740">
        <v>13</v>
      </c>
      <c r="N5740" t="s">
        <v>35</v>
      </c>
      <c r="O5740" t="s">
        <v>27</v>
      </c>
      <c r="P5740">
        <v>5.8277716107662902</v>
      </c>
      <c r="Q5740">
        <v>1.1613742830309599</v>
      </c>
      <c r="R5740">
        <v>5.3763911128234003</v>
      </c>
      <c r="S5740">
        <v>45</v>
      </c>
      <c r="T5740">
        <v>49</v>
      </c>
      <c r="U5740">
        <v>880.37300950423401</v>
      </c>
      <c r="V5740">
        <v>4.4112656939260201E-3</v>
      </c>
      <c r="W5740">
        <v>2931226.9977426901</v>
      </c>
      <c r="X5740" t="s">
        <v>28</v>
      </c>
      <c r="Y5740">
        <f>1-788-327-8288</f>
        <v>-9402</v>
      </c>
    </row>
    <row r="5741" spans="1:25" x14ac:dyDescent="0.35">
      <c r="A5741">
        <v>41.8893148675403</v>
      </c>
      <c r="B5741">
        <v>-120.30601003871701</v>
      </c>
      <c r="C5741" t="s">
        <v>34</v>
      </c>
      <c r="D5741">
        <v>35.377621382236399</v>
      </c>
      <c r="E5741">
        <v>8</v>
      </c>
      <c r="F5741">
        <v>4697</v>
      </c>
      <c r="G5741">
        <v>3</v>
      </c>
      <c r="H5741">
        <v>2</v>
      </c>
      <c r="I5741">
        <v>2003</v>
      </c>
      <c r="J5741">
        <v>1</v>
      </c>
      <c r="K5741">
        <v>1</v>
      </c>
      <c r="L5741">
        <v>1</v>
      </c>
      <c r="M5741">
        <v>8</v>
      </c>
      <c r="N5741" t="s">
        <v>35</v>
      </c>
      <c r="O5741" t="s">
        <v>30</v>
      </c>
      <c r="P5741">
        <v>9.9686995458622807</v>
      </c>
      <c r="Q5741">
        <v>0.73728612319123998</v>
      </c>
      <c r="R5741">
        <v>8.1936568404216104</v>
      </c>
      <c r="S5741">
        <v>124</v>
      </c>
      <c r="T5741">
        <v>64</v>
      </c>
      <c r="U5741">
        <v>630.40707131421004</v>
      </c>
      <c r="V5741">
        <v>1.70321481796891E-3</v>
      </c>
      <c r="W5741">
        <v>3374437.3014657102</v>
      </c>
      <c r="X5741" t="s">
        <v>42</v>
      </c>
      <c r="Y5741">
        <f>1-734-816-3313</f>
        <v>-4862</v>
      </c>
    </row>
    <row r="5742" spans="1:25" x14ac:dyDescent="0.35">
      <c r="A5742">
        <v>33.288508583442201</v>
      </c>
      <c r="B5742">
        <v>-123.823030654345</v>
      </c>
      <c r="C5742" t="s">
        <v>34</v>
      </c>
      <c r="D5742">
        <v>43.682712112835297</v>
      </c>
      <c r="E5742">
        <v>6</v>
      </c>
      <c r="F5742">
        <v>2560</v>
      </c>
      <c r="G5742">
        <v>2</v>
      </c>
      <c r="H5742">
        <v>3</v>
      </c>
      <c r="I5742">
        <v>2017</v>
      </c>
      <c r="J5742">
        <v>1</v>
      </c>
      <c r="K5742">
        <v>0</v>
      </c>
      <c r="L5742">
        <v>0</v>
      </c>
      <c r="M5742">
        <v>8</v>
      </c>
      <c r="N5742" t="s">
        <v>26</v>
      </c>
      <c r="O5742" t="s">
        <v>30</v>
      </c>
      <c r="P5742">
        <v>14.188623937902401</v>
      </c>
      <c r="Q5742">
        <v>2.2832227187361598</v>
      </c>
      <c r="R5742">
        <v>9.3858437352244195</v>
      </c>
      <c r="S5742">
        <v>36</v>
      </c>
      <c r="T5742">
        <v>64</v>
      </c>
      <c r="U5742">
        <v>931.04250259816399</v>
      </c>
      <c r="V5742">
        <v>3.1250000000000002E-3</v>
      </c>
      <c r="W5742">
        <v>2633819.0916217202</v>
      </c>
      <c r="X5742" t="s">
        <v>36</v>
      </c>
      <c r="Y5742">
        <f>1-618-547-7707</f>
        <v>-8871</v>
      </c>
    </row>
    <row r="5743" spans="1:25" x14ac:dyDescent="0.35">
      <c r="A5743">
        <v>35.695863524298701</v>
      </c>
      <c r="B5743">
        <v>-124.39946301141499</v>
      </c>
      <c r="C5743" t="s">
        <v>29</v>
      </c>
      <c r="D5743">
        <v>8.9905675349574796</v>
      </c>
      <c r="E5743">
        <v>7</v>
      </c>
      <c r="F5743">
        <v>4130</v>
      </c>
      <c r="G5743">
        <v>4</v>
      </c>
      <c r="H5743">
        <v>3</v>
      </c>
      <c r="I5743">
        <v>2020</v>
      </c>
      <c r="J5743">
        <v>1</v>
      </c>
      <c r="K5743">
        <v>0</v>
      </c>
      <c r="L5743">
        <v>0</v>
      </c>
      <c r="M5743">
        <v>2</v>
      </c>
      <c r="N5743" t="s">
        <v>26</v>
      </c>
      <c r="O5743" t="s">
        <v>32</v>
      </c>
      <c r="P5743">
        <v>12.2465416450127</v>
      </c>
      <c r="Q5743">
        <v>1.2361183949705801</v>
      </c>
      <c r="R5743">
        <v>1.27109332181201</v>
      </c>
      <c r="S5743">
        <v>41</v>
      </c>
      <c r="T5743">
        <v>47</v>
      </c>
      <c r="U5743">
        <v>976.35090312815203</v>
      </c>
      <c r="V5743">
        <v>4.84261501210653E-4</v>
      </c>
      <c r="W5743">
        <v>4511751.4179295599</v>
      </c>
      <c r="X5743" t="s">
        <v>43</v>
      </c>
      <c r="Y5743">
        <f>1-942-404-8777</f>
        <v>-10122</v>
      </c>
    </row>
    <row r="5744" spans="1:25" x14ac:dyDescent="0.35">
      <c r="A5744">
        <v>33.341350272356998</v>
      </c>
      <c r="B5744">
        <v>-121.317579808215</v>
      </c>
      <c r="C5744" t="s">
        <v>29</v>
      </c>
      <c r="D5744">
        <v>13.9754907308099</v>
      </c>
      <c r="E5744">
        <v>9</v>
      </c>
      <c r="F5744">
        <v>3120</v>
      </c>
      <c r="G5744">
        <v>2</v>
      </c>
      <c r="H5744">
        <v>1</v>
      </c>
      <c r="I5744">
        <v>2000</v>
      </c>
      <c r="J5744">
        <v>1</v>
      </c>
      <c r="K5744">
        <v>0</v>
      </c>
      <c r="L5744">
        <v>1</v>
      </c>
      <c r="M5744">
        <v>7</v>
      </c>
      <c r="N5744" t="s">
        <v>41</v>
      </c>
      <c r="O5744" t="s">
        <v>32</v>
      </c>
      <c r="P5744">
        <v>5.7099197400664998</v>
      </c>
      <c r="Q5744">
        <v>1.81471026292082</v>
      </c>
      <c r="R5744">
        <v>6.81777839188209</v>
      </c>
      <c r="S5744">
        <v>163</v>
      </c>
      <c r="T5744">
        <v>40</v>
      </c>
      <c r="U5744">
        <v>271.752374936519</v>
      </c>
      <c r="V5744">
        <v>2.24358974358974E-3</v>
      </c>
      <c r="W5744">
        <v>1031508.96589385</v>
      </c>
      <c r="X5744" t="s">
        <v>43</v>
      </c>
      <c r="Y5744">
        <f>1-805-481-5083</f>
        <v>-6368</v>
      </c>
    </row>
    <row r="5745" spans="1:25" x14ac:dyDescent="0.35">
      <c r="A5745">
        <v>41.529272412487401</v>
      </c>
      <c r="B5745">
        <v>-121.11666493123801</v>
      </c>
      <c r="C5745" t="s">
        <v>29</v>
      </c>
      <c r="D5745">
        <v>38.7216355135143</v>
      </c>
      <c r="E5745">
        <v>7</v>
      </c>
      <c r="F5745">
        <v>1696</v>
      </c>
      <c r="G5745">
        <v>2</v>
      </c>
      <c r="H5745">
        <v>2</v>
      </c>
      <c r="I5745">
        <v>1992</v>
      </c>
      <c r="J5745">
        <v>1</v>
      </c>
      <c r="K5745">
        <v>0</v>
      </c>
      <c r="L5745">
        <v>0</v>
      </c>
      <c r="M5745">
        <v>14</v>
      </c>
      <c r="N5745" t="s">
        <v>41</v>
      </c>
      <c r="O5745" t="s">
        <v>27</v>
      </c>
      <c r="P5745">
        <v>8.2608901880958996</v>
      </c>
      <c r="Q5745">
        <v>2.3854819482368299</v>
      </c>
      <c r="R5745">
        <v>9.2565037251159499</v>
      </c>
      <c r="S5745">
        <v>71</v>
      </c>
      <c r="T5745">
        <v>48</v>
      </c>
      <c r="U5745">
        <v>864.61547704472298</v>
      </c>
      <c r="V5745">
        <v>8.2547169811320702E-3</v>
      </c>
      <c r="W5745">
        <v>1698636.53465271</v>
      </c>
      <c r="X5745" t="s">
        <v>42</v>
      </c>
      <c r="Y5745">
        <f>1-984-470-4140</f>
        <v>-5593</v>
      </c>
    </row>
    <row r="5746" spans="1:25" x14ac:dyDescent="0.35">
      <c r="A5746">
        <v>34.568166992681697</v>
      </c>
      <c r="B5746">
        <v>-114.21417583902</v>
      </c>
      <c r="C5746" t="s">
        <v>34</v>
      </c>
      <c r="D5746">
        <v>27.266517249993498</v>
      </c>
      <c r="E5746">
        <v>6</v>
      </c>
      <c r="F5746">
        <v>3234</v>
      </c>
      <c r="G5746">
        <v>5</v>
      </c>
      <c r="H5746">
        <v>2</v>
      </c>
      <c r="I5746">
        <v>1970</v>
      </c>
      <c r="J5746">
        <v>1</v>
      </c>
      <c r="K5746">
        <v>0</v>
      </c>
      <c r="L5746">
        <v>1</v>
      </c>
      <c r="M5746">
        <v>5</v>
      </c>
      <c r="N5746" t="s">
        <v>37</v>
      </c>
      <c r="O5746" t="s">
        <v>27</v>
      </c>
      <c r="P5746">
        <v>12.5365270937095</v>
      </c>
      <c r="Q5746">
        <v>0.98328788204137396</v>
      </c>
      <c r="R5746">
        <v>7.2193870717889999</v>
      </c>
      <c r="S5746">
        <v>54</v>
      </c>
      <c r="T5746">
        <v>70</v>
      </c>
      <c r="U5746">
        <v>991.55221738106104</v>
      </c>
      <c r="V5746">
        <v>1.5460729746444E-3</v>
      </c>
      <c r="W5746">
        <v>3656740.61182715</v>
      </c>
      <c r="X5746" t="s">
        <v>31</v>
      </c>
      <c r="Y5746">
        <f>1-415-575-2363</f>
        <v>-3352</v>
      </c>
    </row>
    <row r="5747" spans="1:25" x14ac:dyDescent="0.35">
      <c r="A5747">
        <v>35.486242897169198</v>
      </c>
      <c r="B5747">
        <v>-114.887108944849</v>
      </c>
      <c r="C5747" t="s">
        <v>25</v>
      </c>
      <c r="D5747">
        <v>2.0676086112497001</v>
      </c>
      <c r="E5747">
        <v>3</v>
      </c>
      <c r="F5747">
        <v>1917</v>
      </c>
      <c r="G5747">
        <v>5</v>
      </c>
      <c r="H5747">
        <v>2</v>
      </c>
      <c r="I5747">
        <v>1954</v>
      </c>
      <c r="J5747">
        <v>1</v>
      </c>
      <c r="K5747">
        <v>1</v>
      </c>
      <c r="L5747">
        <v>1</v>
      </c>
      <c r="M5747">
        <v>7</v>
      </c>
      <c r="N5747" t="s">
        <v>26</v>
      </c>
      <c r="O5747" t="s">
        <v>27</v>
      </c>
      <c r="P5747">
        <v>4.8393971713396997</v>
      </c>
      <c r="Q5747">
        <v>1.06206146921547</v>
      </c>
      <c r="R5747">
        <v>9.8549151641696593</v>
      </c>
      <c r="S5747">
        <v>120</v>
      </c>
      <c r="T5747">
        <v>64</v>
      </c>
      <c r="U5747">
        <v>291.23584793286199</v>
      </c>
      <c r="V5747">
        <v>3.6515388628064601E-3</v>
      </c>
      <c r="W5747">
        <v>919717.91697382298</v>
      </c>
      <c r="X5747" t="s">
        <v>42</v>
      </c>
      <c r="Y5747">
        <f>1-283-259-1947</f>
        <v>-2488</v>
      </c>
    </row>
    <row r="5748" spans="1:25" x14ac:dyDescent="0.35">
      <c r="A5748">
        <v>38.860142867260002</v>
      </c>
      <c r="B5748">
        <v>-117.13491181506799</v>
      </c>
      <c r="C5748" t="s">
        <v>25</v>
      </c>
      <c r="D5748">
        <v>47.012580864217099</v>
      </c>
      <c r="E5748">
        <v>3</v>
      </c>
      <c r="F5748">
        <v>2271</v>
      </c>
      <c r="G5748">
        <v>2</v>
      </c>
      <c r="H5748">
        <v>3</v>
      </c>
      <c r="I5748">
        <v>1970</v>
      </c>
      <c r="J5748">
        <v>1</v>
      </c>
      <c r="K5748">
        <v>0</v>
      </c>
      <c r="L5748">
        <v>1</v>
      </c>
      <c r="M5748">
        <v>6</v>
      </c>
      <c r="N5748" t="s">
        <v>26</v>
      </c>
      <c r="O5748" t="s">
        <v>32</v>
      </c>
      <c r="P5748">
        <v>4.25226031056145</v>
      </c>
      <c r="Q5748">
        <v>1.2042190828939101</v>
      </c>
      <c r="R5748">
        <v>4.1361862028150398</v>
      </c>
      <c r="S5748">
        <v>149</v>
      </c>
      <c r="T5748">
        <v>50</v>
      </c>
      <c r="U5748">
        <v>760.03520841537397</v>
      </c>
      <c r="V5748">
        <v>2.6420079260237699E-3</v>
      </c>
      <c r="W5748">
        <v>1953370.7845759201</v>
      </c>
      <c r="X5748" t="s">
        <v>44</v>
      </c>
      <c r="Y5748">
        <f>1-252-709-6068</f>
        <v>-7028</v>
      </c>
    </row>
    <row r="5749" spans="1:25" x14ac:dyDescent="0.35">
      <c r="A5749">
        <v>40.094254115502103</v>
      </c>
      <c r="B5749">
        <v>-114.47421683087001</v>
      </c>
      <c r="C5749" t="s">
        <v>25</v>
      </c>
      <c r="D5749">
        <v>28.588832536024501</v>
      </c>
      <c r="E5749">
        <v>7</v>
      </c>
      <c r="F5749">
        <v>2608</v>
      </c>
      <c r="G5749">
        <v>5</v>
      </c>
      <c r="H5749">
        <v>2</v>
      </c>
      <c r="I5749">
        <v>1953</v>
      </c>
      <c r="J5749">
        <v>1</v>
      </c>
      <c r="K5749">
        <v>1</v>
      </c>
      <c r="L5749">
        <v>0</v>
      </c>
      <c r="M5749">
        <v>5</v>
      </c>
      <c r="N5749" t="s">
        <v>37</v>
      </c>
      <c r="O5749" t="s">
        <v>27</v>
      </c>
      <c r="P5749">
        <v>5.1249987300471798</v>
      </c>
      <c r="Q5749">
        <v>0.82831511499881205</v>
      </c>
      <c r="R5749">
        <v>5.6653419726943897</v>
      </c>
      <c r="S5749">
        <v>144</v>
      </c>
      <c r="T5749">
        <v>69</v>
      </c>
      <c r="U5749">
        <v>607.48780176446803</v>
      </c>
      <c r="V5749">
        <v>1.9171779141104199E-3</v>
      </c>
      <c r="W5749">
        <v>1878936.7814751901</v>
      </c>
      <c r="X5749" t="s">
        <v>31</v>
      </c>
      <c r="Y5749">
        <f>1-452-648-9180</f>
        <v>-10279</v>
      </c>
    </row>
    <row r="5750" spans="1:25" x14ac:dyDescent="0.35">
      <c r="A5750">
        <v>35.714927446019303</v>
      </c>
      <c r="B5750">
        <v>-116.77870549538299</v>
      </c>
      <c r="C5750" t="s">
        <v>25</v>
      </c>
      <c r="D5750">
        <v>36.979942493850203</v>
      </c>
      <c r="E5750">
        <v>5</v>
      </c>
      <c r="F5750">
        <v>4026</v>
      </c>
      <c r="G5750">
        <v>3</v>
      </c>
      <c r="H5750">
        <v>1</v>
      </c>
      <c r="I5750">
        <v>2018</v>
      </c>
      <c r="J5750">
        <v>0</v>
      </c>
      <c r="K5750">
        <v>1</v>
      </c>
      <c r="L5750">
        <v>0</v>
      </c>
      <c r="M5750">
        <v>14</v>
      </c>
      <c r="N5750" t="s">
        <v>35</v>
      </c>
      <c r="O5750" t="s">
        <v>30</v>
      </c>
      <c r="P5750">
        <v>7.9370022586692803</v>
      </c>
      <c r="Q5750">
        <v>1.09213299344132</v>
      </c>
      <c r="R5750">
        <v>1.3201553888330999</v>
      </c>
      <c r="S5750">
        <v>164</v>
      </c>
      <c r="T5750">
        <v>61</v>
      </c>
      <c r="U5750">
        <v>858.04555303053598</v>
      </c>
      <c r="V5750">
        <v>3.47739692001987E-3</v>
      </c>
      <c r="W5750">
        <v>3744559.2175318901</v>
      </c>
      <c r="X5750" t="s">
        <v>44</v>
      </c>
      <c r="Y5750">
        <f>1-709-273-3815</f>
        <v>-4796</v>
      </c>
    </row>
    <row r="5751" spans="1:25" x14ac:dyDescent="0.35">
      <c r="A5751">
        <v>38.442786206650901</v>
      </c>
      <c r="B5751">
        <v>-121.174963010098</v>
      </c>
      <c r="C5751" t="s">
        <v>29</v>
      </c>
      <c r="D5751">
        <v>38.679468393643504</v>
      </c>
      <c r="E5751">
        <v>4</v>
      </c>
      <c r="F5751">
        <v>3421</v>
      </c>
      <c r="G5751">
        <v>2</v>
      </c>
      <c r="H5751">
        <v>2</v>
      </c>
      <c r="I5751">
        <v>1977</v>
      </c>
      <c r="J5751">
        <v>0</v>
      </c>
      <c r="K5751">
        <v>0</v>
      </c>
      <c r="L5751">
        <v>1</v>
      </c>
      <c r="M5751">
        <v>2</v>
      </c>
      <c r="N5751" t="s">
        <v>35</v>
      </c>
      <c r="O5751" t="s">
        <v>32</v>
      </c>
      <c r="P5751">
        <v>3.8425424933263601</v>
      </c>
      <c r="Q5751">
        <v>0.89218890559523201</v>
      </c>
      <c r="R5751">
        <v>7.2289753753685897</v>
      </c>
      <c r="S5751">
        <v>104</v>
      </c>
      <c r="T5751">
        <v>78</v>
      </c>
      <c r="U5751">
        <v>772.35451124510303</v>
      </c>
      <c r="V5751">
        <v>5.8462437883659703E-4</v>
      </c>
      <c r="W5751">
        <v>2801669.7060189098</v>
      </c>
      <c r="X5751" t="s">
        <v>39</v>
      </c>
      <c r="Y5751">
        <f>1-846-729-7828</f>
        <v>-9402</v>
      </c>
    </row>
    <row r="5752" spans="1:25" x14ac:dyDescent="0.35">
      <c r="A5752">
        <v>35.687579001121897</v>
      </c>
      <c r="B5752">
        <v>-119.40514412740499</v>
      </c>
      <c r="C5752" t="s">
        <v>25</v>
      </c>
      <c r="D5752">
        <v>6.7254189021245701</v>
      </c>
      <c r="E5752">
        <v>3</v>
      </c>
      <c r="F5752">
        <v>3888</v>
      </c>
      <c r="G5752">
        <v>3</v>
      </c>
      <c r="H5752">
        <v>3</v>
      </c>
      <c r="I5752">
        <v>1960</v>
      </c>
      <c r="J5752">
        <v>1</v>
      </c>
      <c r="K5752">
        <v>0</v>
      </c>
      <c r="L5752">
        <v>1</v>
      </c>
      <c r="M5752">
        <v>12</v>
      </c>
      <c r="N5752" t="s">
        <v>26</v>
      </c>
      <c r="O5752" t="s">
        <v>27</v>
      </c>
      <c r="P5752">
        <v>7.7002518647872797</v>
      </c>
      <c r="Q5752">
        <v>1.72527821680814</v>
      </c>
      <c r="R5752">
        <v>3.5840607438006802</v>
      </c>
      <c r="S5752">
        <v>29</v>
      </c>
      <c r="T5752">
        <v>34</v>
      </c>
      <c r="U5752">
        <v>470.00057939628903</v>
      </c>
      <c r="V5752">
        <v>3.08641975308641E-3</v>
      </c>
      <c r="W5752">
        <v>2186788.97855887</v>
      </c>
      <c r="X5752" t="s">
        <v>39</v>
      </c>
      <c r="Y5752">
        <f>1-639-194-3192</f>
        <v>-4024</v>
      </c>
    </row>
    <row r="5753" spans="1:25" x14ac:dyDescent="0.35">
      <c r="A5753">
        <v>40.0582505111297</v>
      </c>
      <c r="B5753">
        <v>-124.293229075254</v>
      </c>
      <c r="C5753" t="s">
        <v>34</v>
      </c>
      <c r="D5753">
        <v>22.7498926384174</v>
      </c>
      <c r="E5753">
        <v>9</v>
      </c>
      <c r="F5753">
        <v>4707</v>
      </c>
      <c r="G5753">
        <v>3</v>
      </c>
      <c r="H5753">
        <v>2</v>
      </c>
      <c r="I5753">
        <v>1955</v>
      </c>
      <c r="J5753">
        <v>0</v>
      </c>
      <c r="K5753">
        <v>0</v>
      </c>
      <c r="L5753">
        <v>1</v>
      </c>
      <c r="M5753">
        <v>14</v>
      </c>
      <c r="N5753" t="s">
        <v>26</v>
      </c>
      <c r="O5753" t="s">
        <v>32</v>
      </c>
      <c r="P5753">
        <v>10.6621299932811</v>
      </c>
      <c r="Q5753">
        <v>1.2097593167911</v>
      </c>
      <c r="R5753">
        <v>0.573573860665617</v>
      </c>
      <c r="S5753">
        <v>130</v>
      </c>
      <c r="T5753">
        <v>61</v>
      </c>
      <c r="U5753">
        <v>518.72646893911099</v>
      </c>
      <c r="V5753">
        <v>2.9742936052687399E-3</v>
      </c>
      <c r="W5753">
        <v>2722935.0962725701</v>
      </c>
      <c r="X5753" t="s">
        <v>42</v>
      </c>
      <c r="Y5753">
        <f>1-621-268-8995</f>
        <v>-9883</v>
      </c>
    </row>
    <row r="5754" spans="1:25" x14ac:dyDescent="0.35">
      <c r="A5754">
        <v>37.183669300716602</v>
      </c>
      <c r="B5754">
        <v>-114.921685972709</v>
      </c>
      <c r="C5754" t="s">
        <v>29</v>
      </c>
      <c r="D5754">
        <v>38.1488558815103</v>
      </c>
      <c r="E5754">
        <v>6</v>
      </c>
      <c r="F5754">
        <v>720</v>
      </c>
      <c r="G5754">
        <v>1</v>
      </c>
      <c r="H5754">
        <v>2</v>
      </c>
      <c r="I5754">
        <v>1998</v>
      </c>
      <c r="J5754">
        <v>0</v>
      </c>
      <c r="K5754">
        <v>0</v>
      </c>
      <c r="L5754">
        <v>1</v>
      </c>
      <c r="M5754">
        <v>5</v>
      </c>
      <c r="N5754" t="s">
        <v>37</v>
      </c>
      <c r="O5754" t="s">
        <v>32</v>
      </c>
      <c r="P5754">
        <v>9.50013920729487</v>
      </c>
      <c r="Q5754">
        <v>1.7751032689958599</v>
      </c>
      <c r="R5754">
        <v>1.3616648595995</v>
      </c>
      <c r="S5754">
        <v>50</v>
      </c>
      <c r="T5754">
        <v>46</v>
      </c>
      <c r="U5754">
        <v>891.72363024775996</v>
      </c>
      <c r="V5754">
        <v>6.9444444444444397E-3</v>
      </c>
      <c r="W5754">
        <v>793235.66430821398</v>
      </c>
      <c r="X5754" t="s">
        <v>36</v>
      </c>
      <c r="Y5754">
        <f>1-728-857-9130</f>
        <v>-10714</v>
      </c>
    </row>
    <row r="5755" spans="1:25" x14ac:dyDescent="0.35">
      <c r="A5755">
        <v>37.897818948285</v>
      </c>
      <c r="B5755">
        <v>-123.36942202442199</v>
      </c>
      <c r="C5755" t="s">
        <v>25</v>
      </c>
      <c r="D5755">
        <v>49.206082630239599</v>
      </c>
      <c r="E5755">
        <v>6</v>
      </c>
      <c r="F5755">
        <v>1034</v>
      </c>
      <c r="G5755">
        <v>5</v>
      </c>
      <c r="H5755">
        <v>2</v>
      </c>
      <c r="I5755">
        <v>2010</v>
      </c>
      <c r="J5755">
        <v>0</v>
      </c>
      <c r="K5755">
        <v>1</v>
      </c>
      <c r="L5755">
        <v>0</v>
      </c>
      <c r="M5755">
        <v>14</v>
      </c>
      <c r="N5755" t="s">
        <v>35</v>
      </c>
      <c r="O5755" t="s">
        <v>32</v>
      </c>
      <c r="P5755">
        <v>13.4558991139849</v>
      </c>
      <c r="Q5755">
        <v>0.76998440999992002</v>
      </c>
      <c r="R5755">
        <v>1.30665148862698</v>
      </c>
      <c r="S5755">
        <v>78</v>
      </c>
      <c r="T5755">
        <v>73</v>
      </c>
      <c r="U5755">
        <v>838.89673913515799</v>
      </c>
      <c r="V5755">
        <v>1.35396518375241E-2</v>
      </c>
      <c r="W5755">
        <v>1414113.54673433</v>
      </c>
      <c r="X5755" t="s">
        <v>31</v>
      </c>
      <c r="Y5755">
        <f>1-241-550-5925</f>
        <v>-6715</v>
      </c>
    </row>
    <row r="5756" spans="1:25" x14ac:dyDescent="0.35">
      <c r="A5756">
        <v>33.364417992068503</v>
      </c>
      <c r="B5756">
        <v>-120.528001516488</v>
      </c>
      <c r="C5756" t="s">
        <v>34</v>
      </c>
      <c r="D5756">
        <v>37.433815095948297</v>
      </c>
      <c r="E5756">
        <v>3</v>
      </c>
      <c r="F5756">
        <v>4212</v>
      </c>
      <c r="G5756">
        <v>3</v>
      </c>
      <c r="H5756">
        <v>2</v>
      </c>
      <c r="I5756">
        <v>1954</v>
      </c>
      <c r="J5756">
        <v>1</v>
      </c>
      <c r="K5756">
        <v>0</v>
      </c>
      <c r="L5756">
        <v>0</v>
      </c>
      <c r="M5756">
        <v>10</v>
      </c>
      <c r="N5756" t="s">
        <v>26</v>
      </c>
      <c r="O5756" t="s">
        <v>32</v>
      </c>
      <c r="P5756">
        <v>7.9568514409187898</v>
      </c>
      <c r="Q5756">
        <v>2.1858043508796801</v>
      </c>
      <c r="R5756">
        <v>5.2209259613173797</v>
      </c>
      <c r="S5756">
        <v>7</v>
      </c>
      <c r="T5756">
        <v>21</v>
      </c>
      <c r="U5756">
        <v>353.70493305122199</v>
      </c>
      <c r="V5756">
        <v>2.3741690408357E-3</v>
      </c>
      <c r="W5756">
        <v>1657663.60539387</v>
      </c>
      <c r="X5756" t="s">
        <v>33</v>
      </c>
      <c r="Y5756">
        <f>1-843-432-7314</f>
        <v>-8588</v>
      </c>
    </row>
    <row r="5757" spans="1:25" x14ac:dyDescent="0.35">
      <c r="A5757">
        <v>40.781398295542999</v>
      </c>
      <c r="B5757">
        <v>-118.192097960052</v>
      </c>
      <c r="C5757" t="s">
        <v>25</v>
      </c>
      <c r="D5757">
        <v>35.849917028326999</v>
      </c>
      <c r="E5757">
        <v>4</v>
      </c>
      <c r="F5757">
        <v>2525</v>
      </c>
      <c r="G5757">
        <v>2</v>
      </c>
      <c r="H5757">
        <v>1</v>
      </c>
      <c r="I5757">
        <v>1975</v>
      </c>
      <c r="J5757">
        <v>0</v>
      </c>
      <c r="K5757">
        <v>1</v>
      </c>
      <c r="L5757">
        <v>0</v>
      </c>
      <c r="M5757">
        <v>9</v>
      </c>
      <c r="N5757" t="s">
        <v>41</v>
      </c>
      <c r="O5757" t="s">
        <v>32</v>
      </c>
      <c r="P5757">
        <v>5.8139041176393604</v>
      </c>
      <c r="Q5757">
        <v>1.3715539511094601</v>
      </c>
      <c r="R5757">
        <v>1.4137572363230599</v>
      </c>
      <c r="S5757">
        <v>44</v>
      </c>
      <c r="T5757">
        <v>65</v>
      </c>
      <c r="U5757">
        <v>822.70764724801302</v>
      </c>
      <c r="V5757">
        <v>3.5643564356435601E-3</v>
      </c>
      <c r="W5757">
        <v>2293229.3053439101</v>
      </c>
      <c r="X5757" t="s">
        <v>40</v>
      </c>
      <c r="Y5757">
        <f>1-353-674-6465</f>
        <v>-7491</v>
      </c>
    </row>
    <row r="5758" spans="1:25" x14ac:dyDescent="0.35">
      <c r="A5758">
        <v>41.820522526304202</v>
      </c>
      <c r="B5758">
        <v>-114.807674313245</v>
      </c>
      <c r="C5758" t="s">
        <v>25</v>
      </c>
      <c r="D5758">
        <v>14.2291329863721</v>
      </c>
      <c r="E5758">
        <v>0</v>
      </c>
      <c r="F5758">
        <v>4623</v>
      </c>
      <c r="G5758">
        <v>5</v>
      </c>
      <c r="H5758">
        <v>1</v>
      </c>
      <c r="I5758">
        <v>1951</v>
      </c>
      <c r="J5758">
        <v>0</v>
      </c>
      <c r="K5758">
        <v>1</v>
      </c>
      <c r="L5758">
        <v>1</v>
      </c>
      <c r="M5758">
        <v>2</v>
      </c>
      <c r="N5758" t="s">
        <v>37</v>
      </c>
      <c r="O5758" t="s">
        <v>27</v>
      </c>
      <c r="P5758">
        <v>14.266221439594499</v>
      </c>
      <c r="Q5758">
        <v>0.83668098039929095</v>
      </c>
      <c r="R5758">
        <v>8.7321740704527908</v>
      </c>
      <c r="S5758">
        <v>51</v>
      </c>
      <c r="T5758">
        <v>69</v>
      </c>
      <c r="U5758">
        <v>525.67130765013701</v>
      </c>
      <c r="V5758">
        <v>4.3261951113995201E-4</v>
      </c>
      <c r="W5758">
        <v>2736026.0333024799</v>
      </c>
      <c r="X5758" t="s">
        <v>39</v>
      </c>
      <c r="Y5758">
        <f>1-341-189-1990</f>
        <v>-2519</v>
      </c>
    </row>
    <row r="5759" spans="1:25" x14ac:dyDescent="0.35">
      <c r="A5759">
        <v>39.528414183817297</v>
      </c>
      <c r="B5759">
        <v>-120.37201211774099</v>
      </c>
      <c r="C5759" t="s">
        <v>34</v>
      </c>
      <c r="D5759">
        <v>2.5690242522992599</v>
      </c>
      <c r="E5759">
        <v>1</v>
      </c>
      <c r="F5759">
        <v>1448</v>
      </c>
      <c r="G5759">
        <v>1</v>
      </c>
      <c r="H5759">
        <v>2</v>
      </c>
      <c r="I5759">
        <v>1992</v>
      </c>
      <c r="J5759">
        <v>0</v>
      </c>
      <c r="K5759">
        <v>0</v>
      </c>
      <c r="L5759">
        <v>0</v>
      </c>
      <c r="M5759">
        <v>9</v>
      </c>
      <c r="N5759" t="s">
        <v>26</v>
      </c>
      <c r="O5759" t="s">
        <v>32</v>
      </c>
      <c r="P5759">
        <v>11.3160932139113</v>
      </c>
      <c r="Q5759">
        <v>1.1819883192143601</v>
      </c>
      <c r="R5759">
        <v>1.5156549473609999</v>
      </c>
      <c r="S5759">
        <v>153</v>
      </c>
      <c r="T5759">
        <v>28</v>
      </c>
      <c r="U5759">
        <v>237.64897967230499</v>
      </c>
      <c r="V5759">
        <v>6.2154696132596596E-3</v>
      </c>
      <c r="W5759">
        <v>467079.35274495202</v>
      </c>
      <c r="X5759" t="s">
        <v>36</v>
      </c>
      <c r="Y5759">
        <f>1-682-760-2473</f>
        <v>-3914</v>
      </c>
    </row>
    <row r="5760" spans="1:25" x14ac:dyDescent="0.35">
      <c r="A5760">
        <v>40.2355500276378</v>
      </c>
      <c r="B5760">
        <v>-119.739188637556</v>
      </c>
      <c r="C5760" t="s">
        <v>34</v>
      </c>
      <c r="D5760">
        <v>7.0834517663082099</v>
      </c>
      <c r="E5760">
        <v>3</v>
      </c>
      <c r="F5760">
        <v>2863</v>
      </c>
      <c r="G5760">
        <v>4</v>
      </c>
      <c r="H5760">
        <v>1</v>
      </c>
      <c r="I5760">
        <v>1977</v>
      </c>
      <c r="J5760">
        <v>1</v>
      </c>
      <c r="K5760">
        <v>1</v>
      </c>
      <c r="L5760">
        <v>1</v>
      </c>
      <c r="M5760">
        <v>14</v>
      </c>
      <c r="N5760" t="s">
        <v>41</v>
      </c>
      <c r="O5760" t="s">
        <v>30</v>
      </c>
      <c r="P5760">
        <v>7.8464910903843998</v>
      </c>
      <c r="Q5760">
        <v>0.69825860811264795</v>
      </c>
      <c r="R5760">
        <v>2.9702390311560301</v>
      </c>
      <c r="S5760">
        <v>93</v>
      </c>
      <c r="T5760">
        <v>31</v>
      </c>
      <c r="U5760">
        <v>376.85467239926697</v>
      </c>
      <c r="V5760">
        <v>4.8899755501222398E-3</v>
      </c>
      <c r="W5760">
        <v>1441540.99740581</v>
      </c>
      <c r="X5760" t="s">
        <v>40</v>
      </c>
      <c r="Y5760">
        <f>1-825-959-7299</f>
        <v>-9082</v>
      </c>
    </row>
    <row r="5761" spans="1:25" x14ac:dyDescent="0.35">
      <c r="A5761">
        <v>37.836316931316603</v>
      </c>
      <c r="B5761">
        <v>-120.64331354223199</v>
      </c>
      <c r="C5761" t="s">
        <v>29</v>
      </c>
      <c r="D5761">
        <v>1.9834714527264801</v>
      </c>
      <c r="E5761">
        <v>8</v>
      </c>
      <c r="F5761">
        <v>2529</v>
      </c>
      <c r="G5761">
        <v>1</v>
      </c>
      <c r="H5761">
        <v>2</v>
      </c>
      <c r="I5761">
        <v>1967</v>
      </c>
      <c r="J5761">
        <v>1</v>
      </c>
      <c r="K5761">
        <v>0</v>
      </c>
      <c r="L5761">
        <v>0</v>
      </c>
      <c r="M5761">
        <v>14</v>
      </c>
      <c r="N5761" t="s">
        <v>26</v>
      </c>
      <c r="O5761" t="s">
        <v>32</v>
      </c>
      <c r="P5761">
        <v>12.3926294114792</v>
      </c>
      <c r="Q5761">
        <v>0.57676336037887299</v>
      </c>
      <c r="R5761">
        <v>5.3317152807839099</v>
      </c>
      <c r="S5761">
        <v>53</v>
      </c>
      <c r="T5761">
        <v>42</v>
      </c>
      <c r="U5761">
        <v>460.92224171443502</v>
      </c>
      <c r="V5761">
        <v>5.5357848952155E-3</v>
      </c>
      <c r="W5761">
        <v>1403996.99243902</v>
      </c>
      <c r="X5761" t="s">
        <v>38</v>
      </c>
      <c r="Y5761">
        <f>1-940-233-6449</f>
        <v>-7621</v>
      </c>
    </row>
    <row r="5762" spans="1:25" x14ac:dyDescent="0.35">
      <c r="A5762">
        <v>35.706780058352798</v>
      </c>
      <c r="B5762">
        <v>-118.22813726082001</v>
      </c>
      <c r="C5762" t="s">
        <v>25</v>
      </c>
      <c r="D5762">
        <v>4.8209588072165497</v>
      </c>
      <c r="E5762">
        <v>6</v>
      </c>
      <c r="F5762">
        <v>4772</v>
      </c>
      <c r="G5762">
        <v>3</v>
      </c>
      <c r="H5762">
        <v>3</v>
      </c>
      <c r="I5762">
        <v>1987</v>
      </c>
      <c r="J5762">
        <v>0</v>
      </c>
      <c r="K5762">
        <v>1</v>
      </c>
      <c r="L5762">
        <v>0</v>
      </c>
      <c r="M5762">
        <v>10</v>
      </c>
      <c r="N5762" t="s">
        <v>35</v>
      </c>
      <c r="O5762" t="s">
        <v>27</v>
      </c>
      <c r="P5762">
        <v>13.2440020409668</v>
      </c>
      <c r="Q5762">
        <v>0.56650941339358696</v>
      </c>
      <c r="R5762">
        <v>7.0681551278836503</v>
      </c>
      <c r="S5762">
        <v>90</v>
      </c>
      <c r="T5762">
        <v>20</v>
      </c>
      <c r="U5762">
        <v>464.74509827028203</v>
      </c>
      <c r="V5762">
        <v>2.0955574182732598E-3</v>
      </c>
      <c r="W5762">
        <v>2596961.5639956701</v>
      </c>
      <c r="X5762" t="s">
        <v>31</v>
      </c>
      <c r="Y5762">
        <f>1-946-365-1393</f>
        <v>-2703</v>
      </c>
    </row>
    <row r="5763" spans="1:25" x14ac:dyDescent="0.35">
      <c r="A5763">
        <v>34.329399708171103</v>
      </c>
      <c r="B5763">
        <v>-114.974359720956</v>
      </c>
      <c r="C5763" t="s">
        <v>25</v>
      </c>
      <c r="D5763">
        <v>1.30869522341893</v>
      </c>
      <c r="E5763">
        <v>9</v>
      </c>
      <c r="F5763">
        <v>4502</v>
      </c>
      <c r="G5763">
        <v>5</v>
      </c>
      <c r="H5763">
        <v>1</v>
      </c>
      <c r="I5763">
        <v>1961</v>
      </c>
      <c r="J5763">
        <v>1</v>
      </c>
      <c r="K5763">
        <v>1</v>
      </c>
      <c r="L5763">
        <v>0</v>
      </c>
      <c r="M5763">
        <v>11</v>
      </c>
      <c r="N5763" t="s">
        <v>37</v>
      </c>
      <c r="O5763" t="s">
        <v>32</v>
      </c>
      <c r="P5763">
        <v>4.7890161834104799</v>
      </c>
      <c r="Q5763">
        <v>0.74459975901997899</v>
      </c>
      <c r="R5763">
        <v>2.52017069393741</v>
      </c>
      <c r="S5763">
        <v>139</v>
      </c>
      <c r="T5763">
        <v>62</v>
      </c>
      <c r="U5763">
        <v>989.92377934408103</v>
      </c>
      <c r="V5763">
        <v>2.44335850733007E-3</v>
      </c>
      <c r="W5763">
        <v>4764470.30804634</v>
      </c>
      <c r="X5763" t="s">
        <v>36</v>
      </c>
      <c r="Y5763">
        <f>1-990-398-4189</f>
        <v>-5576</v>
      </c>
    </row>
    <row r="5764" spans="1:25" x14ac:dyDescent="0.35">
      <c r="A5764">
        <v>36.1140581940925</v>
      </c>
      <c r="B5764">
        <v>-118.398751392338</v>
      </c>
      <c r="C5764" t="s">
        <v>29</v>
      </c>
      <c r="D5764">
        <v>40.2525124369336</v>
      </c>
      <c r="E5764">
        <v>8</v>
      </c>
      <c r="F5764">
        <v>2421</v>
      </c>
      <c r="G5764">
        <v>1</v>
      </c>
      <c r="H5764">
        <v>1</v>
      </c>
      <c r="I5764">
        <v>1954</v>
      </c>
      <c r="J5764">
        <v>0</v>
      </c>
      <c r="K5764">
        <v>0</v>
      </c>
      <c r="L5764">
        <v>0</v>
      </c>
      <c r="M5764">
        <v>4</v>
      </c>
      <c r="N5764" t="s">
        <v>26</v>
      </c>
      <c r="O5764" t="s">
        <v>32</v>
      </c>
      <c r="P5764">
        <v>14.669162722035001</v>
      </c>
      <c r="Q5764">
        <v>2.42786548793767</v>
      </c>
      <c r="R5764">
        <v>1.8943249373142299</v>
      </c>
      <c r="S5764">
        <v>136</v>
      </c>
      <c r="T5764">
        <v>60</v>
      </c>
      <c r="U5764">
        <v>332.13946255619999</v>
      </c>
      <c r="V5764">
        <v>1.6522098306484901E-3</v>
      </c>
      <c r="W5764">
        <v>830097.93894517096</v>
      </c>
      <c r="X5764" t="s">
        <v>43</v>
      </c>
      <c r="Y5764">
        <f>1-413-927-9796</f>
        <v>-11135</v>
      </c>
    </row>
    <row r="5765" spans="1:25" x14ac:dyDescent="0.35">
      <c r="A5765">
        <v>38.512976917401502</v>
      </c>
      <c r="B5765">
        <v>-117.060518687273</v>
      </c>
      <c r="C5765" t="s">
        <v>34</v>
      </c>
      <c r="D5765">
        <v>44.204831198344003</v>
      </c>
      <c r="E5765">
        <v>5</v>
      </c>
      <c r="F5765">
        <v>4956</v>
      </c>
      <c r="G5765">
        <v>4</v>
      </c>
      <c r="H5765">
        <v>3</v>
      </c>
      <c r="I5765">
        <v>1982</v>
      </c>
      <c r="J5765">
        <v>0</v>
      </c>
      <c r="K5765">
        <v>1</v>
      </c>
      <c r="L5765">
        <v>0</v>
      </c>
      <c r="M5765">
        <v>4</v>
      </c>
      <c r="N5765" t="s">
        <v>35</v>
      </c>
      <c r="O5765" t="s">
        <v>27</v>
      </c>
      <c r="P5765">
        <v>10.8693972816975</v>
      </c>
      <c r="Q5765">
        <v>1.7780955745399301</v>
      </c>
      <c r="R5765">
        <v>3.5253689020815902</v>
      </c>
      <c r="S5765">
        <v>141</v>
      </c>
      <c r="T5765">
        <v>71</v>
      </c>
      <c r="U5765">
        <v>737.43718774852402</v>
      </c>
      <c r="V5765">
        <v>8.07102502017756E-4</v>
      </c>
      <c r="W5765">
        <v>4081107.9286732101</v>
      </c>
      <c r="X5765" t="s">
        <v>38</v>
      </c>
      <c r="Y5765">
        <f>1-807-518-2895</f>
        <v>-4219</v>
      </c>
    </row>
    <row r="5766" spans="1:25" x14ac:dyDescent="0.35">
      <c r="A5766">
        <v>39.194557523454698</v>
      </c>
      <c r="B5766">
        <v>-123.726499868573</v>
      </c>
      <c r="C5766" t="s">
        <v>34</v>
      </c>
      <c r="D5766">
        <v>40.686525621889302</v>
      </c>
      <c r="E5766">
        <v>1</v>
      </c>
      <c r="F5766">
        <v>2870</v>
      </c>
      <c r="G5766">
        <v>2</v>
      </c>
      <c r="H5766">
        <v>2</v>
      </c>
      <c r="I5766">
        <v>2007</v>
      </c>
      <c r="J5766">
        <v>1</v>
      </c>
      <c r="K5766">
        <v>0</v>
      </c>
      <c r="L5766">
        <v>1</v>
      </c>
      <c r="M5766">
        <v>12</v>
      </c>
      <c r="N5766" t="s">
        <v>35</v>
      </c>
      <c r="O5766" t="s">
        <v>30</v>
      </c>
      <c r="P5766">
        <v>12.5927566967926</v>
      </c>
      <c r="Q5766">
        <v>1.9474191946230499</v>
      </c>
      <c r="R5766">
        <v>6.5980876437825398</v>
      </c>
      <c r="S5766">
        <v>41</v>
      </c>
      <c r="T5766">
        <v>54</v>
      </c>
      <c r="U5766">
        <v>958.489913444992</v>
      </c>
      <c r="V5766">
        <v>4.1811846689895401E-3</v>
      </c>
      <c r="W5766">
        <v>3096088.5804691799</v>
      </c>
      <c r="X5766" t="s">
        <v>31</v>
      </c>
      <c r="Y5766">
        <f>1-932-820-9893</f>
        <v>-11644</v>
      </c>
    </row>
    <row r="5767" spans="1:25" x14ac:dyDescent="0.35">
      <c r="A5767">
        <v>41.469607861331099</v>
      </c>
      <c r="B5767">
        <v>-116.319904389087</v>
      </c>
      <c r="C5767" t="s">
        <v>29</v>
      </c>
      <c r="D5767">
        <v>47.676303124810097</v>
      </c>
      <c r="E5767">
        <v>3</v>
      </c>
      <c r="F5767">
        <v>3511</v>
      </c>
      <c r="G5767">
        <v>2</v>
      </c>
      <c r="H5767">
        <v>1</v>
      </c>
      <c r="I5767">
        <v>1966</v>
      </c>
      <c r="J5767">
        <v>0</v>
      </c>
      <c r="K5767">
        <v>1</v>
      </c>
      <c r="L5767">
        <v>0</v>
      </c>
      <c r="M5767">
        <v>2</v>
      </c>
      <c r="N5767" t="s">
        <v>35</v>
      </c>
      <c r="O5767" t="s">
        <v>32</v>
      </c>
      <c r="P5767">
        <v>13.887424952252401</v>
      </c>
      <c r="Q5767">
        <v>0.97102586913792599</v>
      </c>
      <c r="R5767">
        <v>2.1270424112961899</v>
      </c>
      <c r="S5767">
        <v>70</v>
      </c>
      <c r="T5767">
        <v>23</v>
      </c>
      <c r="U5767">
        <v>864.49918259959099</v>
      </c>
      <c r="V5767">
        <v>5.6963827969239503E-4</v>
      </c>
      <c r="W5767">
        <v>3322910.89638911</v>
      </c>
      <c r="X5767" t="s">
        <v>36</v>
      </c>
      <c r="Y5767">
        <f>1-990-114-6694</f>
        <v>-7797</v>
      </c>
    </row>
    <row r="5768" spans="1:25" x14ac:dyDescent="0.35">
      <c r="A5768">
        <v>40.882852089227697</v>
      </c>
      <c r="B5768">
        <v>-115.306593719736</v>
      </c>
      <c r="C5768" t="s">
        <v>29</v>
      </c>
      <c r="D5768">
        <v>11.710180617331099</v>
      </c>
      <c r="E5768">
        <v>3</v>
      </c>
      <c r="F5768">
        <v>1422</v>
      </c>
      <c r="G5768">
        <v>2</v>
      </c>
      <c r="H5768">
        <v>2</v>
      </c>
      <c r="I5768">
        <v>2017</v>
      </c>
      <c r="J5768">
        <v>0</v>
      </c>
      <c r="K5768">
        <v>1</v>
      </c>
      <c r="L5768">
        <v>1</v>
      </c>
      <c r="M5768">
        <v>5</v>
      </c>
      <c r="N5768" t="s">
        <v>35</v>
      </c>
      <c r="O5768" t="s">
        <v>32</v>
      </c>
      <c r="P5768">
        <v>14.201475203846901</v>
      </c>
      <c r="Q5768">
        <v>2.1528998752430599</v>
      </c>
      <c r="R5768">
        <v>8.3744537368758092</v>
      </c>
      <c r="S5768">
        <v>76</v>
      </c>
      <c r="T5768">
        <v>26</v>
      </c>
      <c r="U5768">
        <v>282.96328808669199</v>
      </c>
      <c r="V5768">
        <v>3.5161744022503502E-3</v>
      </c>
      <c r="W5768">
        <v>730442.98179680505</v>
      </c>
      <c r="X5768" t="s">
        <v>39</v>
      </c>
      <c r="Y5768">
        <f>1-660-445-1972</f>
        <v>-3076</v>
      </c>
    </row>
    <row r="5769" spans="1:25" x14ac:dyDescent="0.35">
      <c r="A5769">
        <v>37.821430943136903</v>
      </c>
      <c r="B5769">
        <v>-119.01232905937501</v>
      </c>
      <c r="C5769" t="s">
        <v>25</v>
      </c>
      <c r="D5769">
        <v>38.879003601536198</v>
      </c>
      <c r="E5769">
        <v>5</v>
      </c>
      <c r="F5769">
        <v>2363</v>
      </c>
      <c r="G5769">
        <v>4</v>
      </c>
      <c r="H5769">
        <v>2</v>
      </c>
      <c r="I5769">
        <v>1981</v>
      </c>
      <c r="J5769">
        <v>0</v>
      </c>
      <c r="K5769">
        <v>0</v>
      </c>
      <c r="L5769">
        <v>1</v>
      </c>
      <c r="M5769">
        <v>8</v>
      </c>
      <c r="N5769" t="s">
        <v>35</v>
      </c>
      <c r="O5769" t="s">
        <v>27</v>
      </c>
      <c r="P5769">
        <v>12.7431433127055</v>
      </c>
      <c r="Q5769">
        <v>0.92226898731874896</v>
      </c>
      <c r="R5769">
        <v>0.42974164697080097</v>
      </c>
      <c r="S5769">
        <v>112</v>
      </c>
      <c r="T5769">
        <v>64</v>
      </c>
      <c r="U5769">
        <v>376.24691957080898</v>
      </c>
      <c r="V5769">
        <v>3.3855268726195502E-3</v>
      </c>
      <c r="W5769">
        <v>1064519.73935187</v>
      </c>
      <c r="X5769" t="s">
        <v>31</v>
      </c>
      <c r="Y5769">
        <f>1-342-446-8485</f>
        <v>-9272</v>
      </c>
    </row>
    <row r="5770" spans="1:25" x14ac:dyDescent="0.35">
      <c r="A5770">
        <v>38.954539626061297</v>
      </c>
      <c r="B5770">
        <v>-115.526332750447</v>
      </c>
      <c r="C5770" t="s">
        <v>25</v>
      </c>
      <c r="D5770">
        <v>31.129254112760002</v>
      </c>
      <c r="E5770">
        <v>4</v>
      </c>
      <c r="F5770">
        <v>1405</v>
      </c>
      <c r="G5770">
        <v>5</v>
      </c>
      <c r="H5770">
        <v>1</v>
      </c>
      <c r="I5770">
        <v>2000</v>
      </c>
      <c r="J5770">
        <v>1</v>
      </c>
      <c r="K5770">
        <v>0</v>
      </c>
      <c r="L5770">
        <v>1</v>
      </c>
      <c r="M5770">
        <v>13</v>
      </c>
      <c r="N5770" t="s">
        <v>41</v>
      </c>
      <c r="O5770" t="s">
        <v>27</v>
      </c>
      <c r="P5770">
        <v>4.6380111857338999</v>
      </c>
      <c r="Q5770">
        <v>1.3415988152766101</v>
      </c>
      <c r="R5770">
        <v>1.3819608325402</v>
      </c>
      <c r="S5770">
        <v>29</v>
      </c>
      <c r="T5770">
        <v>64</v>
      </c>
      <c r="U5770">
        <v>827.37014300844805</v>
      </c>
      <c r="V5770">
        <v>9.2526690391458999E-3</v>
      </c>
      <c r="W5770">
        <v>1575115.1300470701</v>
      </c>
      <c r="X5770" t="s">
        <v>43</v>
      </c>
      <c r="Y5770">
        <f>1-456-120-4356</f>
        <v>-4931</v>
      </c>
    </row>
    <row r="5771" spans="1:25" x14ac:dyDescent="0.35">
      <c r="A5771">
        <v>34.593683437504801</v>
      </c>
      <c r="B5771">
        <v>-122.045611234288</v>
      </c>
      <c r="C5771" t="s">
        <v>34</v>
      </c>
      <c r="D5771">
        <v>44.376037491299698</v>
      </c>
      <c r="E5771">
        <v>4</v>
      </c>
      <c r="F5771">
        <v>2957</v>
      </c>
      <c r="G5771">
        <v>2</v>
      </c>
      <c r="H5771">
        <v>3</v>
      </c>
      <c r="I5771">
        <v>2001</v>
      </c>
      <c r="J5771">
        <v>0</v>
      </c>
      <c r="K5771">
        <v>0</v>
      </c>
      <c r="L5771">
        <v>0</v>
      </c>
      <c r="M5771">
        <v>10</v>
      </c>
      <c r="N5771" t="s">
        <v>35</v>
      </c>
      <c r="O5771" t="s">
        <v>27</v>
      </c>
      <c r="P5771">
        <v>7.9758109018262404</v>
      </c>
      <c r="Q5771">
        <v>2.3239586790327098</v>
      </c>
      <c r="R5771">
        <v>2.8198987636097299</v>
      </c>
      <c r="S5771">
        <v>101</v>
      </c>
      <c r="T5771">
        <v>67</v>
      </c>
      <c r="U5771">
        <v>933.88319177598396</v>
      </c>
      <c r="V5771">
        <v>3.38180588434223E-3</v>
      </c>
      <c r="W5771">
        <v>2915071.8369208402</v>
      </c>
      <c r="X5771" t="s">
        <v>36</v>
      </c>
      <c r="Y5771">
        <f>1-975-504-1762</f>
        <v>-3240</v>
      </c>
    </row>
    <row r="5772" spans="1:25" x14ac:dyDescent="0.35">
      <c r="A5772">
        <v>35.9232352162879</v>
      </c>
      <c r="B5772">
        <v>-114.942490172258</v>
      </c>
      <c r="C5772" t="s">
        <v>29</v>
      </c>
      <c r="D5772">
        <v>24.537299332142499</v>
      </c>
      <c r="E5772">
        <v>3</v>
      </c>
      <c r="F5772">
        <v>901</v>
      </c>
      <c r="G5772">
        <v>2</v>
      </c>
      <c r="H5772">
        <v>3</v>
      </c>
      <c r="I5772">
        <v>2017</v>
      </c>
      <c r="J5772">
        <v>0</v>
      </c>
      <c r="K5772">
        <v>1</v>
      </c>
      <c r="L5772">
        <v>0</v>
      </c>
      <c r="M5772">
        <v>5</v>
      </c>
      <c r="N5772" t="s">
        <v>41</v>
      </c>
      <c r="O5772" t="s">
        <v>27</v>
      </c>
      <c r="P5772">
        <v>12.589910814218801</v>
      </c>
      <c r="Q5772">
        <v>1.7283549330304899</v>
      </c>
      <c r="R5772">
        <v>5.57593604819552</v>
      </c>
      <c r="S5772">
        <v>122</v>
      </c>
      <c r="T5772">
        <v>27</v>
      </c>
      <c r="U5772">
        <v>504.897451930778</v>
      </c>
      <c r="V5772">
        <v>5.5493895671476102E-3</v>
      </c>
      <c r="W5772">
        <v>848651.13458963204</v>
      </c>
      <c r="X5772" t="s">
        <v>38</v>
      </c>
      <c r="Y5772">
        <f>1-739-357-1791</f>
        <v>-2886</v>
      </c>
    </row>
    <row r="5773" spans="1:25" x14ac:dyDescent="0.35">
      <c r="A5773">
        <v>33.459900094294497</v>
      </c>
      <c r="B5773">
        <v>-118.130278310848</v>
      </c>
      <c r="C5773" t="s">
        <v>25</v>
      </c>
      <c r="D5773">
        <v>40.793517618664097</v>
      </c>
      <c r="E5773">
        <v>3</v>
      </c>
      <c r="F5773">
        <v>2627</v>
      </c>
      <c r="G5773">
        <v>2</v>
      </c>
      <c r="H5773">
        <v>1</v>
      </c>
      <c r="I5773">
        <v>2013</v>
      </c>
      <c r="J5773">
        <v>1</v>
      </c>
      <c r="K5773">
        <v>1</v>
      </c>
      <c r="L5773">
        <v>0</v>
      </c>
      <c r="M5773">
        <v>5</v>
      </c>
      <c r="N5773" t="s">
        <v>37</v>
      </c>
      <c r="O5773" t="s">
        <v>32</v>
      </c>
      <c r="P5773">
        <v>7.8636907607154196</v>
      </c>
      <c r="Q5773">
        <v>0.85562855831373097</v>
      </c>
      <c r="R5773">
        <v>4.6564777519300602</v>
      </c>
      <c r="S5773">
        <v>109</v>
      </c>
      <c r="T5773">
        <v>56</v>
      </c>
      <c r="U5773">
        <v>593.55442746683605</v>
      </c>
      <c r="V5773">
        <v>1.90331176246669E-3</v>
      </c>
      <c r="W5773">
        <v>1819341.9828146901</v>
      </c>
      <c r="X5773" t="s">
        <v>31</v>
      </c>
      <c r="Y5773">
        <f>1-727-752-7792</f>
        <v>-9270</v>
      </c>
    </row>
    <row r="5774" spans="1:25" x14ac:dyDescent="0.35">
      <c r="A5774">
        <v>35.245950706829198</v>
      </c>
      <c r="B5774">
        <v>-115.706614231967</v>
      </c>
      <c r="C5774" t="s">
        <v>34</v>
      </c>
      <c r="D5774">
        <v>48.513029220031903</v>
      </c>
      <c r="E5774">
        <v>1</v>
      </c>
      <c r="F5774">
        <v>4440</v>
      </c>
      <c r="G5774">
        <v>2</v>
      </c>
      <c r="H5774">
        <v>3</v>
      </c>
      <c r="I5774">
        <v>2000</v>
      </c>
      <c r="J5774">
        <v>0</v>
      </c>
      <c r="K5774">
        <v>0</v>
      </c>
      <c r="L5774">
        <v>1</v>
      </c>
      <c r="M5774">
        <v>9</v>
      </c>
      <c r="N5774" t="s">
        <v>37</v>
      </c>
      <c r="O5774" t="s">
        <v>30</v>
      </c>
      <c r="P5774">
        <v>7.8707796467845101</v>
      </c>
      <c r="Q5774">
        <v>0.51069416198139395</v>
      </c>
      <c r="R5774">
        <v>1.74956378590238</v>
      </c>
      <c r="S5774">
        <v>40</v>
      </c>
      <c r="T5774">
        <v>41</v>
      </c>
      <c r="U5774">
        <v>627.80684666206298</v>
      </c>
      <c r="V5774">
        <v>2.0270270270270202E-3</v>
      </c>
      <c r="W5774">
        <v>3091373.8342767302</v>
      </c>
      <c r="X5774" t="s">
        <v>38</v>
      </c>
      <c r="Y5774">
        <f>1-318-801-1760</f>
        <v>-2878</v>
      </c>
    </row>
    <row r="5775" spans="1:25" x14ac:dyDescent="0.35">
      <c r="A5775">
        <v>37.166811500988601</v>
      </c>
      <c r="B5775">
        <v>-123.479186220293</v>
      </c>
      <c r="C5775" t="s">
        <v>34</v>
      </c>
      <c r="D5775">
        <v>42.2309224714</v>
      </c>
      <c r="E5775">
        <v>0</v>
      </c>
      <c r="F5775">
        <v>1551</v>
      </c>
      <c r="G5775">
        <v>4</v>
      </c>
      <c r="H5775">
        <v>3</v>
      </c>
      <c r="I5775">
        <v>1988</v>
      </c>
      <c r="J5775">
        <v>1</v>
      </c>
      <c r="K5775">
        <v>1</v>
      </c>
      <c r="L5775">
        <v>0</v>
      </c>
      <c r="M5775">
        <v>8</v>
      </c>
      <c r="N5775" t="s">
        <v>26</v>
      </c>
      <c r="O5775" t="s">
        <v>30</v>
      </c>
      <c r="P5775">
        <v>8.3298984086624497</v>
      </c>
      <c r="Q5775">
        <v>0.56521922871381403</v>
      </c>
      <c r="R5775">
        <v>6.3950239255156403</v>
      </c>
      <c r="S5775">
        <v>149</v>
      </c>
      <c r="T5775">
        <v>66</v>
      </c>
      <c r="U5775">
        <v>921.64373646638796</v>
      </c>
      <c r="V5775">
        <v>5.1579626047711102E-3</v>
      </c>
      <c r="W5775">
        <v>1873701.1812501601</v>
      </c>
      <c r="X5775" t="s">
        <v>31</v>
      </c>
      <c r="Y5775">
        <f>1-220-355-9892</f>
        <v>-10466</v>
      </c>
    </row>
    <row r="5776" spans="1:25" x14ac:dyDescent="0.35">
      <c r="A5776">
        <v>33.12618824111</v>
      </c>
      <c r="B5776">
        <v>-119.251233791948</v>
      </c>
      <c r="C5776" t="s">
        <v>29</v>
      </c>
      <c r="D5776">
        <v>48.1640381801476</v>
      </c>
      <c r="E5776">
        <v>0</v>
      </c>
      <c r="F5776">
        <v>1752</v>
      </c>
      <c r="G5776">
        <v>1</v>
      </c>
      <c r="H5776">
        <v>3</v>
      </c>
      <c r="I5776">
        <v>2021</v>
      </c>
      <c r="J5776">
        <v>1</v>
      </c>
      <c r="K5776">
        <v>0</v>
      </c>
      <c r="L5776">
        <v>1</v>
      </c>
      <c r="M5776">
        <v>14</v>
      </c>
      <c r="N5776" t="s">
        <v>35</v>
      </c>
      <c r="O5776" t="s">
        <v>30</v>
      </c>
      <c r="P5776">
        <v>2.6665469344531498</v>
      </c>
      <c r="Q5776">
        <v>2.0308899532531801</v>
      </c>
      <c r="R5776">
        <v>7.2734092571223696</v>
      </c>
      <c r="S5776">
        <v>86</v>
      </c>
      <c r="T5776">
        <v>55</v>
      </c>
      <c r="U5776">
        <v>222.909260899505</v>
      </c>
      <c r="V5776">
        <v>7.9908675799086702E-3</v>
      </c>
      <c r="W5776">
        <v>601270.74355831603</v>
      </c>
      <c r="X5776" t="s">
        <v>44</v>
      </c>
      <c r="Y5776">
        <f>1-927-414-4674</f>
        <v>-6014</v>
      </c>
    </row>
    <row r="5777" spans="1:25" x14ac:dyDescent="0.35">
      <c r="A5777">
        <v>41.589476744524703</v>
      </c>
      <c r="B5777">
        <v>-122.185499990811</v>
      </c>
      <c r="C5777" t="s">
        <v>29</v>
      </c>
      <c r="D5777">
        <v>38.271190748726298</v>
      </c>
      <c r="E5777">
        <v>2</v>
      </c>
      <c r="F5777">
        <v>3390</v>
      </c>
      <c r="G5777">
        <v>3</v>
      </c>
      <c r="H5777">
        <v>2</v>
      </c>
      <c r="I5777">
        <v>2020</v>
      </c>
      <c r="J5777">
        <v>1</v>
      </c>
      <c r="K5777">
        <v>1</v>
      </c>
      <c r="L5777">
        <v>0</v>
      </c>
      <c r="M5777">
        <v>4</v>
      </c>
      <c r="N5777" t="s">
        <v>35</v>
      </c>
      <c r="O5777" t="s">
        <v>27</v>
      </c>
      <c r="P5777">
        <v>4.7914195819876699</v>
      </c>
      <c r="Q5777">
        <v>1.79780911113292</v>
      </c>
      <c r="R5777">
        <v>7.7663561758934199</v>
      </c>
      <c r="S5777">
        <v>128</v>
      </c>
      <c r="T5777">
        <v>57</v>
      </c>
      <c r="U5777">
        <v>589.89844865109205</v>
      </c>
      <c r="V5777">
        <v>1.1799410029498501E-3</v>
      </c>
      <c r="W5777">
        <v>2296691.4121758798</v>
      </c>
      <c r="X5777" t="s">
        <v>43</v>
      </c>
      <c r="Y5777">
        <f>1-753-731-5340</f>
        <v>-6823</v>
      </c>
    </row>
    <row r="5778" spans="1:25" x14ac:dyDescent="0.35">
      <c r="A5778">
        <v>34.612935326155402</v>
      </c>
      <c r="B5778">
        <v>-115.93392721158</v>
      </c>
      <c r="C5778" t="s">
        <v>34</v>
      </c>
      <c r="D5778">
        <v>7.5520509909358999</v>
      </c>
      <c r="E5778">
        <v>6</v>
      </c>
      <c r="F5778">
        <v>2617</v>
      </c>
      <c r="G5778">
        <v>5</v>
      </c>
      <c r="H5778">
        <v>2</v>
      </c>
      <c r="I5778">
        <v>1950</v>
      </c>
      <c r="J5778">
        <v>0</v>
      </c>
      <c r="K5778">
        <v>0</v>
      </c>
      <c r="L5778">
        <v>1</v>
      </c>
      <c r="M5778">
        <v>14</v>
      </c>
      <c r="N5778" t="s">
        <v>26</v>
      </c>
      <c r="O5778" t="s">
        <v>32</v>
      </c>
      <c r="P5778">
        <v>6.3957423195588596</v>
      </c>
      <c r="Q5778">
        <v>0.62675505281711397</v>
      </c>
      <c r="R5778">
        <v>4.1305779738322004</v>
      </c>
      <c r="S5778">
        <v>175</v>
      </c>
      <c r="T5778">
        <v>76</v>
      </c>
      <c r="U5778">
        <v>332.78088458433001</v>
      </c>
      <c r="V5778">
        <v>5.3496369889186003E-3</v>
      </c>
      <c r="W5778">
        <v>1182787.5236867699</v>
      </c>
      <c r="X5778" t="s">
        <v>28</v>
      </c>
      <c r="Y5778">
        <f>1-319-982-6368</f>
        <v>-7668</v>
      </c>
    </row>
    <row r="5779" spans="1:25" x14ac:dyDescent="0.35">
      <c r="A5779">
        <v>41.947989113848202</v>
      </c>
      <c r="B5779">
        <v>-123.441763138372</v>
      </c>
      <c r="C5779" t="s">
        <v>29</v>
      </c>
      <c r="D5779">
        <v>13.057512340755601</v>
      </c>
      <c r="E5779">
        <v>3</v>
      </c>
      <c r="F5779">
        <v>4422</v>
      </c>
      <c r="G5779">
        <v>2</v>
      </c>
      <c r="H5779">
        <v>3</v>
      </c>
      <c r="I5779">
        <v>1963</v>
      </c>
      <c r="J5779">
        <v>0</v>
      </c>
      <c r="K5779">
        <v>0</v>
      </c>
      <c r="L5779">
        <v>1</v>
      </c>
      <c r="M5779">
        <v>11</v>
      </c>
      <c r="N5779" t="s">
        <v>41</v>
      </c>
      <c r="O5779" t="s">
        <v>27</v>
      </c>
      <c r="P5779">
        <v>10.7088838257731</v>
      </c>
      <c r="Q5779">
        <v>1.1762269916077699</v>
      </c>
      <c r="R5779">
        <v>4.2284458823691802</v>
      </c>
      <c r="S5779">
        <v>103</v>
      </c>
      <c r="T5779">
        <v>41</v>
      </c>
      <c r="U5779">
        <v>466.96741909768002</v>
      </c>
      <c r="V5779">
        <v>2.4875621890547198E-3</v>
      </c>
      <c r="W5779">
        <v>2330422.48895188</v>
      </c>
      <c r="X5779" t="s">
        <v>38</v>
      </c>
      <c r="Y5779">
        <f>1-234-111-5077</f>
        <v>-5421</v>
      </c>
    </row>
    <row r="5780" spans="1:25" x14ac:dyDescent="0.35">
      <c r="A5780">
        <v>37.456344587045997</v>
      </c>
      <c r="B5780">
        <v>-114.78413955751699</v>
      </c>
      <c r="C5780" t="s">
        <v>25</v>
      </c>
      <c r="D5780">
        <v>45.067442214559598</v>
      </c>
      <c r="E5780">
        <v>6</v>
      </c>
      <c r="F5780">
        <v>4323</v>
      </c>
      <c r="G5780">
        <v>5</v>
      </c>
      <c r="H5780">
        <v>3</v>
      </c>
      <c r="I5780">
        <v>1970</v>
      </c>
      <c r="J5780">
        <v>0</v>
      </c>
      <c r="K5780">
        <v>0</v>
      </c>
      <c r="L5780">
        <v>1</v>
      </c>
      <c r="M5780">
        <v>5</v>
      </c>
      <c r="N5780" t="s">
        <v>35</v>
      </c>
      <c r="O5780" t="s">
        <v>27</v>
      </c>
      <c r="P5780">
        <v>3.7889506740012102</v>
      </c>
      <c r="Q5780">
        <v>1.4592477454723201</v>
      </c>
      <c r="R5780">
        <v>6.8863353261322402</v>
      </c>
      <c r="S5780">
        <v>93</v>
      </c>
      <c r="T5780">
        <v>20</v>
      </c>
      <c r="U5780">
        <v>681.15778771632404</v>
      </c>
      <c r="V5780">
        <v>1.15660421003932E-3</v>
      </c>
      <c r="W5780">
        <v>3184579.5378442998</v>
      </c>
      <c r="X5780" t="s">
        <v>38</v>
      </c>
      <c r="Y5780">
        <f>1-468-335-3344</f>
        <v>-4146</v>
      </c>
    </row>
    <row r="5781" spans="1:25" x14ac:dyDescent="0.35">
      <c r="A5781">
        <v>34.209098023825398</v>
      </c>
      <c r="B5781">
        <v>-124.385489294772</v>
      </c>
      <c r="C5781" t="s">
        <v>25</v>
      </c>
      <c r="D5781">
        <v>12.9115147341148</v>
      </c>
      <c r="E5781">
        <v>6</v>
      </c>
      <c r="F5781">
        <v>3762</v>
      </c>
      <c r="G5781">
        <v>5</v>
      </c>
      <c r="H5781">
        <v>1</v>
      </c>
      <c r="I5781">
        <v>1979</v>
      </c>
      <c r="J5781">
        <v>1</v>
      </c>
      <c r="K5781">
        <v>1</v>
      </c>
      <c r="L5781">
        <v>0</v>
      </c>
      <c r="M5781">
        <v>5</v>
      </c>
      <c r="N5781" t="s">
        <v>41</v>
      </c>
      <c r="O5781" t="s">
        <v>30</v>
      </c>
      <c r="P5781">
        <v>3.9740137646568399</v>
      </c>
      <c r="Q5781">
        <v>1.6548358653866999</v>
      </c>
      <c r="R5781">
        <v>1.0772230325304499</v>
      </c>
      <c r="S5781">
        <v>124</v>
      </c>
      <c r="T5781">
        <v>52</v>
      </c>
      <c r="U5781">
        <v>404.418394056941</v>
      </c>
      <c r="V5781">
        <v>1.32908027644869E-3</v>
      </c>
      <c r="W5781">
        <v>1947477.18203771</v>
      </c>
      <c r="X5781" t="s">
        <v>38</v>
      </c>
      <c r="Y5781">
        <f>1-857-959-5982</f>
        <v>-7797</v>
      </c>
    </row>
    <row r="5782" spans="1:25" x14ac:dyDescent="0.35">
      <c r="A5782">
        <v>33.768732468453997</v>
      </c>
      <c r="B5782">
        <v>-123.10834928066799</v>
      </c>
      <c r="C5782" t="s">
        <v>25</v>
      </c>
      <c r="D5782">
        <v>47.604323916453403</v>
      </c>
      <c r="E5782">
        <v>1</v>
      </c>
      <c r="F5782">
        <v>4524</v>
      </c>
      <c r="G5782">
        <v>1</v>
      </c>
      <c r="H5782">
        <v>2</v>
      </c>
      <c r="I5782">
        <v>1955</v>
      </c>
      <c r="J5782">
        <v>1</v>
      </c>
      <c r="K5782">
        <v>1</v>
      </c>
      <c r="L5782">
        <v>0</v>
      </c>
      <c r="M5782">
        <v>4</v>
      </c>
      <c r="N5782" t="s">
        <v>41</v>
      </c>
      <c r="O5782" t="s">
        <v>30</v>
      </c>
      <c r="P5782">
        <v>4.7347524612935796</v>
      </c>
      <c r="Q5782">
        <v>2.2899378465496198</v>
      </c>
      <c r="R5782">
        <v>2.9828658043175702</v>
      </c>
      <c r="S5782">
        <v>88</v>
      </c>
      <c r="T5782">
        <v>57</v>
      </c>
      <c r="U5782">
        <v>782.54605284438196</v>
      </c>
      <c r="V5782">
        <v>8.8417329796640104E-4</v>
      </c>
      <c r="W5782">
        <v>3715224.67086722</v>
      </c>
      <c r="X5782" t="s">
        <v>44</v>
      </c>
      <c r="Y5782">
        <f>1-744-654-2914</f>
        <v>-4311</v>
      </c>
    </row>
    <row r="5783" spans="1:25" x14ac:dyDescent="0.35">
      <c r="A5783">
        <v>38.899042377028302</v>
      </c>
      <c r="B5783">
        <v>-123.282220072249</v>
      </c>
      <c r="C5783" t="s">
        <v>25</v>
      </c>
      <c r="D5783">
        <v>18.651628842077699</v>
      </c>
      <c r="E5783">
        <v>7</v>
      </c>
      <c r="F5783">
        <v>2053</v>
      </c>
      <c r="G5783">
        <v>2</v>
      </c>
      <c r="H5783">
        <v>3</v>
      </c>
      <c r="I5783">
        <v>1958</v>
      </c>
      <c r="J5783">
        <v>0</v>
      </c>
      <c r="K5783">
        <v>0</v>
      </c>
      <c r="L5783">
        <v>0</v>
      </c>
      <c r="M5783">
        <v>3</v>
      </c>
      <c r="N5783" t="s">
        <v>26</v>
      </c>
      <c r="O5783" t="s">
        <v>30</v>
      </c>
      <c r="P5783">
        <v>10.0714458910355</v>
      </c>
      <c r="Q5783">
        <v>2.1460784678774201</v>
      </c>
      <c r="R5783">
        <v>4.5237737600522197</v>
      </c>
      <c r="S5783">
        <v>21</v>
      </c>
      <c r="T5783">
        <v>71</v>
      </c>
      <c r="U5783">
        <v>375.92969301391599</v>
      </c>
      <c r="V5783">
        <v>1.4612761811982401E-3</v>
      </c>
      <c r="W5783">
        <v>916194.31446528505</v>
      </c>
      <c r="X5783" t="s">
        <v>40</v>
      </c>
      <c r="Y5783">
        <f>1-968-977-2748</f>
        <v>-4692</v>
      </c>
    </row>
    <row r="5784" spans="1:25" x14ac:dyDescent="0.35">
      <c r="A5784">
        <v>35.779196901833203</v>
      </c>
      <c r="B5784">
        <v>-114.745829463935</v>
      </c>
      <c r="C5784" t="s">
        <v>34</v>
      </c>
      <c r="D5784">
        <v>30.8439863134892</v>
      </c>
      <c r="E5784">
        <v>6</v>
      </c>
      <c r="F5784">
        <v>3529</v>
      </c>
      <c r="G5784">
        <v>3</v>
      </c>
      <c r="H5784">
        <v>1</v>
      </c>
      <c r="I5784">
        <v>1993</v>
      </c>
      <c r="J5784">
        <v>1</v>
      </c>
      <c r="K5784">
        <v>0</v>
      </c>
      <c r="L5784">
        <v>1</v>
      </c>
      <c r="M5784">
        <v>8</v>
      </c>
      <c r="N5784" t="s">
        <v>37</v>
      </c>
      <c r="O5784" t="s">
        <v>30</v>
      </c>
      <c r="P5784">
        <v>9.7088919921055403</v>
      </c>
      <c r="Q5784">
        <v>2.3852772729316101</v>
      </c>
      <c r="R5784">
        <v>4.7200699964580597</v>
      </c>
      <c r="S5784">
        <v>79</v>
      </c>
      <c r="T5784">
        <v>21</v>
      </c>
      <c r="U5784">
        <v>300.130612289113</v>
      </c>
      <c r="V5784">
        <v>2.2669311419665598E-3</v>
      </c>
      <c r="W5784">
        <v>1273383.80468726</v>
      </c>
      <c r="X5784" t="s">
        <v>38</v>
      </c>
      <c r="Y5784">
        <f>1-610-916-8213</f>
        <v>-9738</v>
      </c>
    </row>
    <row r="5785" spans="1:25" x14ac:dyDescent="0.35">
      <c r="A5785">
        <v>40.786148912635298</v>
      </c>
      <c r="B5785">
        <v>-114.64528729470599</v>
      </c>
      <c r="C5785" t="s">
        <v>34</v>
      </c>
      <c r="D5785">
        <v>34.941823668633397</v>
      </c>
      <c r="E5785">
        <v>2</v>
      </c>
      <c r="F5785">
        <v>2140</v>
      </c>
      <c r="G5785">
        <v>2</v>
      </c>
      <c r="H5785">
        <v>3</v>
      </c>
      <c r="I5785">
        <v>1983</v>
      </c>
      <c r="J5785">
        <v>0</v>
      </c>
      <c r="K5785">
        <v>0</v>
      </c>
      <c r="L5785">
        <v>0</v>
      </c>
      <c r="M5785">
        <v>4</v>
      </c>
      <c r="N5785" t="s">
        <v>37</v>
      </c>
      <c r="O5785" t="s">
        <v>30</v>
      </c>
      <c r="P5785">
        <v>6.5916169117177699</v>
      </c>
      <c r="Q5785">
        <v>2.0358626467847598</v>
      </c>
      <c r="R5785">
        <v>7.2545908119091296</v>
      </c>
      <c r="S5785">
        <v>51</v>
      </c>
      <c r="T5785">
        <v>58</v>
      </c>
      <c r="U5785">
        <v>750.86410420737104</v>
      </c>
      <c r="V5785">
        <v>1.8691588785046699E-3</v>
      </c>
      <c r="W5785">
        <v>1787390.2183876601</v>
      </c>
      <c r="X5785" t="s">
        <v>38</v>
      </c>
      <c r="Y5785">
        <f>1-856-830-6037</f>
        <v>-7722</v>
      </c>
    </row>
    <row r="5786" spans="1:25" x14ac:dyDescent="0.35">
      <c r="A5786">
        <v>33.441033365798901</v>
      </c>
      <c r="B5786">
        <v>-116.19978768324999</v>
      </c>
      <c r="C5786" t="s">
        <v>25</v>
      </c>
      <c r="D5786">
        <v>17.267749150530001</v>
      </c>
      <c r="E5786">
        <v>3</v>
      </c>
      <c r="F5786">
        <v>3253</v>
      </c>
      <c r="G5786">
        <v>3</v>
      </c>
      <c r="H5786">
        <v>1</v>
      </c>
      <c r="I5786">
        <v>2012</v>
      </c>
      <c r="J5786">
        <v>0</v>
      </c>
      <c r="K5786">
        <v>0</v>
      </c>
      <c r="L5786">
        <v>1</v>
      </c>
      <c r="M5786">
        <v>8</v>
      </c>
      <c r="N5786" t="s">
        <v>41</v>
      </c>
      <c r="O5786" t="s">
        <v>27</v>
      </c>
      <c r="P5786">
        <v>13.592686781779999</v>
      </c>
      <c r="Q5786">
        <v>1.9128758421976</v>
      </c>
      <c r="R5786">
        <v>4.7682885292505199</v>
      </c>
      <c r="S5786">
        <v>150</v>
      </c>
      <c r="T5786">
        <v>21</v>
      </c>
      <c r="U5786">
        <v>898.83090355200295</v>
      </c>
      <c r="V5786">
        <v>2.45926836766062E-3</v>
      </c>
      <c r="W5786">
        <v>3188618.3658801201</v>
      </c>
      <c r="X5786" t="s">
        <v>43</v>
      </c>
      <c r="Y5786">
        <f>1-989-935-1212</f>
        <v>-3135</v>
      </c>
    </row>
    <row r="5787" spans="1:25" x14ac:dyDescent="0.35">
      <c r="A5787">
        <v>39.895136721796298</v>
      </c>
      <c r="B5787">
        <v>-122.132348669289</v>
      </c>
      <c r="C5787" t="s">
        <v>25</v>
      </c>
      <c r="D5787">
        <v>40.313072819506701</v>
      </c>
      <c r="E5787">
        <v>3</v>
      </c>
      <c r="F5787">
        <v>3048</v>
      </c>
      <c r="G5787">
        <v>3</v>
      </c>
      <c r="H5787">
        <v>2</v>
      </c>
      <c r="I5787">
        <v>1972</v>
      </c>
      <c r="J5787">
        <v>0</v>
      </c>
      <c r="K5787">
        <v>0</v>
      </c>
      <c r="L5787">
        <v>1</v>
      </c>
      <c r="M5787">
        <v>13</v>
      </c>
      <c r="N5787" t="s">
        <v>35</v>
      </c>
      <c r="O5787" t="s">
        <v>27</v>
      </c>
      <c r="P5787">
        <v>7.2478657899895804</v>
      </c>
      <c r="Q5787">
        <v>1.5054872813153399</v>
      </c>
      <c r="R5787">
        <v>9.6180684544190402</v>
      </c>
      <c r="S5787">
        <v>92</v>
      </c>
      <c r="T5787">
        <v>30</v>
      </c>
      <c r="U5787">
        <v>240.63828510072599</v>
      </c>
      <c r="V5787">
        <v>4.2650918635170603E-3</v>
      </c>
      <c r="W5787">
        <v>925769.72690113203</v>
      </c>
      <c r="X5787" t="s">
        <v>42</v>
      </c>
      <c r="Y5787">
        <f>1-327-702-9381</f>
        <v>-10409</v>
      </c>
    </row>
    <row r="5788" spans="1:25" x14ac:dyDescent="0.35">
      <c r="A5788">
        <v>40.916247076243998</v>
      </c>
      <c r="B5788">
        <v>-118.11812026253</v>
      </c>
      <c r="C5788" t="s">
        <v>29</v>
      </c>
      <c r="D5788">
        <v>44.433136752261198</v>
      </c>
      <c r="E5788">
        <v>4</v>
      </c>
      <c r="F5788">
        <v>793</v>
      </c>
      <c r="G5788">
        <v>2</v>
      </c>
      <c r="H5788">
        <v>3</v>
      </c>
      <c r="I5788">
        <v>1997</v>
      </c>
      <c r="J5788">
        <v>0</v>
      </c>
      <c r="K5788">
        <v>1</v>
      </c>
      <c r="L5788">
        <v>1</v>
      </c>
      <c r="M5788">
        <v>2</v>
      </c>
      <c r="N5788" t="s">
        <v>26</v>
      </c>
      <c r="O5788" t="s">
        <v>27</v>
      </c>
      <c r="P5788">
        <v>2.7628468689793499</v>
      </c>
      <c r="Q5788">
        <v>0.74386350555518299</v>
      </c>
      <c r="R5788">
        <v>4.5084264488497503</v>
      </c>
      <c r="S5788">
        <v>89</v>
      </c>
      <c r="T5788">
        <v>29</v>
      </c>
      <c r="U5788">
        <v>855.96138646608199</v>
      </c>
      <c r="V5788">
        <v>2.5220680958385798E-3</v>
      </c>
      <c r="W5788">
        <v>1009334.3903591</v>
      </c>
      <c r="X5788" t="s">
        <v>28</v>
      </c>
      <c r="Y5788">
        <f>1-877-228-8536</f>
        <v>-9640</v>
      </c>
    </row>
    <row r="5789" spans="1:25" x14ac:dyDescent="0.35">
      <c r="A5789">
        <v>39.795343421436499</v>
      </c>
      <c r="B5789">
        <v>-116.02625860088099</v>
      </c>
      <c r="C5789" t="s">
        <v>34</v>
      </c>
      <c r="D5789">
        <v>42.702608599201803</v>
      </c>
      <c r="E5789">
        <v>1</v>
      </c>
      <c r="F5789">
        <v>2670</v>
      </c>
      <c r="G5789">
        <v>3</v>
      </c>
      <c r="H5789">
        <v>2</v>
      </c>
      <c r="I5789">
        <v>1961</v>
      </c>
      <c r="J5789">
        <v>1</v>
      </c>
      <c r="K5789">
        <v>1</v>
      </c>
      <c r="L5789">
        <v>0</v>
      </c>
      <c r="M5789">
        <v>5</v>
      </c>
      <c r="N5789" t="s">
        <v>26</v>
      </c>
      <c r="O5789" t="s">
        <v>30</v>
      </c>
      <c r="P5789">
        <v>14.0767947428849</v>
      </c>
      <c r="Q5789">
        <v>1.9265745998700501</v>
      </c>
      <c r="R5789">
        <v>6.5101777872940598</v>
      </c>
      <c r="S5789">
        <v>40</v>
      </c>
      <c r="T5789">
        <v>67</v>
      </c>
      <c r="U5789">
        <v>800.04904010328505</v>
      </c>
      <c r="V5789">
        <v>1.87265917602996E-3</v>
      </c>
      <c r="W5789">
        <v>2487800.2506656498</v>
      </c>
      <c r="X5789" t="s">
        <v>43</v>
      </c>
      <c r="Y5789">
        <f>1-798-118-8709</f>
        <v>-9624</v>
      </c>
    </row>
    <row r="5790" spans="1:25" x14ac:dyDescent="0.35">
      <c r="A5790">
        <v>33.383016540752003</v>
      </c>
      <c r="B5790">
        <v>-116.943096177089</v>
      </c>
      <c r="C5790" t="s">
        <v>29</v>
      </c>
      <c r="D5790">
        <v>17.177884912855902</v>
      </c>
      <c r="E5790">
        <v>1</v>
      </c>
      <c r="F5790">
        <v>566</v>
      </c>
      <c r="G5790">
        <v>1</v>
      </c>
      <c r="H5790">
        <v>1</v>
      </c>
      <c r="I5790">
        <v>1963</v>
      </c>
      <c r="J5790">
        <v>0</v>
      </c>
      <c r="K5790">
        <v>0</v>
      </c>
      <c r="L5790">
        <v>0</v>
      </c>
      <c r="M5790">
        <v>4</v>
      </c>
      <c r="N5790" t="s">
        <v>26</v>
      </c>
      <c r="O5790" t="s">
        <v>32</v>
      </c>
      <c r="P5790">
        <v>9.20687013661923</v>
      </c>
      <c r="Q5790">
        <v>2.03249135898161</v>
      </c>
      <c r="R5790">
        <v>3.7748678827464799</v>
      </c>
      <c r="S5790">
        <v>157</v>
      </c>
      <c r="T5790">
        <v>52</v>
      </c>
      <c r="U5790">
        <v>513.54757502960297</v>
      </c>
      <c r="V5790">
        <v>7.0671378091872704E-3</v>
      </c>
      <c r="W5790">
        <v>351585.00276914</v>
      </c>
      <c r="X5790" t="s">
        <v>40</v>
      </c>
      <c r="Y5790">
        <f>1-321-167-7255</f>
        <v>-7742</v>
      </c>
    </row>
    <row r="5791" spans="1:25" x14ac:dyDescent="0.35">
      <c r="A5791">
        <v>32.744160549587498</v>
      </c>
      <c r="B5791">
        <v>-116.117639682907</v>
      </c>
      <c r="C5791" t="s">
        <v>25</v>
      </c>
      <c r="D5791">
        <v>27.307318222623799</v>
      </c>
      <c r="E5791">
        <v>2</v>
      </c>
      <c r="F5791">
        <v>2622</v>
      </c>
      <c r="G5791">
        <v>3</v>
      </c>
      <c r="H5791">
        <v>3</v>
      </c>
      <c r="I5791">
        <v>2013</v>
      </c>
      <c r="J5791">
        <v>0</v>
      </c>
      <c r="K5791">
        <v>0</v>
      </c>
      <c r="L5791">
        <v>1</v>
      </c>
      <c r="M5791">
        <v>10</v>
      </c>
      <c r="N5791" t="s">
        <v>37</v>
      </c>
      <c r="O5791" t="s">
        <v>30</v>
      </c>
      <c r="P5791">
        <v>6.5855539702365604</v>
      </c>
      <c r="Q5791">
        <v>2.1541953593090102</v>
      </c>
      <c r="R5791">
        <v>5.5593219601230501</v>
      </c>
      <c r="S5791">
        <v>124</v>
      </c>
      <c r="T5791">
        <v>49</v>
      </c>
      <c r="U5791">
        <v>657.62372727804598</v>
      </c>
      <c r="V5791">
        <v>3.8138825324180001E-3</v>
      </c>
      <c r="W5791">
        <v>1969851.52084027</v>
      </c>
      <c r="X5791" t="s">
        <v>33</v>
      </c>
      <c r="Y5791">
        <f>1-974-357-5858</f>
        <v>-7188</v>
      </c>
    </row>
    <row r="5792" spans="1:25" x14ac:dyDescent="0.35">
      <c r="A5792">
        <v>35.559737864557398</v>
      </c>
      <c r="B5792">
        <v>-117.534470502662</v>
      </c>
      <c r="C5792" t="s">
        <v>34</v>
      </c>
      <c r="D5792">
        <v>38.800181138126199</v>
      </c>
      <c r="E5792">
        <v>5</v>
      </c>
      <c r="F5792">
        <v>1809</v>
      </c>
      <c r="G5792">
        <v>4</v>
      </c>
      <c r="H5792">
        <v>1</v>
      </c>
      <c r="I5792">
        <v>2012</v>
      </c>
      <c r="J5792">
        <v>1</v>
      </c>
      <c r="K5792">
        <v>0</v>
      </c>
      <c r="L5792">
        <v>0</v>
      </c>
      <c r="M5792">
        <v>5</v>
      </c>
      <c r="N5792" t="s">
        <v>35</v>
      </c>
      <c r="O5792" t="s">
        <v>32</v>
      </c>
      <c r="P5792">
        <v>9.2043093350342193</v>
      </c>
      <c r="Q5792">
        <v>0.69562642137855102</v>
      </c>
      <c r="R5792">
        <v>5.2719639123724296</v>
      </c>
      <c r="S5792">
        <v>166</v>
      </c>
      <c r="T5792">
        <v>45</v>
      </c>
      <c r="U5792">
        <v>247.79704461515399</v>
      </c>
      <c r="V5792">
        <v>2.7639579878385801E-3</v>
      </c>
      <c r="W5792">
        <v>629345.31731060799</v>
      </c>
      <c r="X5792" t="s">
        <v>42</v>
      </c>
      <c r="Y5792">
        <f>1-484-338-7838</f>
        <v>-8659</v>
      </c>
    </row>
    <row r="5793" spans="1:25" x14ac:dyDescent="0.35">
      <c r="A5793">
        <v>38.971381381357901</v>
      </c>
      <c r="B5793">
        <v>-122.71417952792901</v>
      </c>
      <c r="C5793" t="s">
        <v>29</v>
      </c>
      <c r="D5793">
        <v>13.3425146748604</v>
      </c>
      <c r="E5793">
        <v>5</v>
      </c>
      <c r="F5793">
        <v>1558</v>
      </c>
      <c r="G5793">
        <v>5</v>
      </c>
      <c r="H5793">
        <v>1</v>
      </c>
      <c r="I5793">
        <v>1951</v>
      </c>
      <c r="J5793">
        <v>0</v>
      </c>
      <c r="K5793">
        <v>0</v>
      </c>
      <c r="L5793">
        <v>0</v>
      </c>
      <c r="M5793">
        <v>5</v>
      </c>
      <c r="N5793" t="s">
        <v>26</v>
      </c>
      <c r="O5793" t="s">
        <v>32</v>
      </c>
      <c r="P5793">
        <v>6.1133174919514097</v>
      </c>
      <c r="Q5793">
        <v>1.8009600052797401</v>
      </c>
      <c r="R5793">
        <v>6.9050861931207699</v>
      </c>
      <c r="S5793">
        <v>194</v>
      </c>
      <c r="T5793">
        <v>51</v>
      </c>
      <c r="U5793">
        <v>629.36894157173197</v>
      </c>
      <c r="V5793">
        <v>3.2092426187419702E-3</v>
      </c>
      <c r="W5793">
        <v>1127076.2213218401</v>
      </c>
      <c r="X5793" t="s">
        <v>28</v>
      </c>
      <c r="Y5793">
        <f>1-605-380-9325</f>
        <v>-10309</v>
      </c>
    </row>
    <row r="5794" spans="1:25" x14ac:dyDescent="0.35">
      <c r="A5794">
        <v>33.921243440155003</v>
      </c>
      <c r="B5794">
        <v>-116.886351387712</v>
      </c>
      <c r="C5794" t="s">
        <v>25</v>
      </c>
      <c r="D5794">
        <v>11.3358455029678</v>
      </c>
      <c r="E5794">
        <v>1</v>
      </c>
      <c r="F5794">
        <v>2988</v>
      </c>
      <c r="G5794">
        <v>3</v>
      </c>
      <c r="H5794">
        <v>3</v>
      </c>
      <c r="I5794">
        <v>1969</v>
      </c>
      <c r="J5794">
        <v>0</v>
      </c>
      <c r="K5794">
        <v>1</v>
      </c>
      <c r="L5794">
        <v>1</v>
      </c>
      <c r="M5794">
        <v>5</v>
      </c>
      <c r="N5794" t="s">
        <v>37</v>
      </c>
      <c r="O5794" t="s">
        <v>32</v>
      </c>
      <c r="P5794">
        <v>3.5050896761730801</v>
      </c>
      <c r="Q5794">
        <v>0.93412027469336101</v>
      </c>
      <c r="R5794">
        <v>5.5672129300113902</v>
      </c>
      <c r="S5794">
        <v>191</v>
      </c>
      <c r="T5794">
        <v>37</v>
      </c>
      <c r="U5794">
        <v>879.58747653683497</v>
      </c>
      <c r="V5794">
        <v>1.6733601070950399E-3</v>
      </c>
      <c r="W5794">
        <v>2842920.1739026499</v>
      </c>
      <c r="X5794" t="s">
        <v>40</v>
      </c>
      <c r="Y5794">
        <f>1-541-370-4208</f>
        <v>-5118</v>
      </c>
    </row>
    <row r="5795" spans="1:25" x14ac:dyDescent="0.35">
      <c r="A5795">
        <v>32.758671450526997</v>
      </c>
      <c r="B5795">
        <v>-114.63554252925501</v>
      </c>
      <c r="C5795" t="s">
        <v>34</v>
      </c>
      <c r="D5795">
        <v>4.3589331606095598</v>
      </c>
      <c r="E5795">
        <v>3</v>
      </c>
      <c r="F5795">
        <v>3783</v>
      </c>
      <c r="G5795">
        <v>3</v>
      </c>
      <c r="H5795">
        <v>2</v>
      </c>
      <c r="I5795">
        <v>1993</v>
      </c>
      <c r="J5795">
        <v>0</v>
      </c>
      <c r="K5795">
        <v>0</v>
      </c>
      <c r="L5795">
        <v>0</v>
      </c>
      <c r="M5795">
        <v>9</v>
      </c>
      <c r="N5795" t="s">
        <v>26</v>
      </c>
      <c r="O5795" t="s">
        <v>32</v>
      </c>
      <c r="P5795">
        <v>13.1651542974747</v>
      </c>
      <c r="Q5795">
        <v>2.4009737404051901</v>
      </c>
      <c r="R5795">
        <v>2.24345342099984</v>
      </c>
      <c r="S5795">
        <v>154</v>
      </c>
      <c r="T5795">
        <v>52</v>
      </c>
      <c r="U5795">
        <v>258.41122641061003</v>
      </c>
      <c r="V5795">
        <v>2.3790642347343298E-3</v>
      </c>
      <c r="W5795">
        <v>1152380.0560876001</v>
      </c>
      <c r="X5795" t="s">
        <v>36</v>
      </c>
      <c r="Y5795">
        <f>1-210-495-9063</f>
        <v>-9767</v>
      </c>
    </row>
    <row r="5796" spans="1:25" x14ac:dyDescent="0.35">
      <c r="A5796">
        <v>39.141981631042199</v>
      </c>
      <c r="B5796">
        <v>-121.580902751016</v>
      </c>
      <c r="C5796" t="s">
        <v>29</v>
      </c>
      <c r="D5796">
        <v>14.4930330756356</v>
      </c>
      <c r="E5796">
        <v>6</v>
      </c>
      <c r="F5796">
        <v>2695</v>
      </c>
      <c r="G5796">
        <v>3</v>
      </c>
      <c r="H5796">
        <v>2</v>
      </c>
      <c r="I5796">
        <v>2002</v>
      </c>
      <c r="J5796">
        <v>1</v>
      </c>
      <c r="K5796">
        <v>0</v>
      </c>
      <c r="L5796">
        <v>1</v>
      </c>
      <c r="M5796">
        <v>6</v>
      </c>
      <c r="N5796" t="s">
        <v>35</v>
      </c>
      <c r="O5796" t="s">
        <v>30</v>
      </c>
      <c r="P5796">
        <v>14.3531562637069</v>
      </c>
      <c r="Q5796">
        <v>1.6217918832079301</v>
      </c>
      <c r="R5796">
        <v>8.3554509425737997</v>
      </c>
      <c r="S5796">
        <v>55</v>
      </c>
      <c r="T5796">
        <v>49</v>
      </c>
      <c r="U5796">
        <v>540.87758477339605</v>
      </c>
      <c r="V5796">
        <v>2.2263450834879399E-3</v>
      </c>
      <c r="W5796">
        <v>1782440.88045553</v>
      </c>
      <c r="X5796" t="s">
        <v>40</v>
      </c>
      <c r="Y5796">
        <f>1-959-400-9838</f>
        <v>-11196</v>
      </c>
    </row>
    <row r="5797" spans="1:25" x14ac:dyDescent="0.35">
      <c r="A5797">
        <v>41.762217387800298</v>
      </c>
      <c r="B5797">
        <v>-121.15552845533</v>
      </c>
      <c r="C5797" t="s">
        <v>34</v>
      </c>
      <c r="D5797">
        <v>25.146538898327499</v>
      </c>
      <c r="E5797">
        <v>2</v>
      </c>
      <c r="F5797">
        <v>3167</v>
      </c>
      <c r="G5797">
        <v>3</v>
      </c>
      <c r="H5797">
        <v>2</v>
      </c>
      <c r="I5797">
        <v>1956</v>
      </c>
      <c r="J5797">
        <v>0</v>
      </c>
      <c r="K5797">
        <v>0</v>
      </c>
      <c r="L5797">
        <v>1</v>
      </c>
      <c r="M5797">
        <v>10</v>
      </c>
      <c r="N5797" t="s">
        <v>35</v>
      </c>
      <c r="O5797" t="s">
        <v>30</v>
      </c>
      <c r="P5797">
        <v>4.1522314498253898</v>
      </c>
      <c r="Q5797">
        <v>0.92130699322285703</v>
      </c>
      <c r="R5797">
        <v>1.13333740960887</v>
      </c>
      <c r="S5797">
        <v>121</v>
      </c>
      <c r="T5797">
        <v>29</v>
      </c>
      <c r="U5797">
        <v>509.24248809086703</v>
      </c>
      <c r="V5797">
        <v>3.1575623618566402E-3</v>
      </c>
      <c r="W5797">
        <v>1746888.26104591</v>
      </c>
      <c r="X5797" t="s">
        <v>42</v>
      </c>
      <c r="Y5797">
        <f>1-603-367-1752</f>
        <v>-2721</v>
      </c>
    </row>
    <row r="5798" spans="1:25" x14ac:dyDescent="0.35">
      <c r="A5798">
        <v>36.767660978415002</v>
      </c>
      <c r="B5798">
        <v>-119.578509993004</v>
      </c>
      <c r="C5798" t="s">
        <v>34</v>
      </c>
      <c r="D5798">
        <v>38.547350138643097</v>
      </c>
      <c r="E5798">
        <v>4</v>
      </c>
      <c r="F5798">
        <v>989</v>
      </c>
      <c r="G5798">
        <v>4</v>
      </c>
      <c r="H5798">
        <v>1</v>
      </c>
      <c r="I5798">
        <v>2022</v>
      </c>
      <c r="J5798">
        <v>1</v>
      </c>
      <c r="K5798">
        <v>1</v>
      </c>
      <c r="L5798">
        <v>0</v>
      </c>
      <c r="M5798">
        <v>10</v>
      </c>
      <c r="N5798" t="s">
        <v>35</v>
      </c>
      <c r="O5798" t="s">
        <v>30</v>
      </c>
      <c r="P5798">
        <v>8.9708629404300595</v>
      </c>
      <c r="Q5798">
        <v>1.2401054284241699</v>
      </c>
      <c r="R5798">
        <v>9.7999178368413702</v>
      </c>
      <c r="S5798">
        <v>6</v>
      </c>
      <c r="T5798">
        <v>48</v>
      </c>
      <c r="U5798">
        <v>230.05513778501799</v>
      </c>
      <c r="V5798">
        <v>1.01112234580384E-2</v>
      </c>
      <c r="W5798">
        <v>658502.43858256401</v>
      </c>
      <c r="X5798" t="s">
        <v>28</v>
      </c>
      <c r="Y5798">
        <f>1-274-622-2697</f>
        <v>-3592</v>
      </c>
    </row>
    <row r="5799" spans="1:25" x14ac:dyDescent="0.35">
      <c r="A5799">
        <v>39.532757167376502</v>
      </c>
      <c r="B5799">
        <v>-118.86378365457399</v>
      </c>
      <c r="C5799" t="s">
        <v>29</v>
      </c>
      <c r="D5799">
        <v>40.359471373907603</v>
      </c>
      <c r="E5799">
        <v>9</v>
      </c>
      <c r="F5799">
        <v>968</v>
      </c>
      <c r="G5799">
        <v>4</v>
      </c>
      <c r="H5799">
        <v>3</v>
      </c>
      <c r="I5799">
        <v>1960</v>
      </c>
      <c r="J5799">
        <v>1</v>
      </c>
      <c r="K5799">
        <v>0</v>
      </c>
      <c r="L5799">
        <v>1</v>
      </c>
      <c r="M5799">
        <v>3</v>
      </c>
      <c r="N5799" t="s">
        <v>41</v>
      </c>
      <c r="O5799" t="s">
        <v>30</v>
      </c>
      <c r="P5799">
        <v>12.0821197626904</v>
      </c>
      <c r="Q5799">
        <v>0.926699154764836</v>
      </c>
      <c r="R5799">
        <v>2.1528038842207799E-2</v>
      </c>
      <c r="S5799">
        <v>188</v>
      </c>
      <c r="T5799">
        <v>52</v>
      </c>
      <c r="U5799">
        <v>613.85281217687202</v>
      </c>
      <c r="V5799">
        <v>3.0991735537190001E-3</v>
      </c>
      <c r="W5799">
        <v>994428.358493926</v>
      </c>
      <c r="X5799" t="s">
        <v>40</v>
      </c>
      <c r="Y5799">
        <f>1-770-628-7417</f>
        <v>-8814</v>
      </c>
    </row>
    <row r="5800" spans="1:25" x14ac:dyDescent="0.35">
      <c r="A5800">
        <v>41.224212616079299</v>
      </c>
      <c r="B5800">
        <v>-116.019396060351</v>
      </c>
      <c r="C5800" t="s">
        <v>25</v>
      </c>
      <c r="D5800">
        <v>26.4426647399073</v>
      </c>
      <c r="E5800">
        <v>0</v>
      </c>
      <c r="F5800">
        <v>2193</v>
      </c>
      <c r="G5800">
        <v>2</v>
      </c>
      <c r="H5800">
        <v>3</v>
      </c>
      <c r="I5800">
        <v>1957</v>
      </c>
      <c r="J5800">
        <v>1</v>
      </c>
      <c r="K5800">
        <v>1</v>
      </c>
      <c r="L5800">
        <v>0</v>
      </c>
      <c r="M5800">
        <v>7</v>
      </c>
      <c r="N5800" t="s">
        <v>41</v>
      </c>
      <c r="O5800" t="s">
        <v>30</v>
      </c>
      <c r="P5800">
        <v>3.3024789502082101</v>
      </c>
      <c r="Q5800">
        <v>1.1823023836408999</v>
      </c>
      <c r="R5800">
        <v>7.4317300172138001</v>
      </c>
      <c r="S5800">
        <v>151</v>
      </c>
      <c r="T5800">
        <v>23</v>
      </c>
      <c r="U5800">
        <v>372.51864233339001</v>
      </c>
      <c r="V5800">
        <v>3.1919744642042798E-3</v>
      </c>
      <c r="W5800">
        <v>1055040.2507271201</v>
      </c>
      <c r="X5800" t="s">
        <v>43</v>
      </c>
      <c r="Y5800">
        <f>1-840-746-1539</f>
        <v>-3124</v>
      </c>
    </row>
    <row r="5801" spans="1:25" x14ac:dyDescent="0.35">
      <c r="A5801">
        <v>37.678313288625702</v>
      </c>
      <c r="B5801">
        <v>-124.185484960965</v>
      </c>
      <c r="C5801" t="s">
        <v>29</v>
      </c>
      <c r="D5801">
        <v>3.8129850668785998</v>
      </c>
      <c r="E5801">
        <v>7</v>
      </c>
      <c r="F5801">
        <v>3539</v>
      </c>
      <c r="G5801">
        <v>1</v>
      </c>
      <c r="H5801">
        <v>1</v>
      </c>
      <c r="I5801">
        <v>2013</v>
      </c>
      <c r="J5801">
        <v>0</v>
      </c>
      <c r="K5801">
        <v>0</v>
      </c>
      <c r="L5801">
        <v>0</v>
      </c>
      <c r="M5801">
        <v>7</v>
      </c>
      <c r="N5801" t="s">
        <v>41</v>
      </c>
      <c r="O5801" t="s">
        <v>27</v>
      </c>
      <c r="P5801">
        <v>6.3380511395354899</v>
      </c>
      <c r="Q5801">
        <v>1.3403444496819401</v>
      </c>
      <c r="R5801">
        <v>8.0726323825504398</v>
      </c>
      <c r="S5801">
        <v>160</v>
      </c>
      <c r="T5801">
        <v>76</v>
      </c>
      <c r="U5801">
        <v>938.24314195146405</v>
      </c>
      <c r="V5801">
        <v>1.9779598756710899E-3</v>
      </c>
      <c r="W5801">
        <v>3318584.5666260999</v>
      </c>
      <c r="X5801" t="s">
        <v>36</v>
      </c>
      <c r="Y5801">
        <f>1-288-860-9394</f>
        <v>-10541</v>
      </c>
    </row>
    <row r="5802" spans="1:25" x14ac:dyDescent="0.35">
      <c r="A5802">
        <v>41.722496855273</v>
      </c>
      <c r="B5802">
        <v>-119.052265954503</v>
      </c>
      <c r="C5802" t="s">
        <v>34</v>
      </c>
      <c r="D5802">
        <v>48.587115118923101</v>
      </c>
      <c r="E5802">
        <v>4</v>
      </c>
      <c r="F5802">
        <v>2138</v>
      </c>
      <c r="G5802">
        <v>4</v>
      </c>
      <c r="H5802">
        <v>3</v>
      </c>
      <c r="I5802">
        <v>1986</v>
      </c>
      <c r="J5802">
        <v>1</v>
      </c>
      <c r="K5802">
        <v>1</v>
      </c>
      <c r="L5802">
        <v>1</v>
      </c>
      <c r="M5802">
        <v>2</v>
      </c>
      <c r="N5802" t="s">
        <v>35</v>
      </c>
      <c r="O5802" t="s">
        <v>32</v>
      </c>
      <c r="P5802">
        <v>5.0049374940331797</v>
      </c>
      <c r="Q5802">
        <v>1.6634097493989899</v>
      </c>
      <c r="R5802">
        <v>1.14694451983732</v>
      </c>
      <c r="S5802">
        <v>114</v>
      </c>
      <c r="T5802">
        <v>60</v>
      </c>
      <c r="U5802">
        <v>766.84293688663695</v>
      </c>
      <c r="V5802">
        <v>9.3545369504209499E-4</v>
      </c>
      <c r="W5802">
        <v>2067298.05967685</v>
      </c>
      <c r="X5802" t="s">
        <v>44</v>
      </c>
      <c r="Y5802">
        <f>1-662-323-4444</f>
        <v>-5428</v>
      </c>
    </row>
    <row r="5803" spans="1:25" x14ac:dyDescent="0.35">
      <c r="A5803">
        <v>37.470762196728899</v>
      </c>
      <c r="B5803">
        <v>-119.50795175790201</v>
      </c>
      <c r="C5803" t="s">
        <v>29</v>
      </c>
      <c r="D5803">
        <v>31.587807720816699</v>
      </c>
      <c r="E5803">
        <v>9</v>
      </c>
      <c r="F5803">
        <v>736</v>
      </c>
      <c r="G5803">
        <v>3</v>
      </c>
      <c r="H5803">
        <v>1</v>
      </c>
      <c r="I5803">
        <v>1950</v>
      </c>
      <c r="J5803">
        <v>1</v>
      </c>
      <c r="K5803">
        <v>0</v>
      </c>
      <c r="L5803">
        <v>0</v>
      </c>
      <c r="M5803">
        <v>4</v>
      </c>
      <c r="N5803" t="s">
        <v>35</v>
      </c>
      <c r="O5803" t="s">
        <v>30</v>
      </c>
      <c r="P5803">
        <v>11.0293828266435</v>
      </c>
      <c r="Q5803">
        <v>2.1057229696855</v>
      </c>
      <c r="R5803">
        <v>3.7194956586466499</v>
      </c>
      <c r="S5803">
        <v>148</v>
      </c>
      <c r="T5803">
        <v>24</v>
      </c>
      <c r="U5803">
        <v>702.53930944784804</v>
      </c>
      <c r="V5803">
        <v>5.4347826086956503E-3</v>
      </c>
      <c r="W5803">
        <v>731410.40812519798</v>
      </c>
      <c r="X5803" t="s">
        <v>44</v>
      </c>
      <c r="Y5803">
        <f>1-853-770-6378</f>
        <v>-8000</v>
      </c>
    </row>
    <row r="5804" spans="1:25" x14ac:dyDescent="0.35">
      <c r="A5804">
        <v>38.182820672141503</v>
      </c>
      <c r="B5804">
        <v>-117.48829356540099</v>
      </c>
      <c r="C5804" t="s">
        <v>34</v>
      </c>
      <c r="D5804">
        <v>41.841088820706403</v>
      </c>
      <c r="E5804">
        <v>4</v>
      </c>
      <c r="F5804">
        <v>3763</v>
      </c>
      <c r="G5804">
        <v>3</v>
      </c>
      <c r="H5804">
        <v>3</v>
      </c>
      <c r="I5804">
        <v>1964</v>
      </c>
      <c r="J5804">
        <v>0</v>
      </c>
      <c r="K5804">
        <v>1</v>
      </c>
      <c r="L5804">
        <v>1</v>
      </c>
      <c r="M5804">
        <v>12</v>
      </c>
      <c r="N5804" t="s">
        <v>37</v>
      </c>
      <c r="O5804" t="s">
        <v>30</v>
      </c>
      <c r="P5804">
        <v>11.6979094062511</v>
      </c>
      <c r="Q5804">
        <v>1.0292216084994501</v>
      </c>
      <c r="R5804">
        <v>0.76379227179348896</v>
      </c>
      <c r="S5804">
        <v>135</v>
      </c>
      <c r="T5804">
        <v>57</v>
      </c>
      <c r="U5804">
        <v>754.67404042182204</v>
      </c>
      <c r="V5804">
        <v>3.18894499069891E-3</v>
      </c>
      <c r="W5804">
        <v>3286711.3888635999</v>
      </c>
      <c r="X5804" t="s">
        <v>43</v>
      </c>
      <c r="Y5804">
        <f>1-842-723-5087</f>
        <v>-6651</v>
      </c>
    </row>
    <row r="5805" spans="1:25" x14ac:dyDescent="0.35">
      <c r="A5805">
        <v>40.424796820348902</v>
      </c>
      <c r="B5805">
        <v>-115.180464569309</v>
      </c>
      <c r="C5805" t="s">
        <v>29</v>
      </c>
      <c r="D5805">
        <v>31.5508312074755</v>
      </c>
      <c r="E5805">
        <v>8</v>
      </c>
      <c r="F5805">
        <v>4017</v>
      </c>
      <c r="G5805">
        <v>5</v>
      </c>
      <c r="H5805">
        <v>1</v>
      </c>
      <c r="I5805">
        <v>2013</v>
      </c>
      <c r="J5805">
        <v>1</v>
      </c>
      <c r="K5805">
        <v>0</v>
      </c>
      <c r="L5805">
        <v>1</v>
      </c>
      <c r="M5805">
        <v>2</v>
      </c>
      <c r="N5805" t="s">
        <v>26</v>
      </c>
      <c r="O5805" t="s">
        <v>32</v>
      </c>
      <c r="P5805">
        <v>11.272597315510099</v>
      </c>
      <c r="Q5805">
        <v>0.63343253509210695</v>
      </c>
      <c r="R5805">
        <v>4.3112863542205897</v>
      </c>
      <c r="S5805">
        <v>46</v>
      </c>
      <c r="T5805">
        <v>24</v>
      </c>
      <c r="U5805">
        <v>662.81969640085003</v>
      </c>
      <c r="V5805">
        <v>4.9788399302962399E-4</v>
      </c>
      <c r="W5805">
        <v>3092360.2298696102</v>
      </c>
      <c r="X5805" t="s">
        <v>42</v>
      </c>
      <c r="Y5805">
        <f>1-370-423-7880</f>
        <v>-8672</v>
      </c>
    </row>
    <row r="5806" spans="1:25" x14ac:dyDescent="0.35">
      <c r="A5806">
        <v>37.867383197148797</v>
      </c>
      <c r="B5806">
        <v>-124.496717758541</v>
      </c>
      <c r="C5806" t="s">
        <v>25</v>
      </c>
      <c r="D5806">
        <v>39.558012492566</v>
      </c>
      <c r="E5806">
        <v>2</v>
      </c>
      <c r="F5806">
        <v>3778</v>
      </c>
      <c r="G5806">
        <v>3</v>
      </c>
      <c r="H5806">
        <v>3</v>
      </c>
      <c r="I5806">
        <v>1971</v>
      </c>
      <c r="J5806">
        <v>0</v>
      </c>
      <c r="K5806">
        <v>0</v>
      </c>
      <c r="L5806">
        <v>1</v>
      </c>
      <c r="M5806">
        <v>5</v>
      </c>
      <c r="N5806" t="s">
        <v>41</v>
      </c>
      <c r="O5806" t="s">
        <v>30</v>
      </c>
      <c r="P5806">
        <v>14.026229659487701</v>
      </c>
      <c r="Q5806">
        <v>0.61623841096354504</v>
      </c>
      <c r="R5806">
        <v>2.6354208870709699</v>
      </c>
      <c r="S5806">
        <v>116</v>
      </c>
      <c r="T5806">
        <v>48</v>
      </c>
      <c r="U5806">
        <v>930.74904728331205</v>
      </c>
      <c r="V5806">
        <v>1.32345156167284E-3</v>
      </c>
      <c r="W5806">
        <v>3830788.66023392</v>
      </c>
      <c r="X5806" t="s">
        <v>44</v>
      </c>
      <c r="Y5806">
        <f>1-326-288-8096</f>
        <v>-8709</v>
      </c>
    </row>
    <row r="5807" spans="1:25" x14ac:dyDescent="0.35">
      <c r="A5807">
        <v>35.036669955145697</v>
      </c>
      <c r="B5807">
        <v>-119.891244550663</v>
      </c>
      <c r="C5807" t="s">
        <v>29</v>
      </c>
      <c r="D5807">
        <v>35.5744473306423</v>
      </c>
      <c r="E5807">
        <v>9</v>
      </c>
      <c r="F5807">
        <v>4455</v>
      </c>
      <c r="G5807">
        <v>2</v>
      </c>
      <c r="H5807">
        <v>3</v>
      </c>
      <c r="I5807">
        <v>1970</v>
      </c>
      <c r="J5807">
        <v>1</v>
      </c>
      <c r="K5807">
        <v>1</v>
      </c>
      <c r="L5807">
        <v>0</v>
      </c>
      <c r="M5807">
        <v>6</v>
      </c>
      <c r="N5807" t="s">
        <v>26</v>
      </c>
      <c r="O5807" t="s">
        <v>30</v>
      </c>
      <c r="P5807">
        <v>8.1545346864450696</v>
      </c>
      <c r="Q5807">
        <v>0.91705645954148995</v>
      </c>
      <c r="R5807">
        <v>9.0123816876221898</v>
      </c>
      <c r="S5807">
        <v>40</v>
      </c>
      <c r="T5807">
        <v>41</v>
      </c>
      <c r="U5807">
        <v>820.52515072252402</v>
      </c>
      <c r="V5807">
        <v>1.3468013468013399E-3</v>
      </c>
      <c r="W5807">
        <v>3934413.9266691301</v>
      </c>
      <c r="X5807" t="s">
        <v>38</v>
      </c>
      <c r="Y5807">
        <f>1-626-240-2746</f>
        <v>-3611</v>
      </c>
    </row>
    <row r="5808" spans="1:25" x14ac:dyDescent="0.35">
      <c r="A5808">
        <v>36.053311191591597</v>
      </c>
      <c r="B5808">
        <v>-117.104437957634</v>
      </c>
      <c r="C5808" t="s">
        <v>25</v>
      </c>
      <c r="D5808">
        <v>3.4944243640544101</v>
      </c>
      <c r="E5808">
        <v>9</v>
      </c>
      <c r="F5808">
        <v>4535</v>
      </c>
      <c r="G5808">
        <v>1</v>
      </c>
      <c r="H5808">
        <v>1</v>
      </c>
      <c r="I5808">
        <v>2013</v>
      </c>
      <c r="J5808">
        <v>0</v>
      </c>
      <c r="K5808">
        <v>0</v>
      </c>
      <c r="L5808">
        <v>0</v>
      </c>
      <c r="M5808">
        <v>10</v>
      </c>
      <c r="N5808" t="s">
        <v>41</v>
      </c>
      <c r="O5808" t="s">
        <v>32</v>
      </c>
      <c r="P5808">
        <v>9.1107035690179092</v>
      </c>
      <c r="Q5808">
        <v>2.0305330869178699</v>
      </c>
      <c r="R5808">
        <v>6.8631269333501104</v>
      </c>
      <c r="S5808">
        <v>192</v>
      </c>
      <c r="T5808">
        <v>46</v>
      </c>
      <c r="U5808">
        <v>723.36648334720496</v>
      </c>
      <c r="V5808">
        <v>2.2050716648291E-3</v>
      </c>
      <c r="W5808">
        <v>3409379.52304644</v>
      </c>
      <c r="X5808" t="s">
        <v>38</v>
      </c>
      <c r="Y5808">
        <f>1-847-316-4346</f>
        <v>-5508</v>
      </c>
    </row>
    <row r="5809" spans="1:25" x14ac:dyDescent="0.35">
      <c r="A5809">
        <v>37.414843663190901</v>
      </c>
      <c r="B5809">
        <v>-115.28069743131699</v>
      </c>
      <c r="C5809" t="s">
        <v>34</v>
      </c>
      <c r="D5809">
        <v>7.5560050766812497</v>
      </c>
      <c r="E5809">
        <v>6</v>
      </c>
      <c r="F5809">
        <v>734</v>
      </c>
      <c r="G5809">
        <v>3</v>
      </c>
      <c r="H5809">
        <v>1</v>
      </c>
      <c r="I5809">
        <v>2015</v>
      </c>
      <c r="J5809">
        <v>1</v>
      </c>
      <c r="K5809">
        <v>1</v>
      </c>
      <c r="L5809">
        <v>1</v>
      </c>
      <c r="M5809">
        <v>5</v>
      </c>
      <c r="N5809" t="s">
        <v>35</v>
      </c>
      <c r="O5809" t="s">
        <v>32</v>
      </c>
      <c r="P5809">
        <v>7.9104032473535302</v>
      </c>
      <c r="Q5809">
        <v>1.7894209434083901</v>
      </c>
      <c r="R5809">
        <v>5.0815746037708296</v>
      </c>
      <c r="S5809">
        <v>48</v>
      </c>
      <c r="T5809">
        <v>47</v>
      </c>
      <c r="U5809">
        <v>363.31208305791199</v>
      </c>
      <c r="V5809">
        <v>6.81198910081743E-3</v>
      </c>
      <c r="W5809">
        <v>650752.35553064302</v>
      </c>
      <c r="X5809" t="s">
        <v>28</v>
      </c>
      <c r="Y5809">
        <f>1-211-492-5063</f>
        <v>-5765</v>
      </c>
    </row>
    <row r="5810" spans="1:25" x14ac:dyDescent="0.35">
      <c r="A5810">
        <v>39.667490344164698</v>
      </c>
      <c r="B5810">
        <v>-115.277874125846</v>
      </c>
      <c r="C5810" t="s">
        <v>34</v>
      </c>
      <c r="D5810">
        <v>6.7604620600395897</v>
      </c>
      <c r="E5810">
        <v>2</v>
      </c>
      <c r="F5810">
        <v>1626</v>
      </c>
      <c r="G5810">
        <v>2</v>
      </c>
      <c r="H5810">
        <v>2</v>
      </c>
      <c r="I5810">
        <v>1965</v>
      </c>
      <c r="J5810">
        <v>0</v>
      </c>
      <c r="K5810">
        <v>1</v>
      </c>
      <c r="L5810">
        <v>0</v>
      </c>
      <c r="M5810">
        <v>14</v>
      </c>
      <c r="N5810" t="s">
        <v>37</v>
      </c>
      <c r="O5810" t="s">
        <v>30</v>
      </c>
      <c r="P5810">
        <v>10.170037862934301</v>
      </c>
      <c r="Q5810">
        <v>1.94453665548183</v>
      </c>
      <c r="R5810">
        <v>2.9065419655223099</v>
      </c>
      <c r="S5810">
        <v>70</v>
      </c>
      <c r="T5810">
        <v>71</v>
      </c>
      <c r="U5810">
        <v>411.63169042164299</v>
      </c>
      <c r="V5810">
        <v>8.6100861008609995E-3</v>
      </c>
      <c r="W5810">
        <v>948006.36036095803</v>
      </c>
      <c r="X5810" t="s">
        <v>33</v>
      </c>
      <c r="Y5810">
        <f>1-314-832-2272</f>
        <v>-3417</v>
      </c>
    </row>
    <row r="5811" spans="1:25" x14ac:dyDescent="0.35">
      <c r="A5811">
        <v>39.910679889843202</v>
      </c>
      <c r="B5811">
        <v>-124.147943898913</v>
      </c>
      <c r="C5811" t="s">
        <v>29</v>
      </c>
      <c r="D5811">
        <v>4.2325876746569797</v>
      </c>
      <c r="E5811">
        <v>7</v>
      </c>
      <c r="F5811">
        <v>4436</v>
      </c>
      <c r="G5811">
        <v>3</v>
      </c>
      <c r="H5811">
        <v>3</v>
      </c>
      <c r="I5811">
        <v>1990</v>
      </c>
      <c r="J5811">
        <v>1</v>
      </c>
      <c r="K5811">
        <v>0</v>
      </c>
      <c r="L5811">
        <v>1</v>
      </c>
      <c r="M5811">
        <v>11</v>
      </c>
      <c r="N5811" t="s">
        <v>41</v>
      </c>
      <c r="O5811" t="s">
        <v>32</v>
      </c>
      <c r="P5811">
        <v>14.9338522197584</v>
      </c>
      <c r="Q5811">
        <v>1.7675599521035199</v>
      </c>
      <c r="R5811">
        <v>1.1763881110952801</v>
      </c>
      <c r="S5811">
        <v>150</v>
      </c>
      <c r="T5811">
        <v>32</v>
      </c>
      <c r="U5811">
        <v>460.48683156039601</v>
      </c>
      <c r="V5811">
        <v>2.4797114517583398E-3</v>
      </c>
      <c r="W5811">
        <v>2412470.22218672</v>
      </c>
      <c r="X5811" t="s">
        <v>40</v>
      </c>
      <c r="Y5811">
        <f>1-880-898-3571</f>
        <v>-5348</v>
      </c>
    </row>
    <row r="5812" spans="1:25" x14ac:dyDescent="0.35">
      <c r="A5812">
        <v>34.749156620234899</v>
      </c>
      <c r="B5812">
        <v>-121.73266817996701</v>
      </c>
      <c r="C5812" t="s">
        <v>34</v>
      </c>
      <c r="D5812">
        <v>30.831711490422801</v>
      </c>
      <c r="E5812">
        <v>6</v>
      </c>
      <c r="F5812">
        <v>1638</v>
      </c>
      <c r="G5812">
        <v>2</v>
      </c>
      <c r="H5812">
        <v>3</v>
      </c>
      <c r="I5812">
        <v>1983</v>
      </c>
      <c r="J5812">
        <v>0</v>
      </c>
      <c r="K5812">
        <v>0</v>
      </c>
      <c r="L5812">
        <v>1</v>
      </c>
      <c r="M5812">
        <v>10</v>
      </c>
      <c r="N5812" t="s">
        <v>41</v>
      </c>
      <c r="O5812" t="s">
        <v>30</v>
      </c>
      <c r="P5812">
        <v>3.8829789413457698</v>
      </c>
      <c r="Q5812">
        <v>1.8865489167423299</v>
      </c>
      <c r="R5812">
        <v>6.2895001002109803</v>
      </c>
      <c r="S5812">
        <v>28</v>
      </c>
      <c r="T5812">
        <v>42</v>
      </c>
      <c r="U5812">
        <v>728.45532971607304</v>
      </c>
      <c r="V5812">
        <v>6.1050061050060998E-3</v>
      </c>
      <c r="W5812">
        <v>1361845.2242294501</v>
      </c>
      <c r="X5812" t="s">
        <v>43</v>
      </c>
      <c r="Y5812">
        <f>1-601-973-4318</f>
        <v>-5891</v>
      </c>
    </row>
    <row r="5813" spans="1:25" x14ac:dyDescent="0.35">
      <c r="A5813">
        <v>37.165361777369696</v>
      </c>
      <c r="B5813">
        <v>-116.25811745831101</v>
      </c>
      <c r="C5813" t="s">
        <v>25</v>
      </c>
      <c r="D5813">
        <v>20.6547761543587</v>
      </c>
      <c r="E5813">
        <v>8</v>
      </c>
      <c r="F5813">
        <v>2114</v>
      </c>
      <c r="G5813">
        <v>4</v>
      </c>
      <c r="H5813">
        <v>1</v>
      </c>
      <c r="I5813">
        <v>1997</v>
      </c>
      <c r="J5813">
        <v>0</v>
      </c>
      <c r="K5813">
        <v>0</v>
      </c>
      <c r="L5813">
        <v>1</v>
      </c>
      <c r="M5813">
        <v>10</v>
      </c>
      <c r="N5813" t="s">
        <v>35</v>
      </c>
      <c r="O5813" t="s">
        <v>27</v>
      </c>
      <c r="P5813">
        <v>10.7740935087675</v>
      </c>
      <c r="Q5813">
        <v>1.8657041554268801</v>
      </c>
      <c r="R5813">
        <v>6.9624369693496897</v>
      </c>
      <c r="S5813">
        <v>37</v>
      </c>
      <c r="T5813">
        <v>77</v>
      </c>
      <c r="U5813">
        <v>589.22012473364703</v>
      </c>
      <c r="V5813">
        <v>4.7303689687795596E-3</v>
      </c>
      <c r="W5813">
        <v>1435087.77545409</v>
      </c>
      <c r="X5813" t="s">
        <v>42</v>
      </c>
      <c r="Y5813">
        <f>1-742-404-3573</f>
        <v>-4718</v>
      </c>
    </row>
    <row r="5814" spans="1:25" x14ac:dyDescent="0.35">
      <c r="A5814">
        <v>40.950409735077301</v>
      </c>
      <c r="B5814">
        <v>-114.062209866868</v>
      </c>
      <c r="C5814" t="s">
        <v>34</v>
      </c>
      <c r="D5814">
        <v>39.158060759997802</v>
      </c>
      <c r="E5814">
        <v>8</v>
      </c>
      <c r="F5814">
        <v>4430</v>
      </c>
      <c r="G5814">
        <v>1</v>
      </c>
      <c r="H5814">
        <v>3</v>
      </c>
      <c r="I5814">
        <v>1989</v>
      </c>
      <c r="J5814">
        <v>0</v>
      </c>
      <c r="K5814">
        <v>1</v>
      </c>
      <c r="L5814">
        <v>1</v>
      </c>
      <c r="M5814">
        <v>8</v>
      </c>
      <c r="N5814" t="s">
        <v>41</v>
      </c>
      <c r="O5814" t="s">
        <v>30</v>
      </c>
      <c r="P5814">
        <v>2.2296100024180698</v>
      </c>
      <c r="Q5814">
        <v>2.3565551951166199</v>
      </c>
      <c r="R5814">
        <v>9.5636548352329402</v>
      </c>
      <c r="S5814">
        <v>80</v>
      </c>
      <c r="T5814">
        <v>26</v>
      </c>
      <c r="U5814">
        <v>507.660920571963</v>
      </c>
      <c r="V5814">
        <v>1.8058690744920901E-3</v>
      </c>
      <c r="W5814">
        <v>2315178.1057438198</v>
      </c>
      <c r="X5814" t="s">
        <v>36</v>
      </c>
      <c r="Y5814">
        <f>1-859-646-7859</f>
        <v>-9363</v>
      </c>
    </row>
    <row r="5815" spans="1:25" x14ac:dyDescent="0.35">
      <c r="A5815">
        <v>34.143172239251498</v>
      </c>
      <c r="B5815">
        <v>-119.37742475194101</v>
      </c>
      <c r="C5815" t="s">
        <v>29</v>
      </c>
      <c r="D5815">
        <v>34.509415493693602</v>
      </c>
      <c r="E5815">
        <v>4</v>
      </c>
      <c r="F5815">
        <v>2648</v>
      </c>
      <c r="G5815">
        <v>5</v>
      </c>
      <c r="H5815">
        <v>2</v>
      </c>
      <c r="I5815">
        <v>2013</v>
      </c>
      <c r="J5815">
        <v>1</v>
      </c>
      <c r="K5815">
        <v>1</v>
      </c>
      <c r="L5815">
        <v>1</v>
      </c>
      <c r="M5815">
        <v>12</v>
      </c>
      <c r="N5815" t="s">
        <v>37</v>
      </c>
      <c r="O5815" t="s">
        <v>27</v>
      </c>
      <c r="P5815">
        <v>10.518420899047401</v>
      </c>
      <c r="Q5815">
        <v>2.2665497516478701</v>
      </c>
      <c r="R5815">
        <v>0.56451424363650404</v>
      </c>
      <c r="S5815">
        <v>190</v>
      </c>
      <c r="T5815">
        <v>31</v>
      </c>
      <c r="U5815">
        <v>616.24537577833701</v>
      </c>
      <c r="V5815">
        <v>4.5317220543806599E-3</v>
      </c>
      <c r="W5815">
        <v>2072466.08364112</v>
      </c>
      <c r="X5815" t="s">
        <v>39</v>
      </c>
      <c r="Y5815">
        <f>1-489-461-4006</f>
        <v>-4955</v>
      </c>
    </row>
    <row r="5816" spans="1:25" x14ac:dyDescent="0.35">
      <c r="A5816">
        <v>36.433681479739597</v>
      </c>
      <c r="B5816">
        <v>-114.44521481464101</v>
      </c>
      <c r="C5816" t="s">
        <v>29</v>
      </c>
      <c r="D5816">
        <v>18.1283710173341</v>
      </c>
      <c r="E5816">
        <v>6</v>
      </c>
      <c r="F5816">
        <v>4692</v>
      </c>
      <c r="G5816">
        <v>1</v>
      </c>
      <c r="H5816">
        <v>2</v>
      </c>
      <c r="I5816">
        <v>1952</v>
      </c>
      <c r="J5816">
        <v>0</v>
      </c>
      <c r="K5816">
        <v>0</v>
      </c>
      <c r="L5816">
        <v>0</v>
      </c>
      <c r="M5816">
        <v>4</v>
      </c>
      <c r="N5816" t="s">
        <v>26</v>
      </c>
      <c r="O5816" t="s">
        <v>32</v>
      </c>
      <c r="P5816">
        <v>5.9762090109300896</v>
      </c>
      <c r="Q5816">
        <v>1.3101857533571499</v>
      </c>
      <c r="R5816">
        <v>7.7911531380986698</v>
      </c>
      <c r="S5816">
        <v>82</v>
      </c>
      <c r="T5816">
        <v>27</v>
      </c>
      <c r="U5816">
        <v>481.27699206612499</v>
      </c>
      <c r="V5816">
        <v>8.5251491901108204E-4</v>
      </c>
      <c r="W5816">
        <v>2222100.05231605</v>
      </c>
      <c r="X5816" t="s">
        <v>43</v>
      </c>
      <c r="Y5816">
        <f>1-735-335-3953</f>
        <v>-5022</v>
      </c>
    </row>
    <row r="5817" spans="1:25" x14ac:dyDescent="0.35">
      <c r="A5817">
        <v>39.117269495282002</v>
      </c>
      <c r="B5817">
        <v>-119.607899730325</v>
      </c>
      <c r="C5817" t="s">
        <v>34</v>
      </c>
      <c r="D5817">
        <v>38.799517601045999</v>
      </c>
      <c r="E5817">
        <v>4</v>
      </c>
      <c r="F5817">
        <v>4090</v>
      </c>
      <c r="G5817">
        <v>5</v>
      </c>
      <c r="H5817">
        <v>1</v>
      </c>
      <c r="I5817">
        <v>1997</v>
      </c>
      <c r="J5817">
        <v>0</v>
      </c>
      <c r="K5817">
        <v>1</v>
      </c>
      <c r="L5817">
        <v>0</v>
      </c>
      <c r="M5817">
        <v>12</v>
      </c>
      <c r="N5817" t="s">
        <v>41</v>
      </c>
      <c r="O5817" t="s">
        <v>32</v>
      </c>
      <c r="P5817">
        <v>8.4966495303876499</v>
      </c>
      <c r="Q5817">
        <v>1.7386893422646299</v>
      </c>
      <c r="R5817">
        <v>3.2434840504368401</v>
      </c>
      <c r="S5817">
        <v>125</v>
      </c>
      <c r="T5817">
        <v>30</v>
      </c>
      <c r="U5817">
        <v>940.87824972411704</v>
      </c>
      <c r="V5817">
        <v>2.9339853300733498E-3</v>
      </c>
      <c r="W5817">
        <v>4198153.2487312797</v>
      </c>
      <c r="X5817" t="s">
        <v>33</v>
      </c>
      <c r="Y5817">
        <f>1-633-186-2649</f>
        <v>-3467</v>
      </c>
    </row>
    <row r="5818" spans="1:25" x14ac:dyDescent="0.35">
      <c r="A5818">
        <v>33.012457012527598</v>
      </c>
      <c r="B5818">
        <v>-119.489194546725</v>
      </c>
      <c r="C5818" t="s">
        <v>25</v>
      </c>
      <c r="D5818">
        <v>18.5669256428592</v>
      </c>
      <c r="E5818">
        <v>1</v>
      </c>
      <c r="F5818">
        <v>1793</v>
      </c>
      <c r="G5818">
        <v>2</v>
      </c>
      <c r="H5818">
        <v>3</v>
      </c>
      <c r="I5818">
        <v>1958</v>
      </c>
      <c r="J5818">
        <v>1</v>
      </c>
      <c r="K5818">
        <v>1</v>
      </c>
      <c r="L5818">
        <v>0</v>
      </c>
      <c r="M5818">
        <v>5</v>
      </c>
      <c r="N5818" t="s">
        <v>35</v>
      </c>
      <c r="O5818" t="s">
        <v>30</v>
      </c>
      <c r="P5818">
        <v>2.5130537996008</v>
      </c>
      <c r="Q5818">
        <v>1.0287428292540799</v>
      </c>
      <c r="R5818">
        <v>7.766439366997</v>
      </c>
      <c r="S5818">
        <v>143</v>
      </c>
      <c r="T5818">
        <v>40</v>
      </c>
      <c r="U5818">
        <v>774.06170125031895</v>
      </c>
      <c r="V5818">
        <v>2.7886224205242601E-3</v>
      </c>
      <c r="W5818">
        <v>1565984.5632822399</v>
      </c>
      <c r="X5818" t="s">
        <v>33</v>
      </c>
      <c r="Y5818">
        <f>1-554-308-9039</f>
        <v>-9900</v>
      </c>
    </row>
    <row r="5819" spans="1:25" x14ac:dyDescent="0.35">
      <c r="A5819">
        <v>41.037528689554101</v>
      </c>
      <c r="B5819">
        <v>-115.149894415443</v>
      </c>
      <c r="C5819" t="s">
        <v>29</v>
      </c>
      <c r="D5819">
        <v>28.254170516046699</v>
      </c>
      <c r="E5819">
        <v>4</v>
      </c>
      <c r="F5819">
        <v>3235</v>
      </c>
      <c r="G5819">
        <v>5</v>
      </c>
      <c r="H5819">
        <v>3</v>
      </c>
      <c r="I5819">
        <v>1961</v>
      </c>
      <c r="J5819">
        <v>1</v>
      </c>
      <c r="K5819">
        <v>0</v>
      </c>
      <c r="L5819">
        <v>0</v>
      </c>
      <c r="M5819">
        <v>5</v>
      </c>
      <c r="N5819" t="s">
        <v>37</v>
      </c>
      <c r="O5819" t="s">
        <v>30</v>
      </c>
      <c r="P5819">
        <v>10.3446726975309</v>
      </c>
      <c r="Q5819">
        <v>0.86452789464826496</v>
      </c>
      <c r="R5819">
        <v>9.81321160598986</v>
      </c>
      <c r="S5819">
        <v>170</v>
      </c>
      <c r="T5819">
        <v>53</v>
      </c>
      <c r="U5819">
        <v>480.78034109318901</v>
      </c>
      <c r="V5819">
        <v>1.5455950540958199E-3</v>
      </c>
      <c r="W5819">
        <v>1949855.4698214</v>
      </c>
      <c r="X5819" t="s">
        <v>28</v>
      </c>
      <c r="Y5819">
        <f>1-864-496-1520</f>
        <v>-2879</v>
      </c>
    </row>
    <row r="5820" spans="1:25" x14ac:dyDescent="0.35">
      <c r="A5820">
        <v>33.570840371800202</v>
      </c>
      <c r="B5820">
        <v>-120.334911120943</v>
      </c>
      <c r="C5820" t="s">
        <v>29</v>
      </c>
      <c r="D5820">
        <v>1.23418753950772</v>
      </c>
      <c r="E5820">
        <v>3</v>
      </c>
      <c r="F5820">
        <v>2766</v>
      </c>
      <c r="G5820">
        <v>5</v>
      </c>
      <c r="H5820">
        <v>1</v>
      </c>
      <c r="I5820">
        <v>1987</v>
      </c>
      <c r="J5820">
        <v>0</v>
      </c>
      <c r="K5820">
        <v>0</v>
      </c>
      <c r="L5820">
        <v>1</v>
      </c>
      <c r="M5820">
        <v>7</v>
      </c>
      <c r="N5820" t="s">
        <v>37</v>
      </c>
      <c r="O5820" t="s">
        <v>32</v>
      </c>
      <c r="P5820">
        <v>10.628052850016999</v>
      </c>
      <c r="Q5820">
        <v>1.6377019408868501</v>
      </c>
      <c r="R5820">
        <v>4.7428666772690002</v>
      </c>
      <c r="S5820">
        <v>18</v>
      </c>
      <c r="T5820">
        <v>48</v>
      </c>
      <c r="U5820">
        <v>552.28825993041403</v>
      </c>
      <c r="V5820">
        <v>2.5307302964569702E-3</v>
      </c>
      <c r="W5820">
        <v>1931745.25846924</v>
      </c>
      <c r="X5820" t="s">
        <v>31</v>
      </c>
      <c r="Y5820">
        <f>1-434-377-5837</f>
        <v>-6647</v>
      </c>
    </row>
    <row r="5821" spans="1:25" x14ac:dyDescent="0.35">
      <c r="A5821">
        <v>38.508088933568203</v>
      </c>
      <c r="B5821">
        <v>-115.87964521017901</v>
      </c>
      <c r="C5821" t="s">
        <v>25</v>
      </c>
      <c r="D5821">
        <v>46.130505227158302</v>
      </c>
      <c r="E5821">
        <v>8</v>
      </c>
      <c r="F5821">
        <v>830</v>
      </c>
      <c r="G5821">
        <v>1</v>
      </c>
      <c r="H5821">
        <v>2</v>
      </c>
      <c r="I5821">
        <v>2007</v>
      </c>
      <c r="J5821">
        <v>0</v>
      </c>
      <c r="K5821">
        <v>1</v>
      </c>
      <c r="L5821">
        <v>0</v>
      </c>
      <c r="M5821">
        <v>8</v>
      </c>
      <c r="N5821" t="s">
        <v>41</v>
      </c>
      <c r="O5821" t="s">
        <v>32</v>
      </c>
      <c r="P5821">
        <v>13.103057586865599</v>
      </c>
      <c r="Q5821">
        <v>0.64137821190190902</v>
      </c>
      <c r="R5821">
        <v>6.5973344930940296</v>
      </c>
      <c r="S5821">
        <v>57</v>
      </c>
      <c r="T5821">
        <v>69</v>
      </c>
      <c r="U5821">
        <v>920.204869911488</v>
      </c>
      <c r="V5821">
        <v>9.6385542168674707E-3</v>
      </c>
      <c r="W5821">
        <v>1065838.04862019</v>
      </c>
      <c r="X5821" t="s">
        <v>33</v>
      </c>
      <c r="Y5821">
        <f>1-747-615-2546</f>
        <v>-3907</v>
      </c>
    </row>
    <row r="5822" spans="1:25" x14ac:dyDescent="0.35">
      <c r="A5822">
        <v>40.281596246535102</v>
      </c>
      <c r="B5822">
        <v>-122.354450220011</v>
      </c>
      <c r="C5822" t="s">
        <v>34</v>
      </c>
      <c r="D5822">
        <v>37.540429886649001</v>
      </c>
      <c r="E5822">
        <v>0</v>
      </c>
      <c r="F5822">
        <v>1822</v>
      </c>
      <c r="G5822">
        <v>4</v>
      </c>
      <c r="H5822">
        <v>3</v>
      </c>
      <c r="I5822">
        <v>1981</v>
      </c>
      <c r="J5822">
        <v>1</v>
      </c>
      <c r="K5822">
        <v>0</v>
      </c>
      <c r="L5822">
        <v>1</v>
      </c>
      <c r="M5822">
        <v>3</v>
      </c>
      <c r="N5822" t="s">
        <v>37</v>
      </c>
      <c r="O5822" t="s">
        <v>32</v>
      </c>
      <c r="P5822">
        <v>2.1339226447651298</v>
      </c>
      <c r="Q5822">
        <v>1.18179005082624</v>
      </c>
      <c r="R5822">
        <v>5.1246248627174404</v>
      </c>
      <c r="S5822">
        <v>77</v>
      </c>
      <c r="T5822">
        <v>52</v>
      </c>
      <c r="U5822">
        <v>622.69355969575497</v>
      </c>
      <c r="V5822">
        <v>1.6465422612513699E-3</v>
      </c>
      <c r="W5822">
        <v>1415645.1400420801</v>
      </c>
      <c r="X5822" t="s">
        <v>36</v>
      </c>
      <c r="Y5822">
        <f>1-642-600-8090</f>
        <v>-9331</v>
      </c>
    </row>
    <row r="5823" spans="1:25" x14ac:dyDescent="0.35">
      <c r="A5823">
        <v>41.159452772697001</v>
      </c>
      <c r="B5823">
        <v>-116.665475867951</v>
      </c>
      <c r="C5823" t="s">
        <v>25</v>
      </c>
      <c r="D5823">
        <v>7.9506490146567996</v>
      </c>
      <c r="E5823">
        <v>5</v>
      </c>
      <c r="F5823">
        <v>2741</v>
      </c>
      <c r="G5823">
        <v>5</v>
      </c>
      <c r="H5823">
        <v>3</v>
      </c>
      <c r="I5823">
        <v>1960</v>
      </c>
      <c r="J5823">
        <v>1</v>
      </c>
      <c r="K5823">
        <v>1</v>
      </c>
      <c r="L5823">
        <v>1</v>
      </c>
      <c r="M5823">
        <v>5</v>
      </c>
      <c r="N5823" t="s">
        <v>41</v>
      </c>
      <c r="O5823" t="s">
        <v>32</v>
      </c>
      <c r="P5823">
        <v>10.326423548651</v>
      </c>
      <c r="Q5823">
        <v>0.72776287225227898</v>
      </c>
      <c r="R5823">
        <v>7.3977068544187796</v>
      </c>
      <c r="S5823">
        <v>0</v>
      </c>
      <c r="T5823">
        <v>45</v>
      </c>
      <c r="U5823">
        <v>849.65611178982203</v>
      </c>
      <c r="V5823">
        <v>1.8241517694272101E-3</v>
      </c>
      <c r="W5823">
        <v>2842393.9578775899</v>
      </c>
      <c r="X5823" t="s">
        <v>43</v>
      </c>
      <c r="Y5823">
        <f>1-872-556-3531</f>
        <v>-4958</v>
      </c>
    </row>
    <row r="5824" spans="1:25" x14ac:dyDescent="0.35">
      <c r="A5824">
        <v>37.7111139339112</v>
      </c>
      <c r="B5824">
        <v>-121.074867100886</v>
      </c>
      <c r="C5824" t="s">
        <v>34</v>
      </c>
      <c r="D5824">
        <v>43.753502427929199</v>
      </c>
      <c r="E5824">
        <v>2</v>
      </c>
      <c r="F5824">
        <v>2933</v>
      </c>
      <c r="G5824">
        <v>2</v>
      </c>
      <c r="H5824">
        <v>3</v>
      </c>
      <c r="I5824">
        <v>1989</v>
      </c>
      <c r="J5824">
        <v>0</v>
      </c>
      <c r="K5824">
        <v>1</v>
      </c>
      <c r="L5824">
        <v>0</v>
      </c>
      <c r="M5824">
        <v>9</v>
      </c>
      <c r="N5824" t="s">
        <v>37</v>
      </c>
      <c r="O5824" t="s">
        <v>27</v>
      </c>
      <c r="P5824">
        <v>8.6434380870612593</v>
      </c>
      <c r="Q5824">
        <v>1.94219929731851</v>
      </c>
      <c r="R5824">
        <v>2.44249027491243</v>
      </c>
      <c r="S5824">
        <v>170</v>
      </c>
      <c r="T5824">
        <v>77</v>
      </c>
      <c r="U5824">
        <v>396.20643745707901</v>
      </c>
      <c r="V5824">
        <v>3.06853051483123E-3</v>
      </c>
      <c r="W5824">
        <v>1511043.4844388999</v>
      </c>
      <c r="X5824" t="s">
        <v>33</v>
      </c>
      <c r="Y5824">
        <f>1-797-290-5583</f>
        <v>-6669</v>
      </c>
    </row>
    <row r="5825" spans="1:25" x14ac:dyDescent="0.35">
      <c r="A5825">
        <v>40.375228375080603</v>
      </c>
      <c r="B5825">
        <v>-117.29848440246499</v>
      </c>
      <c r="C5825" t="s">
        <v>34</v>
      </c>
      <c r="D5825">
        <v>7.47552542327462</v>
      </c>
      <c r="E5825">
        <v>2</v>
      </c>
      <c r="F5825">
        <v>2846</v>
      </c>
      <c r="G5825">
        <v>4</v>
      </c>
      <c r="H5825">
        <v>3</v>
      </c>
      <c r="I5825">
        <v>2020</v>
      </c>
      <c r="J5825">
        <v>0</v>
      </c>
      <c r="K5825">
        <v>0</v>
      </c>
      <c r="L5825">
        <v>1</v>
      </c>
      <c r="M5825">
        <v>8</v>
      </c>
      <c r="N5825" t="s">
        <v>35</v>
      </c>
      <c r="O5825" t="s">
        <v>30</v>
      </c>
      <c r="P5825">
        <v>6.6441550413790296</v>
      </c>
      <c r="Q5825">
        <v>1.1342414280881701</v>
      </c>
      <c r="R5825">
        <v>9.8361914855130692</v>
      </c>
      <c r="S5825">
        <v>129</v>
      </c>
      <c r="T5825">
        <v>32</v>
      </c>
      <c r="U5825">
        <v>972.80427114920997</v>
      </c>
      <c r="V5825">
        <v>2.8109627547434901E-3</v>
      </c>
      <c r="W5825">
        <v>3113444.3626722102</v>
      </c>
      <c r="X5825" t="s">
        <v>33</v>
      </c>
      <c r="Y5825">
        <f>1-654-114-4764</f>
        <v>-5531</v>
      </c>
    </row>
    <row r="5826" spans="1:25" x14ac:dyDescent="0.35">
      <c r="A5826">
        <v>40.4077467024904</v>
      </c>
      <c r="B5826">
        <v>-118.656305361623</v>
      </c>
      <c r="C5826" t="s">
        <v>29</v>
      </c>
      <c r="D5826">
        <v>6.6194557839018202</v>
      </c>
      <c r="E5826">
        <v>7</v>
      </c>
      <c r="F5826">
        <v>4738</v>
      </c>
      <c r="G5826">
        <v>4</v>
      </c>
      <c r="H5826">
        <v>2</v>
      </c>
      <c r="I5826">
        <v>2016</v>
      </c>
      <c r="J5826">
        <v>1</v>
      </c>
      <c r="K5826">
        <v>0</v>
      </c>
      <c r="L5826">
        <v>0</v>
      </c>
      <c r="M5826">
        <v>11</v>
      </c>
      <c r="N5826" t="s">
        <v>41</v>
      </c>
      <c r="O5826" t="s">
        <v>27</v>
      </c>
      <c r="P5826">
        <v>9.5217936807615597</v>
      </c>
      <c r="Q5826">
        <v>0.81480150825606801</v>
      </c>
      <c r="R5826">
        <v>1.15624344927856</v>
      </c>
      <c r="S5826">
        <v>142</v>
      </c>
      <c r="T5826">
        <v>47</v>
      </c>
      <c r="U5826">
        <v>469.52018995290098</v>
      </c>
      <c r="V5826">
        <v>2.32165470662726E-3</v>
      </c>
      <c r="W5826">
        <v>2587204.8865657798</v>
      </c>
      <c r="X5826" t="s">
        <v>28</v>
      </c>
      <c r="Y5826">
        <f>1-966-645-6549</f>
        <v>-8159</v>
      </c>
    </row>
    <row r="5827" spans="1:25" x14ac:dyDescent="0.35">
      <c r="A5827">
        <v>36.669063928944098</v>
      </c>
      <c r="B5827">
        <v>-116.801543381749</v>
      </c>
      <c r="C5827" t="s">
        <v>25</v>
      </c>
      <c r="D5827">
        <v>9.9448948240372506</v>
      </c>
      <c r="E5827">
        <v>0</v>
      </c>
      <c r="F5827">
        <v>1149</v>
      </c>
      <c r="G5827">
        <v>3</v>
      </c>
      <c r="H5827">
        <v>2</v>
      </c>
      <c r="I5827">
        <v>1990</v>
      </c>
      <c r="J5827">
        <v>0</v>
      </c>
      <c r="K5827">
        <v>1</v>
      </c>
      <c r="L5827">
        <v>1</v>
      </c>
      <c r="M5827">
        <v>10</v>
      </c>
      <c r="N5827" t="s">
        <v>37</v>
      </c>
      <c r="O5827" t="s">
        <v>32</v>
      </c>
      <c r="P5827">
        <v>9.5440863572794399</v>
      </c>
      <c r="Q5827">
        <v>1.80358135222939</v>
      </c>
      <c r="R5827">
        <v>4.6421826430945599</v>
      </c>
      <c r="S5827">
        <v>5</v>
      </c>
      <c r="T5827">
        <v>27</v>
      </c>
      <c r="U5827">
        <v>907.25460817427597</v>
      </c>
      <c r="V5827">
        <v>8.7032201914708403E-3</v>
      </c>
      <c r="W5827">
        <v>1397010.8374034001</v>
      </c>
      <c r="X5827" t="s">
        <v>43</v>
      </c>
      <c r="Y5827">
        <f>1-732-622-9391</f>
        <v>-10744</v>
      </c>
    </row>
    <row r="5828" spans="1:25" x14ac:dyDescent="0.35">
      <c r="A5828">
        <v>35.732260780122402</v>
      </c>
      <c r="B5828">
        <v>-122.267195596824</v>
      </c>
      <c r="C5828" t="s">
        <v>34</v>
      </c>
      <c r="D5828">
        <v>45.794682401301003</v>
      </c>
      <c r="E5828">
        <v>3</v>
      </c>
      <c r="F5828">
        <v>4464</v>
      </c>
      <c r="G5828">
        <v>4</v>
      </c>
      <c r="H5828">
        <v>2</v>
      </c>
      <c r="I5828">
        <v>1984</v>
      </c>
      <c r="J5828">
        <v>1</v>
      </c>
      <c r="K5828">
        <v>1</v>
      </c>
      <c r="L5828">
        <v>0</v>
      </c>
      <c r="M5828">
        <v>7</v>
      </c>
      <c r="N5828" t="s">
        <v>41</v>
      </c>
      <c r="O5828" t="s">
        <v>30</v>
      </c>
      <c r="P5828">
        <v>12.669295301153801</v>
      </c>
      <c r="Q5828">
        <v>1.8801826057583799</v>
      </c>
      <c r="R5828">
        <v>2.8128883697159699</v>
      </c>
      <c r="S5828">
        <v>89</v>
      </c>
      <c r="T5828">
        <v>25</v>
      </c>
      <c r="U5828">
        <v>962.00776049459705</v>
      </c>
      <c r="V5828">
        <v>1.56810035842293E-3</v>
      </c>
      <c r="W5828">
        <v>4636515.3431992801</v>
      </c>
      <c r="X5828" t="s">
        <v>43</v>
      </c>
      <c r="Y5828">
        <f>1-893-127-2353</f>
        <v>-3372</v>
      </c>
    </row>
    <row r="5829" spans="1:25" x14ac:dyDescent="0.35">
      <c r="A5829">
        <v>32.809635869792501</v>
      </c>
      <c r="B5829">
        <v>-118.297608206015</v>
      </c>
      <c r="C5829" t="s">
        <v>34</v>
      </c>
      <c r="D5829">
        <v>12.5043302035845</v>
      </c>
      <c r="E5829">
        <v>1</v>
      </c>
      <c r="F5829">
        <v>3013</v>
      </c>
      <c r="G5829">
        <v>2</v>
      </c>
      <c r="H5829">
        <v>1</v>
      </c>
      <c r="I5829">
        <v>1981</v>
      </c>
      <c r="J5829">
        <v>0</v>
      </c>
      <c r="K5829">
        <v>1</v>
      </c>
      <c r="L5829">
        <v>0</v>
      </c>
      <c r="M5829">
        <v>8</v>
      </c>
      <c r="N5829" t="s">
        <v>41</v>
      </c>
      <c r="O5829" t="s">
        <v>27</v>
      </c>
      <c r="P5829">
        <v>6.6433017095065097</v>
      </c>
      <c r="Q5829">
        <v>1.54253391109503</v>
      </c>
      <c r="R5829">
        <v>0.63057314949952104</v>
      </c>
      <c r="S5829">
        <v>104</v>
      </c>
      <c r="T5829">
        <v>27</v>
      </c>
      <c r="U5829">
        <v>250.30433314340701</v>
      </c>
      <c r="V5829">
        <v>2.65516096913375E-3</v>
      </c>
      <c r="W5829">
        <v>898351.55736437696</v>
      </c>
      <c r="X5829" t="s">
        <v>42</v>
      </c>
      <c r="Y5829">
        <f>1-243-575-4362</f>
        <v>-5179</v>
      </c>
    </row>
    <row r="5830" spans="1:25" x14ac:dyDescent="0.35">
      <c r="A5830">
        <v>35.135340860460197</v>
      </c>
      <c r="B5830">
        <v>-122.12921192114</v>
      </c>
      <c r="C5830" t="s">
        <v>34</v>
      </c>
      <c r="D5830">
        <v>4.5731454379730296</v>
      </c>
      <c r="E5830">
        <v>5</v>
      </c>
      <c r="F5830">
        <v>3201</v>
      </c>
      <c r="G5830">
        <v>2</v>
      </c>
      <c r="H5830">
        <v>3</v>
      </c>
      <c r="I5830">
        <v>1954</v>
      </c>
      <c r="J5830">
        <v>0</v>
      </c>
      <c r="K5830">
        <v>1</v>
      </c>
      <c r="L5830">
        <v>1</v>
      </c>
      <c r="M5830">
        <v>7</v>
      </c>
      <c r="N5830" t="s">
        <v>41</v>
      </c>
      <c r="O5830" t="s">
        <v>32</v>
      </c>
      <c r="P5830">
        <v>14.503040284136301</v>
      </c>
      <c r="Q5830">
        <v>1.4202616422732599</v>
      </c>
      <c r="R5830">
        <v>0.24148453853860699</v>
      </c>
      <c r="S5830">
        <v>196</v>
      </c>
      <c r="T5830">
        <v>72</v>
      </c>
      <c r="U5830">
        <v>596.77173785102502</v>
      </c>
      <c r="V5830">
        <v>2.1868166198063099E-3</v>
      </c>
      <c r="W5830">
        <v>2158032.8530596201</v>
      </c>
      <c r="X5830" t="s">
        <v>44</v>
      </c>
      <c r="Y5830">
        <f>1-452-562-7702</f>
        <v>-8715</v>
      </c>
    </row>
    <row r="5831" spans="1:25" x14ac:dyDescent="0.35">
      <c r="A5831">
        <v>38.758819225464698</v>
      </c>
      <c r="B5831">
        <v>-123.299086570002</v>
      </c>
      <c r="C5831" t="s">
        <v>29</v>
      </c>
      <c r="D5831">
        <v>34.604328081201899</v>
      </c>
      <c r="E5831">
        <v>3</v>
      </c>
      <c r="F5831">
        <v>2174</v>
      </c>
      <c r="G5831">
        <v>3</v>
      </c>
      <c r="H5831">
        <v>3</v>
      </c>
      <c r="I5831">
        <v>2011</v>
      </c>
      <c r="J5831">
        <v>0</v>
      </c>
      <c r="K5831">
        <v>0</v>
      </c>
      <c r="L5831">
        <v>0</v>
      </c>
      <c r="M5831">
        <v>3</v>
      </c>
      <c r="N5831" t="s">
        <v>35</v>
      </c>
      <c r="O5831" t="s">
        <v>32</v>
      </c>
      <c r="P5831">
        <v>8.0710966837828799</v>
      </c>
      <c r="Q5831">
        <v>0.60345363028115995</v>
      </c>
      <c r="R5831">
        <v>8.3522113994879508</v>
      </c>
      <c r="S5831">
        <v>46</v>
      </c>
      <c r="T5831">
        <v>26</v>
      </c>
      <c r="U5831">
        <v>820.087651928936</v>
      </c>
      <c r="V5831">
        <v>1.37994480220791E-3</v>
      </c>
      <c r="W5831">
        <v>1985296.3260028299</v>
      </c>
      <c r="X5831" t="s">
        <v>36</v>
      </c>
      <c r="Y5831">
        <f>1-787-271-7248</f>
        <v>-8305</v>
      </c>
    </row>
    <row r="5832" spans="1:25" x14ac:dyDescent="0.35">
      <c r="A5832">
        <v>41.377733777375497</v>
      </c>
      <c r="B5832">
        <v>-122.501092543162</v>
      </c>
      <c r="C5832" t="s">
        <v>25</v>
      </c>
      <c r="D5832">
        <v>48.570119587093799</v>
      </c>
      <c r="E5832">
        <v>8</v>
      </c>
      <c r="F5832">
        <v>2005</v>
      </c>
      <c r="G5832">
        <v>2</v>
      </c>
      <c r="H5832">
        <v>2</v>
      </c>
      <c r="I5832">
        <v>1968</v>
      </c>
      <c r="J5832">
        <v>0</v>
      </c>
      <c r="K5832">
        <v>0</v>
      </c>
      <c r="L5832">
        <v>0</v>
      </c>
      <c r="M5832">
        <v>6</v>
      </c>
      <c r="N5832" t="s">
        <v>41</v>
      </c>
      <c r="O5832" t="s">
        <v>27</v>
      </c>
      <c r="P5832">
        <v>9.0015542761055105</v>
      </c>
      <c r="Q5832">
        <v>0.58823609182250503</v>
      </c>
      <c r="R5832">
        <v>7.6371521769807096</v>
      </c>
      <c r="S5832">
        <v>144</v>
      </c>
      <c r="T5832">
        <v>24</v>
      </c>
      <c r="U5832">
        <v>379.45971648920499</v>
      </c>
      <c r="V5832">
        <v>2.9925187032418901E-3</v>
      </c>
      <c r="W5832">
        <v>899639.14052017999</v>
      </c>
      <c r="X5832" t="s">
        <v>31</v>
      </c>
      <c r="Y5832">
        <f>1-915-155-7292</f>
        <v>-8361</v>
      </c>
    </row>
    <row r="5833" spans="1:25" x14ac:dyDescent="0.35">
      <c r="A5833">
        <v>35.113161368332698</v>
      </c>
      <c r="B5833">
        <v>-122.879316222551</v>
      </c>
      <c r="C5833" t="s">
        <v>34</v>
      </c>
      <c r="D5833">
        <v>22.477182566551502</v>
      </c>
      <c r="E5833">
        <v>6</v>
      </c>
      <c r="F5833">
        <v>4053</v>
      </c>
      <c r="G5833">
        <v>5</v>
      </c>
      <c r="H5833">
        <v>3</v>
      </c>
      <c r="I5833">
        <v>1985</v>
      </c>
      <c r="J5833">
        <v>0</v>
      </c>
      <c r="K5833">
        <v>1</v>
      </c>
      <c r="L5833">
        <v>1</v>
      </c>
      <c r="M5833">
        <v>4</v>
      </c>
      <c r="N5833" t="s">
        <v>41</v>
      </c>
      <c r="O5833" t="s">
        <v>30</v>
      </c>
      <c r="P5833">
        <v>10.5455054650304</v>
      </c>
      <c r="Q5833">
        <v>1.50590754807551</v>
      </c>
      <c r="R5833">
        <v>7.5882456836992898</v>
      </c>
      <c r="S5833">
        <v>111</v>
      </c>
      <c r="T5833">
        <v>43</v>
      </c>
      <c r="U5833">
        <v>428.38678064025902</v>
      </c>
      <c r="V5833">
        <v>9.8692326671601192E-4</v>
      </c>
      <c r="W5833">
        <v>2238212.8140004999</v>
      </c>
      <c r="X5833" t="s">
        <v>38</v>
      </c>
      <c r="Y5833">
        <f>1-903-722-2159</f>
        <v>-3783</v>
      </c>
    </row>
    <row r="5834" spans="1:25" x14ac:dyDescent="0.35">
      <c r="A5834">
        <v>40.2375444485386</v>
      </c>
      <c r="B5834">
        <v>-118.962611954281</v>
      </c>
      <c r="C5834" t="s">
        <v>29</v>
      </c>
      <c r="D5834">
        <v>11.6709896839841</v>
      </c>
      <c r="E5834">
        <v>1</v>
      </c>
      <c r="F5834">
        <v>3271</v>
      </c>
      <c r="G5834">
        <v>3</v>
      </c>
      <c r="H5834">
        <v>2</v>
      </c>
      <c r="I5834">
        <v>1983</v>
      </c>
      <c r="J5834">
        <v>0</v>
      </c>
      <c r="K5834">
        <v>1</v>
      </c>
      <c r="L5834">
        <v>1</v>
      </c>
      <c r="M5834">
        <v>3</v>
      </c>
      <c r="N5834" t="s">
        <v>26</v>
      </c>
      <c r="O5834" t="s">
        <v>32</v>
      </c>
      <c r="P5834">
        <v>13.120801698304099</v>
      </c>
      <c r="Q5834">
        <v>1.55321176669428</v>
      </c>
      <c r="R5834">
        <v>7.1488792697960202</v>
      </c>
      <c r="S5834">
        <v>70</v>
      </c>
      <c r="T5834">
        <v>29</v>
      </c>
      <c r="U5834">
        <v>414.32335414147502</v>
      </c>
      <c r="V5834">
        <v>9.1715071843472896E-4</v>
      </c>
      <c r="W5834">
        <v>1707982.1959941499</v>
      </c>
      <c r="X5834" t="s">
        <v>40</v>
      </c>
      <c r="Y5834">
        <f>1-511-229-2444</f>
        <v>-3183</v>
      </c>
    </row>
    <row r="5835" spans="1:25" x14ac:dyDescent="0.35">
      <c r="A5835">
        <v>39.8524071304887</v>
      </c>
      <c r="B5835">
        <v>-118.84389987678399</v>
      </c>
      <c r="C5835" t="s">
        <v>34</v>
      </c>
      <c r="D5835">
        <v>25.733904242297498</v>
      </c>
      <c r="E5835">
        <v>7</v>
      </c>
      <c r="F5835">
        <v>2493</v>
      </c>
      <c r="G5835">
        <v>2</v>
      </c>
      <c r="H5835">
        <v>3</v>
      </c>
      <c r="I5835">
        <v>2022</v>
      </c>
      <c r="J5835">
        <v>1</v>
      </c>
      <c r="K5835">
        <v>1</v>
      </c>
      <c r="L5835">
        <v>0</v>
      </c>
      <c r="M5835">
        <v>8</v>
      </c>
      <c r="N5835" t="s">
        <v>35</v>
      </c>
      <c r="O5835" t="s">
        <v>27</v>
      </c>
      <c r="P5835">
        <v>6.2563891301843197</v>
      </c>
      <c r="Q5835">
        <v>1.40203437013309</v>
      </c>
      <c r="R5835">
        <v>4.4105823526389101E-2</v>
      </c>
      <c r="S5835">
        <v>118</v>
      </c>
      <c r="T5835">
        <v>52</v>
      </c>
      <c r="U5835">
        <v>344.096908025716</v>
      </c>
      <c r="V5835">
        <v>3.2089851584436399E-3</v>
      </c>
      <c r="W5835">
        <v>1221367.58420487</v>
      </c>
      <c r="X5835" t="s">
        <v>43</v>
      </c>
      <c r="Y5835">
        <f>1-545-991-7102</f>
        <v>-8637</v>
      </c>
    </row>
    <row r="5836" spans="1:25" x14ac:dyDescent="0.35">
      <c r="A5836">
        <v>35.695076400427098</v>
      </c>
      <c r="B5836">
        <v>-123.285491947556</v>
      </c>
      <c r="C5836" t="s">
        <v>29</v>
      </c>
      <c r="D5836">
        <v>3.7329464519068098</v>
      </c>
      <c r="E5836">
        <v>8</v>
      </c>
      <c r="F5836">
        <v>4023</v>
      </c>
      <c r="G5836">
        <v>2</v>
      </c>
      <c r="H5836">
        <v>3</v>
      </c>
      <c r="I5836">
        <v>1952</v>
      </c>
      <c r="J5836">
        <v>1</v>
      </c>
      <c r="K5836">
        <v>0</v>
      </c>
      <c r="L5836">
        <v>1</v>
      </c>
      <c r="M5836">
        <v>10</v>
      </c>
      <c r="N5836" t="s">
        <v>35</v>
      </c>
      <c r="O5836" t="s">
        <v>30</v>
      </c>
      <c r="P5836">
        <v>7.4419941288030902</v>
      </c>
      <c r="Q5836">
        <v>1.55512376129413</v>
      </c>
      <c r="R5836">
        <v>2.8273734506172898</v>
      </c>
      <c r="S5836">
        <v>58</v>
      </c>
      <c r="T5836">
        <v>63</v>
      </c>
      <c r="U5836">
        <v>547.76097970551405</v>
      </c>
      <c r="V5836">
        <v>2.4857071836937601E-3</v>
      </c>
      <c r="W5836">
        <v>2344120.4382752902</v>
      </c>
      <c r="X5836" t="s">
        <v>36</v>
      </c>
      <c r="Y5836">
        <f>1-933-357-7464</f>
        <v>-8753</v>
      </c>
    </row>
    <row r="5837" spans="1:25" x14ac:dyDescent="0.35">
      <c r="A5837">
        <v>33.568055514074999</v>
      </c>
      <c r="B5837">
        <v>-121.40806621274299</v>
      </c>
      <c r="C5837" t="s">
        <v>29</v>
      </c>
      <c r="D5837">
        <v>35.706653928699502</v>
      </c>
      <c r="E5837">
        <v>3</v>
      </c>
      <c r="F5837">
        <v>3591</v>
      </c>
      <c r="G5837">
        <v>3</v>
      </c>
      <c r="H5837">
        <v>2</v>
      </c>
      <c r="I5837">
        <v>2000</v>
      </c>
      <c r="J5837">
        <v>1</v>
      </c>
      <c r="K5837">
        <v>1</v>
      </c>
      <c r="L5837">
        <v>0</v>
      </c>
      <c r="M5837">
        <v>10</v>
      </c>
      <c r="N5837" t="s">
        <v>35</v>
      </c>
      <c r="O5837" t="s">
        <v>27</v>
      </c>
      <c r="P5837">
        <v>7.2737779286453099</v>
      </c>
      <c r="Q5837">
        <v>1.8525185192242899</v>
      </c>
      <c r="R5837">
        <v>8.5104262122462409</v>
      </c>
      <c r="S5837">
        <v>126</v>
      </c>
      <c r="T5837">
        <v>59</v>
      </c>
      <c r="U5837">
        <v>470.746034953238</v>
      </c>
      <c r="V5837">
        <v>2.7847396268448898E-3</v>
      </c>
      <c r="W5837">
        <v>1945441.69543354</v>
      </c>
      <c r="X5837" t="s">
        <v>40</v>
      </c>
      <c r="Y5837">
        <f>1-215-313-9219</f>
        <v>-9746</v>
      </c>
    </row>
    <row r="5838" spans="1:25" x14ac:dyDescent="0.35">
      <c r="A5838">
        <v>41.194198022911898</v>
      </c>
      <c r="B5838">
        <v>-121.91122799842</v>
      </c>
      <c r="C5838" t="s">
        <v>25</v>
      </c>
      <c r="D5838">
        <v>1.0590858269819201</v>
      </c>
      <c r="E5838">
        <v>6</v>
      </c>
      <c r="F5838">
        <v>4069</v>
      </c>
      <c r="G5838">
        <v>4</v>
      </c>
      <c r="H5838">
        <v>1</v>
      </c>
      <c r="I5838">
        <v>1976</v>
      </c>
      <c r="J5838">
        <v>1</v>
      </c>
      <c r="K5838">
        <v>0</v>
      </c>
      <c r="L5838">
        <v>1</v>
      </c>
      <c r="M5838">
        <v>14</v>
      </c>
      <c r="N5838" t="s">
        <v>41</v>
      </c>
      <c r="O5838" t="s">
        <v>32</v>
      </c>
      <c r="P5838">
        <v>4.11450978309517</v>
      </c>
      <c r="Q5838">
        <v>1.3619263592920701</v>
      </c>
      <c r="R5838">
        <v>3.7310517954257301</v>
      </c>
      <c r="S5838">
        <v>190</v>
      </c>
      <c r="T5838">
        <v>29</v>
      </c>
      <c r="U5838">
        <v>899.84918796898398</v>
      </c>
      <c r="V5838">
        <v>3.4406488080609399E-3</v>
      </c>
      <c r="W5838">
        <v>3865561.8631065302</v>
      </c>
      <c r="X5838" t="s">
        <v>43</v>
      </c>
      <c r="Y5838">
        <f>1-465-177-7065</f>
        <v>-7706</v>
      </c>
    </row>
    <row r="5839" spans="1:25" x14ac:dyDescent="0.35">
      <c r="A5839">
        <v>33.255728249110497</v>
      </c>
      <c r="B5839">
        <v>-122.760340683678</v>
      </c>
      <c r="C5839" t="s">
        <v>29</v>
      </c>
      <c r="D5839">
        <v>19.840983201744798</v>
      </c>
      <c r="E5839">
        <v>3</v>
      </c>
      <c r="F5839">
        <v>3182</v>
      </c>
      <c r="G5839">
        <v>4</v>
      </c>
      <c r="H5839">
        <v>3</v>
      </c>
      <c r="I5839">
        <v>2013</v>
      </c>
      <c r="J5839">
        <v>1</v>
      </c>
      <c r="K5839">
        <v>0</v>
      </c>
      <c r="L5839">
        <v>0</v>
      </c>
      <c r="M5839">
        <v>12</v>
      </c>
      <c r="N5839" t="s">
        <v>35</v>
      </c>
      <c r="O5839" t="s">
        <v>30</v>
      </c>
      <c r="P5839">
        <v>8.3824212849065898</v>
      </c>
      <c r="Q5839">
        <v>0.58609557145932001</v>
      </c>
      <c r="R5839">
        <v>6.1968200614375899</v>
      </c>
      <c r="S5839">
        <v>64</v>
      </c>
      <c r="T5839">
        <v>71</v>
      </c>
      <c r="U5839">
        <v>439.32439440737397</v>
      </c>
      <c r="V5839">
        <v>3.7712130735386498E-3</v>
      </c>
      <c r="W5839">
        <v>1784553.87804609</v>
      </c>
      <c r="X5839" t="s">
        <v>28</v>
      </c>
      <c r="Y5839">
        <f>1-486-323-6830</f>
        <v>-7638</v>
      </c>
    </row>
    <row r="5840" spans="1:25" x14ac:dyDescent="0.35">
      <c r="A5840">
        <v>41.160841688907702</v>
      </c>
      <c r="B5840">
        <v>-114.894290951719</v>
      </c>
      <c r="C5840" t="s">
        <v>29</v>
      </c>
      <c r="D5840">
        <v>30.8761727288143</v>
      </c>
      <c r="E5840">
        <v>2</v>
      </c>
      <c r="F5840">
        <v>2036</v>
      </c>
      <c r="G5840">
        <v>3</v>
      </c>
      <c r="H5840">
        <v>1</v>
      </c>
      <c r="I5840">
        <v>1959</v>
      </c>
      <c r="J5840">
        <v>1</v>
      </c>
      <c r="K5840">
        <v>1</v>
      </c>
      <c r="L5840">
        <v>1</v>
      </c>
      <c r="M5840">
        <v>9</v>
      </c>
      <c r="N5840" t="s">
        <v>41</v>
      </c>
      <c r="O5840" t="s">
        <v>27</v>
      </c>
      <c r="P5840">
        <v>7.6725890364364497</v>
      </c>
      <c r="Q5840">
        <v>1.0533647565912601</v>
      </c>
      <c r="R5840">
        <v>2.2653266371954199</v>
      </c>
      <c r="S5840">
        <v>22</v>
      </c>
      <c r="T5840">
        <v>59</v>
      </c>
      <c r="U5840">
        <v>283.17968305110901</v>
      </c>
      <c r="V5840">
        <v>4.4204322200392899E-3</v>
      </c>
      <c r="W5840">
        <v>878806.58958101505</v>
      </c>
      <c r="X5840" t="s">
        <v>38</v>
      </c>
      <c r="Y5840">
        <f>1-215-847-9082</f>
        <v>-10143</v>
      </c>
    </row>
    <row r="5841" spans="1:25" x14ac:dyDescent="0.35">
      <c r="A5841">
        <v>36.040420868978003</v>
      </c>
      <c r="B5841">
        <v>-122.75720441699001</v>
      </c>
      <c r="C5841" t="s">
        <v>34</v>
      </c>
      <c r="D5841">
        <v>32.120292037980597</v>
      </c>
      <c r="E5841">
        <v>9</v>
      </c>
      <c r="F5841">
        <v>3871</v>
      </c>
      <c r="G5841">
        <v>2</v>
      </c>
      <c r="H5841">
        <v>2</v>
      </c>
      <c r="I5841">
        <v>2001</v>
      </c>
      <c r="J5841">
        <v>0</v>
      </c>
      <c r="K5841">
        <v>1</v>
      </c>
      <c r="L5841">
        <v>1</v>
      </c>
      <c r="M5841">
        <v>2</v>
      </c>
      <c r="N5841" t="s">
        <v>41</v>
      </c>
      <c r="O5841" t="s">
        <v>32</v>
      </c>
      <c r="P5841">
        <v>10.735974249561099</v>
      </c>
      <c r="Q5841">
        <v>1.7671983633661601</v>
      </c>
      <c r="R5841">
        <v>5.4143338286792702</v>
      </c>
      <c r="S5841">
        <v>122</v>
      </c>
      <c r="T5841">
        <v>48</v>
      </c>
      <c r="U5841">
        <v>272.14871988889399</v>
      </c>
      <c r="V5841">
        <v>5.1666236114699001E-4</v>
      </c>
      <c r="W5841">
        <v>1334825.9446546701</v>
      </c>
      <c r="X5841" t="s">
        <v>42</v>
      </c>
      <c r="Y5841">
        <f>1-857-748-4251</f>
        <v>-5855</v>
      </c>
    </row>
    <row r="5842" spans="1:25" x14ac:dyDescent="0.35">
      <c r="A5842">
        <v>39.239536542189001</v>
      </c>
      <c r="B5842">
        <v>-123.18375907037699</v>
      </c>
      <c r="C5842" t="s">
        <v>34</v>
      </c>
      <c r="D5842">
        <v>10.411680347084801</v>
      </c>
      <c r="E5842">
        <v>7</v>
      </c>
      <c r="F5842">
        <v>1692</v>
      </c>
      <c r="G5842">
        <v>3</v>
      </c>
      <c r="H5842">
        <v>2</v>
      </c>
      <c r="I5842">
        <v>1966</v>
      </c>
      <c r="J5842">
        <v>1</v>
      </c>
      <c r="K5842">
        <v>0</v>
      </c>
      <c r="L5842">
        <v>1</v>
      </c>
      <c r="M5842">
        <v>9</v>
      </c>
      <c r="N5842" t="s">
        <v>26</v>
      </c>
      <c r="O5842" t="s">
        <v>30</v>
      </c>
      <c r="P5842">
        <v>3.0969745839140601</v>
      </c>
      <c r="Q5842">
        <v>0.95471467378039698</v>
      </c>
      <c r="R5842">
        <v>9.9332161483706507</v>
      </c>
      <c r="S5842">
        <v>83</v>
      </c>
      <c r="T5842">
        <v>70</v>
      </c>
      <c r="U5842">
        <v>483.62721850487901</v>
      </c>
      <c r="V5842">
        <v>5.31914893617021E-3</v>
      </c>
      <c r="W5842">
        <v>977847.59563958005</v>
      </c>
      <c r="X5842" t="s">
        <v>43</v>
      </c>
      <c r="Y5842">
        <f>1-861-464-2134</f>
        <v>-3458</v>
      </c>
    </row>
    <row r="5843" spans="1:25" x14ac:dyDescent="0.35">
      <c r="A5843">
        <v>34.275281287428697</v>
      </c>
      <c r="B5843">
        <v>-123.651218776406</v>
      </c>
      <c r="C5843" t="s">
        <v>25</v>
      </c>
      <c r="D5843">
        <v>44.418282753649699</v>
      </c>
      <c r="E5843">
        <v>0</v>
      </c>
      <c r="F5843">
        <v>4919</v>
      </c>
      <c r="G5843">
        <v>2</v>
      </c>
      <c r="H5843">
        <v>2</v>
      </c>
      <c r="I5843">
        <v>1964</v>
      </c>
      <c r="J5843">
        <v>0</v>
      </c>
      <c r="K5843">
        <v>0</v>
      </c>
      <c r="L5843">
        <v>1</v>
      </c>
      <c r="M5843">
        <v>14</v>
      </c>
      <c r="N5843" t="s">
        <v>26</v>
      </c>
      <c r="O5843" t="s">
        <v>32</v>
      </c>
      <c r="P5843">
        <v>13.1929811248358</v>
      </c>
      <c r="Q5843">
        <v>1.8530174432865201</v>
      </c>
      <c r="R5843">
        <v>5.2220264047449501</v>
      </c>
      <c r="S5843">
        <v>17</v>
      </c>
      <c r="T5843">
        <v>43</v>
      </c>
      <c r="U5843">
        <v>403.02257269458499</v>
      </c>
      <c r="V5843">
        <v>2.8461069323033098E-3</v>
      </c>
      <c r="W5843">
        <v>2153642.2748407</v>
      </c>
      <c r="X5843" t="s">
        <v>38</v>
      </c>
      <c r="Y5843">
        <f>1-317-352-4328</f>
        <v>-4996</v>
      </c>
    </row>
    <row r="5844" spans="1:25" x14ac:dyDescent="0.35">
      <c r="A5844">
        <v>34.5926298140622</v>
      </c>
      <c r="B5844">
        <v>-124.136330930947</v>
      </c>
      <c r="C5844" t="s">
        <v>34</v>
      </c>
      <c r="D5844">
        <v>32.538028123267502</v>
      </c>
      <c r="E5844">
        <v>8</v>
      </c>
      <c r="F5844">
        <v>2881</v>
      </c>
      <c r="G5844">
        <v>1</v>
      </c>
      <c r="H5844">
        <v>1</v>
      </c>
      <c r="I5844">
        <v>2000</v>
      </c>
      <c r="J5844">
        <v>0</v>
      </c>
      <c r="K5844">
        <v>0</v>
      </c>
      <c r="L5844">
        <v>0</v>
      </c>
      <c r="M5844">
        <v>10</v>
      </c>
      <c r="N5844" t="s">
        <v>41</v>
      </c>
      <c r="O5844" t="s">
        <v>30</v>
      </c>
      <c r="P5844">
        <v>13.7589273732456</v>
      </c>
      <c r="Q5844">
        <v>0.61598834269306602</v>
      </c>
      <c r="R5844">
        <v>7.9754875127039</v>
      </c>
      <c r="S5844">
        <v>65</v>
      </c>
      <c r="T5844">
        <v>64</v>
      </c>
      <c r="U5844">
        <v>808.07056327503994</v>
      </c>
      <c r="V5844">
        <v>3.47101700798333E-3</v>
      </c>
      <c r="W5844">
        <v>2425200.7832047199</v>
      </c>
      <c r="X5844" t="s">
        <v>43</v>
      </c>
      <c r="Y5844">
        <f>1-527-670-9682</f>
        <v>-10878</v>
      </c>
    </row>
    <row r="5845" spans="1:25" x14ac:dyDescent="0.35">
      <c r="A5845">
        <v>38.390500327923498</v>
      </c>
      <c r="B5845">
        <v>-117.08088357461</v>
      </c>
      <c r="C5845" t="s">
        <v>29</v>
      </c>
      <c r="D5845">
        <v>15.3655091937254</v>
      </c>
      <c r="E5845">
        <v>2</v>
      </c>
      <c r="F5845">
        <v>588</v>
      </c>
      <c r="G5845">
        <v>3</v>
      </c>
      <c r="H5845">
        <v>2</v>
      </c>
      <c r="I5845">
        <v>1980</v>
      </c>
      <c r="J5845">
        <v>0</v>
      </c>
      <c r="K5845">
        <v>0</v>
      </c>
      <c r="L5845">
        <v>1</v>
      </c>
      <c r="M5845">
        <v>8</v>
      </c>
      <c r="N5845" t="s">
        <v>26</v>
      </c>
      <c r="O5845" t="s">
        <v>30</v>
      </c>
      <c r="P5845">
        <v>14.516183643526301</v>
      </c>
      <c r="Q5845">
        <v>1.4360950624559099</v>
      </c>
      <c r="R5845">
        <v>6.9878842213045296</v>
      </c>
      <c r="S5845">
        <v>150</v>
      </c>
      <c r="T5845">
        <v>75</v>
      </c>
      <c r="U5845">
        <v>301.21597833866298</v>
      </c>
      <c r="V5845">
        <v>1.3605442176870699E-2</v>
      </c>
      <c r="W5845">
        <v>400658.173052661</v>
      </c>
      <c r="X5845" t="s">
        <v>31</v>
      </c>
      <c r="Y5845">
        <f>1-966-993-9846</f>
        <v>-11804</v>
      </c>
    </row>
    <row r="5846" spans="1:25" x14ac:dyDescent="0.35">
      <c r="A5846">
        <v>40.971768838133698</v>
      </c>
      <c r="B5846">
        <v>-118.667553006693</v>
      </c>
      <c r="C5846" t="s">
        <v>34</v>
      </c>
      <c r="D5846">
        <v>24.621049581771601</v>
      </c>
      <c r="E5846">
        <v>3</v>
      </c>
      <c r="F5846">
        <v>2928</v>
      </c>
      <c r="G5846">
        <v>1</v>
      </c>
      <c r="H5846">
        <v>1</v>
      </c>
      <c r="I5846">
        <v>2007</v>
      </c>
      <c r="J5846">
        <v>0</v>
      </c>
      <c r="K5846">
        <v>0</v>
      </c>
      <c r="L5846">
        <v>1</v>
      </c>
      <c r="M5846">
        <v>12</v>
      </c>
      <c r="N5846" t="s">
        <v>26</v>
      </c>
      <c r="O5846" t="s">
        <v>27</v>
      </c>
      <c r="P5846">
        <v>4.8774437494756997</v>
      </c>
      <c r="Q5846">
        <v>1.2591579630034699</v>
      </c>
      <c r="R5846">
        <v>1.4533959566702499</v>
      </c>
      <c r="S5846">
        <v>67</v>
      </c>
      <c r="T5846">
        <v>40</v>
      </c>
      <c r="U5846">
        <v>311.07610237301901</v>
      </c>
      <c r="V5846">
        <v>4.0983606557376999E-3</v>
      </c>
      <c r="W5846">
        <v>1043651.07460192</v>
      </c>
      <c r="X5846" t="s">
        <v>44</v>
      </c>
      <c r="Y5846">
        <f>1-607-117-6801</f>
        <v>-7524</v>
      </c>
    </row>
    <row r="5847" spans="1:25" x14ac:dyDescent="0.35">
      <c r="A5847">
        <v>37.095140693260497</v>
      </c>
      <c r="B5847">
        <v>-114.780866111051</v>
      </c>
      <c r="C5847" t="s">
        <v>25</v>
      </c>
      <c r="D5847">
        <v>2.56257928739472</v>
      </c>
      <c r="E5847">
        <v>7</v>
      </c>
      <c r="F5847">
        <v>3217</v>
      </c>
      <c r="G5847">
        <v>4</v>
      </c>
      <c r="H5847">
        <v>2</v>
      </c>
      <c r="I5847">
        <v>1970</v>
      </c>
      <c r="J5847">
        <v>0</v>
      </c>
      <c r="K5847">
        <v>0</v>
      </c>
      <c r="L5847">
        <v>1</v>
      </c>
      <c r="M5847">
        <v>2</v>
      </c>
      <c r="N5847" t="s">
        <v>35</v>
      </c>
      <c r="O5847" t="s">
        <v>30</v>
      </c>
      <c r="P5847">
        <v>13.6767008075911</v>
      </c>
      <c r="Q5847">
        <v>2.01311084289076</v>
      </c>
      <c r="R5847">
        <v>1.85839411326846</v>
      </c>
      <c r="S5847">
        <v>117</v>
      </c>
      <c r="T5847">
        <v>29</v>
      </c>
      <c r="U5847">
        <v>734.17180557967504</v>
      </c>
      <c r="V5847">
        <v>6.2169723344731101E-4</v>
      </c>
      <c r="W5847">
        <v>2667586.8957661102</v>
      </c>
      <c r="X5847" t="s">
        <v>42</v>
      </c>
      <c r="Y5847">
        <f>1-777-359-4122</f>
        <v>-5257</v>
      </c>
    </row>
    <row r="5848" spans="1:25" x14ac:dyDescent="0.35">
      <c r="A5848">
        <v>37.091692955458001</v>
      </c>
      <c r="B5848">
        <v>-123.80770448435</v>
      </c>
      <c r="C5848" t="s">
        <v>29</v>
      </c>
      <c r="D5848">
        <v>11.9137051364805</v>
      </c>
      <c r="E5848">
        <v>3</v>
      </c>
      <c r="F5848">
        <v>2343</v>
      </c>
      <c r="G5848">
        <v>4</v>
      </c>
      <c r="H5848">
        <v>1</v>
      </c>
      <c r="I5848">
        <v>1954</v>
      </c>
      <c r="J5848">
        <v>0</v>
      </c>
      <c r="K5848">
        <v>0</v>
      </c>
      <c r="L5848">
        <v>0</v>
      </c>
      <c r="M5848">
        <v>9</v>
      </c>
      <c r="N5848" t="s">
        <v>26</v>
      </c>
      <c r="O5848" t="s">
        <v>32</v>
      </c>
      <c r="P5848">
        <v>7.5586416733526303</v>
      </c>
      <c r="Q5848">
        <v>1.0269822616023201</v>
      </c>
      <c r="R5848">
        <v>4.8505186523950696</v>
      </c>
      <c r="S5848">
        <v>159</v>
      </c>
      <c r="T5848">
        <v>77</v>
      </c>
      <c r="U5848">
        <v>812.24586805489503</v>
      </c>
      <c r="V5848">
        <v>3.8412291933418601E-3</v>
      </c>
      <c r="W5848">
        <v>2078052.0841136801</v>
      </c>
      <c r="X5848" t="s">
        <v>42</v>
      </c>
      <c r="Y5848">
        <f>1-909-349-9203</f>
        <v>-10460</v>
      </c>
    </row>
    <row r="5849" spans="1:25" x14ac:dyDescent="0.35">
      <c r="A5849">
        <v>34.568711920565804</v>
      </c>
      <c r="B5849">
        <v>-120.218134613986</v>
      </c>
      <c r="C5849" t="s">
        <v>29</v>
      </c>
      <c r="D5849">
        <v>8.4872357572895591</v>
      </c>
      <c r="E5849">
        <v>7</v>
      </c>
      <c r="F5849">
        <v>4865</v>
      </c>
      <c r="G5849">
        <v>3</v>
      </c>
      <c r="H5849">
        <v>1</v>
      </c>
      <c r="I5849">
        <v>1987</v>
      </c>
      <c r="J5849">
        <v>1</v>
      </c>
      <c r="K5849">
        <v>0</v>
      </c>
      <c r="L5849">
        <v>0</v>
      </c>
      <c r="M5849">
        <v>3</v>
      </c>
      <c r="N5849" t="s">
        <v>37</v>
      </c>
      <c r="O5849" t="s">
        <v>27</v>
      </c>
      <c r="P5849">
        <v>14.1478090502005</v>
      </c>
      <c r="Q5849">
        <v>2.4621029144830802</v>
      </c>
      <c r="R5849">
        <v>9.4159613201605801</v>
      </c>
      <c r="S5849">
        <v>131</v>
      </c>
      <c r="T5849">
        <v>61</v>
      </c>
      <c r="U5849">
        <v>768.03442301232894</v>
      </c>
      <c r="V5849">
        <v>6.1664953751284601E-4</v>
      </c>
      <c r="W5849">
        <v>3969086.3514334299</v>
      </c>
      <c r="X5849" t="s">
        <v>40</v>
      </c>
      <c r="Y5849">
        <f>1-395-472-2695</f>
        <v>-3561</v>
      </c>
    </row>
    <row r="5850" spans="1:25" x14ac:dyDescent="0.35">
      <c r="A5850">
        <v>35.672022605291403</v>
      </c>
      <c r="B5850">
        <v>-114.76640910512199</v>
      </c>
      <c r="C5850" t="s">
        <v>29</v>
      </c>
      <c r="D5850">
        <v>6.7295085456066399</v>
      </c>
      <c r="E5850">
        <v>3</v>
      </c>
      <c r="F5850">
        <v>4498</v>
      </c>
      <c r="G5850">
        <v>3</v>
      </c>
      <c r="H5850">
        <v>2</v>
      </c>
      <c r="I5850">
        <v>2021</v>
      </c>
      <c r="J5850">
        <v>1</v>
      </c>
      <c r="K5850">
        <v>1</v>
      </c>
      <c r="L5850">
        <v>0</v>
      </c>
      <c r="M5850">
        <v>9</v>
      </c>
      <c r="N5850" t="s">
        <v>35</v>
      </c>
      <c r="O5850" t="s">
        <v>32</v>
      </c>
      <c r="P5850">
        <v>6.1401838158339697</v>
      </c>
      <c r="Q5850">
        <v>0.84696742758937404</v>
      </c>
      <c r="R5850">
        <v>6.5000690975552402</v>
      </c>
      <c r="S5850">
        <v>139</v>
      </c>
      <c r="T5850">
        <v>40</v>
      </c>
      <c r="U5850">
        <v>396.03709569277999</v>
      </c>
      <c r="V5850">
        <v>2.0008892841262699E-3</v>
      </c>
      <c r="W5850">
        <v>2214024.5316563598</v>
      </c>
      <c r="X5850" t="s">
        <v>44</v>
      </c>
      <c r="Y5850">
        <f>1-201-164-5150</f>
        <v>-5514</v>
      </c>
    </row>
    <row r="5851" spans="1:25" x14ac:dyDescent="0.35">
      <c r="A5851">
        <v>35.899508409835903</v>
      </c>
      <c r="B5851">
        <v>-116.30286579520801</v>
      </c>
      <c r="C5851" t="s">
        <v>34</v>
      </c>
      <c r="D5851">
        <v>24.6475210874639</v>
      </c>
      <c r="E5851">
        <v>3</v>
      </c>
      <c r="F5851">
        <v>4483</v>
      </c>
      <c r="G5851">
        <v>1</v>
      </c>
      <c r="H5851">
        <v>2</v>
      </c>
      <c r="I5851">
        <v>2001</v>
      </c>
      <c r="J5851">
        <v>0</v>
      </c>
      <c r="K5851">
        <v>1</v>
      </c>
      <c r="L5851">
        <v>1</v>
      </c>
      <c r="M5851">
        <v>6</v>
      </c>
      <c r="N5851" t="s">
        <v>41</v>
      </c>
      <c r="O5851" t="s">
        <v>27</v>
      </c>
      <c r="P5851">
        <v>5.6457377450313899</v>
      </c>
      <c r="Q5851">
        <v>1.5506563189970299</v>
      </c>
      <c r="R5851">
        <v>6.9233549353367296</v>
      </c>
      <c r="S5851">
        <v>160</v>
      </c>
      <c r="T5851">
        <v>71</v>
      </c>
      <c r="U5851">
        <v>494.93723973074401</v>
      </c>
      <c r="V5851">
        <v>1.33838947133615E-3</v>
      </c>
      <c r="W5851">
        <v>2373610.8992687901</v>
      </c>
      <c r="X5851" t="s">
        <v>31</v>
      </c>
      <c r="Y5851">
        <f>1-542-167-3149</f>
        <v>-3857</v>
      </c>
    </row>
    <row r="5852" spans="1:25" x14ac:dyDescent="0.35">
      <c r="A5852">
        <v>39.2921017860671</v>
      </c>
      <c r="B5852">
        <v>-120.795958354899</v>
      </c>
      <c r="C5852" t="s">
        <v>34</v>
      </c>
      <c r="D5852">
        <v>35.456948182068899</v>
      </c>
      <c r="E5852">
        <v>2</v>
      </c>
      <c r="F5852">
        <v>2422</v>
      </c>
      <c r="G5852">
        <v>3</v>
      </c>
      <c r="H5852">
        <v>1</v>
      </c>
      <c r="I5852">
        <v>1963</v>
      </c>
      <c r="J5852">
        <v>1</v>
      </c>
      <c r="K5852">
        <v>0</v>
      </c>
      <c r="L5852">
        <v>1</v>
      </c>
      <c r="M5852">
        <v>4</v>
      </c>
      <c r="N5852" t="s">
        <v>35</v>
      </c>
      <c r="O5852" t="s">
        <v>30</v>
      </c>
      <c r="P5852">
        <v>5.2505626576803897</v>
      </c>
      <c r="Q5852">
        <v>0.50530019074170496</v>
      </c>
      <c r="R5852">
        <v>9.6896977910793201</v>
      </c>
      <c r="S5852">
        <v>68</v>
      </c>
      <c r="T5852">
        <v>78</v>
      </c>
      <c r="U5852">
        <v>821.05781955934106</v>
      </c>
      <c r="V5852">
        <v>1.6515276630883499E-3</v>
      </c>
      <c r="W5852">
        <v>2170800.2704464798</v>
      </c>
      <c r="X5852" t="s">
        <v>44</v>
      </c>
      <c r="Y5852">
        <f>1-793-296-6604</f>
        <v>-7692</v>
      </c>
    </row>
    <row r="5853" spans="1:25" x14ac:dyDescent="0.35">
      <c r="A5853">
        <v>38.9471218548153</v>
      </c>
      <c r="B5853">
        <v>-122.65492522965</v>
      </c>
      <c r="C5853" t="s">
        <v>29</v>
      </c>
      <c r="D5853">
        <v>34.470966825333498</v>
      </c>
      <c r="E5853">
        <v>2</v>
      </c>
      <c r="F5853">
        <v>3953</v>
      </c>
      <c r="G5853">
        <v>3</v>
      </c>
      <c r="H5853">
        <v>2</v>
      </c>
      <c r="I5853">
        <v>2009</v>
      </c>
      <c r="J5853">
        <v>1</v>
      </c>
      <c r="K5853">
        <v>1</v>
      </c>
      <c r="L5853">
        <v>1</v>
      </c>
      <c r="M5853">
        <v>13</v>
      </c>
      <c r="N5853" t="s">
        <v>41</v>
      </c>
      <c r="O5853" t="s">
        <v>27</v>
      </c>
      <c r="P5853">
        <v>14.088129564960299</v>
      </c>
      <c r="Q5853">
        <v>0.69368643184997802</v>
      </c>
      <c r="R5853">
        <v>0.22793274420044901</v>
      </c>
      <c r="S5853">
        <v>10</v>
      </c>
      <c r="T5853">
        <v>55</v>
      </c>
      <c r="U5853">
        <v>653.21034027791802</v>
      </c>
      <c r="V5853">
        <v>3.2886415380723498E-3</v>
      </c>
      <c r="W5853">
        <v>3061292.5845700302</v>
      </c>
      <c r="X5853" t="s">
        <v>36</v>
      </c>
      <c r="Y5853">
        <f>1-352-965-4392</f>
        <v>-5708</v>
      </c>
    </row>
    <row r="5854" spans="1:25" x14ac:dyDescent="0.35">
      <c r="A5854">
        <v>32.762486877414702</v>
      </c>
      <c r="B5854">
        <v>-121.960811419313</v>
      </c>
      <c r="C5854" t="s">
        <v>25</v>
      </c>
      <c r="D5854">
        <v>35.013763416372299</v>
      </c>
      <c r="E5854">
        <v>6</v>
      </c>
      <c r="F5854">
        <v>842</v>
      </c>
      <c r="G5854">
        <v>5</v>
      </c>
      <c r="H5854">
        <v>1</v>
      </c>
      <c r="I5854">
        <v>1961</v>
      </c>
      <c r="J5854">
        <v>1</v>
      </c>
      <c r="K5854">
        <v>1</v>
      </c>
      <c r="L5854">
        <v>0</v>
      </c>
      <c r="M5854">
        <v>4</v>
      </c>
      <c r="N5854" t="s">
        <v>35</v>
      </c>
      <c r="O5854" t="s">
        <v>32</v>
      </c>
      <c r="P5854">
        <v>10.306464668361301</v>
      </c>
      <c r="Q5854">
        <v>0.62229089413078797</v>
      </c>
      <c r="R5854">
        <v>6.2092402366181396</v>
      </c>
      <c r="S5854">
        <v>1</v>
      </c>
      <c r="T5854">
        <v>35</v>
      </c>
      <c r="U5854">
        <v>336.84174245698898</v>
      </c>
      <c r="V5854">
        <v>4.75059382422802E-3</v>
      </c>
      <c r="W5854">
        <v>640259.274628288</v>
      </c>
      <c r="X5854" t="s">
        <v>33</v>
      </c>
      <c r="Y5854">
        <f>1-441-238-4984</f>
        <v>-5662</v>
      </c>
    </row>
    <row r="5855" spans="1:25" x14ac:dyDescent="0.35">
      <c r="A5855">
        <v>40.3244990475389</v>
      </c>
      <c r="B5855">
        <v>-116.99637313256</v>
      </c>
      <c r="C5855" t="s">
        <v>29</v>
      </c>
      <c r="D5855">
        <v>13.3644071666443</v>
      </c>
      <c r="E5855">
        <v>2</v>
      </c>
      <c r="F5855">
        <v>968</v>
      </c>
      <c r="G5855">
        <v>4</v>
      </c>
      <c r="H5855">
        <v>1</v>
      </c>
      <c r="I5855">
        <v>1967</v>
      </c>
      <c r="J5855">
        <v>1</v>
      </c>
      <c r="K5855">
        <v>1</v>
      </c>
      <c r="L5855">
        <v>0</v>
      </c>
      <c r="M5855">
        <v>3</v>
      </c>
      <c r="N5855" t="s">
        <v>35</v>
      </c>
      <c r="O5855" t="s">
        <v>32</v>
      </c>
      <c r="P5855">
        <v>9.5767218767815194</v>
      </c>
      <c r="Q5855">
        <v>2.3165947142947401</v>
      </c>
      <c r="R5855">
        <v>0.128305738058308</v>
      </c>
      <c r="S5855">
        <v>50</v>
      </c>
      <c r="T5855">
        <v>28</v>
      </c>
      <c r="U5855">
        <v>888.16767924485703</v>
      </c>
      <c r="V5855">
        <v>3.0991735537190001E-3</v>
      </c>
      <c r="W5855">
        <v>1218336.8572106799</v>
      </c>
      <c r="X5855" t="s">
        <v>39</v>
      </c>
      <c r="Y5855">
        <f>1-278-139-6634</f>
        <v>-7050</v>
      </c>
    </row>
    <row r="5856" spans="1:25" x14ac:dyDescent="0.35">
      <c r="A5856">
        <v>33.344233056222599</v>
      </c>
      <c r="B5856">
        <v>-117.69347351445199</v>
      </c>
      <c r="C5856" t="s">
        <v>29</v>
      </c>
      <c r="D5856">
        <v>18.9264096575839</v>
      </c>
      <c r="E5856">
        <v>4</v>
      </c>
      <c r="F5856">
        <v>4241</v>
      </c>
      <c r="G5856">
        <v>5</v>
      </c>
      <c r="H5856">
        <v>2</v>
      </c>
      <c r="I5856">
        <v>1964</v>
      </c>
      <c r="J5856">
        <v>0</v>
      </c>
      <c r="K5856">
        <v>0</v>
      </c>
      <c r="L5856">
        <v>0</v>
      </c>
      <c r="M5856">
        <v>4</v>
      </c>
      <c r="N5856" t="s">
        <v>26</v>
      </c>
      <c r="O5856" t="s">
        <v>27</v>
      </c>
      <c r="P5856">
        <v>2.4411386754247699</v>
      </c>
      <c r="Q5856">
        <v>0.53929546977061904</v>
      </c>
      <c r="R5856">
        <v>4.1667950448443101</v>
      </c>
      <c r="S5856">
        <v>10</v>
      </c>
      <c r="T5856">
        <v>35</v>
      </c>
      <c r="U5856">
        <v>689.53113605347596</v>
      </c>
      <c r="V5856">
        <v>9.4317377976892202E-4</v>
      </c>
      <c r="W5856">
        <v>3122693.2913174899</v>
      </c>
      <c r="X5856" t="s">
        <v>36</v>
      </c>
      <c r="Y5856">
        <f>1-747-739-1292</f>
        <v>-2777</v>
      </c>
    </row>
    <row r="5857" spans="1:25" x14ac:dyDescent="0.35">
      <c r="A5857">
        <v>35.699059948448898</v>
      </c>
      <c r="B5857">
        <v>-120.33523797221601</v>
      </c>
      <c r="C5857" t="s">
        <v>25</v>
      </c>
      <c r="D5857">
        <v>39.302185597445501</v>
      </c>
      <c r="E5857">
        <v>1</v>
      </c>
      <c r="F5857">
        <v>4002</v>
      </c>
      <c r="G5857">
        <v>3</v>
      </c>
      <c r="H5857">
        <v>2</v>
      </c>
      <c r="I5857">
        <v>2018</v>
      </c>
      <c r="J5857">
        <v>0</v>
      </c>
      <c r="K5857">
        <v>1</v>
      </c>
      <c r="L5857">
        <v>1</v>
      </c>
      <c r="M5857">
        <v>7</v>
      </c>
      <c r="N5857" t="s">
        <v>41</v>
      </c>
      <c r="O5857" t="s">
        <v>32</v>
      </c>
      <c r="P5857">
        <v>6.6190424348208996</v>
      </c>
      <c r="Q5857">
        <v>2.4851114765704501</v>
      </c>
      <c r="R5857">
        <v>7.0586659712411199</v>
      </c>
      <c r="S5857">
        <v>82</v>
      </c>
      <c r="T5857">
        <v>34</v>
      </c>
      <c r="U5857">
        <v>872.45560887119404</v>
      </c>
      <c r="V5857">
        <v>1.74912543728135E-3</v>
      </c>
      <c r="W5857">
        <v>3757786.4056416899</v>
      </c>
      <c r="X5857" t="s">
        <v>42</v>
      </c>
      <c r="Y5857">
        <f>1-709-962-9124</f>
        <v>-10794</v>
      </c>
    </row>
    <row r="5858" spans="1:25" x14ac:dyDescent="0.35">
      <c r="A5858">
        <v>38.445267103985998</v>
      </c>
      <c r="B5858">
        <v>-118.996991344591</v>
      </c>
      <c r="C5858" t="s">
        <v>29</v>
      </c>
      <c r="D5858">
        <v>23.430918334098401</v>
      </c>
      <c r="E5858">
        <v>3</v>
      </c>
      <c r="F5858">
        <v>2288</v>
      </c>
      <c r="G5858">
        <v>5</v>
      </c>
      <c r="H5858">
        <v>2</v>
      </c>
      <c r="I5858">
        <v>1991</v>
      </c>
      <c r="J5858">
        <v>0</v>
      </c>
      <c r="K5858">
        <v>1</v>
      </c>
      <c r="L5858">
        <v>1</v>
      </c>
      <c r="M5858">
        <v>4</v>
      </c>
      <c r="N5858" t="s">
        <v>41</v>
      </c>
      <c r="O5858" t="s">
        <v>32</v>
      </c>
      <c r="P5858">
        <v>9.3814463560920807</v>
      </c>
      <c r="Q5858">
        <v>0.73358803348920998</v>
      </c>
      <c r="R5858">
        <v>6.7134845284090501</v>
      </c>
      <c r="S5858">
        <v>104</v>
      </c>
      <c r="T5858">
        <v>63</v>
      </c>
      <c r="U5858">
        <v>556.95680950832502</v>
      </c>
      <c r="V5858">
        <v>1.74825174825174E-3</v>
      </c>
      <c r="W5858">
        <v>1781377.5061512999</v>
      </c>
      <c r="X5858" t="s">
        <v>33</v>
      </c>
      <c r="Y5858">
        <f>1-690-506-8133</f>
        <v>-9328</v>
      </c>
    </row>
    <row r="5859" spans="1:25" x14ac:dyDescent="0.35">
      <c r="A5859">
        <v>41.342947743546603</v>
      </c>
      <c r="B5859">
        <v>-119.613760993043</v>
      </c>
      <c r="C5859" t="s">
        <v>25</v>
      </c>
      <c r="D5859">
        <v>47.9420377458068</v>
      </c>
      <c r="E5859">
        <v>3</v>
      </c>
      <c r="F5859">
        <v>1981</v>
      </c>
      <c r="G5859">
        <v>1</v>
      </c>
      <c r="H5859">
        <v>1</v>
      </c>
      <c r="I5859">
        <v>2020</v>
      </c>
      <c r="J5859">
        <v>0</v>
      </c>
      <c r="K5859">
        <v>1</v>
      </c>
      <c r="L5859">
        <v>0</v>
      </c>
      <c r="M5859">
        <v>9</v>
      </c>
      <c r="N5859" t="s">
        <v>35</v>
      </c>
      <c r="O5859" t="s">
        <v>30</v>
      </c>
      <c r="P5859">
        <v>10.668611781878401</v>
      </c>
      <c r="Q5859">
        <v>2.1626972844439898</v>
      </c>
      <c r="R5859">
        <v>2.5151128199150099</v>
      </c>
      <c r="S5859">
        <v>19</v>
      </c>
      <c r="T5859">
        <v>50</v>
      </c>
      <c r="U5859">
        <v>983.05535738268304</v>
      </c>
      <c r="V5859">
        <v>4.5431600201918197E-3</v>
      </c>
      <c r="W5859">
        <v>2183791.7332572499</v>
      </c>
      <c r="X5859" t="s">
        <v>38</v>
      </c>
      <c r="Y5859">
        <f>1-601-537-1083</f>
        <v>-2220</v>
      </c>
    </row>
    <row r="5860" spans="1:25" x14ac:dyDescent="0.35">
      <c r="A5860">
        <v>35.440419631041898</v>
      </c>
      <c r="B5860">
        <v>-120.075387822978</v>
      </c>
      <c r="C5860" t="s">
        <v>34</v>
      </c>
      <c r="D5860">
        <v>49.7134534679711</v>
      </c>
      <c r="E5860">
        <v>9</v>
      </c>
      <c r="F5860">
        <v>2894</v>
      </c>
      <c r="G5860">
        <v>3</v>
      </c>
      <c r="H5860">
        <v>1</v>
      </c>
      <c r="I5860">
        <v>1958</v>
      </c>
      <c r="J5860">
        <v>1</v>
      </c>
      <c r="K5860">
        <v>1</v>
      </c>
      <c r="L5860">
        <v>1</v>
      </c>
      <c r="M5860">
        <v>8</v>
      </c>
      <c r="N5860" t="s">
        <v>35</v>
      </c>
      <c r="O5860" t="s">
        <v>30</v>
      </c>
      <c r="P5860">
        <v>5.2031753660842401</v>
      </c>
      <c r="Q5860">
        <v>2.3957264131985498</v>
      </c>
      <c r="R5860">
        <v>7.7778784060014896</v>
      </c>
      <c r="S5860">
        <v>139</v>
      </c>
      <c r="T5860">
        <v>59</v>
      </c>
      <c r="U5860">
        <v>596.68498767389701</v>
      </c>
      <c r="V5860">
        <v>2.7643400138217E-3</v>
      </c>
      <c r="W5860">
        <v>1972413.5267485101</v>
      </c>
      <c r="X5860" t="s">
        <v>28</v>
      </c>
      <c r="Y5860">
        <f>1-364-833-1952</f>
        <v>-3148</v>
      </c>
    </row>
    <row r="5861" spans="1:25" x14ac:dyDescent="0.35">
      <c r="A5861">
        <v>34.563366952432297</v>
      </c>
      <c r="B5861">
        <v>-119.66405351693</v>
      </c>
      <c r="C5861" t="s">
        <v>34</v>
      </c>
      <c r="D5861">
        <v>18.817504557026702</v>
      </c>
      <c r="E5861">
        <v>9</v>
      </c>
      <c r="F5861">
        <v>1224</v>
      </c>
      <c r="G5861">
        <v>3</v>
      </c>
      <c r="H5861">
        <v>1</v>
      </c>
      <c r="I5861">
        <v>2002</v>
      </c>
      <c r="J5861">
        <v>1</v>
      </c>
      <c r="K5861">
        <v>0</v>
      </c>
      <c r="L5861">
        <v>0</v>
      </c>
      <c r="M5861">
        <v>7</v>
      </c>
      <c r="N5861" t="s">
        <v>26</v>
      </c>
      <c r="O5861" t="s">
        <v>32</v>
      </c>
      <c r="P5861">
        <v>10.0485085141821</v>
      </c>
      <c r="Q5861">
        <v>1.69029717509689</v>
      </c>
      <c r="R5861">
        <v>5.6737564180687503</v>
      </c>
      <c r="S5861">
        <v>46</v>
      </c>
      <c r="T5861">
        <v>57</v>
      </c>
      <c r="U5861">
        <v>613.78831636185498</v>
      </c>
      <c r="V5861">
        <v>5.7189542483660101E-3</v>
      </c>
      <c r="W5861">
        <v>1029287.2447164</v>
      </c>
      <c r="X5861" t="s">
        <v>40</v>
      </c>
      <c r="Y5861">
        <f>1-629-563-8323</f>
        <v>-9514</v>
      </c>
    </row>
    <row r="5862" spans="1:25" x14ac:dyDescent="0.35">
      <c r="A5862">
        <v>39.697679210294702</v>
      </c>
      <c r="B5862">
        <v>-119.584317888903</v>
      </c>
      <c r="C5862" t="s">
        <v>25</v>
      </c>
      <c r="D5862">
        <v>34.958210744331801</v>
      </c>
      <c r="E5862">
        <v>8</v>
      </c>
      <c r="F5862">
        <v>1024</v>
      </c>
      <c r="G5862">
        <v>1</v>
      </c>
      <c r="H5862">
        <v>3</v>
      </c>
      <c r="I5862">
        <v>2002</v>
      </c>
      <c r="J5862">
        <v>0</v>
      </c>
      <c r="K5862">
        <v>1</v>
      </c>
      <c r="L5862">
        <v>0</v>
      </c>
      <c r="M5862">
        <v>11</v>
      </c>
      <c r="N5862" t="s">
        <v>41</v>
      </c>
      <c r="O5862" t="s">
        <v>30</v>
      </c>
      <c r="P5862">
        <v>6.8987341865572098</v>
      </c>
      <c r="Q5862">
        <v>0.54941272032835398</v>
      </c>
      <c r="R5862">
        <v>7.4404494523960603</v>
      </c>
      <c r="S5862">
        <v>135</v>
      </c>
      <c r="T5862">
        <v>26</v>
      </c>
      <c r="U5862">
        <v>406.54874240851399</v>
      </c>
      <c r="V5862">
        <v>1.07421875E-2</v>
      </c>
      <c r="W5862">
        <v>659711.38399731496</v>
      </c>
      <c r="X5862" t="s">
        <v>40</v>
      </c>
      <c r="Y5862">
        <f>1-423-121-9974</f>
        <v>-10517</v>
      </c>
    </row>
    <row r="5863" spans="1:25" x14ac:dyDescent="0.35">
      <c r="A5863">
        <v>39.113114598345497</v>
      </c>
      <c r="B5863">
        <v>-115.721626449618</v>
      </c>
      <c r="C5863" t="s">
        <v>34</v>
      </c>
      <c r="D5863">
        <v>49.276164575223397</v>
      </c>
      <c r="E5863">
        <v>1</v>
      </c>
      <c r="F5863">
        <v>2072</v>
      </c>
      <c r="G5863">
        <v>4</v>
      </c>
      <c r="H5863">
        <v>1</v>
      </c>
      <c r="I5863">
        <v>1999</v>
      </c>
      <c r="J5863">
        <v>0</v>
      </c>
      <c r="K5863">
        <v>1</v>
      </c>
      <c r="L5863">
        <v>1</v>
      </c>
      <c r="M5863">
        <v>14</v>
      </c>
      <c r="N5863" t="s">
        <v>26</v>
      </c>
      <c r="O5863" t="s">
        <v>32</v>
      </c>
      <c r="P5863">
        <v>3.0448571372093101</v>
      </c>
      <c r="Q5863">
        <v>1.5048230532809801</v>
      </c>
      <c r="R5863">
        <v>4.3698429071972198</v>
      </c>
      <c r="S5863">
        <v>163</v>
      </c>
      <c r="T5863">
        <v>39</v>
      </c>
      <c r="U5863">
        <v>429.26424783607303</v>
      </c>
      <c r="V5863">
        <v>6.7567567567567502E-3</v>
      </c>
      <c r="W5863">
        <v>1108274.63973147</v>
      </c>
      <c r="X5863" t="s">
        <v>39</v>
      </c>
      <c r="Y5863">
        <f>1-280-141-9976</f>
        <v>-10396</v>
      </c>
    </row>
    <row r="5864" spans="1:25" x14ac:dyDescent="0.35">
      <c r="A5864">
        <v>41.2996776622143</v>
      </c>
      <c r="B5864">
        <v>-120.913982312793</v>
      </c>
      <c r="C5864" t="s">
        <v>25</v>
      </c>
      <c r="D5864">
        <v>45.863973547161201</v>
      </c>
      <c r="E5864">
        <v>2</v>
      </c>
      <c r="F5864">
        <v>3791</v>
      </c>
      <c r="G5864">
        <v>5</v>
      </c>
      <c r="H5864">
        <v>2</v>
      </c>
      <c r="I5864">
        <v>2016</v>
      </c>
      <c r="J5864">
        <v>1</v>
      </c>
      <c r="K5864">
        <v>0</v>
      </c>
      <c r="L5864">
        <v>1</v>
      </c>
      <c r="M5864">
        <v>9</v>
      </c>
      <c r="N5864" t="s">
        <v>41</v>
      </c>
      <c r="O5864" t="s">
        <v>30</v>
      </c>
      <c r="P5864">
        <v>9.7951214106185898</v>
      </c>
      <c r="Q5864">
        <v>1.4514441745901601</v>
      </c>
      <c r="R5864">
        <v>2.2185524581517302</v>
      </c>
      <c r="S5864">
        <v>50</v>
      </c>
      <c r="T5864">
        <v>55</v>
      </c>
      <c r="U5864">
        <v>349.29063429517299</v>
      </c>
      <c r="V5864">
        <v>2.3740437879187499E-3</v>
      </c>
      <c r="W5864">
        <v>1725626.8389143599</v>
      </c>
      <c r="X5864" t="s">
        <v>42</v>
      </c>
      <c r="Y5864">
        <f>1-861-712-2991</f>
        <v>-4563</v>
      </c>
    </row>
    <row r="5865" spans="1:25" x14ac:dyDescent="0.35">
      <c r="A5865">
        <v>37.433070196847297</v>
      </c>
      <c r="B5865">
        <v>-122.278319381369</v>
      </c>
      <c r="C5865" t="s">
        <v>34</v>
      </c>
      <c r="D5865">
        <v>40.627831249479797</v>
      </c>
      <c r="E5865">
        <v>3</v>
      </c>
      <c r="F5865">
        <v>4790</v>
      </c>
      <c r="G5865">
        <v>4</v>
      </c>
      <c r="H5865">
        <v>1</v>
      </c>
      <c r="I5865">
        <v>1983</v>
      </c>
      <c r="J5865">
        <v>1</v>
      </c>
      <c r="K5865">
        <v>0</v>
      </c>
      <c r="L5865">
        <v>0</v>
      </c>
      <c r="M5865">
        <v>10</v>
      </c>
      <c r="N5865" t="s">
        <v>37</v>
      </c>
      <c r="O5865" t="s">
        <v>27</v>
      </c>
      <c r="P5865">
        <v>9.1677812043384197</v>
      </c>
      <c r="Q5865">
        <v>2.2179873768921099</v>
      </c>
      <c r="R5865">
        <v>4.6625247846954503</v>
      </c>
      <c r="S5865">
        <v>107</v>
      </c>
      <c r="T5865">
        <v>24</v>
      </c>
      <c r="U5865">
        <v>976.423122244924</v>
      </c>
      <c r="V5865">
        <v>2.0876826722338198E-3</v>
      </c>
      <c r="W5865">
        <v>5001828.73646174</v>
      </c>
      <c r="X5865" t="s">
        <v>38</v>
      </c>
      <c r="Y5865">
        <f>1-369-685-7954</f>
        <v>-9007</v>
      </c>
    </row>
    <row r="5866" spans="1:25" x14ac:dyDescent="0.35">
      <c r="A5866">
        <v>33.2781759618059</v>
      </c>
      <c r="B5866">
        <v>-115.936618586752</v>
      </c>
      <c r="C5866" t="s">
        <v>25</v>
      </c>
      <c r="D5866">
        <v>41.702922363077398</v>
      </c>
      <c r="E5866">
        <v>6</v>
      </c>
      <c r="F5866">
        <v>4650</v>
      </c>
      <c r="G5866">
        <v>2</v>
      </c>
      <c r="H5866">
        <v>1</v>
      </c>
      <c r="I5866">
        <v>2022</v>
      </c>
      <c r="J5866">
        <v>1</v>
      </c>
      <c r="K5866">
        <v>1</v>
      </c>
      <c r="L5866">
        <v>1</v>
      </c>
      <c r="M5866">
        <v>11</v>
      </c>
      <c r="N5866" t="s">
        <v>26</v>
      </c>
      <c r="O5866" t="s">
        <v>30</v>
      </c>
      <c r="P5866">
        <v>8.9387180589408803</v>
      </c>
      <c r="Q5866">
        <v>0.56289136922591099</v>
      </c>
      <c r="R5866">
        <v>2.7790264037456698</v>
      </c>
      <c r="S5866">
        <v>177</v>
      </c>
      <c r="T5866">
        <v>22</v>
      </c>
      <c r="U5866">
        <v>565.348878874761</v>
      </c>
      <c r="V5866">
        <v>2.3655913978494602E-3</v>
      </c>
      <c r="W5866">
        <v>2957268.61746863</v>
      </c>
      <c r="X5866" t="s">
        <v>28</v>
      </c>
      <c r="Y5866">
        <f>1-219-583-4559</f>
        <v>-5360</v>
      </c>
    </row>
    <row r="5867" spans="1:25" x14ac:dyDescent="0.35">
      <c r="A5867">
        <v>35.885744149367</v>
      </c>
      <c r="B5867">
        <v>-119.09888223119</v>
      </c>
      <c r="C5867" t="s">
        <v>25</v>
      </c>
      <c r="D5867">
        <v>48.607532757788</v>
      </c>
      <c r="E5867">
        <v>8</v>
      </c>
      <c r="F5867">
        <v>2261</v>
      </c>
      <c r="G5867">
        <v>3</v>
      </c>
      <c r="H5867">
        <v>1</v>
      </c>
      <c r="I5867">
        <v>2016</v>
      </c>
      <c r="J5867">
        <v>0</v>
      </c>
      <c r="K5867">
        <v>0</v>
      </c>
      <c r="L5867">
        <v>0</v>
      </c>
      <c r="M5867">
        <v>9</v>
      </c>
      <c r="N5867" t="s">
        <v>26</v>
      </c>
      <c r="O5867" t="s">
        <v>32</v>
      </c>
      <c r="P5867">
        <v>6.3967217005015904</v>
      </c>
      <c r="Q5867">
        <v>1.58417791934347</v>
      </c>
      <c r="R5867">
        <v>5.9801749179273598</v>
      </c>
      <c r="S5867">
        <v>134</v>
      </c>
      <c r="T5867">
        <v>79</v>
      </c>
      <c r="U5867">
        <v>208.38984942093199</v>
      </c>
      <c r="V5867">
        <v>3.9805395842547496E-3</v>
      </c>
      <c r="W5867">
        <v>616530.08888936602</v>
      </c>
      <c r="X5867" t="s">
        <v>36</v>
      </c>
      <c r="Y5867">
        <f>1-226-301-5545</f>
        <v>-6071</v>
      </c>
    </row>
    <row r="5868" spans="1:25" x14ac:dyDescent="0.35">
      <c r="A5868">
        <v>41.661490510472603</v>
      </c>
      <c r="B5868">
        <v>-121.90163652710901</v>
      </c>
      <c r="C5868" t="s">
        <v>25</v>
      </c>
      <c r="D5868">
        <v>46.153292609827098</v>
      </c>
      <c r="E5868">
        <v>2</v>
      </c>
      <c r="F5868">
        <v>1506</v>
      </c>
      <c r="G5868">
        <v>3</v>
      </c>
      <c r="H5868">
        <v>1</v>
      </c>
      <c r="I5868">
        <v>1955</v>
      </c>
      <c r="J5868">
        <v>0</v>
      </c>
      <c r="K5868">
        <v>0</v>
      </c>
      <c r="L5868">
        <v>1</v>
      </c>
      <c r="M5868">
        <v>5</v>
      </c>
      <c r="N5868" t="s">
        <v>26</v>
      </c>
      <c r="O5868" t="s">
        <v>30</v>
      </c>
      <c r="P5868">
        <v>4.7641521530717297</v>
      </c>
      <c r="Q5868">
        <v>0.53276613194651401</v>
      </c>
      <c r="R5868">
        <v>6.3755539075839396</v>
      </c>
      <c r="S5868">
        <v>149</v>
      </c>
      <c r="T5868">
        <v>39</v>
      </c>
      <c r="U5868">
        <v>957.78705768384395</v>
      </c>
      <c r="V5868">
        <v>3.3200531208499302E-3</v>
      </c>
      <c r="W5868">
        <v>1570493.2525731199</v>
      </c>
      <c r="X5868" t="s">
        <v>44</v>
      </c>
      <c r="Y5868">
        <f>1-735-771-9643</f>
        <v>-11148</v>
      </c>
    </row>
    <row r="5869" spans="1:25" x14ac:dyDescent="0.35">
      <c r="A5869">
        <v>36.901056085268998</v>
      </c>
      <c r="B5869">
        <v>-121.929839402485</v>
      </c>
      <c r="C5869" t="s">
        <v>34</v>
      </c>
      <c r="D5869">
        <v>27.1635736942142</v>
      </c>
      <c r="E5869">
        <v>3</v>
      </c>
      <c r="F5869">
        <v>1294</v>
      </c>
      <c r="G5869">
        <v>5</v>
      </c>
      <c r="H5869">
        <v>3</v>
      </c>
      <c r="I5869">
        <v>2019</v>
      </c>
      <c r="J5869">
        <v>1</v>
      </c>
      <c r="K5869">
        <v>0</v>
      </c>
      <c r="L5869">
        <v>1</v>
      </c>
      <c r="M5869">
        <v>10</v>
      </c>
      <c r="N5869" t="s">
        <v>37</v>
      </c>
      <c r="O5869" t="s">
        <v>32</v>
      </c>
      <c r="P5869">
        <v>4.1363192554794699</v>
      </c>
      <c r="Q5869">
        <v>1.65406020386173</v>
      </c>
      <c r="R5869">
        <v>9.6067261704815294</v>
      </c>
      <c r="S5869">
        <v>112</v>
      </c>
      <c r="T5869">
        <v>32</v>
      </c>
      <c r="U5869">
        <v>547.92618766779503</v>
      </c>
      <c r="V5869">
        <v>7.7279752704791302E-3</v>
      </c>
      <c r="W5869">
        <v>1154674.55140162</v>
      </c>
      <c r="X5869" t="s">
        <v>43</v>
      </c>
      <c r="Y5869">
        <f>1-822-694-6197</f>
        <v>-7712</v>
      </c>
    </row>
    <row r="5870" spans="1:25" x14ac:dyDescent="0.35">
      <c r="A5870">
        <v>38.375915462578</v>
      </c>
      <c r="B5870">
        <v>-114.445826217724</v>
      </c>
      <c r="C5870" t="s">
        <v>29</v>
      </c>
      <c r="D5870">
        <v>6.3096615675715499</v>
      </c>
      <c r="E5870">
        <v>6</v>
      </c>
      <c r="F5870">
        <v>4545</v>
      </c>
      <c r="G5870">
        <v>3</v>
      </c>
      <c r="H5870">
        <v>1</v>
      </c>
      <c r="I5870">
        <v>1976</v>
      </c>
      <c r="J5870">
        <v>0</v>
      </c>
      <c r="K5870">
        <v>0</v>
      </c>
      <c r="L5870">
        <v>0</v>
      </c>
      <c r="M5870">
        <v>6</v>
      </c>
      <c r="N5870" t="s">
        <v>35</v>
      </c>
      <c r="O5870" t="s">
        <v>30</v>
      </c>
      <c r="P5870">
        <v>3.9913857029572699</v>
      </c>
      <c r="Q5870">
        <v>1.4502226483009899</v>
      </c>
      <c r="R5870">
        <v>7.1783889136214603</v>
      </c>
      <c r="S5870">
        <v>61</v>
      </c>
      <c r="T5870">
        <v>61</v>
      </c>
      <c r="U5870">
        <v>815.77488187775305</v>
      </c>
      <c r="V5870">
        <v>1.3201320132013199E-3</v>
      </c>
      <c r="W5870">
        <v>3794303.1717363698</v>
      </c>
      <c r="X5870" t="s">
        <v>42</v>
      </c>
      <c r="Y5870">
        <f>1-651-198-4979</f>
        <v>-5827</v>
      </c>
    </row>
    <row r="5871" spans="1:25" x14ac:dyDescent="0.35">
      <c r="A5871">
        <v>33.0136474546185</v>
      </c>
      <c r="B5871">
        <v>-118.32801797770099</v>
      </c>
      <c r="C5871" t="s">
        <v>29</v>
      </c>
      <c r="D5871">
        <v>6.5079836289464197</v>
      </c>
      <c r="E5871">
        <v>4</v>
      </c>
      <c r="F5871">
        <v>4664</v>
      </c>
      <c r="G5871">
        <v>3</v>
      </c>
      <c r="H5871">
        <v>3</v>
      </c>
      <c r="I5871">
        <v>2017</v>
      </c>
      <c r="J5871">
        <v>1</v>
      </c>
      <c r="K5871">
        <v>0</v>
      </c>
      <c r="L5871">
        <v>0</v>
      </c>
      <c r="M5871">
        <v>13</v>
      </c>
      <c r="N5871" t="s">
        <v>37</v>
      </c>
      <c r="O5871" t="s">
        <v>32</v>
      </c>
      <c r="P5871">
        <v>14.5587015139513</v>
      </c>
      <c r="Q5871">
        <v>1.9736138094498099</v>
      </c>
      <c r="R5871">
        <v>1.6033845396412401</v>
      </c>
      <c r="S5871">
        <v>196</v>
      </c>
      <c r="T5871">
        <v>23</v>
      </c>
      <c r="U5871">
        <v>617.74796030717403</v>
      </c>
      <c r="V5871">
        <v>2.7873070325900502E-3</v>
      </c>
      <c r="W5871">
        <v>3206369.1235181098</v>
      </c>
      <c r="X5871" t="s">
        <v>39</v>
      </c>
      <c r="Y5871">
        <f>1-886-575-1396</f>
        <v>-2856</v>
      </c>
    </row>
    <row r="5872" spans="1:25" x14ac:dyDescent="0.35">
      <c r="A5872">
        <v>37.694001600635701</v>
      </c>
      <c r="B5872">
        <v>-115.355149421053</v>
      </c>
      <c r="C5872" t="s">
        <v>29</v>
      </c>
      <c r="D5872">
        <v>9.2874825131367</v>
      </c>
      <c r="E5872">
        <v>7</v>
      </c>
      <c r="F5872">
        <v>688</v>
      </c>
      <c r="G5872">
        <v>4</v>
      </c>
      <c r="H5872">
        <v>1</v>
      </c>
      <c r="I5872">
        <v>1958</v>
      </c>
      <c r="J5872">
        <v>1</v>
      </c>
      <c r="K5872">
        <v>1</v>
      </c>
      <c r="L5872">
        <v>0</v>
      </c>
      <c r="M5872">
        <v>5</v>
      </c>
      <c r="N5872" t="s">
        <v>41</v>
      </c>
      <c r="O5872" t="s">
        <v>30</v>
      </c>
      <c r="P5872">
        <v>3.4994449419555602</v>
      </c>
      <c r="Q5872">
        <v>1.7761095474299899</v>
      </c>
      <c r="R5872">
        <v>5.3010856601357199</v>
      </c>
      <c r="S5872">
        <v>170</v>
      </c>
      <c r="T5872">
        <v>24</v>
      </c>
      <c r="U5872">
        <v>720.46315750754104</v>
      </c>
      <c r="V5872">
        <v>7.2674418604651101E-3</v>
      </c>
      <c r="W5872">
        <v>752662.96042358596</v>
      </c>
      <c r="X5872" t="s">
        <v>33</v>
      </c>
      <c r="Y5872">
        <f>1-749-805-4758</f>
        <v>-6311</v>
      </c>
    </row>
    <row r="5873" spans="1:25" x14ac:dyDescent="0.35">
      <c r="A5873">
        <v>39.849931897347297</v>
      </c>
      <c r="B5873">
        <v>-122.69017103675399</v>
      </c>
      <c r="C5873" t="s">
        <v>29</v>
      </c>
      <c r="D5873">
        <v>12.572126762199201</v>
      </c>
      <c r="E5873">
        <v>0</v>
      </c>
      <c r="F5873">
        <v>4044</v>
      </c>
      <c r="G5873">
        <v>4</v>
      </c>
      <c r="H5873">
        <v>1</v>
      </c>
      <c r="I5873">
        <v>1979</v>
      </c>
      <c r="J5873">
        <v>0</v>
      </c>
      <c r="K5873">
        <v>1</v>
      </c>
      <c r="L5873">
        <v>1</v>
      </c>
      <c r="M5873">
        <v>10</v>
      </c>
      <c r="N5873" t="s">
        <v>37</v>
      </c>
      <c r="O5873" t="s">
        <v>27</v>
      </c>
      <c r="P5873">
        <v>4.1308326262751001</v>
      </c>
      <c r="Q5873">
        <v>0.91105085886585102</v>
      </c>
      <c r="R5873">
        <v>8.2350672169979706</v>
      </c>
      <c r="S5873">
        <v>133</v>
      </c>
      <c r="T5873">
        <v>58</v>
      </c>
      <c r="U5873">
        <v>654.87339308604703</v>
      </c>
      <c r="V5873">
        <v>2.47279920870425E-3</v>
      </c>
      <c r="W5873">
        <v>3012653.4543174799</v>
      </c>
      <c r="X5873" t="s">
        <v>42</v>
      </c>
      <c r="Y5873">
        <f>1-950-816-5709</f>
        <v>-7474</v>
      </c>
    </row>
    <row r="5874" spans="1:25" x14ac:dyDescent="0.35">
      <c r="A5874">
        <v>40.896594382239201</v>
      </c>
      <c r="B5874">
        <v>-120.637495779509</v>
      </c>
      <c r="C5874" t="s">
        <v>34</v>
      </c>
      <c r="D5874">
        <v>3.29793254320747</v>
      </c>
      <c r="E5874">
        <v>6</v>
      </c>
      <c r="F5874">
        <v>4000</v>
      </c>
      <c r="G5874">
        <v>2</v>
      </c>
      <c r="H5874">
        <v>2</v>
      </c>
      <c r="I5874">
        <v>1968</v>
      </c>
      <c r="J5874">
        <v>0</v>
      </c>
      <c r="K5874">
        <v>0</v>
      </c>
      <c r="L5874">
        <v>0</v>
      </c>
      <c r="M5874">
        <v>8</v>
      </c>
      <c r="N5874" t="s">
        <v>37</v>
      </c>
      <c r="O5874" t="s">
        <v>32</v>
      </c>
      <c r="P5874">
        <v>7.0927809748477602</v>
      </c>
      <c r="Q5874">
        <v>1.7857824940718701</v>
      </c>
      <c r="R5874">
        <v>4.4213488041781597</v>
      </c>
      <c r="S5874">
        <v>153</v>
      </c>
      <c r="T5874">
        <v>39</v>
      </c>
      <c r="U5874">
        <v>609.92971367785003</v>
      </c>
      <c r="V5874">
        <v>2E-3</v>
      </c>
      <c r="W5874">
        <v>2440941.4174066102</v>
      </c>
      <c r="X5874" t="s">
        <v>28</v>
      </c>
      <c r="Y5874">
        <f>1-290-128-1071</f>
        <v>-1488</v>
      </c>
    </row>
    <row r="5875" spans="1:25" x14ac:dyDescent="0.35">
      <c r="A5875">
        <v>36.260098359237801</v>
      </c>
      <c r="B5875">
        <v>-122.39843611105699</v>
      </c>
      <c r="C5875" t="s">
        <v>34</v>
      </c>
      <c r="D5875">
        <v>43.979011718210103</v>
      </c>
      <c r="E5875">
        <v>1</v>
      </c>
      <c r="F5875">
        <v>721</v>
      </c>
      <c r="G5875">
        <v>1</v>
      </c>
      <c r="H5875">
        <v>2</v>
      </c>
      <c r="I5875">
        <v>1997</v>
      </c>
      <c r="J5875">
        <v>0</v>
      </c>
      <c r="K5875">
        <v>0</v>
      </c>
      <c r="L5875">
        <v>0</v>
      </c>
      <c r="M5875">
        <v>6</v>
      </c>
      <c r="N5875" t="s">
        <v>41</v>
      </c>
      <c r="O5875" t="s">
        <v>30</v>
      </c>
      <c r="P5875">
        <v>14.8985651923378</v>
      </c>
      <c r="Q5875">
        <v>1.85426190416631</v>
      </c>
      <c r="R5875">
        <v>2.15485032059454</v>
      </c>
      <c r="S5875">
        <v>3</v>
      </c>
      <c r="T5875">
        <v>66</v>
      </c>
      <c r="U5875">
        <v>620.50627608614695</v>
      </c>
      <c r="V5875">
        <v>8.3217753120665705E-3</v>
      </c>
      <c r="W5875">
        <v>562291.28811763006</v>
      </c>
      <c r="X5875" t="s">
        <v>43</v>
      </c>
      <c r="Y5875">
        <f>1-698-651-9089</f>
        <v>-10437</v>
      </c>
    </row>
    <row r="5876" spans="1:25" x14ac:dyDescent="0.35">
      <c r="A5876">
        <v>41.011093598454401</v>
      </c>
      <c r="B5876">
        <v>-114.09250288138099</v>
      </c>
      <c r="C5876" t="s">
        <v>34</v>
      </c>
      <c r="D5876">
        <v>32.357686237644302</v>
      </c>
      <c r="E5876">
        <v>5</v>
      </c>
      <c r="F5876">
        <v>4581</v>
      </c>
      <c r="G5876">
        <v>1</v>
      </c>
      <c r="H5876">
        <v>2</v>
      </c>
      <c r="I5876">
        <v>1968</v>
      </c>
      <c r="J5876">
        <v>0</v>
      </c>
      <c r="K5876">
        <v>1</v>
      </c>
      <c r="L5876">
        <v>0</v>
      </c>
      <c r="M5876">
        <v>4</v>
      </c>
      <c r="N5876" t="s">
        <v>41</v>
      </c>
      <c r="O5876" t="s">
        <v>30</v>
      </c>
      <c r="P5876">
        <v>14.197726127384801</v>
      </c>
      <c r="Q5876">
        <v>1.95959571384608</v>
      </c>
      <c r="R5876">
        <v>3.8032781230230501</v>
      </c>
      <c r="S5876">
        <v>131</v>
      </c>
      <c r="T5876">
        <v>58</v>
      </c>
      <c r="U5876">
        <v>915.088527605531</v>
      </c>
      <c r="V5876">
        <v>8.7317179655097097E-4</v>
      </c>
      <c r="W5876">
        <v>4466427.6767893601</v>
      </c>
      <c r="X5876" t="s">
        <v>44</v>
      </c>
      <c r="Y5876">
        <f>1-912-982-6514</f>
        <v>-8407</v>
      </c>
    </row>
    <row r="5877" spans="1:25" x14ac:dyDescent="0.35">
      <c r="A5877">
        <v>35.819598415625798</v>
      </c>
      <c r="B5877">
        <v>-118.321143051511</v>
      </c>
      <c r="C5877" t="s">
        <v>34</v>
      </c>
      <c r="D5877">
        <v>42.451177461796398</v>
      </c>
      <c r="E5877">
        <v>0</v>
      </c>
      <c r="F5877">
        <v>1230</v>
      </c>
      <c r="G5877">
        <v>4</v>
      </c>
      <c r="H5877">
        <v>3</v>
      </c>
      <c r="I5877">
        <v>2008</v>
      </c>
      <c r="J5877">
        <v>0</v>
      </c>
      <c r="K5877">
        <v>0</v>
      </c>
      <c r="L5877">
        <v>0</v>
      </c>
      <c r="M5877">
        <v>7</v>
      </c>
      <c r="N5877" t="s">
        <v>26</v>
      </c>
      <c r="O5877" t="s">
        <v>27</v>
      </c>
      <c r="P5877">
        <v>7.6951940991030003</v>
      </c>
      <c r="Q5877">
        <v>0.888261165014256</v>
      </c>
      <c r="R5877">
        <v>2.9554752067352399</v>
      </c>
      <c r="S5877">
        <v>66</v>
      </c>
      <c r="T5877">
        <v>75</v>
      </c>
      <c r="U5877">
        <v>857.07875362327104</v>
      </c>
      <c r="V5877">
        <v>5.6910569105691E-3</v>
      </c>
      <c r="W5877">
        <v>1382031.68081077</v>
      </c>
      <c r="X5877" t="s">
        <v>40</v>
      </c>
      <c r="Y5877">
        <f>1-281-188-1539</f>
        <v>-2007</v>
      </c>
    </row>
    <row r="5878" spans="1:25" x14ac:dyDescent="0.35">
      <c r="A5878">
        <v>34.493184968576998</v>
      </c>
      <c r="B5878">
        <v>-123.962184096424</v>
      </c>
      <c r="C5878" t="s">
        <v>29</v>
      </c>
      <c r="D5878">
        <v>48.255606897497202</v>
      </c>
      <c r="E5878">
        <v>8</v>
      </c>
      <c r="F5878">
        <v>2612</v>
      </c>
      <c r="G5878">
        <v>4</v>
      </c>
      <c r="H5878">
        <v>3</v>
      </c>
      <c r="I5878">
        <v>1968</v>
      </c>
      <c r="J5878">
        <v>1</v>
      </c>
      <c r="K5878">
        <v>1</v>
      </c>
      <c r="L5878">
        <v>1</v>
      </c>
      <c r="M5878">
        <v>7</v>
      </c>
      <c r="N5878" t="s">
        <v>35</v>
      </c>
      <c r="O5878" t="s">
        <v>32</v>
      </c>
      <c r="P5878">
        <v>5.2261618435342996</v>
      </c>
      <c r="Q5878">
        <v>0.78550484960842504</v>
      </c>
      <c r="R5878">
        <v>9.8965749178163307</v>
      </c>
      <c r="S5878">
        <v>169</v>
      </c>
      <c r="T5878">
        <v>28</v>
      </c>
      <c r="U5878">
        <v>642.92616993419597</v>
      </c>
      <c r="V5878">
        <v>2.6799387442572702E-3</v>
      </c>
      <c r="W5878">
        <v>2110377.2868127702</v>
      </c>
      <c r="X5878" t="s">
        <v>40</v>
      </c>
      <c r="Y5878">
        <f>1-754-491-2018</f>
        <v>-3262</v>
      </c>
    </row>
    <row r="5879" spans="1:25" x14ac:dyDescent="0.35">
      <c r="A5879">
        <v>35.585566819684601</v>
      </c>
      <c r="B5879">
        <v>-123.391898674972</v>
      </c>
      <c r="C5879" t="s">
        <v>29</v>
      </c>
      <c r="D5879">
        <v>31.532228861132602</v>
      </c>
      <c r="E5879">
        <v>1</v>
      </c>
      <c r="F5879">
        <v>4158</v>
      </c>
      <c r="G5879">
        <v>1</v>
      </c>
      <c r="H5879">
        <v>1</v>
      </c>
      <c r="I5879">
        <v>1959</v>
      </c>
      <c r="J5879">
        <v>1</v>
      </c>
      <c r="K5879">
        <v>0</v>
      </c>
      <c r="L5879">
        <v>0</v>
      </c>
      <c r="M5879">
        <v>5</v>
      </c>
      <c r="N5879" t="s">
        <v>37</v>
      </c>
      <c r="O5879" t="s">
        <v>32</v>
      </c>
      <c r="P5879">
        <v>2.4299009966723899</v>
      </c>
      <c r="Q5879">
        <v>0.77125757521426497</v>
      </c>
      <c r="R5879">
        <v>7.9581096788161299</v>
      </c>
      <c r="S5879">
        <v>152</v>
      </c>
      <c r="T5879">
        <v>60</v>
      </c>
      <c r="U5879">
        <v>342.37656630764798</v>
      </c>
      <c r="V5879">
        <v>1.2025012025012E-3</v>
      </c>
      <c r="W5879">
        <v>1448991.54174792</v>
      </c>
      <c r="X5879" t="s">
        <v>28</v>
      </c>
      <c r="Y5879">
        <f>1-445-565-9705</f>
        <v>-10714</v>
      </c>
    </row>
    <row r="5880" spans="1:25" x14ac:dyDescent="0.35">
      <c r="A5880">
        <v>39.053629521325497</v>
      </c>
      <c r="B5880">
        <v>-122.57465217153801</v>
      </c>
      <c r="C5880" t="s">
        <v>34</v>
      </c>
      <c r="D5880">
        <v>23.530353102238202</v>
      </c>
      <c r="E5880">
        <v>5</v>
      </c>
      <c r="F5880">
        <v>4507</v>
      </c>
      <c r="G5880">
        <v>3</v>
      </c>
      <c r="H5880">
        <v>1</v>
      </c>
      <c r="I5880">
        <v>2021</v>
      </c>
      <c r="J5880">
        <v>1</v>
      </c>
      <c r="K5880">
        <v>1</v>
      </c>
      <c r="L5880">
        <v>0</v>
      </c>
      <c r="M5880">
        <v>5</v>
      </c>
      <c r="N5880" t="s">
        <v>35</v>
      </c>
      <c r="O5880" t="s">
        <v>32</v>
      </c>
      <c r="P5880">
        <v>10.398318023367899</v>
      </c>
      <c r="Q5880">
        <v>1.80980512173024</v>
      </c>
      <c r="R5880">
        <v>7.5595926280364898</v>
      </c>
      <c r="S5880">
        <v>49</v>
      </c>
      <c r="T5880">
        <v>28</v>
      </c>
      <c r="U5880">
        <v>760.81885065095105</v>
      </c>
      <c r="V5880">
        <v>1.1093854004881199E-3</v>
      </c>
      <c r="W5880">
        <v>3738849.1927288901</v>
      </c>
      <c r="X5880" t="s">
        <v>40</v>
      </c>
      <c r="Y5880">
        <f>1-694-194-7694</f>
        <v>-8581</v>
      </c>
    </row>
    <row r="5881" spans="1:25" x14ac:dyDescent="0.35">
      <c r="A5881">
        <v>41.774015386686003</v>
      </c>
      <c r="B5881">
        <v>-114.195612035445</v>
      </c>
      <c r="C5881" t="s">
        <v>25</v>
      </c>
      <c r="D5881">
        <v>38.456767278817203</v>
      </c>
      <c r="E5881">
        <v>8</v>
      </c>
      <c r="F5881">
        <v>3093</v>
      </c>
      <c r="G5881">
        <v>1</v>
      </c>
      <c r="H5881">
        <v>3</v>
      </c>
      <c r="I5881">
        <v>1961</v>
      </c>
      <c r="J5881">
        <v>1</v>
      </c>
      <c r="K5881">
        <v>0</v>
      </c>
      <c r="L5881">
        <v>1</v>
      </c>
      <c r="M5881">
        <v>3</v>
      </c>
      <c r="N5881" t="s">
        <v>37</v>
      </c>
      <c r="O5881" t="s">
        <v>30</v>
      </c>
      <c r="P5881">
        <v>12.455160443847699</v>
      </c>
      <c r="Q5881">
        <v>1.0229302989684499</v>
      </c>
      <c r="R5881">
        <v>9.1376591119944202</v>
      </c>
      <c r="S5881">
        <v>13</v>
      </c>
      <c r="T5881">
        <v>61</v>
      </c>
      <c r="U5881">
        <v>415.82917017351599</v>
      </c>
      <c r="V5881">
        <v>9.69932104752667E-4</v>
      </c>
      <c r="W5881">
        <v>1454436.7935609401</v>
      </c>
      <c r="X5881" t="s">
        <v>43</v>
      </c>
      <c r="Y5881">
        <f>1-719-452-2984</f>
        <v>-4154</v>
      </c>
    </row>
    <row r="5882" spans="1:25" x14ac:dyDescent="0.35">
      <c r="A5882">
        <v>40.1009014822464</v>
      </c>
      <c r="B5882">
        <v>-116.262652121089</v>
      </c>
      <c r="C5882" t="s">
        <v>29</v>
      </c>
      <c r="D5882">
        <v>42.664562116175397</v>
      </c>
      <c r="E5882">
        <v>7</v>
      </c>
      <c r="F5882">
        <v>2771</v>
      </c>
      <c r="G5882">
        <v>5</v>
      </c>
      <c r="H5882">
        <v>3</v>
      </c>
      <c r="I5882">
        <v>2009</v>
      </c>
      <c r="J5882">
        <v>0</v>
      </c>
      <c r="K5882">
        <v>1</v>
      </c>
      <c r="L5882">
        <v>1</v>
      </c>
      <c r="M5882">
        <v>3</v>
      </c>
      <c r="N5882" t="s">
        <v>41</v>
      </c>
      <c r="O5882" t="s">
        <v>30</v>
      </c>
      <c r="P5882">
        <v>8.1036397235662196</v>
      </c>
      <c r="Q5882">
        <v>1.8274217681031699</v>
      </c>
      <c r="R5882">
        <v>3.30863167039863</v>
      </c>
      <c r="S5882">
        <v>193</v>
      </c>
      <c r="T5882">
        <v>62</v>
      </c>
      <c r="U5882">
        <v>639.91962906082699</v>
      </c>
      <c r="V5882">
        <v>1.0826416456153E-3</v>
      </c>
      <c r="W5882">
        <v>2244665.5219131</v>
      </c>
      <c r="X5882" t="s">
        <v>28</v>
      </c>
      <c r="Y5882">
        <f>1-640-861-5549</f>
        <v>-7049</v>
      </c>
    </row>
    <row r="5883" spans="1:25" x14ac:dyDescent="0.35">
      <c r="A5883">
        <v>37.975963535842197</v>
      </c>
      <c r="B5883">
        <v>-120.57171979989</v>
      </c>
      <c r="C5883" t="s">
        <v>25</v>
      </c>
      <c r="D5883">
        <v>37.585916486830897</v>
      </c>
      <c r="E5883">
        <v>4</v>
      </c>
      <c r="F5883">
        <v>1935</v>
      </c>
      <c r="G5883">
        <v>4</v>
      </c>
      <c r="H5883">
        <v>3</v>
      </c>
      <c r="I5883">
        <v>1998</v>
      </c>
      <c r="J5883">
        <v>1</v>
      </c>
      <c r="K5883">
        <v>0</v>
      </c>
      <c r="L5883">
        <v>0</v>
      </c>
      <c r="M5883">
        <v>3</v>
      </c>
      <c r="N5883" t="s">
        <v>35</v>
      </c>
      <c r="O5883" t="s">
        <v>27</v>
      </c>
      <c r="P5883">
        <v>6.8070819013801902</v>
      </c>
      <c r="Q5883">
        <v>0.54837108619699604</v>
      </c>
      <c r="R5883">
        <v>5.8375744984157096</v>
      </c>
      <c r="S5883">
        <v>153</v>
      </c>
      <c r="T5883">
        <v>58</v>
      </c>
      <c r="U5883">
        <v>376.07011636106398</v>
      </c>
      <c r="V5883">
        <v>1.55038759689922E-3</v>
      </c>
      <c r="W5883">
        <v>1008158.61240777</v>
      </c>
      <c r="X5883" t="s">
        <v>44</v>
      </c>
      <c r="Y5883">
        <f>1-795-403-5389</f>
        <v>-6586</v>
      </c>
    </row>
    <row r="5884" spans="1:25" x14ac:dyDescent="0.35">
      <c r="A5884">
        <v>38.416951441764503</v>
      </c>
      <c r="B5884">
        <v>-117.366961454359</v>
      </c>
      <c r="C5884" t="s">
        <v>34</v>
      </c>
      <c r="D5884">
        <v>3.8909665894429999</v>
      </c>
      <c r="E5884">
        <v>1</v>
      </c>
      <c r="F5884">
        <v>4138</v>
      </c>
      <c r="G5884">
        <v>1</v>
      </c>
      <c r="H5884">
        <v>1</v>
      </c>
      <c r="I5884">
        <v>1959</v>
      </c>
      <c r="J5884">
        <v>0</v>
      </c>
      <c r="K5884">
        <v>1</v>
      </c>
      <c r="L5884">
        <v>0</v>
      </c>
      <c r="M5884">
        <v>13</v>
      </c>
      <c r="N5884" t="s">
        <v>41</v>
      </c>
      <c r="O5884" t="s">
        <v>27</v>
      </c>
      <c r="P5884">
        <v>6.9671193615088898</v>
      </c>
      <c r="Q5884">
        <v>1.3649332922075199</v>
      </c>
      <c r="R5884">
        <v>5.4583235158409504</v>
      </c>
      <c r="S5884">
        <v>146</v>
      </c>
      <c r="T5884">
        <v>75</v>
      </c>
      <c r="U5884">
        <v>877.18748889765004</v>
      </c>
      <c r="V5884">
        <v>3.1416143064282201E-3</v>
      </c>
      <c r="W5884">
        <v>3734103.2753158999</v>
      </c>
      <c r="X5884" t="s">
        <v>31</v>
      </c>
      <c r="Y5884">
        <f>1-435-689-8283</f>
        <v>-9406</v>
      </c>
    </row>
    <row r="5885" spans="1:25" x14ac:dyDescent="0.35">
      <c r="A5885">
        <v>35.128761154182101</v>
      </c>
      <c r="B5885">
        <v>-114.26173196040401</v>
      </c>
      <c r="C5885" t="s">
        <v>25</v>
      </c>
      <c r="D5885">
        <v>6.2477490434361496</v>
      </c>
      <c r="E5885">
        <v>0</v>
      </c>
      <c r="F5885">
        <v>1143</v>
      </c>
      <c r="G5885">
        <v>4</v>
      </c>
      <c r="H5885">
        <v>3</v>
      </c>
      <c r="I5885">
        <v>1992</v>
      </c>
      <c r="J5885">
        <v>0</v>
      </c>
      <c r="K5885">
        <v>1</v>
      </c>
      <c r="L5885">
        <v>0</v>
      </c>
      <c r="M5885">
        <v>4</v>
      </c>
      <c r="N5885" t="s">
        <v>26</v>
      </c>
      <c r="O5885" t="s">
        <v>27</v>
      </c>
      <c r="P5885">
        <v>11.967597048113699</v>
      </c>
      <c r="Q5885">
        <v>1.19056300590395</v>
      </c>
      <c r="R5885">
        <v>3.3899058087867502</v>
      </c>
      <c r="S5885">
        <v>83</v>
      </c>
      <c r="T5885">
        <v>32</v>
      </c>
      <c r="U5885">
        <v>644.00813197135597</v>
      </c>
      <c r="V5885">
        <v>3.4995625546806598E-3</v>
      </c>
      <c r="W5885">
        <v>1183280.88955476</v>
      </c>
      <c r="X5885" t="s">
        <v>33</v>
      </c>
      <c r="Y5885">
        <f>1-522-828-2013</f>
        <v>-3362</v>
      </c>
    </row>
    <row r="5886" spans="1:25" x14ac:dyDescent="0.35">
      <c r="A5886">
        <v>38.123940917045601</v>
      </c>
      <c r="B5886">
        <v>-115.841082750392</v>
      </c>
      <c r="C5886" t="s">
        <v>34</v>
      </c>
      <c r="D5886">
        <v>4.5966973555940802</v>
      </c>
      <c r="E5886">
        <v>4</v>
      </c>
      <c r="F5886">
        <v>1652</v>
      </c>
      <c r="G5886">
        <v>3</v>
      </c>
      <c r="H5886">
        <v>2</v>
      </c>
      <c r="I5886">
        <v>1979</v>
      </c>
      <c r="J5886">
        <v>0</v>
      </c>
      <c r="K5886">
        <v>0</v>
      </c>
      <c r="L5886">
        <v>1</v>
      </c>
      <c r="M5886">
        <v>10</v>
      </c>
      <c r="N5886" t="s">
        <v>37</v>
      </c>
      <c r="O5886" t="s">
        <v>27</v>
      </c>
      <c r="P5886">
        <v>5.4206988768618301</v>
      </c>
      <c r="Q5886">
        <v>1.5242685370848099</v>
      </c>
      <c r="R5886">
        <v>4.9031475800129796</v>
      </c>
      <c r="S5886">
        <v>52</v>
      </c>
      <c r="T5886">
        <v>29</v>
      </c>
      <c r="U5886">
        <v>512.51268563477697</v>
      </c>
      <c r="V5886">
        <v>6.05326876513317E-3</v>
      </c>
      <c r="W5886">
        <v>1070691.9862877899</v>
      </c>
      <c r="X5886" t="s">
        <v>36</v>
      </c>
      <c r="Y5886">
        <f>1-251-334-1632</f>
        <v>-2216</v>
      </c>
    </row>
    <row r="5887" spans="1:25" x14ac:dyDescent="0.35">
      <c r="A5887">
        <v>38.5135255297415</v>
      </c>
      <c r="B5887">
        <v>-123.154647167858</v>
      </c>
      <c r="C5887" t="s">
        <v>34</v>
      </c>
      <c r="D5887">
        <v>15.2975352344932</v>
      </c>
      <c r="E5887">
        <v>3</v>
      </c>
      <c r="F5887">
        <v>4120</v>
      </c>
      <c r="G5887">
        <v>4</v>
      </c>
      <c r="H5887">
        <v>2</v>
      </c>
      <c r="I5887">
        <v>1966</v>
      </c>
      <c r="J5887">
        <v>0</v>
      </c>
      <c r="K5887">
        <v>0</v>
      </c>
      <c r="L5887">
        <v>1</v>
      </c>
      <c r="M5887">
        <v>6</v>
      </c>
      <c r="N5887" t="s">
        <v>35</v>
      </c>
      <c r="O5887" t="s">
        <v>30</v>
      </c>
      <c r="P5887">
        <v>11.7661653219747</v>
      </c>
      <c r="Q5887">
        <v>1.29842027847427</v>
      </c>
      <c r="R5887">
        <v>3.51750040680276</v>
      </c>
      <c r="S5887">
        <v>13</v>
      </c>
      <c r="T5887">
        <v>59</v>
      </c>
      <c r="U5887">
        <v>361.58292441757101</v>
      </c>
      <c r="V5887">
        <v>1.4563106796116501E-3</v>
      </c>
      <c r="W5887">
        <v>1829562.7631155101</v>
      </c>
      <c r="X5887" t="s">
        <v>33</v>
      </c>
      <c r="Y5887">
        <f>1-333-665-9453</f>
        <v>-10450</v>
      </c>
    </row>
    <row r="5888" spans="1:25" x14ac:dyDescent="0.35">
      <c r="A5888">
        <v>34.079972390593703</v>
      </c>
      <c r="B5888">
        <v>-123.20414186244901</v>
      </c>
      <c r="C5888" t="s">
        <v>29</v>
      </c>
      <c r="D5888">
        <v>2.8822934748746198</v>
      </c>
      <c r="E5888">
        <v>9</v>
      </c>
      <c r="F5888">
        <v>1483</v>
      </c>
      <c r="G5888">
        <v>3</v>
      </c>
      <c r="H5888">
        <v>2</v>
      </c>
      <c r="I5888">
        <v>2010</v>
      </c>
      <c r="J5888">
        <v>0</v>
      </c>
      <c r="K5888">
        <v>1</v>
      </c>
      <c r="L5888">
        <v>0</v>
      </c>
      <c r="M5888">
        <v>4</v>
      </c>
      <c r="N5888" t="s">
        <v>37</v>
      </c>
      <c r="O5888" t="s">
        <v>30</v>
      </c>
      <c r="P5888">
        <v>6.1003200388727903</v>
      </c>
      <c r="Q5888">
        <v>1.43521783281646</v>
      </c>
      <c r="R5888">
        <v>8.9159390199230604</v>
      </c>
      <c r="S5888">
        <v>96</v>
      </c>
      <c r="T5888">
        <v>23</v>
      </c>
      <c r="U5888">
        <v>512.67157568206301</v>
      </c>
      <c r="V5888">
        <v>2.6972353337828699E-3</v>
      </c>
      <c r="W5888">
        <v>1065549.19218652</v>
      </c>
      <c r="X5888" t="s">
        <v>33</v>
      </c>
      <c r="Y5888">
        <f>1-924-678-3282</f>
        <v>-4883</v>
      </c>
    </row>
    <row r="5889" spans="1:25" x14ac:dyDescent="0.35">
      <c r="A5889">
        <v>34.118474829820201</v>
      </c>
      <c r="B5889">
        <v>-119.875927134271</v>
      </c>
      <c r="C5889" t="s">
        <v>25</v>
      </c>
      <c r="D5889">
        <v>35.5607077515021</v>
      </c>
      <c r="E5889">
        <v>6</v>
      </c>
      <c r="F5889">
        <v>949</v>
      </c>
      <c r="G5889">
        <v>5</v>
      </c>
      <c r="H5889">
        <v>1</v>
      </c>
      <c r="I5889">
        <v>1993</v>
      </c>
      <c r="J5889">
        <v>0</v>
      </c>
      <c r="K5889">
        <v>1</v>
      </c>
      <c r="L5889">
        <v>1</v>
      </c>
      <c r="M5889">
        <v>13</v>
      </c>
      <c r="N5889" t="s">
        <v>26</v>
      </c>
      <c r="O5889" t="s">
        <v>32</v>
      </c>
      <c r="P5889">
        <v>2.2259471854250501</v>
      </c>
      <c r="Q5889">
        <v>1.05969616916307</v>
      </c>
      <c r="R5889">
        <v>2.5921906451093299</v>
      </c>
      <c r="S5889">
        <v>67</v>
      </c>
      <c r="T5889">
        <v>27</v>
      </c>
      <c r="U5889">
        <v>228.55501826216101</v>
      </c>
      <c r="V5889">
        <v>1.3698630136986301E-2</v>
      </c>
      <c r="W5889">
        <v>555378.96152366104</v>
      </c>
      <c r="X5889" t="s">
        <v>44</v>
      </c>
      <c r="Y5889">
        <f>1-833-267-4202</f>
        <v>-5301</v>
      </c>
    </row>
    <row r="5890" spans="1:25" x14ac:dyDescent="0.35">
      <c r="A5890">
        <v>40.083369290263398</v>
      </c>
      <c r="B5890">
        <v>-119.32938328747299</v>
      </c>
      <c r="C5890" t="s">
        <v>34</v>
      </c>
      <c r="D5890">
        <v>44.248984278141201</v>
      </c>
      <c r="E5890">
        <v>0</v>
      </c>
      <c r="F5890">
        <v>1009</v>
      </c>
      <c r="G5890">
        <v>4</v>
      </c>
      <c r="H5890">
        <v>2</v>
      </c>
      <c r="I5890">
        <v>1991</v>
      </c>
      <c r="J5890">
        <v>1</v>
      </c>
      <c r="K5890">
        <v>0</v>
      </c>
      <c r="L5890">
        <v>1</v>
      </c>
      <c r="M5890">
        <v>13</v>
      </c>
      <c r="N5890" t="s">
        <v>35</v>
      </c>
      <c r="O5890" t="s">
        <v>30</v>
      </c>
      <c r="P5890">
        <v>10.9241661541665</v>
      </c>
      <c r="Q5890">
        <v>1.1878732334067501</v>
      </c>
      <c r="R5890">
        <v>2.3824358451380698</v>
      </c>
      <c r="S5890">
        <v>191</v>
      </c>
      <c r="T5890">
        <v>71</v>
      </c>
      <c r="U5890">
        <v>923.79753101766198</v>
      </c>
      <c r="V5890">
        <v>1.2884043607532199E-2</v>
      </c>
      <c r="W5890">
        <v>1300886.7192518499</v>
      </c>
      <c r="X5890" t="s">
        <v>38</v>
      </c>
      <c r="Y5890">
        <f>1-917-742-5342</f>
        <v>-7000</v>
      </c>
    </row>
    <row r="5891" spans="1:25" x14ac:dyDescent="0.35">
      <c r="A5891">
        <v>41.628455391256502</v>
      </c>
      <c r="B5891">
        <v>-122.044099397938</v>
      </c>
      <c r="C5891" t="s">
        <v>34</v>
      </c>
      <c r="D5891">
        <v>13.699153403120899</v>
      </c>
      <c r="E5891">
        <v>0</v>
      </c>
      <c r="F5891">
        <v>1857</v>
      </c>
      <c r="G5891">
        <v>2</v>
      </c>
      <c r="H5891">
        <v>2</v>
      </c>
      <c r="I5891">
        <v>1995</v>
      </c>
      <c r="J5891">
        <v>0</v>
      </c>
      <c r="K5891">
        <v>0</v>
      </c>
      <c r="L5891">
        <v>0</v>
      </c>
      <c r="M5891">
        <v>5</v>
      </c>
      <c r="N5891" t="s">
        <v>37</v>
      </c>
      <c r="O5891" t="s">
        <v>30</v>
      </c>
      <c r="P5891">
        <v>3.5183800945587902</v>
      </c>
      <c r="Q5891">
        <v>1.3444778951810299</v>
      </c>
      <c r="R5891">
        <v>6.6779786029598203</v>
      </c>
      <c r="S5891">
        <v>170</v>
      </c>
      <c r="T5891">
        <v>56</v>
      </c>
      <c r="U5891">
        <v>474.64073339637702</v>
      </c>
      <c r="V5891">
        <v>2.6925148088314402E-3</v>
      </c>
      <c r="W5891">
        <v>862066.34781553899</v>
      </c>
      <c r="X5891" t="s">
        <v>40</v>
      </c>
      <c r="Y5891">
        <f>1-961-819-6187</f>
        <v>-7966</v>
      </c>
    </row>
    <row r="5892" spans="1:25" x14ac:dyDescent="0.35">
      <c r="A5892">
        <v>39.076103464609702</v>
      </c>
      <c r="B5892">
        <v>-121.583234035659</v>
      </c>
      <c r="C5892" t="s">
        <v>25</v>
      </c>
      <c r="D5892">
        <v>32.142494765042201</v>
      </c>
      <c r="E5892">
        <v>5</v>
      </c>
      <c r="F5892">
        <v>1412</v>
      </c>
      <c r="G5892">
        <v>5</v>
      </c>
      <c r="H5892">
        <v>2</v>
      </c>
      <c r="I5892">
        <v>2014</v>
      </c>
      <c r="J5892">
        <v>0</v>
      </c>
      <c r="K5892">
        <v>0</v>
      </c>
      <c r="L5892">
        <v>1</v>
      </c>
      <c r="M5892">
        <v>3</v>
      </c>
      <c r="N5892" t="s">
        <v>26</v>
      </c>
      <c r="O5892" t="s">
        <v>27</v>
      </c>
      <c r="P5892">
        <v>14.168139788615999</v>
      </c>
      <c r="Q5892">
        <v>2.2166621447324601</v>
      </c>
      <c r="R5892">
        <v>8.4838907595060302</v>
      </c>
      <c r="S5892">
        <v>98</v>
      </c>
      <c r="T5892">
        <v>23</v>
      </c>
      <c r="U5892">
        <v>396.07681383701498</v>
      </c>
      <c r="V5892">
        <v>2.1246458923512698E-3</v>
      </c>
      <c r="W5892">
        <v>905802.11801658</v>
      </c>
      <c r="X5892" t="s">
        <v>28</v>
      </c>
      <c r="Y5892">
        <f>1-475-983-1674</f>
        <v>-3131</v>
      </c>
    </row>
    <row r="5893" spans="1:25" x14ac:dyDescent="0.35">
      <c r="A5893">
        <v>38.508748429493302</v>
      </c>
      <c r="B5893">
        <v>-117.39322007685</v>
      </c>
      <c r="C5893" t="s">
        <v>29</v>
      </c>
      <c r="D5893">
        <v>4.9048784946130901</v>
      </c>
      <c r="E5893">
        <v>7</v>
      </c>
      <c r="F5893">
        <v>1536</v>
      </c>
      <c r="G5893">
        <v>2</v>
      </c>
      <c r="H5893">
        <v>3</v>
      </c>
      <c r="I5893">
        <v>1999</v>
      </c>
      <c r="J5893">
        <v>0</v>
      </c>
      <c r="K5893">
        <v>1</v>
      </c>
      <c r="L5893">
        <v>0</v>
      </c>
      <c r="M5893">
        <v>9</v>
      </c>
      <c r="N5893" t="s">
        <v>26</v>
      </c>
      <c r="O5893" t="s">
        <v>27</v>
      </c>
      <c r="P5893">
        <v>9.5440636498977405</v>
      </c>
      <c r="Q5893">
        <v>1.3372326654884299</v>
      </c>
      <c r="R5893">
        <v>6.5254701054769901</v>
      </c>
      <c r="S5893">
        <v>3</v>
      </c>
      <c r="T5893">
        <v>71</v>
      </c>
      <c r="U5893">
        <v>880.72645592553295</v>
      </c>
      <c r="V5893">
        <v>5.859375E-3</v>
      </c>
      <c r="W5893">
        <v>1632189.7225412701</v>
      </c>
      <c r="X5893" t="s">
        <v>42</v>
      </c>
      <c r="Y5893">
        <f>1-704-898-8501</f>
        <v>-10102</v>
      </c>
    </row>
    <row r="5894" spans="1:25" x14ac:dyDescent="0.35">
      <c r="A5894">
        <v>41.5434285049488</v>
      </c>
      <c r="B5894">
        <v>-114.167143405065</v>
      </c>
      <c r="C5894" t="s">
        <v>29</v>
      </c>
      <c r="D5894">
        <v>34.4831120743818</v>
      </c>
      <c r="E5894">
        <v>2</v>
      </c>
      <c r="F5894">
        <v>2082</v>
      </c>
      <c r="G5894">
        <v>2</v>
      </c>
      <c r="H5894">
        <v>2</v>
      </c>
      <c r="I5894">
        <v>1993</v>
      </c>
      <c r="J5894">
        <v>1</v>
      </c>
      <c r="K5894">
        <v>1</v>
      </c>
      <c r="L5894">
        <v>1</v>
      </c>
      <c r="M5894">
        <v>7</v>
      </c>
      <c r="N5894" t="s">
        <v>35</v>
      </c>
      <c r="O5894" t="s">
        <v>30</v>
      </c>
      <c r="P5894">
        <v>7.8320039846218199</v>
      </c>
      <c r="Q5894">
        <v>0.81481510247021205</v>
      </c>
      <c r="R5894">
        <v>7.88186632973329</v>
      </c>
      <c r="S5894">
        <v>188</v>
      </c>
      <c r="T5894">
        <v>58</v>
      </c>
      <c r="U5894">
        <v>763.66885861010803</v>
      </c>
      <c r="V5894">
        <v>3.36215177713736E-3</v>
      </c>
      <c r="W5894">
        <v>1873102.7226241699</v>
      </c>
      <c r="X5894" t="s">
        <v>31</v>
      </c>
      <c r="Y5894">
        <f>1-533-979-5445</f>
        <v>-6956</v>
      </c>
    </row>
    <row r="5895" spans="1:25" x14ac:dyDescent="0.35">
      <c r="A5895">
        <v>38.470925366864698</v>
      </c>
      <c r="B5895">
        <v>-118.55609755105201</v>
      </c>
      <c r="C5895" t="s">
        <v>34</v>
      </c>
      <c r="D5895">
        <v>47.258378063581702</v>
      </c>
      <c r="E5895">
        <v>4</v>
      </c>
      <c r="F5895">
        <v>4849</v>
      </c>
      <c r="G5895">
        <v>2</v>
      </c>
      <c r="H5895">
        <v>1</v>
      </c>
      <c r="I5895">
        <v>2002</v>
      </c>
      <c r="J5895">
        <v>1</v>
      </c>
      <c r="K5895">
        <v>0</v>
      </c>
      <c r="L5895">
        <v>0</v>
      </c>
      <c r="M5895">
        <v>6</v>
      </c>
      <c r="N5895" t="s">
        <v>41</v>
      </c>
      <c r="O5895" t="s">
        <v>30</v>
      </c>
      <c r="P5895">
        <v>9.9259595898616695</v>
      </c>
      <c r="Q5895">
        <v>1.4514914081227399</v>
      </c>
      <c r="R5895">
        <v>5.5051541223098903</v>
      </c>
      <c r="S5895">
        <v>49</v>
      </c>
      <c r="T5895">
        <v>78</v>
      </c>
      <c r="U5895">
        <v>953.39398145529105</v>
      </c>
      <c r="V5895">
        <v>1.23736852959373E-3</v>
      </c>
      <c r="W5895">
        <v>4770907.42430891</v>
      </c>
      <c r="X5895" t="s">
        <v>36</v>
      </c>
      <c r="Y5895">
        <f>1-556-375-5774</f>
        <v>-6704</v>
      </c>
    </row>
    <row r="5896" spans="1:25" x14ac:dyDescent="0.35">
      <c r="A5896">
        <v>35.638431647844499</v>
      </c>
      <c r="B5896">
        <v>-124.013795743334</v>
      </c>
      <c r="C5896" t="s">
        <v>29</v>
      </c>
      <c r="D5896">
        <v>45.124595023535299</v>
      </c>
      <c r="E5896">
        <v>4</v>
      </c>
      <c r="F5896">
        <v>2393</v>
      </c>
      <c r="G5896">
        <v>5</v>
      </c>
      <c r="H5896">
        <v>3</v>
      </c>
      <c r="I5896">
        <v>2005</v>
      </c>
      <c r="J5896">
        <v>0</v>
      </c>
      <c r="K5896">
        <v>0</v>
      </c>
      <c r="L5896">
        <v>1</v>
      </c>
      <c r="M5896">
        <v>8</v>
      </c>
      <c r="N5896" t="s">
        <v>41</v>
      </c>
      <c r="O5896" t="s">
        <v>32</v>
      </c>
      <c r="P5896">
        <v>10.951221353983099</v>
      </c>
      <c r="Q5896">
        <v>1.4837672893637699</v>
      </c>
      <c r="R5896">
        <v>7.2989012469643297</v>
      </c>
      <c r="S5896">
        <v>190</v>
      </c>
      <c r="T5896">
        <v>31</v>
      </c>
      <c r="U5896">
        <v>597.09480124506695</v>
      </c>
      <c r="V5896">
        <v>3.3430839949853699E-3</v>
      </c>
      <c r="W5896">
        <v>1781960.4156303001</v>
      </c>
      <c r="X5896" t="s">
        <v>39</v>
      </c>
      <c r="Y5896">
        <f>1-811-328-1563</f>
        <v>-2701</v>
      </c>
    </row>
    <row r="5897" spans="1:25" x14ac:dyDescent="0.35">
      <c r="A5897">
        <v>37.588172023302</v>
      </c>
      <c r="B5897">
        <v>-115.527929685026</v>
      </c>
      <c r="C5897" t="s">
        <v>34</v>
      </c>
      <c r="D5897">
        <v>1.6977319068173999</v>
      </c>
      <c r="E5897">
        <v>9</v>
      </c>
      <c r="F5897">
        <v>503</v>
      </c>
      <c r="G5897">
        <v>1</v>
      </c>
      <c r="H5897">
        <v>1</v>
      </c>
      <c r="I5897">
        <v>1957</v>
      </c>
      <c r="J5897">
        <v>1</v>
      </c>
      <c r="K5897">
        <v>1</v>
      </c>
      <c r="L5897">
        <v>1</v>
      </c>
      <c r="M5897">
        <v>5</v>
      </c>
      <c r="N5897" t="s">
        <v>26</v>
      </c>
      <c r="O5897" t="s">
        <v>30</v>
      </c>
      <c r="P5897">
        <v>9.0975278387343508</v>
      </c>
      <c r="Q5897">
        <v>0.76162682512328905</v>
      </c>
      <c r="R5897">
        <v>9.0122698975136206</v>
      </c>
      <c r="S5897">
        <v>78</v>
      </c>
      <c r="T5897">
        <v>46</v>
      </c>
      <c r="U5897">
        <v>973.46353320967603</v>
      </c>
      <c r="V5897">
        <v>9.9403578528827006E-3</v>
      </c>
      <c r="W5897">
        <v>700997.39000519004</v>
      </c>
      <c r="X5897" t="s">
        <v>31</v>
      </c>
      <c r="Y5897">
        <f>1-609-874-2935</f>
        <v>-4417</v>
      </c>
    </row>
    <row r="5898" spans="1:25" x14ac:dyDescent="0.35">
      <c r="A5898">
        <v>38.749175392854902</v>
      </c>
      <c r="B5898">
        <v>-120.34716295045</v>
      </c>
      <c r="C5898" t="s">
        <v>25</v>
      </c>
      <c r="D5898">
        <v>18.0657411837064</v>
      </c>
      <c r="E5898">
        <v>0</v>
      </c>
      <c r="F5898">
        <v>2205</v>
      </c>
      <c r="G5898">
        <v>4</v>
      </c>
      <c r="H5898">
        <v>1</v>
      </c>
      <c r="I5898">
        <v>1955</v>
      </c>
      <c r="J5898">
        <v>1</v>
      </c>
      <c r="K5898">
        <v>1</v>
      </c>
      <c r="L5898">
        <v>1</v>
      </c>
      <c r="M5898">
        <v>12</v>
      </c>
      <c r="N5898" t="s">
        <v>41</v>
      </c>
      <c r="O5898" t="s">
        <v>32</v>
      </c>
      <c r="P5898">
        <v>9.6444590722800996</v>
      </c>
      <c r="Q5898">
        <v>1.21642046173981</v>
      </c>
      <c r="R5898">
        <v>0.88595653334448299</v>
      </c>
      <c r="S5898">
        <v>163</v>
      </c>
      <c r="T5898">
        <v>25</v>
      </c>
      <c r="U5898">
        <v>347.086286848123</v>
      </c>
      <c r="V5898">
        <v>5.4421768707482903E-3</v>
      </c>
      <c r="W5898">
        <v>1208797.89784613</v>
      </c>
      <c r="X5898" t="s">
        <v>43</v>
      </c>
      <c r="Y5898">
        <f>1-953-782-7843</f>
        <v>-9577</v>
      </c>
    </row>
    <row r="5899" spans="1:25" x14ac:dyDescent="0.35">
      <c r="A5899">
        <v>39.540543265684597</v>
      </c>
      <c r="B5899">
        <v>-120.76076479610499</v>
      </c>
      <c r="C5899" t="s">
        <v>29</v>
      </c>
      <c r="D5899">
        <v>30.5577219573719</v>
      </c>
      <c r="E5899">
        <v>2</v>
      </c>
      <c r="F5899">
        <v>1112</v>
      </c>
      <c r="G5899">
        <v>5</v>
      </c>
      <c r="H5899">
        <v>3</v>
      </c>
      <c r="I5899">
        <v>2009</v>
      </c>
      <c r="J5899">
        <v>1</v>
      </c>
      <c r="K5899">
        <v>0</v>
      </c>
      <c r="L5899">
        <v>0</v>
      </c>
      <c r="M5899">
        <v>6</v>
      </c>
      <c r="N5899" t="s">
        <v>26</v>
      </c>
      <c r="O5899" t="s">
        <v>27</v>
      </c>
      <c r="P5899">
        <v>6.9488224761697204</v>
      </c>
      <c r="Q5899">
        <v>2.2942490103070399</v>
      </c>
      <c r="R5899">
        <v>3.29455047931281</v>
      </c>
      <c r="S5899">
        <v>16</v>
      </c>
      <c r="T5899">
        <v>28</v>
      </c>
      <c r="U5899">
        <v>513.56309385613895</v>
      </c>
      <c r="V5899">
        <v>5.3956834532374104E-3</v>
      </c>
      <c r="W5899">
        <v>1036767.10535493</v>
      </c>
      <c r="X5899" t="s">
        <v>39</v>
      </c>
      <c r="Y5899">
        <f>1-643-893-3922</f>
        <v>-5457</v>
      </c>
    </row>
    <row r="5900" spans="1:25" x14ac:dyDescent="0.35">
      <c r="A5900">
        <v>40.318510880286603</v>
      </c>
      <c r="B5900">
        <v>-116.939636858927</v>
      </c>
      <c r="C5900" t="s">
        <v>29</v>
      </c>
      <c r="D5900">
        <v>43.432610144369399</v>
      </c>
      <c r="E5900">
        <v>0</v>
      </c>
      <c r="F5900">
        <v>1122</v>
      </c>
      <c r="G5900">
        <v>3</v>
      </c>
      <c r="H5900">
        <v>3</v>
      </c>
      <c r="I5900">
        <v>2001</v>
      </c>
      <c r="J5900">
        <v>0</v>
      </c>
      <c r="K5900">
        <v>0</v>
      </c>
      <c r="L5900">
        <v>0</v>
      </c>
      <c r="M5900">
        <v>8</v>
      </c>
      <c r="N5900" t="s">
        <v>41</v>
      </c>
      <c r="O5900" t="s">
        <v>27</v>
      </c>
      <c r="P5900">
        <v>2.7158385608640501</v>
      </c>
      <c r="Q5900">
        <v>2.42285932957844</v>
      </c>
      <c r="R5900">
        <v>5.9017325761110397</v>
      </c>
      <c r="S5900">
        <v>183</v>
      </c>
      <c r="T5900">
        <v>26</v>
      </c>
      <c r="U5900">
        <v>333.43247232206897</v>
      </c>
      <c r="V5900">
        <v>7.1301247771836003E-3</v>
      </c>
      <c r="W5900">
        <v>540805.13471615803</v>
      </c>
      <c r="X5900" t="s">
        <v>28</v>
      </c>
      <c r="Y5900">
        <f>1-642-388-3701</f>
        <v>-4730</v>
      </c>
    </row>
    <row r="5901" spans="1:25" x14ac:dyDescent="0.35">
      <c r="A5901">
        <v>36.861761090817303</v>
      </c>
      <c r="B5901">
        <v>-122.74476650430201</v>
      </c>
      <c r="C5901" t="s">
        <v>29</v>
      </c>
      <c r="D5901">
        <v>16.937076875614999</v>
      </c>
      <c r="E5901">
        <v>0</v>
      </c>
      <c r="F5901">
        <v>4167</v>
      </c>
      <c r="G5901">
        <v>2</v>
      </c>
      <c r="H5901">
        <v>3</v>
      </c>
      <c r="I5901">
        <v>2007</v>
      </c>
      <c r="J5901">
        <v>1</v>
      </c>
      <c r="K5901">
        <v>0</v>
      </c>
      <c r="L5901">
        <v>1</v>
      </c>
      <c r="M5901">
        <v>7</v>
      </c>
      <c r="N5901" t="s">
        <v>37</v>
      </c>
      <c r="O5901" t="s">
        <v>27</v>
      </c>
      <c r="P5901">
        <v>8.5033382674548399</v>
      </c>
      <c r="Q5901">
        <v>1.5810004827080699</v>
      </c>
      <c r="R5901">
        <v>9.2679081774175902</v>
      </c>
      <c r="S5901">
        <v>5</v>
      </c>
      <c r="T5901">
        <v>27</v>
      </c>
      <c r="U5901">
        <v>927.86307926654695</v>
      </c>
      <c r="V5901">
        <v>1.67986561075114E-3</v>
      </c>
      <c r="W5901">
        <v>4196155.1068116799</v>
      </c>
      <c r="X5901" t="s">
        <v>40</v>
      </c>
      <c r="Y5901">
        <f>1-705-130-6551</f>
        <v>-7385</v>
      </c>
    </row>
    <row r="5902" spans="1:25" x14ac:dyDescent="0.35">
      <c r="A5902">
        <v>34.7594656125843</v>
      </c>
      <c r="B5902">
        <v>-117.283191163769</v>
      </c>
      <c r="C5902" t="s">
        <v>25</v>
      </c>
      <c r="D5902">
        <v>40.180281976513903</v>
      </c>
      <c r="E5902">
        <v>2</v>
      </c>
      <c r="F5902">
        <v>2670</v>
      </c>
      <c r="G5902">
        <v>2</v>
      </c>
      <c r="H5902">
        <v>2</v>
      </c>
      <c r="I5902">
        <v>1964</v>
      </c>
      <c r="J5902">
        <v>1</v>
      </c>
      <c r="K5902">
        <v>0</v>
      </c>
      <c r="L5902">
        <v>0</v>
      </c>
      <c r="M5902">
        <v>13</v>
      </c>
      <c r="N5902" t="s">
        <v>37</v>
      </c>
      <c r="O5902" t="s">
        <v>27</v>
      </c>
      <c r="P5902">
        <v>12.930861164282801</v>
      </c>
      <c r="Q5902">
        <v>1.50266125673109</v>
      </c>
      <c r="R5902">
        <v>4.53582108903242</v>
      </c>
      <c r="S5902">
        <v>51</v>
      </c>
      <c r="T5902">
        <v>45</v>
      </c>
      <c r="U5902">
        <v>421.738501540519</v>
      </c>
      <c r="V5902">
        <v>4.8689138576778999E-3</v>
      </c>
      <c r="W5902">
        <v>1360160.7817229801</v>
      </c>
      <c r="X5902" t="s">
        <v>44</v>
      </c>
      <c r="Y5902">
        <f>1-747-124-6937</f>
        <v>-7807</v>
      </c>
    </row>
    <row r="5903" spans="1:25" x14ac:dyDescent="0.35">
      <c r="A5903">
        <v>33.638647282212801</v>
      </c>
      <c r="B5903">
        <v>-118.436185756874</v>
      </c>
      <c r="C5903" t="s">
        <v>29</v>
      </c>
      <c r="D5903">
        <v>20.863745829915299</v>
      </c>
      <c r="E5903">
        <v>3</v>
      </c>
      <c r="F5903">
        <v>3653</v>
      </c>
      <c r="G5903">
        <v>2</v>
      </c>
      <c r="H5903">
        <v>3</v>
      </c>
      <c r="I5903">
        <v>1986</v>
      </c>
      <c r="J5903">
        <v>1</v>
      </c>
      <c r="K5903">
        <v>0</v>
      </c>
      <c r="L5903">
        <v>0</v>
      </c>
      <c r="M5903">
        <v>14</v>
      </c>
      <c r="N5903" t="s">
        <v>26</v>
      </c>
      <c r="O5903" t="s">
        <v>30</v>
      </c>
      <c r="P5903">
        <v>2.1822644420277202</v>
      </c>
      <c r="Q5903">
        <v>1.9595099454298199</v>
      </c>
      <c r="R5903">
        <v>5.9714044982983996</v>
      </c>
      <c r="S5903">
        <v>138</v>
      </c>
      <c r="T5903">
        <v>22</v>
      </c>
      <c r="U5903">
        <v>399.17720354358499</v>
      </c>
      <c r="V5903">
        <v>3.8324664659184198E-3</v>
      </c>
      <c r="W5903">
        <v>1511850.21561033</v>
      </c>
      <c r="X5903" t="s">
        <v>44</v>
      </c>
      <c r="Y5903">
        <f>1-682-583-7629</f>
        <v>-8893</v>
      </c>
    </row>
    <row r="5904" spans="1:25" x14ac:dyDescent="0.35">
      <c r="A5904">
        <v>32.593719194793103</v>
      </c>
      <c r="B5904">
        <v>-121.821307073285</v>
      </c>
      <c r="C5904" t="s">
        <v>29</v>
      </c>
      <c r="D5904">
        <v>37.492564489453798</v>
      </c>
      <c r="E5904">
        <v>2</v>
      </c>
      <c r="F5904">
        <v>1664</v>
      </c>
      <c r="G5904">
        <v>4</v>
      </c>
      <c r="H5904">
        <v>2</v>
      </c>
      <c r="I5904">
        <v>1954</v>
      </c>
      <c r="J5904">
        <v>0</v>
      </c>
      <c r="K5904">
        <v>0</v>
      </c>
      <c r="L5904">
        <v>1</v>
      </c>
      <c r="M5904">
        <v>9</v>
      </c>
      <c r="N5904" t="s">
        <v>26</v>
      </c>
      <c r="O5904" t="s">
        <v>32</v>
      </c>
      <c r="P5904">
        <v>14.0016481631746</v>
      </c>
      <c r="Q5904">
        <v>1.4840284504008801</v>
      </c>
      <c r="R5904">
        <v>0.50712225919112597</v>
      </c>
      <c r="S5904">
        <v>66</v>
      </c>
      <c r="T5904">
        <v>63</v>
      </c>
      <c r="U5904">
        <v>860.37155418911402</v>
      </c>
      <c r="V5904">
        <v>5.4086538461538399E-3</v>
      </c>
      <c r="W5904">
        <v>1782065.07377624</v>
      </c>
      <c r="X5904" t="s">
        <v>38</v>
      </c>
      <c r="Y5904">
        <f>1-244-223-4761</f>
        <v>-5227</v>
      </c>
    </row>
    <row r="5905" spans="1:25" x14ac:dyDescent="0.35">
      <c r="A5905">
        <v>38.369256255403101</v>
      </c>
      <c r="B5905">
        <v>-123.606510095342</v>
      </c>
      <c r="C5905" t="s">
        <v>25</v>
      </c>
      <c r="D5905">
        <v>27.126088295589899</v>
      </c>
      <c r="E5905">
        <v>6</v>
      </c>
      <c r="F5905">
        <v>4024</v>
      </c>
      <c r="G5905">
        <v>2</v>
      </c>
      <c r="H5905">
        <v>3</v>
      </c>
      <c r="I5905">
        <v>1968</v>
      </c>
      <c r="J5905">
        <v>0</v>
      </c>
      <c r="K5905">
        <v>0</v>
      </c>
      <c r="L5905">
        <v>1</v>
      </c>
      <c r="M5905">
        <v>6</v>
      </c>
      <c r="N5905" t="s">
        <v>41</v>
      </c>
      <c r="O5905" t="s">
        <v>27</v>
      </c>
      <c r="P5905">
        <v>7.3580292002189696</v>
      </c>
      <c r="Q5905">
        <v>0.98074880053677604</v>
      </c>
      <c r="R5905">
        <v>1.1472527243497599</v>
      </c>
      <c r="S5905">
        <v>76</v>
      </c>
      <c r="T5905">
        <v>20</v>
      </c>
      <c r="U5905">
        <v>591.41920098507705</v>
      </c>
      <c r="V5905">
        <v>1.4910536779324001E-3</v>
      </c>
      <c r="W5905">
        <v>2593385.69402058</v>
      </c>
      <c r="X5905" t="s">
        <v>36</v>
      </c>
      <c r="Y5905">
        <f>1-888-238-1359</f>
        <v>-2484</v>
      </c>
    </row>
    <row r="5906" spans="1:25" x14ac:dyDescent="0.35">
      <c r="A5906">
        <v>34.924695032548001</v>
      </c>
      <c r="B5906">
        <v>-114.448687296844</v>
      </c>
      <c r="C5906" t="s">
        <v>29</v>
      </c>
      <c r="D5906">
        <v>13.617320057929801</v>
      </c>
      <c r="E5906">
        <v>0</v>
      </c>
      <c r="F5906">
        <v>1911</v>
      </c>
      <c r="G5906">
        <v>3</v>
      </c>
      <c r="H5906">
        <v>3</v>
      </c>
      <c r="I5906">
        <v>1995</v>
      </c>
      <c r="J5906">
        <v>0</v>
      </c>
      <c r="K5906">
        <v>1</v>
      </c>
      <c r="L5906">
        <v>0</v>
      </c>
      <c r="M5906">
        <v>14</v>
      </c>
      <c r="N5906" t="s">
        <v>41</v>
      </c>
      <c r="O5906" t="s">
        <v>30</v>
      </c>
      <c r="P5906">
        <v>5.3519744190204399</v>
      </c>
      <c r="Q5906">
        <v>0.94011323445349904</v>
      </c>
      <c r="R5906">
        <v>7.0544355372684802</v>
      </c>
      <c r="S5906">
        <v>15</v>
      </c>
      <c r="T5906">
        <v>53</v>
      </c>
      <c r="U5906">
        <v>515.01465084625397</v>
      </c>
      <c r="V5906">
        <v>7.3260073260073199E-3</v>
      </c>
      <c r="W5906">
        <v>1292595.5787550199</v>
      </c>
      <c r="X5906" t="s">
        <v>40</v>
      </c>
      <c r="Y5906">
        <f>1-583-685-6558</f>
        <v>-7825</v>
      </c>
    </row>
    <row r="5907" spans="1:25" x14ac:dyDescent="0.35">
      <c r="A5907">
        <v>35.658535005342699</v>
      </c>
      <c r="B5907">
        <v>-118.031564019559</v>
      </c>
      <c r="C5907" t="s">
        <v>34</v>
      </c>
      <c r="D5907">
        <v>21.1717799005507</v>
      </c>
      <c r="E5907">
        <v>8</v>
      </c>
      <c r="F5907">
        <v>2057</v>
      </c>
      <c r="G5907">
        <v>2</v>
      </c>
      <c r="H5907">
        <v>1</v>
      </c>
      <c r="I5907">
        <v>2004</v>
      </c>
      <c r="J5907">
        <v>1</v>
      </c>
      <c r="K5907">
        <v>1</v>
      </c>
      <c r="L5907">
        <v>0</v>
      </c>
      <c r="M5907">
        <v>5</v>
      </c>
      <c r="N5907" t="s">
        <v>37</v>
      </c>
      <c r="O5907" t="s">
        <v>32</v>
      </c>
      <c r="P5907">
        <v>13.1583461734966</v>
      </c>
      <c r="Q5907">
        <v>0.981121931116269</v>
      </c>
      <c r="R5907">
        <v>8.3696205464770799</v>
      </c>
      <c r="S5907">
        <v>80</v>
      </c>
      <c r="T5907">
        <v>74</v>
      </c>
      <c r="U5907">
        <v>778.74160731128097</v>
      </c>
      <c r="V5907">
        <v>2.4307243558580401E-3</v>
      </c>
      <c r="W5907">
        <v>1953176.32122413</v>
      </c>
      <c r="X5907" t="s">
        <v>44</v>
      </c>
      <c r="Y5907">
        <f>1-882-637-8446</f>
        <v>-9964</v>
      </c>
    </row>
    <row r="5908" spans="1:25" x14ac:dyDescent="0.35">
      <c r="A5908">
        <v>37.8630117994458</v>
      </c>
      <c r="B5908">
        <v>-116.671053751006</v>
      </c>
      <c r="C5908" t="s">
        <v>25</v>
      </c>
      <c r="D5908">
        <v>25.496385726008398</v>
      </c>
      <c r="E5908">
        <v>8</v>
      </c>
      <c r="F5908">
        <v>1591</v>
      </c>
      <c r="G5908">
        <v>1</v>
      </c>
      <c r="H5908">
        <v>2</v>
      </c>
      <c r="I5908">
        <v>1978</v>
      </c>
      <c r="J5908">
        <v>0</v>
      </c>
      <c r="K5908">
        <v>1</v>
      </c>
      <c r="L5908">
        <v>1</v>
      </c>
      <c r="M5908">
        <v>10</v>
      </c>
      <c r="N5908" t="s">
        <v>35</v>
      </c>
      <c r="O5908" t="s">
        <v>30</v>
      </c>
      <c r="P5908">
        <v>3.76890929082438</v>
      </c>
      <c r="Q5908">
        <v>1.1691704045087701</v>
      </c>
      <c r="R5908">
        <v>0.23718566547172101</v>
      </c>
      <c r="S5908">
        <v>65</v>
      </c>
      <c r="T5908">
        <v>42</v>
      </c>
      <c r="U5908">
        <v>301.11083524898999</v>
      </c>
      <c r="V5908">
        <v>6.2853551225644198E-3</v>
      </c>
      <c r="W5908">
        <v>674265.25656220003</v>
      </c>
      <c r="X5908" t="s">
        <v>44</v>
      </c>
      <c r="Y5908">
        <f>1-952-739-8281</f>
        <v>-9971</v>
      </c>
    </row>
    <row r="5909" spans="1:25" x14ac:dyDescent="0.35">
      <c r="A5909">
        <v>35.657432519584397</v>
      </c>
      <c r="B5909">
        <v>-114.56437953152199</v>
      </c>
      <c r="C5909" t="s">
        <v>29</v>
      </c>
      <c r="D5909">
        <v>12.803134444082399</v>
      </c>
      <c r="E5909">
        <v>3</v>
      </c>
      <c r="F5909">
        <v>2065</v>
      </c>
      <c r="G5909">
        <v>1</v>
      </c>
      <c r="H5909">
        <v>2</v>
      </c>
      <c r="I5909">
        <v>1979</v>
      </c>
      <c r="J5909">
        <v>1</v>
      </c>
      <c r="K5909">
        <v>0</v>
      </c>
      <c r="L5909">
        <v>0</v>
      </c>
      <c r="M5909">
        <v>4</v>
      </c>
      <c r="N5909" t="s">
        <v>41</v>
      </c>
      <c r="O5909" t="s">
        <v>30</v>
      </c>
      <c r="P5909">
        <v>8.2593140879724896</v>
      </c>
      <c r="Q5909">
        <v>1.5295761739576801</v>
      </c>
      <c r="R5909">
        <v>6.5339580926760599</v>
      </c>
      <c r="S5909">
        <v>153</v>
      </c>
      <c r="T5909">
        <v>52</v>
      </c>
      <c r="U5909">
        <v>741.39125804622995</v>
      </c>
      <c r="V5909">
        <v>1.93704600484261E-3</v>
      </c>
      <c r="W5909">
        <v>1644374.37339626</v>
      </c>
      <c r="X5909" t="s">
        <v>44</v>
      </c>
      <c r="Y5909">
        <f>1-280-475-5487</f>
        <v>-6241</v>
      </c>
    </row>
    <row r="5910" spans="1:25" x14ac:dyDescent="0.35">
      <c r="A5910">
        <v>32.870527068811001</v>
      </c>
      <c r="B5910">
        <v>-116.94158436822001</v>
      </c>
      <c r="C5910" t="s">
        <v>29</v>
      </c>
      <c r="D5910">
        <v>7.4332565063620599</v>
      </c>
      <c r="E5910">
        <v>1</v>
      </c>
      <c r="F5910">
        <v>1127</v>
      </c>
      <c r="G5910">
        <v>1</v>
      </c>
      <c r="H5910">
        <v>1</v>
      </c>
      <c r="I5910">
        <v>1952</v>
      </c>
      <c r="J5910">
        <v>0</v>
      </c>
      <c r="K5910">
        <v>0</v>
      </c>
      <c r="L5910">
        <v>1</v>
      </c>
      <c r="M5910">
        <v>5</v>
      </c>
      <c r="N5910" t="s">
        <v>41</v>
      </c>
      <c r="O5910" t="s">
        <v>32</v>
      </c>
      <c r="P5910">
        <v>6.3776648142254899</v>
      </c>
      <c r="Q5910">
        <v>2.4609999881230502</v>
      </c>
      <c r="R5910">
        <v>1.07488385172179</v>
      </c>
      <c r="S5910">
        <v>98</v>
      </c>
      <c r="T5910">
        <v>75</v>
      </c>
      <c r="U5910">
        <v>799.78584896643599</v>
      </c>
      <c r="V5910">
        <v>4.4365572315882796E-3</v>
      </c>
      <c r="W5910">
        <v>866305.38264585205</v>
      </c>
      <c r="X5910" t="s">
        <v>33</v>
      </c>
      <c r="Y5910">
        <f>1-711-588-2783</f>
        <v>-4081</v>
      </c>
    </row>
    <row r="5911" spans="1:25" x14ac:dyDescent="0.35">
      <c r="A5911">
        <v>32.607374381189103</v>
      </c>
      <c r="B5911">
        <v>-120.83402694702799</v>
      </c>
      <c r="C5911" t="s">
        <v>29</v>
      </c>
      <c r="D5911">
        <v>35.7013246508347</v>
      </c>
      <c r="E5911">
        <v>5</v>
      </c>
      <c r="F5911">
        <v>4559</v>
      </c>
      <c r="G5911">
        <v>4</v>
      </c>
      <c r="H5911">
        <v>2</v>
      </c>
      <c r="I5911">
        <v>1967</v>
      </c>
      <c r="J5911">
        <v>1</v>
      </c>
      <c r="K5911">
        <v>0</v>
      </c>
      <c r="L5911">
        <v>0</v>
      </c>
      <c r="M5911">
        <v>3</v>
      </c>
      <c r="N5911" t="s">
        <v>41</v>
      </c>
      <c r="O5911" t="s">
        <v>30</v>
      </c>
      <c r="P5911">
        <v>13.880643257971901</v>
      </c>
      <c r="Q5911">
        <v>0.95670922675360803</v>
      </c>
      <c r="R5911">
        <v>6.6457987373392999</v>
      </c>
      <c r="S5911">
        <v>168</v>
      </c>
      <c r="T5911">
        <v>74</v>
      </c>
      <c r="U5911">
        <v>997.77172469589402</v>
      </c>
      <c r="V5911">
        <v>6.58039043649923E-4</v>
      </c>
      <c r="W5911">
        <v>4810031.6089009801</v>
      </c>
      <c r="X5911" t="s">
        <v>31</v>
      </c>
      <c r="Y5911">
        <f>1-898-957-9862</f>
        <v>-11716</v>
      </c>
    </row>
    <row r="5912" spans="1:25" x14ac:dyDescent="0.35">
      <c r="A5912">
        <v>40.879330942529897</v>
      </c>
      <c r="B5912">
        <v>-117.241162604503</v>
      </c>
      <c r="C5912" t="s">
        <v>25</v>
      </c>
      <c r="D5912">
        <v>4.3658742726010704</v>
      </c>
      <c r="E5912">
        <v>4</v>
      </c>
      <c r="F5912">
        <v>3714</v>
      </c>
      <c r="G5912">
        <v>1</v>
      </c>
      <c r="H5912">
        <v>1</v>
      </c>
      <c r="I5912">
        <v>1965</v>
      </c>
      <c r="J5912">
        <v>1</v>
      </c>
      <c r="K5912">
        <v>1</v>
      </c>
      <c r="L5912">
        <v>1</v>
      </c>
      <c r="M5912">
        <v>10</v>
      </c>
      <c r="N5912" t="s">
        <v>26</v>
      </c>
      <c r="O5912" t="s">
        <v>32</v>
      </c>
      <c r="P5912">
        <v>7.1768770520462901</v>
      </c>
      <c r="Q5912">
        <v>1.9706727848428001</v>
      </c>
      <c r="R5912">
        <v>2.1798597911147102</v>
      </c>
      <c r="S5912">
        <v>67</v>
      </c>
      <c r="T5912">
        <v>33</v>
      </c>
      <c r="U5912">
        <v>206.29520445804999</v>
      </c>
      <c r="V5912">
        <v>2.6925148088314402E-3</v>
      </c>
      <c r="W5912">
        <v>998159.79190598801</v>
      </c>
      <c r="X5912" t="s">
        <v>38</v>
      </c>
      <c r="Y5912">
        <f>1-323-320-1454</f>
        <v>-2096</v>
      </c>
    </row>
    <row r="5913" spans="1:25" x14ac:dyDescent="0.35">
      <c r="A5913">
        <v>34.852725917066202</v>
      </c>
      <c r="B5913">
        <v>-121.522675902107</v>
      </c>
      <c r="C5913" t="s">
        <v>29</v>
      </c>
      <c r="D5913">
        <v>40.212254471517298</v>
      </c>
      <c r="E5913">
        <v>9</v>
      </c>
      <c r="F5913">
        <v>4652</v>
      </c>
      <c r="G5913">
        <v>4</v>
      </c>
      <c r="H5913">
        <v>3</v>
      </c>
      <c r="I5913">
        <v>2004</v>
      </c>
      <c r="J5913">
        <v>1</v>
      </c>
      <c r="K5913">
        <v>1</v>
      </c>
      <c r="L5913">
        <v>0</v>
      </c>
      <c r="M5913">
        <v>3</v>
      </c>
      <c r="N5913" t="s">
        <v>35</v>
      </c>
      <c r="O5913" t="s">
        <v>30</v>
      </c>
      <c r="P5913">
        <v>14.0308338832715</v>
      </c>
      <c r="Q5913">
        <v>1.54238587861163</v>
      </c>
      <c r="R5913">
        <v>5.3797123042586703</v>
      </c>
      <c r="S5913">
        <v>108</v>
      </c>
      <c r="T5913">
        <v>40</v>
      </c>
      <c r="U5913">
        <v>221.85466337250901</v>
      </c>
      <c r="V5913">
        <v>6.4488392089423897E-4</v>
      </c>
      <c r="W5913">
        <v>1460676.0709188799</v>
      </c>
      <c r="X5913" t="s">
        <v>44</v>
      </c>
      <c r="Y5913">
        <f>1-579-278-7624</f>
        <v>-8480</v>
      </c>
    </row>
    <row r="5914" spans="1:25" x14ac:dyDescent="0.35">
      <c r="A5914">
        <v>37.1629192802516</v>
      </c>
      <c r="B5914">
        <v>-123.244829860132</v>
      </c>
      <c r="C5914" t="s">
        <v>29</v>
      </c>
      <c r="D5914">
        <v>4.0955709364358999</v>
      </c>
      <c r="E5914">
        <v>6</v>
      </c>
      <c r="F5914">
        <v>4405</v>
      </c>
      <c r="G5914">
        <v>5</v>
      </c>
      <c r="H5914">
        <v>2</v>
      </c>
      <c r="I5914">
        <v>1988</v>
      </c>
      <c r="J5914">
        <v>0</v>
      </c>
      <c r="K5914">
        <v>1</v>
      </c>
      <c r="L5914">
        <v>0</v>
      </c>
      <c r="M5914">
        <v>5</v>
      </c>
      <c r="N5914" t="s">
        <v>35</v>
      </c>
      <c r="O5914" t="s">
        <v>32</v>
      </c>
      <c r="P5914">
        <v>6.5331912683748703</v>
      </c>
      <c r="Q5914">
        <v>1.74947106315351</v>
      </c>
      <c r="R5914">
        <v>4.97247038675774</v>
      </c>
      <c r="S5914">
        <v>184</v>
      </c>
      <c r="T5914">
        <v>53</v>
      </c>
      <c r="U5914">
        <v>521.33980508208106</v>
      </c>
      <c r="V5914">
        <v>1.13507377979568E-3</v>
      </c>
      <c r="W5914">
        <v>2656880.9269131799</v>
      </c>
      <c r="X5914" t="s">
        <v>28</v>
      </c>
      <c r="Y5914">
        <f>1-505-614-5913</f>
        <v>-7031</v>
      </c>
    </row>
    <row r="5915" spans="1:25" x14ac:dyDescent="0.35">
      <c r="A5915">
        <v>39.528587180247499</v>
      </c>
      <c r="B5915">
        <v>-123.89976534638799</v>
      </c>
      <c r="C5915" t="s">
        <v>25</v>
      </c>
      <c r="D5915">
        <v>41.493496572696699</v>
      </c>
      <c r="E5915">
        <v>3</v>
      </c>
      <c r="F5915">
        <v>2762</v>
      </c>
      <c r="G5915">
        <v>3</v>
      </c>
      <c r="H5915">
        <v>3</v>
      </c>
      <c r="I5915">
        <v>1953</v>
      </c>
      <c r="J5915">
        <v>0</v>
      </c>
      <c r="K5915">
        <v>0</v>
      </c>
      <c r="L5915">
        <v>1</v>
      </c>
      <c r="M5915">
        <v>11</v>
      </c>
      <c r="N5915" t="s">
        <v>26</v>
      </c>
      <c r="O5915" t="s">
        <v>32</v>
      </c>
      <c r="P5915">
        <v>10.172075271578199</v>
      </c>
      <c r="Q5915">
        <v>1.9124185548288399</v>
      </c>
      <c r="R5915">
        <v>9.1807696933317793</v>
      </c>
      <c r="S5915">
        <v>99</v>
      </c>
      <c r="T5915">
        <v>27</v>
      </c>
      <c r="U5915">
        <v>878.30860751443299</v>
      </c>
      <c r="V5915">
        <v>3.9826212889210698E-3</v>
      </c>
      <c r="W5915">
        <v>2714267.2573210401</v>
      </c>
      <c r="X5915" t="s">
        <v>36</v>
      </c>
      <c r="Y5915">
        <f>1-741-222-7565</f>
        <v>-8527</v>
      </c>
    </row>
    <row r="5916" spans="1:25" x14ac:dyDescent="0.35">
      <c r="A5916">
        <v>32.578372652233</v>
      </c>
      <c r="B5916">
        <v>-118.66813658173299</v>
      </c>
      <c r="C5916" t="s">
        <v>25</v>
      </c>
      <c r="D5916">
        <v>9.6626928807499599</v>
      </c>
      <c r="E5916">
        <v>6</v>
      </c>
      <c r="F5916">
        <v>4861</v>
      </c>
      <c r="G5916">
        <v>2</v>
      </c>
      <c r="H5916">
        <v>3</v>
      </c>
      <c r="I5916">
        <v>2001</v>
      </c>
      <c r="J5916">
        <v>1</v>
      </c>
      <c r="K5916">
        <v>1</v>
      </c>
      <c r="L5916">
        <v>1</v>
      </c>
      <c r="M5916">
        <v>6</v>
      </c>
      <c r="N5916" t="s">
        <v>35</v>
      </c>
      <c r="O5916" t="s">
        <v>30</v>
      </c>
      <c r="P5916">
        <v>7.8078713853832404</v>
      </c>
      <c r="Q5916">
        <v>0.58638408069551395</v>
      </c>
      <c r="R5916">
        <v>5.9083380013831697</v>
      </c>
      <c r="S5916">
        <v>5</v>
      </c>
      <c r="T5916">
        <v>63</v>
      </c>
      <c r="U5916">
        <v>573.24810038416695</v>
      </c>
      <c r="V5916">
        <v>1.23431392717547E-3</v>
      </c>
      <c r="W5916">
        <v>3138799.94272106</v>
      </c>
      <c r="X5916" t="s">
        <v>31</v>
      </c>
      <c r="Y5916">
        <f>1-636-895-3859</f>
        <v>-5389</v>
      </c>
    </row>
    <row r="5917" spans="1:25" x14ac:dyDescent="0.35">
      <c r="A5917">
        <v>38.727952998528401</v>
      </c>
      <c r="B5917">
        <v>-122.046779889825</v>
      </c>
      <c r="C5917" t="s">
        <v>34</v>
      </c>
      <c r="D5917">
        <v>31.070777649326601</v>
      </c>
      <c r="E5917">
        <v>8</v>
      </c>
      <c r="F5917">
        <v>1153</v>
      </c>
      <c r="G5917">
        <v>2</v>
      </c>
      <c r="H5917">
        <v>2</v>
      </c>
      <c r="I5917">
        <v>1978</v>
      </c>
      <c r="J5917">
        <v>1</v>
      </c>
      <c r="K5917">
        <v>0</v>
      </c>
      <c r="L5917">
        <v>0</v>
      </c>
      <c r="M5917">
        <v>6</v>
      </c>
      <c r="N5917" t="s">
        <v>37</v>
      </c>
      <c r="O5917" t="s">
        <v>32</v>
      </c>
      <c r="P5917">
        <v>13.852927124212499</v>
      </c>
      <c r="Q5917">
        <v>0.54541998944521997</v>
      </c>
      <c r="R5917">
        <v>9.5650220042386795</v>
      </c>
      <c r="S5917">
        <v>75</v>
      </c>
      <c r="T5917">
        <v>54</v>
      </c>
      <c r="U5917">
        <v>630.85290554525602</v>
      </c>
      <c r="V5917">
        <v>5.20381613183E-3</v>
      </c>
      <c r="W5917">
        <v>944068.26612625597</v>
      </c>
      <c r="X5917" t="s">
        <v>39</v>
      </c>
      <c r="Y5917">
        <f>1-896-371-7368</f>
        <v>-8634</v>
      </c>
    </row>
    <row r="5918" spans="1:25" x14ac:dyDescent="0.35">
      <c r="A5918">
        <v>37.367709060722603</v>
      </c>
      <c r="B5918">
        <v>-118.433937194477</v>
      </c>
      <c r="C5918" t="s">
        <v>25</v>
      </c>
      <c r="D5918">
        <v>17.3147217075635</v>
      </c>
      <c r="E5918">
        <v>1</v>
      </c>
      <c r="F5918">
        <v>1745</v>
      </c>
      <c r="G5918">
        <v>5</v>
      </c>
      <c r="H5918">
        <v>3</v>
      </c>
      <c r="I5918">
        <v>2020</v>
      </c>
      <c r="J5918">
        <v>0</v>
      </c>
      <c r="K5918">
        <v>1</v>
      </c>
      <c r="L5918">
        <v>0</v>
      </c>
      <c r="M5918">
        <v>12</v>
      </c>
      <c r="N5918" t="s">
        <v>37</v>
      </c>
      <c r="O5918" t="s">
        <v>32</v>
      </c>
      <c r="P5918">
        <v>7.9373991800091002</v>
      </c>
      <c r="Q5918">
        <v>2.4021228877720402</v>
      </c>
      <c r="R5918">
        <v>5.3920892731677501</v>
      </c>
      <c r="S5918">
        <v>107</v>
      </c>
      <c r="T5918">
        <v>57</v>
      </c>
      <c r="U5918">
        <v>850.14580743368504</v>
      </c>
      <c r="V5918">
        <v>6.87679083094555E-3</v>
      </c>
      <c r="W5918">
        <v>1891205.1434349699</v>
      </c>
      <c r="X5918" t="s">
        <v>40</v>
      </c>
      <c r="Y5918">
        <f>1-201-149-6720</f>
        <v>-7069</v>
      </c>
    </row>
    <row r="5919" spans="1:25" x14ac:dyDescent="0.35">
      <c r="A5919">
        <v>37.435029686692303</v>
      </c>
      <c r="B5919">
        <v>-116.746760525281</v>
      </c>
      <c r="C5919" t="s">
        <v>25</v>
      </c>
      <c r="D5919">
        <v>48.235784056659</v>
      </c>
      <c r="E5919">
        <v>4</v>
      </c>
      <c r="F5919">
        <v>3168</v>
      </c>
      <c r="G5919">
        <v>1</v>
      </c>
      <c r="H5919">
        <v>2</v>
      </c>
      <c r="I5919">
        <v>2013</v>
      </c>
      <c r="J5919">
        <v>1</v>
      </c>
      <c r="K5919">
        <v>0</v>
      </c>
      <c r="L5919">
        <v>1</v>
      </c>
      <c r="M5919">
        <v>3</v>
      </c>
      <c r="N5919" t="s">
        <v>41</v>
      </c>
      <c r="O5919" t="s">
        <v>32</v>
      </c>
      <c r="P5919">
        <v>8.9498340154874807</v>
      </c>
      <c r="Q5919">
        <v>1.2433704948781501</v>
      </c>
      <c r="R5919">
        <v>3.3312483813634901</v>
      </c>
      <c r="S5919">
        <v>144</v>
      </c>
      <c r="T5919">
        <v>69</v>
      </c>
      <c r="U5919">
        <v>848.54300476796504</v>
      </c>
      <c r="V5919">
        <v>9.46969696969697E-4</v>
      </c>
      <c r="W5919">
        <v>2849369.3311679801</v>
      </c>
      <c r="X5919" t="s">
        <v>31</v>
      </c>
      <c r="Y5919">
        <f>1-436-694-7095</f>
        <v>-8224</v>
      </c>
    </row>
    <row r="5920" spans="1:25" x14ac:dyDescent="0.35">
      <c r="A5920">
        <v>41.622390697866898</v>
      </c>
      <c r="B5920">
        <v>-120.762518007645</v>
      </c>
      <c r="C5920" t="s">
        <v>34</v>
      </c>
      <c r="D5920">
        <v>2.6320097015381299</v>
      </c>
      <c r="E5920">
        <v>6</v>
      </c>
      <c r="F5920">
        <v>934</v>
      </c>
      <c r="G5920">
        <v>4</v>
      </c>
      <c r="H5920">
        <v>2</v>
      </c>
      <c r="I5920">
        <v>1986</v>
      </c>
      <c r="J5920">
        <v>1</v>
      </c>
      <c r="K5920">
        <v>1</v>
      </c>
      <c r="L5920">
        <v>1</v>
      </c>
      <c r="M5920">
        <v>7</v>
      </c>
      <c r="N5920" t="s">
        <v>37</v>
      </c>
      <c r="O5920" t="s">
        <v>32</v>
      </c>
      <c r="P5920">
        <v>11.153858112807701</v>
      </c>
      <c r="Q5920">
        <v>0.94759992898424406</v>
      </c>
      <c r="R5920">
        <v>7.94964483812171</v>
      </c>
      <c r="S5920">
        <v>186</v>
      </c>
      <c r="T5920">
        <v>22</v>
      </c>
      <c r="U5920">
        <v>941.34967779489205</v>
      </c>
      <c r="V5920">
        <v>7.49464668094218E-3</v>
      </c>
      <c r="W5920">
        <v>1299743.78019091</v>
      </c>
      <c r="X5920" t="s">
        <v>44</v>
      </c>
      <c r="Y5920">
        <f>1-292-144-8455</f>
        <v>-8890</v>
      </c>
    </row>
    <row r="5921" spans="1:25" x14ac:dyDescent="0.35">
      <c r="A5921">
        <v>34.214062734875299</v>
      </c>
      <c r="B5921">
        <v>-122.206490147674</v>
      </c>
      <c r="C5921" t="s">
        <v>34</v>
      </c>
      <c r="D5921">
        <v>36.845433876484499</v>
      </c>
      <c r="E5921">
        <v>0</v>
      </c>
      <c r="F5921">
        <v>3438</v>
      </c>
      <c r="G5921">
        <v>5</v>
      </c>
      <c r="H5921">
        <v>1</v>
      </c>
      <c r="I5921">
        <v>2006</v>
      </c>
      <c r="J5921">
        <v>0</v>
      </c>
      <c r="K5921">
        <v>1</v>
      </c>
      <c r="L5921">
        <v>0</v>
      </c>
      <c r="M5921">
        <v>6</v>
      </c>
      <c r="N5921" t="s">
        <v>41</v>
      </c>
      <c r="O5921" t="s">
        <v>27</v>
      </c>
      <c r="P5921">
        <v>9.1457813586396295</v>
      </c>
      <c r="Q5921">
        <v>1.22230412125402</v>
      </c>
      <c r="R5921">
        <v>9.9554661871831893</v>
      </c>
      <c r="S5921">
        <v>191</v>
      </c>
      <c r="T5921">
        <v>36</v>
      </c>
      <c r="U5921">
        <v>974.15479760543997</v>
      </c>
      <c r="V5921">
        <v>1.7452006980802699E-3</v>
      </c>
      <c r="W5921">
        <v>3678756.3173622298</v>
      </c>
      <c r="X5921" t="s">
        <v>28</v>
      </c>
      <c r="Y5921">
        <f>1-832-291-3706</f>
        <v>-4828</v>
      </c>
    </row>
    <row r="5922" spans="1:25" x14ac:dyDescent="0.35">
      <c r="A5922">
        <v>34.775422042550801</v>
      </c>
      <c r="B5922">
        <v>-119.41701041703701</v>
      </c>
      <c r="C5922" t="s">
        <v>34</v>
      </c>
      <c r="D5922">
        <v>28.409826197237201</v>
      </c>
      <c r="E5922">
        <v>3</v>
      </c>
      <c r="F5922">
        <v>4819</v>
      </c>
      <c r="G5922">
        <v>2</v>
      </c>
      <c r="H5922">
        <v>1</v>
      </c>
      <c r="I5922">
        <v>1954</v>
      </c>
      <c r="J5922">
        <v>1</v>
      </c>
      <c r="K5922">
        <v>1</v>
      </c>
      <c r="L5922">
        <v>0</v>
      </c>
      <c r="M5922">
        <v>12</v>
      </c>
      <c r="N5922" t="s">
        <v>35</v>
      </c>
      <c r="O5922" t="s">
        <v>32</v>
      </c>
      <c r="P5922">
        <v>6.8784497449219097</v>
      </c>
      <c r="Q5922">
        <v>1.1349506311666</v>
      </c>
      <c r="R5922">
        <v>3.3789658513059799</v>
      </c>
      <c r="S5922">
        <v>81</v>
      </c>
      <c r="T5922">
        <v>25</v>
      </c>
      <c r="U5922">
        <v>636.87396982762903</v>
      </c>
      <c r="V5922">
        <v>2.4901431832330301E-3</v>
      </c>
      <c r="W5922">
        <v>3211520.2301634201</v>
      </c>
      <c r="X5922" t="s">
        <v>31</v>
      </c>
      <c r="Y5922">
        <f>1-536-779-2225</f>
        <v>-3539</v>
      </c>
    </row>
    <row r="5923" spans="1:25" x14ac:dyDescent="0.35">
      <c r="A5923">
        <v>33.376731797415403</v>
      </c>
      <c r="B5923">
        <v>-114.465721315454</v>
      </c>
      <c r="C5923" t="s">
        <v>29</v>
      </c>
      <c r="D5923">
        <v>45.504409081991298</v>
      </c>
      <c r="E5923">
        <v>7</v>
      </c>
      <c r="F5923">
        <v>1953</v>
      </c>
      <c r="G5923">
        <v>4</v>
      </c>
      <c r="H5923">
        <v>3</v>
      </c>
      <c r="I5923">
        <v>1974</v>
      </c>
      <c r="J5923">
        <v>1</v>
      </c>
      <c r="K5923">
        <v>0</v>
      </c>
      <c r="L5923">
        <v>1</v>
      </c>
      <c r="M5923">
        <v>10</v>
      </c>
      <c r="N5923" t="s">
        <v>26</v>
      </c>
      <c r="O5923" t="s">
        <v>32</v>
      </c>
      <c r="P5923">
        <v>3.4149367983155301</v>
      </c>
      <c r="Q5923">
        <v>2.1526790093872599</v>
      </c>
      <c r="R5923">
        <v>4.4850870473980002</v>
      </c>
      <c r="S5923">
        <v>199</v>
      </c>
      <c r="T5923">
        <v>49</v>
      </c>
      <c r="U5923">
        <v>930.63260223976602</v>
      </c>
      <c r="V5923">
        <v>5.1203277009728597E-3</v>
      </c>
      <c r="W5923">
        <v>2024016.5539240299</v>
      </c>
      <c r="X5923" t="s">
        <v>43</v>
      </c>
      <c r="Y5923">
        <f>1-753-149-5777</f>
        <v>-6678</v>
      </c>
    </row>
    <row r="5924" spans="1:25" x14ac:dyDescent="0.35">
      <c r="A5924">
        <v>40.789599630941701</v>
      </c>
      <c r="B5924">
        <v>-115.44268260950599</v>
      </c>
      <c r="C5924" t="s">
        <v>25</v>
      </c>
      <c r="D5924">
        <v>2.6433364114493898</v>
      </c>
      <c r="E5924">
        <v>0</v>
      </c>
      <c r="F5924">
        <v>1878</v>
      </c>
      <c r="G5924">
        <v>2</v>
      </c>
      <c r="H5924">
        <v>1</v>
      </c>
      <c r="I5924">
        <v>2012</v>
      </c>
      <c r="J5924">
        <v>0</v>
      </c>
      <c r="K5924">
        <v>0</v>
      </c>
      <c r="L5924">
        <v>0</v>
      </c>
      <c r="M5924">
        <v>5</v>
      </c>
      <c r="N5924" t="s">
        <v>35</v>
      </c>
      <c r="O5924" t="s">
        <v>32</v>
      </c>
      <c r="P5924">
        <v>12.512263492704999</v>
      </c>
      <c r="Q5924">
        <v>2.4668612661764602</v>
      </c>
      <c r="R5924">
        <v>5.5086025112277799</v>
      </c>
      <c r="S5924">
        <v>185</v>
      </c>
      <c r="T5924">
        <v>56</v>
      </c>
      <c r="U5924">
        <v>594.10783991511698</v>
      </c>
      <c r="V5924">
        <v>2.6624068157614401E-3</v>
      </c>
      <c r="W5924">
        <v>1271734.4462045501</v>
      </c>
      <c r="X5924" t="s">
        <v>36</v>
      </c>
      <c r="Y5924">
        <f>1-409-425-3742</f>
        <v>-4575</v>
      </c>
    </row>
    <row r="5925" spans="1:25" x14ac:dyDescent="0.35">
      <c r="A5925">
        <v>38.290430815479198</v>
      </c>
      <c r="B5925">
        <v>-123.912062254693</v>
      </c>
      <c r="C5925" t="s">
        <v>29</v>
      </c>
      <c r="D5925">
        <v>17.9868279894085</v>
      </c>
      <c r="E5925">
        <v>9</v>
      </c>
      <c r="F5925">
        <v>3823</v>
      </c>
      <c r="G5925">
        <v>1</v>
      </c>
      <c r="H5925">
        <v>1</v>
      </c>
      <c r="I5925">
        <v>1967</v>
      </c>
      <c r="J5925">
        <v>1</v>
      </c>
      <c r="K5925">
        <v>0</v>
      </c>
      <c r="L5925">
        <v>1</v>
      </c>
      <c r="M5925">
        <v>14</v>
      </c>
      <c r="N5925" t="s">
        <v>37</v>
      </c>
      <c r="O5925" t="s">
        <v>30</v>
      </c>
      <c r="P5925">
        <v>13.370606413450901</v>
      </c>
      <c r="Q5925">
        <v>1.9524686334125101</v>
      </c>
      <c r="R5925">
        <v>7.37756263742064</v>
      </c>
      <c r="S5925">
        <v>108</v>
      </c>
      <c r="T5925">
        <v>46</v>
      </c>
      <c r="U5925">
        <v>862.20923748998098</v>
      </c>
      <c r="V5925">
        <v>3.66204551399424E-3</v>
      </c>
      <c r="W5925">
        <v>3462242.5365915801</v>
      </c>
      <c r="X5925" t="s">
        <v>43</v>
      </c>
      <c r="Y5925">
        <f>1-709-702-2770</f>
        <v>-4180</v>
      </c>
    </row>
    <row r="5926" spans="1:25" x14ac:dyDescent="0.35">
      <c r="A5926">
        <v>33.717833456041703</v>
      </c>
      <c r="B5926">
        <v>-114.31612075672101</v>
      </c>
      <c r="C5926" t="s">
        <v>25</v>
      </c>
      <c r="D5926">
        <v>16.841052423822401</v>
      </c>
      <c r="E5926">
        <v>9</v>
      </c>
      <c r="F5926">
        <v>2371</v>
      </c>
      <c r="G5926">
        <v>5</v>
      </c>
      <c r="H5926">
        <v>3</v>
      </c>
      <c r="I5926">
        <v>2005</v>
      </c>
      <c r="J5926">
        <v>0</v>
      </c>
      <c r="K5926">
        <v>1</v>
      </c>
      <c r="L5926">
        <v>1</v>
      </c>
      <c r="M5926">
        <v>10</v>
      </c>
      <c r="N5926" t="s">
        <v>37</v>
      </c>
      <c r="O5926" t="s">
        <v>27</v>
      </c>
      <c r="P5926">
        <v>11.048365076993999</v>
      </c>
      <c r="Q5926">
        <v>0.82971681194590996</v>
      </c>
      <c r="R5926">
        <v>8.0293745692930898</v>
      </c>
      <c r="S5926">
        <v>97</v>
      </c>
      <c r="T5926">
        <v>78</v>
      </c>
      <c r="U5926">
        <v>983.10775326961505</v>
      </c>
      <c r="V5926">
        <v>4.2176296921130297E-3</v>
      </c>
      <c r="W5926">
        <v>2824340.4979055198</v>
      </c>
      <c r="X5926" t="s">
        <v>28</v>
      </c>
      <c r="Y5926">
        <f>1-618-403-7387</f>
        <v>-8407</v>
      </c>
    </row>
    <row r="5927" spans="1:25" x14ac:dyDescent="0.35">
      <c r="A5927">
        <v>33.410929838858799</v>
      </c>
      <c r="B5927">
        <v>-116.286761436785</v>
      </c>
      <c r="C5927" t="s">
        <v>34</v>
      </c>
      <c r="D5927">
        <v>11.058008892571699</v>
      </c>
      <c r="E5927">
        <v>2</v>
      </c>
      <c r="F5927">
        <v>1396</v>
      </c>
      <c r="G5927">
        <v>3</v>
      </c>
      <c r="H5927">
        <v>1</v>
      </c>
      <c r="I5927">
        <v>1983</v>
      </c>
      <c r="J5927">
        <v>1</v>
      </c>
      <c r="K5927">
        <v>1</v>
      </c>
      <c r="L5927">
        <v>1</v>
      </c>
      <c r="M5927">
        <v>2</v>
      </c>
      <c r="N5927" t="s">
        <v>26</v>
      </c>
      <c r="O5927" t="s">
        <v>27</v>
      </c>
      <c r="P5927">
        <v>3.1976152675667802</v>
      </c>
      <c r="Q5927">
        <v>1.3509209001717499</v>
      </c>
      <c r="R5927">
        <v>1.2724922089528801</v>
      </c>
      <c r="S5927">
        <v>108</v>
      </c>
      <c r="T5927">
        <v>37</v>
      </c>
      <c r="U5927">
        <v>536.23071307160103</v>
      </c>
      <c r="V5927">
        <v>1.4326647564469901E-3</v>
      </c>
      <c r="W5927">
        <v>1006612.08201703</v>
      </c>
      <c r="X5927" t="s">
        <v>40</v>
      </c>
      <c r="Y5927">
        <f>1-855-789-8002</f>
        <v>-9645</v>
      </c>
    </row>
    <row r="5928" spans="1:25" x14ac:dyDescent="0.35">
      <c r="A5928">
        <v>34.242451224585203</v>
      </c>
      <c r="B5928">
        <v>-118.84636733361999</v>
      </c>
      <c r="C5928" t="s">
        <v>25</v>
      </c>
      <c r="D5928">
        <v>25.470577465912601</v>
      </c>
      <c r="E5928">
        <v>4</v>
      </c>
      <c r="F5928">
        <v>3108</v>
      </c>
      <c r="G5928">
        <v>4</v>
      </c>
      <c r="H5928">
        <v>3</v>
      </c>
      <c r="I5928">
        <v>2002</v>
      </c>
      <c r="J5928">
        <v>1</v>
      </c>
      <c r="K5928">
        <v>1</v>
      </c>
      <c r="L5928">
        <v>1</v>
      </c>
      <c r="M5928">
        <v>11</v>
      </c>
      <c r="N5928" t="s">
        <v>35</v>
      </c>
      <c r="O5928" t="s">
        <v>30</v>
      </c>
      <c r="P5928">
        <v>7.9749187619553501</v>
      </c>
      <c r="Q5928">
        <v>1.84123707021923</v>
      </c>
      <c r="R5928">
        <v>0.75850689284887296</v>
      </c>
      <c r="S5928">
        <v>167</v>
      </c>
      <c r="T5928">
        <v>72</v>
      </c>
      <c r="U5928">
        <v>465.615517871593</v>
      </c>
      <c r="V5928">
        <v>3.5392535392535299E-3</v>
      </c>
      <c r="W5928">
        <v>1866446.6199726199</v>
      </c>
      <c r="X5928" t="s">
        <v>44</v>
      </c>
      <c r="Y5928">
        <f>1-224-321-7932</f>
        <v>-8476</v>
      </c>
    </row>
    <row r="5929" spans="1:25" x14ac:dyDescent="0.35">
      <c r="A5929">
        <v>36.625175174492803</v>
      </c>
      <c r="B5929">
        <v>-120.035370801572</v>
      </c>
      <c r="C5929" t="s">
        <v>34</v>
      </c>
      <c r="D5929">
        <v>19.531399255294499</v>
      </c>
      <c r="E5929">
        <v>9</v>
      </c>
      <c r="F5929">
        <v>1686</v>
      </c>
      <c r="G5929">
        <v>5</v>
      </c>
      <c r="H5929">
        <v>3</v>
      </c>
      <c r="I5929">
        <v>1996</v>
      </c>
      <c r="J5929">
        <v>1</v>
      </c>
      <c r="K5929">
        <v>0</v>
      </c>
      <c r="L5929">
        <v>0</v>
      </c>
      <c r="M5929">
        <v>13</v>
      </c>
      <c r="N5929" t="s">
        <v>26</v>
      </c>
      <c r="O5929" t="s">
        <v>27</v>
      </c>
      <c r="P5929">
        <v>10.832462757594801</v>
      </c>
      <c r="Q5929">
        <v>0.99878144892108001</v>
      </c>
      <c r="R5929">
        <v>6.60034824906585</v>
      </c>
      <c r="S5929">
        <v>106</v>
      </c>
      <c r="T5929">
        <v>45</v>
      </c>
      <c r="U5929">
        <v>316.97898977065103</v>
      </c>
      <c r="V5929">
        <v>7.7105575326215899E-3</v>
      </c>
      <c r="W5929">
        <v>918586.76295917202</v>
      </c>
      <c r="X5929" t="s">
        <v>44</v>
      </c>
      <c r="Y5929">
        <f>1-947-617-1312</f>
        <v>-2875</v>
      </c>
    </row>
    <row r="5930" spans="1:25" x14ac:dyDescent="0.35">
      <c r="A5930">
        <v>34.975043752421101</v>
      </c>
      <c r="B5930">
        <v>-123.237570121159</v>
      </c>
      <c r="C5930" t="s">
        <v>29</v>
      </c>
      <c r="D5930">
        <v>4.8756880564433001</v>
      </c>
      <c r="E5930">
        <v>8</v>
      </c>
      <c r="F5930">
        <v>1520</v>
      </c>
      <c r="G5930">
        <v>2</v>
      </c>
      <c r="H5930">
        <v>3</v>
      </c>
      <c r="I5930">
        <v>1969</v>
      </c>
      <c r="J5930">
        <v>0</v>
      </c>
      <c r="K5930">
        <v>0</v>
      </c>
      <c r="L5930">
        <v>0</v>
      </c>
      <c r="M5930">
        <v>13</v>
      </c>
      <c r="N5930" t="s">
        <v>26</v>
      </c>
      <c r="O5930" t="s">
        <v>32</v>
      </c>
      <c r="P5930">
        <v>8.1525291786160405</v>
      </c>
      <c r="Q5930">
        <v>2.2942314029874602</v>
      </c>
      <c r="R5930">
        <v>4.2166284951308599</v>
      </c>
      <c r="S5930">
        <v>167</v>
      </c>
      <c r="T5930">
        <v>44</v>
      </c>
      <c r="U5930">
        <v>838.65477178095102</v>
      </c>
      <c r="V5930">
        <v>8.5526315789473603E-3</v>
      </c>
      <c r="W5930">
        <v>1371275.16621759</v>
      </c>
      <c r="X5930" t="s">
        <v>39</v>
      </c>
      <c r="Y5930">
        <f>1-244-715-5392</f>
        <v>-6350</v>
      </c>
    </row>
    <row r="5931" spans="1:25" x14ac:dyDescent="0.35">
      <c r="A5931">
        <v>33.173926180679601</v>
      </c>
      <c r="B5931">
        <v>-123.15874830530799</v>
      </c>
      <c r="C5931" t="s">
        <v>29</v>
      </c>
      <c r="D5931">
        <v>27.995152071409599</v>
      </c>
      <c r="E5931">
        <v>6</v>
      </c>
      <c r="F5931">
        <v>3787</v>
      </c>
      <c r="G5931">
        <v>3</v>
      </c>
      <c r="H5931">
        <v>2</v>
      </c>
      <c r="I5931">
        <v>1998</v>
      </c>
      <c r="J5931">
        <v>1</v>
      </c>
      <c r="K5931">
        <v>0</v>
      </c>
      <c r="L5931">
        <v>0</v>
      </c>
      <c r="M5931">
        <v>7</v>
      </c>
      <c r="N5931" t="s">
        <v>35</v>
      </c>
      <c r="O5931" t="s">
        <v>27</v>
      </c>
      <c r="P5931">
        <v>4.9673650210836904</v>
      </c>
      <c r="Q5931">
        <v>1.9243299067639399</v>
      </c>
      <c r="R5931">
        <v>4.2498375966158104</v>
      </c>
      <c r="S5931">
        <v>140</v>
      </c>
      <c r="T5931">
        <v>65</v>
      </c>
      <c r="U5931">
        <v>865.67864353324501</v>
      </c>
      <c r="V5931">
        <v>1.8484288354898299E-3</v>
      </c>
      <c r="W5931">
        <v>3447004.3634990202</v>
      </c>
      <c r="X5931" t="s">
        <v>28</v>
      </c>
      <c r="Y5931">
        <f>1-642-931-1284</f>
        <v>-2856</v>
      </c>
    </row>
    <row r="5932" spans="1:25" x14ac:dyDescent="0.35">
      <c r="A5932">
        <v>41.946833043306498</v>
      </c>
      <c r="B5932">
        <v>-120.96216317574</v>
      </c>
      <c r="C5932" t="s">
        <v>25</v>
      </c>
      <c r="D5932">
        <v>27.0277809229651</v>
      </c>
      <c r="E5932">
        <v>0</v>
      </c>
      <c r="F5932">
        <v>4252</v>
      </c>
      <c r="G5932">
        <v>2</v>
      </c>
      <c r="H5932">
        <v>2</v>
      </c>
      <c r="I5932">
        <v>1975</v>
      </c>
      <c r="J5932">
        <v>1</v>
      </c>
      <c r="K5932">
        <v>1</v>
      </c>
      <c r="L5932">
        <v>1</v>
      </c>
      <c r="M5932">
        <v>6</v>
      </c>
      <c r="N5932" t="s">
        <v>35</v>
      </c>
      <c r="O5932" t="s">
        <v>30</v>
      </c>
      <c r="P5932">
        <v>11.739460486135799</v>
      </c>
      <c r="Q5932">
        <v>1.87207457575294</v>
      </c>
      <c r="R5932">
        <v>0.99086387908960805</v>
      </c>
      <c r="S5932">
        <v>81</v>
      </c>
      <c r="T5932">
        <v>57</v>
      </c>
      <c r="U5932">
        <v>698.952362953229</v>
      </c>
      <c r="V5932">
        <v>1.4111006585136401E-3</v>
      </c>
      <c r="W5932">
        <v>3321850.77683627</v>
      </c>
      <c r="X5932" t="s">
        <v>40</v>
      </c>
      <c r="Y5932">
        <f>1-910-586-4508</f>
        <v>-6003</v>
      </c>
    </row>
    <row r="5933" spans="1:25" x14ac:dyDescent="0.35">
      <c r="A5933">
        <v>36.723510260140301</v>
      </c>
      <c r="B5933">
        <v>-118.438121244455</v>
      </c>
      <c r="C5933" t="s">
        <v>34</v>
      </c>
      <c r="D5933">
        <v>29.387126643208699</v>
      </c>
      <c r="E5933">
        <v>6</v>
      </c>
      <c r="F5933">
        <v>4035</v>
      </c>
      <c r="G5933">
        <v>2</v>
      </c>
      <c r="H5933">
        <v>3</v>
      </c>
      <c r="I5933">
        <v>1983</v>
      </c>
      <c r="J5933">
        <v>1</v>
      </c>
      <c r="K5933">
        <v>1</v>
      </c>
      <c r="L5933">
        <v>1</v>
      </c>
      <c r="M5933">
        <v>12</v>
      </c>
      <c r="N5933" t="s">
        <v>37</v>
      </c>
      <c r="O5933" t="s">
        <v>27</v>
      </c>
      <c r="P5933">
        <v>9.56496128511594</v>
      </c>
      <c r="Q5933">
        <v>0.66613963520119601</v>
      </c>
      <c r="R5933">
        <v>4.7006975092590197</v>
      </c>
      <c r="S5933">
        <v>156</v>
      </c>
      <c r="T5933">
        <v>39</v>
      </c>
      <c r="U5933">
        <v>542.64333568368102</v>
      </c>
      <c r="V5933">
        <v>2.9739776951672801E-3</v>
      </c>
      <c r="W5933">
        <v>2533697.2242025002</v>
      </c>
      <c r="X5933" t="s">
        <v>40</v>
      </c>
      <c r="Y5933">
        <f>1-624-870-3831</f>
        <v>-5324</v>
      </c>
    </row>
    <row r="5934" spans="1:25" x14ac:dyDescent="0.35">
      <c r="A5934">
        <v>35.454105930407799</v>
      </c>
      <c r="B5934">
        <v>-118.423848675258</v>
      </c>
      <c r="C5934" t="s">
        <v>25</v>
      </c>
      <c r="D5934">
        <v>25.801740158456401</v>
      </c>
      <c r="E5934">
        <v>2</v>
      </c>
      <c r="F5934">
        <v>1006</v>
      </c>
      <c r="G5934">
        <v>5</v>
      </c>
      <c r="H5934">
        <v>1</v>
      </c>
      <c r="I5934">
        <v>1994</v>
      </c>
      <c r="J5934">
        <v>1</v>
      </c>
      <c r="K5934">
        <v>1</v>
      </c>
      <c r="L5934">
        <v>1</v>
      </c>
      <c r="M5934">
        <v>12</v>
      </c>
      <c r="N5934" t="s">
        <v>41</v>
      </c>
      <c r="O5934" t="s">
        <v>27</v>
      </c>
      <c r="P5934">
        <v>4.34625998245793</v>
      </c>
      <c r="Q5934">
        <v>1.37266907351812</v>
      </c>
      <c r="R5934">
        <v>3.1562776943467501</v>
      </c>
      <c r="S5934">
        <v>180</v>
      </c>
      <c r="T5934">
        <v>36</v>
      </c>
      <c r="U5934">
        <v>700.55768949874903</v>
      </c>
      <c r="V5934">
        <v>1.1928429423459201E-2</v>
      </c>
      <c r="W5934">
        <v>1055602.5725378201</v>
      </c>
      <c r="X5934" t="s">
        <v>38</v>
      </c>
      <c r="Y5934">
        <f>1-639-744-4013</f>
        <v>-5395</v>
      </c>
    </row>
    <row r="5935" spans="1:25" x14ac:dyDescent="0.35">
      <c r="A5935">
        <v>35.328768005421601</v>
      </c>
      <c r="B5935">
        <v>-123.08147732797801</v>
      </c>
      <c r="C5935" t="s">
        <v>25</v>
      </c>
      <c r="D5935">
        <v>17.605028885914301</v>
      </c>
      <c r="E5935">
        <v>2</v>
      </c>
      <c r="F5935">
        <v>2550</v>
      </c>
      <c r="G5935">
        <v>4</v>
      </c>
      <c r="H5935">
        <v>2</v>
      </c>
      <c r="I5935">
        <v>1992</v>
      </c>
      <c r="J5935">
        <v>0</v>
      </c>
      <c r="K5935">
        <v>0</v>
      </c>
      <c r="L5935">
        <v>0</v>
      </c>
      <c r="M5935">
        <v>5</v>
      </c>
      <c r="N5935" t="s">
        <v>26</v>
      </c>
      <c r="O5935" t="s">
        <v>30</v>
      </c>
      <c r="P5935">
        <v>4.6845882498223004</v>
      </c>
      <c r="Q5935">
        <v>2.4285312196054298</v>
      </c>
      <c r="R5935">
        <v>3.7198377941480301</v>
      </c>
      <c r="S5935">
        <v>38</v>
      </c>
      <c r="T5935">
        <v>28</v>
      </c>
      <c r="U5935">
        <v>989.18518156328605</v>
      </c>
      <c r="V5935">
        <v>1.9607843137254902E-3</v>
      </c>
      <c r="W5935">
        <v>2836492.11372056</v>
      </c>
      <c r="X5935" t="s">
        <v>36</v>
      </c>
      <c r="Y5935">
        <f>1-441-429-7138</f>
        <v>-8007</v>
      </c>
    </row>
    <row r="5936" spans="1:25" x14ac:dyDescent="0.35">
      <c r="A5936">
        <v>41.160944196377002</v>
      </c>
      <c r="B5936">
        <v>-123.416733514</v>
      </c>
      <c r="C5936" t="s">
        <v>25</v>
      </c>
      <c r="D5936">
        <v>5.0539084551251001</v>
      </c>
      <c r="E5936">
        <v>5</v>
      </c>
      <c r="F5936">
        <v>2249</v>
      </c>
      <c r="G5936">
        <v>5</v>
      </c>
      <c r="H5936">
        <v>2</v>
      </c>
      <c r="I5936">
        <v>2019</v>
      </c>
      <c r="J5936">
        <v>0</v>
      </c>
      <c r="K5936">
        <v>1</v>
      </c>
      <c r="L5936">
        <v>0</v>
      </c>
      <c r="M5936">
        <v>7</v>
      </c>
      <c r="N5936" t="s">
        <v>41</v>
      </c>
      <c r="O5936" t="s">
        <v>27</v>
      </c>
      <c r="P5936">
        <v>6.7935648371962101</v>
      </c>
      <c r="Q5936">
        <v>1.0116566043502799</v>
      </c>
      <c r="R5936">
        <v>6.7802439085033903</v>
      </c>
      <c r="S5936">
        <v>53</v>
      </c>
      <c r="T5936">
        <v>73</v>
      </c>
      <c r="U5936">
        <v>986.00987516595205</v>
      </c>
      <c r="V5936">
        <v>3.1124944419742102E-3</v>
      </c>
      <c r="W5936">
        <v>2618282.0513939201</v>
      </c>
      <c r="X5936" t="s">
        <v>42</v>
      </c>
      <c r="Y5936">
        <f>1-734-297-9452</f>
        <v>-10482</v>
      </c>
    </row>
    <row r="5937" spans="1:25" x14ac:dyDescent="0.35">
      <c r="A5937">
        <v>41.979493610565598</v>
      </c>
      <c r="B5937">
        <v>-123.36203748464</v>
      </c>
      <c r="C5937" t="s">
        <v>25</v>
      </c>
      <c r="D5937">
        <v>18.538397398380901</v>
      </c>
      <c r="E5937">
        <v>8</v>
      </c>
      <c r="F5937">
        <v>723</v>
      </c>
      <c r="G5937">
        <v>4</v>
      </c>
      <c r="H5937">
        <v>1</v>
      </c>
      <c r="I5937">
        <v>1982</v>
      </c>
      <c r="J5937">
        <v>1</v>
      </c>
      <c r="K5937">
        <v>1</v>
      </c>
      <c r="L5937">
        <v>1</v>
      </c>
      <c r="M5937">
        <v>5</v>
      </c>
      <c r="N5937" t="s">
        <v>26</v>
      </c>
      <c r="O5937" t="s">
        <v>30</v>
      </c>
      <c r="P5937">
        <v>7.7539171805255398</v>
      </c>
      <c r="Q5937">
        <v>2.1630289229384698</v>
      </c>
      <c r="R5937">
        <v>3.5057753838729799</v>
      </c>
      <c r="S5937">
        <v>19</v>
      </c>
      <c r="T5937">
        <v>52</v>
      </c>
      <c r="U5937">
        <v>341.50040765427002</v>
      </c>
      <c r="V5937">
        <v>6.9156293222683201E-3</v>
      </c>
      <c r="W5937">
        <v>689068.07560075598</v>
      </c>
      <c r="X5937" t="s">
        <v>43</v>
      </c>
      <c r="Y5937">
        <f>1-938-560-7771</f>
        <v>-9268</v>
      </c>
    </row>
    <row r="5938" spans="1:25" x14ac:dyDescent="0.35">
      <c r="A5938">
        <v>41.186719398526897</v>
      </c>
      <c r="B5938">
        <v>-116.61603580033101</v>
      </c>
      <c r="C5938" t="s">
        <v>25</v>
      </c>
      <c r="D5938">
        <v>6.1277542213774403</v>
      </c>
      <c r="E5938">
        <v>1</v>
      </c>
      <c r="F5938">
        <v>2485</v>
      </c>
      <c r="G5938">
        <v>4</v>
      </c>
      <c r="H5938">
        <v>3</v>
      </c>
      <c r="I5938">
        <v>1995</v>
      </c>
      <c r="J5938">
        <v>1</v>
      </c>
      <c r="K5938">
        <v>1</v>
      </c>
      <c r="L5938">
        <v>1</v>
      </c>
      <c r="M5938">
        <v>2</v>
      </c>
      <c r="N5938" t="s">
        <v>35</v>
      </c>
      <c r="O5938" t="s">
        <v>27</v>
      </c>
      <c r="P5938">
        <v>10.5491700426326</v>
      </c>
      <c r="Q5938">
        <v>1.13048043102787</v>
      </c>
      <c r="R5938">
        <v>8.5062593052426898</v>
      </c>
      <c r="S5938">
        <v>39</v>
      </c>
      <c r="T5938">
        <v>23</v>
      </c>
      <c r="U5938">
        <v>922.66432237151696</v>
      </c>
      <c r="V5938">
        <v>8.0482897384305801E-4</v>
      </c>
      <c r="W5938">
        <v>2781187.4144841898</v>
      </c>
      <c r="X5938" t="s">
        <v>28</v>
      </c>
      <c r="Y5938">
        <f>1-270-839-1974</f>
        <v>-3082</v>
      </c>
    </row>
    <row r="5939" spans="1:25" x14ac:dyDescent="0.35">
      <c r="A5939">
        <v>33.5701913324462</v>
      </c>
      <c r="B5939">
        <v>-124.08365633088999</v>
      </c>
      <c r="C5939" t="s">
        <v>25</v>
      </c>
      <c r="D5939">
        <v>22.923305314619601</v>
      </c>
      <c r="E5939">
        <v>7</v>
      </c>
      <c r="F5939">
        <v>2904</v>
      </c>
      <c r="G5939">
        <v>2</v>
      </c>
      <c r="H5939">
        <v>3</v>
      </c>
      <c r="I5939">
        <v>1985</v>
      </c>
      <c r="J5939">
        <v>1</v>
      </c>
      <c r="K5939">
        <v>1</v>
      </c>
      <c r="L5939">
        <v>0</v>
      </c>
      <c r="M5939">
        <v>5</v>
      </c>
      <c r="N5939" t="s">
        <v>37</v>
      </c>
      <c r="O5939" t="s">
        <v>30</v>
      </c>
      <c r="P5939">
        <v>10.3056769120697</v>
      </c>
      <c r="Q5939">
        <v>0.60095795187349199</v>
      </c>
      <c r="R5939">
        <v>4.5846482488977998</v>
      </c>
      <c r="S5939">
        <v>46</v>
      </c>
      <c r="T5939">
        <v>49</v>
      </c>
      <c r="U5939">
        <v>271.69577298609101</v>
      </c>
      <c r="V5939">
        <v>1.72176308539944E-3</v>
      </c>
      <c r="W5939">
        <v>1067634.12626094</v>
      </c>
      <c r="X5939" t="s">
        <v>36</v>
      </c>
      <c r="Y5939">
        <f>1-543-640-8418</f>
        <v>-9600</v>
      </c>
    </row>
    <row r="5940" spans="1:25" x14ac:dyDescent="0.35">
      <c r="A5940">
        <v>37.062803256232897</v>
      </c>
      <c r="B5940">
        <v>-123.49215397849601</v>
      </c>
      <c r="C5940" t="s">
        <v>34</v>
      </c>
      <c r="D5940">
        <v>30.549760474210199</v>
      </c>
      <c r="E5940">
        <v>1</v>
      </c>
      <c r="F5940">
        <v>4306</v>
      </c>
      <c r="G5940">
        <v>4</v>
      </c>
      <c r="H5940">
        <v>3</v>
      </c>
      <c r="I5940">
        <v>1970</v>
      </c>
      <c r="J5940">
        <v>1</v>
      </c>
      <c r="K5940">
        <v>0</v>
      </c>
      <c r="L5940">
        <v>1</v>
      </c>
      <c r="M5940">
        <v>7</v>
      </c>
      <c r="N5940" t="s">
        <v>37</v>
      </c>
      <c r="O5940" t="s">
        <v>27</v>
      </c>
      <c r="P5940">
        <v>4.3960214845301904</v>
      </c>
      <c r="Q5940">
        <v>2.4324265429246399</v>
      </c>
      <c r="R5940">
        <v>0.39102713061377398</v>
      </c>
      <c r="S5940">
        <v>25</v>
      </c>
      <c r="T5940">
        <v>63</v>
      </c>
      <c r="U5940">
        <v>771.12563979280503</v>
      </c>
      <c r="V5940">
        <v>1.6256386437528999E-3</v>
      </c>
      <c r="W5940">
        <v>3673795.1861366099</v>
      </c>
      <c r="X5940" t="s">
        <v>43</v>
      </c>
      <c r="Y5940">
        <f>1-835-644-5128</f>
        <v>-6606</v>
      </c>
    </row>
    <row r="5941" spans="1:25" x14ac:dyDescent="0.35">
      <c r="A5941">
        <v>35.773281939259199</v>
      </c>
      <c r="B5941">
        <v>-124.045495570379</v>
      </c>
      <c r="C5941" t="s">
        <v>25</v>
      </c>
      <c r="D5941">
        <v>11.753693409574201</v>
      </c>
      <c r="E5941">
        <v>0</v>
      </c>
      <c r="F5941">
        <v>2175</v>
      </c>
      <c r="G5941">
        <v>5</v>
      </c>
      <c r="H5941">
        <v>1</v>
      </c>
      <c r="I5941">
        <v>2019</v>
      </c>
      <c r="J5941">
        <v>0</v>
      </c>
      <c r="K5941">
        <v>1</v>
      </c>
      <c r="L5941">
        <v>1</v>
      </c>
      <c r="M5941">
        <v>11</v>
      </c>
      <c r="N5941" t="s">
        <v>26</v>
      </c>
      <c r="O5941" t="s">
        <v>27</v>
      </c>
      <c r="P5941">
        <v>6.4767729039436599</v>
      </c>
      <c r="Q5941">
        <v>1.7031197748032201</v>
      </c>
      <c r="R5941">
        <v>2.7471689531679302</v>
      </c>
      <c r="S5941">
        <v>167</v>
      </c>
      <c r="T5941">
        <v>75</v>
      </c>
      <c r="U5941">
        <v>643.58555126063504</v>
      </c>
      <c r="V5941">
        <v>5.0574712643678098E-3</v>
      </c>
      <c r="W5941">
        <v>1742265.7287220799</v>
      </c>
      <c r="X5941" t="s">
        <v>33</v>
      </c>
      <c r="Y5941">
        <f>1-551-749-2254</f>
        <v>-3553</v>
      </c>
    </row>
    <row r="5942" spans="1:25" x14ac:dyDescent="0.35">
      <c r="A5942">
        <v>36.042112033546999</v>
      </c>
      <c r="B5942">
        <v>-119.090614846644</v>
      </c>
      <c r="C5942" t="s">
        <v>25</v>
      </c>
      <c r="D5942">
        <v>13.491301468977801</v>
      </c>
      <c r="E5942">
        <v>8</v>
      </c>
      <c r="F5942">
        <v>4103</v>
      </c>
      <c r="G5942">
        <v>2</v>
      </c>
      <c r="H5942">
        <v>3</v>
      </c>
      <c r="I5942">
        <v>2021</v>
      </c>
      <c r="J5942">
        <v>0</v>
      </c>
      <c r="K5942">
        <v>0</v>
      </c>
      <c r="L5942">
        <v>0</v>
      </c>
      <c r="M5942">
        <v>6</v>
      </c>
      <c r="N5942" t="s">
        <v>41</v>
      </c>
      <c r="O5942" t="s">
        <v>32</v>
      </c>
      <c r="P5942">
        <v>10.2181919155102</v>
      </c>
      <c r="Q5942">
        <v>0.84400183820786401</v>
      </c>
      <c r="R5942">
        <v>2.00952235232117</v>
      </c>
      <c r="S5942">
        <v>136</v>
      </c>
      <c r="T5942">
        <v>31</v>
      </c>
      <c r="U5942">
        <v>366.386729877829</v>
      </c>
      <c r="V5942">
        <v>1.4623446258834999E-3</v>
      </c>
      <c r="W5942">
        <v>1801651.8086157001</v>
      </c>
      <c r="X5942" t="s">
        <v>43</v>
      </c>
      <c r="Y5942">
        <f>1-584-873-6689</f>
        <v>-8145</v>
      </c>
    </row>
    <row r="5943" spans="1:25" x14ac:dyDescent="0.35">
      <c r="A5943">
        <v>34.155032044502498</v>
      </c>
      <c r="B5943">
        <v>-124.33565054093199</v>
      </c>
      <c r="C5943" t="s">
        <v>29</v>
      </c>
      <c r="D5943">
        <v>44.195359643541302</v>
      </c>
      <c r="E5943">
        <v>4</v>
      </c>
      <c r="F5943">
        <v>1444</v>
      </c>
      <c r="G5943">
        <v>1</v>
      </c>
      <c r="H5943">
        <v>2</v>
      </c>
      <c r="I5943">
        <v>1978</v>
      </c>
      <c r="J5943">
        <v>1</v>
      </c>
      <c r="K5943">
        <v>0</v>
      </c>
      <c r="L5943">
        <v>0</v>
      </c>
      <c r="M5943">
        <v>12</v>
      </c>
      <c r="N5943" t="s">
        <v>37</v>
      </c>
      <c r="O5943" t="s">
        <v>30</v>
      </c>
      <c r="P5943">
        <v>14.604488760789399</v>
      </c>
      <c r="Q5943">
        <v>1.61566630898704</v>
      </c>
      <c r="R5943">
        <v>1.8472125721228401</v>
      </c>
      <c r="S5943">
        <v>146</v>
      </c>
      <c r="T5943">
        <v>42</v>
      </c>
      <c r="U5943">
        <v>479.30336470075099</v>
      </c>
      <c r="V5943">
        <v>8.3102493074792196E-3</v>
      </c>
      <c r="W5943">
        <v>847972.81944570399</v>
      </c>
      <c r="X5943" t="s">
        <v>39</v>
      </c>
      <c r="Y5943">
        <f>1-252-668-3833</f>
        <v>-4752</v>
      </c>
    </row>
    <row r="5944" spans="1:25" x14ac:dyDescent="0.35">
      <c r="A5944">
        <v>39.1732258739165</v>
      </c>
      <c r="B5944">
        <v>-122.412138502673</v>
      </c>
      <c r="C5944" t="s">
        <v>25</v>
      </c>
      <c r="D5944">
        <v>40.309967950650801</v>
      </c>
      <c r="E5944">
        <v>2</v>
      </c>
      <c r="F5944">
        <v>2963</v>
      </c>
      <c r="G5944">
        <v>4</v>
      </c>
      <c r="H5944">
        <v>2</v>
      </c>
      <c r="I5944">
        <v>1972</v>
      </c>
      <c r="J5944">
        <v>1</v>
      </c>
      <c r="K5944">
        <v>1</v>
      </c>
      <c r="L5944">
        <v>0</v>
      </c>
      <c r="M5944">
        <v>9</v>
      </c>
      <c r="N5944" t="s">
        <v>37</v>
      </c>
      <c r="O5944" t="s">
        <v>30</v>
      </c>
      <c r="P5944">
        <v>12.330605974841401</v>
      </c>
      <c r="Q5944">
        <v>2.39619014755703</v>
      </c>
      <c r="R5944">
        <v>4.3607447295739501</v>
      </c>
      <c r="S5944">
        <v>85</v>
      </c>
      <c r="T5944">
        <v>53</v>
      </c>
      <c r="U5944">
        <v>876.37310939683198</v>
      </c>
      <c r="V5944">
        <v>3.0374620317245998E-3</v>
      </c>
      <c r="W5944">
        <v>3062522.3482611999</v>
      </c>
      <c r="X5944" t="s">
        <v>40</v>
      </c>
      <c r="Y5944">
        <f>1-354-112-1666</f>
        <v>-2131</v>
      </c>
    </row>
    <row r="5945" spans="1:25" x14ac:dyDescent="0.35">
      <c r="A5945">
        <v>36.560724211580897</v>
      </c>
      <c r="B5945">
        <v>-114.95483249385001</v>
      </c>
      <c r="C5945" t="s">
        <v>34</v>
      </c>
      <c r="D5945">
        <v>40.440858449132399</v>
      </c>
      <c r="E5945">
        <v>5</v>
      </c>
      <c r="F5945">
        <v>1188</v>
      </c>
      <c r="G5945">
        <v>3</v>
      </c>
      <c r="H5945">
        <v>2</v>
      </c>
      <c r="I5945">
        <v>1989</v>
      </c>
      <c r="J5945">
        <v>1</v>
      </c>
      <c r="K5945">
        <v>0</v>
      </c>
      <c r="L5945">
        <v>0</v>
      </c>
      <c r="M5945">
        <v>3</v>
      </c>
      <c r="N5945" t="s">
        <v>26</v>
      </c>
      <c r="O5945" t="s">
        <v>32</v>
      </c>
      <c r="P5945">
        <v>7.5053078124245403</v>
      </c>
      <c r="Q5945">
        <v>0.55344096335749304</v>
      </c>
      <c r="R5945">
        <v>1.6285736307213201</v>
      </c>
      <c r="S5945">
        <v>29</v>
      </c>
      <c r="T5945">
        <v>30</v>
      </c>
      <c r="U5945">
        <v>467.098121728119</v>
      </c>
      <c r="V5945">
        <v>2.5252525252525198E-3</v>
      </c>
      <c r="W5945">
        <v>828301.52228856296</v>
      </c>
      <c r="X5945" t="s">
        <v>43</v>
      </c>
      <c r="Y5945">
        <f>1-665-213-7330</f>
        <v>-8207</v>
      </c>
    </row>
    <row r="5946" spans="1:25" x14ac:dyDescent="0.35">
      <c r="A5946">
        <v>37.6916363949871</v>
      </c>
      <c r="B5946">
        <v>-115.28074295202801</v>
      </c>
      <c r="C5946" t="s">
        <v>29</v>
      </c>
      <c r="D5946">
        <v>23.455940280065398</v>
      </c>
      <c r="E5946">
        <v>3</v>
      </c>
      <c r="F5946">
        <v>4986</v>
      </c>
      <c r="G5946">
        <v>3</v>
      </c>
      <c r="H5946">
        <v>1</v>
      </c>
      <c r="I5946">
        <v>1997</v>
      </c>
      <c r="J5946">
        <v>1</v>
      </c>
      <c r="K5946">
        <v>1</v>
      </c>
      <c r="L5946">
        <v>0</v>
      </c>
      <c r="M5946">
        <v>9</v>
      </c>
      <c r="N5946" t="s">
        <v>26</v>
      </c>
      <c r="O5946" t="s">
        <v>27</v>
      </c>
      <c r="P5946">
        <v>3.7491641658833501</v>
      </c>
      <c r="Q5946">
        <v>2.35717662743826</v>
      </c>
      <c r="R5946">
        <v>8.5424274111973908</v>
      </c>
      <c r="S5946">
        <v>27</v>
      </c>
      <c r="T5946">
        <v>77</v>
      </c>
      <c r="U5946">
        <v>455.72968892022101</v>
      </c>
      <c r="V5946">
        <v>1.8050541516245399E-3</v>
      </c>
      <c r="W5946">
        <v>2501806.6408730699</v>
      </c>
      <c r="X5946" t="s">
        <v>28</v>
      </c>
      <c r="Y5946">
        <f>1-807-760-3256</f>
        <v>-4822</v>
      </c>
    </row>
    <row r="5947" spans="1:25" x14ac:dyDescent="0.35">
      <c r="A5947">
        <v>33.965882887536303</v>
      </c>
      <c r="B5947">
        <v>-124.41214629433399</v>
      </c>
      <c r="C5947" t="s">
        <v>25</v>
      </c>
      <c r="D5947">
        <v>32.0872202676114</v>
      </c>
      <c r="E5947">
        <v>8</v>
      </c>
      <c r="F5947">
        <v>3966</v>
      </c>
      <c r="G5947">
        <v>1</v>
      </c>
      <c r="H5947">
        <v>1</v>
      </c>
      <c r="I5947">
        <v>1958</v>
      </c>
      <c r="J5947">
        <v>0</v>
      </c>
      <c r="K5947">
        <v>1</v>
      </c>
      <c r="L5947">
        <v>1</v>
      </c>
      <c r="M5947">
        <v>2</v>
      </c>
      <c r="N5947" t="s">
        <v>41</v>
      </c>
      <c r="O5947" t="s">
        <v>32</v>
      </c>
      <c r="P5947">
        <v>14.210391648423601</v>
      </c>
      <c r="Q5947">
        <v>2.0051482953819999</v>
      </c>
      <c r="R5947">
        <v>7.20406861579084</v>
      </c>
      <c r="S5947">
        <v>32</v>
      </c>
      <c r="T5947">
        <v>24</v>
      </c>
      <c r="U5947">
        <v>281.45736934821002</v>
      </c>
      <c r="V5947">
        <v>5.04286434694906E-4</v>
      </c>
      <c r="W5947">
        <v>1337243.5509090701</v>
      </c>
      <c r="X5947" t="s">
        <v>42</v>
      </c>
      <c r="Y5947">
        <f>1-481-232-3481</f>
        <v>-4193</v>
      </c>
    </row>
    <row r="5948" spans="1:25" x14ac:dyDescent="0.35">
      <c r="A5948">
        <v>41.603982709938897</v>
      </c>
      <c r="B5948">
        <v>-120.102423394097</v>
      </c>
      <c r="C5948" t="s">
        <v>29</v>
      </c>
      <c r="D5948">
        <v>12.0635406538082</v>
      </c>
      <c r="E5948">
        <v>0</v>
      </c>
      <c r="F5948">
        <v>3852</v>
      </c>
      <c r="G5948">
        <v>2</v>
      </c>
      <c r="H5948">
        <v>2</v>
      </c>
      <c r="I5948">
        <v>2005</v>
      </c>
      <c r="J5948">
        <v>0</v>
      </c>
      <c r="K5948">
        <v>1</v>
      </c>
      <c r="L5948">
        <v>1</v>
      </c>
      <c r="M5948">
        <v>10</v>
      </c>
      <c r="N5948" t="s">
        <v>26</v>
      </c>
      <c r="O5948" t="s">
        <v>32</v>
      </c>
      <c r="P5948">
        <v>2.6380758701814</v>
      </c>
      <c r="Q5948">
        <v>2.2110176143087399</v>
      </c>
      <c r="R5948">
        <v>4.8841044107373603</v>
      </c>
      <c r="S5948">
        <v>136</v>
      </c>
      <c r="T5948">
        <v>79</v>
      </c>
      <c r="U5948">
        <v>428.16401419796199</v>
      </c>
      <c r="V5948">
        <v>2.59605399792315E-3</v>
      </c>
      <c r="W5948">
        <v>1881480.8105480899</v>
      </c>
      <c r="X5948" t="s">
        <v>39</v>
      </c>
      <c r="Y5948">
        <f>1-930-325-8176</f>
        <v>-9430</v>
      </c>
    </row>
    <row r="5949" spans="1:25" x14ac:dyDescent="0.35">
      <c r="A5949">
        <v>32.852998290031998</v>
      </c>
      <c r="B5949">
        <v>-123.694081649439</v>
      </c>
      <c r="C5949" t="s">
        <v>25</v>
      </c>
      <c r="D5949">
        <v>22.6015372355692</v>
      </c>
      <c r="E5949">
        <v>3</v>
      </c>
      <c r="F5949">
        <v>4597</v>
      </c>
      <c r="G5949">
        <v>1</v>
      </c>
      <c r="H5949">
        <v>3</v>
      </c>
      <c r="I5949">
        <v>1956</v>
      </c>
      <c r="J5949">
        <v>0</v>
      </c>
      <c r="K5949">
        <v>1</v>
      </c>
      <c r="L5949">
        <v>1</v>
      </c>
      <c r="M5949">
        <v>4</v>
      </c>
      <c r="N5949" t="s">
        <v>37</v>
      </c>
      <c r="O5949" t="s">
        <v>27</v>
      </c>
      <c r="P5949">
        <v>11.373711570011899</v>
      </c>
      <c r="Q5949">
        <v>1.2353756163577001</v>
      </c>
      <c r="R5949">
        <v>7.0944059657900498</v>
      </c>
      <c r="S5949">
        <v>196</v>
      </c>
      <c r="T5949">
        <v>45</v>
      </c>
      <c r="U5949">
        <v>775.99655369259403</v>
      </c>
      <c r="V5949">
        <v>8.7013269523602296E-4</v>
      </c>
      <c r="W5949">
        <v>3776958.9359393502</v>
      </c>
      <c r="X5949" t="s">
        <v>33</v>
      </c>
      <c r="Y5949">
        <f>1-275-967-5685</f>
        <v>-6926</v>
      </c>
    </row>
    <row r="5950" spans="1:25" x14ac:dyDescent="0.35">
      <c r="A5950">
        <v>33.283106053841898</v>
      </c>
      <c r="B5950">
        <v>-122.82565256636001</v>
      </c>
      <c r="C5950" t="s">
        <v>29</v>
      </c>
      <c r="D5950">
        <v>8.5291035191033195</v>
      </c>
      <c r="E5950">
        <v>9</v>
      </c>
      <c r="F5950">
        <v>3762</v>
      </c>
      <c r="G5950">
        <v>4</v>
      </c>
      <c r="H5950">
        <v>2</v>
      </c>
      <c r="I5950">
        <v>2004</v>
      </c>
      <c r="J5950">
        <v>0</v>
      </c>
      <c r="K5950">
        <v>0</v>
      </c>
      <c r="L5950">
        <v>1</v>
      </c>
      <c r="M5950">
        <v>5</v>
      </c>
      <c r="N5950" t="s">
        <v>37</v>
      </c>
      <c r="O5950" t="s">
        <v>27</v>
      </c>
      <c r="P5950">
        <v>6.0392852581737904</v>
      </c>
      <c r="Q5950">
        <v>1.4260374120319701</v>
      </c>
      <c r="R5950">
        <v>9.5779841534343895</v>
      </c>
      <c r="S5950">
        <v>137</v>
      </c>
      <c r="T5950">
        <v>43</v>
      </c>
      <c r="U5950">
        <v>280.42758840577102</v>
      </c>
      <c r="V5950">
        <v>1.32908027644869E-3</v>
      </c>
      <c r="W5950">
        <v>1322416.34755608</v>
      </c>
      <c r="X5950" t="s">
        <v>31</v>
      </c>
      <c r="Y5950">
        <f>1-560-984-9476</f>
        <v>-11019</v>
      </c>
    </row>
    <row r="5951" spans="1:25" x14ac:dyDescent="0.35">
      <c r="A5951">
        <v>38.368466292045703</v>
      </c>
      <c r="B5951">
        <v>-117.952771938897</v>
      </c>
      <c r="C5951" t="s">
        <v>29</v>
      </c>
      <c r="D5951">
        <v>45.997043683415498</v>
      </c>
      <c r="E5951">
        <v>1</v>
      </c>
      <c r="F5951">
        <v>3768</v>
      </c>
      <c r="G5951">
        <v>4</v>
      </c>
      <c r="H5951">
        <v>1</v>
      </c>
      <c r="I5951">
        <v>1950</v>
      </c>
      <c r="J5951">
        <v>0</v>
      </c>
      <c r="K5951">
        <v>0</v>
      </c>
      <c r="L5951">
        <v>1</v>
      </c>
      <c r="M5951">
        <v>13</v>
      </c>
      <c r="N5951" t="s">
        <v>41</v>
      </c>
      <c r="O5951" t="s">
        <v>27</v>
      </c>
      <c r="P5951">
        <v>3.20904450947911</v>
      </c>
      <c r="Q5951">
        <v>1.63203382255073</v>
      </c>
      <c r="R5951">
        <v>5.4114108588108998</v>
      </c>
      <c r="S5951">
        <v>118</v>
      </c>
      <c r="T5951">
        <v>78</v>
      </c>
      <c r="U5951">
        <v>808.40242020736002</v>
      </c>
      <c r="V5951">
        <v>3.4501061571125201E-3</v>
      </c>
      <c r="W5951">
        <v>3242888.8861150201</v>
      </c>
      <c r="X5951" t="s">
        <v>43</v>
      </c>
      <c r="Y5951">
        <f>1-897-358-9081</f>
        <v>-10335</v>
      </c>
    </row>
    <row r="5952" spans="1:25" x14ac:dyDescent="0.35">
      <c r="A5952">
        <v>34.0963555322814</v>
      </c>
      <c r="B5952">
        <v>-115.889223057983</v>
      </c>
      <c r="C5952" t="s">
        <v>29</v>
      </c>
      <c r="D5952">
        <v>32.171222459814302</v>
      </c>
      <c r="E5952">
        <v>8</v>
      </c>
      <c r="F5952">
        <v>1331</v>
      </c>
      <c r="G5952">
        <v>3</v>
      </c>
      <c r="H5952">
        <v>3</v>
      </c>
      <c r="I5952">
        <v>1988</v>
      </c>
      <c r="J5952">
        <v>0</v>
      </c>
      <c r="K5952">
        <v>0</v>
      </c>
      <c r="L5952">
        <v>0</v>
      </c>
      <c r="M5952">
        <v>7</v>
      </c>
      <c r="N5952" t="s">
        <v>26</v>
      </c>
      <c r="O5952" t="s">
        <v>27</v>
      </c>
      <c r="P5952">
        <v>7.7075078121905403</v>
      </c>
      <c r="Q5952">
        <v>0.70492538880719202</v>
      </c>
      <c r="R5952">
        <v>5.6893560873851801</v>
      </c>
      <c r="S5952">
        <v>162</v>
      </c>
      <c r="T5952">
        <v>73</v>
      </c>
      <c r="U5952">
        <v>986.28818726910697</v>
      </c>
      <c r="V5952">
        <v>5.2592036063110401E-3</v>
      </c>
      <c r="W5952">
        <v>1397764.25630136</v>
      </c>
      <c r="X5952" t="s">
        <v>28</v>
      </c>
      <c r="Y5952">
        <f>1-314-918-9343</f>
        <v>-10574</v>
      </c>
    </row>
    <row r="5953" spans="1:25" x14ac:dyDescent="0.35">
      <c r="A5953">
        <v>37.317782414619501</v>
      </c>
      <c r="B5953">
        <v>-123.478631896256</v>
      </c>
      <c r="C5953" t="s">
        <v>29</v>
      </c>
      <c r="D5953">
        <v>26.039350973576401</v>
      </c>
      <c r="E5953">
        <v>7</v>
      </c>
      <c r="F5953">
        <v>1187</v>
      </c>
      <c r="G5953">
        <v>3</v>
      </c>
      <c r="H5953">
        <v>2</v>
      </c>
      <c r="I5953">
        <v>1990</v>
      </c>
      <c r="J5953">
        <v>0</v>
      </c>
      <c r="K5953">
        <v>1</v>
      </c>
      <c r="L5953">
        <v>0</v>
      </c>
      <c r="M5953">
        <v>9</v>
      </c>
      <c r="N5953" t="s">
        <v>41</v>
      </c>
      <c r="O5953" t="s">
        <v>30</v>
      </c>
      <c r="P5953">
        <v>10.4913732635238</v>
      </c>
      <c r="Q5953">
        <v>0.69527038447941503</v>
      </c>
      <c r="R5953">
        <v>3.2775577366370898</v>
      </c>
      <c r="S5953">
        <v>89</v>
      </c>
      <c r="T5953">
        <v>50</v>
      </c>
      <c r="U5953">
        <v>323.655567662892</v>
      </c>
      <c r="V5953">
        <v>7.5821398483572004E-3</v>
      </c>
      <c r="W5953">
        <v>660114.92542672204</v>
      </c>
      <c r="X5953" t="s">
        <v>33</v>
      </c>
      <c r="Y5953">
        <f>1-201-680-7282</f>
        <v>-8162</v>
      </c>
    </row>
    <row r="5954" spans="1:25" x14ac:dyDescent="0.35">
      <c r="A5954">
        <v>33.123408769394203</v>
      </c>
      <c r="B5954">
        <v>-115.599741691589</v>
      </c>
      <c r="C5954" t="s">
        <v>25</v>
      </c>
      <c r="D5954">
        <v>46.590658923653201</v>
      </c>
      <c r="E5954">
        <v>4</v>
      </c>
      <c r="F5954">
        <v>4087</v>
      </c>
      <c r="G5954">
        <v>2</v>
      </c>
      <c r="H5954">
        <v>3</v>
      </c>
      <c r="I5954">
        <v>2000</v>
      </c>
      <c r="J5954">
        <v>0</v>
      </c>
      <c r="K5954">
        <v>1</v>
      </c>
      <c r="L5954">
        <v>1</v>
      </c>
      <c r="M5954">
        <v>4</v>
      </c>
      <c r="N5954" t="s">
        <v>35</v>
      </c>
      <c r="O5954" t="s">
        <v>32</v>
      </c>
      <c r="P5954">
        <v>6.4763034827653199</v>
      </c>
      <c r="Q5954">
        <v>2.01562486711435</v>
      </c>
      <c r="R5954">
        <v>0.91559222790756301</v>
      </c>
      <c r="S5954">
        <v>116</v>
      </c>
      <c r="T5954">
        <v>55</v>
      </c>
      <c r="U5954">
        <v>652.38283520602204</v>
      </c>
      <c r="V5954">
        <v>9.7871299241497406E-4</v>
      </c>
      <c r="W5954">
        <v>2980856.8958029598</v>
      </c>
      <c r="X5954" t="s">
        <v>43</v>
      </c>
      <c r="Y5954">
        <f>1-697-475-2502</f>
        <v>-3673</v>
      </c>
    </row>
    <row r="5955" spans="1:25" x14ac:dyDescent="0.35">
      <c r="A5955">
        <v>33.467790033525802</v>
      </c>
      <c r="B5955">
        <v>-120.202548195839</v>
      </c>
      <c r="C5955" t="s">
        <v>25</v>
      </c>
      <c r="D5955">
        <v>22.262157936119898</v>
      </c>
      <c r="E5955">
        <v>4</v>
      </c>
      <c r="F5955">
        <v>1915</v>
      </c>
      <c r="G5955">
        <v>4</v>
      </c>
      <c r="H5955">
        <v>3</v>
      </c>
      <c r="I5955">
        <v>1980</v>
      </c>
      <c r="J5955">
        <v>0</v>
      </c>
      <c r="K5955">
        <v>0</v>
      </c>
      <c r="L5955">
        <v>1</v>
      </c>
      <c r="M5955">
        <v>10</v>
      </c>
      <c r="N5955" t="s">
        <v>37</v>
      </c>
      <c r="O5955" t="s">
        <v>27</v>
      </c>
      <c r="P5955">
        <v>6.2710935200390701</v>
      </c>
      <c r="Q5955">
        <v>2.0079212696826301</v>
      </c>
      <c r="R5955">
        <v>1.84388088384728</v>
      </c>
      <c r="S5955">
        <v>118</v>
      </c>
      <c r="T5955">
        <v>69</v>
      </c>
      <c r="U5955">
        <v>606.10624289614304</v>
      </c>
      <c r="V5955">
        <v>5.2219321148824997E-3</v>
      </c>
      <c r="W5955">
        <v>1454722.4002169</v>
      </c>
      <c r="X5955" t="s">
        <v>36</v>
      </c>
      <c r="Y5955">
        <f>1-610-808-1096</f>
        <v>-2513</v>
      </c>
    </row>
    <row r="5956" spans="1:25" x14ac:dyDescent="0.35">
      <c r="A5956">
        <v>41.080306397400797</v>
      </c>
      <c r="B5956">
        <v>-122.23712973686099</v>
      </c>
      <c r="C5956" t="s">
        <v>25</v>
      </c>
      <c r="D5956">
        <v>14.811507968397599</v>
      </c>
      <c r="E5956">
        <v>4</v>
      </c>
      <c r="F5956">
        <v>3009</v>
      </c>
      <c r="G5956">
        <v>5</v>
      </c>
      <c r="H5956">
        <v>2</v>
      </c>
      <c r="I5956">
        <v>2002</v>
      </c>
      <c r="J5956">
        <v>1</v>
      </c>
      <c r="K5956">
        <v>1</v>
      </c>
      <c r="L5956">
        <v>0</v>
      </c>
      <c r="M5956">
        <v>7</v>
      </c>
      <c r="N5956" t="s">
        <v>37</v>
      </c>
      <c r="O5956" t="s">
        <v>30</v>
      </c>
      <c r="P5956">
        <v>5.8357961450185796</v>
      </c>
      <c r="Q5956">
        <v>1.7554401417546299</v>
      </c>
      <c r="R5956">
        <v>8.2265369119048799</v>
      </c>
      <c r="S5956">
        <v>37</v>
      </c>
      <c r="T5956">
        <v>67</v>
      </c>
      <c r="U5956">
        <v>456.111461134075</v>
      </c>
      <c r="V5956">
        <v>2.32635427052176E-3</v>
      </c>
      <c r="W5956">
        <v>1841984.0306373499</v>
      </c>
      <c r="X5956" t="s">
        <v>44</v>
      </c>
      <c r="Y5956">
        <f>1-210-312-9775</f>
        <v>-10296</v>
      </c>
    </row>
    <row r="5957" spans="1:25" x14ac:dyDescent="0.35">
      <c r="A5957">
        <v>34.122566904859198</v>
      </c>
      <c r="B5957">
        <v>-117.065734037181</v>
      </c>
      <c r="C5957" t="s">
        <v>34</v>
      </c>
      <c r="D5957">
        <v>12.905041489045599</v>
      </c>
      <c r="E5957">
        <v>4</v>
      </c>
      <c r="F5957">
        <v>3905</v>
      </c>
      <c r="G5957">
        <v>5</v>
      </c>
      <c r="H5957">
        <v>3</v>
      </c>
      <c r="I5957">
        <v>1988</v>
      </c>
      <c r="J5957">
        <v>0</v>
      </c>
      <c r="K5957">
        <v>1</v>
      </c>
      <c r="L5957">
        <v>0</v>
      </c>
      <c r="M5957">
        <v>11</v>
      </c>
      <c r="N5957" t="s">
        <v>26</v>
      </c>
      <c r="O5957" t="s">
        <v>27</v>
      </c>
      <c r="P5957">
        <v>3.0982596458388301</v>
      </c>
      <c r="Q5957">
        <v>2.1317699547163702</v>
      </c>
      <c r="R5957">
        <v>3.4402218952911499</v>
      </c>
      <c r="S5957">
        <v>197</v>
      </c>
      <c r="T5957">
        <v>37</v>
      </c>
      <c r="U5957">
        <v>744.38786709256101</v>
      </c>
      <c r="V5957">
        <v>2.8169014084507E-3</v>
      </c>
      <c r="W5957">
        <v>3203752.3776099901</v>
      </c>
      <c r="X5957" t="s">
        <v>40</v>
      </c>
      <c r="Y5957">
        <f>1-517-261-6906</f>
        <v>-7683</v>
      </c>
    </row>
    <row r="5958" spans="1:25" x14ac:dyDescent="0.35">
      <c r="A5958">
        <v>41.637906930728001</v>
      </c>
      <c r="B5958">
        <v>-116.949363825153</v>
      </c>
      <c r="C5958" t="s">
        <v>34</v>
      </c>
      <c r="D5958">
        <v>45.636222282074698</v>
      </c>
      <c r="E5958">
        <v>8</v>
      </c>
      <c r="F5958">
        <v>4530</v>
      </c>
      <c r="G5958">
        <v>3</v>
      </c>
      <c r="H5958">
        <v>3</v>
      </c>
      <c r="I5958">
        <v>1984</v>
      </c>
      <c r="J5958">
        <v>0</v>
      </c>
      <c r="K5958">
        <v>1</v>
      </c>
      <c r="L5958">
        <v>1</v>
      </c>
      <c r="M5958">
        <v>10</v>
      </c>
      <c r="N5958" t="s">
        <v>26</v>
      </c>
      <c r="O5958" t="s">
        <v>27</v>
      </c>
      <c r="P5958">
        <v>13.4561548015759</v>
      </c>
      <c r="Q5958">
        <v>1.8026538614695</v>
      </c>
      <c r="R5958">
        <v>2.5051583907624702</v>
      </c>
      <c r="S5958">
        <v>72</v>
      </c>
      <c r="T5958">
        <v>24</v>
      </c>
      <c r="U5958">
        <v>684.13461956497395</v>
      </c>
      <c r="V5958">
        <v>2.20750551876379E-3</v>
      </c>
      <c r="W5958">
        <v>3498745.59911271</v>
      </c>
      <c r="X5958" t="s">
        <v>40</v>
      </c>
      <c r="Y5958">
        <f>1-948-278-6868</f>
        <v>-8093</v>
      </c>
    </row>
    <row r="5959" spans="1:25" x14ac:dyDescent="0.35">
      <c r="A5959">
        <v>34.130429474933003</v>
      </c>
      <c r="B5959">
        <v>-116.262761216773</v>
      </c>
      <c r="C5959" t="s">
        <v>25</v>
      </c>
      <c r="D5959">
        <v>43.593104214342098</v>
      </c>
      <c r="E5959">
        <v>3</v>
      </c>
      <c r="F5959">
        <v>2049</v>
      </c>
      <c r="G5959">
        <v>4</v>
      </c>
      <c r="H5959">
        <v>3</v>
      </c>
      <c r="I5959">
        <v>1950</v>
      </c>
      <c r="J5959">
        <v>1</v>
      </c>
      <c r="K5959">
        <v>1</v>
      </c>
      <c r="L5959">
        <v>0</v>
      </c>
      <c r="M5959">
        <v>14</v>
      </c>
      <c r="N5959" t="s">
        <v>41</v>
      </c>
      <c r="O5959" t="s">
        <v>27</v>
      </c>
      <c r="P5959">
        <v>10.1964971926334</v>
      </c>
      <c r="Q5959">
        <v>1.39048658704391</v>
      </c>
      <c r="R5959">
        <v>7.1887746480632604</v>
      </c>
      <c r="S5959">
        <v>36</v>
      </c>
      <c r="T5959">
        <v>53</v>
      </c>
      <c r="U5959">
        <v>751.99273234115196</v>
      </c>
      <c r="V5959">
        <v>6.8326012689116601E-3</v>
      </c>
      <c r="W5959">
        <v>1909890.5346745099</v>
      </c>
      <c r="X5959" t="s">
        <v>43</v>
      </c>
      <c r="Y5959">
        <f>1-600-115-4420</f>
        <v>-5134</v>
      </c>
    </row>
    <row r="5960" spans="1:25" x14ac:dyDescent="0.35">
      <c r="A5960">
        <v>34.090427835334701</v>
      </c>
      <c r="B5960">
        <v>-122.849583229877</v>
      </c>
      <c r="C5960" t="s">
        <v>25</v>
      </c>
      <c r="D5960">
        <v>21.402687676439701</v>
      </c>
      <c r="E5960">
        <v>9</v>
      </c>
      <c r="F5960">
        <v>1861</v>
      </c>
      <c r="G5960">
        <v>3</v>
      </c>
      <c r="H5960">
        <v>2</v>
      </c>
      <c r="I5960">
        <v>2002</v>
      </c>
      <c r="J5960">
        <v>1</v>
      </c>
      <c r="K5960">
        <v>1</v>
      </c>
      <c r="L5960">
        <v>1</v>
      </c>
      <c r="M5960">
        <v>3</v>
      </c>
      <c r="N5960" t="s">
        <v>35</v>
      </c>
      <c r="O5960" t="s">
        <v>32</v>
      </c>
      <c r="P5960">
        <v>7.3925624689092704</v>
      </c>
      <c r="Q5960">
        <v>2.0630249006948098</v>
      </c>
      <c r="R5960">
        <v>2.7480441068583699</v>
      </c>
      <c r="S5960">
        <v>162</v>
      </c>
      <c r="T5960">
        <v>30</v>
      </c>
      <c r="U5960">
        <v>284.19874054848998</v>
      </c>
      <c r="V5960">
        <v>1.61203653949489E-3</v>
      </c>
      <c r="W5960">
        <v>985827.36320340994</v>
      </c>
      <c r="X5960" t="s">
        <v>39</v>
      </c>
      <c r="Y5960">
        <f>1-901-945-2834</f>
        <v>-4679</v>
      </c>
    </row>
    <row r="5961" spans="1:25" x14ac:dyDescent="0.35">
      <c r="A5961">
        <v>37.717893395407003</v>
      </c>
      <c r="B5961">
        <v>-116.653515087663</v>
      </c>
      <c r="C5961" t="s">
        <v>34</v>
      </c>
      <c r="D5961">
        <v>39.592251441765299</v>
      </c>
      <c r="E5961">
        <v>9</v>
      </c>
      <c r="F5961">
        <v>1107</v>
      </c>
      <c r="G5961">
        <v>2</v>
      </c>
      <c r="H5961">
        <v>3</v>
      </c>
      <c r="I5961">
        <v>1951</v>
      </c>
      <c r="J5961">
        <v>1</v>
      </c>
      <c r="K5961">
        <v>1</v>
      </c>
      <c r="L5961">
        <v>0</v>
      </c>
      <c r="M5961">
        <v>2</v>
      </c>
      <c r="N5961" t="s">
        <v>35</v>
      </c>
      <c r="O5961" t="s">
        <v>30</v>
      </c>
      <c r="P5961">
        <v>7.18537533749336</v>
      </c>
      <c r="Q5961">
        <v>1.93770806347179</v>
      </c>
      <c r="R5961">
        <v>0.43536694827419897</v>
      </c>
      <c r="S5961">
        <v>60</v>
      </c>
      <c r="T5961">
        <v>48</v>
      </c>
      <c r="U5961">
        <v>561.01684859499198</v>
      </c>
      <c r="V5961">
        <v>1.806684733514E-3</v>
      </c>
      <c r="W5961">
        <v>999909.17646830203</v>
      </c>
      <c r="X5961" t="s">
        <v>36</v>
      </c>
      <c r="Y5961">
        <f>1-384-489-2114</f>
        <v>-2986</v>
      </c>
    </row>
    <row r="5962" spans="1:25" x14ac:dyDescent="0.35">
      <c r="A5962">
        <v>36.034942621303998</v>
      </c>
      <c r="B5962">
        <v>-117.690936254991</v>
      </c>
      <c r="C5962" t="s">
        <v>34</v>
      </c>
      <c r="D5962">
        <v>30.779305791142399</v>
      </c>
      <c r="E5962">
        <v>1</v>
      </c>
      <c r="F5962">
        <v>4696</v>
      </c>
      <c r="G5962">
        <v>2</v>
      </c>
      <c r="H5962">
        <v>3</v>
      </c>
      <c r="I5962">
        <v>1969</v>
      </c>
      <c r="J5962">
        <v>1</v>
      </c>
      <c r="K5962">
        <v>1</v>
      </c>
      <c r="L5962">
        <v>1</v>
      </c>
      <c r="M5962">
        <v>8</v>
      </c>
      <c r="N5962" t="s">
        <v>41</v>
      </c>
      <c r="O5962" t="s">
        <v>27</v>
      </c>
      <c r="P5962">
        <v>2.9460774261428599</v>
      </c>
      <c r="Q5962">
        <v>0.58507015322245504</v>
      </c>
      <c r="R5962">
        <v>4.4360920224651599</v>
      </c>
      <c r="S5962">
        <v>131</v>
      </c>
      <c r="T5962">
        <v>50</v>
      </c>
      <c r="U5962">
        <v>968.86565784288905</v>
      </c>
      <c r="V5962">
        <v>1.7035775127768301E-3</v>
      </c>
      <c r="W5962">
        <v>4788830.2894965196</v>
      </c>
      <c r="X5962" t="s">
        <v>38</v>
      </c>
      <c r="Y5962">
        <f>1-320-528-4647</f>
        <v>-5494</v>
      </c>
    </row>
    <row r="5963" spans="1:25" x14ac:dyDescent="0.35">
      <c r="A5963">
        <v>36.673538064016398</v>
      </c>
      <c r="B5963">
        <v>-116.073991880227</v>
      </c>
      <c r="C5963" t="s">
        <v>34</v>
      </c>
      <c r="D5963">
        <v>45.522502378659198</v>
      </c>
      <c r="E5963">
        <v>1</v>
      </c>
      <c r="F5963">
        <v>2527</v>
      </c>
      <c r="G5963">
        <v>5</v>
      </c>
      <c r="H5963">
        <v>3</v>
      </c>
      <c r="I5963">
        <v>2009</v>
      </c>
      <c r="J5963">
        <v>1</v>
      </c>
      <c r="K5963">
        <v>0</v>
      </c>
      <c r="L5963">
        <v>0</v>
      </c>
      <c r="M5963">
        <v>13</v>
      </c>
      <c r="N5963" t="s">
        <v>26</v>
      </c>
      <c r="O5963" t="s">
        <v>30</v>
      </c>
      <c r="P5963">
        <v>12.427032763190001</v>
      </c>
      <c r="Q5963">
        <v>2.0923598203129901</v>
      </c>
      <c r="R5963">
        <v>7.0248141899159302</v>
      </c>
      <c r="S5963">
        <v>197</v>
      </c>
      <c r="T5963">
        <v>74</v>
      </c>
      <c r="U5963">
        <v>712.02468196911002</v>
      </c>
      <c r="V5963">
        <v>5.1444400474871298E-3</v>
      </c>
      <c r="W5963">
        <v>2160085.2863439098</v>
      </c>
      <c r="X5963" t="s">
        <v>38</v>
      </c>
      <c r="Y5963">
        <f>1-709-844-5016</f>
        <v>-6568</v>
      </c>
    </row>
    <row r="5964" spans="1:25" x14ac:dyDescent="0.35">
      <c r="A5964">
        <v>39.728661265348698</v>
      </c>
      <c r="B5964">
        <v>-119.453125434912</v>
      </c>
      <c r="C5964" t="s">
        <v>25</v>
      </c>
      <c r="D5964">
        <v>17.835638396214399</v>
      </c>
      <c r="E5964">
        <v>2</v>
      </c>
      <c r="F5964">
        <v>4655</v>
      </c>
      <c r="G5964">
        <v>1</v>
      </c>
      <c r="H5964">
        <v>2</v>
      </c>
      <c r="I5964">
        <v>2003</v>
      </c>
      <c r="J5964">
        <v>1</v>
      </c>
      <c r="K5964">
        <v>0</v>
      </c>
      <c r="L5964">
        <v>1</v>
      </c>
      <c r="M5964">
        <v>6</v>
      </c>
      <c r="N5964" t="s">
        <v>37</v>
      </c>
      <c r="O5964" t="s">
        <v>32</v>
      </c>
      <c r="P5964">
        <v>11.1523851548422</v>
      </c>
      <c r="Q5964">
        <v>1.5942239692585101</v>
      </c>
      <c r="R5964">
        <v>8.4441333782823005</v>
      </c>
      <c r="S5964">
        <v>81</v>
      </c>
      <c r="T5964">
        <v>26</v>
      </c>
      <c r="U5964">
        <v>233.01194353394001</v>
      </c>
      <c r="V5964">
        <v>1.2889366272824899E-3</v>
      </c>
      <c r="W5964">
        <v>1202828.6608303699</v>
      </c>
      <c r="X5964" t="s">
        <v>31</v>
      </c>
      <c r="Y5964">
        <f>1-337-998-3378</f>
        <v>-4712</v>
      </c>
    </row>
    <row r="5965" spans="1:25" x14ac:dyDescent="0.35">
      <c r="A5965">
        <v>41.484487102103799</v>
      </c>
      <c r="B5965">
        <v>-114.780453947415</v>
      </c>
      <c r="C5965" t="s">
        <v>29</v>
      </c>
      <c r="D5965">
        <v>36.242334642962597</v>
      </c>
      <c r="E5965">
        <v>4</v>
      </c>
      <c r="F5965">
        <v>4930</v>
      </c>
      <c r="G5965">
        <v>4</v>
      </c>
      <c r="H5965">
        <v>2</v>
      </c>
      <c r="I5965">
        <v>1986</v>
      </c>
      <c r="J5965">
        <v>1</v>
      </c>
      <c r="K5965">
        <v>0</v>
      </c>
      <c r="L5965">
        <v>0</v>
      </c>
      <c r="M5965">
        <v>7</v>
      </c>
      <c r="N5965" t="s">
        <v>41</v>
      </c>
      <c r="O5965" t="s">
        <v>27</v>
      </c>
      <c r="P5965">
        <v>14.930801935788899</v>
      </c>
      <c r="Q5965">
        <v>1.31551059979392</v>
      </c>
      <c r="R5965">
        <v>7.89129056513472</v>
      </c>
      <c r="S5965">
        <v>126</v>
      </c>
      <c r="T5965">
        <v>23</v>
      </c>
      <c r="U5965">
        <v>789.02440352063297</v>
      </c>
      <c r="V5965">
        <v>1.4198782961460401E-3</v>
      </c>
      <c r="W5965">
        <v>4170289.9177383101</v>
      </c>
      <c r="X5965" t="s">
        <v>38</v>
      </c>
      <c r="Y5965">
        <f>1-894-725-5262</f>
        <v>-6880</v>
      </c>
    </row>
    <row r="5966" spans="1:25" x14ac:dyDescent="0.35">
      <c r="A5966">
        <v>34.249199532662601</v>
      </c>
      <c r="B5966">
        <v>-114.137683724848</v>
      </c>
      <c r="C5966" t="s">
        <v>25</v>
      </c>
      <c r="D5966">
        <v>30.2823923678122</v>
      </c>
      <c r="E5966">
        <v>8</v>
      </c>
      <c r="F5966">
        <v>2593</v>
      </c>
      <c r="G5966">
        <v>1</v>
      </c>
      <c r="H5966">
        <v>1</v>
      </c>
      <c r="I5966">
        <v>2009</v>
      </c>
      <c r="J5966">
        <v>1</v>
      </c>
      <c r="K5966">
        <v>0</v>
      </c>
      <c r="L5966">
        <v>1</v>
      </c>
      <c r="M5966">
        <v>5</v>
      </c>
      <c r="N5966" t="s">
        <v>37</v>
      </c>
      <c r="O5966" t="s">
        <v>27</v>
      </c>
      <c r="P5966">
        <v>13.5907376352894</v>
      </c>
      <c r="Q5966">
        <v>1.19904280423733</v>
      </c>
      <c r="R5966">
        <v>1.9507867096329401</v>
      </c>
      <c r="S5966">
        <v>124</v>
      </c>
      <c r="T5966">
        <v>21</v>
      </c>
      <c r="U5966">
        <v>965.65208311479603</v>
      </c>
      <c r="V5966">
        <v>1.92826841496336E-3</v>
      </c>
      <c r="W5966">
        <v>2650288.9581243801</v>
      </c>
      <c r="X5966" t="s">
        <v>33</v>
      </c>
      <c r="Y5966">
        <f>1-943-311-7697</f>
        <v>-8950</v>
      </c>
    </row>
    <row r="5967" spans="1:25" x14ac:dyDescent="0.35">
      <c r="A5967">
        <v>34.7728315550251</v>
      </c>
      <c r="B5967">
        <v>-119.54340091482101</v>
      </c>
      <c r="C5967" t="s">
        <v>29</v>
      </c>
      <c r="D5967">
        <v>48.970721030041702</v>
      </c>
      <c r="E5967">
        <v>1</v>
      </c>
      <c r="F5967">
        <v>1991</v>
      </c>
      <c r="G5967">
        <v>5</v>
      </c>
      <c r="H5967">
        <v>3</v>
      </c>
      <c r="I5967">
        <v>1992</v>
      </c>
      <c r="J5967">
        <v>0</v>
      </c>
      <c r="K5967">
        <v>1</v>
      </c>
      <c r="L5967">
        <v>0</v>
      </c>
      <c r="M5967">
        <v>9</v>
      </c>
      <c r="N5967" t="s">
        <v>26</v>
      </c>
      <c r="O5967" t="s">
        <v>30</v>
      </c>
      <c r="P5967">
        <v>9.1833609196280293</v>
      </c>
      <c r="Q5967">
        <v>1.40552314852904</v>
      </c>
      <c r="R5967">
        <v>6.8122470048416304</v>
      </c>
      <c r="S5967">
        <v>162</v>
      </c>
      <c r="T5967">
        <v>38</v>
      </c>
      <c r="U5967">
        <v>431.23983701835903</v>
      </c>
      <c r="V5967">
        <v>4.5203415369161198E-3</v>
      </c>
      <c r="W5967">
        <v>1335965.8073712899</v>
      </c>
      <c r="X5967" t="s">
        <v>42</v>
      </c>
      <c r="Y5967">
        <f>1-567-356-4006</f>
        <v>-4928</v>
      </c>
    </row>
    <row r="5968" spans="1:25" x14ac:dyDescent="0.35">
      <c r="A5968">
        <v>40.254795296558498</v>
      </c>
      <c r="B5968">
        <v>-114.895576318179</v>
      </c>
      <c r="C5968" t="s">
        <v>34</v>
      </c>
      <c r="D5968">
        <v>29.239069517055398</v>
      </c>
      <c r="E5968">
        <v>6</v>
      </c>
      <c r="F5968">
        <v>1116</v>
      </c>
      <c r="G5968">
        <v>3</v>
      </c>
      <c r="H5968">
        <v>3</v>
      </c>
      <c r="I5968">
        <v>1971</v>
      </c>
      <c r="J5968">
        <v>0</v>
      </c>
      <c r="K5968">
        <v>1</v>
      </c>
      <c r="L5968">
        <v>1</v>
      </c>
      <c r="M5968">
        <v>5</v>
      </c>
      <c r="N5968" t="s">
        <v>37</v>
      </c>
      <c r="O5968" t="s">
        <v>27</v>
      </c>
      <c r="P5968">
        <v>9.2746985073918893</v>
      </c>
      <c r="Q5968">
        <v>2.3540693551284102</v>
      </c>
      <c r="R5968">
        <v>7.2036850121384397</v>
      </c>
      <c r="S5968">
        <v>199</v>
      </c>
      <c r="T5968">
        <v>26</v>
      </c>
      <c r="U5968">
        <v>585.67636271367905</v>
      </c>
      <c r="V5968">
        <v>4.4802867383512499E-3</v>
      </c>
      <c r="W5968">
        <v>958909.51274395001</v>
      </c>
      <c r="X5968" t="s">
        <v>28</v>
      </c>
      <c r="Y5968">
        <f>1-412-281-8936</f>
        <v>-9628</v>
      </c>
    </row>
    <row r="5969" spans="1:25" x14ac:dyDescent="0.35">
      <c r="A5969">
        <v>33.681438073792599</v>
      </c>
      <c r="B5969">
        <v>-119.682985167448</v>
      </c>
      <c r="C5969" t="s">
        <v>29</v>
      </c>
      <c r="D5969">
        <v>1.06004848266622</v>
      </c>
      <c r="E5969">
        <v>2</v>
      </c>
      <c r="F5969">
        <v>3104</v>
      </c>
      <c r="G5969">
        <v>1</v>
      </c>
      <c r="H5969">
        <v>1</v>
      </c>
      <c r="I5969">
        <v>2007</v>
      </c>
      <c r="J5969">
        <v>0</v>
      </c>
      <c r="K5969">
        <v>1</v>
      </c>
      <c r="L5969">
        <v>1</v>
      </c>
      <c r="M5969">
        <v>2</v>
      </c>
      <c r="N5969" t="s">
        <v>26</v>
      </c>
      <c r="O5969" t="s">
        <v>30</v>
      </c>
      <c r="P5969">
        <v>7.6109254495387901</v>
      </c>
      <c r="Q5969">
        <v>2.3643964507414599</v>
      </c>
      <c r="R5969">
        <v>8.5184539109302104</v>
      </c>
      <c r="S5969">
        <v>37</v>
      </c>
      <c r="T5969">
        <v>60</v>
      </c>
      <c r="U5969">
        <v>433.54608886033901</v>
      </c>
      <c r="V5969">
        <v>6.4432989690721605E-4</v>
      </c>
      <c r="W5969">
        <v>1599197.90137469</v>
      </c>
      <c r="X5969" t="s">
        <v>33</v>
      </c>
      <c r="Y5969">
        <f>1-261-350-6479</f>
        <v>-7089</v>
      </c>
    </row>
    <row r="5970" spans="1:25" x14ac:dyDescent="0.35">
      <c r="A5970">
        <v>40.025277171988698</v>
      </c>
      <c r="B5970">
        <v>-118.50600635083001</v>
      </c>
      <c r="C5970" t="s">
        <v>25</v>
      </c>
      <c r="D5970">
        <v>6.7737245229742102</v>
      </c>
      <c r="E5970">
        <v>7</v>
      </c>
      <c r="F5970">
        <v>972</v>
      </c>
      <c r="G5970">
        <v>3</v>
      </c>
      <c r="H5970">
        <v>2</v>
      </c>
      <c r="I5970">
        <v>2005</v>
      </c>
      <c r="J5970">
        <v>1</v>
      </c>
      <c r="K5970">
        <v>1</v>
      </c>
      <c r="L5970">
        <v>1</v>
      </c>
      <c r="M5970">
        <v>6</v>
      </c>
      <c r="N5970" t="s">
        <v>26</v>
      </c>
      <c r="O5970" t="s">
        <v>27</v>
      </c>
      <c r="P5970">
        <v>12.2672340572548</v>
      </c>
      <c r="Q5970">
        <v>1.6307709152857</v>
      </c>
      <c r="R5970">
        <v>1.56059423920513</v>
      </c>
      <c r="S5970">
        <v>133</v>
      </c>
      <c r="T5970">
        <v>65</v>
      </c>
      <c r="U5970">
        <v>541.97082125513202</v>
      </c>
      <c r="V5970">
        <v>6.1728395061728296E-3</v>
      </c>
      <c r="W5970">
        <v>929224.92353544</v>
      </c>
      <c r="X5970" t="s">
        <v>38</v>
      </c>
      <c r="Y5970">
        <f>1-419-537-6319</f>
        <v>-7274</v>
      </c>
    </row>
    <row r="5971" spans="1:25" x14ac:dyDescent="0.35">
      <c r="A5971">
        <v>37.079346332380602</v>
      </c>
      <c r="B5971">
        <v>-122.54533969574599</v>
      </c>
      <c r="C5971" t="s">
        <v>34</v>
      </c>
      <c r="D5971">
        <v>18.744357919908399</v>
      </c>
      <c r="E5971">
        <v>6</v>
      </c>
      <c r="F5971">
        <v>780</v>
      </c>
      <c r="G5971">
        <v>4</v>
      </c>
      <c r="H5971">
        <v>3</v>
      </c>
      <c r="I5971">
        <v>1988</v>
      </c>
      <c r="J5971">
        <v>1</v>
      </c>
      <c r="K5971">
        <v>0</v>
      </c>
      <c r="L5971">
        <v>1</v>
      </c>
      <c r="M5971">
        <v>3</v>
      </c>
      <c r="N5971" t="s">
        <v>41</v>
      </c>
      <c r="O5971" t="s">
        <v>32</v>
      </c>
      <c r="P5971">
        <v>7.6268109930665204</v>
      </c>
      <c r="Q5971">
        <v>1.15045467384851</v>
      </c>
      <c r="R5971">
        <v>3.6093571451381901</v>
      </c>
      <c r="S5971">
        <v>46</v>
      </c>
      <c r="T5971">
        <v>68</v>
      </c>
      <c r="U5971">
        <v>706.82296213294796</v>
      </c>
      <c r="V5971">
        <v>3.8461538461538399E-3</v>
      </c>
      <c r="W5971">
        <v>837370.09503007005</v>
      </c>
      <c r="X5971" t="s">
        <v>39</v>
      </c>
      <c r="Y5971">
        <f>1-629-406-6925</f>
        <v>-7959</v>
      </c>
    </row>
    <row r="5972" spans="1:25" x14ac:dyDescent="0.35">
      <c r="A5972">
        <v>35.828139711000098</v>
      </c>
      <c r="B5972">
        <v>-115.827845563355</v>
      </c>
      <c r="C5972" t="s">
        <v>29</v>
      </c>
      <c r="D5972">
        <v>24.3586889758074</v>
      </c>
      <c r="E5972">
        <v>1</v>
      </c>
      <c r="F5972">
        <v>4674</v>
      </c>
      <c r="G5972">
        <v>3</v>
      </c>
      <c r="H5972">
        <v>3</v>
      </c>
      <c r="I5972">
        <v>2019</v>
      </c>
      <c r="J5972">
        <v>1</v>
      </c>
      <c r="K5972">
        <v>1</v>
      </c>
      <c r="L5972">
        <v>1</v>
      </c>
      <c r="M5972">
        <v>12</v>
      </c>
      <c r="N5972" t="s">
        <v>37</v>
      </c>
      <c r="O5972" t="s">
        <v>32</v>
      </c>
      <c r="P5972">
        <v>2.0281849498272799</v>
      </c>
      <c r="Q5972">
        <v>0.99022133595700002</v>
      </c>
      <c r="R5972">
        <v>5.1426590850805898</v>
      </c>
      <c r="S5972">
        <v>61</v>
      </c>
      <c r="T5972">
        <v>73</v>
      </c>
      <c r="U5972">
        <v>946.77020959469598</v>
      </c>
      <c r="V5972">
        <v>2.56739409499358E-3</v>
      </c>
      <c r="W5972">
        <v>4803523.6684750598</v>
      </c>
      <c r="X5972" t="s">
        <v>36</v>
      </c>
      <c r="Y5972">
        <f>1-462-614-2113</f>
        <v>-3188</v>
      </c>
    </row>
    <row r="5973" spans="1:25" x14ac:dyDescent="0.35">
      <c r="A5973">
        <v>37.638326511777997</v>
      </c>
      <c r="B5973">
        <v>-122.807073335618</v>
      </c>
      <c r="C5973" t="s">
        <v>34</v>
      </c>
      <c r="D5973">
        <v>49.559844320271601</v>
      </c>
      <c r="E5973">
        <v>9</v>
      </c>
      <c r="F5973">
        <v>2244</v>
      </c>
      <c r="G5973">
        <v>3</v>
      </c>
      <c r="H5973">
        <v>2</v>
      </c>
      <c r="I5973">
        <v>1988</v>
      </c>
      <c r="J5973">
        <v>1</v>
      </c>
      <c r="K5973">
        <v>1</v>
      </c>
      <c r="L5973">
        <v>0</v>
      </c>
      <c r="M5973">
        <v>6</v>
      </c>
      <c r="N5973" t="s">
        <v>35</v>
      </c>
      <c r="O5973" t="s">
        <v>30</v>
      </c>
      <c r="P5973">
        <v>11.377277905074999</v>
      </c>
      <c r="Q5973">
        <v>1.10316872802634</v>
      </c>
      <c r="R5973">
        <v>9.8693386549679492</v>
      </c>
      <c r="S5973">
        <v>161</v>
      </c>
      <c r="T5973">
        <v>25</v>
      </c>
      <c r="U5973">
        <v>785.16580507860601</v>
      </c>
      <c r="V5973">
        <v>2.6737967914438501E-3</v>
      </c>
      <c r="W5973">
        <v>2048813.9438789701</v>
      </c>
      <c r="X5973" t="s">
        <v>36</v>
      </c>
      <c r="Y5973">
        <f>1-896-693-6612</f>
        <v>-8200</v>
      </c>
    </row>
    <row r="5974" spans="1:25" x14ac:dyDescent="0.35">
      <c r="A5974">
        <v>37.748164702157901</v>
      </c>
      <c r="B5974">
        <v>-121.315006234696</v>
      </c>
      <c r="C5974" t="s">
        <v>29</v>
      </c>
      <c r="D5974">
        <v>11.4807814076669</v>
      </c>
      <c r="E5974">
        <v>1</v>
      </c>
      <c r="F5974">
        <v>3489</v>
      </c>
      <c r="G5974">
        <v>4</v>
      </c>
      <c r="H5974">
        <v>1</v>
      </c>
      <c r="I5974">
        <v>2012</v>
      </c>
      <c r="J5974">
        <v>1</v>
      </c>
      <c r="K5974">
        <v>0</v>
      </c>
      <c r="L5974">
        <v>0</v>
      </c>
      <c r="M5974">
        <v>5</v>
      </c>
      <c r="N5974" t="s">
        <v>35</v>
      </c>
      <c r="O5974" t="s">
        <v>30</v>
      </c>
      <c r="P5974">
        <v>8.0902029984144495</v>
      </c>
      <c r="Q5974">
        <v>1.3832563150885999</v>
      </c>
      <c r="R5974">
        <v>2.6466454829227999</v>
      </c>
      <c r="S5974">
        <v>114</v>
      </c>
      <c r="T5974">
        <v>33</v>
      </c>
      <c r="U5974">
        <v>812.12047320043303</v>
      </c>
      <c r="V5974">
        <v>1.4330753797649699E-3</v>
      </c>
      <c r="W5974">
        <v>3154617.5199569301</v>
      </c>
      <c r="X5974" t="s">
        <v>39</v>
      </c>
      <c r="Y5974">
        <f>1-680-843-5706</f>
        <v>-7228</v>
      </c>
    </row>
    <row r="5975" spans="1:25" x14ac:dyDescent="0.35">
      <c r="A5975">
        <v>33.024406011808999</v>
      </c>
      <c r="B5975">
        <v>-116.862208695909</v>
      </c>
      <c r="C5975" t="s">
        <v>34</v>
      </c>
      <c r="D5975">
        <v>22.617702986805899</v>
      </c>
      <c r="E5975">
        <v>8</v>
      </c>
      <c r="F5975">
        <v>2871</v>
      </c>
      <c r="G5975">
        <v>4</v>
      </c>
      <c r="H5975">
        <v>3</v>
      </c>
      <c r="I5975">
        <v>1957</v>
      </c>
      <c r="J5975">
        <v>0</v>
      </c>
      <c r="K5975">
        <v>1</v>
      </c>
      <c r="L5975">
        <v>0</v>
      </c>
      <c r="M5975">
        <v>11</v>
      </c>
      <c r="N5975" t="s">
        <v>37</v>
      </c>
      <c r="O5975" t="s">
        <v>30</v>
      </c>
      <c r="P5975">
        <v>8.8799310600544299</v>
      </c>
      <c r="Q5975">
        <v>2.3855514066804702</v>
      </c>
      <c r="R5975">
        <v>7.2084567352678297</v>
      </c>
      <c r="S5975">
        <v>63</v>
      </c>
      <c r="T5975">
        <v>22</v>
      </c>
      <c r="U5975">
        <v>884.677048092988</v>
      </c>
      <c r="V5975">
        <v>3.83141762452107E-3</v>
      </c>
      <c r="W5975">
        <v>2974057.1223867</v>
      </c>
      <c r="X5975" t="s">
        <v>43</v>
      </c>
      <c r="Y5975">
        <f>1-629-682-1894</f>
        <v>-3204</v>
      </c>
    </row>
    <row r="5976" spans="1:25" x14ac:dyDescent="0.35">
      <c r="A5976">
        <v>34.439750882029301</v>
      </c>
      <c r="B5976">
        <v>-118.243853988083</v>
      </c>
      <c r="C5976" t="s">
        <v>25</v>
      </c>
      <c r="D5976">
        <v>15.001768809944799</v>
      </c>
      <c r="E5976">
        <v>0</v>
      </c>
      <c r="F5976">
        <v>2167</v>
      </c>
      <c r="G5976">
        <v>4</v>
      </c>
      <c r="H5976">
        <v>3</v>
      </c>
      <c r="I5976">
        <v>1991</v>
      </c>
      <c r="J5976">
        <v>0</v>
      </c>
      <c r="K5976">
        <v>1</v>
      </c>
      <c r="L5976">
        <v>1</v>
      </c>
      <c r="M5976">
        <v>7</v>
      </c>
      <c r="N5976" t="s">
        <v>37</v>
      </c>
      <c r="O5976" t="s">
        <v>27</v>
      </c>
      <c r="P5976">
        <v>7.9041703511867096</v>
      </c>
      <c r="Q5976">
        <v>2.0564865214200698</v>
      </c>
      <c r="R5976">
        <v>5.4526924525951599E-2</v>
      </c>
      <c r="S5976">
        <v>132</v>
      </c>
      <c r="T5976">
        <v>78</v>
      </c>
      <c r="U5976">
        <v>497.24518684582802</v>
      </c>
      <c r="V5976">
        <v>3.2302722658052599E-3</v>
      </c>
      <c r="W5976">
        <v>1486982.0119487101</v>
      </c>
      <c r="X5976" t="s">
        <v>39</v>
      </c>
      <c r="Y5976">
        <f>1-317-513-9115</f>
        <v>-9944</v>
      </c>
    </row>
    <row r="5977" spans="1:25" x14ac:dyDescent="0.35">
      <c r="A5977">
        <v>33.177207472003403</v>
      </c>
      <c r="B5977">
        <v>-115.753323240214</v>
      </c>
      <c r="C5977" t="s">
        <v>29</v>
      </c>
      <c r="D5977">
        <v>43.8293671580386</v>
      </c>
      <c r="E5977">
        <v>6</v>
      </c>
      <c r="F5977">
        <v>1531</v>
      </c>
      <c r="G5977">
        <v>2</v>
      </c>
      <c r="H5977">
        <v>3</v>
      </c>
      <c r="I5977">
        <v>1972</v>
      </c>
      <c r="J5977">
        <v>1</v>
      </c>
      <c r="K5977">
        <v>1</v>
      </c>
      <c r="L5977">
        <v>1</v>
      </c>
      <c r="M5977">
        <v>4</v>
      </c>
      <c r="N5977" t="s">
        <v>41</v>
      </c>
      <c r="O5977" t="s">
        <v>27</v>
      </c>
      <c r="P5977">
        <v>11.1871453948153</v>
      </c>
      <c r="Q5977">
        <v>2.39140467951986</v>
      </c>
      <c r="R5977">
        <v>0.54773613607981797</v>
      </c>
      <c r="S5977">
        <v>23</v>
      </c>
      <c r="T5977">
        <v>42</v>
      </c>
      <c r="U5977">
        <v>296.85684406997899</v>
      </c>
      <c r="V5977">
        <v>2.6126714565643302E-3</v>
      </c>
      <c r="W5977">
        <v>805905.82572582294</v>
      </c>
      <c r="X5977" t="s">
        <v>42</v>
      </c>
      <c r="Y5977">
        <f>1-772-826-6280</f>
        <v>-7877</v>
      </c>
    </row>
    <row r="5978" spans="1:25" x14ac:dyDescent="0.35">
      <c r="A5978">
        <v>41.979816092310003</v>
      </c>
      <c r="B5978">
        <v>-118.11381432865301</v>
      </c>
      <c r="C5978" t="s">
        <v>29</v>
      </c>
      <c r="D5978">
        <v>28.683011581074101</v>
      </c>
      <c r="E5978">
        <v>5</v>
      </c>
      <c r="F5978">
        <v>4809</v>
      </c>
      <c r="G5978">
        <v>2</v>
      </c>
      <c r="H5978">
        <v>3</v>
      </c>
      <c r="I5978">
        <v>2004</v>
      </c>
      <c r="J5978">
        <v>0</v>
      </c>
      <c r="K5978">
        <v>0</v>
      </c>
      <c r="L5978">
        <v>0</v>
      </c>
      <c r="M5978">
        <v>10</v>
      </c>
      <c r="N5978" t="s">
        <v>41</v>
      </c>
      <c r="O5978" t="s">
        <v>30</v>
      </c>
      <c r="P5978">
        <v>8.7014665009731402</v>
      </c>
      <c r="Q5978">
        <v>2.2948660661833502</v>
      </c>
      <c r="R5978">
        <v>9.6063827284383994</v>
      </c>
      <c r="S5978">
        <v>62</v>
      </c>
      <c r="T5978">
        <v>62</v>
      </c>
      <c r="U5978">
        <v>854.68140741282798</v>
      </c>
      <c r="V5978">
        <v>2.0794343938448701E-3</v>
      </c>
      <c r="W5978">
        <v>4290885.8999860501</v>
      </c>
      <c r="X5978" t="s">
        <v>38</v>
      </c>
      <c r="Y5978">
        <f>1-703-112-2404</f>
        <v>-3218</v>
      </c>
    </row>
    <row r="5979" spans="1:25" x14ac:dyDescent="0.35">
      <c r="A5979">
        <v>34.929585425524898</v>
      </c>
      <c r="B5979">
        <v>-122.25472169944101</v>
      </c>
      <c r="C5979" t="s">
        <v>25</v>
      </c>
      <c r="D5979">
        <v>27.813925327487102</v>
      </c>
      <c r="E5979">
        <v>8</v>
      </c>
      <c r="F5979">
        <v>3031</v>
      </c>
      <c r="G5979">
        <v>2</v>
      </c>
      <c r="H5979">
        <v>1</v>
      </c>
      <c r="I5979">
        <v>1953</v>
      </c>
      <c r="J5979">
        <v>0</v>
      </c>
      <c r="K5979">
        <v>1</v>
      </c>
      <c r="L5979">
        <v>1</v>
      </c>
      <c r="M5979">
        <v>13</v>
      </c>
      <c r="N5979" t="s">
        <v>37</v>
      </c>
      <c r="O5979" t="s">
        <v>32</v>
      </c>
      <c r="P5979">
        <v>13.1027528715023</v>
      </c>
      <c r="Q5979">
        <v>1.8123741671601299</v>
      </c>
      <c r="R5979">
        <v>2.1381181618926202</v>
      </c>
      <c r="S5979">
        <v>25</v>
      </c>
      <c r="T5979">
        <v>57</v>
      </c>
      <c r="U5979">
        <v>289.89317400104699</v>
      </c>
      <c r="V5979">
        <v>4.2890135268888099E-3</v>
      </c>
      <c r="W5979">
        <v>1208053.1580717601</v>
      </c>
      <c r="X5979" t="s">
        <v>40</v>
      </c>
      <c r="Y5979">
        <f>1-264-600-1361</f>
        <v>-2224</v>
      </c>
    </row>
    <row r="5980" spans="1:25" x14ac:dyDescent="0.35">
      <c r="A5980">
        <v>34.657727735486702</v>
      </c>
      <c r="B5980">
        <v>-121.69409341433</v>
      </c>
      <c r="C5980" t="s">
        <v>34</v>
      </c>
      <c r="D5980">
        <v>30.465171658066701</v>
      </c>
      <c r="E5980">
        <v>2</v>
      </c>
      <c r="F5980">
        <v>748</v>
      </c>
      <c r="G5980">
        <v>4</v>
      </c>
      <c r="H5980">
        <v>1</v>
      </c>
      <c r="I5980">
        <v>2010</v>
      </c>
      <c r="J5980">
        <v>1</v>
      </c>
      <c r="K5980">
        <v>1</v>
      </c>
      <c r="L5980">
        <v>0</v>
      </c>
      <c r="M5980">
        <v>12</v>
      </c>
      <c r="N5980" t="s">
        <v>35</v>
      </c>
      <c r="O5980" t="s">
        <v>32</v>
      </c>
      <c r="P5980">
        <v>11.6714226419413</v>
      </c>
      <c r="Q5980">
        <v>1.45598261200184</v>
      </c>
      <c r="R5980">
        <v>3.0913167147736602</v>
      </c>
      <c r="S5980">
        <v>118</v>
      </c>
      <c r="T5980">
        <v>49</v>
      </c>
      <c r="U5980">
        <v>807.99578959241296</v>
      </c>
      <c r="V5980">
        <v>1.60427807486631E-2</v>
      </c>
      <c r="W5980">
        <v>1116014.69616276</v>
      </c>
      <c r="X5980" t="s">
        <v>28</v>
      </c>
      <c r="Y5980">
        <f>1-691-560-2000</f>
        <v>-3250</v>
      </c>
    </row>
    <row r="5981" spans="1:25" x14ac:dyDescent="0.35">
      <c r="A5981">
        <v>40.319540014781097</v>
      </c>
      <c r="B5981">
        <v>-114.062258280124</v>
      </c>
      <c r="C5981" t="s">
        <v>29</v>
      </c>
      <c r="D5981">
        <v>38.198659433391597</v>
      </c>
      <c r="E5981">
        <v>2</v>
      </c>
      <c r="F5981">
        <v>4294</v>
      </c>
      <c r="G5981">
        <v>1</v>
      </c>
      <c r="H5981">
        <v>3</v>
      </c>
      <c r="I5981">
        <v>1998</v>
      </c>
      <c r="J5981">
        <v>0</v>
      </c>
      <c r="K5981">
        <v>1</v>
      </c>
      <c r="L5981">
        <v>1</v>
      </c>
      <c r="M5981">
        <v>10</v>
      </c>
      <c r="N5981" t="s">
        <v>26</v>
      </c>
      <c r="O5981" t="s">
        <v>30</v>
      </c>
      <c r="P5981">
        <v>5.8049630995845796</v>
      </c>
      <c r="Q5981">
        <v>1.29391010666146</v>
      </c>
      <c r="R5981">
        <v>2.3440726571953201</v>
      </c>
      <c r="S5981">
        <v>154</v>
      </c>
      <c r="T5981">
        <v>29</v>
      </c>
      <c r="U5981">
        <v>503.83967081767901</v>
      </c>
      <c r="V5981">
        <v>2.3288309268746999E-3</v>
      </c>
      <c r="W5981">
        <v>2451301.95962208</v>
      </c>
      <c r="X5981" t="s">
        <v>36</v>
      </c>
      <c r="Y5981">
        <f>1-853-412-8014</f>
        <v>-9278</v>
      </c>
    </row>
    <row r="5982" spans="1:25" x14ac:dyDescent="0.35">
      <c r="A5982">
        <v>36.7607797603021</v>
      </c>
      <c r="B5982">
        <v>-116.322179180454</v>
      </c>
      <c r="C5982" t="s">
        <v>34</v>
      </c>
      <c r="D5982">
        <v>21.4423485185381</v>
      </c>
      <c r="E5982">
        <v>5</v>
      </c>
      <c r="F5982">
        <v>3388</v>
      </c>
      <c r="G5982">
        <v>2</v>
      </c>
      <c r="H5982">
        <v>3</v>
      </c>
      <c r="I5982">
        <v>2018</v>
      </c>
      <c r="J5982">
        <v>1</v>
      </c>
      <c r="K5982">
        <v>0</v>
      </c>
      <c r="L5982">
        <v>0</v>
      </c>
      <c r="M5982">
        <v>10</v>
      </c>
      <c r="N5982" t="s">
        <v>26</v>
      </c>
      <c r="O5982" t="s">
        <v>32</v>
      </c>
      <c r="P5982">
        <v>4.9793560015915297</v>
      </c>
      <c r="Q5982">
        <v>1.3998083117901701</v>
      </c>
      <c r="R5982">
        <v>5.6915893309408103</v>
      </c>
      <c r="S5982">
        <v>92</v>
      </c>
      <c r="T5982">
        <v>53</v>
      </c>
      <c r="U5982">
        <v>709.09497035421396</v>
      </c>
      <c r="V5982">
        <v>2.9515938606847602E-3</v>
      </c>
      <c r="W5982">
        <v>2611847.5566684301</v>
      </c>
      <c r="X5982" t="s">
        <v>33</v>
      </c>
      <c r="Y5982">
        <f>1-407-527-3284</f>
        <v>-4217</v>
      </c>
    </row>
    <row r="5983" spans="1:25" x14ac:dyDescent="0.35">
      <c r="A5983">
        <v>34.426599100305502</v>
      </c>
      <c r="B5983">
        <v>-123.069027055736</v>
      </c>
      <c r="C5983" t="s">
        <v>25</v>
      </c>
      <c r="D5983">
        <v>22.624148790789199</v>
      </c>
      <c r="E5983">
        <v>6</v>
      </c>
      <c r="F5983">
        <v>1154</v>
      </c>
      <c r="G5983">
        <v>1</v>
      </c>
      <c r="H5983">
        <v>3</v>
      </c>
      <c r="I5983">
        <v>1994</v>
      </c>
      <c r="J5983">
        <v>0</v>
      </c>
      <c r="K5983">
        <v>1</v>
      </c>
      <c r="L5983">
        <v>0</v>
      </c>
      <c r="M5983">
        <v>7</v>
      </c>
      <c r="N5983" t="s">
        <v>35</v>
      </c>
      <c r="O5983" t="s">
        <v>27</v>
      </c>
      <c r="P5983">
        <v>14.552199232042399</v>
      </c>
      <c r="Q5983">
        <v>0.56157359477887603</v>
      </c>
      <c r="R5983">
        <v>7.9919318295038204</v>
      </c>
      <c r="S5983">
        <v>158</v>
      </c>
      <c r="T5983">
        <v>67</v>
      </c>
      <c r="U5983">
        <v>266.66633241869101</v>
      </c>
      <c r="V5983">
        <v>6.0658578856152504E-3</v>
      </c>
      <c r="W5983">
        <v>613039.63173549098</v>
      </c>
      <c r="X5983" t="s">
        <v>43</v>
      </c>
      <c r="Y5983">
        <f>1-652-632-1605</f>
        <v>-2888</v>
      </c>
    </row>
    <row r="5984" spans="1:25" x14ac:dyDescent="0.35">
      <c r="A5984">
        <v>40.009840403038297</v>
      </c>
      <c r="B5984">
        <v>-117.852626071919</v>
      </c>
      <c r="C5984" t="s">
        <v>34</v>
      </c>
      <c r="D5984">
        <v>47.571595789365901</v>
      </c>
      <c r="E5984">
        <v>0</v>
      </c>
      <c r="F5984">
        <v>794</v>
      </c>
      <c r="G5984">
        <v>1</v>
      </c>
      <c r="H5984">
        <v>3</v>
      </c>
      <c r="I5984">
        <v>2010</v>
      </c>
      <c r="J5984">
        <v>0</v>
      </c>
      <c r="K5984">
        <v>0</v>
      </c>
      <c r="L5984">
        <v>1</v>
      </c>
      <c r="M5984">
        <v>7</v>
      </c>
      <c r="N5984" t="s">
        <v>41</v>
      </c>
      <c r="O5984" t="s">
        <v>27</v>
      </c>
      <c r="P5984">
        <v>7.03549859167188</v>
      </c>
      <c r="Q5984">
        <v>1.8945402898577</v>
      </c>
      <c r="R5984">
        <v>3.2376038314031601</v>
      </c>
      <c r="S5984">
        <v>41</v>
      </c>
      <c r="T5984">
        <v>72</v>
      </c>
      <c r="U5984">
        <v>879.92336303859395</v>
      </c>
      <c r="V5984">
        <v>8.8161209068010008E-3</v>
      </c>
      <c r="W5984">
        <v>881869.73860210995</v>
      </c>
      <c r="X5984" t="s">
        <v>40</v>
      </c>
      <c r="Y5984">
        <f>1-907-710-5779</f>
        <v>-7395</v>
      </c>
    </row>
    <row r="5985" spans="1:25" x14ac:dyDescent="0.35">
      <c r="A5985">
        <v>36.223629486312397</v>
      </c>
      <c r="B5985">
        <v>-124.345709958486</v>
      </c>
      <c r="C5985" t="s">
        <v>34</v>
      </c>
      <c r="D5985">
        <v>46.920786415583002</v>
      </c>
      <c r="E5985">
        <v>1</v>
      </c>
      <c r="F5985">
        <v>4351</v>
      </c>
      <c r="G5985">
        <v>2</v>
      </c>
      <c r="H5985">
        <v>1</v>
      </c>
      <c r="I5985">
        <v>1972</v>
      </c>
      <c r="J5985">
        <v>1</v>
      </c>
      <c r="K5985">
        <v>1</v>
      </c>
      <c r="L5985">
        <v>0</v>
      </c>
      <c r="M5985">
        <v>12</v>
      </c>
      <c r="N5985" t="s">
        <v>37</v>
      </c>
      <c r="O5985" t="s">
        <v>27</v>
      </c>
      <c r="P5985">
        <v>9.3747098285514205</v>
      </c>
      <c r="Q5985">
        <v>0.76779039052014497</v>
      </c>
      <c r="R5985">
        <v>3.8102866571792</v>
      </c>
      <c r="S5985">
        <v>114</v>
      </c>
      <c r="T5985">
        <v>77</v>
      </c>
      <c r="U5985">
        <v>481.73344231420498</v>
      </c>
      <c r="V5985">
        <v>2.7579866697310901E-3</v>
      </c>
      <c r="W5985">
        <v>2327386.9175607502</v>
      </c>
      <c r="X5985" t="s">
        <v>42</v>
      </c>
      <c r="Y5985">
        <f>1-844-806-2247</f>
        <v>-3896</v>
      </c>
    </row>
    <row r="5986" spans="1:25" x14ac:dyDescent="0.35">
      <c r="A5986">
        <v>41.011730850030702</v>
      </c>
      <c r="B5986">
        <v>-122.79438093657301</v>
      </c>
      <c r="C5986" t="s">
        <v>34</v>
      </c>
      <c r="D5986">
        <v>22.042732865063101</v>
      </c>
      <c r="E5986">
        <v>6</v>
      </c>
      <c r="F5986">
        <v>2395</v>
      </c>
      <c r="G5986">
        <v>2</v>
      </c>
      <c r="H5986">
        <v>1</v>
      </c>
      <c r="I5986">
        <v>1977</v>
      </c>
      <c r="J5986">
        <v>0</v>
      </c>
      <c r="K5986">
        <v>0</v>
      </c>
      <c r="L5986">
        <v>1</v>
      </c>
      <c r="M5986">
        <v>8</v>
      </c>
      <c r="N5986" t="s">
        <v>35</v>
      </c>
      <c r="O5986" t="s">
        <v>27</v>
      </c>
      <c r="P5986">
        <v>2.1922838702481999</v>
      </c>
      <c r="Q5986">
        <v>1.73969168286994</v>
      </c>
      <c r="R5986">
        <v>5.1974920505931701</v>
      </c>
      <c r="S5986">
        <v>95</v>
      </c>
      <c r="T5986">
        <v>26</v>
      </c>
      <c r="U5986">
        <v>280.36272073548503</v>
      </c>
      <c r="V5986">
        <v>3.3402922755741099E-3</v>
      </c>
      <c r="W5986">
        <v>775316.35443817405</v>
      </c>
      <c r="X5986" t="s">
        <v>40</v>
      </c>
      <c r="Y5986">
        <f>1-874-186-3304</f>
        <v>-4363</v>
      </c>
    </row>
    <row r="5987" spans="1:25" x14ac:dyDescent="0.35">
      <c r="A5987">
        <v>38.125649734610803</v>
      </c>
      <c r="B5987">
        <v>-122.89225952784101</v>
      </c>
      <c r="C5987" t="s">
        <v>34</v>
      </c>
      <c r="D5987">
        <v>16.723033932517801</v>
      </c>
      <c r="E5987">
        <v>6</v>
      </c>
      <c r="F5987">
        <v>2829</v>
      </c>
      <c r="G5987">
        <v>3</v>
      </c>
      <c r="H5987">
        <v>1</v>
      </c>
      <c r="I5987">
        <v>1979</v>
      </c>
      <c r="J5987">
        <v>1</v>
      </c>
      <c r="K5987">
        <v>1</v>
      </c>
      <c r="L5987">
        <v>0</v>
      </c>
      <c r="M5987">
        <v>7</v>
      </c>
      <c r="N5987" t="s">
        <v>37</v>
      </c>
      <c r="O5987" t="s">
        <v>27</v>
      </c>
      <c r="P5987">
        <v>10.073421151406</v>
      </c>
      <c r="Q5987">
        <v>2.4933187930597498</v>
      </c>
      <c r="R5987">
        <v>5.7300725591742996</v>
      </c>
      <c r="S5987">
        <v>148</v>
      </c>
      <c r="T5987">
        <v>53</v>
      </c>
      <c r="U5987">
        <v>566.22164247329795</v>
      </c>
      <c r="V5987">
        <v>2.47437256981265E-3</v>
      </c>
      <c r="W5987">
        <v>1875964.6985955599</v>
      </c>
      <c r="X5987" t="s">
        <v>44</v>
      </c>
      <c r="Y5987">
        <f>1-410-496-6089</f>
        <v>-6994</v>
      </c>
    </row>
    <row r="5988" spans="1:25" x14ac:dyDescent="0.35">
      <c r="A5988">
        <v>32.691704696548499</v>
      </c>
      <c r="B5988">
        <v>-118.652836320571</v>
      </c>
      <c r="C5988" t="s">
        <v>29</v>
      </c>
      <c r="D5988">
        <v>3.49068002154924</v>
      </c>
      <c r="E5988">
        <v>4</v>
      </c>
      <c r="F5988">
        <v>2331</v>
      </c>
      <c r="G5988">
        <v>2</v>
      </c>
      <c r="H5988">
        <v>2</v>
      </c>
      <c r="I5988">
        <v>1981</v>
      </c>
      <c r="J5988">
        <v>0</v>
      </c>
      <c r="K5988">
        <v>0</v>
      </c>
      <c r="L5988">
        <v>1</v>
      </c>
      <c r="M5988">
        <v>8</v>
      </c>
      <c r="N5988" t="s">
        <v>41</v>
      </c>
      <c r="O5988" t="s">
        <v>30</v>
      </c>
      <c r="P5988">
        <v>4.3620987039618102</v>
      </c>
      <c r="Q5988">
        <v>1.4187879606643801</v>
      </c>
      <c r="R5988">
        <v>3.4214843180813399</v>
      </c>
      <c r="S5988">
        <v>115</v>
      </c>
      <c r="T5988">
        <v>36</v>
      </c>
      <c r="U5988">
        <v>850.60933293407402</v>
      </c>
      <c r="V5988">
        <v>3.4320034320034299E-3</v>
      </c>
      <c r="W5988">
        <v>2133457.86330094</v>
      </c>
      <c r="X5988" t="s">
        <v>40</v>
      </c>
      <c r="Y5988">
        <f>1-539-563-8475</f>
        <v>-9576</v>
      </c>
    </row>
    <row r="5989" spans="1:25" x14ac:dyDescent="0.35">
      <c r="A5989">
        <v>39.329546523009498</v>
      </c>
      <c r="B5989">
        <v>-118.015311477197</v>
      </c>
      <c r="C5989" t="s">
        <v>34</v>
      </c>
      <c r="D5989">
        <v>19.098356961224798</v>
      </c>
      <c r="E5989">
        <v>7</v>
      </c>
      <c r="F5989">
        <v>4923</v>
      </c>
      <c r="G5989">
        <v>4</v>
      </c>
      <c r="H5989">
        <v>2</v>
      </c>
      <c r="I5989">
        <v>2009</v>
      </c>
      <c r="J5989">
        <v>1</v>
      </c>
      <c r="K5989">
        <v>0</v>
      </c>
      <c r="L5989">
        <v>1</v>
      </c>
      <c r="M5989">
        <v>14</v>
      </c>
      <c r="N5989" t="s">
        <v>41</v>
      </c>
      <c r="O5989" t="s">
        <v>32</v>
      </c>
      <c r="P5989">
        <v>8.7422823248305406</v>
      </c>
      <c r="Q5989">
        <v>0.68989184889090605</v>
      </c>
      <c r="R5989">
        <v>1.1366347423560601</v>
      </c>
      <c r="S5989">
        <v>22</v>
      </c>
      <c r="T5989">
        <v>27</v>
      </c>
      <c r="U5989">
        <v>540.59422001802795</v>
      </c>
      <c r="V5989">
        <v>2.8437944342880302E-3</v>
      </c>
      <c r="W5989">
        <v>3068363.7150232601</v>
      </c>
      <c r="X5989" t="s">
        <v>33</v>
      </c>
      <c r="Y5989">
        <f>1-898-845-8683</f>
        <v>-10425</v>
      </c>
    </row>
    <row r="5990" spans="1:25" x14ac:dyDescent="0.35">
      <c r="A5990">
        <v>34.934739210034699</v>
      </c>
      <c r="B5990">
        <v>-117.03001323210999</v>
      </c>
      <c r="C5990" t="s">
        <v>25</v>
      </c>
      <c r="D5990">
        <v>48.109166047855602</v>
      </c>
      <c r="E5990">
        <v>7</v>
      </c>
      <c r="F5990">
        <v>816</v>
      </c>
      <c r="G5990">
        <v>5</v>
      </c>
      <c r="H5990">
        <v>3</v>
      </c>
      <c r="I5990">
        <v>1992</v>
      </c>
      <c r="J5990">
        <v>0</v>
      </c>
      <c r="K5990">
        <v>0</v>
      </c>
      <c r="L5990">
        <v>1</v>
      </c>
      <c r="M5990">
        <v>6</v>
      </c>
      <c r="N5990" t="s">
        <v>41</v>
      </c>
      <c r="O5990" t="s">
        <v>30</v>
      </c>
      <c r="P5990">
        <v>12.6822620432468</v>
      </c>
      <c r="Q5990">
        <v>0.77145978201767296</v>
      </c>
      <c r="R5990">
        <v>7.2567787429173798</v>
      </c>
      <c r="S5990">
        <v>44</v>
      </c>
      <c r="T5990">
        <v>41</v>
      </c>
      <c r="U5990">
        <v>534.062377468676</v>
      </c>
      <c r="V5990">
        <v>7.3529411764705803E-3</v>
      </c>
      <c r="W5990">
        <v>806575.48267397506</v>
      </c>
      <c r="X5990" t="s">
        <v>43</v>
      </c>
      <c r="Y5990">
        <f>1-487-738-2859</f>
        <v>-4083</v>
      </c>
    </row>
    <row r="5991" spans="1:25" x14ac:dyDescent="0.35">
      <c r="A5991">
        <v>33.763024702923403</v>
      </c>
      <c r="B5991">
        <v>-122.93048953660001</v>
      </c>
      <c r="C5991" t="s">
        <v>34</v>
      </c>
      <c r="D5991">
        <v>43.084131268785796</v>
      </c>
      <c r="E5991">
        <v>6</v>
      </c>
      <c r="F5991">
        <v>2629</v>
      </c>
      <c r="G5991">
        <v>4</v>
      </c>
      <c r="H5991">
        <v>3</v>
      </c>
      <c r="I5991">
        <v>1976</v>
      </c>
      <c r="J5991">
        <v>1</v>
      </c>
      <c r="K5991">
        <v>1</v>
      </c>
      <c r="L5991">
        <v>0</v>
      </c>
      <c r="M5991">
        <v>5</v>
      </c>
      <c r="N5991" t="s">
        <v>37</v>
      </c>
      <c r="O5991" t="s">
        <v>32</v>
      </c>
      <c r="P5991">
        <v>7.6972729050486404</v>
      </c>
      <c r="Q5991">
        <v>1.81425891049698</v>
      </c>
      <c r="R5991">
        <v>1.8560455116357499</v>
      </c>
      <c r="S5991">
        <v>123</v>
      </c>
      <c r="T5991">
        <v>53</v>
      </c>
      <c r="U5991">
        <v>835.70805312425705</v>
      </c>
      <c r="V5991">
        <v>1.90186382655001E-3</v>
      </c>
      <c r="W5991">
        <v>2622259.2966208402</v>
      </c>
      <c r="X5991" t="s">
        <v>33</v>
      </c>
      <c r="Y5991">
        <f>1-383-873-2748</f>
        <v>-4003</v>
      </c>
    </row>
    <row r="5992" spans="1:25" x14ac:dyDescent="0.35">
      <c r="A5992">
        <v>39.365509910290299</v>
      </c>
      <c r="B5992">
        <v>-117.727332420416</v>
      </c>
      <c r="C5992" t="s">
        <v>29</v>
      </c>
      <c r="D5992">
        <v>37.913249373686</v>
      </c>
      <c r="E5992">
        <v>1</v>
      </c>
      <c r="F5992">
        <v>4002</v>
      </c>
      <c r="G5992">
        <v>3</v>
      </c>
      <c r="H5992">
        <v>2</v>
      </c>
      <c r="I5992">
        <v>2000</v>
      </c>
      <c r="J5992">
        <v>0</v>
      </c>
      <c r="K5992">
        <v>0</v>
      </c>
      <c r="L5992">
        <v>0</v>
      </c>
      <c r="M5992">
        <v>5</v>
      </c>
      <c r="N5992" t="s">
        <v>35</v>
      </c>
      <c r="O5992" t="s">
        <v>32</v>
      </c>
      <c r="P5992">
        <v>14.227242561428501</v>
      </c>
      <c r="Q5992">
        <v>1.21467445154763</v>
      </c>
      <c r="R5992">
        <v>6.5883670787757298</v>
      </c>
      <c r="S5992">
        <v>9</v>
      </c>
      <c r="T5992">
        <v>67</v>
      </c>
      <c r="U5992">
        <v>870.94554595632599</v>
      </c>
      <c r="V5992">
        <v>1.2493753123438199E-3</v>
      </c>
      <c r="W5992">
        <v>3778253.81369936</v>
      </c>
      <c r="X5992" t="s">
        <v>38</v>
      </c>
      <c r="Y5992">
        <f>1-855-403-5958</f>
        <v>-7215</v>
      </c>
    </row>
    <row r="5993" spans="1:25" x14ac:dyDescent="0.35">
      <c r="A5993">
        <v>37.480891946048096</v>
      </c>
      <c r="B5993">
        <v>-122.270909111121</v>
      </c>
      <c r="C5993" t="s">
        <v>29</v>
      </c>
      <c r="D5993">
        <v>49.993450829268703</v>
      </c>
      <c r="E5993">
        <v>0</v>
      </c>
      <c r="F5993">
        <v>1954</v>
      </c>
      <c r="G5993">
        <v>1</v>
      </c>
      <c r="H5993">
        <v>3</v>
      </c>
      <c r="I5993">
        <v>1990</v>
      </c>
      <c r="J5993">
        <v>1</v>
      </c>
      <c r="K5993">
        <v>1</v>
      </c>
      <c r="L5993">
        <v>1</v>
      </c>
      <c r="M5993">
        <v>6</v>
      </c>
      <c r="N5993" t="s">
        <v>37</v>
      </c>
      <c r="O5993" t="s">
        <v>30</v>
      </c>
      <c r="P5993">
        <v>11.2817041243809</v>
      </c>
      <c r="Q5993">
        <v>1.9862956410624699</v>
      </c>
      <c r="R5993">
        <v>0.63659329747729299</v>
      </c>
      <c r="S5993">
        <v>92</v>
      </c>
      <c r="T5993">
        <v>21</v>
      </c>
      <c r="U5993">
        <v>575.71731876420199</v>
      </c>
      <c r="V5993">
        <v>3.0706243602865902E-3</v>
      </c>
      <c r="W5993">
        <v>1526947.3558347099</v>
      </c>
      <c r="X5993" t="s">
        <v>38</v>
      </c>
      <c r="Y5993">
        <f>1-686-402-5022</f>
        <v>-6109</v>
      </c>
    </row>
    <row r="5994" spans="1:25" x14ac:dyDescent="0.35">
      <c r="A5994">
        <v>32.818429626118302</v>
      </c>
      <c r="B5994">
        <v>-122.747371803558</v>
      </c>
      <c r="C5994" t="s">
        <v>34</v>
      </c>
      <c r="D5994">
        <v>12.007176284290599</v>
      </c>
      <c r="E5994">
        <v>5</v>
      </c>
      <c r="F5994">
        <v>2988</v>
      </c>
      <c r="G5994">
        <v>5</v>
      </c>
      <c r="H5994">
        <v>2</v>
      </c>
      <c r="I5994">
        <v>2004</v>
      </c>
      <c r="J5994">
        <v>1</v>
      </c>
      <c r="K5994">
        <v>1</v>
      </c>
      <c r="L5994">
        <v>1</v>
      </c>
      <c r="M5994">
        <v>13</v>
      </c>
      <c r="N5994" t="s">
        <v>26</v>
      </c>
      <c r="O5994" t="s">
        <v>32</v>
      </c>
      <c r="P5994">
        <v>5.4170171927489497</v>
      </c>
      <c r="Q5994">
        <v>1.3959943070324901</v>
      </c>
      <c r="R5994">
        <v>1.98182261160849</v>
      </c>
      <c r="S5994">
        <v>3</v>
      </c>
      <c r="T5994">
        <v>48</v>
      </c>
      <c r="U5994">
        <v>342.45859894896898</v>
      </c>
      <c r="V5994">
        <v>4.3507362784471204E-3</v>
      </c>
      <c r="W5994">
        <v>1557716.20054404</v>
      </c>
      <c r="X5994" t="s">
        <v>36</v>
      </c>
      <c r="Y5994">
        <f>1-262-151-7668</f>
        <v>-8080</v>
      </c>
    </row>
    <row r="5995" spans="1:25" x14ac:dyDescent="0.35">
      <c r="A5995">
        <v>40.386209336511001</v>
      </c>
      <c r="B5995">
        <v>-115.01589482065199</v>
      </c>
      <c r="C5995" t="s">
        <v>25</v>
      </c>
      <c r="D5995">
        <v>25.6904156364246</v>
      </c>
      <c r="E5995">
        <v>6</v>
      </c>
      <c r="F5995">
        <v>3397</v>
      </c>
      <c r="G5995">
        <v>4</v>
      </c>
      <c r="H5995">
        <v>3</v>
      </c>
      <c r="I5995">
        <v>1951</v>
      </c>
      <c r="J5995">
        <v>1</v>
      </c>
      <c r="K5995">
        <v>0</v>
      </c>
      <c r="L5995">
        <v>0</v>
      </c>
      <c r="M5995">
        <v>7</v>
      </c>
      <c r="N5995" t="s">
        <v>41</v>
      </c>
      <c r="O5995" t="s">
        <v>32</v>
      </c>
      <c r="P5995">
        <v>6.6671089466277103</v>
      </c>
      <c r="Q5995">
        <v>1.0531520144158599</v>
      </c>
      <c r="R5995">
        <v>4.5429387330457898</v>
      </c>
      <c r="S5995">
        <v>170</v>
      </c>
      <c r="T5995">
        <v>26</v>
      </c>
      <c r="U5995">
        <v>841.88080486825299</v>
      </c>
      <c r="V5995">
        <v>2.0606417427141499E-3</v>
      </c>
      <c r="W5995">
        <v>3138135.8009452699</v>
      </c>
      <c r="X5995" t="s">
        <v>33</v>
      </c>
      <c r="Y5995">
        <f>1-584-284-1754</f>
        <v>-2621</v>
      </c>
    </row>
    <row r="5996" spans="1:25" x14ac:dyDescent="0.35">
      <c r="A5996">
        <v>41.593040391430002</v>
      </c>
      <c r="B5996">
        <v>-116.149197350881</v>
      </c>
      <c r="C5996" t="s">
        <v>29</v>
      </c>
      <c r="D5996">
        <v>42.340810978301697</v>
      </c>
      <c r="E5996">
        <v>5</v>
      </c>
      <c r="F5996">
        <v>4908</v>
      </c>
      <c r="G5996">
        <v>3</v>
      </c>
      <c r="H5996">
        <v>1</v>
      </c>
      <c r="I5996">
        <v>1964</v>
      </c>
      <c r="J5996">
        <v>0</v>
      </c>
      <c r="K5996">
        <v>0</v>
      </c>
      <c r="L5996">
        <v>0</v>
      </c>
      <c r="M5996">
        <v>14</v>
      </c>
      <c r="N5996" t="s">
        <v>26</v>
      </c>
      <c r="O5996" t="s">
        <v>30</v>
      </c>
      <c r="P5996">
        <v>2.5990479260526298</v>
      </c>
      <c r="Q5996">
        <v>2.0816672247108601</v>
      </c>
      <c r="R5996">
        <v>5.9219882504972903</v>
      </c>
      <c r="S5996">
        <v>152</v>
      </c>
      <c r="T5996">
        <v>35</v>
      </c>
      <c r="U5996">
        <v>205.84391477847799</v>
      </c>
      <c r="V5996">
        <v>2.8524857375713101E-3</v>
      </c>
      <c r="W5996">
        <v>1119147.17387175</v>
      </c>
      <c r="X5996" t="s">
        <v>36</v>
      </c>
      <c r="Y5996">
        <f>1-674-998-9966</f>
        <v>-11637</v>
      </c>
    </row>
    <row r="5997" spans="1:25" x14ac:dyDescent="0.35">
      <c r="A5997">
        <v>34.857628693550602</v>
      </c>
      <c r="B5997">
        <v>-119.321066890661</v>
      </c>
      <c r="C5997" t="s">
        <v>25</v>
      </c>
      <c r="D5997">
        <v>22.284506725225899</v>
      </c>
      <c r="E5997">
        <v>1</v>
      </c>
      <c r="F5997">
        <v>547</v>
      </c>
      <c r="G5997">
        <v>4</v>
      </c>
      <c r="H5997">
        <v>3</v>
      </c>
      <c r="I5997">
        <v>1965</v>
      </c>
      <c r="J5997">
        <v>1</v>
      </c>
      <c r="K5997">
        <v>1</v>
      </c>
      <c r="L5997">
        <v>1</v>
      </c>
      <c r="M5997">
        <v>11</v>
      </c>
      <c r="N5997" t="s">
        <v>26</v>
      </c>
      <c r="O5997" t="s">
        <v>30</v>
      </c>
      <c r="P5997">
        <v>8.2004100209360704</v>
      </c>
      <c r="Q5997">
        <v>2.1400691993857102</v>
      </c>
      <c r="R5997">
        <v>9.6186528454365092</v>
      </c>
      <c r="S5997">
        <v>190</v>
      </c>
      <c r="T5997">
        <v>26</v>
      </c>
      <c r="U5997">
        <v>895.84470215813201</v>
      </c>
      <c r="V5997">
        <v>2.0109689213893899E-2</v>
      </c>
      <c r="W5997">
        <v>922616.658888801</v>
      </c>
      <c r="X5997" t="s">
        <v>44</v>
      </c>
      <c r="Y5997">
        <f>1-720-454-2656</f>
        <v>-3829</v>
      </c>
    </row>
    <row r="5998" spans="1:25" x14ac:dyDescent="0.35">
      <c r="A5998">
        <v>35.301316907371103</v>
      </c>
      <c r="B5998">
        <v>-114.38166217932501</v>
      </c>
      <c r="C5998" t="s">
        <v>29</v>
      </c>
      <c r="D5998">
        <v>16.702921484862902</v>
      </c>
      <c r="E5998">
        <v>4</v>
      </c>
      <c r="F5998">
        <v>3975</v>
      </c>
      <c r="G5998">
        <v>1</v>
      </c>
      <c r="H5998">
        <v>3</v>
      </c>
      <c r="I5998">
        <v>1998</v>
      </c>
      <c r="J5998">
        <v>0</v>
      </c>
      <c r="K5998">
        <v>0</v>
      </c>
      <c r="L5998">
        <v>0</v>
      </c>
      <c r="M5998">
        <v>11</v>
      </c>
      <c r="N5998" t="s">
        <v>41</v>
      </c>
      <c r="O5998" t="s">
        <v>27</v>
      </c>
      <c r="P5998">
        <v>3.5143786839678399</v>
      </c>
      <c r="Q5998">
        <v>0.827948131725602</v>
      </c>
      <c r="R5998">
        <v>4.4632099177959397</v>
      </c>
      <c r="S5998">
        <v>161</v>
      </c>
      <c r="T5998">
        <v>42</v>
      </c>
      <c r="U5998">
        <v>904.065029240591</v>
      </c>
      <c r="V5998">
        <v>2.7672955974842699E-3</v>
      </c>
      <c r="W5998">
        <v>3708340.5216057301</v>
      </c>
      <c r="X5998" t="s">
        <v>33</v>
      </c>
      <c r="Y5998">
        <f>1-210-648-1861</f>
        <v>-2718</v>
      </c>
    </row>
    <row r="5999" spans="1:25" x14ac:dyDescent="0.35">
      <c r="A5999">
        <v>41.236712001563397</v>
      </c>
      <c r="B5999">
        <v>-119.34412292666499</v>
      </c>
      <c r="C5999" t="s">
        <v>34</v>
      </c>
      <c r="D5999">
        <v>16.760247350980698</v>
      </c>
      <c r="E5999">
        <v>3</v>
      </c>
      <c r="F5999">
        <v>3796</v>
      </c>
      <c r="G5999">
        <v>1</v>
      </c>
      <c r="H5999">
        <v>3</v>
      </c>
      <c r="I5999">
        <v>1956</v>
      </c>
      <c r="J5999">
        <v>1</v>
      </c>
      <c r="K5999">
        <v>1</v>
      </c>
      <c r="L5999">
        <v>1</v>
      </c>
      <c r="M5999">
        <v>6</v>
      </c>
      <c r="N5999" t="s">
        <v>37</v>
      </c>
      <c r="O5999" t="s">
        <v>30</v>
      </c>
      <c r="P5999">
        <v>14.9891027991969</v>
      </c>
      <c r="Q5999">
        <v>2.22240584767408</v>
      </c>
      <c r="R5999">
        <v>1.8981943525273699</v>
      </c>
      <c r="S5999">
        <v>76</v>
      </c>
      <c r="T5999">
        <v>57</v>
      </c>
      <c r="U5999">
        <v>617.87005315930298</v>
      </c>
      <c r="V5999">
        <v>1.5806111696522599E-3</v>
      </c>
      <c r="W5999">
        <v>2645870.6441187998</v>
      </c>
      <c r="X5999" t="s">
        <v>28</v>
      </c>
      <c r="Y5999">
        <f>1-536-866-2818</f>
        <v>-4219</v>
      </c>
    </row>
    <row r="6000" spans="1:25" x14ac:dyDescent="0.35">
      <c r="A6000">
        <v>33.884684610845603</v>
      </c>
      <c r="B6000">
        <v>-122.79657145816201</v>
      </c>
      <c r="C6000" t="s">
        <v>29</v>
      </c>
      <c r="D6000">
        <v>46.6037525549675</v>
      </c>
      <c r="E6000">
        <v>8</v>
      </c>
      <c r="F6000">
        <v>991</v>
      </c>
      <c r="G6000">
        <v>2</v>
      </c>
      <c r="H6000">
        <v>2</v>
      </c>
      <c r="I6000">
        <v>1993</v>
      </c>
      <c r="J6000">
        <v>1</v>
      </c>
      <c r="K6000">
        <v>0</v>
      </c>
      <c r="L6000">
        <v>0</v>
      </c>
      <c r="M6000">
        <v>3</v>
      </c>
      <c r="N6000" t="s">
        <v>37</v>
      </c>
      <c r="O6000" t="s">
        <v>30</v>
      </c>
      <c r="P6000">
        <v>8.7248331725271004</v>
      </c>
      <c r="Q6000">
        <v>1.75232470961673</v>
      </c>
      <c r="R6000">
        <v>6.3308570615304598</v>
      </c>
      <c r="S6000">
        <v>144</v>
      </c>
      <c r="T6000">
        <v>23</v>
      </c>
      <c r="U6000">
        <v>672.552605003189</v>
      </c>
      <c r="V6000">
        <v>3.02724520686175E-3</v>
      </c>
      <c r="W6000">
        <v>857944.87600049202</v>
      </c>
      <c r="X6000" t="s">
        <v>38</v>
      </c>
      <c r="Y6000">
        <f>1-545-754-9684</f>
        <v>-10982</v>
      </c>
    </row>
    <row r="6001" spans="1:25" x14ac:dyDescent="0.35">
      <c r="A6001">
        <v>38.748114541968</v>
      </c>
      <c r="B6001">
        <v>-114.606813772305</v>
      </c>
      <c r="C6001" t="s">
        <v>25</v>
      </c>
      <c r="D6001">
        <v>29.102505538013101</v>
      </c>
      <c r="E6001">
        <v>9</v>
      </c>
      <c r="F6001">
        <v>1780</v>
      </c>
      <c r="G6001">
        <v>2</v>
      </c>
      <c r="H6001">
        <v>2</v>
      </c>
      <c r="I6001">
        <v>1986</v>
      </c>
      <c r="J6001">
        <v>1</v>
      </c>
      <c r="K6001">
        <v>0</v>
      </c>
      <c r="L6001">
        <v>0</v>
      </c>
      <c r="M6001">
        <v>14</v>
      </c>
      <c r="N6001" t="s">
        <v>35</v>
      </c>
      <c r="O6001" t="s">
        <v>32</v>
      </c>
      <c r="P6001">
        <v>9.2766820082945909</v>
      </c>
      <c r="Q6001">
        <v>0.94206791783229504</v>
      </c>
      <c r="R6001">
        <v>7.7206399872481697</v>
      </c>
      <c r="S6001">
        <v>178</v>
      </c>
      <c r="T6001">
        <v>55</v>
      </c>
      <c r="U6001">
        <v>762.36101189254498</v>
      </c>
      <c r="V6001">
        <v>7.8651685393258397E-3</v>
      </c>
      <c r="W6001">
        <v>1476083.1099431899</v>
      </c>
      <c r="X6001" t="s">
        <v>33</v>
      </c>
      <c r="Y6001">
        <f>1-658-225-3655</f>
        <v>-4537</v>
      </c>
    </row>
    <row r="6002" spans="1:25" x14ac:dyDescent="0.35">
      <c r="A6002">
        <v>34.644977639784599</v>
      </c>
      <c r="B6002">
        <v>-114.01822785926301</v>
      </c>
      <c r="C6002" t="s">
        <v>34</v>
      </c>
      <c r="D6002">
        <v>19.953812123428602</v>
      </c>
      <c r="E6002">
        <v>8</v>
      </c>
      <c r="F6002">
        <v>569</v>
      </c>
      <c r="G6002">
        <v>5</v>
      </c>
      <c r="H6002">
        <v>1</v>
      </c>
      <c r="I6002">
        <v>1956</v>
      </c>
      <c r="J6002">
        <v>0</v>
      </c>
      <c r="K6002">
        <v>0</v>
      </c>
      <c r="L6002">
        <v>0</v>
      </c>
      <c r="M6002">
        <v>4</v>
      </c>
      <c r="N6002" t="s">
        <v>37</v>
      </c>
      <c r="O6002" t="s">
        <v>32</v>
      </c>
      <c r="P6002">
        <v>5.7615788800720598</v>
      </c>
      <c r="Q6002">
        <v>0.60943258897632602</v>
      </c>
      <c r="R6002">
        <v>9.4922929252289006</v>
      </c>
      <c r="S6002">
        <v>106</v>
      </c>
      <c r="T6002">
        <v>61</v>
      </c>
      <c r="U6002">
        <v>709.50156314031096</v>
      </c>
      <c r="V6002">
        <v>7.0298769771528899E-3</v>
      </c>
      <c r="W6002">
        <v>591677.10868256202</v>
      </c>
      <c r="X6002" t="s">
        <v>42</v>
      </c>
      <c r="Y6002">
        <f>1-558-213-6767</f>
        <v>-7537</v>
      </c>
    </row>
    <row r="6003" spans="1:25" x14ac:dyDescent="0.35">
      <c r="A6003">
        <v>32.6320335272707</v>
      </c>
      <c r="B6003">
        <v>-121.481018078779</v>
      </c>
      <c r="C6003" t="s">
        <v>34</v>
      </c>
      <c r="D6003">
        <v>12.3479120477972</v>
      </c>
      <c r="E6003">
        <v>2</v>
      </c>
      <c r="F6003">
        <v>1638</v>
      </c>
      <c r="G6003">
        <v>1</v>
      </c>
      <c r="H6003">
        <v>2</v>
      </c>
      <c r="I6003">
        <v>2006</v>
      </c>
      <c r="J6003">
        <v>1</v>
      </c>
      <c r="K6003">
        <v>0</v>
      </c>
      <c r="L6003">
        <v>0</v>
      </c>
      <c r="M6003">
        <v>8</v>
      </c>
      <c r="N6003" t="s">
        <v>35</v>
      </c>
      <c r="O6003" t="s">
        <v>30</v>
      </c>
      <c r="P6003">
        <v>14.2444999148492</v>
      </c>
      <c r="Q6003">
        <v>2.2371362962300299</v>
      </c>
      <c r="R6003">
        <v>7.7722281102584798</v>
      </c>
      <c r="S6003">
        <v>133</v>
      </c>
      <c r="T6003">
        <v>56</v>
      </c>
      <c r="U6003">
        <v>569.80787037141999</v>
      </c>
      <c r="V6003">
        <v>4.8840048840048797E-3</v>
      </c>
      <c r="W6003">
        <v>1151259.2317740801</v>
      </c>
      <c r="X6003" t="s">
        <v>42</v>
      </c>
      <c r="Y6003">
        <f>1-933-805-7508</f>
        <v>-9245</v>
      </c>
    </row>
    <row r="6004" spans="1:25" x14ac:dyDescent="0.35">
      <c r="A6004">
        <v>33.181770580452103</v>
      </c>
      <c r="B6004">
        <v>-124.023514669335</v>
      </c>
      <c r="C6004" t="s">
        <v>25</v>
      </c>
      <c r="D6004">
        <v>42.4173906533428</v>
      </c>
      <c r="E6004">
        <v>6</v>
      </c>
      <c r="F6004">
        <v>971</v>
      </c>
      <c r="G6004">
        <v>3</v>
      </c>
      <c r="H6004">
        <v>2</v>
      </c>
      <c r="I6004">
        <v>1997</v>
      </c>
      <c r="J6004">
        <v>1</v>
      </c>
      <c r="K6004">
        <v>1</v>
      </c>
      <c r="L6004">
        <v>1</v>
      </c>
      <c r="M6004">
        <v>10</v>
      </c>
      <c r="N6004" t="s">
        <v>41</v>
      </c>
      <c r="O6004" t="s">
        <v>30</v>
      </c>
      <c r="P6004">
        <v>13.3434727155313</v>
      </c>
      <c r="Q6004">
        <v>1.55401838921216</v>
      </c>
      <c r="R6004">
        <v>8.8517321948091201</v>
      </c>
      <c r="S6004">
        <v>52</v>
      </c>
      <c r="T6004">
        <v>33</v>
      </c>
      <c r="U6004">
        <v>772.22042967379002</v>
      </c>
      <c r="V6004">
        <v>1.02986611740473E-2</v>
      </c>
      <c r="W6004">
        <v>1231931.2218073399</v>
      </c>
      <c r="X6004" t="s">
        <v>43</v>
      </c>
      <c r="Y6004">
        <f>1-308-527-7775</f>
        <v>-8609</v>
      </c>
    </row>
    <row r="6005" spans="1:25" x14ac:dyDescent="0.35">
      <c r="A6005">
        <v>36.168957337975399</v>
      </c>
      <c r="B6005">
        <v>-122.01505424549001</v>
      </c>
      <c r="C6005" t="s">
        <v>25</v>
      </c>
      <c r="D6005">
        <v>48.048165429446101</v>
      </c>
      <c r="E6005">
        <v>7</v>
      </c>
      <c r="F6005">
        <v>4475</v>
      </c>
      <c r="G6005">
        <v>5</v>
      </c>
      <c r="H6005">
        <v>1</v>
      </c>
      <c r="I6005">
        <v>1962</v>
      </c>
      <c r="J6005">
        <v>0</v>
      </c>
      <c r="K6005">
        <v>0</v>
      </c>
      <c r="L6005">
        <v>0</v>
      </c>
      <c r="M6005">
        <v>6</v>
      </c>
      <c r="N6005" t="s">
        <v>37</v>
      </c>
      <c r="O6005" t="s">
        <v>32</v>
      </c>
      <c r="P6005">
        <v>4.8968378435454696</v>
      </c>
      <c r="Q6005">
        <v>0.62407285461198703</v>
      </c>
      <c r="R6005">
        <v>0.68629153836236401</v>
      </c>
      <c r="S6005">
        <v>94</v>
      </c>
      <c r="T6005">
        <v>32</v>
      </c>
      <c r="U6005">
        <v>970.46383569277896</v>
      </c>
      <c r="V6005">
        <v>1.3407821229050199E-3</v>
      </c>
      <c r="W6005">
        <v>4584946.3018636899</v>
      </c>
      <c r="X6005" t="s">
        <v>31</v>
      </c>
      <c r="Y6005">
        <f>1-891-888-9364</f>
        <v>-11142</v>
      </c>
    </row>
    <row r="6006" spans="1:25" x14ac:dyDescent="0.35">
      <c r="A6006">
        <v>34.439132313090198</v>
      </c>
      <c r="B6006">
        <v>-114.340985794844</v>
      </c>
      <c r="C6006" t="s">
        <v>34</v>
      </c>
      <c r="D6006">
        <v>41.938127800154099</v>
      </c>
      <c r="E6006">
        <v>8</v>
      </c>
      <c r="F6006">
        <v>1609</v>
      </c>
      <c r="G6006">
        <v>3</v>
      </c>
      <c r="H6006">
        <v>3</v>
      </c>
      <c r="I6006">
        <v>2017</v>
      </c>
      <c r="J6006">
        <v>1</v>
      </c>
      <c r="K6006">
        <v>0</v>
      </c>
      <c r="L6006">
        <v>1</v>
      </c>
      <c r="M6006">
        <v>9</v>
      </c>
      <c r="N6006" t="s">
        <v>26</v>
      </c>
      <c r="O6006" t="s">
        <v>30</v>
      </c>
      <c r="P6006">
        <v>11.0011732669761</v>
      </c>
      <c r="Q6006">
        <v>2.39506356310845</v>
      </c>
      <c r="R6006">
        <v>4.5755227272221504</v>
      </c>
      <c r="S6006">
        <v>27</v>
      </c>
      <c r="T6006">
        <v>68</v>
      </c>
      <c r="U6006">
        <v>527.75207859604404</v>
      </c>
      <c r="V6006">
        <v>5.5935363579863199E-3</v>
      </c>
      <c r="W6006">
        <v>1251640.0475715201</v>
      </c>
      <c r="X6006" t="s">
        <v>38</v>
      </c>
      <c r="Y6006">
        <f>1-833-808-9218</f>
        <v>-10858</v>
      </c>
    </row>
    <row r="6007" spans="1:25" x14ac:dyDescent="0.35">
      <c r="A6007">
        <v>32.937087196691301</v>
      </c>
      <c r="B6007">
        <v>-124.054960726998</v>
      </c>
      <c r="C6007" t="s">
        <v>29</v>
      </c>
      <c r="D6007">
        <v>6.0974421803680201</v>
      </c>
      <c r="E6007">
        <v>5</v>
      </c>
      <c r="F6007">
        <v>1683</v>
      </c>
      <c r="G6007">
        <v>1</v>
      </c>
      <c r="H6007">
        <v>3</v>
      </c>
      <c r="I6007">
        <v>1981</v>
      </c>
      <c r="J6007">
        <v>0</v>
      </c>
      <c r="K6007">
        <v>1</v>
      </c>
      <c r="L6007">
        <v>0</v>
      </c>
      <c r="M6007">
        <v>7</v>
      </c>
      <c r="N6007" t="s">
        <v>37</v>
      </c>
      <c r="O6007" t="s">
        <v>27</v>
      </c>
      <c r="P6007">
        <v>5.0899715457809904</v>
      </c>
      <c r="Q6007">
        <v>1.77332909457948</v>
      </c>
      <c r="R6007">
        <v>8.2016505362362402</v>
      </c>
      <c r="S6007">
        <v>87</v>
      </c>
      <c r="T6007">
        <v>43</v>
      </c>
      <c r="U6007">
        <v>499.670551630126</v>
      </c>
      <c r="V6007">
        <v>4.1592394533570996E-3</v>
      </c>
      <c r="W6007">
        <v>998535.90226948203</v>
      </c>
      <c r="X6007" t="s">
        <v>43</v>
      </c>
      <c r="Y6007">
        <f>1-441-519-1862</f>
        <v>-2821</v>
      </c>
    </row>
    <row r="6008" spans="1:25" x14ac:dyDescent="0.35">
      <c r="A6008">
        <v>36.860407504392299</v>
      </c>
      <c r="B6008">
        <v>-121.560577731485</v>
      </c>
      <c r="C6008" t="s">
        <v>29</v>
      </c>
      <c r="D6008">
        <v>45.924736441000697</v>
      </c>
      <c r="E6008">
        <v>2</v>
      </c>
      <c r="F6008">
        <v>2855</v>
      </c>
      <c r="G6008">
        <v>4</v>
      </c>
      <c r="H6008">
        <v>2</v>
      </c>
      <c r="I6008">
        <v>2004</v>
      </c>
      <c r="J6008">
        <v>0</v>
      </c>
      <c r="K6008">
        <v>1</v>
      </c>
      <c r="L6008">
        <v>0</v>
      </c>
      <c r="M6008">
        <v>6</v>
      </c>
      <c r="N6008" t="s">
        <v>35</v>
      </c>
      <c r="O6008" t="s">
        <v>32</v>
      </c>
      <c r="P6008">
        <v>5.5277017633007297</v>
      </c>
      <c r="Q6008">
        <v>2.33336459196267</v>
      </c>
      <c r="R6008">
        <v>2.0922899384793698</v>
      </c>
      <c r="S6008">
        <v>92</v>
      </c>
      <c r="T6008">
        <v>37</v>
      </c>
      <c r="U6008">
        <v>863.209196915098</v>
      </c>
      <c r="V6008">
        <v>2.1015761821366E-3</v>
      </c>
      <c r="W6008">
        <v>2883658.5359913399</v>
      </c>
      <c r="X6008" t="s">
        <v>44</v>
      </c>
      <c r="Y6008">
        <f>1-254-214-3693</f>
        <v>-4160</v>
      </c>
    </row>
    <row r="6009" spans="1:25" x14ac:dyDescent="0.35">
      <c r="A6009">
        <v>41.127078083277901</v>
      </c>
      <c r="B6009">
        <v>-116.81414113817</v>
      </c>
      <c r="C6009" t="s">
        <v>34</v>
      </c>
      <c r="D6009">
        <v>15.1560785427942</v>
      </c>
      <c r="E6009">
        <v>6</v>
      </c>
      <c r="F6009">
        <v>2643</v>
      </c>
      <c r="G6009">
        <v>2</v>
      </c>
      <c r="H6009">
        <v>1</v>
      </c>
      <c r="I6009">
        <v>1952</v>
      </c>
      <c r="J6009">
        <v>0</v>
      </c>
      <c r="K6009">
        <v>0</v>
      </c>
      <c r="L6009">
        <v>1</v>
      </c>
      <c r="M6009">
        <v>9</v>
      </c>
      <c r="N6009" t="s">
        <v>41</v>
      </c>
      <c r="O6009" t="s">
        <v>32</v>
      </c>
      <c r="P6009">
        <v>3.5119365584759898</v>
      </c>
      <c r="Q6009">
        <v>0.85801220928389099</v>
      </c>
      <c r="R6009">
        <v>9.7037427138736696</v>
      </c>
      <c r="S6009">
        <v>30</v>
      </c>
      <c r="T6009">
        <v>23</v>
      </c>
      <c r="U6009">
        <v>559.82022400266601</v>
      </c>
      <c r="V6009">
        <v>3.4052213393870601E-3</v>
      </c>
      <c r="W6009">
        <v>1486808.59032736</v>
      </c>
      <c r="X6009" t="s">
        <v>28</v>
      </c>
      <c r="Y6009">
        <f>1-528-244-2691</f>
        <v>-3462</v>
      </c>
    </row>
    <row r="6010" spans="1:25" x14ac:dyDescent="0.35">
      <c r="A6010">
        <v>39.675354628746099</v>
      </c>
      <c r="B6010">
        <v>-120.73679163169299</v>
      </c>
      <c r="C6010" t="s">
        <v>25</v>
      </c>
      <c r="D6010">
        <v>40.511081594556103</v>
      </c>
      <c r="E6010">
        <v>2</v>
      </c>
      <c r="F6010">
        <v>943</v>
      </c>
      <c r="G6010">
        <v>5</v>
      </c>
      <c r="H6010">
        <v>2</v>
      </c>
      <c r="I6010">
        <v>1991</v>
      </c>
      <c r="J6010">
        <v>0</v>
      </c>
      <c r="K6010">
        <v>0</v>
      </c>
      <c r="L6010">
        <v>1</v>
      </c>
      <c r="M6010">
        <v>6</v>
      </c>
      <c r="N6010" t="s">
        <v>37</v>
      </c>
      <c r="O6010" t="s">
        <v>32</v>
      </c>
      <c r="P6010">
        <v>10.307243103796701</v>
      </c>
      <c r="Q6010">
        <v>2.28992504909756</v>
      </c>
      <c r="R6010">
        <v>6.4491685732052497</v>
      </c>
      <c r="S6010">
        <v>178</v>
      </c>
      <c r="T6010">
        <v>30</v>
      </c>
      <c r="U6010">
        <v>774.72884678557398</v>
      </c>
      <c r="V6010">
        <v>6.36267232237539E-3</v>
      </c>
      <c r="W6010">
        <v>1063967.5967339</v>
      </c>
      <c r="X6010" t="s">
        <v>31</v>
      </c>
      <c r="Y6010">
        <f>1-429-677-1591</f>
        <v>-2696</v>
      </c>
    </row>
    <row r="6011" spans="1:25" x14ac:dyDescent="0.35">
      <c r="A6011">
        <v>37.2161659748716</v>
      </c>
      <c r="B6011">
        <v>-116.010008568912</v>
      </c>
      <c r="C6011" t="s">
        <v>34</v>
      </c>
      <c r="D6011">
        <v>36.988478888264801</v>
      </c>
      <c r="E6011">
        <v>8</v>
      </c>
      <c r="F6011">
        <v>1549</v>
      </c>
      <c r="G6011">
        <v>4</v>
      </c>
      <c r="H6011">
        <v>3</v>
      </c>
      <c r="I6011">
        <v>1967</v>
      </c>
      <c r="J6011">
        <v>0</v>
      </c>
      <c r="K6011">
        <v>0</v>
      </c>
      <c r="L6011">
        <v>1</v>
      </c>
      <c r="M6011">
        <v>7</v>
      </c>
      <c r="N6011" t="s">
        <v>35</v>
      </c>
      <c r="O6011" t="s">
        <v>27</v>
      </c>
      <c r="P6011">
        <v>8.5062599586410403</v>
      </c>
      <c r="Q6011">
        <v>1.00963331266076</v>
      </c>
      <c r="R6011">
        <v>6.7724179200037797</v>
      </c>
      <c r="S6011">
        <v>19</v>
      </c>
      <c r="T6011">
        <v>35</v>
      </c>
      <c r="U6011">
        <v>778.06254187752904</v>
      </c>
      <c r="V6011">
        <v>4.51904454486765E-3</v>
      </c>
      <c r="W6011">
        <v>1452444.62692262</v>
      </c>
      <c r="X6011" t="s">
        <v>36</v>
      </c>
      <c r="Y6011">
        <f>1-680-467-4311</f>
        <v>-5457</v>
      </c>
    </row>
    <row r="6012" spans="1:25" x14ac:dyDescent="0.35">
      <c r="A6012">
        <v>33.576044727195999</v>
      </c>
      <c r="B6012">
        <v>-117.40330158032801</v>
      </c>
      <c r="C6012" t="s">
        <v>34</v>
      </c>
      <c r="D6012">
        <v>10.3346385917592</v>
      </c>
      <c r="E6012">
        <v>2</v>
      </c>
      <c r="F6012">
        <v>1719</v>
      </c>
      <c r="G6012">
        <v>1</v>
      </c>
      <c r="H6012">
        <v>1</v>
      </c>
      <c r="I6012">
        <v>2006</v>
      </c>
      <c r="J6012">
        <v>0</v>
      </c>
      <c r="K6012">
        <v>1</v>
      </c>
      <c r="L6012">
        <v>0</v>
      </c>
      <c r="M6012">
        <v>7</v>
      </c>
      <c r="N6012" t="s">
        <v>37</v>
      </c>
      <c r="O6012" t="s">
        <v>30</v>
      </c>
      <c r="P6012">
        <v>3.6969600202361801</v>
      </c>
      <c r="Q6012">
        <v>1.3055631792410201</v>
      </c>
      <c r="R6012">
        <v>3.57787251248463</v>
      </c>
      <c r="S6012">
        <v>118</v>
      </c>
      <c r="T6012">
        <v>24</v>
      </c>
      <c r="U6012">
        <v>434.69644891675699</v>
      </c>
      <c r="V6012">
        <v>4.0721349621873097E-3</v>
      </c>
      <c r="W6012">
        <v>894167.22494946897</v>
      </c>
      <c r="X6012" t="s">
        <v>42</v>
      </c>
      <c r="Y6012">
        <f>1-411-242-4631</f>
        <v>-5283</v>
      </c>
    </row>
    <row r="6013" spans="1:25" x14ac:dyDescent="0.35">
      <c r="A6013">
        <v>37.105436602240196</v>
      </c>
      <c r="B6013">
        <v>-116.728565731506</v>
      </c>
      <c r="C6013" t="s">
        <v>25</v>
      </c>
      <c r="D6013">
        <v>3.1489974664473399</v>
      </c>
      <c r="E6013">
        <v>2</v>
      </c>
      <c r="F6013">
        <v>715</v>
      </c>
      <c r="G6013">
        <v>4</v>
      </c>
      <c r="H6013">
        <v>2</v>
      </c>
      <c r="I6013">
        <v>1977</v>
      </c>
      <c r="J6013">
        <v>0</v>
      </c>
      <c r="K6013">
        <v>1</v>
      </c>
      <c r="L6013">
        <v>1</v>
      </c>
      <c r="M6013">
        <v>7</v>
      </c>
      <c r="N6013" t="s">
        <v>35</v>
      </c>
      <c r="O6013" t="s">
        <v>32</v>
      </c>
      <c r="P6013">
        <v>14.333398026655299</v>
      </c>
      <c r="Q6013">
        <v>1.8373568871675601</v>
      </c>
      <c r="R6013">
        <v>2.6995211419396998</v>
      </c>
      <c r="S6013">
        <v>162</v>
      </c>
      <c r="T6013">
        <v>62</v>
      </c>
      <c r="U6013">
        <v>800.49994838616306</v>
      </c>
      <c r="V6013">
        <v>9.7902097902097893E-3</v>
      </c>
      <c r="W6013">
        <v>890882.37541459105</v>
      </c>
      <c r="X6013" t="s">
        <v>38</v>
      </c>
      <c r="Y6013">
        <f>1-218-906-3328</f>
        <v>-4451</v>
      </c>
    </row>
    <row r="6014" spans="1:25" x14ac:dyDescent="0.35">
      <c r="A6014">
        <v>41.353629184492199</v>
      </c>
      <c r="B6014">
        <v>-117.871761794934</v>
      </c>
      <c r="C6014" t="s">
        <v>25</v>
      </c>
      <c r="D6014">
        <v>46.202401288890599</v>
      </c>
      <c r="E6014">
        <v>6</v>
      </c>
      <c r="F6014">
        <v>1375</v>
      </c>
      <c r="G6014">
        <v>1</v>
      </c>
      <c r="H6014">
        <v>3</v>
      </c>
      <c r="I6014">
        <v>1963</v>
      </c>
      <c r="J6014">
        <v>1</v>
      </c>
      <c r="K6014">
        <v>1</v>
      </c>
      <c r="L6014">
        <v>0</v>
      </c>
      <c r="M6014">
        <v>4</v>
      </c>
      <c r="N6014" t="s">
        <v>37</v>
      </c>
      <c r="O6014" t="s">
        <v>27</v>
      </c>
      <c r="P6014">
        <v>10.514173542947001</v>
      </c>
      <c r="Q6014">
        <v>2.2414043167900202</v>
      </c>
      <c r="R6014">
        <v>8.5453147361684998</v>
      </c>
      <c r="S6014">
        <v>139</v>
      </c>
      <c r="T6014">
        <v>40</v>
      </c>
      <c r="U6014">
        <v>670.125986986557</v>
      </c>
      <c r="V6014">
        <v>2.9090909090908998E-3</v>
      </c>
      <c r="W6014">
        <v>1178487.8809907399</v>
      </c>
      <c r="X6014" t="s">
        <v>36</v>
      </c>
      <c r="Y6014">
        <f>1-867-372-2390</f>
        <v>-3628</v>
      </c>
    </row>
    <row r="6015" spans="1:25" x14ac:dyDescent="0.35">
      <c r="A6015">
        <v>38.164038676034799</v>
      </c>
      <c r="B6015">
        <v>-118.620328137079</v>
      </c>
      <c r="C6015" t="s">
        <v>25</v>
      </c>
      <c r="D6015">
        <v>11.905701630132899</v>
      </c>
      <c r="E6015">
        <v>9</v>
      </c>
      <c r="F6015">
        <v>4138</v>
      </c>
      <c r="G6015">
        <v>3</v>
      </c>
      <c r="H6015">
        <v>3</v>
      </c>
      <c r="I6015">
        <v>1975</v>
      </c>
      <c r="J6015">
        <v>1</v>
      </c>
      <c r="K6015">
        <v>0</v>
      </c>
      <c r="L6015">
        <v>1</v>
      </c>
      <c r="M6015">
        <v>6</v>
      </c>
      <c r="N6015" t="s">
        <v>35</v>
      </c>
      <c r="O6015" t="s">
        <v>30</v>
      </c>
      <c r="P6015">
        <v>10.545539803250101</v>
      </c>
      <c r="Q6015">
        <v>2.10291434756504</v>
      </c>
      <c r="R6015">
        <v>3.02554683130727</v>
      </c>
      <c r="S6015">
        <v>168</v>
      </c>
      <c r="T6015">
        <v>34</v>
      </c>
      <c r="U6015">
        <v>799.91909861978502</v>
      </c>
      <c r="V6015">
        <v>1.4499758337361E-3</v>
      </c>
      <c r="W6015">
        <v>3594310.7857924299</v>
      </c>
      <c r="X6015" t="s">
        <v>39</v>
      </c>
      <c r="Y6015">
        <f>1-839-983-5469</f>
        <v>-7290</v>
      </c>
    </row>
    <row r="6016" spans="1:25" x14ac:dyDescent="0.35">
      <c r="A6016">
        <v>36.771636285781703</v>
      </c>
      <c r="B6016">
        <v>-117.781355906391</v>
      </c>
      <c r="C6016" t="s">
        <v>34</v>
      </c>
      <c r="D6016">
        <v>44.708993670083402</v>
      </c>
      <c r="E6016">
        <v>4</v>
      </c>
      <c r="F6016">
        <v>2872</v>
      </c>
      <c r="G6016">
        <v>3</v>
      </c>
      <c r="H6016">
        <v>1</v>
      </c>
      <c r="I6016">
        <v>1956</v>
      </c>
      <c r="J6016">
        <v>1</v>
      </c>
      <c r="K6016">
        <v>0</v>
      </c>
      <c r="L6016">
        <v>0</v>
      </c>
      <c r="M6016">
        <v>12</v>
      </c>
      <c r="N6016" t="s">
        <v>35</v>
      </c>
      <c r="O6016" t="s">
        <v>32</v>
      </c>
      <c r="P6016">
        <v>12.320038053211301</v>
      </c>
      <c r="Q6016">
        <v>0.85465418955561201</v>
      </c>
      <c r="R6016">
        <v>6.6161744679150498</v>
      </c>
      <c r="S6016">
        <v>83</v>
      </c>
      <c r="T6016">
        <v>79</v>
      </c>
      <c r="U6016">
        <v>944.13544885416297</v>
      </c>
      <c r="V6016">
        <v>4.1782729805013904E-3</v>
      </c>
      <c r="W6016">
        <v>2885082.9454175099</v>
      </c>
      <c r="X6016" t="s">
        <v>44</v>
      </c>
      <c r="Y6016">
        <f>1-682-501-4612</f>
        <v>-5794</v>
      </c>
    </row>
    <row r="6017" spans="1:25" x14ac:dyDescent="0.35">
      <c r="A6017">
        <v>32.824973371552403</v>
      </c>
      <c r="B6017">
        <v>-119.76429427054499</v>
      </c>
      <c r="C6017" t="s">
        <v>29</v>
      </c>
      <c r="D6017">
        <v>26.374835207433399</v>
      </c>
      <c r="E6017">
        <v>3</v>
      </c>
      <c r="F6017">
        <v>1873</v>
      </c>
      <c r="G6017">
        <v>5</v>
      </c>
      <c r="H6017">
        <v>3</v>
      </c>
      <c r="I6017">
        <v>1978</v>
      </c>
      <c r="J6017">
        <v>0</v>
      </c>
      <c r="K6017">
        <v>1</v>
      </c>
      <c r="L6017">
        <v>1</v>
      </c>
      <c r="M6017">
        <v>12</v>
      </c>
      <c r="N6017" t="s">
        <v>41</v>
      </c>
      <c r="O6017" t="s">
        <v>27</v>
      </c>
      <c r="P6017">
        <v>2.41289649981187</v>
      </c>
      <c r="Q6017">
        <v>2.0509313919832501</v>
      </c>
      <c r="R6017">
        <v>1.3261977862996099</v>
      </c>
      <c r="S6017">
        <v>101</v>
      </c>
      <c r="T6017">
        <v>25</v>
      </c>
      <c r="U6017">
        <v>372.61050331067503</v>
      </c>
      <c r="V6017">
        <v>6.4068339562199598E-3</v>
      </c>
      <c r="W6017">
        <v>977022.33907092595</v>
      </c>
      <c r="X6017" t="s">
        <v>33</v>
      </c>
      <c r="Y6017">
        <f>1-588-682-1346</f>
        <v>-2615</v>
      </c>
    </row>
    <row r="6018" spans="1:25" x14ac:dyDescent="0.35">
      <c r="A6018">
        <v>36.624590926720003</v>
      </c>
      <c r="B6018">
        <v>-119.138314267135</v>
      </c>
      <c r="C6018" t="s">
        <v>34</v>
      </c>
      <c r="D6018">
        <v>11.944590845294901</v>
      </c>
      <c r="E6018">
        <v>6</v>
      </c>
      <c r="F6018">
        <v>4489</v>
      </c>
      <c r="G6018">
        <v>4</v>
      </c>
      <c r="H6018">
        <v>3</v>
      </c>
      <c r="I6018">
        <v>1993</v>
      </c>
      <c r="J6018">
        <v>0</v>
      </c>
      <c r="K6018">
        <v>0</v>
      </c>
      <c r="L6018">
        <v>0</v>
      </c>
      <c r="M6018">
        <v>3</v>
      </c>
      <c r="N6018" t="s">
        <v>37</v>
      </c>
      <c r="O6018" t="s">
        <v>27</v>
      </c>
      <c r="P6018">
        <v>8.4948111970887599</v>
      </c>
      <c r="Q6018">
        <v>1.61270582608415</v>
      </c>
      <c r="R6018">
        <v>2.78277544419766</v>
      </c>
      <c r="S6018">
        <v>186</v>
      </c>
      <c r="T6018">
        <v>69</v>
      </c>
      <c r="U6018">
        <v>848.16973981916999</v>
      </c>
      <c r="V6018">
        <v>6.68300289596792E-4</v>
      </c>
      <c r="W6018">
        <v>4080544.2597245802</v>
      </c>
      <c r="X6018" t="s">
        <v>31</v>
      </c>
      <c r="Y6018">
        <f>1-733-399-9546</f>
        <v>-10677</v>
      </c>
    </row>
    <row r="6019" spans="1:25" x14ac:dyDescent="0.35">
      <c r="A6019">
        <v>35.928640618750599</v>
      </c>
      <c r="B6019">
        <v>-124.402266302138</v>
      </c>
      <c r="C6019" t="s">
        <v>29</v>
      </c>
      <c r="D6019">
        <v>37.611227335161999</v>
      </c>
      <c r="E6019">
        <v>9</v>
      </c>
      <c r="F6019">
        <v>4134</v>
      </c>
      <c r="G6019">
        <v>5</v>
      </c>
      <c r="H6019">
        <v>1</v>
      </c>
      <c r="I6019">
        <v>1977</v>
      </c>
      <c r="J6019">
        <v>0</v>
      </c>
      <c r="K6019">
        <v>0</v>
      </c>
      <c r="L6019">
        <v>1</v>
      </c>
      <c r="M6019">
        <v>6</v>
      </c>
      <c r="N6019" t="s">
        <v>35</v>
      </c>
      <c r="O6019" t="s">
        <v>30</v>
      </c>
      <c r="P6019">
        <v>14.694763548779299</v>
      </c>
      <c r="Q6019">
        <v>1.56578670104275</v>
      </c>
      <c r="R6019">
        <v>7.63069316276398</v>
      </c>
      <c r="S6019">
        <v>192</v>
      </c>
      <c r="T6019">
        <v>61</v>
      </c>
      <c r="U6019">
        <v>247.48709951456101</v>
      </c>
      <c r="V6019">
        <v>1.45137880986937E-3</v>
      </c>
      <c r="W6019">
        <v>1327166.3912835501</v>
      </c>
      <c r="X6019" t="s">
        <v>33</v>
      </c>
      <c r="Y6019">
        <f>1-481-935-3121</f>
        <v>-4536</v>
      </c>
    </row>
    <row r="6020" spans="1:25" x14ac:dyDescent="0.35">
      <c r="A6020">
        <v>41.5203664174933</v>
      </c>
      <c r="B6020">
        <v>-117.452056463712</v>
      </c>
      <c r="C6020" t="s">
        <v>25</v>
      </c>
      <c r="D6020">
        <v>34.1177913870713</v>
      </c>
      <c r="E6020">
        <v>0</v>
      </c>
      <c r="F6020">
        <v>3950</v>
      </c>
      <c r="G6020">
        <v>3</v>
      </c>
      <c r="H6020">
        <v>2</v>
      </c>
      <c r="I6020">
        <v>1953</v>
      </c>
      <c r="J6020">
        <v>0</v>
      </c>
      <c r="K6020">
        <v>0</v>
      </c>
      <c r="L6020">
        <v>0</v>
      </c>
      <c r="M6020">
        <v>5</v>
      </c>
      <c r="N6020" t="s">
        <v>41</v>
      </c>
      <c r="O6020" t="s">
        <v>27</v>
      </c>
      <c r="P6020">
        <v>4.0128865837079504</v>
      </c>
      <c r="Q6020">
        <v>2.4144665344882901</v>
      </c>
      <c r="R6020">
        <v>9.7549836654327695</v>
      </c>
      <c r="S6020">
        <v>78</v>
      </c>
      <c r="T6020">
        <v>72</v>
      </c>
      <c r="U6020">
        <v>452.62896861393199</v>
      </c>
      <c r="V6020">
        <v>1.2658227848101201E-3</v>
      </c>
      <c r="W6020">
        <v>1922205.2974093</v>
      </c>
      <c r="X6020" t="s">
        <v>38</v>
      </c>
      <c r="Y6020">
        <f>1-288-974-3395</f>
        <v>-4656</v>
      </c>
    </row>
    <row r="6021" spans="1:25" x14ac:dyDescent="0.35">
      <c r="A6021">
        <v>38.832310942285403</v>
      </c>
      <c r="B6021">
        <v>-114.31199794370001</v>
      </c>
      <c r="C6021" t="s">
        <v>29</v>
      </c>
      <c r="D6021">
        <v>46.229395259151701</v>
      </c>
      <c r="E6021">
        <v>4</v>
      </c>
      <c r="F6021">
        <v>1440</v>
      </c>
      <c r="G6021">
        <v>5</v>
      </c>
      <c r="H6021">
        <v>2</v>
      </c>
      <c r="I6021">
        <v>1975</v>
      </c>
      <c r="J6021">
        <v>1</v>
      </c>
      <c r="K6021">
        <v>1</v>
      </c>
      <c r="L6021">
        <v>0</v>
      </c>
      <c r="M6021">
        <v>10</v>
      </c>
      <c r="N6021" t="s">
        <v>37</v>
      </c>
      <c r="O6021" t="s">
        <v>30</v>
      </c>
      <c r="P6021">
        <v>9.6847831734564807</v>
      </c>
      <c r="Q6021">
        <v>1.3941445681572899</v>
      </c>
      <c r="R6021">
        <v>2.8607666102314999</v>
      </c>
      <c r="S6021">
        <v>108</v>
      </c>
      <c r="T6021">
        <v>50</v>
      </c>
      <c r="U6021">
        <v>758.79472232008902</v>
      </c>
      <c r="V6021">
        <v>6.9444444444444397E-3</v>
      </c>
      <c r="W6021">
        <v>1574894.6348166801</v>
      </c>
      <c r="X6021" t="s">
        <v>39</v>
      </c>
      <c r="Y6021">
        <f>1-349-497-5893</f>
        <v>-6738</v>
      </c>
    </row>
    <row r="6022" spans="1:25" x14ac:dyDescent="0.35">
      <c r="A6022">
        <v>35.392021530000697</v>
      </c>
      <c r="B6022">
        <v>-120.819424607082</v>
      </c>
      <c r="C6022" t="s">
        <v>29</v>
      </c>
      <c r="D6022">
        <v>44.469989003948697</v>
      </c>
      <c r="E6022">
        <v>0</v>
      </c>
      <c r="F6022">
        <v>3860</v>
      </c>
      <c r="G6022">
        <v>1</v>
      </c>
      <c r="H6022">
        <v>2</v>
      </c>
      <c r="I6022">
        <v>1984</v>
      </c>
      <c r="J6022">
        <v>0</v>
      </c>
      <c r="K6022">
        <v>1</v>
      </c>
      <c r="L6022">
        <v>1</v>
      </c>
      <c r="M6022">
        <v>6</v>
      </c>
      <c r="N6022" t="s">
        <v>35</v>
      </c>
      <c r="O6022" t="s">
        <v>30</v>
      </c>
      <c r="P6022">
        <v>8.5606809091233007</v>
      </c>
      <c r="Q6022">
        <v>2.2080892235562999</v>
      </c>
      <c r="R6022">
        <v>1.7565841248831</v>
      </c>
      <c r="S6022">
        <v>63</v>
      </c>
      <c r="T6022">
        <v>63</v>
      </c>
      <c r="U6022">
        <v>723.00257562385298</v>
      </c>
      <c r="V6022">
        <v>1.5544041450777199E-3</v>
      </c>
      <c r="W6022">
        <v>3000961.5558875701</v>
      </c>
      <c r="X6022" t="s">
        <v>44</v>
      </c>
      <c r="Y6022">
        <f>1-736-284-7101</f>
        <v>-8120</v>
      </c>
    </row>
    <row r="6023" spans="1:25" x14ac:dyDescent="0.35">
      <c r="A6023">
        <v>38.430901742426599</v>
      </c>
      <c r="B6023">
        <v>-118.45051699274499</v>
      </c>
      <c r="C6023" t="s">
        <v>29</v>
      </c>
      <c r="D6023">
        <v>13.7538745769125</v>
      </c>
      <c r="E6023">
        <v>0</v>
      </c>
      <c r="F6023">
        <v>1739</v>
      </c>
      <c r="G6023">
        <v>3</v>
      </c>
      <c r="H6023">
        <v>3</v>
      </c>
      <c r="I6023">
        <v>1999</v>
      </c>
      <c r="J6023">
        <v>0</v>
      </c>
      <c r="K6023">
        <v>1</v>
      </c>
      <c r="L6023">
        <v>0</v>
      </c>
      <c r="M6023">
        <v>12</v>
      </c>
      <c r="N6023" t="s">
        <v>37</v>
      </c>
      <c r="O6023" t="s">
        <v>32</v>
      </c>
      <c r="P6023">
        <v>6.4055872941741203</v>
      </c>
      <c r="Q6023">
        <v>1.13320866404684</v>
      </c>
      <c r="R6023">
        <v>0.39127706751514502</v>
      </c>
      <c r="S6023">
        <v>38</v>
      </c>
      <c r="T6023">
        <v>67</v>
      </c>
      <c r="U6023">
        <v>644.83471256497296</v>
      </c>
      <c r="V6023">
        <v>6.9005175388154099E-3</v>
      </c>
      <c r="W6023">
        <v>1455032.4478762599</v>
      </c>
      <c r="X6023" t="s">
        <v>28</v>
      </c>
      <c r="Y6023">
        <f>1-291-164-6674</f>
        <v>-7128</v>
      </c>
    </row>
    <row r="6024" spans="1:25" x14ac:dyDescent="0.35">
      <c r="A6024">
        <v>40.167013153005001</v>
      </c>
      <c r="B6024">
        <v>-114.101413188961</v>
      </c>
      <c r="C6024" t="s">
        <v>25</v>
      </c>
      <c r="D6024">
        <v>41.624287755321902</v>
      </c>
      <c r="E6024">
        <v>0</v>
      </c>
      <c r="F6024">
        <v>3185</v>
      </c>
      <c r="G6024">
        <v>4</v>
      </c>
      <c r="H6024">
        <v>3</v>
      </c>
      <c r="I6024">
        <v>1967</v>
      </c>
      <c r="J6024">
        <v>1</v>
      </c>
      <c r="K6024">
        <v>1</v>
      </c>
      <c r="L6024">
        <v>0</v>
      </c>
      <c r="M6024">
        <v>8</v>
      </c>
      <c r="N6024" t="s">
        <v>41</v>
      </c>
      <c r="O6024" t="s">
        <v>27</v>
      </c>
      <c r="P6024">
        <v>10.2938802078189</v>
      </c>
      <c r="Q6024">
        <v>1.3816966063787799</v>
      </c>
      <c r="R6024">
        <v>2.7463840337437602</v>
      </c>
      <c r="S6024">
        <v>73</v>
      </c>
      <c r="T6024">
        <v>59</v>
      </c>
      <c r="U6024">
        <v>880.69026335897001</v>
      </c>
      <c r="V6024">
        <v>2.5117739403453599E-3</v>
      </c>
      <c r="W6024">
        <v>3174788.0574611998</v>
      </c>
      <c r="X6024" t="s">
        <v>31</v>
      </c>
      <c r="Y6024">
        <f>1-303-514-8249</f>
        <v>-9065</v>
      </c>
    </row>
    <row r="6025" spans="1:25" x14ac:dyDescent="0.35">
      <c r="A6025">
        <v>38.397449274923403</v>
      </c>
      <c r="B6025">
        <v>-123.796438446851</v>
      </c>
      <c r="C6025" t="s">
        <v>29</v>
      </c>
      <c r="D6025">
        <v>15.3831635066175</v>
      </c>
      <c r="E6025">
        <v>8</v>
      </c>
      <c r="F6025">
        <v>4138</v>
      </c>
      <c r="G6025">
        <v>2</v>
      </c>
      <c r="H6025">
        <v>2</v>
      </c>
      <c r="I6025">
        <v>1986</v>
      </c>
      <c r="J6025">
        <v>1</v>
      </c>
      <c r="K6025">
        <v>1</v>
      </c>
      <c r="L6025">
        <v>0</v>
      </c>
      <c r="M6025">
        <v>8</v>
      </c>
      <c r="N6025" t="s">
        <v>37</v>
      </c>
      <c r="O6025" t="s">
        <v>30</v>
      </c>
      <c r="P6025">
        <v>10.3212813316261</v>
      </c>
      <c r="Q6025">
        <v>0.68448912490911196</v>
      </c>
      <c r="R6025">
        <v>6.8054274703563298</v>
      </c>
      <c r="S6025">
        <v>95</v>
      </c>
      <c r="T6025">
        <v>73</v>
      </c>
      <c r="U6025">
        <v>548.87300865960799</v>
      </c>
      <c r="V6025">
        <v>1.9333011116481301E-3</v>
      </c>
      <c r="W6025">
        <v>2545978.0042329901</v>
      </c>
      <c r="X6025" t="s">
        <v>40</v>
      </c>
      <c r="Y6025">
        <f>1-733-272-8791</f>
        <v>-9795</v>
      </c>
    </row>
    <row r="6026" spans="1:25" x14ac:dyDescent="0.35">
      <c r="A6026">
        <v>41.406703261329604</v>
      </c>
      <c r="B6026">
        <v>-116.108202319984</v>
      </c>
      <c r="C6026" t="s">
        <v>29</v>
      </c>
      <c r="D6026">
        <v>24.709772986707101</v>
      </c>
      <c r="E6026">
        <v>5</v>
      </c>
      <c r="F6026">
        <v>2199</v>
      </c>
      <c r="G6026">
        <v>2</v>
      </c>
      <c r="H6026">
        <v>1</v>
      </c>
      <c r="I6026">
        <v>2005</v>
      </c>
      <c r="J6026">
        <v>1</v>
      </c>
      <c r="K6026">
        <v>1</v>
      </c>
      <c r="L6026">
        <v>0</v>
      </c>
      <c r="M6026">
        <v>2</v>
      </c>
      <c r="N6026" t="s">
        <v>26</v>
      </c>
      <c r="O6026" t="s">
        <v>32</v>
      </c>
      <c r="P6026">
        <v>4.2911604710607598</v>
      </c>
      <c r="Q6026">
        <v>1.33304844500495</v>
      </c>
      <c r="R6026">
        <v>5.4463044837117698</v>
      </c>
      <c r="S6026">
        <v>151</v>
      </c>
      <c r="T6026">
        <v>59</v>
      </c>
      <c r="U6026">
        <v>444.945055778209</v>
      </c>
      <c r="V6026">
        <v>9.0950432014552001E-4</v>
      </c>
      <c r="W6026">
        <v>1133213.5804381</v>
      </c>
      <c r="X6026" t="s">
        <v>33</v>
      </c>
      <c r="Y6026">
        <f>1-967-823-2727</f>
        <v>-4516</v>
      </c>
    </row>
    <row r="6027" spans="1:25" x14ac:dyDescent="0.35">
      <c r="A6027">
        <v>32.779469558230701</v>
      </c>
      <c r="B6027">
        <v>-115.67177982304101</v>
      </c>
      <c r="C6027" t="s">
        <v>29</v>
      </c>
      <c r="D6027">
        <v>17.201447434647001</v>
      </c>
      <c r="E6027">
        <v>4</v>
      </c>
      <c r="F6027">
        <v>1556</v>
      </c>
      <c r="G6027">
        <v>5</v>
      </c>
      <c r="H6027">
        <v>1</v>
      </c>
      <c r="I6027">
        <v>1992</v>
      </c>
      <c r="J6027">
        <v>0</v>
      </c>
      <c r="K6027">
        <v>1</v>
      </c>
      <c r="L6027">
        <v>1</v>
      </c>
      <c r="M6027">
        <v>5</v>
      </c>
      <c r="N6027" t="s">
        <v>37</v>
      </c>
      <c r="O6027" t="s">
        <v>32</v>
      </c>
      <c r="P6027">
        <v>9.5449710669021997</v>
      </c>
      <c r="Q6027">
        <v>1.85862049229805</v>
      </c>
      <c r="R6027">
        <v>6.6129691864945599</v>
      </c>
      <c r="S6027">
        <v>83</v>
      </c>
      <c r="T6027">
        <v>48</v>
      </c>
      <c r="U6027">
        <v>734.26068937971695</v>
      </c>
      <c r="V6027">
        <v>3.2133676092544901E-3</v>
      </c>
      <c r="W6027">
        <v>1528130.5196501401</v>
      </c>
      <c r="X6027" t="s">
        <v>38</v>
      </c>
      <c r="Y6027">
        <f>1-324-943-1964</f>
        <v>-3230</v>
      </c>
    </row>
    <row r="6028" spans="1:25" x14ac:dyDescent="0.35">
      <c r="A6028">
        <v>40.470971357817497</v>
      </c>
      <c r="B6028">
        <v>-116.32623577242001</v>
      </c>
      <c r="C6028" t="s">
        <v>34</v>
      </c>
      <c r="D6028">
        <v>30.095068074293799</v>
      </c>
      <c r="E6028">
        <v>9</v>
      </c>
      <c r="F6028">
        <v>2107</v>
      </c>
      <c r="G6028">
        <v>4</v>
      </c>
      <c r="H6028">
        <v>3</v>
      </c>
      <c r="I6028">
        <v>2006</v>
      </c>
      <c r="J6028">
        <v>0</v>
      </c>
      <c r="K6028">
        <v>0</v>
      </c>
      <c r="L6028">
        <v>0</v>
      </c>
      <c r="M6028">
        <v>2</v>
      </c>
      <c r="N6028" t="s">
        <v>35</v>
      </c>
      <c r="O6028" t="s">
        <v>30</v>
      </c>
      <c r="P6028">
        <v>6.6091359074505798</v>
      </c>
      <c r="Q6028">
        <v>2.2439963838782799</v>
      </c>
      <c r="R6028">
        <v>7.5632347673364198</v>
      </c>
      <c r="S6028">
        <v>114</v>
      </c>
      <c r="T6028">
        <v>55</v>
      </c>
      <c r="U6028">
        <v>739.22479281106098</v>
      </c>
      <c r="V6028">
        <v>9.4921689606074905E-4</v>
      </c>
      <c r="W6028">
        <v>1802633.22504565</v>
      </c>
      <c r="X6028" t="s">
        <v>39</v>
      </c>
      <c r="Y6028">
        <f>1-321-504-2444</f>
        <v>-3268</v>
      </c>
    </row>
    <row r="6029" spans="1:25" x14ac:dyDescent="0.35">
      <c r="A6029">
        <v>40.805009517516297</v>
      </c>
      <c r="B6029">
        <v>-114.276703876889</v>
      </c>
      <c r="C6029" t="s">
        <v>34</v>
      </c>
      <c r="D6029">
        <v>18.927105848061899</v>
      </c>
      <c r="E6029">
        <v>1</v>
      </c>
      <c r="F6029">
        <v>2579</v>
      </c>
      <c r="G6029">
        <v>4</v>
      </c>
      <c r="H6029">
        <v>3</v>
      </c>
      <c r="I6029">
        <v>1970</v>
      </c>
      <c r="J6029">
        <v>1</v>
      </c>
      <c r="K6029">
        <v>1</v>
      </c>
      <c r="L6029">
        <v>1</v>
      </c>
      <c r="M6029">
        <v>9</v>
      </c>
      <c r="N6029" t="s">
        <v>26</v>
      </c>
      <c r="O6029" t="s">
        <v>27</v>
      </c>
      <c r="P6029">
        <v>9.0221832571943299</v>
      </c>
      <c r="Q6029">
        <v>1.0779648325287099</v>
      </c>
      <c r="R6029">
        <v>1.2967376996194</v>
      </c>
      <c r="S6029">
        <v>131</v>
      </c>
      <c r="T6029">
        <v>20</v>
      </c>
      <c r="U6029">
        <v>371.171334806625</v>
      </c>
      <c r="V6029">
        <v>3.48972469949592E-3</v>
      </c>
      <c r="W6029">
        <v>1398004.7603780599</v>
      </c>
      <c r="X6029" t="s">
        <v>28</v>
      </c>
      <c r="Y6029">
        <f>1-847-242-7165</f>
        <v>-8253</v>
      </c>
    </row>
    <row r="6030" spans="1:25" x14ac:dyDescent="0.35">
      <c r="A6030">
        <v>40.9615771279257</v>
      </c>
      <c r="B6030">
        <v>-117.41104490257</v>
      </c>
      <c r="C6030" t="s">
        <v>34</v>
      </c>
      <c r="D6030">
        <v>1.4077783930191701</v>
      </c>
      <c r="E6030">
        <v>9</v>
      </c>
      <c r="F6030">
        <v>1902</v>
      </c>
      <c r="G6030">
        <v>1</v>
      </c>
      <c r="H6030">
        <v>2</v>
      </c>
      <c r="I6030">
        <v>1999</v>
      </c>
      <c r="J6030">
        <v>0</v>
      </c>
      <c r="K6030">
        <v>0</v>
      </c>
      <c r="L6030">
        <v>0</v>
      </c>
      <c r="M6030">
        <v>7</v>
      </c>
      <c r="N6030" t="s">
        <v>26</v>
      </c>
      <c r="O6030" t="s">
        <v>27</v>
      </c>
      <c r="P6030">
        <v>5.09562098038767</v>
      </c>
      <c r="Q6030">
        <v>2.0135676412449199</v>
      </c>
      <c r="R6030">
        <v>2.9954538063085798</v>
      </c>
      <c r="S6030">
        <v>97</v>
      </c>
      <c r="T6030">
        <v>34</v>
      </c>
      <c r="U6030">
        <v>208.729713568763</v>
      </c>
      <c r="V6030">
        <v>3.6803364879074599E-3</v>
      </c>
      <c r="W6030">
        <v>497213.93317166797</v>
      </c>
      <c r="X6030" t="s">
        <v>44</v>
      </c>
      <c r="Y6030">
        <f>1-282-633-4243</f>
        <v>-5157</v>
      </c>
    </row>
    <row r="6031" spans="1:25" x14ac:dyDescent="0.35">
      <c r="A6031">
        <v>32.578555882900403</v>
      </c>
      <c r="B6031">
        <v>-123.34297700586001</v>
      </c>
      <c r="C6031" t="s">
        <v>29</v>
      </c>
      <c r="D6031">
        <v>9.5518080768802296</v>
      </c>
      <c r="E6031">
        <v>1</v>
      </c>
      <c r="F6031">
        <v>3518</v>
      </c>
      <c r="G6031">
        <v>2</v>
      </c>
      <c r="H6031">
        <v>2</v>
      </c>
      <c r="I6031">
        <v>1966</v>
      </c>
      <c r="J6031">
        <v>0</v>
      </c>
      <c r="K6031">
        <v>0</v>
      </c>
      <c r="L6031">
        <v>0</v>
      </c>
      <c r="M6031">
        <v>7</v>
      </c>
      <c r="N6031" t="s">
        <v>26</v>
      </c>
      <c r="O6031" t="s">
        <v>30</v>
      </c>
      <c r="P6031">
        <v>11.173281782712801</v>
      </c>
      <c r="Q6031">
        <v>1.0091244922247</v>
      </c>
      <c r="R6031">
        <v>2.2740414202934298</v>
      </c>
      <c r="S6031">
        <v>27</v>
      </c>
      <c r="T6031">
        <v>21</v>
      </c>
      <c r="U6031">
        <v>641.29665167487099</v>
      </c>
      <c r="V6031">
        <v>1.98976691301876E-3</v>
      </c>
      <c r="W6031">
        <v>2442159.1744348402</v>
      </c>
      <c r="X6031" t="s">
        <v>42</v>
      </c>
      <c r="Y6031">
        <f>1-544-490-6906</f>
        <v>-7939</v>
      </c>
    </row>
    <row r="6032" spans="1:25" x14ac:dyDescent="0.35">
      <c r="A6032">
        <v>35.772117966447702</v>
      </c>
      <c r="B6032">
        <v>-122.210255514246</v>
      </c>
      <c r="C6032" t="s">
        <v>29</v>
      </c>
      <c r="D6032">
        <v>46.987256599407999</v>
      </c>
      <c r="E6032">
        <v>7</v>
      </c>
      <c r="F6032">
        <v>605</v>
      </c>
      <c r="G6032">
        <v>4</v>
      </c>
      <c r="H6032">
        <v>2</v>
      </c>
      <c r="I6032">
        <v>1965</v>
      </c>
      <c r="J6032">
        <v>0</v>
      </c>
      <c r="K6032">
        <v>0</v>
      </c>
      <c r="L6032">
        <v>1</v>
      </c>
      <c r="M6032">
        <v>6</v>
      </c>
      <c r="N6032" t="s">
        <v>26</v>
      </c>
      <c r="O6032" t="s">
        <v>32</v>
      </c>
      <c r="P6032">
        <v>7.0314498243716903</v>
      </c>
      <c r="Q6032">
        <v>0.52091913294732795</v>
      </c>
      <c r="R6032">
        <v>3.7416452084516201</v>
      </c>
      <c r="S6032">
        <v>132</v>
      </c>
      <c r="T6032">
        <v>44</v>
      </c>
      <c r="U6032">
        <v>615.11629869775197</v>
      </c>
      <c r="V6032">
        <v>9.9173553719008201E-3</v>
      </c>
      <c r="W6032">
        <v>561644.26550602901</v>
      </c>
      <c r="X6032" t="s">
        <v>43</v>
      </c>
      <c r="Y6032">
        <f>1-716-664-5492</f>
        <v>-6871</v>
      </c>
    </row>
    <row r="6033" spans="1:25" x14ac:dyDescent="0.35">
      <c r="A6033">
        <v>33.376865270434003</v>
      </c>
      <c r="B6033">
        <v>-116.671287815318</v>
      </c>
      <c r="C6033" t="s">
        <v>34</v>
      </c>
      <c r="D6033">
        <v>19.823800680828299</v>
      </c>
      <c r="E6033">
        <v>5</v>
      </c>
      <c r="F6033">
        <v>3795</v>
      </c>
      <c r="G6033">
        <v>5</v>
      </c>
      <c r="H6033">
        <v>2</v>
      </c>
      <c r="I6033">
        <v>1981</v>
      </c>
      <c r="J6033">
        <v>0</v>
      </c>
      <c r="K6033">
        <v>0</v>
      </c>
      <c r="L6033">
        <v>0</v>
      </c>
      <c r="M6033">
        <v>12</v>
      </c>
      <c r="N6033" t="s">
        <v>37</v>
      </c>
      <c r="O6033" t="s">
        <v>27</v>
      </c>
      <c r="P6033">
        <v>4.7985164429967497</v>
      </c>
      <c r="Q6033">
        <v>0.52238077976894204</v>
      </c>
      <c r="R6033">
        <v>0.85418635197425696</v>
      </c>
      <c r="S6033">
        <v>128</v>
      </c>
      <c r="T6033">
        <v>42</v>
      </c>
      <c r="U6033">
        <v>968.18676820886196</v>
      </c>
      <c r="V6033">
        <v>3.1620553359683699E-3</v>
      </c>
      <c r="W6033">
        <v>3938742.96377254</v>
      </c>
      <c r="X6033" t="s">
        <v>43</v>
      </c>
      <c r="Y6033">
        <f>1-354-164-8987</f>
        <v>-9504</v>
      </c>
    </row>
    <row r="6034" spans="1:25" x14ac:dyDescent="0.35">
      <c r="A6034">
        <v>40.787347713370799</v>
      </c>
      <c r="B6034">
        <v>-116.436570990958</v>
      </c>
      <c r="C6034" t="s">
        <v>25</v>
      </c>
      <c r="D6034">
        <v>49.626705250926598</v>
      </c>
      <c r="E6034">
        <v>9</v>
      </c>
      <c r="F6034">
        <v>2207</v>
      </c>
      <c r="G6034">
        <v>4</v>
      </c>
      <c r="H6034">
        <v>2</v>
      </c>
      <c r="I6034">
        <v>1987</v>
      </c>
      <c r="J6034">
        <v>1</v>
      </c>
      <c r="K6034">
        <v>1</v>
      </c>
      <c r="L6034">
        <v>0</v>
      </c>
      <c r="M6034">
        <v>14</v>
      </c>
      <c r="N6034" t="s">
        <v>37</v>
      </c>
      <c r="O6034" t="s">
        <v>30</v>
      </c>
      <c r="P6034">
        <v>5.4489980132103497</v>
      </c>
      <c r="Q6034">
        <v>2.48058305092527</v>
      </c>
      <c r="R6034">
        <v>2.1711873655137901</v>
      </c>
      <c r="S6034">
        <v>82</v>
      </c>
      <c r="T6034">
        <v>51</v>
      </c>
      <c r="U6034">
        <v>940.492370600502</v>
      </c>
      <c r="V6034">
        <v>6.3434526506569999E-3</v>
      </c>
      <c r="W6034">
        <v>2368805.6796209998</v>
      </c>
      <c r="X6034" t="s">
        <v>33</v>
      </c>
      <c r="Y6034">
        <f>1-906-913-3716</f>
        <v>-5534</v>
      </c>
    </row>
    <row r="6035" spans="1:25" x14ac:dyDescent="0.35">
      <c r="A6035">
        <v>38.636830778936897</v>
      </c>
      <c r="B6035">
        <v>-114.28574953534699</v>
      </c>
      <c r="C6035" t="s">
        <v>25</v>
      </c>
      <c r="D6035">
        <v>18.753373725209698</v>
      </c>
      <c r="E6035">
        <v>1</v>
      </c>
      <c r="F6035">
        <v>2322</v>
      </c>
      <c r="G6035">
        <v>5</v>
      </c>
      <c r="H6035">
        <v>1</v>
      </c>
      <c r="I6035">
        <v>1967</v>
      </c>
      <c r="J6035">
        <v>0</v>
      </c>
      <c r="K6035">
        <v>1</v>
      </c>
      <c r="L6035">
        <v>1</v>
      </c>
      <c r="M6035">
        <v>6</v>
      </c>
      <c r="N6035" t="s">
        <v>41</v>
      </c>
      <c r="O6035" t="s">
        <v>30</v>
      </c>
      <c r="P6035">
        <v>2.8828612743437301</v>
      </c>
      <c r="Q6035">
        <v>1.42520118294106</v>
      </c>
      <c r="R6035">
        <v>4.9773783284736801</v>
      </c>
      <c r="S6035">
        <v>35</v>
      </c>
      <c r="T6035">
        <v>28</v>
      </c>
      <c r="U6035">
        <v>478.10388832597698</v>
      </c>
      <c r="V6035">
        <v>2.58397932816537E-3</v>
      </c>
      <c r="W6035">
        <v>1386184.9882386299</v>
      </c>
      <c r="X6035" t="s">
        <v>43</v>
      </c>
      <c r="Y6035">
        <f>1-747-246-1606</f>
        <v>-2598</v>
      </c>
    </row>
    <row r="6036" spans="1:25" x14ac:dyDescent="0.35">
      <c r="A6036">
        <v>40.784831136599301</v>
      </c>
      <c r="B6036">
        <v>-118.441377706643</v>
      </c>
      <c r="C6036" t="s">
        <v>29</v>
      </c>
      <c r="D6036">
        <v>17.186310437586702</v>
      </c>
      <c r="E6036">
        <v>2</v>
      </c>
      <c r="F6036">
        <v>4544</v>
      </c>
      <c r="G6036">
        <v>2</v>
      </c>
      <c r="H6036">
        <v>3</v>
      </c>
      <c r="I6036">
        <v>1955</v>
      </c>
      <c r="J6036">
        <v>1</v>
      </c>
      <c r="K6036">
        <v>1</v>
      </c>
      <c r="L6036">
        <v>1</v>
      </c>
      <c r="M6036">
        <v>2</v>
      </c>
      <c r="N6036" t="s">
        <v>35</v>
      </c>
      <c r="O6036" t="s">
        <v>27</v>
      </c>
      <c r="P6036">
        <v>12.6647671684089</v>
      </c>
      <c r="Q6036">
        <v>0.65503597251632795</v>
      </c>
      <c r="R6036">
        <v>3.6616239474988999</v>
      </c>
      <c r="S6036">
        <v>166</v>
      </c>
      <c r="T6036">
        <v>32</v>
      </c>
      <c r="U6036">
        <v>479.94395268988097</v>
      </c>
      <c r="V6036">
        <v>4.40140845070422E-4</v>
      </c>
      <c r="W6036">
        <v>2503543.5714492998</v>
      </c>
      <c r="X6036" t="s">
        <v>43</v>
      </c>
      <c r="Y6036">
        <f>1-937-360-1538</f>
        <v>-2834</v>
      </c>
    </row>
    <row r="6037" spans="1:25" x14ac:dyDescent="0.35">
      <c r="A6037">
        <v>36.911062379889898</v>
      </c>
      <c r="B6037">
        <v>-123.868707704315</v>
      </c>
      <c r="C6037" t="s">
        <v>25</v>
      </c>
      <c r="D6037">
        <v>44.767348075441298</v>
      </c>
      <c r="E6037">
        <v>1</v>
      </c>
      <c r="F6037">
        <v>2264</v>
      </c>
      <c r="G6037">
        <v>5</v>
      </c>
      <c r="H6037">
        <v>3</v>
      </c>
      <c r="I6037">
        <v>2018</v>
      </c>
      <c r="J6037">
        <v>1</v>
      </c>
      <c r="K6037">
        <v>1</v>
      </c>
      <c r="L6037">
        <v>0</v>
      </c>
      <c r="M6037">
        <v>5</v>
      </c>
      <c r="N6037" t="s">
        <v>35</v>
      </c>
      <c r="O6037" t="s">
        <v>27</v>
      </c>
      <c r="P6037">
        <v>11.4754166082948</v>
      </c>
      <c r="Q6037">
        <v>1.5435824482234599</v>
      </c>
      <c r="R6037">
        <v>4.2042836420894103</v>
      </c>
      <c r="S6037">
        <v>152</v>
      </c>
      <c r="T6037">
        <v>66</v>
      </c>
      <c r="U6037">
        <v>926.868665345463</v>
      </c>
      <c r="V6037">
        <v>2.20848056537102E-3</v>
      </c>
      <c r="W6037">
        <v>2653393.6185144298</v>
      </c>
      <c r="X6037" t="s">
        <v>39</v>
      </c>
      <c r="Y6037">
        <f>1-566-275-3818</f>
        <v>-4658</v>
      </c>
    </row>
    <row r="6038" spans="1:25" x14ac:dyDescent="0.35">
      <c r="A6038">
        <v>39.743069773110498</v>
      </c>
      <c r="B6038">
        <v>-124.428960445828</v>
      </c>
      <c r="C6038" t="s">
        <v>34</v>
      </c>
      <c r="D6038">
        <v>2.1162888132189299</v>
      </c>
      <c r="E6038">
        <v>2</v>
      </c>
      <c r="F6038">
        <v>3915</v>
      </c>
      <c r="G6038">
        <v>1</v>
      </c>
      <c r="H6038">
        <v>2</v>
      </c>
      <c r="I6038">
        <v>1964</v>
      </c>
      <c r="J6038">
        <v>1</v>
      </c>
      <c r="K6038">
        <v>1</v>
      </c>
      <c r="L6038">
        <v>1</v>
      </c>
      <c r="M6038">
        <v>3</v>
      </c>
      <c r="N6038" t="s">
        <v>37</v>
      </c>
      <c r="O6038" t="s">
        <v>32</v>
      </c>
      <c r="P6038">
        <v>6.2223337713031102</v>
      </c>
      <c r="Q6038">
        <v>2.2409034742192402</v>
      </c>
      <c r="R6038">
        <v>1.05347947559791</v>
      </c>
      <c r="S6038">
        <v>59</v>
      </c>
      <c r="T6038">
        <v>57</v>
      </c>
      <c r="U6038">
        <v>622.30658444570599</v>
      </c>
      <c r="V6038">
        <v>7.6628352490421404E-4</v>
      </c>
      <c r="W6038">
        <v>2699335.8655475299</v>
      </c>
      <c r="X6038" t="s">
        <v>39</v>
      </c>
      <c r="Y6038">
        <f>1-579-824-4617</f>
        <v>-6019</v>
      </c>
    </row>
    <row r="6039" spans="1:25" x14ac:dyDescent="0.35">
      <c r="A6039">
        <v>41.381241066108799</v>
      </c>
      <c r="B6039">
        <v>-115.408111214215</v>
      </c>
      <c r="C6039" t="s">
        <v>29</v>
      </c>
      <c r="D6039">
        <v>1.10906411680134</v>
      </c>
      <c r="E6039">
        <v>9</v>
      </c>
      <c r="F6039">
        <v>1994</v>
      </c>
      <c r="G6039">
        <v>5</v>
      </c>
      <c r="H6039">
        <v>3</v>
      </c>
      <c r="I6039">
        <v>2018</v>
      </c>
      <c r="J6039">
        <v>0</v>
      </c>
      <c r="K6039">
        <v>0</v>
      </c>
      <c r="L6039">
        <v>1</v>
      </c>
      <c r="M6039">
        <v>7</v>
      </c>
      <c r="N6039" t="s">
        <v>26</v>
      </c>
      <c r="O6039" t="s">
        <v>30</v>
      </c>
      <c r="P6039">
        <v>7.20969125255679</v>
      </c>
      <c r="Q6039">
        <v>1.37967071098354</v>
      </c>
      <c r="R6039">
        <v>3.7824397161325898</v>
      </c>
      <c r="S6039">
        <v>151</v>
      </c>
      <c r="T6039">
        <v>26</v>
      </c>
      <c r="U6039">
        <v>430.344447639625</v>
      </c>
      <c r="V6039">
        <v>3.5105315947843501E-3</v>
      </c>
      <c r="W6039">
        <v>1257665.84144623</v>
      </c>
      <c r="X6039" t="s">
        <v>43</v>
      </c>
      <c r="Y6039">
        <f>1-413-950-3377</f>
        <v>-4739</v>
      </c>
    </row>
    <row r="6040" spans="1:25" x14ac:dyDescent="0.35">
      <c r="A6040">
        <v>36.609244794844599</v>
      </c>
      <c r="B6040">
        <v>-118.75585501778799</v>
      </c>
      <c r="C6040" t="s">
        <v>29</v>
      </c>
      <c r="D6040">
        <v>12.9243701231496</v>
      </c>
      <c r="E6040">
        <v>5</v>
      </c>
      <c r="F6040">
        <v>4682</v>
      </c>
      <c r="G6040">
        <v>2</v>
      </c>
      <c r="H6040">
        <v>3</v>
      </c>
      <c r="I6040">
        <v>2021</v>
      </c>
      <c r="J6040">
        <v>0</v>
      </c>
      <c r="K6040">
        <v>1</v>
      </c>
      <c r="L6040">
        <v>0</v>
      </c>
      <c r="M6040">
        <v>12</v>
      </c>
      <c r="N6040" t="s">
        <v>26</v>
      </c>
      <c r="O6040" t="s">
        <v>30</v>
      </c>
      <c r="P6040">
        <v>9.38682906135225</v>
      </c>
      <c r="Q6040">
        <v>2.0094403464247699</v>
      </c>
      <c r="R6040">
        <v>9.5309850832573009</v>
      </c>
      <c r="S6040">
        <v>118</v>
      </c>
      <c r="T6040">
        <v>45</v>
      </c>
      <c r="U6040">
        <v>598.67853695084796</v>
      </c>
      <c r="V6040">
        <v>2.5630072618539001E-3</v>
      </c>
      <c r="W6040">
        <v>3117907.0592102399</v>
      </c>
      <c r="X6040" t="s">
        <v>36</v>
      </c>
      <c r="Y6040">
        <f>1-784-162-4194</f>
        <v>-5139</v>
      </c>
    </row>
    <row r="6041" spans="1:25" x14ac:dyDescent="0.35">
      <c r="A6041">
        <v>37.140844799740201</v>
      </c>
      <c r="B6041">
        <v>-120.618003480967</v>
      </c>
      <c r="C6041" t="s">
        <v>34</v>
      </c>
      <c r="D6041">
        <v>41.510614139040698</v>
      </c>
      <c r="E6041">
        <v>6</v>
      </c>
      <c r="F6041">
        <v>1621</v>
      </c>
      <c r="G6041">
        <v>2</v>
      </c>
      <c r="H6041">
        <v>3</v>
      </c>
      <c r="I6041">
        <v>1965</v>
      </c>
      <c r="J6041">
        <v>1</v>
      </c>
      <c r="K6041">
        <v>1</v>
      </c>
      <c r="L6041">
        <v>0</v>
      </c>
      <c r="M6041">
        <v>14</v>
      </c>
      <c r="N6041" t="s">
        <v>26</v>
      </c>
      <c r="O6041" t="s">
        <v>30</v>
      </c>
      <c r="P6041">
        <v>10.368642429361101</v>
      </c>
      <c r="Q6041">
        <v>1.86977028779775</v>
      </c>
      <c r="R6041">
        <v>3.96136890969365</v>
      </c>
      <c r="S6041">
        <v>104</v>
      </c>
      <c r="T6041">
        <v>67</v>
      </c>
      <c r="U6041">
        <v>299.01037728660401</v>
      </c>
      <c r="V6041">
        <v>8.6366440468846391E-3</v>
      </c>
      <c r="W6041">
        <v>689010.92199448496</v>
      </c>
      <c r="X6041" t="s">
        <v>43</v>
      </c>
      <c r="Y6041">
        <f>1-872-685-8557</f>
        <v>-10113</v>
      </c>
    </row>
    <row r="6042" spans="1:25" x14ac:dyDescent="0.35">
      <c r="A6042">
        <v>40.1151021479523</v>
      </c>
      <c r="B6042">
        <v>-122.34568214800601</v>
      </c>
      <c r="C6042" t="s">
        <v>29</v>
      </c>
      <c r="D6042">
        <v>22.4153511912351</v>
      </c>
      <c r="E6042">
        <v>0</v>
      </c>
      <c r="F6042">
        <v>3102</v>
      </c>
      <c r="G6042">
        <v>2</v>
      </c>
      <c r="H6042">
        <v>3</v>
      </c>
      <c r="I6042">
        <v>1986</v>
      </c>
      <c r="J6042">
        <v>0</v>
      </c>
      <c r="K6042">
        <v>0</v>
      </c>
      <c r="L6042">
        <v>1</v>
      </c>
      <c r="M6042">
        <v>12</v>
      </c>
      <c r="N6042" t="s">
        <v>35</v>
      </c>
      <c r="O6042" t="s">
        <v>27</v>
      </c>
      <c r="P6042">
        <v>10.8919302585719</v>
      </c>
      <c r="Q6042">
        <v>2.36645144762758</v>
      </c>
      <c r="R6042">
        <v>1.20906888009332</v>
      </c>
      <c r="S6042">
        <v>74</v>
      </c>
      <c r="T6042">
        <v>49</v>
      </c>
      <c r="U6042">
        <v>562.22039949740304</v>
      </c>
      <c r="V6042">
        <v>3.8684719535783301E-3</v>
      </c>
      <c r="W6042">
        <v>1969826.53662963</v>
      </c>
      <c r="X6042" t="s">
        <v>44</v>
      </c>
      <c r="Y6042">
        <f>1-421-721-4380</f>
        <v>-5521</v>
      </c>
    </row>
    <row r="6043" spans="1:25" x14ac:dyDescent="0.35">
      <c r="A6043">
        <v>38.746072551294198</v>
      </c>
      <c r="B6043">
        <v>-124.24469016518</v>
      </c>
      <c r="C6043" t="s">
        <v>29</v>
      </c>
      <c r="D6043">
        <v>25.935232055320601</v>
      </c>
      <c r="E6043">
        <v>2</v>
      </c>
      <c r="F6043">
        <v>4666</v>
      </c>
      <c r="G6043">
        <v>4</v>
      </c>
      <c r="H6043">
        <v>2</v>
      </c>
      <c r="I6043">
        <v>2003</v>
      </c>
      <c r="J6043">
        <v>0</v>
      </c>
      <c r="K6043">
        <v>1</v>
      </c>
      <c r="L6043">
        <v>1</v>
      </c>
      <c r="M6043">
        <v>2</v>
      </c>
      <c r="N6043" t="s">
        <v>35</v>
      </c>
      <c r="O6043" t="s">
        <v>30</v>
      </c>
      <c r="P6043">
        <v>6.2048315762719302</v>
      </c>
      <c r="Q6043">
        <v>2.2401209658957</v>
      </c>
      <c r="R6043">
        <v>6.6287479605779698</v>
      </c>
      <c r="S6043">
        <v>102</v>
      </c>
      <c r="T6043">
        <v>53</v>
      </c>
      <c r="U6043">
        <v>496.68805712527501</v>
      </c>
      <c r="V6043">
        <v>4.2863266180882901E-4</v>
      </c>
      <c r="W6043">
        <v>2658415.0684994501</v>
      </c>
      <c r="X6043" t="s">
        <v>36</v>
      </c>
      <c r="Y6043">
        <f>1-539-610-9108</f>
        <v>-10256</v>
      </c>
    </row>
    <row r="6044" spans="1:25" x14ac:dyDescent="0.35">
      <c r="A6044">
        <v>39.195106409049799</v>
      </c>
      <c r="B6044">
        <v>-123.83080121739501</v>
      </c>
      <c r="C6044" t="s">
        <v>25</v>
      </c>
      <c r="D6044">
        <v>46.7434009848375</v>
      </c>
      <c r="E6044">
        <v>0</v>
      </c>
      <c r="F6044">
        <v>3628</v>
      </c>
      <c r="G6044">
        <v>2</v>
      </c>
      <c r="H6044">
        <v>2</v>
      </c>
      <c r="I6044">
        <v>2015</v>
      </c>
      <c r="J6044">
        <v>0</v>
      </c>
      <c r="K6044">
        <v>1</v>
      </c>
      <c r="L6044">
        <v>0</v>
      </c>
      <c r="M6044">
        <v>12</v>
      </c>
      <c r="N6044" t="s">
        <v>37</v>
      </c>
      <c r="O6044" t="s">
        <v>32</v>
      </c>
      <c r="P6044">
        <v>8.9710959389242504</v>
      </c>
      <c r="Q6044">
        <v>1.54812693656045</v>
      </c>
      <c r="R6044">
        <v>3.0270014141360302</v>
      </c>
      <c r="S6044">
        <v>187</v>
      </c>
      <c r="T6044">
        <v>60</v>
      </c>
      <c r="U6044">
        <v>386.51471699373099</v>
      </c>
      <c r="V6044">
        <v>3.30760749724366E-3</v>
      </c>
      <c r="W6044">
        <v>1604445.3624815501</v>
      </c>
      <c r="X6044" t="s">
        <v>44</v>
      </c>
      <c r="Y6044">
        <f>1-515-723-7516</f>
        <v>-8753</v>
      </c>
    </row>
    <row r="6045" spans="1:25" x14ac:dyDescent="0.35">
      <c r="A6045">
        <v>32.580943157707701</v>
      </c>
      <c r="B6045">
        <v>-121.456176521575</v>
      </c>
      <c r="C6045" t="s">
        <v>34</v>
      </c>
      <c r="D6045">
        <v>9.2050108866525804</v>
      </c>
      <c r="E6045">
        <v>1</v>
      </c>
      <c r="F6045">
        <v>2794</v>
      </c>
      <c r="G6045">
        <v>5</v>
      </c>
      <c r="H6045">
        <v>2</v>
      </c>
      <c r="I6045">
        <v>1984</v>
      </c>
      <c r="J6045">
        <v>0</v>
      </c>
      <c r="K6045">
        <v>0</v>
      </c>
      <c r="L6045">
        <v>1</v>
      </c>
      <c r="M6045">
        <v>2</v>
      </c>
      <c r="N6045" t="s">
        <v>41</v>
      </c>
      <c r="O6045" t="s">
        <v>32</v>
      </c>
      <c r="P6045">
        <v>3.51345019535048</v>
      </c>
      <c r="Q6045">
        <v>1.2997455149286501</v>
      </c>
      <c r="R6045">
        <v>6.6153168174310402</v>
      </c>
      <c r="S6045">
        <v>132</v>
      </c>
      <c r="T6045">
        <v>61</v>
      </c>
      <c r="U6045">
        <v>728.88949832654805</v>
      </c>
      <c r="V6045">
        <v>7.1581961345740805E-4</v>
      </c>
      <c r="W6045">
        <v>2241736.49267773</v>
      </c>
      <c r="X6045" t="s">
        <v>43</v>
      </c>
      <c r="Y6045">
        <f>1-328-776-2500</f>
        <v>-3603</v>
      </c>
    </row>
    <row r="6046" spans="1:25" x14ac:dyDescent="0.35">
      <c r="A6046">
        <v>40.202012664208198</v>
      </c>
      <c r="B6046">
        <v>-123.14379143414099</v>
      </c>
      <c r="C6046" t="s">
        <v>34</v>
      </c>
      <c r="D6046">
        <v>25.150593818779399</v>
      </c>
      <c r="E6046">
        <v>2</v>
      </c>
      <c r="F6046">
        <v>757</v>
      </c>
      <c r="G6046">
        <v>1</v>
      </c>
      <c r="H6046">
        <v>2</v>
      </c>
      <c r="I6046">
        <v>1980</v>
      </c>
      <c r="J6046">
        <v>0</v>
      </c>
      <c r="K6046">
        <v>1</v>
      </c>
      <c r="L6046">
        <v>1</v>
      </c>
      <c r="M6046">
        <v>4</v>
      </c>
      <c r="N6046" t="s">
        <v>37</v>
      </c>
      <c r="O6046" t="s">
        <v>32</v>
      </c>
      <c r="P6046">
        <v>9.4460395074585293</v>
      </c>
      <c r="Q6046">
        <v>1.56760687359076</v>
      </c>
      <c r="R6046">
        <v>7.7297191579951399</v>
      </c>
      <c r="S6046">
        <v>180</v>
      </c>
      <c r="T6046">
        <v>40</v>
      </c>
      <c r="U6046">
        <v>945.97031149162001</v>
      </c>
      <c r="V6046">
        <v>5.2840158520475501E-3</v>
      </c>
      <c r="W6046">
        <v>955171.43385249795</v>
      </c>
      <c r="X6046" t="s">
        <v>44</v>
      </c>
      <c r="Y6046">
        <f>1-391-468-3552</f>
        <v>-4410</v>
      </c>
    </row>
    <row r="6047" spans="1:25" x14ac:dyDescent="0.35">
      <c r="A6047">
        <v>35.899788818020703</v>
      </c>
      <c r="B6047">
        <v>-121.44468459024201</v>
      </c>
      <c r="C6047" t="s">
        <v>25</v>
      </c>
      <c r="D6047">
        <v>42.863885004969802</v>
      </c>
      <c r="E6047">
        <v>5</v>
      </c>
      <c r="F6047">
        <v>4421</v>
      </c>
      <c r="G6047">
        <v>3</v>
      </c>
      <c r="H6047">
        <v>3</v>
      </c>
      <c r="I6047">
        <v>1958</v>
      </c>
      <c r="J6047">
        <v>1</v>
      </c>
      <c r="K6047">
        <v>1</v>
      </c>
      <c r="L6047">
        <v>0</v>
      </c>
      <c r="M6047">
        <v>3</v>
      </c>
      <c r="N6047" t="s">
        <v>37</v>
      </c>
      <c r="O6047" t="s">
        <v>30</v>
      </c>
      <c r="P6047">
        <v>5.9564160726284099</v>
      </c>
      <c r="Q6047">
        <v>0.78254410015595999</v>
      </c>
      <c r="R6047">
        <v>2.7101304427064798</v>
      </c>
      <c r="S6047">
        <v>130</v>
      </c>
      <c r="T6047">
        <v>29</v>
      </c>
      <c r="U6047">
        <v>433.466552284736</v>
      </c>
      <c r="V6047">
        <v>6.7857950689889104E-4</v>
      </c>
      <c r="W6047">
        <v>2282733.3136216099</v>
      </c>
      <c r="X6047" t="s">
        <v>36</v>
      </c>
      <c r="Y6047">
        <f>1-974-877-4758</f>
        <v>-6608</v>
      </c>
    </row>
    <row r="6048" spans="1:25" x14ac:dyDescent="0.35">
      <c r="A6048">
        <v>34.412486092136703</v>
      </c>
      <c r="B6048">
        <v>-123.99383977074901</v>
      </c>
      <c r="C6048" t="s">
        <v>29</v>
      </c>
      <c r="D6048">
        <v>6.7211361956846902</v>
      </c>
      <c r="E6048">
        <v>9</v>
      </c>
      <c r="F6048">
        <v>4494</v>
      </c>
      <c r="G6048">
        <v>2</v>
      </c>
      <c r="H6048">
        <v>3</v>
      </c>
      <c r="I6048">
        <v>1951</v>
      </c>
      <c r="J6048">
        <v>0</v>
      </c>
      <c r="K6048">
        <v>0</v>
      </c>
      <c r="L6048">
        <v>1</v>
      </c>
      <c r="M6048">
        <v>8</v>
      </c>
      <c r="N6048" t="s">
        <v>26</v>
      </c>
      <c r="O6048" t="s">
        <v>27</v>
      </c>
      <c r="P6048">
        <v>7.8667283110333699</v>
      </c>
      <c r="Q6048">
        <v>1.6091858983348299</v>
      </c>
      <c r="R6048">
        <v>2.6200677872216001</v>
      </c>
      <c r="S6048">
        <v>140</v>
      </c>
      <c r="T6048">
        <v>36</v>
      </c>
      <c r="U6048">
        <v>515.10925056481699</v>
      </c>
      <c r="V6048">
        <v>1.7801513128615899E-3</v>
      </c>
      <c r="W6048">
        <v>2402755.62739573</v>
      </c>
      <c r="X6048" t="s">
        <v>40</v>
      </c>
      <c r="Y6048">
        <f>1-917-247-9141</f>
        <v>-10304</v>
      </c>
    </row>
    <row r="6049" spans="1:25" x14ac:dyDescent="0.35">
      <c r="A6049">
        <v>36.248001033701897</v>
      </c>
      <c r="B6049">
        <v>-121.454807814643</v>
      </c>
      <c r="C6049" t="s">
        <v>25</v>
      </c>
      <c r="D6049">
        <v>4.82005279058375</v>
      </c>
      <c r="E6049">
        <v>4</v>
      </c>
      <c r="F6049">
        <v>979</v>
      </c>
      <c r="G6049">
        <v>5</v>
      </c>
      <c r="H6049">
        <v>1</v>
      </c>
      <c r="I6049">
        <v>1994</v>
      </c>
      <c r="J6049">
        <v>0</v>
      </c>
      <c r="K6049">
        <v>1</v>
      </c>
      <c r="L6049">
        <v>0</v>
      </c>
      <c r="M6049">
        <v>10</v>
      </c>
      <c r="N6049" t="s">
        <v>37</v>
      </c>
      <c r="O6049" t="s">
        <v>30</v>
      </c>
      <c r="P6049">
        <v>6.0059807227685802</v>
      </c>
      <c r="Q6049">
        <v>0.78716360147921405</v>
      </c>
      <c r="R6049">
        <v>6.9589526972270397</v>
      </c>
      <c r="S6049">
        <v>79</v>
      </c>
      <c r="T6049">
        <v>74</v>
      </c>
      <c r="U6049">
        <v>287.75703157074997</v>
      </c>
      <c r="V6049">
        <v>1.0214504596527001E-2</v>
      </c>
      <c r="W6049">
        <v>648635.26331487298</v>
      </c>
      <c r="X6049" t="s">
        <v>43</v>
      </c>
      <c r="Y6049">
        <f>1-532-101-3522</f>
        <v>-4154</v>
      </c>
    </row>
    <row r="6050" spans="1:25" x14ac:dyDescent="0.35">
      <c r="A6050">
        <v>39.338292763918901</v>
      </c>
      <c r="B6050">
        <v>-120.58991659049499</v>
      </c>
      <c r="C6050" t="s">
        <v>29</v>
      </c>
      <c r="D6050">
        <v>2.9646374177266002</v>
      </c>
      <c r="E6050">
        <v>8</v>
      </c>
      <c r="F6050">
        <v>2834</v>
      </c>
      <c r="G6050">
        <v>3</v>
      </c>
      <c r="H6050">
        <v>2</v>
      </c>
      <c r="I6050">
        <v>1971</v>
      </c>
      <c r="J6050">
        <v>1</v>
      </c>
      <c r="K6050">
        <v>1</v>
      </c>
      <c r="L6050">
        <v>0</v>
      </c>
      <c r="M6050">
        <v>12</v>
      </c>
      <c r="N6050" t="s">
        <v>26</v>
      </c>
      <c r="O6050" t="s">
        <v>32</v>
      </c>
      <c r="P6050">
        <v>12.5828402897552</v>
      </c>
      <c r="Q6050">
        <v>2.2388234469537802</v>
      </c>
      <c r="R6050">
        <v>6.7403320010692003</v>
      </c>
      <c r="S6050">
        <v>101</v>
      </c>
      <c r="T6050">
        <v>20</v>
      </c>
      <c r="U6050">
        <v>438.98742683294898</v>
      </c>
      <c r="V6050">
        <v>4.2342978122794604E-3</v>
      </c>
      <c r="W6050">
        <v>1510235.05919365</v>
      </c>
      <c r="X6050" t="s">
        <v>38</v>
      </c>
      <c r="Y6050">
        <f>1-409-625-7755</f>
        <v>-8788</v>
      </c>
    </row>
    <row r="6051" spans="1:25" x14ac:dyDescent="0.35">
      <c r="A6051">
        <v>40.965934149762802</v>
      </c>
      <c r="B6051">
        <v>-117.49541487608199</v>
      </c>
      <c r="C6051" t="s">
        <v>29</v>
      </c>
      <c r="D6051">
        <v>44.419511299789598</v>
      </c>
      <c r="E6051">
        <v>3</v>
      </c>
      <c r="F6051">
        <v>4103</v>
      </c>
      <c r="G6051">
        <v>4</v>
      </c>
      <c r="H6051">
        <v>2</v>
      </c>
      <c r="I6051">
        <v>1965</v>
      </c>
      <c r="J6051">
        <v>1</v>
      </c>
      <c r="K6051">
        <v>1</v>
      </c>
      <c r="L6051">
        <v>1</v>
      </c>
      <c r="M6051">
        <v>8</v>
      </c>
      <c r="N6051" t="s">
        <v>37</v>
      </c>
      <c r="O6051" t="s">
        <v>27</v>
      </c>
      <c r="P6051">
        <v>3.17667057338054</v>
      </c>
      <c r="Q6051">
        <v>0.75409235718832601</v>
      </c>
      <c r="R6051">
        <v>6.3759147446675097</v>
      </c>
      <c r="S6051">
        <v>88</v>
      </c>
      <c r="T6051">
        <v>74</v>
      </c>
      <c r="U6051">
        <v>899.64778109572399</v>
      </c>
      <c r="V6051">
        <v>1.9497928345113299E-3</v>
      </c>
      <c r="W6051">
        <v>3981735.4147700099</v>
      </c>
      <c r="X6051" t="s">
        <v>39</v>
      </c>
      <c r="Y6051">
        <f>1-431-251-2748</f>
        <v>-3429</v>
      </c>
    </row>
    <row r="6052" spans="1:25" x14ac:dyDescent="0.35">
      <c r="A6052">
        <v>38.576845023797297</v>
      </c>
      <c r="B6052">
        <v>-123.120402915209</v>
      </c>
      <c r="C6052" t="s">
        <v>25</v>
      </c>
      <c r="D6052">
        <v>17.930065489195101</v>
      </c>
      <c r="E6052">
        <v>4</v>
      </c>
      <c r="F6052">
        <v>1814</v>
      </c>
      <c r="G6052">
        <v>3</v>
      </c>
      <c r="H6052">
        <v>2</v>
      </c>
      <c r="I6052">
        <v>2019</v>
      </c>
      <c r="J6052">
        <v>0</v>
      </c>
      <c r="K6052">
        <v>1</v>
      </c>
      <c r="L6052">
        <v>0</v>
      </c>
      <c r="M6052">
        <v>6</v>
      </c>
      <c r="N6052" t="s">
        <v>41</v>
      </c>
      <c r="O6052" t="s">
        <v>32</v>
      </c>
      <c r="P6052">
        <v>7.0207919061668598</v>
      </c>
      <c r="Q6052">
        <v>1.09376669619267</v>
      </c>
      <c r="R6052">
        <v>2.4935339547852</v>
      </c>
      <c r="S6052">
        <v>192</v>
      </c>
      <c r="T6052">
        <v>54</v>
      </c>
      <c r="U6052">
        <v>615.24375314982501</v>
      </c>
      <c r="V6052">
        <v>3.30760749724366E-3</v>
      </c>
      <c r="W6052">
        <v>1363352.5883227901</v>
      </c>
      <c r="X6052" t="s">
        <v>38</v>
      </c>
      <c r="Y6052">
        <f>1-518-804-6470</f>
        <v>-7791</v>
      </c>
    </row>
    <row r="6053" spans="1:25" x14ac:dyDescent="0.35">
      <c r="A6053">
        <v>41.814843806783998</v>
      </c>
      <c r="B6053">
        <v>-114.88842397593901</v>
      </c>
      <c r="C6053" t="s">
        <v>34</v>
      </c>
      <c r="D6053">
        <v>34.2555001348112</v>
      </c>
      <c r="E6053">
        <v>8</v>
      </c>
      <c r="F6053">
        <v>3034</v>
      </c>
      <c r="G6053">
        <v>2</v>
      </c>
      <c r="H6053">
        <v>1</v>
      </c>
      <c r="I6053">
        <v>1972</v>
      </c>
      <c r="J6053">
        <v>1</v>
      </c>
      <c r="K6053">
        <v>1</v>
      </c>
      <c r="L6053">
        <v>1</v>
      </c>
      <c r="M6053">
        <v>4</v>
      </c>
      <c r="N6053" t="s">
        <v>26</v>
      </c>
      <c r="O6053" t="s">
        <v>27</v>
      </c>
      <c r="P6053">
        <v>11.2722495653341</v>
      </c>
      <c r="Q6053">
        <v>1.45095034715364</v>
      </c>
      <c r="R6053">
        <v>5.35986802025137</v>
      </c>
      <c r="S6053">
        <v>175</v>
      </c>
      <c r="T6053">
        <v>33</v>
      </c>
      <c r="U6053">
        <v>999.67891198386803</v>
      </c>
      <c r="V6053">
        <v>1.3183915622939999E-3</v>
      </c>
      <c r="W6053">
        <v>3323812.34402496</v>
      </c>
      <c r="X6053" t="s">
        <v>40</v>
      </c>
      <c r="Y6053">
        <f>1-817-814-5150</f>
        <v>-6780</v>
      </c>
    </row>
    <row r="6054" spans="1:25" x14ac:dyDescent="0.35">
      <c r="A6054">
        <v>39.446938926613399</v>
      </c>
      <c r="B6054">
        <v>-121.306470444064</v>
      </c>
      <c r="C6054" t="s">
        <v>29</v>
      </c>
      <c r="D6054">
        <v>36.7566482249374</v>
      </c>
      <c r="E6054">
        <v>4</v>
      </c>
      <c r="F6054">
        <v>765</v>
      </c>
      <c r="G6054">
        <v>2</v>
      </c>
      <c r="H6054">
        <v>3</v>
      </c>
      <c r="I6054">
        <v>2021</v>
      </c>
      <c r="J6054">
        <v>0</v>
      </c>
      <c r="K6054">
        <v>1</v>
      </c>
      <c r="L6054">
        <v>0</v>
      </c>
      <c r="M6054">
        <v>2</v>
      </c>
      <c r="N6054" t="s">
        <v>41</v>
      </c>
      <c r="O6054" t="s">
        <v>32</v>
      </c>
      <c r="P6054">
        <v>9.7001240338330703</v>
      </c>
      <c r="Q6054">
        <v>0.83305642238266497</v>
      </c>
      <c r="R6054">
        <v>8.6871490773730606</v>
      </c>
      <c r="S6054">
        <v>87</v>
      </c>
      <c r="T6054">
        <v>26</v>
      </c>
      <c r="U6054">
        <v>887.70424675293896</v>
      </c>
      <c r="V6054">
        <v>2.6143790849673201E-3</v>
      </c>
      <c r="W6054">
        <v>1074250.3769735601</v>
      </c>
      <c r="X6054" t="s">
        <v>38</v>
      </c>
      <c r="Y6054">
        <f>1-558-287-5364</f>
        <v>-6208</v>
      </c>
    </row>
    <row r="6055" spans="1:25" x14ac:dyDescent="0.35">
      <c r="A6055">
        <v>39.422479520878603</v>
      </c>
      <c r="B6055">
        <v>-117.76612511046299</v>
      </c>
      <c r="C6055" t="s">
        <v>34</v>
      </c>
      <c r="D6055">
        <v>45.032223097587597</v>
      </c>
      <c r="E6055">
        <v>9</v>
      </c>
      <c r="F6055">
        <v>3754</v>
      </c>
      <c r="G6055">
        <v>2</v>
      </c>
      <c r="H6055">
        <v>3</v>
      </c>
      <c r="I6055">
        <v>1999</v>
      </c>
      <c r="J6055">
        <v>0</v>
      </c>
      <c r="K6055">
        <v>0</v>
      </c>
      <c r="L6055">
        <v>1</v>
      </c>
      <c r="M6055">
        <v>9</v>
      </c>
      <c r="N6055" t="s">
        <v>26</v>
      </c>
      <c r="O6055" t="s">
        <v>32</v>
      </c>
      <c r="P6055">
        <v>4.5165689027124998</v>
      </c>
      <c r="Q6055">
        <v>2.3438361118979198</v>
      </c>
      <c r="R6055">
        <v>1.2443109049191201</v>
      </c>
      <c r="S6055">
        <v>87</v>
      </c>
      <c r="T6055">
        <v>49</v>
      </c>
      <c r="U6055">
        <v>201.42340546634301</v>
      </c>
      <c r="V6055">
        <v>2.39744272775705E-3</v>
      </c>
      <c r="W6055">
        <v>890798.69127668301</v>
      </c>
      <c r="X6055" t="s">
        <v>33</v>
      </c>
      <c r="Y6055">
        <f>1-816-369-7473</f>
        <v>-8657</v>
      </c>
    </row>
    <row r="6056" spans="1:25" x14ac:dyDescent="0.35">
      <c r="A6056">
        <v>40.911934249447597</v>
      </c>
      <c r="B6056">
        <v>-122.970561294341</v>
      </c>
      <c r="C6056" t="s">
        <v>25</v>
      </c>
      <c r="D6056">
        <v>11.3880161829688</v>
      </c>
      <c r="E6056">
        <v>6</v>
      </c>
      <c r="F6056">
        <v>2491</v>
      </c>
      <c r="G6056">
        <v>3</v>
      </c>
      <c r="H6056">
        <v>2</v>
      </c>
      <c r="I6056">
        <v>1996</v>
      </c>
      <c r="J6056">
        <v>0</v>
      </c>
      <c r="K6056">
        <v>1</v>
      </c>
      <c r="L6056">
        <v>0</v>
      </c>
      <c r="M6056">
        <v>13</v>
      </c>
      <c r="N6056" t="s">
        <v>35</v>
      </c>
      <c r="O6056" t="s">
        <v>32</v>
      </c>
      <c r="P6056">
        <v>13.485355375647201</v>
      </c>
      <c r="Q6056">
        <v>0.94172205201322601</v>
      </c>
      <c r="R6056">
        <v>6.2341582771422299</v>
      </c>
      <c r="S6056">
        <v>115</v>
      </c>
      <c r="T6056">
        <v>63</v>
      </c>
      <c r="U6056">
        <v>290.85730719011701</v>
      </c>
      <c r="V6056">
        <v>5.21878763548775E-3</v>
      </c>
      <c r="W6056">
        <v>1157460.6684737999</v>
      </c>
      <c r="X6056" t="s">
        <v>36</v>
      </c>
      <c r="Y6056">
        <f>1-599-754-8533</f>
        <v>-9885</v>
      </c>
    </row>
    <row r="6057" spans="1:25" x14ac:dyDescent="0.35">
      <c r="A6057">
        <v>33.4065787347187</v>
      </c>
      <c r="B6057">
        <v>-122.74771478821</v>
      </c>
      <c r="C6057" t="s">
        <v>34</v>
      </c>
      <c r="D6057">
        <v>49.933795922608702</v>
      </c>
      <c r="E6057">
        <v>7</v>
      </c>
      <c r="F6057">
        <v>4058</v>
      </c>
      <c r="G6057">
        <v>2</v>
      </c>
      <c r="H6057">
        <v>2</v>
      </c>
      <c r="I6057">
        <v>1990</v>
      </c>
      <c r="J6057">
        <v>0</v>
      </c>
      <c r="K6057">
        <v>1</v>
      </c>
      <c r="L6057">
        <v>1</v>
      </c>
      <c r="M6057">
        <v>9</v>
      </c>
      <c r="N6057" t="s">
        <v>35</v>
      </c>
      <c r="O6057" t="s">
        <v>32</v>
      </c>
      <c r="P6057">
        <v>12.1740902037465</v>
      </c>
      <c r="Q6057">
        <v>1.4949968852392399</v>
      </c>
      <c r="R6057">
        <v>8.1043850641612192</v>
      </c>
      <c r="S6057">
        <v>36</v>
      </c>
      <c r="T6057">
        <v>70</v>
      </c>
      <c r="U6057">
        <v>763.13288610313998</v>
      </c>
      <c r="V6057">
        <v>2.2178413011335598E-3</v>
      </c>
      <c r="W6057">
        <v>3453096.6415011301</v>
      </c>
      <c r="X6057" t="s">
        <v>36</v>
      </c>
      <c r="Y6057">
        <f>1-461-363-1263</f>
        <v>-2086</v>
      </c>
    </row>
    <row r="6058" spans="1:25" x14ac:dyDescent="0.35">
      <c r="A6058">
        <v>32.5718601302721</v>
      </c>
      <c r="B6058">
        <v>-123.584162225854</v>
      </c>
      <c r="C6058" t="s">
        <v>29</v>
      </c>
      <c r="D6058">
        <v>1.5159688050417399</v>
      </c>
      <c r="E6058">
        <v>2</v>
      </c>
      <c r="F6058">
        <v>1093</v>
      </c>
      <c r="G6058">
        <v>5</v>
      </c>
      <c r="H6058">
        <v>2</v>
      </c>
      <c r="I6058">
        <v>1990</v>
      </c>
      <c r="J6058">
        <v>1</v>
      </c>
      <c r="K6058">
        <v>1</v>
      </c>
      <c r="L6058">
        <v>0</v>
      </c>
      <c r="M6058">
        <v>3</v>
      </c>
      <c r="N6058" t="s">
        <v>26</v>
      </c>
      <c r="O6058" t="s">
        <v>27</v>
      </c>
      <c r="P6058">
        <v>7.5080412785560799</v>
      </c>
      <c r="Q6058">
        <v>1.1683733661175699</v>
      </c>
      <c r="R6058">
        <v>9.8686357514144092</v>
      </c>
      <c r="S6058">
        <v>17</v>
      </c>
      <c r="T6058">
        <v>66</v>
      </c>
      <c r="U6058">
        <v>848.849718254403</v>
      </c>
      <c r="V6058">
        <v>2.74473924977127E-3</v>
      </c>
      <c r="W6058">
        <v>1340613.81198322</v>
      </c>
      <c r="X6058" t="s">
        <v>44</v>
      </c>
      <c r="Y6058">
        <f>1-694-292-5361</f>
        <v>-6346</v>
      </c>
    </row>
    <row r="6059" spans="1:25" x14ac:dyDescent="0.35">
      <c r="A6059">
        <v>36.757520869725298</v>
      </c>
      <c r="B6059">
        <v>-116.15373029925399</v>
      </c>
      <c r="C6059" t="s">
        <v>29</v>
      </c>
      <c r="D6059">
        <v>47.150556564844997</v>
      </c>
      <c r="E6059">
        <v>9</v>
      </c>
      <c r="F6059">
        <v>2186</v>
      </c>
      <c r="G6059">
        <v>5</v>
      </c>
      <c r="H6059">
        <v>3</v>
      </c>
      <c r="I6059">
        <v>1953</v>
      </c>
      <c r="J6059">
        <v>0</v>
      </c>
      <c r="K6059">
        <v>1</v>
      </c>
      <c r="L6059">
        <v>1</v>
      </c>
      <c r="M6059">
        <v>3</v>
      </c>
      <c r="N6059" t="s">
        <v>41</v>
      </c>
      <c r="O6059" t="s">
        <v>30</v>
      </c>
      <c r="P6059">
        <v>2.3046949373846202</v>
      </c>
      <c r="Q6059">
        <v>1.9914449751847001</v>
      </c>
      <c r="R6059">
        <v>5.2414203594739197</v>
      </c>
      <c r="S6059">
        <v>6</v>
      </c>
      <c r="T6059">
        <v>46</v>
      </c>
      <c r="U6059">
        <v>305.41428228205802</v>
      </c>
      <c r="V6059">
        <v>1.37236962488563E-3</v>
      </c>
      <c r="W6059">
        <v>1078852.4743679799</v>
      </c>
      <c r="X6059" t="s">
        <v>39</v>
      </c>
      <c r="Y6059">
        <f>1-531-127-1190</f>
        <v>-1847</v>
      </c>
    </row>
    <row r="6060" spans="1:25" x14ac:dyDescent="0.35">
      <c r="A6060">
        <v>33.7463436497628</v>
      </c>
      <c r="B6060">
        <v>-115.786535971506</v>
      </c>
      <c r="C6060" t="s">
        <v>34</v>
      </c>
      <c r="D6060">
        <v>25.500899704334199</v>
      </c>
      <c r="E6060">
        <v>2</v>
      </c>
      <c r="F6060">
        <v>3588</v>
      </c>
      <c r="G6060">
        <v>2</v>
      </c>
      <c r="H6060">
        <v>2</v>
      </c>
      <c r="I6060">
        <v>1999</v>
      </c>
      <c r="J6060">
        <v>0</v>
      </c>
      <c r="K6060">
        <v>1</v>
      </c>
      <c r="L6060">
        <v>0</v>
      </c>
      <c r="M6060">
        <v>14</v>
      </c>
      <c r="N6060" t="s">
        <v>41</v>
      </c>
      <c r="O6060" t="s">
        <v>30</v>
      </c>
      <c r="P6060">
        <v>13.845981162851601</v>
      </c>
      <c r="Q6060">
        <v>1.3573724241951799</v>
      </c>
      <c r="R6060">
        <v>0.57303410150707501</v>
      </c>
      <c r="S6060">
        <v>120</v>
      </c>
      <c r="T6060">
        <v>55</v>
      </c>
      <c r="U6060">
        <v>562.34974206033098</v>
      </c>
      <c r="V6060">
        <v>3.9018952062430299E-3</v>
      </c>
      <c r="W6060">
        <v>2414965.4692431102</v>
      </c>
      <c r="X6060" t="s">
        <v>40</v>
      </c>
      <c r="Y6060">
        <f>1-751-483-3312</f>
        <v>-4545</v>
      </c>
    </row>
    <row r="6061" spans="1:25" x14ac:dyDescent="0.35">
      <c r="A6061">
        <v>39.3211433978245</v>
      </c>
      <c r="B6061">
        <v>-121.573312520016</v>
      </c>
      <c r="C6061" t="s">
        <v>29</v>
      </c>
      <c r="D6061">
        <v>28.766487279556401</v>
      </c>
      <c r="E6061">
        <v>5</v>
      </c>
      <c r="F6061">
        <v>2719</v>
      </c>
      <c r="G6061">
        <v>3</v>
      </c>
      <c r="H6061">
        <v>3</v>
      </c>
      <c r="I6061">
        <v>1972</v>
      </c>
      <c r="J6061">
        <v>1</v>
      </c>
      <c r="K6061">
        <v>1</v>
      </c>
      <c r="L6061">
        <v>0</v>
      </c>
      <c r="M6061">
        <v>14</v>
      </c>
      <c r="N6061" t="s">
        <v>35</v>
      </c>
      <c r="O6061" t="s">
        <v>27</v>
      </c>
      <c r="P6061">
        <v>13.159905209007</v>
      </c>
      <c r="Q6061">
        <v>2.0067509563055799</v>
      </c>
      <c r="R6061">
        <v>1.8603617493045199</v>
      </c>
      <c r="S6061">
        <v>103</v>
      </c>
      <c r="T6061">
        <v>67</v>
      </c>
      <c r="U6061">
        <v>632.583369842808</v>
      </c>
      <c r="V6061">
        <v>5.1489518205222497E-3</v>
      </c>
      <c r="W6061">
        <v>2129971.05345512</v>
      </c>
      <c r="X6061" t="s">
        <v>28</v>
      </c>
      <c r="Y6061">
        <f>1-440-758-3358</f>
        <v>-4555</v>
      </c>
    </row>
    <row r="6062" spans="1:25" x14ac:dyDescent="0.35">
      <c r="A6062">
        <v>35.575922600094799</v>
      </c>
      <c r="B6062">
        <v>-115.03349488836</v>
      </c>
      <c r="C6062" t="s">
        <v>34</v>
      </c>
      <c r="D6062">
        <v>5.9178696467494003</v>
      </c>
      <c r="E6062">
        <v>7</v>
      </c>
      <c r="F6062">
        <v>782</v>
      </c>
      <c r="G6062">
        <v>2</v>
      </c>
      <c r="H6062">
        <v>3</v>
      </c>
      <c r="I6062">
        <v>2009</v>
      </c>
      <c r="J6062">
        <v>1</v>
      </c>
      <c r="K6062">
        <v>1</v>
      </c>
      <c r="L6062">
        <v>0</v>
      </c>
      <c r="M6062">
        <v>14</v>
      </c>
      <c r="N6062" t="s">
        <v>26</v>
      </c>
      <c r="O6062" t="s">
        <v>32</v>
      </c>
      <c r="P6062">
        <v>13.6223887525886</v>
      </c>
      <c r="Q6062">
        <v>0.67208154545946097</v>
      </c>
      <c r="R6062">
        <v>4.7914823518554401</v>
      </c>
      <c r="S6062">
        <v>66</v>
      </c>
      <c r="T6062">
        <v>75</v>
      </c>
      <c r="U6062">
        <v>545.06936368929905</v>
      </c>
      <c r="V6062">
        <v>1.7902813299232701E-2</v>
      </c>
      <c r="W6062">
        <v>865042.61243590806</v>
      </c>
      <c r="X6062" t="s">
        <v>39</v>
      </c>
      <c r="Y6062">
        <f>1-227-879-5119</f>
        <v>-6224</v>
      </c>
    </row>
    <row r="6063" spans="1:25" x14ac:dyDescent="0.35">
      <c r="A6063">
        <v>38.657095605218302</v>
      </c>
      <c r="B6063">
        <v>-122.853540564139</v>
      </c>
      <c r="C6063" t="s">
        <v>25</v>
      </c>
      <c r="D6063">
        <v>28.161404743405299</v>
      </c>
      <c r="E6063">
        <v>5</v>
      </c>
      <c r="F6063">
        <v>4001</v>
      </c>
      <c r="G6063">
        <v>5</v>
      </c>
      <c r="H6063">
        <v>1</v>
      </c>
      <c r="I6063">
        <v>1964</v>
      </c>
      <c r="J6063">
        <v>0</v>
      </c>
      <c r="K6063">
        <v>1</v>
      </c>
      <c r="L6063">
        <v>1</v>
      </c>
      <c r="M6063">
        <v>3</v>
      </c>
      <c r="N6063" t="s">
        <v>41</v>
      </c>
      <c r="O6063" t="s">
        <v>30</v>
      </c>
      <c r="P6063">
        <v>8.7317003321966702</v>
      </c>
      <c r="Q6063">
        <v>1.3319656133678901</v>
      </c>
      <c r="R6063">
        <v>7.7733091216223196</v>
      </c>
      <c r="S6063">
        <v>146</v>
      </c>
      <c r="T6063">
        <v>41</v>
      </c>
      <c r="U6063">
        <v>267.82751744712698</v>
      </c>
      <c r="V6063">
        <v>7.4981254686328402E-4</v>
      </c>
      <c r="W6063">
        <v>1406936.9945308999</v>
      </c>
      <c r="X6063" t="s">
        <v>40</v>
      </c>
      <c r="Y6063">
        <f>1-918-589-1189</f>
        <v>-2695</v>
      </c>
    </row>
    <row r="6064" spans="1:25" x14ac:dyDescent="0.35">
      <c r="A6064">
        <v>34.673403664967303</v>
      </c>
      <c r="B6064">
        <v>-123.063916649013</v>
      </c>
      <c r="C6064" t="s">
        <v>25</v>
      </c>
      <c r="D6064">
        <v>49.489493072497098</v>
      </c>
      <c r="E6064">
        <v>5</v>
      </c>
      <c r="F6064">
        <v>4084</v>
      </c>
      <c r="G6064">
        <v>1</v>
      </c>
      <c r="H6064">
        <v>2</v>
      </c>
      <c r="I6064">
        <v>2008</v>
      </c>
      <c r="J6064">
        <v>1</v>
      </c>
      <c r="K6064">
        <v>0</v>
      </c>
      <c r="L6064">
        <v>1</v>
      </c>
      <c r="M6064">
        <v>3</v>
      </c>
      <c r="N6064" t="s">
        <v>35</v>
      </c>
      <c r="O6064" t="s">
        <v>27</v>
      </c>
      <c r="P6064">
        <v>7.41614786165949</v>
      </c>
      <c r="Q6064">
        <v>0.64898279396861402</v>
      </c>
      <c r="R6064">
        <v>4.9951822713290799</v>
      </c>
      <c r="S6064">
        <v>21</v>
      </c>
      <c r="T6064">
        <v>43</v>
      </c>
      <c r="U6064">
        <v>408.447936780075</v>
      </c>
      <c r="V6064">
        <v>7.3457394711067502E-4</v>
      </c>
      <c r="W6064">
        <v>1867450.9658008399</v>
      </c>
      <c r="X6064" t="s">
        <v>38</v>
      </c>
      <c r="Y6064">
        <f>1-348-463-2842</f>
        <v>-3652</v>
      </c>
    </row>
    <row r="6065" spans="1:25" x14ac:dyDescent="0.35">
      <c r="A6065">
        <v>36.828385449705102</v>
      </c>
      <c r="B6065">
        <v>-116.93707444341</v>
      </c>
      <c r="C6065" t="s">
        <v>25</v>
      </c>
      <c r="D6065">
        <v>49.512813537473903</v>
      </c>
      <c r="E6065">
        <v>6</v>
      </c>
      <c r="F6065">
        <v>4855</v>
      </c>
      <c r="G6065">
        <v>5</v>
      </c>
      <c r="H6065">
        <v>3</v>
      </c>
      <c r="I6065">
        <v>1994</v>
      </c>
      <c r="J6065">
        <v>1</v>
      </c>
      <c r="K6065">
        <v>0</v>
      </c>
      <c r="L6065">
        <v>1</v>
      </c>
      <c r="M6065">
        <v>13</v>
      </c>
      <c r="N6065" t="s">
        <v>35</v>
      </c>
      <c r="O6065" t="s">
        <v>30</v>
      </c>
      <c r="P6065">
        <v>11.083695538130099</v>
      </c>
      <c r="Q6065">
        <v>2.1397618099990998</v>
      </c>
      <c r="R6065">
        <v>6.0662340183352601</v>
      </c>
      <c r="S6065">
        <v>91</v>
      </c>
      <c r="T6065">
        <v>47</v>
      </c>
      <c r="U6065">
        <v>331.39229270476301</v>
      </c>
      <c r="V6065">
        <v>2.6776519052523098E-3</v>
      </c>
      <c r="W6065">
        <v>2069395.8861380599</v>
      </c>
      <c r="X6065" t="s">
        <v>43</v>
      </c>
      <c r="Y6065">
        <f>1-924-948-1270</f>
        <v>-3141</v>
      </c>
    </row>
    <row r="6066" spans="1:25" x14ac:dyDescent="0.35">
      <c r="A6066">
        <v>40.837374952977498</v>
      </c>
      <c r="B6066">
        <v>-118.902564338254</v>
      </c>
      <c r="C6066" t="s">
        <v>25</v>
      </c>
      <c r="D6066">
        <v>6.8720908756074399</v>
      </c>
      <c r="E6066">
        <v>7</v>
      </c>
      <c r="F6066">
        <v>2285</v>
      </c>
      <c r="G6066">
        <v>2</v>
      </c>
      <c r="H6066">
        <v>1</v>
      </c>
      <c r="I6066">
        <v>1976</v>
      </c>
      <c r="J6066">
        <v>0</v>
      </c>
      <c r="K6066">
        <v>0</v>
      </c>
      <c r="L6066">
        <v>1</v>
      </c>
      <c r="M6066">
        <v>8</v>
      </c>
      <c r="N6066" t="s">
        <v>41</v>
      </c>
      <c r="O6066" t="s">
        <v>30</v>
      </c>
      <c r="P6066">
        <v>6.0384989998708898</v>
      </c>
      <c r="Q6066">
        <v>1.7692564966079001</v>
      </c>
      <c r="R6066">
        <v>7.7141118876247097</v>
      </c>
      <c r="S6066">
        <v>33</v>
      </c>
      <c r="T6066">
        <v>48</v>
      </c>
      <c r="U6066">
        <v>510.65103517767398</v>
      </c>
      <c r="V6066">
        <v>3.50109409190372E-3</v>
      </c>
      <c r="W6066">
        <v>1334543.8121408401</v>
      </c>
      <c r="X6066" t="s">
        <v>33</v>
      </c>
      <c r="Y6066">
        <f>1-861-905-8501</f>
        <v>-10266</v>
      </c>
    </row>
    <row r="6067" spans="1:25" x14ac:dyDescent="0.35">
      <c r="A6067">
        <v>38.657291654765601</v>
      </c>
      <c r="B6067">
        <v>-116.794862535086</v>
      </c>
      <c r="C6067" t="s">
        <v>34</v>
      </c>
      <c r="D6067">
        <v>25.650627622936799</v>
      </c>
      <c r="E6067">
        <v>1</v>
      </c>
      <c r="F6067">
        <v>3295</v>
      </c>
      <c r="G6067">
        <v>2</v>
      </c>
      <c r="H6067">
        <v>3</v>
      </c>
      <c r="I6067">
        <v>1969</v>
      </c>
      <c r="J6067">
        <v>0</v>
      </c>
      <c r="K6067">
        <v>1</v>
      </c>
      <c r="L6067">
        <v>0</v>
      </c>
      <c r="M6067">
        <v>9</v>
      </c>
      <c r="N6067" t="s">
        <v>41</v>
      </c>
      <c r="O6067" t="s">
        <v>32</v>
      </c>
      <c r="P6067">
        <v>12.6455937359173</v>
      </c>
      <c r="Q6067">
        <v>0.63009843133041499</v>
      </c>
      <c r="R6067">
        <v>8.6068038664086605E-2</v>
      </c>
      <c r="S6067">
        <v>181</v>
      </c>
      <c r="T6067">
        <v>27</v>
      </c>
      <c r="U6067">
        <v>851.95418592522196</v>
      </c>
      <c r="V6067">
        <v>2.7314112291350499E-3</v>
      </c>
      <c r="W6067">
        <v>3142039.4426595899</v>
      </c>
      <c r="X6067" t="s">
        <v>33</v>
      </c>
      <c r="Y6067">
        <f>1-271-654-2326</f>
        <v>-3250</v>
      </c>
    </row>
    <row r="6068" spans="1:25" x14ac:dyDescent="0.35">
      <c r="A6068">
        <v>41.737368892142797</v>
      </c>
      <c r="B6068">
        <v>-119.522662251355</v>
      </c>
      <c r="C6068" t="s">
        <v>29</v>
      </c>
      <c r="D6068">
        <v>47.351586017048298</v>
      </c>
      <c r="E6068">
        <v>0</v>
      </c>
      <c r="F6068">
        <v>3413</v>
      </c>
      <c r="G6068">
        <v>4</v>
      </c>
      <c r="H6068">
        <v>1</v>
      </c>
      <c r="I6068">
        <v>1971</v>
      </c>
      <c r="J6068">
        <v>1</v>
      </c>
      <c r="K6068">
        <v>1</v>
      </c>
      <c r="L6068">
        <v>1</v>
      </c>
      <c r="M6068">
        <v>8</v>
      </c>
      <c r="N6068" t="s">
        <v>41</v>
      </c>
      <c r="O6068" t="s">
        <v>32</v>
      </c>
      <c r="P6068">
        <v>3.4429100541230002</v>
      </c>
      <c r="Q6068">
        <v>1.93758758157325</v>
      </c>
      <c r="R6068">
        <v>0.21130127554849701</v>
      </c>
      <c r="S6068">
        <v>21</v>
      </c>
      <c r="T6068">
        <v>50</v>
      </c>
      <c r="U6068">
        <v>913.88232884363094</v>
      </c>
      <c r="V6068">
        <v>2.3439789041898602E-3</v>
      </c>
      <c r="W6068">
        <v>3499357.4842194999</v>
      </c>
      <c r="X6068" t="s">
        <v>44</v>
      </c>
      <c r="Y6068">
        <f>1-538-224-4709</f>
        <v>-5470</v>
      </c>
    </row>
    <row r="6069" spans="1:25" x14ac:dyDescent="0.35">
      <c r="A6069">
        <v>38.670120911436499</v>
      </c>
      <c r="B6069">
        <v>-122.925390668411</v>
      </c>
      <c r="C6069" t="s">
        <v>29</v>
      </c>
      <c r="D6069">
        <v>40.636419894272997</v>
      </c>
      <c r="E6069">
        <v>0</v>
      </c>
      <c r="F6069">
        <v>3753</v>
      </c>
      <c r="G6069">
        <v>5</v>
      </c>
      <c r="H6069">
        <v>3</v>
      </c>
      <c r="I6069">
        <v>1974</v>
      </c>
      <c r="J6069">
        <v>1</v>
      </c>
      <c r="K6069">
        <v>1</v>
      </c>
      <c r="L6069">
        <v>0</v>
      </c>
      <c r="M6069">
        <v>10</v>
      </c>
      <c r="N6069" t="s">
        <v>37</v>
      </c>
      <c r="O6069" t="s">
        <v>32</v>
      </c>
      <c r="P6069">
        <v>14.7354762097143</v>
      </c>
      <c r="Q6069">
        <v>1.2348218954535699</v>
      </c>
      <c r="R6069">
        <v>3.3668100382464501</v>
      </c>
      <c r="S6069">
        <v>189</v>
      </c>
      <c r="T6069">
        <v>57</v>
      </c>
      <c r="U6069">
        <v>743.31157232674195</v>
      </c>
      <c r="V6069">
        <v>2.66453503863575E-3</v>
      </c>
      <c r="W6069">
        <v>3202316.7585308198</v>
      </c>
      <c r="X6069" t="s">
        <v>44</v>
      </c>
      <c r="Y6069">
        <f>1-669-950-4930</f>
        <v>-6548</v>
      </c>
    </row>
    <row r="6070" spans="1:25" x14ac:dyDescent="0.35">
      <c r="A6070">
        <v>33.516951737082103</v>
      </c>
      <c r="B6070">
        <v>-119.45922295779501</v>
      </c>
      <c r="C6070" t="s">
        <v>29</v>
      </c>
      <c r="D6070">
        <v>35.409772504066098</v>
      </c>
      <c r="E6070">
        <v>3</v>
      </c>
      <c r="F6070">
        <v>1777</v>
      </c>
      <c r="G6070">
        <v>5</v>
      </c>
      <c r="H6070">
        <v>2</v>
      </c>
      <c r="I6070">
        <v>1951</v>
      </c>
      <c r="J6070">
        <v>0</v>
      </c>
      <c r="K6070">
        <v>0</v>
      </c>
      <c r="L6070">
        <v>0</v>
      </c>
      <c r="M6070">
        <v>7</v>
      </c>
      <c r="N6070" t="s">
        <v>37</v>
      </c>
      <c r="O6070" t="s">
        <v>30</v>
      </c>
      <c r="P6070">
        <v>4.4526212089479102</v>
      </c>
      <c r="Q6070">
        <v>2.3457132559530902</v>
      </c>
      <c r="R6070">
        <v>0.33721693507183398</v>
      </c>
      <c r="S6070">
        <v>34</v>
      </c>
      <c r="T6070">
        <v>34</v>
      </c>
      <c r="U6070">
        <v>317.106969851938</v>
      </c>
      <c r="V6070">
        <v>3.9392234102419797E-3</v>
      </c>
      <c r="W6070">
        <v>745941.26997430704</v>
      </c>
      <c r="X6070" t="s">
        <v>31</v>
      </c>
      <c r="Y6070">
        <f>1-675-778-6674</f>
        <v>-8126</v>
      </c>
    </row>
    <row r="6071" spans="1:25" x14ac:dyDescent="0.35">
      <c r="A6071">
        <v>41.5635111600388</v>
      </c>
      <c r="B6071">
        <v>-115.51285211678</v>
      </c>
      <c r="C6071" t="s">
        <v>29</v>
      </c>
      <c r="D6071">
        <v>7.1671997254988797</v>
      </c>
      <c r="E6071">
        <v>5</v>
      </c>
      <c r="F6071">
        <v>4169</v>
      </c>
      <c r="G6071">
        <v>4</v>
      </c>
      <c r="H6071">
        <v>1</v>
      </c>
      <c r="I6071">
        <v>1974</v>
      </c>
      <c r="J6071">
        <v>0</v>
      </c>
      <c r="K6071">
        <v>1</v>
      </c>
      <c r="L6071">
        <v>0</v>
      </c>
      <c r="M6071">
        <v>11</v>
      </c>
      <c r="N6071" t="s">
        <v>41</v>
      </c>
      <c r="O6071" t="s">
        <v>32</v>
      </c>
      <c r="P6071">
        <v>5.7227122789786202</v>
      </c>
      <c r="Q6071">
        <v>1.6867095496296201</v>
      </c>
      <c r="R6071">
        <v>4.8498435078620803</v>
      </c>
      <c r="S6071">
        <v>144</v>
      </c>
      <c r="T6071">
        <v>79</v>
      </c>
      <c r="U6071">
        <v>282.53599141826999</v>
      </c>
      <c r="V6071">
        <v>2.6385224274406301E-3</v>
      </c>
      <c r="W6071">
        <v>1478670.93174565</v>
      </c>
      <c r="X6071" t="s">
        <v>43</v>
      </c>
      <c r="Y6071">
        <f>1-928-860-6115</f>
        <v>-7902</v>
      </c>
    </row>
    <row r="6072" spans="1:25" x14ac:dyDescent="0.35">
      <c r="A6072">
        <v>40.0853069735319</v>
      </c>
      <c r="B6072">
        <v>-116.08808698790899</v>
      </c>
      <c r="C6072" t="s">
        <v>34</v>
      </c>
      <c r="D6072">
        <v>3.3842276770136999</v>
      </c>
      <c r="E6072">
        <v>2</v>
      </c>
      <c r="F6072">
        <v>1662</v>
      </c>
      <c r="G6072">
        <v>1</v>
      </c>
      <c r="H6072">
        <v>1</v>
      </c>
      <c r="I6072">
        <v>1996</v>
      </c>
      <c r="J6072">
        <v>1</v>
      </c>
      <c r="K6072">
        <v>0</v>
      </c>
      <c r="L6072">
        <v>0</v>
      </c>
      <c r="M6072">
        <v>13</v>
      </c>
      <c r="N6072" t="s">
        <v>37</v>
      </c>
      <c r="O6072" t="s">
        <v>30</v>
      </c>
      <c r="P6072">
        <v>8.5936752162155798</v>
      </c>
      <c r="Q6072">
        <v>1.8679224514022701</v>
      </c>
      <c r="R6072">
        <v>9.0492816838036401</v>
      </c>
      <c r="S6072">
        <v>125</v>
      </c>
      <c r="T6072">
        <v>59</v>
      </c>
      <c r="U6072">
        <v>745.05927727007997</v>
      </c>
      <c r="V6072">
        <v>7.8219013237063699E-3</v>
      </c>
      <c r="W6072">
        <v>1263322.9583717</v>
      </c>
      <c r="X6072" t="s">
        <v>39</v>
      </c>
      <c r="Y6072">
        <f>1-445-123-4147</f>
        <v>-4714</v>
      </c>
    </row>
    <row r="6073" spans="1:25" x14ac:dyDescent="0.35">
      <c r="A6073">
        <v>36.780759443445298</v>
      </c>
      <c r="B6073">
        <v>-120.38966112522201</v>
      </c>
      <c r="C6073" t="s">
        <v>25</v>
      </c>
      <c r="D6073">
        <v>3.6030621837458501</v>
      </c>
      <c r="E6073">
        <v>7</v>
      </c>
      <c r="F6073">
        <v>2809</v>
      </c>
      <c r="G6073">
        <v>4</v>
      </c>
      <c r="H6073">
        <v>2</v>
      </c>
      <c r="I6073">
        <v>1975</v>
      </c>
      <c r="J6073">
        <v>1</v>
      </c>
      <c r="K6073">
        <v>0</v>
      </c>
      <c r="L6073">
        <v>1</v>
      </c>
      <c r="M6073">
        <v>9</v>
      </c>
      <c r="N6073" t="s">
        <v>41</v>
      </c>
      <c r="O6073" t="s">
        <v>32</v>
      </c>
      <c r="P6073">
        <v>11.166852542128201</v>
      </c>
      <c r="Q6073">
        <v>0.52431824070281596</v>
      </c>
      <c r="R6073">
        <v>8.1800906068096708</v>
      </c>
      <c r="S6073">
        <v>29</v>
      </c>
      <c r="T6073">
        <v>61</v>
      </c>
      <c r="U6073">
        <v>777.832195664408</v>
      </c>
      <c r="V6073">
        <v>3.2039871840512601E-3</v>
      </c>
      <c r="W6073">
        <v>2486199.4754658402</v>
      </c>
      <c r="X6073" t="s">
        <v>31</v>
      </c>
      <c r="Y6073">
        <f>1-708-974-4248</f>
        <v>-5929</v>
      </c>
    </row>
    <row r="6074" spans="1:25" x14ac:dyDescent="0.35">
      <c r="A6074">
        <v>36.6960774123772</v>
      </c>
      <c r="B6074">
        <v>-115.594538266337</v>
      </c>
      <c r="C6074" t="s">
        <v>29</v>
      </c>
      <c r="D6074">
        <v>32.809218185113799</v>
      </c>
      <c r="E6074">
        <v>5</v>
      </c>
      <c r="F6074">
        <v>3312</v>
      </c>
      <c r="G6074">
        <v>1</v>
      </c>
      <c r="H6074">
        <v>3</v>
      </c>
      <c r="I6074">
        <v>1997</v>
      </c>
      <c r="J6074">
        <v>0</v>
      </c>
      <c r="K6074">
        <v>0</v>
      </c>
      <c r="L6074">
        <v>0</v>
      </c>
      <c r="M6074">
        <v>12</v>
      </c>
      <c r="N6074" t="s">
        <v>35</v>
      </c>
      <c r="O6074" t="s">
        <v>32</v>
      </c>
      <c r="P6074">
        <v>13.308054002854</v>
      </c>
      <c r="Q6074">
        <v>0.88130679633611197</v>
      </c>
      <c r="R6074">
        <v>2.9326344825700401</v>
      </c>
      <c r="S6074">
        <v>120</v>
      </c>
      <c r="T6074">
        <v>41</v>
      </c>
      <c r="U6074">
        <v>423.26161401221799</v>
      </c>
      <c r="V6074">
        <v>3.6231884057971002E-3</v>
      </c>
      <c r="W6074">
        <v>1588705.8205778301</v>
      </c>
      <c r="X6074" t="s">
        <v>42</v>
      </c>
      <c r="Y6074">
        <f>1-967-997-7954</f>
        <v>-9917</v>
      </c>
    </row>
    <row r="6075" spans="1:25" x14ac:dyDescent="0.35">
      <c r="A6075">
        <v>41.554146197066899</v>
      </c>
      <c r="B6075">
        <v>-117.15504726406201</v>
      </c>
      <c r="C6075" t="s">
        <v>29</v>
      </c>
      <c r="D6075">
        <v>20.9462917282079</v>
      </c>
      <c r="E6075">
        <v>4</v>
      </c>
      <c r="F6075">
        <v>3132</v>
      </c>
      <c r="G6075">
        <v>4</v>
      </c>
      <c r="H6075">
        <v>1</v>
      </c>
      <c r="I6075">
        <v>1961</v>
      </c>
      <c r="J6075">
        <v>0</v>
      </c>
      <c r="K6075">
        <v>0</v>
      </c>
      <c r="L6075">
        <v>0</v>
      </c>
      <c r="M6075">
        <v>9</v>
      </c>
      <c r="N6075" t="s">
        <v>41</v>
      </c>
      <c r="O6075" t="s">
        <v>30</v>
      </c>
      <c r="P6075">
        <v>12.638449661369</v>
      </c>
      <c r="Q6075">
        <v>2.3119558659987698</v>
      </c>
      <c r="R6075">
        <v>6.8303121220773004</v>
      </c>
      <c r="S6075">
        <v>29</v>
      </c>
      <c r="T6075">
        <v>46</v>
      </c>
      <c r="U6075">
        <v>846.03209263709095</v>
      </c>
      <c r="V6075">
        <v>2.8735632183907998E-3</v>
      </c>
      <c r="W6075">
        <v>2835222.9070425699</v>
      </c>
      <c r="X6075" t="s">
        <v>44</v>
      </c>
      <c r="Y6075">
        <f>1-328-400-8874</f>
        <v>-9601</v>
      </c>
    </row>
    <row r="6076" spans="1:25" x14ac:dyDescent="0.35">
      <c r="A6076">
        <v>33.801780713708602</v>
      </c>
      <c r="B6076">
        <v>-115.239374006867</v>
      </c>
      <c r="C6076" t="s">
        <v>34</v>
      </c>
      <c r="D6076">
        <v>44.299559803514803</v>
      </c>
      <c r="E6076">
        <v>6</v>
      </c>
      <c r="F6076">
        <v>3754</v>
      </c>
      <c r="G6076">
        <v>3</v>
      </c>
      <c r="H6076">
        <v>2</v>
      </c>
      <c r="I6076">
        <v>2011</v>
      </c>
      <c r="J6076">
        <v>1</v>
      </c>
      <c r="K6076">
        <v>1</v>
      </c>
      <c r="L6076">
        <v>0</v>
      </c>
      <c r="M6076">
        <v>4</v>
      </c>
      <c r="N6076" t="s">
        <v>35</v>
      </c>
      <c r="O6076" t="s">
        <v>27</v>
      </c>
      <c r="P6076">
        <v>5.1011684623290998</v>
      </c>
      <c r="Q6076">
        <v>1.2390237212472901</v>
      </c>
      <c r="R6076">
        <v>9.9808527409637904</v>
      </c>
      <c r="S6076">
        <v>135</v>
      </c>
      <c r="T6076">
        <v>24</v>
      </c>
      <c r="U6076">
        <v>750.96090104793404</v>
      </c>
      <c r="V6076">
        <v>1.06553010122535E-3</v>
      </c>
      <c r="W6076">
        <v>3164742.7961723702</v>
      </c>
      <c r="X6076" t="s">
        <v>38</v>
      </c>
      <c r="Y6076">
        <f>1-899-792-8814</f>
        <v>-10504</v>
      </c>
    </row>
    <row r="6077" spans="1:25" x14ac:dyDescent="0.35">
      <c r="A6077">
        <v>33.925949455023002</v>
      </c>
      <c r="B6077">
        <v>-123.232945081653</v>
      </c>
      <c r="C6077" t="s">
        <v>25</v>
      </c>
      <c r="D6077">
        <v>5.0582528344464297</v>
      </c>
      <c r="E6077">
        <v>3</v>
      </c>
      <c r="F6077">
        <v>532</v>
      </c>
      <c r="G6077">
        <v>2</v>
      </c>
      <c r="H6077">
        <v>2</v>
      </c>
      <c r="I6077">
        <v>1997</v>
      </c>
      <c r="J6077">
        <v>1</v>
      </c>
      <c r="K6077">
        <v>0</v>
      </c>
      <c r="L6077">
        <v>1</v>
      </c>
      <c r="M6077">
        <v>7</v>
      </c>
      <c r="N6077" t="s">
        <v>41</v>
      </c>
      <c r="O6077" t="s">
        <v>30</v>
      </c>
      <c r="P6077">
        <v>13.149990490907101</v>
      </c>
      <c r="Q6077">
        <v>2.38443419315325</v>
      </c>
      <c r="R6077">
        <v>5.9819898115576002</v>
      </c>
      <c r="S6077">
        <v>42</v>
      </c>
      <c r="T6077">
        <v>59</v>
      </c>
      <c r="U6077">
        <v>214.375580805418</v>
      </c>
      <c r="V6077">
        <v>1.3157894736842099E-2</v>
      </c>
      <c r="W6077">
        <v>449802.01660201797</v>
      </c>
      <c r="X6077" t="s">
        <v>44</v>
      </c>
      <c r="Y6077">
        <f>1-441-955-9116</f>
        <v>-10511</v>
      </c>
    </row>
    <row r="6078" spans="1:25" x14ac:dyDescent="0.35">
      <c r="A6078">
        <v>37.689880812864999</v>
      </c>
      <c r="B6078">
        <v>-123.27108446063301</v>
      </c>
      <c r="C6078" t="s">
        <v>25</v>
      </c>
      <c r="D6078">
        <v>14.1619144985118</v>
      </c>
      <c r="E6078">
        <v>3</v>
      </c>
      <c r="F6078">
        <v>4832</v>
      </c>
      <c r="G6078">
        <v>5</v>
      </c>
      <c r="H6078">
        <v>1</v>
      </c>
      <c r="I6078">
        <v>1956</v>
      </c>
      <c r="J6078">
        <v>0</v>
      </c>
      <c r="K6078">
        <v>1</v>
      </c>
      <c r="L6078">
        <v>1</v>
      </c>
      <c r="M6078">
        <v>6</v>
      </c>
      <c r="N6078" t="s">
        <v>35</v>
      </c>
      <c r="O6078" t="s">
        <v>27</v>
      </c>
      <c r="P6078">
        <v>12.737244761572001</v>
      </c>
      <c r="Q6078">
        <v>1.4386056724429099</v>
      </c>
      <c r="R6078">
        <v>3.5908381455671901</v>
      </c>
      <c r="S6078">
        <v>55</v>
      </c>
      <c r="T6078">
        <v>58</v>
      </c>
      <c r="U6078">
        <v>902.174546900986</v>
      </c>
      <c r="V6078">
        <v>1.24172185430463E-3</v>
      </c>
      <c r="W6078">
        <v>4765576.9758301098</v>
      </c>
      <c r="X6078" t="s">
        <v>33</v>
      </c>
      <c r="Y6078">
        <f>1-369-879-4224</f>
        <v>-5471</v>
      </c>
    </row>
    <row r="6079" spans="1:25" x14ac:dyDescent="0.35">
      <c r="A6079">
        <v>37.682113576089598</v>
      </c>
      <c r="B6079">
        <v>-120.85724429628</v>
      </c>
      <c r="C6079" t="s">
        <v>29</v>
      </c>
      <c r="D6079">
        <v>47.8046657974431</v>
      </c>
      <c r="E6079">
        <v>3</v>
      </c>
      <c r="F6079">
        <v>2591</v>
      </c>
      <c r="G6079">
        <v>5</v>
      </c>
      <c r="H6079">
        <v>3</v>
      </c>
      <c r="I6079">
        <v>1981</v>
      </c>
      <c r="J6079">
        <v>0</v>
      </c>
      <c r="K6079">
        <v>0</v>
      </c>
      <c r="L6079">
        <v>0</v>
      </c>
      <c r="M6079">
        <v>8</v>
      </c>
      <c r="N6079" t="s">
        <v>41</v>
      </c>
      <c r="O6079" t="s">
        <v>30</v>
      </c>
      <c r="P6079">
        <v>14.2731514311784</v>
      </c>
      <c r="Q6079">
        <v>1.0773358540173501</v>
      </c>
      <c r="R6079">
        <v>1.70344966381092</v>
      </c>
      <c r="S6079">
        <v>152</v>
      </c>
      <c r="T6079">
        <v>51</v>
      </c>
      <c r="U6079">
        <v>493.76964693393103</v>
      </c>
      <c r="V6079">
        <v>3.08761096101891E-3</v>
      </c>
      <c r="W6079">
        <v>1724660.53185268</v>
      </c>
      <c r="X6079" t="s">
        <v>28</v>
      </c>
      <c r="Y6079">
        <f>1-978-440-3037</f>
        <v>-4454</v>
      </c>
    </row>
    <row r="6080" spans="1:25" x14ac:dyDescent="0.35">
      <c r="A6080">
        <v>37.100893862853901</v>
      </c>
      <c r="B6080">
        <v>-117.969128708379</v>
      </c>
      <c r="C6080" t="s">
        <v>29</v>
      </c>
      <c r="D6080">
        <v>41.011930976407903</v>
      </c>
      <c r="E6080">
        <v>6</v>
      </c>
      <c r="F6080">
        <v>1225</v>
      </c>
      <c r="G6080">
        <v>5</v>
      </c>
      <c r="H6080">
        <v>1</v>
      </c>
      <c r="I6080">
        <v>2018</v>
      </c>
      <c r="J6080">
        <v>0</v>
      </c>
      <c r="K6080">
        <v>1</v>
      </c>
      <c r="L6080">
        <v>0</v>
      </c>
      <c r="M6080">
        <v>8</v>
      </c>
      <c r="N6080" t="s">
        <v>37</v>
      </c>
      <c r="O6080" t="s">
        <v>30</v>
      </c>
      <c r="P6080">
        <v>10.691512172223799</v>
      </c>
      <c r="Q6080">
        <v>1.4914048966425799</v>
      </c>
      <c r="R6080">
        <v>5.3678382003060401</v>
      </c>
      <c r="S6080">
        <v>193</v>
      </c>
      <c r="T6080">
        <v>67</v>
      </c>
      <c r="U6080">
        <v>667.70473097333195</v>
      </c>
      <c r="V6080">
        <v>6.5306122448979499E-3</v>
      </c>
      <c r="W6080">
        <v>1240254.8996886399</v>
      </c>
      <c r="X6080" t="s">
        <v>44</v>
      </c>
      <c r="Y6080">
        <f>1-437-122-9402</f>
        <v>-9960</v>
      </c>
    </row>
    <row r="6081" spans="1:25" x14ac:dyDescent="0.35">
      <c r="A6081">
        <v>40.572848616674598</v>
      </c>
      <c r="B6081">
        <v>-116.29080012607101</v>
      </c>
      <c r="C6081" t="s">
        <v>34</v>
      </c>
      <c r="D6081">
        <v>47.847760592209099</v>
      </c>
      <c r="E6081">
        <v>6</v>
      </c>
      <c r="F6081">
        <v>2252</v>
      </c>
      <c r="G6081">
        <v>3</v>
      </c>
      <c r="H6081">
        <v>1</v>
      </c>
      <c r="I6081">
        <v>1975</v>
      </c>
      <c r="J6081">
        <v>0</v>
      </c>
      <c r="K6081">
        <v>1</v>
      </c>
      <c r="L6081">
        <v>0</v>
      </c>
      <c r="M6081">
        <v>13</v>
      </c>
      <c r="N6081" t="s">
        <v>41</v>
      </c>
      <c r="O6081" t="s">
        <v>27</v>
      </c>
      <c r="P6081">
        <v>12.261524483233901</v>
      </c>
      <c r="Q6081">
        <v>0.86119165541985798</v>
      </c>
      <c r="R6081">
        <v>6.4183927496594402</v>
      </c>
      <c r="S6081">
        <v>27</v>
      </c>
      <c r="T6081">
        <v>42</v>
      </c>
      <c r="U6081">
        <v>739.073017336985</v>
      </c>
      <c r="V6081">
        <v>5.7726465364120703E-3</v>
      </c>
      <c r="W6081">
        <v>1977719.07439142</v>
      </c>
      <c r="X6081" t="s">
        <v>44</v>
      </c>
      <c r="Y6081">
        <f>1-667-825-7240</f>
        <v>-8731</v>
      </c>
    </row>
    <row r="6082" spans="1:25" x14ac:dyDescent="0.35">
      <c r="A6082">
        <v>41.075099229379397</v>
      </c>
      <c r="B6082">
        <v>-117.03528252912901</v>
      </c>
      <c r="C6082" t="s">
        <v>29</v>
      </c>
      <c r="D6082">
        <v>8.0899961554184596</v>
      </c>
      <c r="E6082">
        <v>0</v>
      </c>
      <c r="F6082">
        <v>2674</v>
      </c>
      <c r="G6082">
        <v>5</v>
      </c>
      <c r="H6082">
        <v>3</v>
      </c>
      <c r="I6082">
        <v>2009</v>
      </c>
      <c r="J6082">
        <v>0</v>
      </c>
      <c r="K6082">
        <v>0</v>
      </c>
      <c r="L6082">
        <v>1</v>
      </c>
      <c r="M6082">
        <v>12</v>
      </c>
      <c r="N6082" t="s">
        <v>41</v>
      </c>
      <c r="O6082" t="s">
        <v>30</v>
      </c>
      <c r="P6082">
        <v>10.759662934689601</v>
      </c>
      <c r="Q6082">
        <v>2.1273359562526699</v>
      </c>
      <c r="R6082">
        <v>2.2021054463438499</v>
      </c>
      <c r="S6082">
        <v>31</v>
      </c>
      <c r="T6082">
        <v>63</v>
      </c>
      <c r="U6082">
        <v>410.06331581309502</v>
      </c>
      <c r="V6082">
        <v>4.4876589379207101E-3</v>
      </c>
      <c r="W6082">
        <v>1460746.36492434</v>
      </c>
      <c r="X6082" t="s">
        <v>28</v>
      </c>
      <c r="Y6082">
        <f>1-782-798-1612</f>
        <v>-3191</v>
      </c>
    </row>
    <row r="6083" spans="1:25" x14ac:dyDescent="0.35">
      <c r="A6083">
        <v>37.347025095066101</v>
      </c>
      <c r="B6083">
        <v>-116.60447862598799</v>
      </c>
      <c r="C6083" t="s">
        <v>25</v>
      </c>
      <c r="D6083">
        <v>18.910939602864001</v>
      </c>
      <c r="E6083">
        <v>9</v>
      </c>
      <c r="F6083">
        <v>3923</v>
      </c>
      <c r="G6083">
        <v>2</v>
      </c>
      <c r="H6083">
        <v>2</v>
      </c>
      <c r="I6083">
        <v>1990</v>
      </c>
      <c r="J6083">
        <v>0</v>
      </c>
      <c r="K6083">
        <v>1</v>
      </c>
      <c r="L6083">
        <v>1</v>
      </c>
      <c r="M6083">
        <v>6</v>
      </c>
      <c r="N6083" t="s">
        <v>41</v>
      </c>
      <c r="O6083" t="s">
        <v>27</v>
      </c>
      <c r="P6083">
        <v>13.0436087063615</v>
      </c>
      <c r="Q6083">
        <v>1.32899158730996</v>
      </c>
      <c r="R6083">
        <v>3.0256232089844999</v>
      </c>
      <c r="S6083">
        <v>176</v>
      </c>
      <c r="T6083">
        <v>71</v>
      </c>
      <c r="U6083">
        <v>851.96040267928299</v>
      </c>
      <c r="V6083">
        <v>1.5294417537598699E-3</v>
      </c>
      <c r="W6083">
        <v>3647487.6829463602</v>
      </c>
      <c r="X6083" t="s">
        <v>43</v>
      </c>
      <c r="Y6083">
        <f>1-392-375-4159</f>
        <v>-4925</v>
      </c>
    </row>
    <row r="6084" spans="1:25" x14ac:dyDescent="0.35">
      <c r="A6084">
        <v>36.640175718250198</v>
      </c>
      <c r="B6084">
        <v>-117.91243823160499</v>
      </c>
      <c r="C6084" t="s">
        <v>25</v>
      </c>
      <c r="D6084">
        <v>21.763148972126199</v>
      </c>
      <c r="E6084">
        <v>7</v>
      </c>
      <c r="F6084">
        <v>1017</v>
      </c>
      <c r="G6084">
        <v>2</v>
      </c>
      <c r="H6084">
        <v>2</v>
      </c>
      <c r="I6084">
        <v>1973</v>
      </c>
      <c r="J6084">
        <v>0</v>
      </c>
      <c r="K6084">
        <v>0</v>
      </c>
      <c r="L6084">
        <v>0</v>
      </c>
      <c r="M6084">
        <v>4</v>
      </c>
      <c r="N6084" t="s">
        <v>35</v>
      </c>
      <c r="O6084" t="s">
        <v>32</v>
      </c>
      <c r="P6084">
        <v>11.536632379572501</v>
      </c>
      <c r="Q6084">
        <v>2.03708441479397</v>
      </c>
      <c r="R6084">
        <v>3.7056426343519702</v>
      </c>
      <c r="S6084">
        <v>12</v>
      </c>
      <c r="T6084">
        <v>29</v>
      </c>
      <c r="U6084">
        <v>921.86821456631196</v>
      </c>
      <c r="V6084">
        <v>3.9331366764994999E-3</v>
      </c>
      <c r="W6084">
        <v>1134765.3147819</v>
      </c>
      <c r="X6084" t="s">
        <v>33</v>
      </c>
      <c r="Y6084">
        <f>1-392-143-9894</f>
        <v>-10428</v>
      </c>
    </row>
    <row r="6085" spans="1:25" x14ac:dyDescent="0.35">
      <c r="A6085">
        <v>41.660940063585201</v>
      </c>
      <c r="B6085">
        <v>-121.518839640484</v>
      </c>
      <c r="C6085" t="s">
        <v>29</v>
      </c>
      <c r="D6085">
        <v>15.1596451815635</v>
      </c>
      <c r="E6085">
        <v>9</v>
      </c>
      <c r="F6085">
        <v>711</v>
      </c>
      <c r="G6085">
        <v>4</v>
      </c>
      <c r="H6085">
        <v>3</v>
      </c>
      <c r="I6085">
        <v>1984</v>
      </c>
      <c r="J6085">
        <v>1</v>
      </c>
      <c r="K6085">
        <v>1</v>
      </c>
      <c r="L6085">
        <v>0</v>
      </c>
      <c r="M6085">
        <v>9</v>
      </c>
      <c r="N6085" t="s">
        <v>41</v>
      </c>
      <c r="O6085" t="s">
        <v>32</v>
      </c>
      <c r="P6085">
        <v>5.7368538041832</v>
      </c>
      <c r="Q6085">
        <v>0.74118858004108401</v>
      </c>
      <c r="R6085">
        <v>9.5776186601400308</v>
      </c>
      <c r="S6085">
        <v>41</v>
      </c>
      <c r="T6085">
        <v>55</v>
      </c>
      <c r="U6085">
        <v>238.73226984531399</v>
      </c>
      <c r="V6085">
        <v>1.26582278481012E-2</v>
      </c>
      <c r="W6085">
        <v>632431.32972096605</v>
      </c>
      <c r="X6085" t="s">
        <v>31</v>
      </c>
      <c r="Y6085">
        <f>1-861-889-4727</f>
        <v>-6476</v>
      </c>
    </row>
    <row r="6086" spans="1:25" x14ac:dyDescent="0.35">
      <c r="A6086">
        <v>33.512778532854497</v>
      </c>
      <c r="B6086">
        <v>-123.03023635417</v>
      </c>
      <c r="C6086" t="s">
        <v>25</v>
      </c>
      <c r="D6086">
        <v>37.5953479805274</v>
      </c>
      <c r="E6086">
        <v>1</v>
      </c>
      <c r="F6086">
        <v>4619</v>
      </c>
      <c r="G6086">
        <v>5</v>
      </c>
      <c r="H6086">
        <v>2</v>
      </c>
      <c r="I6086">
        <v>1963</v>
      </c>
      <c r="J6086">
        <v>1</v>
      </c>
      <c r="K6086">
        <v>0</v>
      </c>
      <c r="L6086">
        <v>0</v>
      </c>
      <c r="M6086">
        <v>13</v>
      </c>
      <c r="N6086" t="s">
        <v>41</v>
      </c>
      <c r="O6086" t="s">
        <v>32</v>
      </c>
      <c r="P6086">
        <v>12.8473591945579</v>
      </c>
      <c r="Q6086">
        <v>1.47548948915046</v>
      </c>
      <c r="R6086">
        <v>6.7905380102103496</v>
      </c>
      <c r="S6086">
        <v>191</v>
      </c>
      <c r="T6086">
        <v>26</v>
      </c>
      <c r="U6086">
        <v>317.31240227846598</v>
      </c>
      <c r="V6086">
        <v>2.8144620047629298E-3</v>
      </c>
      <c r="W6086">
        <v>1761119.05215568</v>
      </c>
      <c r="X6086" t="s">
        <v>38</v>
      </c>
      <c r="Y6086">
        <f>1-817-302-2807</f>
        <v>-3925</v>
      </c>
    </row>
    <row r="6087" spans="1:25" x14ac:dyDescent="0.35">
      <c r="A6087">
        <v>38.297956809820001</v>
      </c>
      <c r="B6087">
        <v>-117.808797885879</v>
      </c>
      <c r="C6087" t="s">
        <v>25</v>
      </c>
      <c r="D6087">
        <v>2.3441243404546301</v>
      </c>
      <c r="E6087">
        <v>8</v>
      </c>
      <c r="F6087">
        <v>673</v>
      </c>
      <c r="G6087">
        <v>1</v>
      </c>
      <c r="H6087">
        <v>2</v>
      </c>
      <c r="I6087">
        <v>2003</v>
      </c>
      <c r="J6087">
        <v>0</v>
      </c>
      <c r="K6087">
        <v>0</v>
      </c>
      <c r="L6087">
        <v>0</v>
      </c>
      <c r="M6087">
        <v>8</v>
      </c>
      <c r="N6087" t="s">
        <v>35</v>
      </c>
      <c r="O6087" t="s">
        <v>32</v>
      </c>
      <c r="P6087">
        <v>14.933975880486299</v>
      </c>
      <c r="Q6087">
        <v>1.56287153675793</v>
      </c>
      <c r="R6087">
        <v>6.5559370809964701</v>
      </c>
      <c r="S6087">
        <v>125</v>
      </c>
      <c r="T6087">
        <v>46</v>
      </c>
      <c r="U6087">
        <v>586.35073673822296</v>
      </c>
      <c r="V6087">
        <v>1.18870728083209E-2</v>
      </c>
      <c r="W6087">
        <v>505649.93729757401</v>
      </c>
      <c r="X6087" t="s">
        <v>43</v>
      </c>
      <c r="Y6087">
        <f>1-601-871-6284</f>
        <v>-7755</v>
      </c>
    </row>
    <row r="6088" spans="1:25" x14ac:dyDescent="0.35">
      <c r="A6088">
        <v>41.908084600923402</v>
      </c>
      <c r="B6088">
        <v>-117.31223386018</v>
      </c>
      <c r="C6088" t="s">
        <v>34</v>
      </c>
      <c r="D6088">
        <v>46.627526867510902</v>
      </c>
      <c r="E6088">
        <v>0</v>
      </c>
      <c r="F6088">
        <v>4255</v>
      </c>
      <c r="G6088">
        <v>3</v>
      </c>
      <c r="H6088">
        <v>1</v>
      </c>
      <c r="I6088">
        <v>1961</v>
      </c>
      <c r="J6088">
        <v>0</v>
      </c>
      <c r="K6088">
        <v>0</v>
      </c>
      <c r="L6088">
        <v>0</v>
      </c>
      <c r="M6088">
        <v>2</v>
      </c>
      <c r="N6088" t="s">
        <v>26</v>
      </c>
      <c r="O6088" t="s">
        <v>30</v>
      </c>
      <c r="P6088">
        <v>8.1308531578470404</v>
      </c>
      <c r="Q6088">
        <v>1.84117823241014</v>
      </c>
      <c r="R6088">
        <v>2.1990306679987399</v>
      </c>
      <c r="S6088">
        <v>198</v>
      </c>
      <c r="T6088">
        <v>22</v>
      </c>
      <c r="U6088">
        <v>732.68793179883403</v>
      </c>
      <c r="V6088">
        <v>4.7003525264394802E-4</v>
      </c>
      <c r="W6088">
        <v>3222369.2391645</v>
      </c>
      <c r="X6088" t="s">
        <v>43</v>
      </c>
      <c r="Y6088">
        <f>1-915-707-1192</f>
        <v>-2813</v>
      </c>
    </row>
    <row r="6089" spans="1:25" x14ac:dyDescent="0.35">
      <c r="A6089">
        <v>41.019487087158403</v>
      </c>
      <c r="B6089">
        <v>-121.352523639155</v>
      </c>
      <c r="C6089" t="s">
        <v>25</v>
      </c>
      <c r="D6089">
        <v>10.8638840772814</v>
      </c>
      <c r="E6089">
        <v>9</v>
      </c>
      <c r="F6089">
        <v>924</v>
      </c>
      <c r="G6089">
        <v>1</v>
      </c>
      <c r="H6089">
        <v>2</v>
      </c>
      <c r="I6089">
        <v>1981</v>
      </c>
      <c r="J6089">
        <v>1</v>
      </c>
      <c r="K6089">
        <v>1</v>
      </c>
      <c r="L6089">
        <v>1</v>
      </c>
      <c r="M6089">
        <v>3</v>
      </c>
      <c r="N6089" t="s">
        <v>37</v>
      </c>
      <c r="O6089" t="s">
        <v>32</v>
      </c>
      <c r="P6089">
        <v>5.86804438226158</v>
      </c>
      <c r="Q6089">
        <v>2.29249475902227</v>
      </c>
      <c r="R6089">
        <v>8.6012498330866602</v>
      </c>
      <c r="S6089">
        <v>70</v>
      </c>
      <c r="T6089">
        <v>37</v>
      </c>
      <c r="U6089">
        <v>693.51262779499905</v>
      </c>
      <c r="V6089">
        <v>3.24675324675324E-3</v>
      </c>
      <c r="W6089">
        <v>831585.30009267002</v>
      </c>
      <c r="X6089" t="s">
        <v>31</v>
      </c>
      <c r="Y6089">
        <f>1-437-341-7732</f>
        <v>-8509</v>
      </c>
    </row>
    <row r="6090" spans="1:25" x14ac:dyDescent="0.35">
      <c r="A6090">
        <v>40.318421057072101</v>
      </c>
      <c r="B6090">
        <v>-123.57842287443501</v>
      </c>
      <c r="C6090" t="s">
        <v>29</v>
      </c>
      <c r="D6090">
        <v>40.314471876344903</v>
      </c>
      <c r="E6090">
        <v>8</v>
      </c>
      <c r="F6090">
        <v>1450</v>
      </c>
      <c r="G6090">
        <v>1</v>
      </c>
      <c r="H6090">
        <v>2</v>
      </c>
      <c r="I6090">
        <v>2001</v>
      </c>
      <c r="J6090">
        <v>1</v>
      </c>
      <c r="K6090">
        <v>1</v>
      </c>
      <c r="L6090">
        <v>0</v>
      </c>
      <c r="M6090">
        <v>7</v>
      </c>
      <c r="N6090" t="s">
        <v>37</v>
      </c>
      <c r="O6090" t="s">
        <v>27</v>
      </c>
      <c r="P6090">
        <v>13.2937009961413</v>
      </c>
      <c r="Q6090">
        <v>1.4717256806211301</v>
      </c>
      <c r="R6090">
        <v>7.4844583498885102</v>
      </c>
      <c r="S6090">
        <v>41</v>
      </c>
      <c r="T6090">
        <v>69</v>
      </c>
      <c r="U6090">
        <v>954.255113083673</v>
      </c>
      <c r="V6090">
        <v>4.8275862068965503E-3</v>
      </c>
      <c r="W6090">
        <v>1726109.0861578099</v>
      </c>
      <c r="X6090" t="s">
        <v>31</v>
      </c>
      <c r="Y6090">
        <f>1-797-491-5316</f>
        <v>-6603</v>
      </c>
    </row>
    <row r="6091" spans="1:25" x14ac:dyDescent="0.35">
      <c r="A6091">
        <v>40.2929081545347</v>
      </c>
      <c r="B6091">
        <v>-115.420369085072</v>
      </c>
      <c r="C6091" t="s">
        <v>29</v>
      </c>
      <c r="D6091">
        <v>8.12854473191077</v>
      </c>
      <c r="E6091">
        <v>4</v>
      </c>
      <c r="F6091">
        <v>2922</v>
      </c>
      <c r="G6091">
        <v>3</v>
      </c>
      <c r="H6091">
        <v>3</v>
      </c>
      <c r="I6091">
        <v>2007</v>
      </c>
      <c r="J6091">
        <v>0</v>
      </c>
      <c r="K6091">
        <v>0</v>
      </c>
      <c r="L6091">
        <v>1</v>
      </c>
      <c r="M6091">
        <v>8</v>
      </c>
      <c r="N6091" t="s">
        <v>26</v>
      </c>
      <c r="O6091" t="s">
        <v>27</v>
      </c>
      <c r="P6091">
        <v>13.9024141097737</v>
      </c>
      <c r="Q6091">
        <v>1.58255214653646</v>
      </c>
      <c r="R6091">
        <v>5.9156425362380496</v>
      </c>
      <c r="S6091">
        <v>6</v>
      </c>
      <c r="T6091">
        <v>50</v>
      </c>
      <c r="U6091">
        <v>740.02548213525699</v>
      </c>
      <c r="V6091">
        <v>2.7378507871321E-3</v>
      </c>
      <c r="W6091">
        <v>2552209.12501927</v>
      </c>
      <c r="X6091" t="s">
        <v>40</v>
      </c>
      <c r="Y6091">
        <f>1-373-724-7474</f>
        <v>-8570</v>
      </c>
    </row>
    <row r="6092" spans="1:25" x14ac:dyDescent="0.35">
      <c r="A6092">
        <v>35.430588547481896</v>
      </c>
      <c r="B6092">
        <v>-122.777695704983</v>
      </c>
      <c r="C6092" t="s">
        <v>25</v>
      </c>
      <c r="D6092">
        <v>27.5749329909032</v>
      </c>
      <c r="E6092">
        <v>3</v>
      </c>
      <c r="F6092">
        <v>1548</v>
      </c>
      <c r="G6092">
        <v>3</v>
      </c>
      <c r="H6092">
        <v>2</v>
      </c>
      <c r="I6092">
        <v>2011</v>
      </c>
      <c r="J6092">
        <v>1</v>
      </c>
      <c r="K6092">
        <v>1</v>
      </c>
      <c r="L6092">
        <v>1</v>
      </c>
      <c r="M6092">
        <v>7</v>
      </c>
      <c r="N6092" t="s">
        <v>41</v>
      </c>
      <c r="O6092" t="s">
        <v>30</v>
      </c>
      <c r="P6092">
        <v>13.379260071315899</v>
      </c>
      <c r="Q6092">
        <v>2.1007202113313501</v>
      </c>
      <c r="R6092">
        <v>5.1764766408275698</v>
      </c>
      <c r="S6092">
        <v>169</v>
      </c>
      <c r="T6092">
        <v>46</v>
      </c>
      <c r="U6092">
        <v>693.42859066871699</v>
      </c>
      <c r="V6092">
        <v>4.5219638242894001E-3</v>
      </c>
      <c r="W6092">
        <v>1442886.2473681101</v>
      </c>
      <c r="X6092" t="s">
        <v>33</v>
      </c>
      <c r="Y6092">
        <f>1-500-457-3691</f>
        <v>-4647</v>
      </c>
    </row>
    <row r="6093" spans="1:25" x14ac:dyDescent="0.35">
      <c r="A6093">
        <v>35.7892815227722</v>
      </c>
      <c r="B6093">
        <v>-114.66256284866</v>
      </c>
      <c r="C6093" t="s">
        <v>29</v>
      </c>
      <c r="D6093">
        <v>17.7144299458914</v>
      </c>
      <c r="E6093">
        <v>1</v>
      </c>
      <c r="F6093">
        <v>1101</v>
      </c>
      <c r="G6093">
        <v>4</v>
      </c>
      <c r="H6093">
        <v>3</v>
      </c>
      <c r="I6093">
        <v>1994</v>
      </c>
      <c r="J6093">
        <v>0</v>
      </c>
      <c r="K6093">
        <v>0</v>
      </c>
      <c r="L6093">
        <v>1</v>
      </c>
      <c r="M6093">
        <v>11</v>
      </c>
      <c r="N6093" t="s">
        <v>37</v>
      </c>
      <c r="O6093" t="s">
        <v>27</v>
      </c>
      <c r="P6093">
        <v>2.2137041168059999</v>
      </c>
      <c r="Q6093">
        <v>1.6224632111032999</v>
      </c>
      <c r="R6093">
        <v>5.6501006640559703</v>
      </c>
      <c r="S6093">
        <v>101</v>
      </c>
      <c r="T6093">
        <v>41</v>
      </c>
      <c r="U6093">
        <v>575.49777832601001</v>
      </c>
      <c r="V6093">
        <v>9.9909173478655699E-3</v>
      </c>
      <c r="W6093">
        <v>965310.47788257501</v>
      </c>
      <c r="X6093" t="s">
        <v>43</v>
      </c>
      <c r="Y6093">
        <f>1-372-855-4325</f>
        <v>-5551</v>
      </c>
    </row>
    <row r="6094" spans="1:25" x14ac:dyDescent="0.35">
      <c r="A6094">
        <v>39.4310859893654</v>
      </c>
      <c r="B6094">
        <v>-116.542600543798</v>
      </c>
      <c r="C6094" t="s">
        <v>34</v>
      </c>
      <c r="D6094">
        <v>39.288748939029396</v>
      </c>
      <c r="E6094">
        <v>6</v>
      </c>
      <c r="F6094">
        <v>1952</v>
      </c>
      <c r="G6094">
        <v>2</v>
      </c>
      <c r="H6094">
        <v>1</v>
      </c>
      <c r="I6094">
        <v>1979</v>
      </c>
      <c r="J6094">
        <v>0</v>
      </c>
      <c r="K6094">
        <v>0</v>
      </c>
      <c r="L6094">
        <v>1</v>
      </c>
      <c r="M6094">
        <v>7</v>
      </c>
      <c r="N6094" t="s">
        <v>41</v>
      </c>
      <c r="O6094" t="s">
        <v>32</v>
      </c>
      <c r="P6094">
        <v>8.9124339177710201</v>
      </c>
      <c r="Q6094">
        <v>0.66233043367173094</v>
      </c>
      <c r="R6094">
        <v>4.9573933583844196</v>
      </c>
      <c r="S6094">
        <v>194</v>
      </c>
      <c r="T6094">
        <v>45</v>
      </c>
      <c r="U6094">
        <v>361.76293927185202</v>
      </c>
      <c r="V6094">
        <v>3.5860655737704901E-3</v>
      </c>
      <c r="W6094">
        <v>838340.70836009504</v>
      </c>
      <c r="X6094" t="s">
        <v>43</v>
      </c>
      <c r="Y6094">
        <f>1-381-175-8852</f>
        <v>-9407</v>
      </c>
    </row>
    <row r="6095" spans="1:25" x14ac:dyDescent="0.35">
      <c r="A6095">
        <v>40.368643504773097</v>
      </c>
      <c r="B6095">
        <v>-120.46664920630801</v>
      </c>
      <c r="C6095" t="s">
        <v>25</v>
      </c>
      <c r="D6095">
        <v>39.6182453753662</v>
      </c>
      <c r="E6095">
        <v>4</v>
      </c>
      <c r="F6095">
        <v>3915</v>
      </c>
      <c r="G6095">
        <v>3</v>
      </c>
      <c r="H6095">
        <v>1</v>
      </c>
      <c r="I6095">
        <v>1970</v>
      </c>
      <c r="J6095">
        <v>1</v>
      </c>
      <c r="K6095">
        <v>1</v>
      </c>
      <c r="L6095">
        <v>1</v>
      </c>
      <c r="M6095">
        <v>9</v>
      </c>
      <c r="N6095" t="s">
        <v>37</v>
      </c>
      <c r="O6095" t="s">
        <v>30</v>
      </c>
      <c r="P6095">
        <v>7.7580482324551001</v>
      </c>
      <c r="Q6095">
        <v>1.65138522845456</v>
      </c>
      <c r="R6095">
        <v>2.6850334597118399</v>
      </c>
      <c r="S6095">
        <v>25</v>
      </c>
      <c r="T6095">
        <v>23</v>
      </c>
      <c r="U6095">
        <v>246.25676664525599</v>
      </c>
      <c r="V6095">
        <v>2.2988505747126402E-3</v>
      </c>
      <c r="W6095">
        <v>1239404.81080505</v>
      </c>
      <c r="X6095" t="s">
        <v>38</v>
      </c>
      <c r="Y6095">
        <f>1-364-514-6539</f>
        <v>-7416</v>
      </c>
    </row>
    <row r="6096" spans="1:25" x14ac:dyDescent="0.35">
      <c r="A6096">
        <v>40.426935731918398</v>
      </c>
      <c r="B6096">
        <v>-120.52721562747</v>
      </c>
      <c r="C6096" t="s">
        <v>34</v>
      </c>
      <c r="D6096">
        <v>13.5138250420404</v>
      </c>
      <c r="E6096">
        <v>2</v>
      </c>
      <c r="F6096">
        <v>4981</v>
      </c>
      <c r="G6096">
        <v>2</v>
      </c>
      <c r="H6096">
        <v>3</v>
      </c>
      <c r="I6096">
        <v>1963</v>
      </c>
      <c r="J6096">
        <v>0</v>
      </c>
      <c r="K6096">
        <v>1</v>
      </c>
      <c r="L6096">
        <v>0</v>
      </c>
      <c r="M6096">
        <v>4</v>
      </c>
      <c r="N6096" t="s">
        <v>35</v>
      </c>
      <c r="O6096" t="s">
        <v>27</v>
      </c>
      <c r="P6096">
        <v>10.693609831130001</v>
      </c>
      <c r="Q6096">
        <v>2.05090228766562</v>
      </c>
      <c r="R6096">
        <v>3.3671326257294099</v>
      </c>
      <c r="S6096">
        <v>86</v>
      </c>
      <c r="T6096">
        <v>45</v>
      </c>
      <c r="U6096">
        <v>218.29760339371799</v>
      </c>
      <c r="V6096">
        <v>8.0305159606504698E-4</v>
      </c>
      <c r="W6096">
        <v>1311952.56276827</v>
      </c>
      <c r="X6096" t="s">
        <v>39</v>
      </c>
      <c r="Y6096">
        <f>1-598-390-2657</f>
        <v>-3644</v>
      </c>
    </row>
    <row r="6097" spans="1:25" x14ac:dyDescent="0.35">
      <c r="A6097">
        <v>33.936888467844099</v>
      </c>
      <c r="B6097">
        <v>-121.60370901487499</v>
      </c>
      <c r="C6097" t="s">
        <v>25</v>
      </c>
      <c r="D6097">
        <v>4.1690691140893499</v>
      </c>
      <c r="E6097">
        <v>2</v>
      </c>
      <c r="F6097">
        <v>4593</v>
      </c>
      <c r="G6097">
        <v>4</v>
      </c>
      <c r="H6097">
        <v>2</v>
      </c>
      <c r="I6097">
        <v>1958</v>
      </c>
      <c r="J6097">
        <v>1</v>
      </c>
      <c r="K6097">
        <v>0</v>
      </c>
      <c r="L6097">
        <v>1</v>
      </c>
      <c r="M6097">
        <v>5</v>
      </c>
      <c r="N6097" t="s">
        <v>35</v>
      </c>
      <c r="O6097" t="s">
        <v>27</v>
      </c>
      <c r="P6097">
        <v>7.9416592582455996</v>
      </c>
      <c r="Q6097">
        <v>2.2953335138950002</v>
      </c>
      <c r="R6097">
        <v>4.9812961777589404</v>
      </c>
      <c r="S6097">
        <v>198</v>
      </c>
      <c r="T6097">
        <v>43</v>
      </c>
      <c r="U6097">
        <v>960.993594011602</v>
      </c>
      <c r="V6097">
        <v>1.0886131069017999E-3</v>
      </c>
      <c r="W6097">
        <v>4642998.8526469702</v>
      </c>
      <c r="X6097" t="s">
        <v>38</v>
      </c>
      <c r="Y6097">
        <f>1-739-529-5090</f>
        <v>-6357</v>
      </c>
    </row>
    <row r="6098" spans="1:25" x14ac:dyDescent="0.35">
      <c r="A6098">
        <v>35.359220041372303</v>
      </c>
      <c r="B6098">
        <v>-123.450663956536</v>
      </c>
      <c r="C6098" t="s">
        <v>25</v>
      </c>
      <c r="D6098">
        <v>15.9987932868104</v>
      </c>
      <c r="E6098">
        <v>3</v>
      </c>
      <c r="F6098">
        <v>3276</v>
      </c>
      <c r="G6098">
        <v>2</v>
      </c>
      <c r="H6098">
        <v>2</v>
      </c>
      <c r="I6098">
        <v>2015</v>
      </c>
      <c r="J6098">
        <v>0</v>
      </c>
      <c r="K6098">
        <v>0</v>
      </c>
      <c r="L6098">
        <v>0</v>
      </c>
      <c r="M6098">
        <v>7</v>
      </c>
      <c r="N6098" t="s">
        <v>35</v>
      </c>
      <c r="O6098" t="s">
        <v>27</v>
      </c>
      <c r="P6098">
        <v>7.2087363859394298</v>
      </c>
      <c r="Q6098">
        <v>1.6661186191556501</v>
      </c>
      <c r="R6098">
        <v>3.3749247255089299</v>
      </c>
      <c r="S6098">
        <v>44</v>
      </c>
      <c r="T6098">
        <v>34</v>
      </c>
      <c r="U6098">
        <v>886.12550260199896</v>
      </c>
      <c r="V6098">
        <v>2.13675213675213E-3</v>
      </c>
      <c r="W6098">
        <v>3036819.10863466</v>
      </c>
      <c r="X6098" t="s">
        <v>42</v>
      </c>
      <c r="Y6098">
        <f>1-376-155-1780</f>
        <v>-2310</v>
      </c>
    </row>
    <row r="6099" spans="1:25" x14ac:dyDescent="0.35">
      <c r="A6099">
        <v>41.038141427256697</v>
      </c>
      <c r="B6099">
        <v>-119.20122581039701</v>
      </c>
      <c r="C6099" t="s">
        <v>34</v>
      </c>
      <c r="D6099">
        <v>11.0279815027406</v>
      </c>
      <c r="E6099">
        <v>9</v>
      </c>
      <c r="F6099">
        <v>1236</v>
      </c>
      <c r="G6099">
        <v>2</v>
      </c>
      <c r="H6099">
        <v>1</v>
      </c>
      <c r="I6099">
        <v>1988</v>
      </c>
      <c r="J6099">
        <v>1</v>
      </c>
      <c r="K6099">
        <v>0</v>
      </c>
      <c r="L6099">
        <v>0</v>
      </c>
      <c r="M6099">
        <v>6</v>
      </c>
      <c r="N6099" t="s">
        <v>35</v>
      </c>
      <c r="O6099" t="s">
        <v>32</v>
      </c>
      <c r="P6099">
        <v>9.2284276939275092</v>
      </c>
      <c r="Q6099">
        <v>0.94182793567561895</v>
      </c>
      <c r="R6099">
        <v>9.8685112675872801</v>
      </c>
      <c r="S6099">
        <v>44</v>
      </c>
      <c r="T6099">
        <v>52</v>
      </c>
      <c r="U6099">
        <v>503.65076306832299</v>
      </c>
      <c r="V6099">
        <v>4.8543689320388302E-3</v>
      </c>
      <c r="W6099">
        <v>807449.87046118698</v>
      </c>
      <c r="X6099" t="s">
        <v>33</v>
      </c>
      <c r="Y6099">
        <f>1-253-699-8187</f>
        <v>-9138</v>
      </c>
    </row>
    <row r="6100" spans="1:25" x14ac:dyDescent="0.35">
      <c r="A6100">
        <v>36.744892178710003</v>
      </c>
      <c r="B6100">
        <v>-114.222815938927</v>
      </c>
      <c r="C6100" t="s">
        <v>29</v>
      </c>
      <c r="D6100">
        <v>14.0782209867502</v>
      </c>
      <c r="E6100">
        <v>3</v>
      </c>
      <c r="F6100">
        <v>966</v>
      </c>
      <c r="G6100">
        <v>3</v>
      </c>
      <c r="H6100">
        <v>1</v>
      </c>
      <c r="I6100">
        <v>2014</v>
      </c>
      <c r="J6100">
        <v>1</v>
      </c>
      <c r="K6100">
        <v>1</v>
      </c>
      <c r="L6100">
        <v>0</v>
      </c>
      <c r="M6100">
        <v>10</v>
      </c>
      <c r="N6100" t="s">
        <v>35</v>
      </c>
      <c r="O6100" t="s">
        <v>32</v>
      </c>
      <c r="P6100">
        <v>14.2981096843471</v>
      </c>
      <c r="Q6100">
        <v>0.825443034802259</v>
      </c>
      <c r="R6100">
        <v>4.2394221020142</v>
      </c>
      <c r="S6100">
        <v>174</v>
      </c>
      <c r="T6100">
        <v>23</v>
      </c>
      <c r="U6100">
        <v>352.87233544406098</v>
      </c>
      <c r="V6100">
        <v>1.0351966873706001E-2</v>
      </c>
      <c r="W6100">
        <v>752019.12977257394</v>
      </c>
      <c r="X6100" t="s">
        <v>39</v>
      </c>
      <c r="Y6100">
        <f>1-550-334-2217</f>
        <v>-3100</v>
      </c>
    </row>
    <row r="6101" spans="1:25" x14ac:dyDescent="0.35">
      <c r="A6101">
        <v>34.842535810923003</v>
      </c>
      <c r="B6101">
        <v>-114.47409172287399</v>
      </c>
      <c r="C6101" t="s">
        <v>25</v>
      </c>
      <c r="D6101">
        <v>18.994033712465399</v>
      </c>
      <c r="E6101">
        <v>6</v>
      </c>
      <c r="F6101">
        <v>2578</v>
      </c>
      <c r="G6101">
        <v>3</v>
      </c>
      <c r="H6101">
        <v>3</v>
      </c>
      <c r="I6101">
        <v>2009</v>
      </c>
      <c r="J6101">
        <v>1</v>
      </c>
      <c r="K6101">
        <v>0</v>
      </c>
      <c r="L6101">
        <v>1</v>
      </c>
      <c r="M6101">
        <v>13</v>
      </c>
      <c r="N6101" t="s">
        <v>35</v>
      </c>
      <c r="O6101" t="s">
        <v>27</v>
      </c>
      <c r="P6101">
        <v>10.7747646587201</v>
      </c>
      <c r="Q6101">
        <v>1.42103211358711</v>
      </c>
      <c r="R6101">
        <v>9.2852885711114492</v>
      </c>
      <c r="S6101">
        <v>159</v>
      </c>
      <c r="T6101">
        <v>32</v>
      </c>
      <c r="U6101">
        <v>735.70419927465196</v>
      </c>
      <c r="V6101">
        <v>5.0426687354538403E-3</v>
      </c>
      <c r="W6101">
        <v>2256898.6276185899</v>
      </c>
      <c r="X6101" t="s">
        <v>28</v>
      </c>
      <c r="Y6101">
        <f>1-387-114-6753</f>
        <v>-7253</v>
      </c>
    </row>
    <row r="6102" spans="1:25" x14ac:dyDescent="0.35">
      <c r="A6102">
        <v>38.136889449952399</v>
      </c>
      <c r="B6102">
        <v>-118.777043912227</v>
      </c>
      <c r="C6102" t="s">
        <v>25</v>
      </c>
      <c r="D6102">
        <v>15.367091677858101</v>
      </c>
      <c r="E6102">
        <v>1</v>
      </c>
      <c r="F6102">
        <v>4524</v>
      </c>
      <c r="G6102">
        <v>1</v>
      </c>
      <c r="H6102">
        <v>1</v>
      </c>
      <c r="I6102">
        <v>2017</v>
      </c>
      <c r="J6102">
        <v>0</v>
      </c>
      <c r="K6102">
        <v>0</v>
      </c>
      <c r="L6102">
        <v>0</v>
      </c>
      <c r="M6102">
        <v>11</v>
      </c>
      <c r="N6102" t="s">
        <v>26</v>
      </c>
      <c r="O6102" t="s">
        <v>30</v>
      </c>
      <c r="P6102">
        <v>10.844700756629001</v>
      </c>
      <c r="Q6102">
        <v>0.98129580378148296</v>
      </c>
      <c r="R6102">
        <v>6.4040016471861403</v>
      </c>
      <c r="S6102">
        <v>6</v>
      </c>
      <c r="T6102">
        <v>47</v>
      </c>
      <c r="U6102">
        <v>315.07057132579598</v>
      </c>
      <c r="V6102">
        <v>2.4314765694076002E-3</v>
      </c>
      <c r="W6102">
        <v>1633441.54618375</v>
      </c>
      <c r="X6102" t="s">
        <v>40</v>
      </c>
      <c r="Y6102">
        <f>1-458-915-2716</f>
        <v>-4088</v>
      </c>
    </row>
    <row r="6103" spans="1:25" x14ac:dyDescent="0.35">
      <c r="A6103">
        <v>40.029559536292197</v>
      </c>
      <c r="B6103">
        <v>-116.015545894242</v>
      </c>
      <c r="C6103" t="s">
        <v>29</v>
      </c>
      <c r="D6103">
        <v>40.270479304204997</v>
      </c>
      <c r="E6103">
        <v>4</v>
      </c>
      <c r="F6103">
        <v>2209</v>
      </c>
      <c r="G6103">
        <v>1</v>
      </c>
      <c r="H6103">
        <v>3</v>
      </c>
      <c r="I6103">
        <v>1968</v>
      </c>
      <c r="J6103">
        <v>1</v>
      </c>
      <c r="K6103">
        <v>1</v>
      </c>
      <c r="L6103">
        <v>1</v>
      </c>
      <c r="M6103">
        <v>2</v>
      </c>
      <c r="N6103" t="s">
        <v>26</v>
      </c>
      <c r="O6103" t="s">
        <v>32</v>
      </c>
      <c r="P6103">
        <v>14.7777706859542</v>
      </c>
      <c r="Q6103">
        <v>0.84046087220404497</v>
      </c>
      <c r="R6103">
        <v>6.9850768733146396</v>
      </c>
      <c r="S6103">
        <v>41</v>
      </c>
      <c r="T6103">
        <v>36</v>
      </c>
      <c r="U6103">
        <v>254.30177410945899</v>
      </c>
      <c r="V6103">
        <v>9.0538705296514205E-4</v>
      </c>
      <c r="W6103">
        <v>849645.52971969498</v>
      </c>
      <c r="X6103" t="s">
        <v>33</v>
      </c>
      <c r="Y6103">
        <f>1-971-966-2536</f>
        <v>-4472</v>
      </c>
    </row>
    <row r="6104" spans="1:25" x14ac:dyDescent="0.35">
      <c r="A6104">
        <v>34.847160743355701</v>
      </c>
      <c r="B6104">
        <v>-121.420410025354</v>
      </c>
      <c r="C6104" t="s">
        <v>29</v>
      </c>
      <c r="D6104">
        <v>9.2710613091081306</v>
      </c>
      <c r="E6104">
        <v>7</v>
      </c>
      <c r="F6104">
        <v>2281</v>
      </c>
      <c r="G6104">
        <v>4</v>
      </c>
      <c r="H6104">
        <v>1</v>
      </c>
      <c r="I6104">
        <v>2005</v>
      </c>
      <c r="J6104">
        <v>0</v>
      </c>
      <c r="K6104">
        <v>0</v>
      </c>
      <c r="L6104">
        <v>1</v>
      </c>
      <c r="M6104">
        <v>6</v>
      </c>
      <c r="N6104" t="s">
        <v>37</v>
      </c>
      <c r="O6104" t="s">
        <v>27</v>
      </c>
      <c r="P6104">
        <v>14.1818930353643</v>
      </c>
      <c r="Q6104">
        <v>2.4427994512378599</v>
      </c>
      <c r="R6104">
        <v>0.71205143509658397</v>
      </c>
      <c r="S6104">
        <v>156</v>
      </c>
      <c r="T6104">
        <v>48</v>
      </c>
      <c r="U6104">
        <v>553.68333265602405</v>
      </c>
      <c r="V6104">
        <v>2.6304252520824201E-3</v>
      </c>
      <c r="W6104">
        <v>1514608.4272156099</v>
      </c>
      <c r="X6104" t="s">
        <v>36</v>
      </c>
      <c r="Y6104">
        <f>1-310-820-7208</f>
        <v>-8337</v>
      </c>
    </row>
    <row r="6105" spans="1:25" x14ac:dyDescent="0.35">
      <c r="A6105">
        <v>33.739672294471298</v>
      </c>
      <c r="B6105">
        <v>-123.848181735745</v>
      </c>
      <c r="C6105" t="s">
        <v>25</v>
      </c>
      <c r="D6105">
        <v>13.4997811713249</v>
      </c>
      <c r="E6105">
        <v>8</v>
      </c>
      <c r="F6105">
        <v>1480</v>
      </c>
      <c r="G6105">
        <v>4</v>
      </c>
      <c r="H6105">
        <v>1</v>
      </c>
      <c r="I6105">
        <v>2016</v>
      </c>
      <c r="J6105">
        <v>1</v>
      </c>
      <c r="K6105">
        <v>0</v>
      </c>
      <c r="L6105">
        <v>0</v>
      </c>
      <c r="M6105">
        <v>11</v>
      </c>
      <c r="N6105" t="s">
        <v>35</v>
      </c>
      <c r="O6105" t="s">
        <v>27</v>
      </c>
      <c r="P6105">
        <v>5.8076833567720998</v>
      </c>
      <c r="Q6105">
        <v>0.75700937668313695</v>
      </c>
      <c r="R6105">
        <v>1.4645069529194501</v>
      </c>
      <c r="S6105">
        <v>8</v>
      </c>
      <c r="T6105">
        <v>22</v>
      </c>
      <c r="U6105">
        <v>604.61139852386202</v>
      </c>
      <c r="V6105">
        <v>7.4324324324324302E-3</v>
      </c>
      <c r="W6105">
        <v>1141381.2708056399</v>
      </c>
      <c r="X6105" t="s">
        <v>36</v>
      </c>
      <c r="Y6105">
        <f>1-668-491-8045</f>
        <v>-9203</v>
      </c>
    </row>
    <row r="6106" spans="1:25" x14ac:dyDescent="0.35">
      <c r="A6106">
        <v>40.817549796778501</v>
      </c>
      <c r="B6106">
        <v>-118.478476054778</v>
      </c>
      <c r="C6106" t="s">
        <v>25</v>
      </c>
      <c r="D6106">
        <v>37.2828731180294</v>
      </c>
      <c r="E6106">
        <v>8</v>
      </c>
      <c r="F6106">
        <v>2443</v>
      </c>
      <c r="G6106">
        <v>1</v>
      </c>
      <c r="H6106">
        <v>2</v>
      </c>
      <c r="I6106">
        <v>2013</v>
      </c>
      <c r="J6106">
        <v>0</v>
      </c>
      <c r="K6106">
        <v>1</v>
      </c>
      <c r="L6106">
        <v>0</v>
      </c>
      <c r="M6106">
        <v>3</v>
      </c>
      <c r="N6106" t="s">
        <v>26</v>
      </c>
      <c r="O6106" t="s">
        <v>30</v>
      </c>
      <c r="P6106">
        <v>14.719332465153199</v>
      </c>
      <c r="Q6106">
        <v>0.63371728663586602</v>
      </c>
      <c r="R6106">
        <v>6.9662128516396997</v>
      </c>
      <c r="S6106">
        <v>154</v>
      </c>
      <c r="T6106">
        <v>63</v>
      </c>
      <c r="U6106">
        <v>204.744532083839</v>
      </c>
      <c r="V6106">
        <v>1.2279983626688399E-3</v>
      </c>
      <c r="W6106">
        <v>741194.16834573494</v>
      </c>
      <c r="X6106" t="s">
        <v>28</v>
      </c>
      <c r="Y6106">
        <f>1-781-955-2263</f>
        <v>-3998</v>
      </c>
    </row>
    <row r="6107" spans="1:25" x14ac:dyDescent="0.35">
      <c r="A6107">
        <v>38.219068174436401</v>
      </c>
      <c r="B6107">
        <v>-121.897344492689</v>
      </c>
      <c r="C6107" t="s">
        <v>29</v>
      </c>
      <c r="D6107">
        <v>9.1703971522451795</v>
      </c>
      <c r="E6107">
        <v>5</v>
      </c>
      <c r="F6107">
        <v>4429</v>
      </c>
      <c r="G6107">
        <v>5</v>
      </c>
      <c r="H6107">
        <v>3</v>
      </c>
      <c r="I6107">
        <v>1978</v>
      </c>
      <c r="J6107">
        <v>0</v>
      </c>
      <c r="K6107">
        <v>1</v>
      </c>
      <c r="L6107">
        <v>1</v>
      </c>
      <c r="M6107">
        <v>14</v>
      </c>
      <c r="N6107" t="s">
        <v>41</v>
      </c>
      <c r="O6107" t="s">
        <v>30</v>
      </c>
      <c r="P6107">
        <v>6.0856086763860198</v>
      </c>
      <c r="Q6107">
        <v>1.1638178778501</v>
      </c>
      <c r="R6107">
        <v>7.9336665697990796</v>
      </c>
      <c r="S6107">
        <v>135</v>
      </c>
      <c r="T6107">
        <v>25</v>
      </c>
      <c r="U6107">
        <v>547.41526462987895</v>
      </c>
      <c r="V6107">
        <v>3.1609844208624902E-3</v>
      </c>
      <c r="W6107">
        <v>2852069.6452072598</v>
      </c>
      <c r="X6107" t="s">
        <v>38</v>
      </c>
      <c r="Y6107">
        <f>1-224-366-6569</f>
        <v>-7158</v>
      </c>
    </row>
    <row r="6108" spans="1:25" x14ac:dyDescent="0.35">
      <c r="A6108">
        <v>39.9861999635595</v>
      </c>
      <c r="B6108">
        <v>-119.83674056288</v>
      </c>
      <c r="C6108" t="s">
        <v>34</v>
      </c>
      <c r="D6108">
        <v>29.370951737713501</v>
      </c>
      <c r="E6108">
        <v>4</v>
      </c>
      <c r="F6108">
        <v>1188</v>
      </c>
      <c r="G6108">
        <v>5</v>
      </c>
      <c r="H6108">
        <v>1</v>
      </c>
      <c r="I6108">
        <v>2021</v>
      </c>
      <c r="J6108">
        <v>1</v>
      </c>
      <c r="K6108">
        <v>1</v>
      </c>
      <c r="L6108">
        <v>1</v>
      </c>
      <c r="M6108">
        <v>5</v>
      </c>
      <c r="N6108" t="s">
        <v>35</v>
      </c>
      <c r="O6108" t="s">
        <v>32</v>
      </c>
      <c r="P6108">
        <v>9.6911256907920809</v>
      </c>
      <c r="Q6108">
        <v>2.1580114346961201</v>
      </c>
      <c r="R6108">
        <v>0.84111564879050305</v>
      </c>
      <c r="S6108">
        <v>157</v>
      </c>
      <c r="T6108">
        <v>24</v>
      </c>
      <c r="U6108">
        <v>367.65487543836002</v>
      </c>
      <c r="V6108">
        <v>4.2087542087542E-3</v>
      </c>
      <c r="W6108">
        <v>905483.44710226299</v>
      </c>
      <c r="X6108" t="s">
        <v>28</v>
      </c>
      <c r="Y6108">
        <f>1-695-404-2966</f>
        <v>-4064</v>
      </c>
    </row>
    <row r="6109" spans="1:25" x14ac:dyDescent="0.35">
      <c r="A6109">
        <v>34.706031167569002</v>
      </c>
      <c r="B6109">
        <v>-124.09744315976801</v>
      </c>
      <c r="C6109" t="s">
        <v>25</v>
      </c>
      <c r="D6109">
        <v>33.860005539037502</v>
      </c>
      <c r="E6109">
        <v>1</v>
      </c>
      <c r="F6109">
        <v>3685</v>
      </c>
      <c r="G6109">
        <v>4</v>
      </c>
      <c r="H6109">
        <v>3</v>
      </c>
      <c r="I6109">
        <v>1990</v>
      </c>
      <c r="J6109">
        <v>1</v>
      </c>
      <c r="K6109">
        <v>0</v>
      </c>
      <c r="L6109">
        <v>1</v>
      </c>
      <c r="M6109">
        <v>8</v>
      </c>
      <c r="N6109" t="s">
        <v>41</v>
      </c>
      <c r="O6109" t="s">
        <v>30</v>
      </c>
      <c r="P6109">
        <v>7.4802974655590502</v>
      </c>
      <c r="Q6109">
        <v>2.3525928547877202</v>
      </c>
      <c r="R6109">
        <v>0.39606661233199802</v>
      </c>
      <c r="S6109">
        <v>168</v>
      </c>
      <c r="T6109">
        <v>27</v>
      </c>
      <c r="U6109">
        <v>937.47093509655099</v>
      </c>
      <c r="V6109">
        <v>2.1709633649932098E-3</v>
      </c>
      <c r="W6109">
        <v>3684701.3072048002</v>
      </c>
      <c r="X6109" t="s">
        <v>43</v>
      </c>
      <c r="Y6109">
        <f>1-474-666-7682</f>
        <v>-8821</v>
      </c>
    </row>
    <row r="6110" spans="1:25" x14ac:dyDescent="0.35">
      <c r="A6110">
        <v>39.539306359427101</v>
      </c>
      <c r="B6110">
        <v>-119.69995486666799</v>
      </c>
      <c r="C6110" t="s">
        <v>29</v>
      </c>
      <c r="D6110">
        <v>44.657212064163701</v>
      </c>
      <c r="E6110">
        <v>8</v>
      </c>
      <c r="F6110">
        <v>4065</v>
      </c>
      <c r="G6110">
        <v>4</v>
      </c>
      <c r="H6110">
        <v>3</v>
      </c>
      <c r="I6110">
        <v>1984</v>
      </c>
      <c r="J6110">
        <v>1</v>
      </c>
      <c r="K6110">
        <v>0</v>
      </c>
      <c r="L6110">
        <v>0</v>
      </c>
      <c r="M6110">
        <v>2</v>
      </c>
      <c r="N6110" t="s">
        <v>41</v>
      </c>
      <c r="O6110" t="s">
        <v>27</v>
      </c>
      <c r="P6110">
        <v>3.1098166224800301</v>
      </c>
      <c r="Q6110">
        <v>2.3591076281579801</v>
      </c>
      <c r="R6110">
        <v>0.97202133640351596</v>
      </c>
      <c r="S6110">
        <v>166</v>
      </c>
      <c r="T6110">
        <v>32</v>
      </c>
      <c r="U6110">
        <v>417.42057432644901</v>
      </c>
      <c r="V6110">
        <v>4.9200492004920001E-4</v>
      </c>
      <c r="W6110">
        <v>1940718.8252612201</v>
      </c>
      <c r="X6110" t="s">
        <v>31</v>
      </c>
      <c r="Y6110">
        <f>1-359-288-5801</f>
        <v>-6447</v>
      </c>
    </row>
    <row r="6111" spans="1:25" x14ac:dyDescent="0.35">
      <c r="A6111">
        <v>33.713856178809003</v>
      </c>
      <c r="B6111">
        <v>-117.116316994904</v>
      </c>
      <c r="C6111" t="s">
        <v>34</v>
      </c>
      <c r="D6111">
        <v>29.523250796599001</v>
      </c>
      <c r="E6111">
        <v>0</v>
      </c>
      <c r="F6111">
        <v>3368</v>
      </c>
      <c r="G6111">
        <v>5</v>
      </c>
      <c r="H6111">
        <v>2</v>
      </c>
      <c r="I6111">
        <v>2000</v>
      </c>
      <c r="J6111">
        <v>1</v>
      </c>
      <c r="K6111">
        <v>0</v>
      </c>
      <c r="L6111">
        <v>1</v>
      </c>
      <c r="M6111">
        <v>12</v>
      </c>
      <c r="N6111" t="s">
        <v>35</v>
      </c>
      <c r="O6111" t="s">
        <v>32</v>
      </c>
      <c r="P6111">
        <v>2.6092940000153901</v>
      </c>
      <c r="Q6111">
        <v>1.8524756394378501</v>
      </c>
      <c r="R6111">
        <v>1.6930778872487899</v>
      </c>
      <c r="S6111">
        <v>107</v>
      </c>
      <c r="T6111">
        <v>39</v>
      </c>
      <c r="U6111">
        <v>299.60145530841697</v>
      </c>
      <c r="V6111">
        <v>3.5629453681710198E-3</v>
      </c>
      <c r="W6111">
        <v>1320203.9942906001</v>
      </c>
      <c r="X6111" t="s">
        <v>42</v>
      </c>
      <c r="Y6111">
        <f>1-632-207-2601</f>
        <v>-3439</v>
      </c>
    </row>
    <row r="6112" spans="1:25" x14ac:dyDescent="0.35">
      <c r="A6112">
        <v>41.744133296960001</v>
      </c>
      <c r="B6112">
        <v>-117.583437972339</v>
      </c>
      <c r="C6112" t="s">
        <v>34</v>
      </c>
      <c r="D6112">
        <v>17.516163206726802</v>
      </c>
      <c r="E6112">
        <v>3</v>
      </c>
      <c r="F6112">
        <v>2806</v>
      </c>
      <c r="G6112">
        <v>3</v>
      </c>
      <c r="H6112">
        <v>3</v>
      </c>
      <c r="I6112">
        <v>1992</v>
      </c>
      <c r="J6112">
        <v>1</v>
      </c>
      <c r="K6112">
        <v>1</v>
      </c>
      <c r="L6112">
        <v>1</v>
      </c>
      <c r="M6112">
        <v>12</v>
      </c>
      <c r="N6112" t="s">
        <v>26</v>
      </c>
      <c r="O6112" t="s">
        <v>27</v>
      </c>
      <c r="P6112">
        <v>7.7491700300451898</v>
      </c>
      <c r="Q6112">
        <v>2.43391691253353</v>
      </c>
      <c r="R6112">
        <v>4.2389406117983803</v>
      </c>
      <c r="S6112">
        <v>82</v>
      </c>
      <c r="T6112">
        <v>65</v>
      </c>
      <c r="U6112">
        <v>248.04712747379699</v>
      </c>
      <c r="V6112">
        <v>4.2765502494654297E-3</v>
      </c>
      <c r="W6112">
        <v>1092098.38084854</v>
      </c>
      <c r="X6112" t="s">
        <v>39</v>
      </c>
      <c r="Y6112">
        <f>1-819-893-8303</f>
        <v>-10014</v>
      </c>
    </row>
    <row r="6113" spans="1:25" x14ac:dyDescent="0.35">
      <c r="A6113">
        <v>39.509033696762103</v>
      </c>
      <c r="B6113">
        <v>-121.404381384259</v>
      </c>
      <c r="C6113" t="s">
        <v>29</v>
      </c>
      <c r="D6113">
        <v>21.7059875219019</v>
      </c>
      <c r="E6113">
        <v>0</v>
      </c>
      <c r="F6113">
        <v>937</v>
      </c>
      <c r="G6113">
        <v>2</v>
      </c>
      <c r="H6113">
        <v>3</v>
      </c>
      <c r="I6113">
        <v>1996</v>
      </c>
      <c r="J6113">
        <v>1</v>
      </c>
      <c r="K6113">
        <v>0</v>
      </c>
      <c r="L6113">
        <v>0</v>
      </c>
      <c r="M6113">
        <v>14</v>
      </c>
      <c r="N6113" t="s">
        <v>41</v>
      </c>
      <c r="O6113" t="s">
        <v>32</v>
      </c>
      <c r="P6113">
        <v>11.3882171618523</v>
      </c>
      <c r="Q6113">
        <v>0.53879637843529005</v>
      </c>
      <c r="R6113">
        <v>9.7947418205131491</v>
      </c>
      <c r="S6113">
        <v>112</v>
      </c>
      <c r="T6113">
        <v>62</v>
      </c>
      <c r="U6113">
        <v>704.23959238373698</v>
      </c>
      <c r="V6113">
        <v>1.4941302027748101E-2</v>
      </c>
      <c r="W6113">
        <v>933751.05279596394</v>
      </c>
      <c r="X6113" t="s">
        <v>38</v>
      </c>
      <c r="Y6113">
        <f>1-301-664-4631</f>
        <v>-5595</v>
      </c>
    </row>
    <row r="6114" spans="1:25" x14ac:dyDescent="0.35">
      <c r="A6114">
        <v>39.1431188268554</v>
      </c>
      <c r="B6114">
        <v>-123.83315232592</v>
      </c>
      <c r="C6114" t="s">
        <v>25</v>
      </c>
      <c r="D6114">
        <v>28.4214349118018</v>
      </c>
      <c r="E6114">
        <v>3</v>
      </c>
      <c r="F6114">
        <v>1572</v>
      </c>
      <c r="G6114">
        <v>2</v>
      </c>
      <c r="H6114">
        <v>3</v>
      </c>
      <c r="I6114">
        <v>2008</v>
      </c>
      <c r="J6114">
        <v>1</v>
      </c>
      <c r="K6114">
        <v>0</v>
      </c>
      <c r="L6114">
        <v>0</v>
      </c>
      <c r="M6114">
        <v>14</v>
      </c>
      <c r="N6114" t="s">
        <v>26</v>
      </c>
      <c r="O6114" t="s">
        <v>32</v>
      </c>
      <c r="P6114">
        <v>8.3395648874759196</v>
      </c>
      <c r="Q6114">
        <v>2.3188939984060899</v>
      </c>
      <c r="R6114">
        <v>4.85808777166939</v>
      </c>
      <c r="S6114">
        <v>198</v>
      </c>
      <c r="T6114">
        <v>45</v>
      </c>
      <c r="U6114">
        <v>855.17535447325395</v>
      </c>
      <c r="V6114">
        <v>8.9058524173027901E-3</v>
      </c>
      <c r="W6114">
        <v>1554952.9576699899</v>
      </c>
      <c r="X6114" t="s">
        <v>36</v>
      </c>
      <c r="Y6114">
        <f>1-895-495-2355</f>
        <v>-3744</v>
      </c>
    </row>
    <row r="6115" spans="1:25" x14ac:dyDescent="0.35">
      <c r="A6115">
        <v>34.375808741971603</v>
      </c>
      <c r="B6115">
        <v>-117.50477344256301</v>
      </c>
      <c r="C6115" t="s">
        <v>25</v>
      </c>
      <c r="D6115">
        <v>39.329235483472502</v>
      </c>
      <c r="E6115">
        <v>5</v>
      </c>
      <c r="F6115">
        <v>620</v>
      </c>
      <c r="G6115">
        <v>5</v>
      </c>
      <c r="H6115">
        <v>2</v>
      </c>
      <c r="I6115">
        <v>2014</v>
      </c>
      <c r="J6115">
        <v>0</v>
      </c>
      <c r="K6115">
        <v>0</v>
      </c>
      <c r="L6115">
        <v>1</v>
      </c>
      <c r="M6115">
        <v>13</v>
      </c>
      <c r="N6115" t="s">
        <v>26</v>
      </c>
      <c r="O6115" t="s">
        <v>32</v>
      </c>
      <c r="P6115">
        <v>6.3135391353346204</v>
      </c>
      <c r="Q6115">
        <v>0.97534813184304603</v>
      </c>
      <c r="R6115">
        <v>4.8395613963311801</v>
      </c>
      <c r="S6115">
        <v>38</v>
      </c>
      <c r="T6115">
        <v>53</v>
      </c>
      <c r="U6115">
        <v>320.24205168459702</v>
      </c>
      <c r="V6115">
        <v>2.09677419354838E-2</v>
      </c>
      <c r="W6115">
        <v>406764.653951507</v>
      </c>
      <c r="X6115" t="s">
        <v>38</v>
      </c>
      <c r="Y6115">
        <f>1-499-121-8952</f>
        <v>-9571</v>
      </c>
    </row>
    <row r="6116" spans="1:25" x14ac:dyDescent="0.35">
      <c r="A6116">
        <v>32.678095847303297</v>
      </c>
      <c r="B6116">
        <v>-115.90850709357299</v>
      </c>
      <c r="C6116" t="s">
        <v>25</v>
      </c>
      <c r="D6116">
        <v>4.2296092927219799</v>
      </c>
      <c r="E6116">
        <v>3</v>
      </c>
      <c r="F6116">
        <v>1623</v>
      </c>
      <c r="G6116">
        <v>3</v>
      </c>
      <c r="H6116">
        <v>3</v>
      </c>
      <c r="I6116">
        <v>2004</v>
      </c>
      <c r="J6116">
        <v>1</v>
      </c>
      <c r="K6116">
        <v>1</v>
      </c>
      <c r="L6116">
        <v>0</v>
      </c>
      <c r="M6116">
        <v>11</v>
      </c>
      <c r="N6116" t="s">
        <v>35</v>
      </c>
      <c r="O6116" t="s">
        <v>32</v>
      </c>
      <c r="P6116">
        <v>5.6369534384331796</v>
      </c>
      <c r="Q6116">
        <v>2.3448003543314302</v>
      </c>
      <c r="R6116">
        <v>1.7793299586431801</v>
      </c>
      <c r="S6116">
        <v>133</v>
      </c>
      <c r="T6116">
        <v>35</v>
      </c>
      <c r="U6116">
        <v>860.66461469100102</v>
      </c>
      <c r="V6116">
        <v>6.7775723967960499E-3</v>
      </c>
      <c r="W6116">
        <v>1659368.69776033</v>
      </c>
      <c r="X6116" t="s">
        <v>42</v>
      </c>
      <c r="Y6116">
        <f>1-849-272-4431</f>
        <v>-5551</v>
      </c>
    </row>
    <row r="6117" spans="1:25" x14ac:dyDescent="0.35">
      <c r="A6117">
        <v>35.793801570201197</v>
      </c>
      <c r="B6117">
        <v>-116.54136596235099</v>
      </c>
      <c r="C6117" t="s">
        <v>34</v>
      </c>
      <c r="D6117">
        <v>1.54892079947202</v>
      </c>
      <c r="E6117">
        <v>5</v>
      </c>
      <c r="F6117">
        <v>3956</v>
      </c>
      <c r="G6117">
        <v>3</v>
      </c>
      <c r="H6117">
        <v>1</v>
      </c>
      <c r="I6117">
        <v>2016</v>
      </c>
      <c r="J6117">
        <v>1</v>
      </c>
      <c r="K6117">
        <v>1</v>
      </c>
      <c r="L6117">
        <v>1</v>
      </c>
      <c r="M6117">
        <v>9</v>
      </c>
      <c r="N6117" t="s">
        <v>41</v>
      </c>
      <c r="O6117" t="s">
        <v>27</v>
      </c>
      <c r="P6117">
        <v>9.8515763746061698</v>
      </c>
      <c r="Q6117">
        <v>2.27468078162183</v>
      </c>
      <c r="R6117">
        <v>5.4679913808614398</v>
      </c>
      <c r="S6117">
        <v>20</v>
      </c>
      <c r="T6117">
        <v>66</v>
      </c>
      <c r="U6117">
        <v>993.26119432262703</v>
      </c>
      <c r="V6117">
        <v>2.2750252780586399E-3</v>
      </c>
      <c r="W6117">
        <v>4349688.2331771199</v>
      </c>
      <c r="X6117" t="s">
        <v>43</v>
      </c>
      <c r="Y6117">
        <f>1-241-636-3889</f>
        <v>-4765</v>
      </c>
    </row>
    <row r="6118" spans="1:25" x14ac:dyDescent="0.35">
      <c r="A6118">
        <v>38.855616236497397</v>
      </c>
      <c r="B6118">
        <v>-117.812463717678</v>
      </c>
      <c r="C6118" t="s">
        <v>25</v>
      </c>
      <c r="D6118">
        <v>26.229573803643</v>
      </c>
      <c r="E6118">
        <v>4</v>
      </c>
      <c r="F6118">
        <v>518</v>
      </c>
      <c r="G6118">
        <v>5</v>
      </c>
      <c r="H6118">
        <v>2</v>
      </c>
      <c r="I6118">
        <v>2014</v>
      </c>
      <c r="J6118">
        <v>0</v>
      </c>
      <c r="K6118">
        <v>0</v>
      </c>
      <c r="L6118">
        <v>1</v>
      </c>
      <c r="M6118">
        <v>5</v>
      </c>
      <c r="N6118" t="s">
        <v>37</v>
      </c>
      <c r="O6118" t="s">
        <v>32</v>
      </c>
      <c r="P6118">
        <v>8.3028633565196195</v>
      </c>
      <c r="Q6118">
        <v>1.1399644455549101</v>
      </c>
      <c r="R6118">
        <v>8.1773744004027495</v>
      </c>
      <c r="S6118">
        <v>58</v>
      </c>
      <c r="T6118">
        <v>45</v>
      </c>
      <c r="U6118">
        <v>873.39446391570402</v>
      </c>
      <c r="V6118">
        <v>9.6525096525096506E-3</v>
      </c>
      <c r="W6118">
        <v>791891.13307568699</v>
      </c>
      <c r="X6118" t="s">
        <v>28</v>
      </c>
      <c r="Y6118">
        <f>1-597-379-3386</f>
        <v>-4361</v>
      </c>
    </row>
    <row r="6119" spans="1:25" x14ac:dyDescent="0.35">
      <c r="A6119">
        <v>38.257814104475898</v>
      </c>
      <c r="B6119">
        <v>-124.38805927102</v>
      </c>
      <c r="C6119" t="s">
        <v>25</v>
      </c>
      <c r="D6119">
        <v>35.201182759787798</v>
      </c>
      <c r="E6119">
        <v>5</v>
      </c>
      <c r="F6119">
        <v>1316</v>
      </c>
      <c r="G6119">
        <v>1</v>
      </c>
      <c r="H6119">
        <v>2</v>
      </c>
      <c r="I6119">
        <v>1995</v>
      </c>
      <c r="J6119">
        <v>0</v>
      </c>
      <c r="K6119">
        <v>0</v>
      </c>
      <c r="L6119">
        <v>1</v>
      </c>
      <c r="M6119">
        <v>8</v>
      </c>
      <c r="N6119" t="s">
        <v>26</v>
      </c>
      <c r="O6119" t="s">
        <v>27</v>
      </c>
      <c r="P6119">
        <v>9.7148388701868704</v>
      </c>
      <c r="Q6119">
        <v>2.2184811022125399</v>
      </c>
      <c r="R6119">
        <v>7.4781926407155002</v>
      </c>
      <c r="S6119">
        <v>41</v>
      </c>
      <c r="T6119">
        <v>64</v>
      </c>
      <c r="U6119">
        <v>597.40816937545401</v>
      </c>
      <c r="V6119">
        <v>6.0790273556231003E-3</v>
      </c>
      <c r="W6119">
        <v>935068.17117817095</v>
      </c>
      <c r="X6119" t="s">
        <v>36</v>
      </c>
      <c r="Y6119">
        <f>1-681-148-5980</f>
        <v>-6808</v>
      </c>
    </row>
    <row r="6120" spans="1:25" x14ac:dyDescent="0.35">
      <c r="A6120">
        <v>37.574064872068902</v>
      </c>
      <c r="B6120">
        <v>-124.23695774717601</v>
      </c>
      <c r="C6120" t="s">
        <v>34</v>
      </c>
      <c r="D6120">
        <v>45.170509553749199</v>
      </c>
      <c r="E6120">
        <v>5</v>
      </c>
      <c r="F6120">
        <v>1569</v>
      </c>
      <c r="G6120">
        <v>1</v>
      </c>
      <c r="H6120">
        <v>2</v>
      </c>
      <c r="I6120">
        <v>1973</v>
      </c>
      <c r="J6120">
        <v>0</v>
      </c>
      <c r="K6120">
        <v>1</v>
      </c>
      <c r="L6120">
        <v>1</v>
      </c>
      <c r="M6120">
        <v>5</v>
      </c>
      <c r="N6120" t="s">
        <v>26</v>
      </c>
      <c r="O6120" t="s">
        <v>32</v>
      </c>
      <c r="P6120">
        <v>6.2314536911679799</v>
      </c>
      <c r="Q6120">
        <v>0.57467027737453602</v>
      </c>
      <c r="R6120">
        <v>8.0887622289918806</v>
      </c>
      <c r="S6120">
        <v>156</v>
      </c>
      <c r="T6120">
        <v>22</v>
      </c>
      <c r="U6120">
        <v>882.80624804955505</v>
      </c>
      <c r="V6120">
        <v>3.1867431485022302E-3</v>
      </c>
      <c r="W6120">
        <v>1542262.5389075701</v>
      </c>
      <c r="X6120" t="s">
        <v>42</v>
      </c>
      <c r="Y6120">
        <f>1-526-994-6371</f>
        <v>-7890</v>
      </c>
    </row>
    <row r="6121" spans="1:25" x14ac:dyDescent="0.35">
      <c r="A6121">
        <v>34.404645333007203</v>
      </c>
      <c r="B6121">
        <v>-122.374200302598</v>
      </c>
      <c r="C6121" t="s">
        <v>25</v>
      </c>
      <c r="D6121">
        <v>22.131331914590898</v>
      </c>
      <c r="E6121">
        <v>2</v>
      </c>
      <c r="F6121">
        <v>2543</v>
      </c>
      <c r="G6121">
        <v>1</v>
      </c>
      <c r="H6121">
        <v>1</v>
      </c>
      <c r="I6121">
        <v>1956</v>
      </c>
      <c r="J6121">
        <v>0</v>
      </c>
      <c r="K6121">
        <v>1</v>
      </c>
      <c r="L6121">
        <v>0</v>
      </c>
      <c r="M6121">
        <v>3</v>
      </c>
      <c r="N6121" t="s">
        <v>37</v>
      </c>
      <c r="O6121" t="s">
        <v>27</v>
      </c>
      <c r="P6121">
        <v>3.5101440391722201</v>
      </c>
      <c r="Q6121">
        <v>1.1628372878106901</v>
      </c>
      <c r="R6121">
        <v>8.2917817511818601</v>
      </c>
      <c r="S6121">
        <v>79</v>
      </c>
      <c r="T6121">
        <v>20</v>
      </c>
      <c r="U6121">
        <v>881.56002312657199</v>
      </c>
      <c r="V6121">
        <v>1.17970900511207E-3</v>
      </c>
      <c r="W6121">
        <v>2272267.49405629</v>
      </c>
      <c r="X6121" t="s">
        <v>31</v>
      </c>
      <c r="Y6121">
        <f>1-880-887-1796</f>
        <v>-3562</v>
      </c>
    </row>
    <row r="6122" spans="1:25" x14ac:dyDescent="0.35">
      <c r="A6122">
        <v>34.937713108909797</v>
      </c>
      <c r="B6122">
        <v>-121.05762507086099</v>
      </c>
      <c r="C6122" t="s">
        <v>34</v>
      </c>
      <c r="D6122">
        <v>9.3618476550829595</v>
      </c>
      <c r="E6122">
        <v>0</v>
      </c>
      <c r="F6122">
        <v>3279</v>
      </c>
      <c r="G6122">
        <v>3</v>
      </c>
      <c r="H6122">
        <v>3</v>
      </c>
      <c r="I6122">
        <v>1950</v>
      </c>
      <c r="J6122">
        <v>0</v>
      </c>
      <c r="K6122">
        <v>1</v>
      </c>
      <c r="L6122">
        <v>1</v>
      </c>
      <c r="M6122">
        <v>4</v>
      </c>
      <c r="N6122" t="s">
        <v>37</v>
      </c>
      <c r="O6122" t="s">
        <v>32</v>
      </c>
      <c r="P6122">
        <v>10.345479106438701</v>
      </c>
      <c r="Q6122">
        <v>1.99454848750825</v>
      </c>
      <c r="R6122">
        <v>8.9589457253253801</v>
      </c>
      <c r="S6122">
        <v>82</v>
      </c>
      <c r="T6122">
        <v>65</v>
      </c>
      <c r="U6122">
        <v>275.18581033372902</v>
      </c>
      <c r="V6122">
        <v>1.21988411100945E-3</v>
      </c>
      <c r="W6122">
        <v>1184292.7955809699</v>
      </c>
      <c r="X6122" t="s">
        <v>44</v>
      </c>
      <c r="Y6122">
        <f>1-917-178-7762</f>
        <v>-8856</v>
      </c>
    </row>
    <row r="6123" spans="1:25" x14ac:dyDescent="0.35">
      <c r="A6123">
        <v>35.813197922514298</v>
      </c>
      <c r="B6123">
        <v>-116.521787182634</v>
      </c>
      <c r="C6123" t="s">
        <v>29</v>
      </c>
      <c r="D6123">
        <v>38.113961946647798</v>
      </c>
      <c r="E6123">
        <v>9</v>
      </c>
      <c r="F6123">
        <v>2791</v>
      </c>
      <c r="G6123">
        <v>4</v>
      </c>
      <c r="H6123">
        <v>3</v>
      </c>
      <c r="I6123">
        <v>1960</v>
      </c>
      <c r="J6123">
        <v>0</v>
      </c>
      <c r="K6123">
        <v>1</v>
      </c>
      <c r="L6123">
        <v>1</v>
      </c>
      <c r="M6123">
        <v>9</v>
      </c>
      <c r="N6123" t="s">
        <v>41</v>
      </c>
      <c r="O6123" t="s">
        <v>27</v>
      </c>
      <c r="P6123">
        <v>8.5423285274451093</v>
      </c>
      <c r="Q6123">
        <v>1.5441795118622501</v>
      </c>
      <c r="R6123">
        <v>1.69482446455299</v>
      </c>
      <c r="S6123">
        <v>117</v>
      </c>
      <c r="T6123">
        <v>24</v>
      </c>
      <c r="U6123">
        <v>463.80636490130001</v>
      </c>
      <c r="V6123">
        <v>3.2246506628448501E-3</v>
      </c>
      <c r="W6123">
        <v>1642770.85889373</v>
      </c>
      <c r="X6123" t="s">
        <v>44</v>
      </c>
      <c r="Y6123">
        <f>1-534-673-4484</f>
        <v>-5690</v>
      </c>
    </row>
    <row r="6124" spans="1:25" x14ac:dyDescent="0.35">
      <c r="A6124">
        <v>39.396528348712501</v>
      </c>
      <c r="B6124">
        <v>-115.176527300131</v>
      </c>
      <c r="C6124" t="s">
        <v>29</v>
      </c>
      <c r="D6124">
        <v>1.2547589886991699</v>
      </c>
      <c r="E6124">
        <v>1</v>
      </c>
      <c r="F6124">
        <v>2217</v>
      </c>
      <c r="G6124">
        <v>4</v>
      </c>
      <c r="H6124">
        <v>3</v>
      </c>
      <c r="I6124">
        <v>2003</v>
      </c>
      <c r="J6124">
        <v>0</v>
      </c>
      <c r="K6124">
        <v>1</v>
      </c>
      <c r="L6124">
        <v>1</v>
      </c>
      <c r="M6124">
        <v>6</v>
      </c>
      <c r="N6124" t="s">
        <v>37</v>
      </c>
      <c r="O6124" t="s">
        <v>27</v>
      </c>
      <c r="P6124">
        <v>12.1957071266431</v>
      </c>
      <c r="Q6124">
        <v>2.3684484619758299</v>
      </c>
      <c r="R6124">
        <v>4.2912895635764698</v>
      </c>
      <c r="S6124">
        <v>50</v>
      </c>
      <c r="T6124">
        <v>42</v>
      </c>
      <c r="U6124">
        <v>975.89220070243505</v>
      </c>
      <c r="V6124">
        <v>2.7063599458728E-3</v>
      </c>
      <c r="W6124">
        <v>2662711.7962002498</v>
      </c>
      <c r="X6124" t="s">
        <v>43</v>
      </c>
      <c r="Y6124">
        <f>1-501-177-9095</f>
        <v>-9772</v>
      </c>
    </row>
    <row r="6125" spans="1:25" x14ac:dyDescent="0.35">
      <c r="A6125">
        <v>34.441183307413603</v>
      </c>
      <c r="B6125">
        <v>-116.32631977068699</v>
      </c>
      <c r="C6125" t="s">
        <v>34</v>
      </c>
      <c r="D6125">
        <v>37.644400364300402</v>
      </c>
      <c r="E6125">
        <v>4</v>
      </c>
      <c r="F6125">
        <v>4541</v>
      </c>
      <c r="G6125">
        <v>4</v>
      </c>
      <c r="H6125">
        <v>3</v>
      </c>
      <c r="I6125">
        <v>2016</v>
      </c>
      <c r="J6125">
        <v>1</v>
      </c>
      <c r="K6125">
        <v>1</v>
      </c>
      <c r="L6125">
        <v>0</v>
      </c>
      <c r="M6125">
        <v>3</v>
      </c>
      <c r="N6125" t="s">
        <v>41</v>
      </c>
      <c r="O6125" t="s">
        <v>32</v>
      </c>
      <c r="P6125">
        <v>7.2968579189420399</v>
      </c>
      <c r="Q6125">
        <v>1.19441326262461</v>
      </c>
      <c r="R6125">
        <v>0.31198717674859</v>
      </c>
      <c r="S6125">
        <v>96</v>
      </c>
      <c r="T6125">
        <v>30</v>
      </c>
      <c r="U6125">
        <v>228.24937636423701</v>
      </c>
      <c r="V6125">
        <v>6.6064743448579597E-4</v>
      </c>
      <c r="W6125">
        <v>1469338.00126076</v>
      </c>
      <c r="X6125" t="s">
        <v>36</v>
      </c>
      <c r="Y6125">
        <f>1-831-723-8141</f>
        <v>-9694</v>
      </c>
    </row>
    <row r="6126" spans="1:25" x14ac:dyDescent="0.35">
      <c r="A6126">
        <v>34.8378870109104</v>
      </c>
      <c r="B6126">
        <v>-120.924651252247</v>
      </c>
      <c r="C6126" t="s">
        <v>34</v>
      </c>
      <c r="D6126">
        <v>1.8786049783994501</v>
      </c>
      <c r="E6126">
        <v>0</v>
      </c>
      <c r="F6126">
        <v>1253</v>
      </c>
      <c r="G6126">
        <v>5</v>
      </c>
      <c r="H6126">
        <v>2</v>
      </c>
      <c r="I6126">
        <v>1989</v>
      </c>
      <c r="J6126">
        <v>1</v>
      </c>
      <c r="K6126">
        <v>1</v>
      </c>
      <c r="L6126">
        <v>1</v>
      </c>
      <c r="M6126">
        <v>8</v>
      </c>
      <c r="N6126" t="s">
        <v>37</v>
      </c>
      <c r="O6126" t="s">
        <v>32</v>
      </c>
      <c r="P6126">
        <v>12.7832219651704</v>
      </c>
      <c r="Q6126">
        <v>0.88653431044482001</v>
      </c>
      <c r="R6126">
        <v>6.9769489707136403</v>
      </c>
      <c r="S6126">
        <v>89</v>
      </c>
      <c r="T6126">
        <v>34</v>
      </c>
      <c r="U6126">
        <v>243.33416784692</v>
      </c>
      <c r="V6126">
        <v>6.3846767757382199E-3</v>
      </c>
      <c r="W6126">
        <v>767410.89182508597</v>
      </c>
      <c r="X6126" t="s">
        <v>40</v>
      </c>
      <c r="Y6126">
        <f>1-462-682-8156</f>
        <v>-9299</v>
      </c>
    </row>
    <row r="6127" spans="1:25" x14ac:dyDescent="0.35">
      <c r="A6127">
        <v>36.390216572240703</v>
      </c>
      <c r="B6127">
        <v>-123.39729370074301</v>
      </c>
      <c r="C6127" t="s">
        <v>25</v>
      </c>
      <c r="D6127">
        <v>31.399012210424299</v>
      </c>
      <c r="E6127">
        <v>8</v>
      </c>
      <c r="F6127">
        <v>542</v>
      </c>
      <c r="G6127">
        <v>3</v>
      </c>
      <c r="H6127">
        <v>3</v>
      </c>
      <c r="I6127">
        <v>1956</v>
      </c>
      <c r="J6127">
        <v>0</v>
      </c>
      <c r="K6127">
        <v>0</v>
      </c>
      <c r="L6127">
        <v>0</v>
      </c>
      <c r="M6127">
        <v>7</v>
      </c>
      <c r="N6127" t="s">
        <v>26</v>
      </c>
      <c r="O6127" t="s">
        <v>32</v>
      </c>
      <c r="P6127">
        <v>6.5173429881801201</v>
      </c>
      <c r="Q6127">
        <v>1.1503064179996401</v>
      </c>
      <c r="R6127">
        <v>7.4851938076466897</v>
      </c>
      <c r="S6127">
        <v>171</v>
      </c>
      <c r="T6127">
        <v>65</v>
      </c>
      <c r="U6127">
        <v>634.44555478313305</v>
      </c>
      <c r="V6127">
        <v>1.2915129151291499E-2</v>
      </c>
      <c r="W6127">
        <v>558517.32038556004</v>
      </c>
      <c r="X6127" t="s">
        <v>43</v>
      </c>
      <c r="Y6127">
        <f>1-430-763-3028</f>
        <v>-4220</v>
      </c>
    </row>
    <row r="6128" spans="1:25" x14ac:dyDescent="0.35">
      <c r="A6128">
        <v>32.73405108899</v>
      </c>
      <c r="B6128">
        <v>-121.40530831759899</v>
      </c>
      <c r="C6128" t="s">
        <v>34</v>
      </c>
      <c r="D6128">
        <v>2.5246788411755401</v>
      </c>
      <c r="E6128">
        <v>4</v>
      </c>
      <c r="F6128">
        <v>2009</v>
      </c>
      <c r="G6128">
        <v>2</v>
      </c>
      <c r="H6128">
        <v>2</v>
      </c>
      <c r="I6128">
        <v>1990</v>
      </c>
      <c r="J6128">
        <v>0</v>
      </c>
      <c r="K6128">
        <v>0</v>
      </c>
      <c r="L6128">
        <v>0</v>
      </c>
      <c r="M6128">
        <v>7</v>
      </c>
      <c r="N6128" t="s">
        <v>26</v>
      </c>
      <c r="O6128" t="s">
        <v>27</v>
      </c>
      <c r="P6128">
        <v>3.60490721755093</v>
      </c>
      <c r="Q6128">
        <v>1.30424846361024</v>
      </c>
      <c r="R6128">
        <v>6.9888644711630699</v>
      </c>
      <c r="S6128">
        <v>161</v>
      </c>
      <c r="T6128">
        <v>75</v>
      </c>
      <c r="U6128">
        <v>731.98828840557906</v>
      </c>
      <c r="V6128">
        <v>3.4843205574912801E-3</v>
      </c>
      <c r="W6128">
        <v>1502033.71504282</v>
      </c>
      <c r="X6128" t="s">
        <v>38</v>
      </c>
      <c r="Y6128">
        <f>1-838-762-7694</f>
        <v>-9293</v>
      </c>
    </row>
    <row r="6129" spans="1:25" x14ac:dyDescent="0.35">
      <c r="A6129">
        <v>41.850120494089403</v>
      </c>
      <c r="B6129">
        <v>-120.163238960142</v>
      </c>
      <c r="C6129" t="s">
        <v>25</v>
      </c>
      <c r="D6129">
        <v>26.787029392985701</v>
      </c>
      <c r="E6129">
        <v>4</v>
      </c>
      <c r="F6129">
        <v>2132</v>
      </c>
      <c r="G6129">
        <v>1</v>
      </c>
      <c r="H6129">
        <v>3</v>
      </c>
      <c r="I6129">
        <v>2020</v>
      </c>
      <c r="J6129">
        <v>1</v>
      </c>
      <c r="K6129">
        <v>0</v>
      </c>
      <c r="L6129">
        <v>0</v>
      </c>
      <c r="M6129">
        <v>10</v>
      </c>
      <c r="N6129" t="s">
        <v>26</v>
      </c>
      <c r="O6129" t="s">
        <v>32</v>
      </c>
      <c r="P6129">
        <v>3.9786422327171</v>
      </c>
      <c r="Q6129">
        <v>1.9114600354218201</v>
      </c>
      <c r="R6129">
        <v>0.68669525594493996</v>
      </c>
      <c r="S6129">
        <v>184</v>
      </c>
      <c r="T6129">
        <v>61</v>
      </c>
      <c r="U6129">
        <v>661.25521499084903</v>
      </c>
      <c r="V6129">
        <v>4.6904315196998102E-3</v>
      </c>
      <c r="W6129">
        <v>1577318.70862642</v>
      </c>
      <c r="X6129" t="s">
        <v>44</v>
      </c>
      <c r="Y6129">
        <f>1-814-850-9780</f>
        <v>-11443</v>
      </c>
    </row>
    <row r="6130" spans="1:25" x14ac:dyDescent="0.35">
      <c r="A6130">
        <v>38.617579297511902</v>
      </c>
      <c r="B6130">
        <v>-120.112435085523</v>
      </c>
      <c r="C6130" t="s">
        <v>29</v>
      </c>
      <c r="D6130">
        <v>8.4388552358294202</v>
      </c>
      <c r="E6130">
        <v>3</v>
      </c>
      <c r="F6130">
        <v>1207</v>
      </c>
      <c r="G6130">
        <v>3</v>
      </c>
      <c r="H6130">
        <v>3</v>
      </c>
      <c r="I6130">
        <v>1996</v>
      </c>
      <c r="J6130">
        <v>0</v>
      </c>
      <c r="K6130">
        <v>0</v>
      </c>
      <c r="L6130">
        <v>0</v>
      </c>
      <c r="M6130">
        <v>12</v>
      </c>
      <c r="N6130" t="s">
        <v>35</v>
      </c>
      <c r="O6130" t="s">
        <v>32</v>
      </c>
      <c r="P6130">
        <v>10.602005919075699</v>
      </c>
      <c r="Q6130">
        <v>0.50747608793007104</v>
      </c>
      <c r="R6130">
        <v>1.5819818530713099</v>
      </c>
      <c r="S6130">
        <v>118</v>
      </c>
      <c r="T6130">
        <v>23</v>
      </c>
      <c r="U6130">
        <v>688.90894855764304</v>
      </c>
      <c r="V6130">
        <v>9.9420049710024806E-3</v>
      </c>
      <c r="W6130">
        <v>1121931.7278547499</v>
      </c>
      <c r="X6130" t="s">
        <v>33</v>
      </c>
      <c r="Y6130">
        <f>1-329-917-9268</f>
        <v>-10513</v>
      </c>
    </row>
    <row r="6131" spans="1:25" x14ac:dyDescent="0.35">
      <c r="A6131">
        <v>33.282578360624697</v>
      </c>
      <c r="B6131">
        <v>-115.545637031407</v>
      </c>
      <c r="C6131" t="s">
        <v>25</v>
      </c>
      <c r="D6131">
        <v>14.895990240026199</v>
      </c>
      <c r="E6131">
        <v>2</v>
      </c>
      <c r="F6131">
        <v>2177</v>
      </c>
      <c r="G6131">
        <v>2</v>
      </c>
      <c r="H6131">
        <v>3</v>
      </c>
      <c r="I6131">
        <v>1958</v>
      </c>
      <c r="J6131">
        <v>0</v>
      </c>
      <c r="K6131">
        <v>0</v>
      </c>
      <c r="L6131">
        <v>1</v>
      </c>
      <c r="M6131">
        <v>13</v>
      </c>
      <c r="N6131" t="s">
        <v>37</v>
      </c>
      <c r="O6131" t="s">
        <v>30</v>
      </c>
      <c r="P6131">
        <v>7.0533899963989404</v>
      </c>
      <c r="Q6131">
        <v>1.31069476938106</v>
      </c>
      <c r="R6131">
        <v>1.9767853464294201</v>
      </c>
      <c r="S6131">
        <v>137</v>
      </c>
      <c r="T6131">
        <v>41</v>
      </c>
      <c r="U6131">
        <v>721.28981279025197</v>
      </c>
      <c r="V6131">
        <v>5.9715204409738097E-3</v>
      </c>
      <c r="W6131">
        <v>1716771.8541441199</v>
      </c>
      <c r="X6131" t="s">
        <v>31</v>
      </c>
      <c r="Y6131">
        <f>1-832-964-8053</f>
        <v>-9848</v>
      </c>
    </row>
    <row r="6132" spans="1:25" x14ac:dyDescent="0.35">
      <c r="A6132">
        <v>38.442944227554001</v>
      </c>
      <c r="B6132">
        <v>-124.045204015046</v>
      </c>
      <c r="C6132" t="s">
        <v>29</v>
      </c>
      <c r="D6132">
        <v>19.196577614582601</v>
      </c>
      <c r="E6132">
        <v>9</v>
      </c>
      <c r="F6132">
        <v>3750</v>
      </c>
      <c r="G6132">
        <v>3</v>
      </c>
      <c r="H6132">
        <v>2</v>
      </c>
      <c r="I6132">
        <v>1975</v>
      </c>
      <c r="J6132">
        <v>1</v>
      </c>
      <c r="K6132">
        <v>1</v>
      </c>
      <c r="L6132">
        <v>1</v>
      </c>
      <c r="M6132">
        <v>4</v>
      </c>
      <c r="N6132" t="s">
        <v>26</v>
      </c>
      <c r="O6132" t="s">
        <v>32</v>
      </c>
      <c r="P6132">
        <v>6.4960288997868503</v>
      </c>
      <c r="Q6132">
        <v>2.29254882133454</v>
      </c>
      <c r="R6132">
        <v>5.5734949027143097</v>
      </c>
      <c r="S6132">
        <v>30</v>
      </c>
      <c r="T6132">
        <v>58</v>
      </c>
      <c r="U6132">
        <v>288.49052203848601</v>
      </c>
      <c r="V6132">
        <v>1.06666666666666E-3</v>
      </c>
      <c r="W6132">
        <v>1411721.7253143301</v>
      </c>
      <c r="X6132" t="s">
        <v>44</v>
      </c>
      <c r="Y6132">
        <f>1-417-619-2342</f>
        <v>-3377</v>
      </c>
    </row>
    <row r="6133" spans="1:25" x14ac:dyDescent="0.35">
      <c r="A6133">
        <v>37.368983401511002</v>
      </c>
      <c r="B6133">
        <v>-122.37706094662499</v>
      </c>
      <c r="C6133" t="s">
        <v>29</v>
      </c>
      <c r="D6133">
        <v>37.149668478575002</v>
      </c>
      <c r="E6133">
        <v>3</v>
      </c>
      <c r="F6133">
        <v>724</v>
      </c>
      <c r="G6133">
        <v>3</v>
      </c>
      <c r="H6133">
        <v>3</v>
      </c>
      <c r="I6133">
        <v>1990</v>
      </c>
      <c r="J6133">
        <v>1</v>
      </c>
      <c r="K6133">
        <v>1</v>
      </c>
      <c r="L6133">
        <v>0</v>
      </c>
      <c r="M6133">
        <v>11</v>
      </c>
      <c r="N6133" t="s">
        <v>26</v>
      </c>
      <c r="O6133" t="s">
        <v>30</v>
      </c>
      <c r="P6133">
        <v>6.8718863051794896</v>
      </c>
      <c r="Q6133">
        <v>2.37786441268275</v>
      </c>
      <c r="R6133">
        <v>6.5034624268643304</v>
      </c>
      <c r="S6133">
        <v>128</v>
      </c>
      <c r="T6133">
        <v>72</v>
      </c>
      <c r="U6133">
        <v>524.42075326855604</v>
      </c>
      <c r="V6133">
        <v>1.51933701657458E-2</v>
      </c>
      <c r="W6133">
        <v>727121.13162481901</v>
      </c>
      <c r="X6133" t="s">
        <v>28</v>
      </c>
      <c r="Y6133">
        <f>1-736-563-1085</f>
        <v>-2383</v>
      </c>
    </row>
    <row r="6134" spans="1:25" x14ac:dyDescent="0.35">
      <c r="A6134">
        <v>37.787441257598999</v>
      </c>
      <c r="B6134">
        <v>-115.66595950999201</v>
      </c>
      <c r="C6134" t="s">
        <v>34</v>
      </c>
      <c r="D6134">
        <v>25.213662533245</v>
      </c>
      <c r="E6134">
        <v>0</v>
      </c>
      <c r="F6134">
        <v>601</v>
      </c>
      <c r="G6134">
        <v>4</v>
      </c>
      <c r="H6134">
        <v>2</v>
      </c>
      <c r="I6134">
        <v>1993</v>
      </c>
      <c r="J6134">
        <v>0</v>
      </c>
      <c r="K6134">
        <v>0</v>
      </c>
      <c r="L6134">
        <v>0</v>
      </c>
      <c r="M6134">
        <v>14</v>
      </c>
      <c r="N6134" t="s">
        <v>37</v>
      </c>
      <c r="O6134" t="s">
        <v>30</v>
      </c>
      <c r="P6134">
        <v>4.3284227198579401</v>
      </c>
      <c r="Q6134">
        <v>0.52271192990751303</v>
      </c>
      <c r="R6134">
        <v>7.5822863136510303</v>
      </c>
      <c r="S6134">
        <v>183</v>
      </c>
      <c r="T6134">
        <v>47</v>
      </c>
      <c r="U6134">
        <v>258.80987280159098</v>
      </c>
      <c r="V6134">
        <v>2.3294509151414299E-2</v>
      </c>
      <c r="W6134">
        <v>317453.92045204801</v>
      </c>
      <c r="X6134" t="s">
        <v>33</v>
      </c>
      <c r="Y6134">
        <f>1-470-330-5531</f>
        <v>-6330</v>
      </c>
    </row>
    <row r="6135" spans="1:25" x14ac:dyDescent="0.35">
      <c r="A6135">
        <v>41.104337088732997</v>
      </c>
      <c r="B6135">
        <v>-115.47051072741</v>
      </c>
      <c r="C6135" t="s">
        <v>25</v>
      </c>
      <c r="D6135">
        <v>41.5953859349654</v>
      </c>
      <c r="E6135">
        <v>5</v>
      </c>
      <c r="F6135">
        <v>2677</v>
      </c>
      <c r="G6135">
        <v>1</v>
      </c>
      <c r="H6135">
        <v>1</v>
      </c>
      <c r="I6135">
        <v>1981</v>
      </c>
      <c r="J6135">
        <v>1</v>
      </c>
      <c r="K6135">
        <v>1</v>
      </c>
      <c r="L6135">
        <v>1</v>
      </c>
      <c r="M6135">
        <v>10</v>
      </c>
      <c r="N6135" t="s">
        <v>26</v>
      </c>
      <c r="O6135" t="s">
        <v>32</v>
      </c>
      <c r="P6135">
        <v>3.0213332683051202</v>
      </c>
      <c r="Q6135">
        <v>1.1369208734230201</v>
      </c>
      <c r="R6135">
        <v>3.75907021916175</v>
      </c>
      <c r="S6135">
        <v>62</v>
      </c>
      <c r="T6135">
        <v>53</v>
      </c>
      <c r="U6135">
        <v>340.22603061887099</v>
      </c>
      <c r="V6135">
        <v>3.73552484124019E-3</v>
      </c>
      <c r="W6135">
        <v>1142371.9359502301</v>
      </c>
      <c r="X6135" t="s">
        <v>42</v>
      </c>
      <c r="Y6135">
        <f>1-292-821-8949</f>
        <v>-10061</v>
      </c>
    </row>
    <row r="6136" spans="1:25" x14ac:dyDescent="0.35">
      <c r="A6136">
        <v>38.828790859699403</v>
      </c>
      <c r="B6136">
        <v>-120.055564481904</v>
      </c>
      <c r="C6136" t="s">
        <v>25</v>
      </c>
      <c r="D6136">
        <v>25.996979738822201</v>
      </c>
      <c r="E6136">
        <v>7</v>
      </c>
      <c r="F6136">
        <v>1438</v>
      </c>
      <c r="G6136">
        <v>1</v>
      </c>
      <c r="H6136">
        <v>3</v>
      </c>
      <c r="I6136">
        <v>1979</v>
      </c>
      <c r="J6136">
        <v>1</v>
      </c>
      <c r="K6136">
        <v>0</v>
      </c>
      <c r="L6136">
        <v>0</v>
      </c>
      <c r="M6136">
        <v>3</v>
      </c>
      <c r="N6136" t="s">
        <v>35</v>
      </c>
      <c r="O6136" t="s">
        <v>30</v>
      </c>
      <c r="P6136">
        <v>6.2835188120150098</v>
      </c>
      <c r="Q6136">
        <v>1.9877782011205101</v>
      </c>
      <c r="R6136">
        <v>5.9618878966996904</v>
      </c>
      <c r="S6136">
        <v>24</v>
      </c>
      <c r="T6136">
        <v>51</v>
      </c>
      <c r="U6136">
        <v>893.15824118909597</v>
      </c>
      <c r="V6136">
        <v>2.0862308762169602E-3</v>
      </c>
      <c r="W6136">
        <v>1474145.8237012799</v>
      </c>
      <c r="X6136" t="s">
        <v>42</v>
      </c>
      <c r="Y6136">
        <f>1-628-965-7786</f>
        <v>-9378</v>
      </c>
    </row>
    <row r="6137" spans="1:25" x14ac:dyDescent="0.35">
      <c r="A6137">
        <v>34.705987092504998</v>
      </c>
      <c r="B6137">
        <v>-114.73642736540199</v>
      </c>
      <c r="C6137" t="s">
        <v>25</v>
      </c>
      <c r="D6137">
        <v>11.0637698725275</v>
      </c>
      <c r="E6137">
        <v>8</v>
      </c>
      <c r="F6137">
        <v>1786</v>
      </c>
      <c r="G6137">
        <v>5</v>
      </c>
      <c r="H6137">
        <v>1</v>
      </c>
      <c r="I6137">
        <v>2010</v>
      </c>
      <c r="J6137">
        <v>1</v>
      </c>
      <c r="K6137">
        <v>1</v>
      </c>
      <c r="L6137">
        <v>0</v>
      </c>
      <c r="M6137">
        <v>7</v>
      </c>
      <c r="N6137" t="s">
        <v>37</v>
      </c>
      <c r="O6137" t="s">
        <v>32</v>
      </c>
      <c r="P6137">
        <v>6.3988679723507902</v>
      </c>
      <c r="Q6137">
        <v>2.2173391117973398</v>
      </c>
      <c r="R6137">
        <v>0.25800456841945602</v>
      </c>
      <c r="S6137">
        <v>112</v>
      </c>
      <c r="T6137">
        <v>67</v>
      </c>
      <c r="U6137">
        <v>809.821526542161</v>
      </c>
      <c r="V6137">
        <v>3.9193729003359403E-3</v>
      </c>
      <c r="W6137">
        <v>1766891.53592578</v>
      </c>
      <c r="X6137" t="s">
        <v>40</v>
      </c>
      <c r="Y6137">
        <f>1-607-599-9792</f>
        <v>-10997</v>
      </c>
    </row>
    <row r="6138" spans="1:25" x14ac:dyDescent="0.35">
      <c r="A6138">
        <v>38.133160370408902</v>
      </c>
      <c r="B6138">
        <v>-120.563437643857</v>
      </c>
      <c r="C6138" t="s">
        <v>25</v>
      </c>
      <c r="D6138">
        <v>46.121273548634797</v>
      </c>
      <c r="E6138">
        <v>3</v>
      </c>
      <c r="F6138">
        <v>2822</v>
      </c>
      <c r="G6138">
        <v>1</v>
      </c>
      <c r="H6138">
        <v>1</v>
      </c>
      <c r="I6138">
        <v>1966</v>
      </c>
      <c r="J6138">
        <v>0</v>
      </c>
      <c r="K6138">
        <v>0</v>
      </c>
      <c r="L6138">
        <v>0</v>
      </c>
      <c r="M6138">
        <v>13</v>
      </c>
      <c r="N6138" t="s">
        <v>26</v>
      </c>
      <c r="O6138" t="s">
        <v>27</v>
      </c>
      <c r="P6138">
        <v>2.2157344264188499</v>
      </c>
      <c r="Q6138">
        <v>2.2741918658875502</v>
      </c>
      <c r="R6138">
        <v>2.4057280618557901</v>
      </c>
      <c r="S6138">
        <v>94</v>
      </c>
      <c r="T6138">
        <v>31</v>
      </c>
      <c r="U6138">
        <v>566.01337952158099</v>
      </c>
      <c r="V6138">
        <v>4.6066619418851798E-3</v>
      </c>
      <c r="W6138">
        <v>1577699.8135347301</v>
      </c>
      <c r="X6138" t="s">
        <v>33</v>
      </c>
      <c r="Y6138">
        <f>1-850-839-9541</f>
        <v>-11229</v>
      </c>
    </row>
    <row r="6139" spans="1:25" x14ac:dyDescent="0.35">
      <c r="A6139">
        <v>39.8553185393096</v>
      </c>
      <c r="B6139">
        <v>-122.44414928118699</v>
      </c>
      <c r="C6139" t="s">
        <v>25</v>
      </c>
      <c r="D6139">
        <v>11.5625768960734</v>
      </c>
      <c r="E6139">
        <v>1</v>
      </c>
      <c r="F6139">
        <v>1856</v>
      </c>
      <c r="G6139">
        <v>1</v>
      </c>
      <c r="H6139">
        <v>1</v>
      </c>
      <c r="I6139">
        <v>2009</v>
      </c>
      <c r="J6139">
        <v>1</v>
      </c>
      <c r="K6139">
        <v>1</v>
      </c>
      <c r="L6139">
        <v>1</v>
      </c>
      <c r="M6139">
        <v>11</v>
      </c>
      <c r="N6139" t="s">
        <v>37</v>
      </c>
      <c r="O6139" t="s">
        <v>30</v>
      </c>
      <c r="P6139">
        <v>11.3002943629727</v>
      </c>
      <c r="Q6139">
        <v>0.97470297752837898</v>
      </c>
      <c r="R6139">
        <v>9.9035272667107694</v>
      </c>
      <c r="S6139">
        <v>158</v>
      </c>
      <c r="T6139">
        <v>52</v>
      </c>
      <c r="U6139">
        <v>876.40587320111104</v>
      </c>
      <c r="V6139">
        <v>5.9267241379310298E-3</v>
      </c>
      <c r="W6139">
        <v>1975591.3652560399</v>
      </c>
      <c r="X6139" t="s">
        <v>42</v>
      </c>
      <c r="Y6139">
        <f>1-590-736-7003</f>
        <v>-8328</v>
      </c>
    </row>
    <row r="6140" spans="1:25" x14ac:dyDescent="0.35">
      <c r="A6140">
        <v>40.226631812327099</v>
      </c>
      <c r="B6140">
        <v>-123.655384578032</v>
      </c>
      <c r="C6140" t="s">
        <v>29</v>
      </c>
      <c r="D6140">
        <v>24.374550924437301</v>
      </c>
      <c r="E6140">
        <v>7</v>
      </c>
      <c r="F6140">
        <v>1881</v>
      </c>
      <c r="G6140">
        <v>3</v>
      </c>
      <c r="H6140">
        <v>3</v>
      </c>
      <c r="I6140">
        <v>1981</v>
      </c>
      <c r="J6140">
        <v>0</v>
      </c>
      <c r="K6140">
        <v>1</v>
      </c>
      <c r="L6140">
        <v>0</v>
      </c>
      <c r="M6140">
        <v>13</v>
      </c>
      <c r="N6140" t="s">
        <v>37</v>
      </c>
      <c r="O6140" t="s">
        <v>30</v>
      </c>
      <c r="P6140">
        <v>9.8469778199969298</v>
      </c>
      <c r="Q6140">
        <v>0.72856004549225495</v>
      </c>
      <c r="R6140">
        <v>6.2485528265725003</v>
      </c>
      <c r="S6140">
        <v>63</v>
      </c>
      <c r="T6140">
        <v>61</v>
      </c>
      <c r="U6140">
        <v>722.15264860650404</v>
      </c>
      <c r="V6140">
        <v>6.9112174375332196E-3</v>
      </c>
      <c r="W6140">
        <v>1627664.6376368699</v>
      </c>
      <c r="X6140" t="s">
        <v>28</v>
      </c>
      <c r="Y6140">
        <f>1-650-436-8727</f>
        <v>-9812</v>
      </c>
    </row>
    <row r="6141" spans="1:25" x14ac:dyDescent="0.35">
      <c r="A6141">
        <v>38.4188229974</v>
      </c>
      <c r="B6141">
        <v>-123.442032420448</v>
      </c>
      <c r="C6141" t="s">
        <v>29</v>
      </c>
      <c r="D6141">
        <v>34.076256899221796</v>
      </c>
      <c r="E6141">
        <v>1</v>
      </c>
      <c r="F6141">
        <v>1430</v>
      </c>
      <c r="G6141">
        <v>5</v>
      </c>
      <c r="H6141">
        <v>3</v>
      </c>
      <c r="I6141">
        <v>2000</v>
      </c>
      <c r="J6141">
        <v>0</v>
      </c>
      <c r="K6141">
        <v>0</v>
      </c>
      <c r="L6141">
        <v>0</v>
      </c>
      <c r="M6141">
        <v>4</v>
      </c>
      <c r="N6141" t="s">
        <v>26</v>
      </c>
      <c r="O6141" t="s">
        <v>27</v>
      </c>
      <c r="P6141">
        <v>3.9057871893621501</v>
      </c>
      <c r="Q6141">
        <v>2.0941636325931801</v>
      </c>
      <c r="R6141">
        <v>8.6953497888101605</v>
      </c>
      <c r="S6141">
        <v>142</v>
      </c>
      <c r="T6141">
        <v>27</v>
      </c>
      <c r="U6141">
        <v>742.77364177725997</v>
      </c>
      <c r="V6141">
        <v>2.7972027972027898E-3</v>
      </c>
      <c r="W6141">
        <v>1316962.2969124799</v>
      </c>
      <c r="X6141" t="s">
        <v>40</v>
      </c>
      <c r="Y6141">
        <f>1-614-977-2575</f>
        <v>-4165</v>
      </c>
    </row>
    <row r="6142" spans="1:25" x14ac:dyDescent="0.35">
      <c r="A6142">
        <v>41.462079914220602</v>
      </c>
      <c r="B6142">
        <v>-116.464758851998</v>
      </c>
      <c r="C6142" t="s">
        <v>29</v>
      </c>
      <c r="D6142">
        <v>9.6424570483081808</v>
      </c>
      <c r="E6142">
        <v>2</v>
      </c>
      <c r="F6142">
        <v>4415</v>
      </c>
      <c r="G6142">
        <v>1</v>
      </c>
      <c r="H6142">
        <v>3</v>
      </c>
      <c r="I6142">
        <v>1953</v>
      </c>
      <c r="J6142">
        <v>0</v>
      </c>
      <c r="K6142">
        <v>1</v>
      </c>
      <c r="L6142">
        <v>0</v>
      </c>
      <c r="M6142">
        <v>10</v>
      </c>
      <c r="N6142" t="s">
        <v>35</v>
      </c>
      <c r="O6142" t="s">
        <v>27</v>
      </c>
      <c r="P6142">
        <v>13.3142885796416</v>
      </c>
      <c r="Q6142">
        <v>1.2710649672774501</v>
      </c>
      <c r="R6142">
        <v>2.1377382677301302</v>
      </c>
      <c r="S6142">
        <v>24</v>
      </c>
      <c r="T6142">
        <v>30</v>
      </c>
      <c r="U6142">
        <v>652.73822285373205</v>
      </c>
      <c r="V6142">
        <v>2.2650056625141499E-3</v>
      </c>
      <c r="W6142">
        <v>3149593.9164067199</v>
      </c>
      <c r="X6142" t="s">
        <v>44</v>
      </c>
      <c r="Y6142">
        <f>1-373-344-5919</f>
        <v>-6635</v>
      </c>
    </row>
    <row r="6143" spans="1:25" x14ac:dyDescent="0.35">
      <c r="A6143">
        <v>34.792681376173903</v>
      </c>
      <c r="B6143">
        <v>-121.328135263823</v>
      </c>
      <c r="C6143" t="s">
        <v>34</v>
      </c>
      <c r="D6143">
        <v>33.898556724059397</v>
      </c>
      <c r="E6143">
        <v>2</v>
      </c>
      <c r="F6143">
        <v>3111</v>
      </c>
      <c r="G6143">
        <v>5</v>
      </c>
      <c r="H6143">
        <v>3</v>
      </c>
      <c r="I6143">
        <v>2000</v>
      </c>
      <c r="J6143">
        <v>0</v>
      </c>
      <c r="K6143">
        <v>1</v>
      </c>
      <c r="L6143">
        <v>1</v>
      </c>
      <c r="M6143">
        <v>12</v>
      </c>
      <c r="N6143" t="s">
        <v>41</v>
      </c>
      <c r="O6143" t="s">
        <v>32</v>
      </c>
      <c r="P6143">
        <v>9.8308309757358199</v>
      </c>
      <c r="Q6143">
        <v>2.3683578128899399</v>
      </c>
      <c r="R6143">
        <v>8.1979891999774992</v>
      </c>
      <c r="S6143">
        <v>32</v>
      </c>
      <c r="T6143">
        <v>38</v>
      </c>
      <c r="U6143">
        <v>242.97030394472699</v>
      </c>
      <c r="V6143">
        <v>3.8572806171648902E-3</v>
      </c>
      <c r="W6143">
        <v>1284264.81322621</v>
      </c>
      <c r="X6143" t="s">
        <v>42</v>
      </c>
      <c r="Y6143">
        <f>1-637-622-3956</f>
        <v>-5214</v>
      </c>
    </row>
    <row r="6144" spans="1:25" x14ac:dyDescent="0.35">
      <c r="A6144">
        <v>37.610997063769801</v>
      </c>
      <c r="B6144">
        <v>-119.375834844938</v>
      </c>
      <c r="C6144" t="s">
        <v>25</v>
      </c>
      <c r="D6144">
        <v>7.0476496200565704</v>
      </c>
      <c r="E6144">
        <v>9</v>
      </c>
      <c r="F6144">
        <v>2411</v>
      </c>
      <c r="G6144">
        <v>1</v>
      </c>
      <c r="H6144">
        <v>2</v>
      </c>
      <c r="I6144">
        <v>1994</v>
      </c>
      <c r="J6144">
        <v>0</v>
      </c>
      <c r="K6144">
        <v>0</v>
      </c>
      <c r="L6144">
        <v>0</v>
      </c>
      <c r="M6144">
        <v>7</v>
      </c>
      <c r="N6144" t="s">
        <v>37</v>
      </c>
      <c r="O6144" t="s">
        <v>30</v>
      </c>
      <c r="P6144">
        <v>4.12983539235967</v>
      </c>
      <c r="Q6144">
        <v>0.74794357789372901</v>
      </c>
      <c r="R6144">
        <v>5.6207444368439301</v>
      </c>
      <c r="S6144">
        <v>118</v>
      </c>
      <c r="T6144">
        <v>68</v>
      </c>
      <c r="U6144">
        <v>479.63724589334799</v>
      </c>
      <c r="V6144">
        <v>2.90335960182496E-3</v>
      </c>
      <c r="W6144">
        <v>1271782.44040424</v>
      </c>
      <c r="X6144" t="s">
        <v>40</v>
      </c>
      <c r="Y6144">
        <f>1-567-570-7998</f>
        <v>-9134</v>
      </c>
    </row>
    <row r="6145" spans="1:25" x14ac:dyDescent="0.35">
      <c r="A6145">
        <v>37.499788944538302</v>
      </c>
      <c r="B6145">
        <v>-123.98008842763799</v>
      </c>
      <c r="C6145" t="s">
        <v>25</v>
      </c>
      <c r="D6145">
        <v>11.8077224055021</v>
      </c>
      <c r="E6145">
        <v>2</v>
      </c>
      <c r="F6145">
        <v>1562</v>
      </c>
      <c r="G6145">
        <v>4</v>
      </c>
      <c r="H6145">
        <v>3</v>
      </c>
      <c r="I6145">
        <v>1971</v>
      </c>
      <c r="J6145">
        <v>0</v>
      </c>
      <c r="K6145">
        <v>0</v>
      </c>
      <c r="L6145">
        <v>0</v>
      </c>
      <c r="M6145">
        <v>11</v>
      </c>
      <c r="N6145" t="s">
        <v>37</v>
      </c>
      <c r="O6145" t="s">
        <v>30</v>
      </c>
      <c r="P6145">
        <v>14.595841915123</v>
      </c>
      <c r="Q6145">
        <v>2.4259107067188999</v>
      </c>
      <c r="R6145">
        <v>2.95875493029666</v>
      </c>
      <c r="S6145">
        <v>125</v>
      </c>
      <c r="T6145">
        <v>37</v>
      </c>
      <c r="U6145">
        <v>883.39698465994604</v>
      </c>
      <c r="V6145">
        <v>7.0422535211267599E-3</v>
      </c>
      <c r="W6145">
        <v>1600864.0182882701</v>
      </c>
      <c r="X6145" t="s">
        <v>42</v>
      </c>
      <c r="Y6145">
        <f>1-541-754-7622</f>
        <v>-8916</v>
      </c>
    </row>
    <row r="6146" spans="1:25" x14ac:dyDescent="0.35">
      <c r="A6146">
        <v>40.357318263004998</v>
      </c>
      <c r="B6146">
        <v>-120.881054325135</v>
      </c>
      <c r="C6146" t="s">
        <v>25</v>
      </c>
      <c r="D6146">
        <v>29.210005536774801</v>
      </c>
      <c r="E6146">
        <v>0</v>
      </c>
      <c r="F6146">
        <v>1732</v>
      </c>
      <c r="G6146">
        <v>5</v>
      </c>
      <c r="H6146">
        <v>2</v>
      </c>
      <c r="I6146">
        <v>1974</v>
      </c>
      <c r="J6146">
        <v>1</v>
      </c>
      <c r="K6146">
        <v>0</v>
      </c>
      <c r="L6146">
        <v>1</v>
      </c>
      <c r="M6146">
        <v>8</v>
      </c>
      <c r="N6146" t="s">
        <v>35</v>
      </c>
      <c r="O6146" t="s">
        <v>27</v>
      </c>
      <c r="P6146">
        <v>10.2786018663541</v>
      </c>
      <c r="Q6146">
        <v>1.55287460156492</v>
      </c>
      <c r="R6146">
        <v>6.5709212651756603</v>
      </c>
      <c r="S6146">
        <v>70</v>
      </c>
      <c r="T6146">
        <v>79</v>
      </c>
      <c r="U6146">
        <v>403.33930206678599</v>
      </c>
      <c r="V6146">
        <v>4.6189376443417996E-3</v>
      </c>
      <c r="W6146">
        <v>1022167.9326148099</v>
      </c>
      <c r="X6146" t="s">
        <v>40</v>
      </c>
      <c r="Y6146">
        <f>1-660-198-8844</f>
        <v>-9701</v>
      </c>
    </row>
    <row r="6147" spans="1:25" x14ac:dyDescent="0.35">
      <c r="A6147">
        <v>32.6339952754142</v>
      </c>
      <c r="B6147">
        <v>-117.622801721953</v>
      </c>
      <c r="C6147" t="s">
        <v>29</v>
      </c>
      <c r="D6147">
        <v>8.76251666108978</v>
      </c>
      <c r="E6147">
        <v>8</v>
      </c>
      <c r="F6147">
        <v>707</v>
      </c>
      <c r="G6147">
        <v>1</v>
      </c>
      <c r="H6147">
        <v>3</v>
      </c>
      <c r="I6147">
        <v>1976</v>
      </c>
      <c r="J6147">
        <v>0</v>
      </c>
      <c r="K6147">
        <v>0</v>
      </c>
      <c r="L6147">
        <v>0</v>
      </c>
      <c r="M6147">
        <v>12</v>
      </c>
      <c r="N6147" t="s">
        <v>41</v>
      </c>
      <c r="O6147" t="s">
        <v>27</v>
      </c>
      <c r="P6147">
        <v>8.1976846027400292</v>
      </c>
      <c r="Q6147">
        <v>2.39769675098422</v>
      </c>
      <c r="R6147">
        <v>3.2944212247365199</v>
      </c>
      <c r="S6147">
        <v>43</v>
      </c>
      <c r="T6147">
        <v>38</v>
      </c>
      <c r="U6147">
        <v>279.78930166809698</v>
      </c>
      <c r="V6147">
        <v>1.69731258840169E-2</v>
      </c>
      <c r="W6147">
        <v>366583.18403379899</v>
      </c>
      <c r="X6147" t="s">
        <v>36</v>
      </c>
      <c r="Y6147">
        <f>1-328-966-6123</f>
        <v>-7416</v>
      </c>
    </row>
    <row r="6148" spans="1:25" x14ac:dyDescent="0.35">
      <c r="A6148">
        <v>34.9568214147031</v>
      </c>
      <c r="B6148">
        <v>-116.536532213523</v>
      </c>
      <c r="C6148" t="s">
        <v>25</v>
      </c>
      <c r="D6148">
        <v>30.608322499547899</v>
      </c>
      <c r="E6148">
        <v>1</v>
      </c>
      <c r="F6148">
        <v>2290</v>
      </c>
      <c r="G6148">
        <v>2</v>
      </c>
      <c r="H6148">
        <v>3</v>
      </c>
      <c r="I6148">
        <v>2015</v>
      </c>
      <c r="J6148">
        <v>0</v>
      </c>
      <c r="K6148">
        <v>1</v>
      </c>
      <c r="L6148">
        <v>0</v>
      </c>
      <c r="M6148">
        <v>8</v>
      </c>
      <c r="N6148" t="s">
        <v>35</v>
      </c>
      <c r="O6148" t="s">
        <v>30</v>
      </c>
      <c r="P6148">
        <v>7.0113142875594203</v>
      </c>
      <c r="Q6148">
        <v>2.3635525127175301</v>
      </c>
      <c r="R6148">
        <v>4.7571983487058302</v>
      </c>
      <c r="S6148">
        <v>1</v>
      </c>
      <c r="T6148">
        <v>50</v>
      </c>
      <c r="U6148">
        <v>980.69383061378403</v>
      </c>
      <c r="V6148">
        <v>3.4934497816593801E-3</v>
      </c>
      <c r="W6148">
        <v>2522721.06646092</v>
      </c>
      <c r="X6148" t="s">
        <v>31</v>
      </c>
      <c r="Y6148">
        <f>1-766-606-9422</f>
        <v>-10793</v>
      </c>
    </row>
    <row r="6149" spans="1:25" x14ac:dyDescent="0.35">
      <c r="A6149">
        <v>41.112943985298699</v>
      </c>
      <c r="B6149">
        <v>-120.61642315576</v>
      </c>
      <c r="C6149" t="s">
        <v>34</v>
      </c>
      <c r="D6149">
        <v>27.963379764517999</v>
      </c>
      <c r="E6149">
        <v>6</v>
      </c>
      <c r="F6149">
        <v>1387</v>
      </c>
      <c r="G6149">
        <v>3</v>
      </c>
      <c r="H6149">
        <v>3</v>
      </c>
      <c r="I6149">
        <v>1969</v>
      </c>
      <c r="J6149">
        <v>1</v>
      </c>
      <c r="K6149">
        <v>0</v>
      </c>
      <c r="L6149">
        <v>1</v>
      </c>
      <c r="M6149">
        <v>14</v>
      </c>
      <c r="N6149" t="s">
        <v>41</v>
      </c>
      <c r="O6149" t="s">
        <v>32</v>
      </c>
      <c r="P6149">
        <v>6.3950535923137002</v>
      </c>
      <c r="Q6149">
        <v>2.1740025773255098</v>
      </c>
      <c r="R6149">
        <v>6.6228617803158896</v>
      </c>
      <c r="S6149">
        <v>7</v>
      </c>
      <c r="T6149">
        <v>55</v>
      </c>
      <c r="U6149">
        <v>245.945332914723</v>
      </c>
      <c r="V6149">
        <v>1.0093727469358301E-2</v>
      </c>
      <c r="W6149">
        <v>589664.07434047502</v>
      </c>
      <c r="X6149" t="s">
        <v>39</v>
      </c>
      <c r="Y6149">
        <f>1-238-733-2440</f>
        <v>-3410</v>
      </c>
    </row>
    <row r="6150" spans="1:25" x14ac:dyDescent="0.35">
      <c r="A6150">
        <v>38.718273689436103</v>
      </c>
      <c r="B6150">
        <v>-116.72293581509</v>
      </c>
      <c r="C6150" t="s">
        <v>25</v>
      </c>
      <c r="D6150">
        <v>48.441175989845199</v>
      </c>
      <c r="E6150">
        <v>2</v>
      </c>
      <c r="F6150">
        <v>2472</v>
      </c>
      <c r="G6150">
        <v>2</v>
      </c>
      <c r="H6150">
        <v>3</v>
      </c>
      <c r="I6150">
        <v>2016</v>
      </c>
      <c r="J6150">
        <v>1</v>
      </c>
      <c r="K6150">
        <v>1</v>
      </c>
      <c r="L6150">
        <v>0</v>
      </c>
      <c r="M6150">
        <v>9</v>
      </c>
      <c r="N6150" t="s">
        <v>35</v>
      </c>
      <c r="O6150" t="s">
        <v>27</v>
      </c>
      <c r="P6150">
        <v>12.2967104427529</v>
      </c>
      <c r="Q6150">
        <v>1.8478357839956401</v>
      </c>
      <c r="R6150">
        <v>7.6190968893900601</v>
      </c>
      <c r="S6150">
        <v>81</v>
      </c>
      <c r="T6150">
        <v>50</v>
      </c>
      <c r="U6150">
        <v>749.71494092725902</v>
      </c>
      <c r="V6150">
        <v>3.6407766990291198E-3</v>
      </c>
      <c r="W6150">
        <v>2213242.8365334598</v>
      </c>
      <c r="X6150" t="s">
        <v>36</v>
      </c>
      <c r="Y6150">
        <f>1-384-103-6549</f>
        <v>-7035</v>
      </c>
    </row>
    <row r="6151" spans="1:25" x14ac:dyDescent="0.35">
      <c r="A6151">
        <v>34.818090496962</v>
      </c>
      <c r="B6151">
        <v>-123.84923275737501</v>
      </c>
      <c r="C6151" t="s">
        <v>34</v>
      </c>
      <c r="D6151">
        <v>33.126516888411103</v>
      </c>
      <c r="E6151">
        <v>6</v>
      </c>
      <c r="F6151">
        <v>3165</v>
      </c>
      <c r="G6151">
        <v>3</v>
      </c>
      <c r="H6151">
        <v>3</v>
      </c>
      <c r="I6151">
        <v>1958</v>
      </c>
      <c r="J6151">
        <v>1</v>
      </c>
      <c r="K6151">
        <v>1</v>
      </c>
      <c r="L6151">
        <v>1</v>
      </c>
      <c r="M6151">
        <v>5</v>
      </c>
      <c r="N6151" t="s">
        <v>41</v>
      </c>
      <c r="O6151" t="s">
        <v>30</v>
      </c>
      <c r="P6151">
        <v>5.2545362133638198</v>
      </c>
      <c r="Q6151">
        <v>1.2965571482167999</v>
      </c>
      <c r="R6151">
        <v>9.9365931163123005</v>
      </c>
      <c r="S6151">
        <v>187</v>
      </c>
      <c r="T6151">
        <v>28</v>
      </c>
      <c r="U6151">
        <v>332.85050343316902</v>
      </c>
      <c r="V6151">
        <v>1.5797788309636601E-3</v>
      </c>
      <c r="W6151">
        <v>1281459.3551733801</v>
      </c>
      <c r="X6151" t="s">
        <v>33</v>
      </c>
      <c r="Y6151">
        <f>1-391-415-9025</f>
        <v>-9830</v>
      </c>
    </row>
    <row r="6152" spans="1:25" x14ac:dyDescent="0.35">
      <c r="A6152">
        <v>33.949561167640603</v>
      </c>
      <c r="B6152">
        <v>-117.014172139281</v>
      </c>
      <c r="C6152" t="s">
        <v>25</v>
      </c>
      <c r="D6152">
        <v>26.256455896729801</v>
      </c>
      <c r="E6152">
        <v>9</v>
      </c>
      <c r="F6152">
        <v>1005</v>
      </c>
      <c r="G6152">
        <v>4</v>
      </c>
      <c r="H6152">
        <v>3</v>
      </c>
      <c r="I6152">
        <v>2013</v>
      </c>
      <c r="J6152">
        <v>0</v>
      </c>
      <c r="K6152">
        <v>0</v>
      </c>
      <c r="L6152">
        <v>0</v>
      </c>
      <c r="M6152">
        <v>6</v>
      </c>
      <c r="N6152" t="s">
        <v>41</v>
      </c>
      <c r="O6152" t="s">
        <v>32</v>
      </c>
      <c r="P6152">
        <v>10.600959163411501</v>
      </c>
      <c r="Q6152">
        <v>1.4331322764344601</v>
      </c>
      <c r="R6152">
        <v>5.8829979959422696</v>
      </c>
      <c r="S6152">
        <v>147</v>
      </c>
      <c r="T6152">
        <v>47</v>
      </c>
      <c r="U6152">
        <v>588.13374087025102</v>
      </c>
      <c r="V6152">
        <v>5.9701492537313399E-3</v>
      </c>
      <c r="W6152">
        <v>916015.33385625202</v>
      </c>
      <c r="X6152" t="s">
        <v>38</v>
      </c>
      <c r="Y6152">
        <f>1-654-321-1186</f>
        <v>-2160</v>
      </c>
    </row>
    <row r="6153" spans="1:25" x14ac:dyDescent="0.35">
      <c r="A6153">
        <v>34.516801284032098</v>
      </c>
      <c r="B6153">
        <v>-122.56789361231</v>
      </c>
      <c r="C6153" t="s">
        <v>25</v>
      </c>
      <c r="D6153">
        <v>41.552696633664198</v>
      </c>
      <c r="E6153">
        <v>3</v>
      </c>
      <c r="F6153">
        <v>3964</v>
      </c>
      <c r="G6153">
        <v>3</v>
      </c>
      <c r="H6153">
        <v>1</v>
      </c>
      <c r="I6153">
        <v>1962</v>
      </c>
      <c r="J6153">
        <v>0</v>
      </c>
      <c r="K6153">
        <v>1</v>
      </c>
      <c r="L6153">
        <v>0</v>
      </c>
      <c r="M6153">
        <v>12</v>
      </c>
      <c r="N6153" t="s">
        <v>26</v>
      </c>
      <c r="O6153" t="s">
        <v>27</v>
      </c>
      <c r="P6153">
        <v>10.6690707553084</v>
      </c>
      <c r="Q6153">
        <v>2.4482835354771701</v>
      </c>
      <c r="R6153">
        <v>8.9531804551126797</v>
      </c>
      <c r="S6153">
        <v>29</v>
      </c>
      <c r="T6153">
        <v>34</v>
      </c>
      <c r="U6153">
        <v>844.40169274035804</v>
      </c>
      <c r="V6153">
        <v>3.02724520686175E-3</v>
      </c>
      <c r="W6153">
        <v>3534433.4411394</v>
      </c>
      <c r="X6153" t="s">
        <v>43</v>
      </c>
      <c r="Y6153">
        <f>1-647-449-8687</f>
        <v>-9782</v>
      </c>
    </row>
    <row r="6154" spans="1:25" x14ac:dyDescent="0.35">
      <c r="A6154">
        <v>40.2999378907286</v>
      </c>
      <c r="B6154">
        <v>-124.38404733438399</v>
      </c>
      <c r="C6154" t="s">
        <v>29</v>
      </c>
      <c r="D6154">
        <v>10.490337288238999</v>
      </c>
      <c r="E6154">
        <v>3</v>
      </c>
      <c r="F6154">
        <v>2101</v>
      </c>
      <c r="G6154">
        <v>1</v>
      </c>
      <c r="H6154">
        <v>3</v>
      </c>
      <c r="I6154">
        <v>2021</v>
      </c>
      <c r="J6154">
        <v>0</v>
      </c>
      <c r="K6154">
        <v>1</v>
      </c>
      <c r="L6154">
        <v>0</v>
      </c>
      <c r="M6154">
        <v>13</v>
      </c>
      <c r="N6154" t="s">
        <v>26</v>
      </c>
      <c r="O6154" t="s">
        <v>30</v>
      </c>
      <c r="P6154">
        <v>12.428962302581199</v>
      </c>
      <c r="Q6154">
        <v>1.69957235508127</v>
      </c>
      <c r="R6154">
        <v>3.66818327194447</v>
      </c>
      <c r="S6154">
        <v>54</v>
      </c>
      <c r="T6154">
        <v>74</v>
      </c>
      <c r="U6154">
        <v>738.74358641555796</v>
      </c>
      <c r="V6154">
        <v>6.1875297477391698E-3</v>
      </c>
      <c r="W6154">
        <v>1960062.9812455201</v>
      </c>
      <c r="X6154" t="s">
        <v>36</v>
      </c>
      <c r="Y6154">
        <f>1-217-693-8549</f>
        <v>-9458</v>
      </c>
    </row>
    <row r="6155" spans="1:25" x14ac:dyDescent="0.35">
      <c r="A6155">
        <v>41.171664984294097</v>
      </c>
      <c r="B6155">
        <v>-122.38952058964099</v>
      </c>
      <c r="C6155" t="s">
        <v>34</v>
      </c>
      <c r="D6155">
        <v>25.445054329185201</v>
      </c>
      <c r="E6155">
        <v>8</v>
      </c>
      <c r="F6155">
        <v>4468</v>
      </c>
      <c r="G6155">
        <v>3</v>
      </c>
      <c r="H6155">
        <v>3</v>
      </c>
      <c r="I6155">
        <v>1969</v>
      </c>
      <c r="J6155">
        <v>0</v>
      </c>
      <c r="K6155">
        <v>0</v>
      </c>
      <c r="L6155">
        <v>1</v>
      </c>
      <c r="M6155">
        <v>10</v>
      </c>
      <c r="N6155" t="s">
        <v>37</v>
      </c>
      <c r="O6155" t="s">
        <v>32</v>
      </c>
      <c r="P6155">
        <v>7.9361485436528598</v>
      </c>
      <c r="Q6155">
        <v>1.0092356490925301</v>
      </c>
      <c r="R6155">
        <v>8.27900358068994</v>
      </c>
      <c r="S6155">
        <v>48</v>
      </c>
      <c r="T6155">
        <v>37</v>
      </c>
      <c r="U6155">
        <v>926.04481567758705</v>
      </c>
      <c r="V6155">
        <v>2.2381378692927401E-3</v>
      </c>
      <c r="W6155">
        <v>4369928.2075044103</v>
      </c>
      <c r="X6155" t="s">
        <v>36</v>
      </c>
      <c r="Y6155">
        <f>1-479-534-7790</f>
        <v>-8802</v>
      </c>
    </row>
    <row r="6156" spans="1:25" x14ac:dyDescent="0.35">
      <c r="A6156">
        <v>36.204273285574601</v>
      </c>
      <c r="B6156">
        <v>-120.054665894704</v>
      </c>
      <c r="C6156" t="s">
        <v>25</v>
      </c>
      <c r="D6156">
        <v>22.484386621677501</v>
      </c>
      <c r="E6156">
        <v>1</v>
      </c>
      <c r="F6156">
        <v>1604</v>
      </c>
      <c r="G6156">
        <v>2</v>
      </c>
      <c r="H6156">
        <v>1</v>
      </c>
      <c r="I6156">
        <v>1980</v>
      </c>
      <c r="J6156">
        <v>0</v>
      </c>
      <c r="K6156">
        <v>0</v>
      </c>
      <c r="L6156">
        <v>1</v>
      </c>
      <c r="M6156">
        <v>3</v>
      </c>
      <c r="N6156" t="s">
        <v>41</v>
      </c>
      <c r="O6156" t="s">
        <v>32</v>
      </c>
      <c r="P6156">
        <v>6.09673450029271</v>
      </c>
      <c r="Q6156">
        <v>2.0734714303180501</v>
      </c>
      <c r="R6156">
        <v>0.51585004621329</v>
      </c>
      <c r="S6156">
        <v>152</v>
      </c>
      <c r="T6156">
        <v>71</v>
      </c>
      <c r="U6156">
        <v>642.04068926225796</v>
      </c>
      <c r="V6156">
        <v>1.8703241895261799E-3</v>
      </c>
      <c r="W6156">
        <v>1137420.30918034</v>
      </c>
      <c r="X6156" t="s">
        <v>31</v>
      </c>
      <c r="Y6156">
        <f>1-671-719-1373</f>
        <v>-2762</v>
      </c>
    </row>
    <row r="6157" spans="1:25" x14ac:dyDescent="0.35">
      <c r="A6157">
        <v>37.863555926916703</v>
      </c>
      <c r="B6157">
        <v>-122.540937676178</v>
      </c>
      <c r="C6157" t="s">
        <v>29</v>
      </c>
      <c r="D6157">
        <v>29.416165748228199</v>
      </c>
      <c r="E6157">
        <v>8</v>
      </c>
      <c r="F6157">
        <v>1492</v>
      </c>
      <c r="G6157">
        <v>5</v>
      </c>
      <c r="H6157">
        <v>1</v>
      </c>
      <c r="I6157">
        <v>1958</v>
      </c>
      <c r="J6157">
        <v>0</v>
      </c>
      <c r="K6157">
        <v>0</v>
      </c>
      <c r="L6157">
        <v>0</v>
      </c>
      <c r="M6157">
        <v>10</v>
      </c>
      <c r="N6157" t="s">
        <v>41</v>
      </c>
      <c r="O6157" t="s">
        <v>27</v>
      </c>
      <c r="P6157">
        <v>7.3260020903234198</v>
      </c>
      <c r="Q6157">
        <v>1.80666395755788</v>
      </c>
      <c r="R6157">
        <v>2.1644926747062199</v>
      </c>
      <c r="S6157">
        <v>81</v>
      </c>
      <c r="T6157">
        <v>50</v>
      </c>
      <c r="U6157">
        <v>798.68793901403797</v>
      </c>
      <c r="V6157">
        <v>6.7024128686327001E-3</v>
      </c>
      <c r="W6157">
        <v>1369832.93059373</v>
      </c>
      <c r="X6157" t="s">
        <v>38</v>
      </c>
      <c r="Y6157">
        <f>1-715-432-9038</f>
        <v>-10184</v>
      </c>
    </row>
    <row r="6158" spans="1:25" x14ac:dyDescent="0.35">
      <c r="A6158">
        <v>33.8050047413371</v>
      </c>
      <c r="B6158">
        <v>-122.32738589223401</v>
      </c>
      <c r="C6158" t="s">
        <v>34</v>
      </c>
      <c r="D6158">
        <v>4.7268733893380102</v>
      </c>
      <c r="E6158">
        <v>3</v>
      </c>
      <c r="F6158">
        <v>2527</v>
      </c>
      <c r="G6158">
        <v>2</v>
      </c>
      <c r="H6158">
        <v>2</v>
      </c>
      <c r="I6158">
        <v>1997</v>
      </c>
      <c r="J6158">
        <v>1</v>
      </c>
      <c r="K6158">
        <v>1</v>
      </c>
      <c r="L6158">
        <v>0</v>
      </c>
      <c r="M6158">
        <v>11</v>
      </c>
      <c r="N6158" t="s">
        <v>35</v>
      </c>
      <c r="O6158" t="s">
        <v>32</v>
      </c>
      <c r="P6158">
        <v>5.6096716706112497</v>
      </c>
      <c r="Q6158">
        <v>1.42920701264421</v>
      </c>
      <c r="R6158">
        <v>5.0160381056972998</v>
      </c>
      <c r="S6158">
        <v>81</v>
      </c>
      <c r="T6158">
        <v>26</v>
      </c>
      <c r="U6158">
        <v>600.55673992028903</v>
      </c>
      <c r="V6158">
        <v>4.3529877324891102E-3</v>
      </c>
      <c r="W6158">
        <v>1864063.3431782301</v>
      </c>
      <c r="X6158" t="s">
        <v>44</v>
      </c>
      <c r="Y6158">
        <f>1-691-570-5379</f>
        <v>-6639</v>
      </c>
    </row>
    <row r="6159" spans="1:25" x14ac:dyDescent="0.35">
      <c r="A6159">
        <v>41.960188227200902</v>
      </c>
      <c r="B6159">
        <v>-123.06846363910201</v>
      </c>
      <c r="C6159" t="s">
        <v>25</v>
      </c>
      <c r="D6159">
        <v>40.202549929469697</v>
      </c>
      <c r="E6159">
        <v>3</v>
      </c>
      <c r="F6159">
        <v>3227</v>
      </c>
      <c r="G6159">
        <v>1</v>
      </c>
      <c r="H6159">
        <v>2</v>
      </c>
      <c r="I6159">
        <v>2018</v>
      </c>
      <c r="J6159">
        <v>0</v>
      </c>
      <c r="K6159">
        <v>0</v>
      </c>
      <c r="L6159">
        <v>0</v>
      </c>
      <c r="M6159">
        <v>4</v>
      </c>
      <c r="N6159" t="s">
        <v>41</v>
      </c>
      <c r="O6159" t="s">
        <v>32</v>
      </c>
      <c r="P6159">
        <v>2.7005331983504202</v>
      </c>
      <c r="Q6159">
        <v>1.7722594052627201</v>
      </c>
      <c r="R6159">
        <v>9.4656989507374991</v>
      </c>
      <c r="S6159">
        <v>115</v>
      </c>
      <c r="T6159">
        <v>28</v>
      </c>
      <c r="U6159">
        <v>761.20242605472004</v>
      </c>
      <c r="V6159">
        <v>1.2395413696932099E-3</v>
      </c>
      <c r="W6159">
        <v>2510000.4104440999</v>
      </c>
      <c r="X6159" t="s">
        <v>31</v>
      </c>
      <c r="Y6159">
        <f>1-413-784-2973</f>
        <v>-4169</v>
      </c>
    </row>
    <row r="6160" spans="1:25" x14ac:dyDescent="0.35">
      <c r="A6160">
        <v>36.827716857797</v>
      </c>
      <c r="B6160">
        <v>-119.33243155171699</v>
      </c>
      <c r="C6160" t="s">
        <v>25</v>
      </c>
      <c r="D6160">
        <v>31.449183439491701</v>
      </c>
      <c r="E6160">
        <v>7</v>
      </c>
      <c r="F6160">
        <v>3371</v>
      </c>
      <c r="G6160">
        <v>3</v>
      </c>
      <c r="H6160">
        <v>1</v>
      </c>
      <c r="I6160">
        <v>2011</v>
      </c>
      <c r="J6160">
        <v>0</v>
      </c>
      <c r="K6160">
        <v>1</v>
      </c>
      <c r="L6160">
        <v>0</v>
      </c>
      <c r="M6160">
        <v>5</v>
      </c>
      <c r="N6160" t="s">
        <v>37</v>
      </c>
      <c r="O6160" t="s">
        <v>30</v>
      </c>
      <c r="P6160">
        <v>3.3974582544860201</v>
      </c>
      <c r="Q6160">
        <v>0.65043397645383005</v>
      </c>
      <c r="R6160">
        <v>6.5734786976252702</v>
      </c>
      <c r="S6160">
        <v>79</v>
      </c>
      <c r="T6160">
        <v>58</v>
      </c>
      <c r="U6160">
        <v>378.56300808571399</v>
      </c>
      <c r="V6160">
        <v>1.4832393948383199E-3</v>
      </c>
      <c r="W6160">
        <v>1543816.6019260201</v>
      </c>
      <c r="X6160" t="s">
        <v>36</v>
      </c>
      <c r="Y6160">
        <f>1-838-539-7160</f>
        <v>-8536</v>
      </c>
    </row>
    <row r="6161" spans="1:25" x14ac:dyDescent="0.35">
      <c r="A6161">
        <v>39.5808969235323</v>
      </c>
      <c r="B6161">
        <v>-119.169768209639</v>
      </c>
      <c r="C6161" t="s">
        <v>25</v>
      </c>
      <c r="D6161">
        <v>34.139439501948701</v>
      </c>
      <c r="E6161">
        <v>7</v>
      </c>
      <c r="F6161">
        <v>1753</v>
      </c>
      <c r="G6161">
        <v>5</v>
      </c>
      <c r="H6161">
        <v>1</v>
      </c>
      <c r="I6161">
        <v>1960</v>
      </c>
      <c r="J6161">
        <v>0</v>
      </c>
      <c r="K6161">
        <v>1</v>
      </c>
      <c r="L6161">
        <v>1</v>
      </c>
      <c r="M6161">
        <v>13</v>
      </c>
      <c r="N6161" t="s">
        <v>26</v>
      </c>
      <c r="O6161" t="s">
        <v>30</v>
      </c>
      <c r="P6161">
        <v>6.0853062046438602</v>
      </c>
      <c r="Q6161">
        <v>0.88437584826268301</v>
      </c>
      <c r="R6161">
        <v>2.3530613151196098</v>
      </c>
      <c r="S6161">
        <v>123</v>
      </c>
      <c r="T6161">
        <v>40</v>
      </c>
      <c r="U6161">
        <v>629.29928965930901</v>
      </c>
      <c r="V6161">
        <v>7.4158585282373003E-3</v>
      </c>
      <c r="W6161">
        <v>1474133.3971698</v>
      </c>
      <c r="X6161" t="s">
        <v>36</v>
      </c>
      <c r="Y6161">
        <f>1-425-432-9515</f>
        <v>-10371</v>
      </c>
    </row>
    <row r="6162" spans="1:25" x14ac:dyDescent="0.35">
      <c r="A6162">
        <v>33.712155045220896</v>
      </c>
      <c r="B6162">
        <v>-119.027124498547</v>
      </c>
      <c r="C6162" t="s">
        <v>29</v>
      </c>
      <c r="D6162">
        <v>13.362581655157401</v>
      </c>
      <c r="E6162">
        <v>1</v>
      </c>
      <c r="F6162">
        <v>1550</v>
      </c>
      <c r="G6162">
        <v>2</v>
      </c>
      <c r="H6162">
        <v>1</v>
      </c>
      <c r="I6162">
        <v>1956</v>
      </c>
      <c r="J6162">
        <v>0</v>
      </c>
      <c r="K6162">
        <v>0</v>
      </c>
      <c r="L6162">
        <v>1</v>
      </c>
      <c r="M6162">
        <v>12</v>
      </c>
      <c r="N6162" t="s">
        <v>41</v>
      </c>
      <c r="O6162" t="s">
        <v>27</v>
      </c>
      <c r="P6162">
        <v>13.3058285362116</v>
      </c>
      <c r="Q6162">
        <v>1.7660809295870501</v>
      </c>
      <c r="R6162">
        <v>9.6620957763862698</v>
      </c>
      <c r="S6162">
        <v>177</v>
      </c>
      <c r="T6162">
        <v>51</v>
      </c>
      <c r="U6162">
        <v>757.77432172454405</v>
      </c>
      <c r="V6162">
        <v>7.7419354838709599E-3</v>
      </c>
      <c r="W6162">
        <v>1288281.4697374599</v>
      </c>
      <c r="X6162" t="s">
        <v>43</v>
      </c>
      <c r="Y6162">
        <f>1-524-159-7834</f>
        <v>-8516</v>
      </c>
    </row>
    <row r="6163" spans="1:25" x14ac:dyDescent="0.35">
      <c r="A6163">
        <v>33.452283362199402</v>
      </c>
      <c r="B6163">
        <v>-114.872266161979</v>
      </c>
      <c r="C6163" t="s">
        <v>29</v>
      </c>
      <c r="D6163">
        <v>17.528774060820702</v>
      </c>
      <c r="E6163">
        <v>7</v>
      </c>
      <c r="F6163">
        <v>725</v>
      </c>
      <c r="G6163">
        <v>2</v>
      </c>
      <c r="H6163">
        <v>2</v>
      </c>
      <c r="I6163">
        <v>1981</v>
      </c>
      <c r="J6163">
        <v>0</v>
      </c>
      <c r="K6163">
        <v>1</v>
      </c>
      <c r="L6163">
        <v>1</v>
      </c>
      <c r="M6163">
        <v>5</v>
      </c>
      <c r="N6163" t="s">
        <v>35</v>
      </c>
      <c r="O6163" t="s">
        <v>30</v>
      </c>
      <c r="P6163">
        <v>10.4771028907653</v>
      </c>
      <c r="Q6163">
        <v>1.0509532583090799</v>
      </c>
      <c r="R6163">
        <v>1.6822711252595599</v>
      </c>
      <c r="S6163">
        <v>96</v>
      </c>
      <c r="T6163">
        <v>62</v>
      </c>
      <c r="U6163">
        <v>835.73508637154805</v>
      </c>
      <c r="V6163">
        <v>6.8965517241379301E-3</v>
      </c>
      <c r="W6163">
        <v>890985.15494908905</v>
      </c>
      <c r="X6163" t="s">
        <v>43</v>
      </c>
      <c r="Y6163">
        <f>1-398-734-7896</f>
        <v>-9027</v>
      </c>
    </row>
    <row r="6164" spans="1:25" x14ac:dyDescent="0.35">
      <c r="A6164">
        <v>36.015659854126099</v>
      </c>
      <c r="B6164">
        <v>-119.137078142427</v>
      </c>
      <c r="C6164" t="s">
        <v>25</v>
      </c>
      <c r="D6164">
        <v>19.816318354247699</v>
      </c>
      <c r="E6164">
        <v>4</v>
      </c>
      <c r="F6164">
        <v>3890</v>
      </c>
      <c r="G6164">
        <v>4</v>
      </c>
      <c r="H6164">
        <v>3</v>
      </c>
      <c r="I6164">
        <v>1998</v>
      </c>
      <c r="J6164">
        <v>1</v>
      </c>
      <c r="K6164">
        <v>1</v>
      </c>
      <c r="L6164">
        <v>0</v>
      </c>
      <c r="M6164">
        <v>4</v>
      </c>
      <c r="N6164" t="s">
        <v>26</v>
      </c>
      <c r="O6164" t="s">
        <v>30</v>
      </c>
      <c r="P6164">
        <v>14.3593091890066</v>
      </c>
      <c r="Q6164">
        <v>1.27845141995676</v>
      </c>
      <c r="R6164">
        <v>2.6214506098356498</v>
      </c>
      <c r="S6164">
        <v>197</v>
      </c>
      <c r="T6164">
        <v>73</v>
      </c>
      <c r="U6164">
        <v>878.13967605198104</v>
      </c>
      <c r="V6164">
        <v>1.02827763496143E-3</v>
      </c>
      <c r="W6164">
        <v>3828142.44696231</v>
      </c>
      <c r="X6164" t="s">
        <v>28</v>
      </c>
      <c r="Y6164">
        <f>1-894-364-3602</f>
        <v>-4859</v>
      </c>
    </row>
    <row r="6165" spans="1:25" x14ac:dyDescent="0.35">
      <c r="A6165">
        <v>39.772397612625703</v>
      </c>
      <c r="B6165">
        <v>-120.52197454036001</v>
      </c>
      <c r="C6165" t="s">
        <v>29</v>
      </c>
      <c r="D6165">
        <v>1.69960490945016</v>
      </c>
      <c r="E6165">
        <v>7</v>
      </c>
      <c r="F6165">
        <v>1919</v>
      </c>
      <c r="G6165">
        <v>1</v>
      </c>
      <c r="H6165">
        <v>1</v>
      </c>
      <c r="I6165">
        <v>2000</v>
      </c>
      <c r="J6165">
        <v>0</v>
      </c>
      <c r="K6165">
        <v>1</v>
      </c>
      <c r="L6165">
        <v>1</v>
      </c>
      <c r="M6165">
        <v>9</v>
      </c>
      <c r="N6165" t="s">
        <v>41</v>
      </c>
      <c r="O6165" t="s">
        <v>27</v>
      </c>
      <c r="P6165">
        <v>7.7729557401075704</v>
      </c>
      <c r="Q6165">
        <v>1.7456972478624599</v>
      </c>
      <c r="R6165">
        <v>9.8269839433245405</v>
      </c>
      <c r="S6165">
        <v>53</v>
      </c>
      <c r="T6165">
        <v>31</v>
      </c>
      <c r="U6165">
        <v>930.10970678055401</v>
      </c>
      <c r="V6165">
        <v>4.6899426784783697E-3</v>
      </c>
      <c r="W6165">
        <v>1948683.4973949499</v>
      </c>
      <c r="X6165" t="s">
        <v>36</v>
      </c>
      <c r="Y6165">
        <f>1-893-178-6941</f>
        <v>-8011</v>
      </c>
    </row>
    <row r="6166" spans="1:25" x14ac:dyDescent="0.35">
      <c r="A6166">
        <v>33.419652319782998</v>
      </c>
      <c r="B6166">
        <v>-117.541838347954</v>
      </c>
      <c r="C6166" t="s">
        <v>34</v>
      </c>
      <c r="D6166">
        <v>1.22308285206044</v>
      </c>
      <c r="E6166">
        <v>8</v>
      </c>
      <c r="F6166">
        <v>1316</v>
      </c>
      <c r="G6166">
        <v>1</v>
      </c>
      <c r="H6166">
        <v>3</v>
      </c>
      <c r="I6166">
        <v>2017</v>
      </c>
      <c r="J6166">
        <v>1</v>
      </c>
      <c r="K6166">
        <v>0</v>
      </c>
      <c r="L6166">
        <v>1</v>
      </c>
      <c r="M6166">
        <v>7</v>
      </c>
      <c r="N6166" t="s">
        <v>41</v>
      </c>
      <c r="O6166" t="s">
        <v>27</v>
      </c>
      <c r="P6166">
        <v>6.1904003687921199</v>
      </c>
      <c r="Q6166">
        <v>1.64698941870948</v>
      </c>
      <c r="R6166">
        <v>4.0642014332974101</v>
      </c>
      <c r="S6166">
        <v>165</v>
      </c>
      <c r="T6166">
        <v>23</v>
      </c>
      <c r="U6166">
        <v>725.41165225195505</v>
      </c>
      <c r="V6166">
        <v>5.31914893617021E-3</v>
      </c>
      <c r="W6166">
        <v>1187621.33254094</v>
      </c>
      <c r="X6166" t="s">
        <v>40</v>
      </c>
      <c r="Y6166">
        <f>1-929-581-9846</f>
        <v>-11355</v>
      </c>
    </row>
    <row r="6167" spans="1:25" x14ac:dyDescent="0.35">
      <c r="A6167">
        <v>36.381724339003803</v>
      </c>
      <c r="B6167">
        <v>-123.551382846149</v>
      </c>
      <c r="C6167" t="s">
        <v>29</v>
      </c>
      <c r="D6167">
        <v>33.110423351635198</v>
      </c>
      <c r="E6167">
        <v>1</v>
      </c>
      <c r="F6167">
        <v>2771</v>
      </c>
      <c r="G6167">
        <v>2</v>
      </c>
      <c r="H6167">
        <v>1</v>
      </c>
      <c r="I6167">
        <v>1975</v>
      </c>
      <c r="J6167">
        <v>1</v>
      </c>
      <c r="K6167">
        <v>0</v>
      </c>
      <c r="L6167">
        <v>1</v>
      </c>
      <c r="M6167">
        <v>14</v>
      </c>
      <c r="N6167" t="s">
        <v>37</v>
      </c>
      <c r="O6167" t="s">
        <v>30</v>
      </c>
      <c r="P6167">
        <v>13.7575293250716</v>
      </c>
      <c r="Q6167">
        <v>1.7276291471220899</v>
      </c>
      <c r="R6167">
        <v>5.5770337004409702</v>
      </c>
      <c r="S6167">
        <v>96</v>
      </c>
      <c r="T6167">
        <v>38</v>
      </c>
      <c r="U6167">
        <v>286.86930446566498</v>
      </c>
      <c r="V6167">
        <v>5.0523276795380696E-3</v>
      </c>
      <c r="W6167">
        <v>992703.65396900696</v>
      </c>
      <c r="X6167" t="s">
        <v>36</v>
      </c>
      <c r="Y6167">
        <f>1-705-436-5368</f>
        <v>-6508</v>
      </c>
    </row>
    <row r="6168" spans="1:25" x14ac:dyDescent="0.35">
      <c r="A6168">
        <v>41.739583274426899</v>
      </c>
      <c r="B6168">
        <v>-117.949051985393</v>
      </c>
      <c r="C6168" t="s">
        <v>25</v>
      </c>
      <c r="D6168">
        <v>39.626482126664598</v>
      </c>
      <c r="E6168">
        <v>7</v>
      </c>
      <c r="F6168">
        <v>1086</v>
      </c>
      <c r="G6168">
        <v>3</v>
      </c>
      <c r="H6168">
        <v>3</v>
      </c>
      <c r="I6168">
        <v>2005</v>
      </c>
      <c r="J6168">
        <v>0</v>
      </c>
      <c r="K6168">
        <v>0</v>
      </c>
      <c r="L6168">
        <v>0</v>
      </c>
      <c r="M6168">
        <v>11</v>
      </c>
      <c r="N6168" t="s">
        <v>35</v>
      </c>
      <c r="O6168" t="s">
        <v>32</v>
      </c>
      <c r="P6168">
        <v>13.6969962328698</v>
      </c>
      <c r="Q6168">
        <v>2.2760721869968301</v>
      </c>
      <c r="R6168">
        <v>8.3092446677401792</v>
      </c>
      <c r="S6168">
        <v>169</v>
      </c>
      <c r="T6168">
        <v>61</v>
      </c>
      <c r="U6168">
        <v>758.36885616136306</v>
      </c>
      <c r="V6168">
        <v>1.01289134438305E-2</v>
      </c>
      <c r="W6168">
        <v>1044006.18148238</v>
      </c>
      <c r="X6168" t="s">
        <v>33</v>
      </c>
      <c r="Y6168">
        <f>1-363-932-1300</f>
        <v>-2594</v>
      </c>
    </row>
    <row r="6169" spans="1:25" x14ac:dyDescent="0.35">
      <c r="A6169">
        <v>33.064868956479103</v>
      </c>
      <c r="B6169">
        <v>-121.975592062698</v>
      </c>
      <c r="C6169" t="s">
        <v>25</v>
      </c>
      <c r="D6169">
        <v>14.625498041296501</v>
      </c>
      <c r="E6169">
        <v>8</v>
      </c>
      <c r="F6169">
        <v>4067</v>
      </c>
      <c r="G6169">
        <v>1</v>
      </c>
      <c r="H6169">
        <v>1</v>
      </c>
      <c r="I6169">
        <v>1969</v>
      </c>
      <c r="J6169">
        <v>0</v>
      </c>
      <c r="K6169">
        <v>1</v>
      </c>
      <c r="L6169">
        <v>1</v>
      </c>
      <c r="M6169">
        <v>7</v>
      </c>
      <c r="N6169" t="s">
        <v>41</v>
      </c>
      <c r="O6169" t="s">
        <v>27</v>
      </c>
      <c r="P6169">
        <v>5.9012772594592198</v>
      </c>
      <c r="Q6169">
        <v>1.9310241275609299</v>
      </c>
      <c r="R6169">
        <v>9.1624779567262795</v>
      </c>
      <c r="S6169">
        <v>178</v>
      </c>
      <c r="T6169">
        <v>29</v>
      </c>
      <c r="U6169">
        <v>603.707338639721</v>
      </c>
      <c r="V6169">
        <v>1.72117039586919E-3</v>
      </c>
      <c r="W6169">
        <v>2624289.34794559</v>
      </c>
      <c r="X6169" t="s">
        <v>31</v>
      </c>
      <c r="Y6169">
        <f>1-534-917-3768</f>
        <v>-5218</v>
      </c>
    </row>
    <row r="6170" spans="1:25" x14ac:dyDescent="0.35">
      <c r="A6170">
        <v>39.295401932480097</v>
      </c>
      <c r="B6170">
        <v>-123.10341173120599</v>
      </c>
      <c r="C6170" t="s">
        <v>29</v>
      </c>
      <c r="D6170">
        <v>16.693953366386101</v>
      </c>
      <c r="E6170">
        <v>7</v>
      </c>
      <c r="F6170">
        <v>2728</v>
      </c>
      <c r="G6170">
        <v>1</v>
      </c>
      <c r="H6170">
        <v>2</v>
      </c>
      <c r="I6170">
        <v>1999</v>
      </c>
      <c r="J6170">
        <v>0</v>
      </c>
      <c r="K6170">
        <v>0</v>
      </c>
      <c r="L6170">
        <v>1</v>
      </c>
      <c r="M6170">
        <v>7</v>
      </c>
      <c r="N6170" t="s">
        <v>26</v>
      </c>
      <c r="O6170" t="s">
        <v>30</v>
      </c>
      <c r="P6170">
        <v>12.247660906041499</v>
      </c>
      <c r="Q6170">
        <v>1.11986408841692</v>
      </c>
      <c r="R6170">
        <v>0.94532531673192499</v>
      </c>
      <c r="S6170">
        <v>107</v>
      </c>
      <c r="T6170">
        <v>46</v>
      </c>
      <c r="U6170">
        <v>385.33122579642799</v>
      </c>
      <c r="V6170">
        <v>2.5659824046920798E-3</v>
      </c>
      <c r="W6170">
        <v>1194609.536514</v>
      </c>
      <c r="X6170" t="s">
        <v>40</v>
      </c>
      <c r="Y6170">
        <f>1-440-832-8025</f>
        <v>-9296</v>
      </c>
    </row>
    <row r="6171" spans="1:25" x14ac:dyDescent="0.35">
      <c r="A6171">
        <v>41.465495779458003</v>
      </c>
      <c r="B6171">
        <v>-119.43257524074301</v>
      </c>
      <c r="C6171" t="s">
        <v>29</v>
      </c>
      <c r="D6171">
        <v>31.0121882539353</v>
      </c>
      <c r="E6171">
        <v>0</v>
      </c>
      <c r="F6171">
        <v>2076</v>
      </c>
      <c r="G6171">
        <v>2</v>
      </c>
      <c r="H6171">
        <v>2</v>
      </c>
      <c r="I6171">
        <v>2004</v>
      </c>
      <c r="J6171">
        <v>1</v>
      </c>
      <c r="K6171">
        <v>1</v>
      </c>
      <c r="L6171">
        <v>1</v>
      </c>
      <c r="M6171">
        <v>7</v>
      </c>
      <c r="N6171" t="s">
        <v>26</v>
      </c>
      <c r="O6171" t="s">
        <v>27</v>
      </c>
      <c r="P6171">
        <v>14.0469036835041</v>
      </c>
      <c r="Q6171">
        <v>1.9915789364523</v>
      </c>
      <c r="R6171">
        <v>1.1008876771588301</v>
      </c>
      <c r="S6171">
        <v>122</v>
      </c>
      <c r="T6171">
        <v>32</v>
      </c>
      <c r="U6171">
        <v>402.893438468341</v>
      </c>
      <c r="V6171">
        <v>3.3718689788053901E-3</v>
      </c>
      <c r="W6171">
        <v>1240298.51259641</v>
      </c>
      <c r="X6171" t="s">
        <v>42</v>
      </c>
      <c r="Y6171">
        <f>1-804-707-6062</f>
        <v>-7572</v>
      </c>
    </row>
    <row r="6172" spans="1:25" x14ac:dyDescent="0.35">
      <c r="A6172">
        <v>40.408812267090099</v>
      </c>
      <c r="B6172">
        <v>-123.580701838484</v>
      </c>
      <c r="C6172" t="s">
        <v>34</v>
      </c>
      <c r="D6172">
        <v>14.4849667914576</v>
      </c>
      <c r="E6172">
        <v>6</v>
      </c>
      <c r="F6172">
        <v>2923</v>
      </c>
      <c r="G6172">
        <v>1</v>
      </c>
      <c r="H6172">
        <v>2</v>
      </c>
      <c r="I6172">
        <v>1951</v>
      </c>
      <c r="J6172">
        <v>0</v>
      </c>
      <c r="K6172">
        <v>0</v>
      </c>
      <c r="L6172">
        <v>0</v>
      </c>
      <c r="M6172">
        <v>4</v>
      </c>
      <c r="N6172" t="s">
        <v>37</v>
      </c>
      <c r="O6172" t="s">
        <v>30</v>
      </c>
      <c r="P6172">
        <v>3.0907322113279001</v>
      </c>
      <c r="Q6172">
        <v>1.4721388976712799</v>
      </c>
      <c r="R6172">
        <v>9.36862271357578</v>
      </c>
      <c r="S6172">
        <v>112</v>
      </c>
      <c r="T6172">
        <v>45</v>
      </c>
      <c r="U6172">
        <v>949.98158885425505</v>
      </c>
      <c r="V6172">
        <v>1.36845706465959E-3</v>
      </c>
      <c r="W6172">
        <v>2715777.2645515101</v>
      </c>
      <c r="X6172" t="s">
        <v>42</v>
      </c>
      <c r="Y6172">
        <f>1-855-826-6202</f>
        <v>-7882</v>
      </c>
    </row>
    <row r="6173" spans="1:25" x14ac:dyDescent="0.35">
      <c r="A6173">
        <v>41.348053096803604</v>
      </c>
      <c r="B6173">
        <v>-115.997589915833</v>
      </c>
      <c r="C6173" t="s">
        <v>25</v>
      </c>
      <c r="D6173">
        <v>29.1444202331428</v>
      </c>
      <c r="E6173">
        <v>4</v>
      </c>
      <c r="F6173">
        <v>991</v>
      </c>
      <c r="G6173">
        <v>1</v>
      </c>
      <c r="H6173">
        <v>3</v>
      </c>
      <c r="I6173">
        <v>2021</v>
      </c>
      <c r="J6173">
        <v>1</v>
      </c>
      <c r="K6173">
        <v>0</v>
      </c>
      <c r="L6173">
        <v>0</v>
      </c>
      <c r="M6173">
        <v>7</v>
      </c>
      <c r="N6173" t="s">
        <v>37</v>
      </c>
      <c r="O6173" t="s">
        <v>30</v>
      </c>
      <c r="P6173">
        <v>6.5647412336459698</v>
      </c>
      <c r="Q6173">
        <v>1.66356863041072</v>
      </c>
      <c r="R6173">
        <v>3.3145905152651798</v>
      </c>
      <c r="S6173">
        <v>97</v>
      </c>
      <c r="T6173">
        <v>69</v>
      </c>
      <c r="U6173">
        <v>839.04412091643803</v>
      </c>
      <c r="V6173">
        <v>7.0635721493440898E-3</v>
      </c>
      <c r="W6173">
        <v>1050591.1891993601</v>
      </c>
      <c r="X6173" t="s">
        <v>39</v>
      </c>
      <c r="Y6173">
        <f>1-575-953-4083</f>
        <v>-5610</v>
      </c>
    </row>
    <row r="6174" spans="1:25" x14ac:dyDescent="0.35">
      <c r="A6174">
        <v>35.822047894589801</v>
      </c>
      <c r="B6174">
        <v>-119.362932795834</v>
      </c>
      <c r="C6174" t="s">
        <v>34</v>
      </c>
      <c r="D6174">
        <v>14.103072816599401</v>
      </c>
      <c r="E6174">
        <v>2</v>
      </c>
      <c r="F6174">
        <v>3041</v>
      </c>
      <c r="G6174">
        <v>2</v>
      </c>
      <c r="H6174">
        <v>3</v>
      </c>
      <c r="I6174">
        <v>1986</v>
      </c>
      <c r="J6174">
        <v>1</v>
      </c>
      <c r="K6174">
        <v>0</v>
      </c>
      <c r="L6174">
        <v>1</v>
      </c>
      <c r="M6174">
        <v>4</v>
      </c>
      <c r="N6174" t="s">
        <v>35</v>
      </c>
      <c r="O6174" t="s">
        <v>30</v>
      </c>
      <c r="P6174">
        <v>9.4339635229314496</v>
      </c>
      <c r="Q6174">
        <v>1.4961183347133999</v>
      </c>
      <c r="R6174">
        <v>6.5694011366757703</v>
      </c>
      <c r="S6174">
        <v>84</v>
      </c>
      <c r="T6174">
        <v>23</v>
      </c>
      <c r="U6174">
        <v>294.65009926170598</v>
      </c>
      <c r="V6174">
        <v>1.3153567905294301E-3</v>
      </c>
      <c r="W6174">
        <v>1112368.39168942</v>
      </c>
      <c r="X6174" t="s">
        <v>40</v>
      </c>
      <c r="Y6174">
        <f>1-384-764-1303</f>
        <v>-2450</v>
      </c>
    </row>
    <row r="6175" spans="1:25" x14ac:dyDescent="0.35">
      <c r="A6175">
        <v>32.718411380149199</v>
      </c>
      <c r="B6175">
        <v>-115.044889630726</v>
      </c>
      <c r="C6175" t="s">
        <v>34</v>
      </c>
      <c r="D6175">
        <v>39.905792637029897</v>
      </c>
      <c r="E6175">
        <v>3</v>
      </c>
      <c r="F6175">
        <v>3119</v>
      </c>
      <c r="G6175">
        <v>1</v>
      </c>
      <c r="H6175">
        <v>3</v>
      </c>
      <c r="I6175">
        <v>1980</v>
      </c>
      <c r="J6175">
        <v>0</v>
      </c>
      <c r="K6175">
        <v>0</v>
      </c>
      <c r="L6175">
        <v>1</v>
      </c>
      <c r="M6175">
        <v>6</v>
      </c>
      <c r="N6175" t="s">
        <v>41</v>
      </c>
      <c r="O6175" t="s">
        <v>32</v>
      </c>
      <c r="P6175">
        <v>14.5381565422968</v>
      </c>
      <c r="Q6175">
        <v>1.17660035436313</v>
      </c>
      <c r="R6175">
        <v>4.1591175932717999</v>
      </c>
      <c r="S6175">
        <v>52</v>
      </c>
      <c r="T6175">
        <v>28</v>
      </c>
      <c r="U6175">
        <v>996.07990690184999</v>
      </c>
      <c r="V6175">
        <v>1.92369349150368E-3</v>
      </c>
      <c r="W6175">
        <v>3336726.8245969298</v>
      </c>
      <c r="X6175" t="s">
        <v>44</v>
      </c>
      <c r="Y6175">
        <f>1-818-139-5464</f>
        <v>-6420</v>
      </c>
    </row>
    <row r="6176" spans="1:25" x14ac:dyDescent="0.35">
      <c r="A6176">
        <v>37.825945797996702</v>
      </c>
      <c r="B6176">
        <v>-114.354449885748</v>
      </c>
      <c r="C6176" t="s">
        <v>29</v>
      </c>
      <c r="D6176">
        <v>49.756533374367599</v>
      </c>
      <c r="E6176">
        <v>7</v>
      </c>
      <c r="F6176">
        <v>4632</v>
      </c>
      <c r="G6176">
        <v>2</v>
      </c>
      <c r="H6176">
        <v>1</v>
      </c>
      <c r="I6176">
        <v>1961</v>
      </c>
      <c r="J6176">
        <v>1</v>
      </c>
      <c r="K6176">
        <v>1</v>
      </c>
      <c r="L6176">
        <v>0</v>
      </c>
      <c r="M6176">
        <v>8</v>
      </c>
      <c r="N6176" t="s">
        <v>26</v>
      </c>
      <c r="O6176" t="s">
        <v>30</v>
      </c>
      <c r="P6176">
        <v>10.218287407820901</v>
      </c>
      <c r="Q6176">
        <v>1.7946524532648001</v>
      </c>
      <c r="R6176">
        <v>7.5160827549625902</v>
      </c>
      <c r="S6176">
        <v>69</v>
      </c>
      <c r="T6176">
        <v>49</v>
      </c>
      <c r="U6176">
        <v>355.98008742404102</v>
      </c>
      <c r="V6176">
        <v>1.72711571675302E-3</v>
      </c>
      <c r="W6176">
        <v>1867427.6803212899</v>
      </c>
      <c r="X6176" t="s">
        <v>36</v>
      </c>
      <c r="Y6176">
        <f>1-403-662-5133</f>
        <v>-6197</v>
      </c>
    </row>
    <row r="6177" spans="1:25" x14ac:dyDescent="0.35">
      <c r="A6177">
        <v>37.293753161943897</v>
      </c>
      <c r="B6177">
        <v>-118.158407796815</v>
      </c>
      <c r="C6177" t="s">
        <v>29</v>
      </c>
      <c r="D6177">
        <v>11.295851727689101</v>
      </c>
      <c r="E6177">
        <v>8</v>
      </c>
      <c r="F6177">
        <v>1137</v>
      </c>
      <c r="G6177">
        <v>1</v>
      </c>
      <c r="H6177">
        <v>1</v>
      </c>
      <c r="I6177">
        <v>1966</v>
      </c>
      <c r="J6177">
        <v>0</v>
      </c>
      <c r="K6177">
        <v>1</v>
      </c>
      <c r="L6177">
        <v>1</v>
      </c>
      <c r="M6177">
        <v>8</v>
      </c>
      <c r="N6177" t="s">
        <v>37</v>
      </c>
      <c r="O6177" t="s">
        <v>32</v>
      </c>
      <c r="P6177">
        <v>8.1424517123670199</v>
      </c>
      <c r="Q6177">
        <v>2.0820271278300999</v>
      </c>
      <c r="R6177">
        <v>3.3476863039894198</v>
      </c>
      <c r="S6177">
        <v>91</v>
      </c>
      <c r="T6177">
        <v>55</v>
      </c>
      <c r="U6177">
        <v>586.498258858643</v>
      </c>
      <c r="V6177">
        <v>7.0360598065083496E-3</v>
      </c>
      <c r="W6177">
        <v>839085.86322704505</v>
      </c>
      <c r="X6177" t="s">
        <v>33</v>
      </c>
      <c r="Y6177">
        <f>1-231-315-6023</f>
        <v>-6568</v>
      </c>
    </row>
    <row r="6178" spans="1:25" x14ac:dyDescent="0.35">
      <c r="A6178">
        <v>41.612818168490797</v>
      </c>
      <c r="B6178">
        <v>-123.584737416739</v>
      </c>
      <c r="C6178" t="s">
        <v>25</v>
      </c>
      <c r="D6178">
        <v>24.3719804392349</v>
      </c>
      <c r="E6178">
        <v>9</v>
      </c>
      <c r="F6178">
        <v>2327</v>
      </c>
      <c r="G6178">
        <v>5</v>
      </c>
      <c r="H6178">
        <v>2</v>
      </c>
      <c r="I6178">
        <v>1986</v>
      </c>
      <c r="J6178">
        <v>0</v>
      </c>
      <c r="K6178">
        <v>0</v>
      </c>
      <c r="L6178">
        <v>1</v>
      </c>
      <c r="M6178">
        <v>14</v>
      </c>
      <c r="N6178" t="s">
        <v>26</v>
      </c>
      <c r="O6178" t="s">
        <v>27</v>
      </c>
      <c r="P6178">
        <v>8.7993788133226598</v>
      </c>
      <c r="Q6178">
        <v>2.0775184333620298</v>
      </c>
      <c r="R6178">
        <v>6.8764648814594702</v>
      </c>
      <c r="S6178">
        <v>28</v>
      </c>
      <c r="T6178">
        <v>31</v>
      </c>
      <c r="U6178">
        <v>206.990544954467</v>
      </c>
      <c r="V6178">
        <v>6.0163300386764E-3</v>
      </c>
      <c r="W6178">
        <v>836781.33486898802</v>
      </c>
      <c r="X6178" t="s">
        <v>44</v>
      </c>
      <c r="Y6178">
        <f>1-426-830-7020</f>
        <v>-8275</v>
      </c>
    </row>
    <row r="6179" spans="1:25" x14ac:dyDescent="0.35">
      <c r="A6179">
        <v>36.274091835642501</v>
      </c>
      <c r="B6179">
        <v>-116.77829002883</v>
      </c>
      <c r="C6179" t="s">
        <v>25</v>
      </c>
      <c r="D6179">
        <v>36.383223657098497</v>
      </c>
      <c r="E6179">
        <v>9</v>
      </c>
      <c r="F6179">
        <v>1867</v>
      </c>
      <c r="G6179">
        <v>5</v>
      </c>
      <c r="H6179">
        <v>1</v>
      </c>
      <c r="I6179">
        <v>1963</v>
      </c>
      <c r="J6179">
        <v>1</v>
      </c>
      <c r="K6179">
        <v>1</v>
      </c>
      <c r="L6179">
        <v>0</v>
      </c>
      <c r="M6179">
        <v>14</v>
      </c>
      <c r="N6179" t="s">
        <v>41</v>
      </c>
      <c r="O6179" t="s">
        <v>27</v>
      </c>
      <c r="P6179">
        <v>5.4292205403983003</v>
      </c>
      <c r="Q6179">
        <v>2.4458820029739599</v>
      </c>
      <c r="R6179">
        <v>6.8183088873951103</v>
      </c>
      <c r="S6179">
        <v>143</v>
      </c>
      <c r="T6179">
        <v>74</v>
      </c>
      <c r="U6179">
        <v>230.38299684651699</v>
      </c>
      <c r="V6179">
        <v>7.4986609534011704E-3</v>
      </c>
      <c r="W6179">
        <v>837372.87984732306</v>
      </c>
      <c r="X6179" t="s">
        <v>40</v>
      </c>
      <c r="Y6179">
        <f>1-282-176-2791</f>
        <v>-3248</v>
      </c>
    </row>
    <row r="6180" spans="1:25" x14ac:dyDescent="0.35">
      <c r="A6180">
        <v>36.0225079572228</v>
      </c>
      <c r="B6180">
        <v>-116.98779284597801</v>
      </c>
      <c r="C6180" t="s">
        <v>29</v>
      </c>
      <c r="D6180">
        <v>30.7593669677583</v>
      </c>
      <c r="E6180">
        <v>2</v>
      </c>
      <c r="F6180">
        <v>3462</v>
      </c>
      <c r="G6180">
        <v>2</v>
      </c>
      <c r="H6180">
        <v>1</v>
      </c>
      <c r="I6180">
        <v>1989</v>
      </c>
      <c r="J6180">
        <v>0</v>
      </c>
      <c r="K6180">
        <v>0</v>
      </c>
      <c r="L6180">
        <v>1</v>
      </c>
      <c r="M6180">
        <v>10</v>
      </c>
      <c r="N6180" t="s">
        <v>41</v>
      </c>
      <c r="O6180" t="s">
        <v>30</v>
      </c>
      <c r="P6180">
        <v>14.490404927558201</v>
      </c>
      <c r="Q6180">
        <v>2.4348053286021099</v>
      </c>
      <c r="R6180">
        <v>3.9315840792324401</v>
      </c>
      <c r="S6180">
        <v>42</v>
      </c>
      <c r="T6180">
        <v>36</v>
      </c>
      <c r="U6180">
        <v>976.761201977773</v>
      </c>
      <c r="V6180">
        <v>2.8885037550548799E-3</v>
      </c>
      <c r="W6180">
        <v>3582921.6739481702</v>
      </c>
      <c r="X6180" t="s">
        <v>38</v>
      </c>
      <c r="Y6180">
        <f>1-826-155-1328</f>
        <v>-2308</v>
      </c>
    </row>
    <row r="6181" spans="1:25" x14ac:dyDescent="0.35">
      <c r="A6181">
        <v>35.195653069099698</v>
      </c>
      <c r="B6181">
        <v>-119.474813044651</v>
      </c>
      <c r="C6181" t="s">
        <v>34</v>
      </c>
      <c r="D6181">
        <v>44.037958040331098</v>
      </c>
      <c r="E6181">
        <v>1</v>
      </c>
      <c r="F6181">
        <v>4790</v>
      </c>
      <c r="G6181">
        <v>5</v>
      </c>
      <c r="H6181">
        <v>3</v>
      </c>
      <c r="I6181">
        <v>1960</v>
      </c>
      <c r="J6181">
        <v>1</v>
      </c>
      <c r="K6181">
        <v>0</v>
      </c>
      <c r="L6181">
        <v>1</v>
      </c>
      <c r="M6181">
        <v>8</v>
      </c>
      <c r="N6181" t="s">
        <v>37</v>
      </c>
      <c r="O6181" t="s">
        <v>30</v>
      </c>
      <c r="P6181">
        <v>6.39214779598269</v>
      </c>
      <c r="Q6181">
        <v>1.8454605823321599</v>
      </c>
      <c r="R6181">
        <v>9.7409309866331508</v>
      </c>
      <c r="S6181">
        <v>136</v>
      </c>
      <c r="T6181">
        <v>69</v>
      </c>
      <c r="U6181">
        <v>391.84060337482401</v>
      </c>
      <c r="V6181">
        <v>1.67014613778705E-3</v>
      </c>
      <c r="W6181">
        <v>2113057.1493331902</v>
      </c>
      <c r="X6181" t="s">
        <v>40</v>
      </c>
      <c r="Y6181">
        <f>1-536-381-4080</f>
        <v>-4996</v>
      </c>
    </row>
    <row r="6182" spans="1:25" x14ac:dyDescent="0.35">
      <c r="A6182">
        <v>35.073530046204901</v>
      </c>
      <c r="B6182">
        <v>-120.598367849829</v>
      </c>
      <c r="C6182" t="s">
        <v>25</v>
      </c>
      <c r="D6182">
        <v>16.109216806573201</v>
      </c>
      <c r="E6182">
        <v>2</v>
      </c>
      <c r="F6182">
        <v>3778</v>
      </c>
      <c r="G6182">
        <v>5</v>
      </c>
      <c r="H6182">
        <v>3</v>
      </c>
      <c r="I6182">
        <v>1987</v>
      </c>
      <c r="J6182">
        <v>1</v>
      </c>
      <c r="K6182">
        <v>1</v>
      </c>
      <c r="L6182">
        <v>1</v>
      </c>
      <c r="M6182">
        <v>14</v>
      </c>
      <c r="N6182" t="s">
        <v>35</v>
      </c>
      <c r="O6182" t="s">
        <v>27</v>
      </c>
      <c r="P6182">
        <v>12.0552240387652</v>
      </c>
      <c r="Q6182">
        <v>2.1926023906376702</v>
      </c>
      <c r="R6182">
        <v>1.7738640149665199</v>
      </c>
      <c r="S6182">
        <v>103</v>
      </c>
      <c r="T6182">
        <v>64</v>
      </c>
      <c r="U6182">
        <v>415.27777554710701</v>
      </c>
      <c r="V6182">
        <v>3.7056643726839501E-3</v>
      </c>
      <c r="W6182">
        <v>2148083.73682399</v>
      </c>
      <c r="X6182" t="s">
        <v>38</v>
      </c>
      <c r="Y6182">
        <f>1-783-448-2655</f>
        <v>-3885</v>
      </c>
    </row>
    <row r="6183" spans="1:25" x14ac:dyDescent="0.35">
      <c r="A6183">
        <v>32.862380500968897</v>
      </c>
      <c r="B6183">
        <v>-121.235594095628</v>
      </c>
      <c r="C6183" t="s">
        <v>34</v>
      </c>
      <c r="D6183">
        <v>22.44029617875</v>
      </c>
      <c r="E6183">
        <v>1</v>
      </c>
      <c r="F6183">
        <v>3532</v>
      </c>
      <c r="G6183">
        <v>4</v>
      </c>
      <c r="H6183">
        <v>2</v>
      </c>
      <c r="I6183">
        <v>1970</v>
      </c>
      <c r="J6183">
        <v>0</v>
      </c>
      <c r="K6183">
        <v>1</v>
      </c>
      <c r="L6183">
        <v>1</v>
      </c>
      <c r="M6183">
        <v>5</v>
      </c>
      <c r="N6183" t="s">
        <v>35</v>
      </c>
      <c r="O6183" t="s">
        <v>27</v>
      </c>
      <c r="P6183">
        <v>10.9727961395715</v>
      </c>
      <c r="Q6183">
        <v>1.05102931151386</v>
      </c>
      <c r="R6183">
        <v>0.84930697731851401</v>
      </c>
      <c r="S6183">
        <v>4</v>
      </c>
      <c r="T6183">
        <v>69</v>
      </c>
      <c r="U6183">
        <v>440.46301343928099</v>
      </c>
      <c r="V6183">
        <v>1.41562853907134E-3</v>
      </c>
      <c r="W6183">
        <v>1926047.7910893301</v>
      </c>
      <c r="X6183" t="s">
        <v>39</v>
      </c>
      <c r="Y6183">
        <f>1-538-325-2731</f>
        <v>-3593</v>
      </c>
    </row>
    <row r="6184" spans="1:25" x14ac:dyDescent="0.35">
      <c r="A6184">
        <v>37.798473669686203</v>
      </c>
      <c r="B6184">
        <v>-118.31925404419199</v>
      </c>
      <c r="C6184" t="s">
        <v>25</v>
      </c>
      <c r="D6184">
        <v>46.960055675588102</v>
      </c>
      <c r="E6184">
        <v>6</v>
      </c>
      <c r="F6184">
        <v>3874</v>
      </c>
      <c r="G6184">
        <v>2</v>
      </c>
      <c r="H6184">
        <v>1</v>
      </c>
      <c r="I6184">
        <v>1955</v>
      </c>
      <c r="J6184">
        <v>0</v>
      </c>
      <c r="K6184">
        <v>0</v>
      </c>
      <c r="L6184">
        <v>1</v>
      </c>
      <c r="M6184">
        <v>6</v>
      </c>
      <c r="N6184" t="s">
        <v>41</v>
      </c>
      <c r="O6184" t="s">
        <v>30</v>
      </c>
      <c r="P6184">
        <v>5.8873214667331899</v>
      </c>
      <c r="Q6184">
        <v>2.12893890315992</v>
      </c>
      <c r="R6184">
        <v>6.2597536250969803</v>
      </c>
      <c r="S6184">
        <v>186</v>
      </c>
      <c r="T6184">
        <v>64</v>
      </c>
      <c r="U6184">
        <v>461.41685801514899</v>
      </c>
      <c r="V6184">
        <v>1.5487867836861101E-3</v>
      </c>
      <c r="W6184">
        <v>1817154.58827679</v>
      </c>
      <c r="X6184" t="s">
        <v>43</v>
      </c>
      <c r="Y6184">
        <f>1-339-537-3374</f>
        <v>-4249</v>
      </c>
    </row>
    <row r="6185" spans="1:25" x14ac:dyDescent="0.35">
      <c r="A6185">
        <v>40.247725760470203</v>
      </c>
      <c r="B6185">
        <v>-120.753071369536</v>
      </c>
      <c r="C6185" t="s">
        <v>25</v>
      </c>
      <c r="D6185">
        <v>25.083766466796099</v>
      </c>
      <c r="E6185">
        <v>9</v>
      </c>
      <c r="F6185">
        <v>652</v>
      </c>
      <c r="G6185">
        <v>4</v>
      </c>
      <c r="H6185">
        <v>2</v>
      </c>
      <c r="I6185">
        <v>2017</v>
      </c>
      <c r="J6185">
        <v>1</v>
      </c>
      <c r="K6185">
        <v>0</v>
      </c>
      <c r="L6185">
        <v>0</v>
      </c>
      <c r="M6185">
        <v>11</v>
      </c>
      <c r="N6185" t="s">
        <v>26</v>
      </c>
      <c r="O6185" t="s">
        <v>27</v>
      </c>
      <c r="P6185">
        <v>7.9944457169936696</v>
      </c>
      <c r="Q6185">
        <v>0.984271619871536</v>
      </c>
      <c r="R6185">
        <v>8.3548067664734802</v>
      </c>
      <c r="S6185">
        <v>47</v>
      </c>
      <c r="T6185">
        <v>53</v>
      </c>
      <c r="U6185">
        <v>569.26673817229596</v>
      </c>
      <c r="V6185">
        <v>1.6871165644171699E-2</v>
      </c>
      <c r="W6185">
        <v>596278.69251163397</v>
      </c>
      <c r="X6185" t="s">
        <v>33</v>
      </c>
      <c r="Y6185">
        <f>1-834-423-6902</f>
        <v>-8158</v>
      </c>
    </row>
    <row r="6186" spans="1:25" x14ac:dyDescent="0.35">
      <c r="A6186">
        <v>37.922811222891802</v>
      </c>
      <c r="B6186">
        <v>-116.24692878528199</v>
      </c>
      <c r="C6186" t="s">
        <v>25</v>
      </c>
      <c r="D6186">
        <v>40.3465582921107</v>
      </c>
      <c r="E6186">
        <v>3</v>
      </c>
      <c r="F6186">
        <v>2165</v>
      </c>
      <c r="G6186">
        <v>2</v>
      </c>
      <c r="H6186">
        <v>1</v>
      </c>
      <c r="I6186">
        <v>1955</v>
      </c>
      <c r="J6186">
        <v>0</v>
      </c>
      <c r="K6186">
        <v>1</v>
      </c>
      <c r="L6186">
        <v>0</v>
      </c>
      <c r="M6186">
        <v>4</v>
      </c>
      <c r="N6186" t="s">
        <v>41</v>
      </c>
      <c r="O6186" t="s">
        <v>27</v>
      </c>
      <c r="P6186">
        <v>2.0364451841464599</v>
      </c>
      <c r="Q6186">
        <v>1.2211467287085001</v>
      </c>
      <c r="R6186">
        <v>8.2826506584861992</v>
      </c>
      <c r="S6186">
        <v>39</v>
      </c>
      <c r="T6186">
        <v>47</v>
      </c>
      <c r="U6186">
        <v>307.10974986533103</v>
      </c>
      <c r="V6186">
        <v>1.8475750577367201E-3</v>
      </c>
      <c r="W6186">
        <v>730670.251982769</v>
      </c>
      <c r="X6186" t="s">
        <v>40</v>
      </c>
      <c r="Y6186">
        <f>1-703-220-9480</f>
        <v>-10402</v>
      </c>
    </row>
    <row r="6187" spans="1:25" x14ac:dyDescent="0.35">
      <c r="A6187">
        <v>35.889922214643697</v>
      </c>
      <c r="B6187">
        <v>-123.845352229019</v>
      </c>
      <c r="C6187" t="s">
        <v>29</v>
      </c>
      <c r="D6187">
        <v>28.724469031041</v>
      </c>
      <c r="E6187">
        <v>6</v>
      </c>
      <c r="F6187">
        <v>2125</v>
      </c>
      <c r="G6187">
        <v>1</v>
      </c>
      <c r="H6187">
        <v>2</v>
      </c>
      <c r="I6187">
        <v>2011</v>
      </c>
      <c r="J6187">
        <v>0</v>
      </c>
      <c r="K6187">
        <v>1</v>
      </c>
      <c r="L6187">
        <v>1</v>
      </c>
      <c r="M6187">
        <v>7</v>
      </c>
      <c r="N6187" t="s">
        <v>37</v>
      </c>
      <c r="O6187" t="s">
        <v>32</v>
      </c>
      <c r="P6187">
        <v>4.1836431500320996</v>
      </c>
      <c r="Q6187">
        <v>2.3296592470195101</v>
      </c>
      <c r="R6187">
        <v>9.1032171747956205</v>
      </c>
      <c r="S6187">
        <v>30</v>
      </c>
      <c r="T6187">
        <v>21</v>
      </c>
      <c r="U6187">
        <v>841.15901084284405</v>
      </c>
      <c r="V6187">
        <v>3.2941176470588202E-3</v>
      </c>
      <c r="W6187">
        <v>2020094.0034524</v>
      </c>
      <c r="X6187" t="s">
        <v>42</v>
      </c>
      <c r="Y6187">
        <f>1-703-127-1765</f>
        <v>-2594</v>
      </c>
    </row>
    <row r="6188" spans="1:25" x14ac:dyDescent="0.35">
      <c r="A6188">
        <v>32.730172104566002</v>
      </c>
      <c r="B6188">
        <v>-121.802576617276</v>
      </c>
      <c r="C6188" t="s">
        <v>34</v>
      </c>
      <c r="D6188">
        <v>26.917049794996998</v>
      </c>
      <c r="E6188">
        <v>1</v>
      </c>
      <c r="F6188">
        <v>1073</v>
      </c>
      <c r="G6188">
        <v>2</v>
      </c>
      <c r="H6188">
        <v>2</v>
      </c>
      <c r="I6188">
        <v>1989</v>
      </c>
      <c r="J6188">
        <v>1</v>
      </c>
      <c r="K6188">
        <v>0</v>
      </c>
      <c r="L6188">
        <v>0</v>
      </c>
      <c r="M6188">
        <v>5</v>
      </c>
      <c r="N6188" t="s">
        <v>41</v>
      </c>
      <c r="O6188" t="s">
        <v>30</v>
      </c>
      <c r="P6188">
        <v>6.96933702718347</v>
      </c>
      <c r="Q6188">
        <v>1.90077804200534</v>
      </c>
      <c r="R6188">
        <v>0.24632546985852199</v>
      </c>
      <c r="S6188">
        <v>136</v>
      </c>
      <c r="T6188">
        <v>47</v>
      </c>
      <c r="U6188">
        <v>855.72544611805904</v>
      </c>
      <c r="V6188">
        <v>4.6598322460391396E-3</v>
      </c>
      <c r="W6188">
        <v>1153946.3584463501</v>
      </c>
      <c r="X6188" t="s">
        <v>33</v>
      </c>
      <c r="Y6188">
        <f>1-548-867-1517</f>
        <v>-2931</v>
      </c>
    </row>
    <row r="6189" spans="1:25" x14ac:dyDescent="0.35">
      <c r="A6189">
        <v>37.124300710146898</v>
      </c>
      <c r="B6189">
        <v>-121.369225101212</v>
      </c>
      <c r="C6189" t="s">
        <v>29</v>
      </c>
      <c r="D6189">
        <v>48.939827517408503</v>
      </c>
      <c r="E6189">
        <v>1</v>
      </c>
      <c r="F6189">
        <v>2558</v>
      </c>
      <c r="G6189">
        <v>2</v>
      </c>
      <c r="H6189">
        <v>3</v>
      </c>
      <c r="I6189">
        <v>1960</v>
      </c>
      <c r="J6189">
        <v>1</v>
      </c>
      <c r="K6189">
        <v>1</v>
      </c>
      <c r="L6189">
        <v>0</v>
      </c>
      <c r="M6189">
        <v>6</v>
      </c>
      <c r="N6189" t="s">
        <v>37</v>
      </c>
      <c r="O6189" t="s">
        <v>27</v>
      </c>
      <c r="P6189">
        <v>11.843218681743</v>
      </c>
      <c r="Q6189">
        <v>1.7534190122103901</v>
      </c>
      <c r="R6189">
        <v>0.42411265465881698</v>
      </c>
      <c r="S6189">
        <v>158</v>
      </c>
      <c r="T6189">
        <v>71</v>
      </c>
      <c r="U6189">
        <v>415.24198834042102</v>
      </c>
      <c r="V6189">
        <v>2.34558248631743E-3</v>
      </c>
      <c r="W6189">
        <v>1436285.5559809101</v>
      </c>
      <c r="X6189" t="s">
        <v>39</v>
      </c>
      <c r="Y6189">
        <f>1-906-956-1900</f>
        <v>-3761</v>
      </c>
    </row>
    <row r="6190" spans="1:25" x14ac:dyDescent="0.35">
      <c r="A6190">
        <v>40.375798012213302</v>
      </c>
      <c r="B6190">
        <v>-119.8321904761</v>
      </c>
      <c r="C6190" t="s">
        <v>34</v>
      </c>
      <c r="D6190">
        <v>20.960887163860001</v>
      </c>
      <c r="E6190">
        <v>6</v>
      </c>
      <c r="F6190">
        <v>4553</v>
      </c>
      <c r="G6190">
        <v>3</v>
      </c>
      <c r="H6190">
        <v>3</v>
      </c>
      <c r="I6190">
        <v>1997</v>
      </c>
      <c r="J6190">
        <v>1</v>
      </c>
      <c r="K6190">
        <v>1</v>
      </c>
      <c r="L6190">
        <v>1</v>
      </c>
      <c r="M6190">
        <v>7</v>
      </c>
      <c r="N6190" t="s">
        <v>37</v>
      </c>
      <c r="O6190" t="s">
        <v>30</v>
      </c>
      <c r="P6190">
        <v>6.9531474683869501</v>
      </c>
      <c r="Q6190">
        <v>1.72119052517293</v>
      </c>
      <c r="R6190">
        <v>0.239640704203789</v>
      </c>
      <c r="S6190">
        <v>6</v>
      </c>
      <c r="T6190">
        <v>61</v>
      </c>
      <c r="U6190">
        <v>605.72374029489595</v>
      </c>
      <c r="V6190">
        <v>1.53744783659125E-3</v>
      </c>
      <c r="W6190">
        <v>3043978.4489525901</v>
      </c>
      <c r="X6190" t="s">
        <v>31</v>
      </c>
      <c r="Y6190">
        <f>1-505-899-2055</f>
        <v>-3458</v>
      </c>
    </row>
    <row r="6191" spans="1:25" x14ac:dyDescent="0.35">
      <c r="A6191">
        <v>34.182831291463103</v>
      </c>
      <c r="B6191">
        <v>-122.955181025934</v>
      </c>
      <c r="C6191" t="s">
        <v>29</v>
      </c>
      <c r="D6191">
        <v>10.249122162179299</v>
      </c>
      <c r="E6191">
        <v>4</v>
      </c>
      <c r="F6191">
        <v>3044</v>
      </c>
      <c r="G6191">
        <v>1</v>
      </c>
      <c r="H6191">
        <v>3</v>
      </c>
      <c r="I6191">
        <v>1973</v>
      </c>
      <c r="J6191">
        <v>0</v>
      </c>
      <c r="K6191">
        <v>1</v>
      </c>
      <c r="L6191">
        <v>1</v>
      </c>
      <c r="M6191">
        <v>4</v>
      </c>
      <c r="N6191" t="s">
        <v>35</v>
      </c>
      <c r="O6191" t="s">
        <v>32</v>
      </c>
      <c r="P6191">
        <v>12.8544700937677</v>
      </c>
      <c r="Q6191">
        <v>1.20875448187913</v>
      </c>
      <c r="R6191">
        <v>1.1338680601990501</v>
      </c>
      <c r="S6191">
        <v>65</v>
      </c>
      <c r="T6191">
        <v>75</v>
      </c>
      <c r="U6191">
        <v>903.07907976305296</v>
      </c>
      <c r="V6191">
        <v>1.31406044678055E-3</v>
      </c>
      <c r="W6191">
        <v>3009190.4783326401</v>
      </c>
      <c r="X6191" t="s">
        <v>33</v>
      </c>
      <c r="Y6191">
        <f>1-422-974-9725</f>
        <v>-11120</v>
      </c>
    </row>
    <row r="6192" spans="1:25" x14ac:dyDescent="0.35">
      <c r="A6192">
        <v>39.523340751403801</v>
      </c>
      <c r="B6192">
        <v>-123.936115800213</v>
      </c>
      <c r="C6192" t="s">
        <v>34</v>
      </c>
      <c r="D6192">
        <v>25.946365301974499</v>
      </c>
      <c r="E6192">
        <v>5</v>
      </c>
      <c r="F6192">
        <v>4625</v>
      </c>
      <c r="G6192">
        <v>1</v>
      </c>
      <c r="H6192">
        <v>1</v>
      </c>
      <c r="I6192">
        <v>1968</v>
      </c>
      <c r="J6192">
        <v>0</v>
      </c>
      <c r="K6192">
        <v>1</v>
      </c>
      <c r="L6192">
        <v>1</v>
      </c>
      <c r="M6192">
        <v>9</v>
      </c>
      <c r="N6192" t="s">
        <v>37</v>
      </c>
      <c r="O6192" t="s">
        <v>30</v>
      </c>
      <c r="P6192">
        <v>10.217106205844701</v>
      </c>
      <c r="Q6192">
        <v>0.92619156655524204</v>
      </c>
      <c r="R6192">
        <v>4.30850244644739</v>
      </c>
      <c r="S6192">
        <v>156</v>
      </c>
      <c r="T6192">
        <v>58</v>
      </c>
      <c r="U6192">
        <v>371.40500176718899</v>
      </c>
      <c r="V6192">
        <v>1.94594594594594E-3</v>
      </c>
      <c r="W6192">
        <v>1846800.1312066801</v>
      </c>
      <c r="X6192" t="s">
        <v>33</v>
      </c>
      <c r="Y6192">
        <f>1-363-226-6164</f>
        <v>-6752</v>
      </c>
    </row>
    <row r="6193" spans="1:25" x14ac:dyDescent="0.35">
      <c r="A6193">
        <v>40.628090566348398</v>
      </c>
      <c r="B6193">
        <v>-114.39080190292199</v>
      </c>
      <c r="C6193" t="s">
        <v>25</v>
      </c>
      <c r="D6193">
        <v>16.772708509379299</v>
      </c>
      <c r="E6193">
        <v>9</v>
      </c>
      <c r="F6193">
        <v>1206</v>
      </c>
      <c r="G6193">
        <v>1</v>
      </c>
      <c r="H6193">
        <v>3</v>
      </c>
      <c r="I6193">
        <v>2006</v>
      </c>
      <c r="J6193">
        <v>1</v>
      </c>
      <c r="K6193">
        <v>1</v>
      </c>
      <c r="L6193">
        <v>0</v>
      </c>
      <c r="M6193">
        <v>10</v>
      </c>
      <c r="N6193" t="s">
        <v>41</v>
      </c>
      <c r="O6193" t="s">
        <v>27</v>
      </c>
      <c r="P6193">
        <v>11.914128323202901</v>
      </c>
      <c r="Q6193">
        <v>0.56002342366602897</v>
      </c>
      <c r="R6193">
        <v>1.64442490925837</v>
      </c>
      <c r="S6193">
        <v>180</v>
      </c>
      <c r="T6193">
        <v>35</v>
      </c>
      <c r="U6193">
        <v>684.85091511032294</v>
      </c>
      <c r="V6193">
        <v>8.2918739635157498E-3</v>
      </c>
      <c r="W6193">
        <v>1272477.0787565401</v>
      </c>
      <c r="X6193" t="s">
        <v>33</v>
      </c>
      <c r="Y6193">
        <f>1-267-494-5456</f>
        <v>-6216</v>
      </c>
    </row>
    <row r="6194" spans="1:25" x14ac:dyDescent="0.35">
      <c r="A6194">
        <v>41.7680421619621</v>
      </c>
      <c r="B6194">
        <v>-118.781423748759</v>
      </c>
      <c r="C6194" t="s">
        <v>25</v>
      </c>
      <c r="D6194">
        <v>16.8117074462841</v>
      </c>
      <c r="E6194">
        <v>8</v>
      </c>
      <c r="F6194">
        <v>3012</v>
      </c>
      <c r="G6194">
        <v>3</v>
      </c>
      <c r="H6194">
        <v>1</v>
      </c>
      <c r="I6194">
        <v>1995</v>
      </c>
      <c r="J6194">
        <v>0</v>
      </c>
      <c r="K6194">
        <v>1</v>
      </c>
      <c r="L6194">
        <v>0</v>
      </c>
      <c r="M6194">
        <v>5</v>
      </c>
      <c r="N6194" t="s">
        <v>37</v>
      </c>
      <c r="O6194" t="s">
        <v>30</v>
      </c>
      <c r="P6194">
        <v>9.2352009148152199</v>
      </c>
      <c r="Q6194">
        <v>1.9206208861602201</v>
      </c>
      <c r="R6194">
        <v>7.8528858121781404</v>
      </c>
      <c r="S6194">
        <v>41</v>
      </c>
      <c r="T6194">
        <v>29</v>
      </c>
      <c r="U6194">
        <v>414.862693443924</v>
      </c>
      <c r="V6194">
        <v>1.6600265604249599E-3</v>
      </c>
      <c r="W6194">
        <v>1557638.8568204299</v>
      </c>
      <c r="X6194" t="s">
        <v>36</v>
      </c>
      <c r="Y6194">
        <f>1-979-680-7753</f>
        <v>-9411</v>
      </c>
    </row>
    <row r="6195" spans="1:25" x14ac:dyDescent="0.35">
      <c r="A6195">
        <v>32.546796688801102</v>
      </c>
      <c r="B6195">
        <v>-115.598488646124</v>
      </c>
      <c r="C6195" t="s">
        <v>25</v>
      </c>
      <c r="D6195">
        <v>14.2198907975545</v>
      </c>
      <c r="E6195">
        <v>8</v>
      </c>
      <c r="F6195">
        <v>1068</v>
      </c>
      <c r="G6195">
        <v>4</v>
      </c>
      <c r="H6195">
        <v>1</v>
      </c>
      <c r="I6195">
        <v>2000</v>
      </c>
      <c r="J6195">
        <v>0</v>
      </c>
      <c r="K6195">
        <v>1</v>
      </c>
      <c r="L6195">
        <v>0</v>
      </c>
      <c r="M6195">
        <v>4</v>
      </c>
      <c r="N6195" t="s">
        <v>26</v>
      </c>
      <c r="O6195" t="s">
        <v>32</v>
      </c>
      <c r="P6195">
        <v>2.37961240794974</v>
      </c>
      <c r="Q6195">
        <v>2.4969835293379301</v>
      </c>
      <c r="R6195">
        <v>6.0930892118904998</v>
      </c>
      <c r="S6195">
        <v>74</v>
      </c>
      <c r="T6195">
        <v>50</v>
      </c>
      <c r="U6195">
        <v>756.69558081527305</v>
      </c>
      <c r="V6195">
        <v>3.7453183520599199E-3</v>
      </c>
      <c r="W6195">
        <v>1109554.3495169999</v>
      </c>
      <c r="X6195" t="s">
        <v>42</v>
      </c>
      <c r="Y6195">
        <f>1-864-552-3604</f>
        <v>-5019</v>
      </c>
    </row>
    <row r="6196" spans="1:25" x14ac:dyDescent="0.35">
      <c r="A6196">
        <v>34.055792452333797</v>
      </c>
      <c r="B6196">
        <v>-122.94244202936601</v>
      </c>
      <c r="C6196" t="s">
        <v>29</v>
      </c>
      <c r="D6196">
        <v>26.805601832153599</v>
      </c>
      <c r="E6196">
        <v>6</v>
      </c>
      <c r="F6196">
        <v>3938</v>
      </c>
      <c r="G6196">
        <v>5</v>
      </c>
      <c r="H6196">
        <v>2</v>
      </c>
      <c r="I6196">
        <v>1980</v>
      </c>
      <c r="J6196">
        <v>0</v>
      </c>
      <c r="K6196">
        <v>1</v>
      </c>
      <c r="L6196">
        <v>1</v>
      </c>
      <c r="M6196">
        <v>10</v>
      </c>
      <c r="N6196" t="s">
        <v>35</v>
      </c>
      <c r="O6196" t="s">
        <v>30</v>
      </c>
      <c r="P6196">
        <v>13.627630223533</v>
      </c>
      <c r="Q6196">
        <v>1.79801971028489</v>
      </c>
      <c r="R6196">
        <v>1.0514527916247101</v>
      </c>
      <c r="S6196">
        <v>18</v>
      </c>
      <c r="T6196">
        <v>40</v>
      </c>
      <c r="U6196">
        <v>406.559495873625</v>
      </c>
      <c r="V6196">
        <v>2.53936008125952E-3</v>
      </c>
      <c r="W6196">
        <v>2007183.71035415</v>
      </c>
      <c r="X6196" t="s">
        <v>28</v>
      </c>
      <c r="Y6196">
        <f>1-362-393-3273</f>
        <v>-4027</v>
      </c>
    </row>
    <row r="6197" spans="1:25" x14ac:dyDescent="0.35">
      <c r="A6197">
        <v>41.505210150495998</v>
      </c>
      <c r="B6197">
        <v>-115.56881477186</v>
      </c>
      <c r="C6197" t="s">
        <v>25</v>
      </c>
      <c r="D6197">
        <v>40.9974212314036</v>
      </c>
      <c r="E6197">
        <v>6</v>
      </c>
      <c r="F6197">
        <v>3470</v>
      </c>
      <c r="G6197">
        <v>4</v>
      </c>
      <c r="H6197">
        <v>3</v>
      </c>
      <c r="I6197">
        <v>1973</v>
      </c>
      <c r="J6197">
        <v>0</v>
      </c>
      <c r="K6197">
        <v>0</v>
      </c>
      <c r="L6197">
        <v>1</v>
      </c>
      <c r="M6197">
        <v>5</v>
      </c>
      <c r="N6197" t="s">
        <v>37</v>
      </c>
      <c r="O6197" t="s">
        <v>27</v>
      </c>
      <c r="P6197">
        <v>7.6808876904813301</v>
      </c>
      <c r="Q6197">
        <v>0.60011852534404198</v>
      </c>
      <c r="R6197">
        <v>3.5710874425394801</v>
      </c>
      <c r="S6197">
        <v>195</v>
      </c>
      <c r="T6197">
        <v>60</v>
      </c>
      <c r="U6197">
        <v>257.53038355612</v>
      </c>
      <c r="V6197">
        <v>1.4409221902017199E-3</v>
      </c>
      <c r="W6197">
        <v>1123834.3616593599</v>
      </c>
      <c r="X6197" t="s">
        <v>33</v>
      </c>
      <c r="Y6197">
        <f>1-425-323-9062</f>
        <v>-9809</v>
      </c>
    </row>
    <row r="6198" spans="1:25" x14ac:dyDescent="0.35">
      <c r="A6198">
        <v>40.938507384510203</v>
      </c>
      <c r="B6198">
        <v>-118.423760705313</v>
      </c>
      <c r="C6198" t="s">
        <v>25</v>
      </c>
      <c r="D6198">
        <v>10.7760310140811</v>
      </c>
      <c r="E6198">
        <v>7</v>
      </c>
      <c r="F6198">
        <v>745</v>
      </c>
      <c r="G6198">
        <v>1</v>
      </c>
      <c r="H6198">
        <v>1</v>
      </c>
      <c r="I6198">
        <v>2008</v>
      </c>
      <c r="J6198">
        <v>0</v>
      </c>
      <c r="K6198">
        <v>0</v>
      </c>
      <c r="L6198">
        <v>0</v>
      </c>
      <c r="M6198">
        <v>8</v>
      </c>
      <c r="N6198" t="s">
        <v>26</v>
      </c>
      <c r="O6198" t="s">
        <v>30</v>
      </c>
      <c r="P6198">
        <v>5.9628958562032697</v>
      </c>
      <c r="Q6198">
        <v>1.7523220847921399</v>
      </c>
      <c r="R6198">
        <v>2.74274554570174</v>
      </c>
      <c r="S6198">
        <v>14</v>
      </c>
      <c r="T6198">
        <v>71</v>
      </c>
      <c r="U6198">
        <v>935.40151603556399</v>
      </c>
      <c r="V6198">
        <v>1.0738255033557E-2</v>
      </c>
      <c r="W6198">
        <v>802845.84033444896</v>
      </c>
      <c r="X6198" t="s">
        <v>36</v>
      </c>
      <c r="Y6198">
        <f>1-283-137-3395</f>
        <v>-3814</v>
      </c>
    </row>
    <row r="6199" spans="1:25" x14ac:dyDescent="0.35">
      <c r="A6199">
        <v>35.408271880617498</v>
      </c>
      <c r="B6199">
        <v>-117.58488816073699</v>
      </c>
      <c r="C6199" t="s">
        <v>34</v>
      </c>
      <c r="D6199">
        <v>15.8417060694706</v>
      </c>
      <c r="E6199">
        <v>8</v>
      </c>
      <c r="F6199">
        <v>1132</v>
      </c>
      <c r="G6199">
        <v>4</v>
      </c>
      <c r="H6199">
        <v>1</v>
      </c>
      <c r="I6199">
        <v>2001</v>
      </c>
      <c r="J6199">
        <v>0</v>
      </c>
      <c r="K6199">
        <v>1</v>
      </c>
      <c r="L6199">
        <v>1</v>
      </c>
      <c r="M6199">
        <v>5</v>
      </c>
      <c r="N6199" t="s">
        <v>41</v>
      </c>
      <c r="O6199" t="s">
        <v>27</v>
      </c>
      <c r="P6199">
        <v>7.4545310765702402</v>
      </c>
      <c r="Q6199">
        <v>0.91163268241932005</v>
      </c>
      <c r="R6199">
        <v>2.2933370443500301</v>
      </c>
      <c r="S6199">
        <v>81</v>
      </c>
      <c r="T6199">
        <v>33</v>
      </c>
      <c r="U6199">
        <v>910.36137908306796</v>
      </c>
      <c r="V6199">
        <v>4.4169611307420496E-3</v>
      </c>
      <c r="W6199">
        <v>1440045.3280153901</v>
      </c>
      <c r="X6199" t="s">
        <v>40</v>
      </c>
      <c r="Y6199">
        <f>1-246-822-3728</f>
        <v>-4795</v>
      </c>
    </row>
    <row r="6200" spans="1:25" x14ac:dyDescent="0.35">
      <c r="A6200">
        <v>37.001432225846997</v>
      </c>
      <c r="B6200">
        <v>-121.44009692165299</v>
      </c>
      <c r="C6200" t="s">
        <v>29</v>
      </c>
      <c r="D6200">
        <v>44.9569912255429</v>
      </c>
      <c r="E6200">
        <v>5</v>
      </c>
      <c r="F6200">
        <v>1218</v>
      </c>
      <c r="G6200">
        <v>3</v>
      </c>
      <c r="H6200">
        <v>1</v>
      </c>
      <c r="I6200">
        <v>1987</v>
      </c>
      <c r="J6200">
        <v>0</v>
      </c>
      <c r="K6200">
        <v>1</v>
      </c>
      <c r="L6200">
        <v>0</v>
      </c>
      <c r="M6200">
        <v>8</v>
      </c>
      <c r="N6200" t="s">
        <v>41</v>
      </c>
      <c r="O6200" t="s">
        <v>30</v>
      </c>
      <c r="P6200">
        <v>11.1543805741669</v>
      </c>
      <c r="Q6200">
        <v>1.6597324000768101</v>
      </c>
      <c r="R6200">
        <v>4.9698658316103197</v>
      </c>
      <c r="S6200">
        <v>25</v>
      </c>
      <c r="T6200">
        <v>56</v>
      </c>
      <c r="U6200">
        <v>745.66447291049496</v>
      </c>
      <c r="V6200">
        <v>6.56814449917898E-3</v>
      </c>
      <c r="W6200">
        <v>1206990.08460937</v>
      </c>
      <c r="X6200" t="s">
        <v>40</v>
      </c>
      <c r="Y6200">
        <f>1-406-946-7093</f>
        <v>-8444</v>
      </c>
    </row>
    <row r="6201" spans="1:25" x14ac:dyDescent="0.35">
      <c r="A6201">
        <v>39.859497313541901</v>
      </c>
      <c r="B6201">
        <v>-114.42376155776699</v>
      </c>
      <c r="C6201" t="s">
        <v>25</v>
      </c>
      <c r="D6201">
        <v>20.790520288190301</v>
      </c>
      <c r="E6201">
        <v>7</v>
      </c>
      <c r="F6201">
        <v>739</v>
      </c>
      <c r="G6201">
        <v>2</v>
      </c>
      <c r="H6201">
        <v>1</v>
      </c>
      <c r="I6201">
        <v>1978</v>
      </c>
      <c r="J6201">
        <v>1</v>
      </c>
      <c r="K6201">
        <v>0</v>
      </c>
      <c r="L6201">
        <v>0</v>
      </c>
      <c r="M6201">
        <v>8</v>
      </c>
      <c r="N6201" t="s">
        <v>41</v>
      </c>
      <c r="O6201" t="s">
        <v>32</v>
      </c>
      <c r="P6201">
        <v>3.19621676460158</v>
      </c>
      <c r="Q6201">
        <v>2.1325626870301799</v>
      </c>
      <c r="R6201">
        <v>9.5712270533885899</v>
      </c>
      <c r="S6201">
        <v>107</v>
      </c>
      <c r="T6201">
        <v>77</v>
      </c>
      <c r="U6201">
        <v>667.00003161176403</v>
      </c>
      <c r="V6201">
        <v>1.08254397834912E-2</v>
      </c>
      <c r="W6201">
        <v>513376.30730908399</v>
      </c>
      <c r="X6201" t="s">
        <v>38</v>
      </c>
      <c r="Y6201">
        <f>1-892-766-7395</f>
        <v>-9052</v>
      </c>
    </row>
    <row r="6202" spans="1:25" x14ac:dyDescent="0.35">
      <c r="A6202">
        <v>33.770231562004497</v>
      </c>
      <c r="B6202">
        <v>-122.96058510189999</v>
      </c>
      <c r="C6202" t="s">
        <v>25</v>
      </c>
      <c r="D6202">
        <v>13.098134412525299</v>
      </c>
      <c r="E6202">
        <v>6</v>
      </c>
      <c r="F6202">
        <v>2668</v>
      </c>
      <c r="G6202">
        <v>2</v>
      </c>
      <c r="H6202">
        <v>3</v>
      </c>
      <c r="I6202">
        <v>2011</v>
      </c>
      <c r="J6202">
        <v>0</v>
      </c>
      <c r="K6202">
        <v>1</v>
      </c>
      <c r="L6202">
        <v>1</v>
      </c>
      <c r="M6202">
        <v>4</v>
      </c>
      <c r="N6202" t="s">
        <v>37</v>
      </c>
      <c r="O6202" t="s">
        <v>27</v>
      </c>
      <c r="P6202">
        <v>2.4216476483582698</v>
      </c>
      <c r="Q6202">
        <v>1.20891636799567</v>
      </c>
      <c r="R6202">
        <v>9.7350662042701703</v>
      </c>
      <c r="S6202">
        <v>112</v>
      </c>
      <c r="T6202">
        <v>42</v>
      </c>
      <c r="U6202">
        <v>464.50927962849403</v>
      </c>
      <c r="V6202">
        <v>1.49925037481259E-3</v>
      </c>
      <c r="W6202">
        <v>1569299.89618564</v>
      </c>
      <c r="X6202" t="s">
        <v>31</v>
      </c>
      <c r="Y6202">
        <f>1-387-581-5112</f>
        <v>-6079</v>
      </c>
    </row>
    <row r="6203" spans="1:25" x14ac:dyDescent="0.35">
      <c r="A6203">
        <v>41.425532493519199</v>
      </c>
      <c r="B6203">
        <v>-117.45403241360199</v>
      </c>
      <c r="C6203" t="s">
        <v>25</v>
      </c>
      <c r="D6203">
        <v>38.739394644534599</v>
      </c>
      <c r="E6203">
        <v>3</v>
      </c>
      <c r="F6203">
        <v>4222</v>
      </c>
      <c r="G6203">
        <v>3</v>
      </c>
      <c r="H6203">
        <v>2</v>
      </c>
      <c r="I6203">
        <v>2001</v>
      </c>
      <c r="J6203">
        <v>0</v>
      </c>
      <c r="K6203">
        <v>1</v>
      </c>
      <c r="L6203">
        <v>0</v>
      </c>
      <c r="M6203">
        <v>5</v>
      </c>
      <c r="N6203" t="s">
        <v>26</v>
      </c>
      <c r="O6203" t="s">
        <v>27</v>
      </c>
      <c r="P6203">
        <v>13.5721061085932</v>
      </c>
      <c r="Q6203">
        <v>1.4112539998061899</v>
      </c>
      <c r="R6203">
        <v>3.09171748948848</v>
      </c>
      <c r="S6203">
        <v>191</v>
      </c>
      <c r="T6203">
        <v>66</v>
      </c>
      <c r="U6203">
        <v>726.74210812877004</v>
      </c>
      <c r="V6203">
        <v>1.1842728564661199E-3</v>
      </c>
      <c r="W6203">
        <v>3497268.66941923</v>
      </c>
      <c r="X6203" t="s">
        <v>44</v>
      </c>
      <c r="Y6203">
        <f>1-620-567-5242</f>
        <v>-6428</v>
      </c>
    </row>
    <row r="6204" spans="1:25" x14ac:dyDescent="0.35">
      <c r="A6204">
        <v>32.786660850247202</v>
      </c>
      <c r="B6204">
        <v>-116.70083569369</v>
      </c>
      <c r="C6204" t="s">
        <v>29</v>
      </c>
      <c r="D6204">
        <v>31.028392114039299</v>
      </c>
      <c r="E6204">
        <v>0</v>
      </c>
      <c r="F6204">
        <v>633</v>
      </c>
      <c r="G6204">
        <v>5</v>
      </c>
      <c r="H6204">
        <v>2</v>
      </c>
      <c r="I6204">
        <v>1994</v>
      </c>
      <c r="J6204">
        <v>0</v>
      </c>
      <c r="K6204">
        <v>1</v>
      </c>
      <c r="L6204">
        <v>1</v>
      </c>
      <c r="M6204">
        <v>14</v>
      </c>
      <c r="N6204" t="s">
        <v>35</v>
      </c>
      <c r="O6204" t="s">
        <v>30</v>
      </c>
      <c r="P6204">
        <v>2.2028808293129898</v>
      </c>
      <c r="Q6204">
        <v>2.2321863854451598</v>
      </c>
      <c r="R6204">
        <v>1.3372283349066401</v>
      </c>
      <c r="S6204">
        <v>124</v>
      </c>
      <c r="T6204">
        <v>34</v>
      </c>
      <c r="U6204">
        <v>811.92542689136803</v>
      </c>
      <c r="V6204">
        <v>2.2116903633491301E-2</v>
      </c>
      <c r="W6204">
        <v>918167.16656925704</v>
      </c>
      <c r="X6204" t="s">
        <v>39</v>
      </c>
      <c r="Y6204">
        <f>1-685-898-2381</f>
        <v>-3963</v>
      </c>
    </row>
    <row r="6205" spans="1:25" x14ac:dyDescent="0.35">
      <c r="A6205">
        <v>36.362515495959997</v>
      </c>
      <c r="B6205">
        <v>-116.10182730423701</v>
      </c>
      <c r="C6205" t="s">
        <v>34</v>
      </c>
      <c r="D6205">
        <v>48.499741561863502</v>
      </c>
      <c r="E6205">
        <v>0</v>
      </c>
      <c r="F6205">
        <v>1224</v>
      </c>
      <c r="G6205">
        <v>1</v>
      </c>
      <c r="H6205">
        <v>2</v>
      </c>
      <c r="I6205">
        <v>1964</v>
      </c>
      <c r="J6205">
        <v>0</v>
      </c>
      <c r="K6205">
        <v>1</v>
      </c>
      <c r="L6205">
        <v>0</v>
      </c>
      <c r="M6205">
        <v>5</v>
      </c>
      <c r="N6205" t="s">
        <v>41</v>
      </c>
      <c r="O6205" t="s">
        <v>30</v>
      </c>
      <c r="P6205">
        <v>4.1724783477691902</v>
      </c>
      <c r="Q6205">
        <v>2.3382872766455201</v>
      </c>
      <c r="R6205">
        <v>9.4168620094652802</v>
      </c>
      <c r="S6205">
        <v>39</v>
      </c>
      <c r="T6205">
        <v>24</v>
      </c>
      <c r="U6205">
        <v>950.17072109269304</v>
      </c>
      <c r="V6205">
        <v>4.0849673202614303E-3</v>
      </c>
      <c r="W6205">
        <v>1241995.1472950201</v>
      </c>
      <c r="X6205" t="s">
        <v>36</v>
      </c>
      <c r="Y6205">
        <f>1-534-831-4528</f>
        <v>-5892</v>
      </c>
    </row>
    <row r="6206" spans="1:25" x14ac:dyDescent="0.35">
      <c r="A6206">
        <v>37.189354966164103</v>
      </c>
      <c r="B6206">
        <v>-123.78623698392801</v>
      </c>
      <c r="C6206" t="s">
        <v>29</v>
      </c>
      <c r="D6206">
        <v>23.387877378361999</v>
      </c>
      <c r="E6206">
        <v>0</v>
      </c>
      <c r="F6206">
        <v>2496</v>
      </c>
      <c r="G6206">
        <v>4</v>
      </c>
      <c r="H6206">
        <v>1</v>
      </c>
      <c r="I6206">
        <v>1958</v>
      </c>
      <c r="J6206">
        <v>0</v>
      </c>
      <c r="K6206">
        <v>0</v>
      </c>
      <c r="L6206">
        <v>0</v>
      </c>
      <c r="M6206">
        <v>11</v>
      </c>
      <c r="N6206" t="s">
        <v>37</v>
      </c>
      <c r="O6206" t="s">
        <v>27</v>
      </c>
      <c r="P6206">
        <v>8.4186793514681906</v>
      </c>
      <c r="Q6206">
        <v>1.8651321414365301</v>
      </c>
      <c r="R6206">
        <v>6.2182291723840803</v>
      </c>
      <c r="S6206">
        <v>167</v>
      </c>
      <c r="T6206">
        <v>79</v>
      </c>
      <c r="U6206">
        <v>490.91571056753401</v>
      </c>
      <c r="V6206">
        <v>4.4070512820512803E-3</v>
      </c>
      <c r="W6206">
        <v>1337676.13818537</v>
      </c>
      <c r="X6206" t="s">
        <v>31</v>
      </c>
      <c r="Y6206">
        <f>1-349-723-8755</f>
        <v>-9826</v>
      </c>
    </row>
    <row r="6207" spans="1:25" x14ac:dyDescent="0.35">
      <c r="A6207">
        <v>39.6545900085993</v>
      </c>
      <c r="B6207">
        <v>-118.59070503302</v>
      </c>
      <c r="C6207" t="s">
        <v>29</v>
      </c>
      <c r="D6207">
        <v>1.28306472019756</v>
      </c>
      <c r="E6207">
        <v>8</v>
      </c>
      <c r="F6207">
        <v>2641</v>
      </c>
      <c r="G6207">
        <v>1</v>
      </c>
      <c r="H6207">
        <v>1</v>
      </c>
      <c r="I6207">
        <v>1978</v>
      </c>
      <c r="J6207">
        <v>1</v>
      </c>
      <c r="K6207">
        <v>0</v>
      </c>
      <c r="L6207">
        <v>0</v>
      </c>
      <c r="M6207">
        <v>6</v>
      </c>
      <c r="N6207" t="s">
        <v>26</v>
      </c>
      <c r="O6207" t="s">
        <v>30</v>
      </c>
      <c r="P6207">
        <v>11.4607821782211</v>
      </c>
      <c r="Q6207">
        <v>1.0894968224154999</v>
      </c>
      <c r="R6207">
        <v>6.7171746033679502</v>
      </c>
      <c r="S6207">
        <v>69</v>
      </c>
      <c r="T6207">
        <v>34</v>
      </c>
      <c r="U6207">
        <v>501.26220432743497</v>
      </c>
      <c r="V6207">
        <v>2.2718667171525899E-3</v>
      </c>
      <c r="W6207">
        <v>1432188.0732671099</v>
      </c>
      <c r="X6207" t="s">
        <v>33</v>
      </c>
      <c r="Y6207">
        <f>1-947-410-9991</f>
        <v>-11347</v>
      </c>
    </row>
    <row r="6208" spans="1:25" x14ac:dyDescent="0.35">
      <c r="A6208">
        <v>40.5711925990827</v>
      </c>
      <c r="B6208">
        <v>-115.503958525817</v>
      </c>
      <c r="C6208" t="s">
        <v>34</v>
      </c>
      <c r="D6208">
        <v>42.288937894026802</v>
      </c>
      <c r="E6208">
        <v>5</v>
      </c>
      <c r="F6208">
        <v>1388</v>
      </c>
      <c r="G6208">
        <v>5</v>
      </c>
      <c r="H6208">
        <v>1</v>
      </c>
      <c r="I6208">
        <v>1951</v>
      </c>
      <c r="J6208">
        <v>0</v>
      </c>
      <c r="K6208">
        <v>0</v>
      </c>
      <c r="L6208">
        <v>1</v>
      </c>
      <c r="M6208">
        <v>4</v>
      </c>
      <c r="N6208" t="s">
        <v>37</v>
      </c>
      <c r="O6208" t="s">
        <v>32</v>
      </c>
      <c r="P6208">
        <v>13.717246626177101</v>
      </c>
      <c r="Q6208">
        <v>1.25665522560785</v>
      </c>
      <c r="R6208">
        <v>0.81114043411731995</v>
      </c>
      <c r="S6208">
        <v>192</v>
      </c>
      <c r="T6208">
        <v>65</v>
      </c>
      <c r="U6208">
        <v>713.76078602304005</v>
      </c>
      <c r="V6208">
        <v>2.8818443804034498E-3</v>
      </c>
      <c r="W6208">
        <v>1282614.8583698301</v>
      </c>
      <c r="X6208" t="s">
        <v>43</v>
      </c>
      <c r="Y6208">
        <f>1-551-742-4024</f>
        <v>-5316</v>
      </c>
    </row>
    <row r="6209" spans="1:25" x14ac:dyDescent="0.35">
      <c r="A6209">
        <v>35.053475344108897</v>
      </c>
      <c r="B6209">
        <v>-116.64467921344099</v>
      </c>
      <c r="C6209" t="s">
        <v>25</v>
      </c>
      <c r="D6209">
        <v>32.304778259578796</v>
      </c>
      <c r="E6209">
        <v>4</v>
      </c>
      <c r="F6209">
        <v>852</v>
      </c>
      <c r="G6209">
        <v>5</v>
      </c>
      <c r="H6209">
        <v>1</v>
      </c>
      <c r="I6209">
        <v>2011</v>
      </c>
      <c r="J6209">
        <v>1</v>
      </c>
      <c r="K6209">
        <v>1</v>
      </c>
      <c r="L6209">
        <v>1</v>
      </c>
      <c r="M6209">
        <v>14</v>
      </c>
      <c r="N6209" t="s">
        <v>26</v>
      </c>
      <c r="O6209" t="s">
        <v>32</v>
      </c>
      <c r="P6209">
        <v>11.6374804108726</v>
      </c>
      <c r="Q6209">
        <v>2.1820792821845201</v>
      </c>
      <c r="R6209">
        <v>3.2013454719053298</v>
      </c>
      <c r="S6209">
        <v>99</v>
      </c>
      <c r="T6209">
        <v>31</v>
      </c>
      <c r="U6209">
        <v>446.315618450746</v>
      </c>
      <c r="V6209">
        <v>1.6431924882629099E-2</v>
      </c>
      <c r="W6209">
        <v>910373.05046315503</v>
      </c>
      <c r="X6209" t="s">
        <v>36</v>
      </c>
      <c r="Y6209">
        <f>1-655-534-5995</f>
        <v>-7183</v>
      </c>
    </row>
    <row r="6210" spans="1:25" x14ac:dyDescent="0.35">
      <c r="A6210">
        <v>39.127274519016403</v>
      </c>
      <c r="B6210">
        <v>-120.26916950298499</v>
      </c>
      <c r="C6210" t="s">
        <v>29</v>
      </c>
      <c r="D6210">
        <v>7.4931046240656602</v>
      </c>
      <c r="E6210">
        <v>5</v>
      </c>
      <c r="F6210">
        <v>2859</v>
      </c>
      <c r="G6210">
        <v>2</v>
      </c>
      <c r="H6210">
        <v>1</v>
      </c>
      <c r="I6210">
        <v>1963</v>
      </c>
      <c r="J6210">
        <v>1</v>
      </c>
      <c r="K6210">
        <v>1</v>
      </c>
      <c r="L6210">
        <v>1</v>
      </c>
      <c r="M6210">
        <v>2</v>
      </c>
      <c r="N6210" t="s">
        <v>41</v>
      </c>
      <c r="O6210" t="s">
        <v>27</v>
      </c>
      <c r="P6210">
        <v>7.0157464062685602</v>
      </c>
      <c r="Q6210">
        <v>1.9181479385334499</v>
      </c>
      <c r="R6210">
        <v>1.8240412347385699</v>
      </c>
      <c r="S6210">
        <v>17</v>
      </c>
      <c r="T6210">
        <v>72</v>
      </c>
      <c r="U6210">
        <v>985.38024643226299</v>
      </c>
      <c r="V6210">
        <v>6.9954529555788696E-4</v>
      </c>
      <c r="W6210">
        <v>3053363.7490992402</v>
      </c>
      <c r="X6210" t="s">
        <v>39</v>
      </c>
      <c r="Y6210">
        <f>1-830-648-4556</f>
        <v>-6033</v>
      </c>
    </row>
    <row r="6211" spans="1:25" x14ac:dyDescent="0.35">
      <c r="A6211">
        <v>37.046123771437301</v>
      </c>
      <c r="B6211">
        <v>-119.994183831269</v>
      </c>
      <c r="C6211" t="s">
        <v>25</v>
      </c>
      <c r="D6211">
        <v>22.293933102484999</v>
      </c>
      <c r="E6211">
        <v>2</v>
      </c>
      <c r="F6211">
        <v>4264</v>
      </c>
      <c r="G6211">
        <v>5</v>
      </c>
      <c r="H6211">
        <v>3</v>
      </c>
      <c r="I6211">
        <v>1999</v>
      </c>
      <c r="J6211">
        <v>1</v>
      </c>
      <c r="K6211">
        <v>0</v>
      </c>
      <c r="L6211">
        <v>0</v>
      </c>
      <c r="M6211">
        <v>7</v>
      </c>
      <c r="N6211" t="s">
        <v>37</v>
      </c>
      <c r="O6211" t="s">
        <v>27</v>
      </c>
      <c r="P6211">
        <v>6.8440864353711302</v>
      </c>
      <c r="Q6211">
        <v>2.4812290387777902</v>
      </c>
      <c r="R6211">
        <v>0.52672355871481702</v>
      </c>
      <c r="S6211">
        <v>157</v>
      </c>
      <c r="T6211">
        <v>79</v>
      </c>
      <c r="U6211">
        <v>400.28344718527899</v>
      </c>
      <c r="V6211">
        <v>1.6416510318949301E-3</v>
      </c>
      <c r="W6211">
        <v>2124420.8571930602</v>
      </c>
      <c r="X6211" t="s">
        <v>31</v>
      </c>
      <c r="Y6211">
        <f>1-729-519-3184</f>
        <v>-4431</v>
      </c>
    </row>
    <row r="6212" spans="1:25" x14ac:dyDescent="0.35">
      <c r="A6212">
        <v>40.509536738256102</v>
      </c>
      <c r="B6212">
        <v>-118.821473689298</v>
      </c>
      <c r="C6212" t="s">
        <v>29</v>
      </c>
      <c r="D6212">
        <v>25.2633452955703</v>
      </c>
      <c r="E6212">
        <v>1</v>
      </c>
      <c r="F6212">
        <v>1505</v>
      </c>
      <c r="G6212">
        <v>4</v>
      </c>
      <c r="H6212">
        <v>1</v>
      </c>
      <c r="I6212">
        <v>1957</v>
      </c>
      <c r="J6212">
        <v>0</v>
      </c>
      <c r="K6212">
        <v>0</v>
      </c>
      <c r="L6212">
        <v>1</v>
      </c>
      <c r="M6212">
        <v>2</v>
      </c>
      <c r="N6212" t="s">
        <v>41</v>
      </c>
      <c r="O6212" t="s">
        <v>30</v>
      </c>
      <c r="P6212">
        <v>6.6246949213412201</v>
      </c>
      <c r="Q6212">
        <v>0.83556198192000197</v>
      </c>
      <c r="R6212">
        <v>9.1933611244750697</v>
      </c>
      <c r="S6212">
        <v>83</v>
      </c>
      <c r="T6212">
        <v>64</v>
      </c>
      <c r="U6212">
        <v>216.481525675336</v>
      </c>
      <c r="V6212">
        <v>1.3289036544850499E-3</v>
      </c>
      <c r="W6212">
        <v>483793.256697267</v>
      </c>
      <c r="X6212" t="s">
        <v>31</v>
      </c>
      <c r="Y6212">
        <f>1-375-649-2450</f>
        <v>-3473</v>
      </c>
    </row>
    <row r="6213" spans="1:25" x14ac:dyDescent="0.35">
      <c r="A6213">
        <v>33.533927112394998</v>
      </c>
      <c r="B6213">
        <v>-117.46389697036599</v>
      </c>
      <c r="C6213" t="s">
        <v>34</v>
      </c>
      <c r="D6213">
        <v>24.8498649568741</v>
      </c>
      <c r="E6213">
        <v>3</v>
      </c>
      <c r="F6213">
        <v>2211</v>
      </c>
      <c r="G6213">
        <v>2</v>
      </c>
      <c r="H6213">
        <v>3</v>
      </c>
      <c r="I6213">
        <v>1971</v>
      </c>
      <c r="J6213">
        <v>1</v>
      </c>
      <c r="K6213">
        <v>0</v>
      </c>
      <c r="L6213">
        <v>1</v>
      </c>
      <c r="M6213">
        <v>11</v>
      </c>
      <c r="N6213" t="s">
        <v>35</v>
      </c>
      <c r="O6213" t="s">
        <v>27</v>
      </c>
      <c r="P6213">
        <v>6.4575580441767402</v>
      </c>
      <c r="Q6213">
        <v>1.9176290894293799</v>
      </c>
      <c r="R6213">
        <v>3.6319073516320302</v>
      </c>
      <c r="S6213">
        <v>114</v>
      </c>
      <c r="T6213">
        <v>31</v>
      </c>
      <c r="U6213">
        <v>564.03903328753995</v>
      </c>
      <c r="V6213">
        <v>4.97512437810945E-3</v>
      </c>
      <c r="W6213">
        <v>1398278.6574395001</v>
      </c>
      <c r="X6213" t="s">
        <v>39</v>
      </c>
      <c r="Y6213">
        <f>1-858-312-2690</f>
        <v>-3859</v>
      </c>
    </row>
    <row r="6214" spans="1:25" x14ac:dyDescent="0.35">
      <c r="A6214">
        <v>33.715892561461303</v>
      </c>
      <c r="B6214">
        <v>-123.29210720112999</v>
      </c>
      <c r="C6214" t="s">
        <v>29</v>
      </c>
      <c r="D6214">
        <v>9.76117939904832</v>
      </c>
      <c r="E6214">
        <v>7</v>
      </c>
      <c r="F6214">
        <v>3374</v>
      </c>
      <c r="G6214">
        <v>3</v>
      </c>
      <c r="H6214">
        <v>3</v>
      </c>
      <c r="I6214">
        <v>1950</v>
      </c>
      <c r="J6214">
        <v>0</v>
      </c>
      <c r="K6214">
        <v>0</v>
      </c>
      <c r="L6214">
        <v>1</v>
      </c>
      <c r="M6214">
        <v>10</v>
      </c>
      <c r="N6214" t="s">
        <v>41</v>
      </c>
      <c r="O6214" t="s">
        <v>27</v>
      </c>
      <c r="P6214">
        <v>2.2468603806374401</v>
      </c>
      <c r="Q6214">
        <v>1.47417251849088</v>
      </c>
      <c r="R6214">
        <v>9.2809722574167193</v>
      </c>
      <c r="S6214">
        <v>97</v>
      </c>
      <c r="T6214">
        <v>49</v>
      </c>
      <c r="U6214">
        <v>749.45645421077404</v>
      </c>
      <c r="V6214">
        <v>2.96384113811499E-3</v>
      </c>
      <c r="W6214">
        <v>2710847.34575587</v>
      </c>
      <c r="X6214" t="s">
        <v>33</v>
      </c>
      <c r="Y6214">
        <f>1-710-371-4919</f>
        <v>-5999</v>
      </c>
    </row>
    <row r="6215" spans="1:25" x14ac:dyDescent="0.35">
      <c r="A6215">
        <v>34.335305927774002</v>
      </c>
      <c r="B6215">
        <v>-121.802625421123</v>
      </c>
      <c r="C6215" t="s">
        <v>29</v>
      </c>
      <c r="D6215">
        <v>32.486748106104798</v>
      </c>
      <c r="E6215">
        <v>1</v>
      </c>
      <c r="F6215">
        <v>3112</v>
      </c>
      <c r="G6215">
        <v>1</v>
      </c>
      <c r="H6215">
        <v>3</v>
      </c>
      <c r="I6215">
        <v>1984</v>
      </c>
      <c r="J6215">
        <v>0</v>
      </c>
      <c r="K6215">
        <v>1</v>
      </c>
      <c r="L6215">
        <v>0</v>
      </c>
      <c r="M6215">
        <v>2</v>
      </c>
      <c r="N6215" t="s">
        <v>37</v>
      </c>
      <c r="O6215" t="s">
        <v>30</v>
      </c>
      <c r="P6215">
        <v>3.4888840887989399</v>
      </c>
      <c r="Q6215">
        <v>1.4623883203699199</v>
      </c>
      <c r="R6215">
        <v>4.2852022275427899</v>
      </c>
      <c r="S6215">
        <v>107</v>
      </c>
      <c r="T6215">
        <v>72</v>
      </c>
      <c r="U6215">
        <v>795.85339374380305</v>
      </c>
      <c r="V6215">
        <v>6.4267352185089905E-4</v>
      </c>
      <c r="W6215">
        <v>2574017.6843351298</v>
      </c>
      <c r="X6215" t="s">
        <v>39</v>
      </c>
      <c r="Y6215">
        <f>1-386-297-3268</f>
        <v>-3950</v>
      </c>
    </row>
    <row r="6216" spans="1:25" x14ac:dyDescent="0.35">
      <c r="A6216">
        <v>35.813555161083599</v>
      </c>
      <c r="B6216">
        <v>-122.621620144011</v>
      </c>
      <c r="C6216" t="s">
        <v>29</v>
      </c>
      <c r="D6216">
        <v>13.060684014253701</v>
      </c>
      <c r="E6216">
        <v>8</v>
      </c>
      <c r="F6216">
        <v>4490</v>
      </c>
      <c r="G6216">
        <v>2</v>
      </c>
      <c r="H6216">
        <v>1</v>
      </c>
      <c r="I6216">
        <v>1971</v>
      </c>
      <c r="J6216">
        <v>0</v>
      </c>
      <c r="K6216">
        <v>1</v>
      </c>
      <c r="L6216">
        <v>0</v>
      </c>
      <c r="M6216">
        <v>9</v>
      </c>
      <c r="N6216" t="s">
        <v>26</v>
      </c>
      <c r="O6216" t="s">
        <v>30</v>
      </c>
      <c r="P6216">
        <v>4.2558121183762498</v>
      </c>
      <c r="Q6216">
        <v>0.98122042365720497</v>
      </c>
      <c r="R6216">
        <v>0.45306251352870303</v>
      </c>
      <c r="S6216">
        <v>28</v>
      </c>
      <c r="T6216">
        <v>49</v>
      </c>
      <c r="U6216">
        <v>384.693514514865</v>
      </c>
      <c r="V6216">
        <v>2.0044543429844001E-3</v>
      </c>
      <c r="W6216">
        <v>2022200.0692261199</v>
      </c>
      <c r="X6216" t="s">
        <v>36</v>
      </c>
      <c r="Y6216">
        <f>1-289-562-6046</f>
        <v>-6896</v>
      </c>
    </row>
    <row r="6217" spans="1:25" x14ac:dyDescent="0.35">
      <c r="A6217">
        <v>34.799456010667598</v>
      </c>
      <c r="B6217">
        <v>-121.416998399547</v>
      </c>
      <c r="C6217" t="s">
        <v>34</v>
      </c>
      <c r="D6217">
        <v>16.618519365792899</v>
      </c>
      <c r="E6217">
        <v>3</v>
      </c>
      <c r="F6217">
        <v>624</v>
      </c>
      <c r="G6217">
        <v>3</v>
      </c>
      <c r="H6217">
        <v>3</v>
      </c>
      <c r="I6217">
        <v>1959</v>
      </c>
      <c r="J6217">
        <v>0</v>
      </c>
      <c r="K6217">
        <v>0</v>
      </c>
      <c r="L6217">
        <v>0</v>
      </c>
      <c r="M6217">
        <v>12</v>
      </c>
      <c r="N6217" t="s">
        <v>26</v>
      </c>
      <c r="O6217" t="s">
        <v>30</v>
      </c>
      <c r="P6217">
        <v>13.9340744864251</v>
      </c>
      <c r="Q6217">
        <v>1.45283407855554</v>
      </c>
      <c r="R6217">
        <v>6.80813501543751</v>
      </c>
      <c r="S6217">
        <v>56</v>
      </c>
      <c r="T6217">
        <v>61</v>
      </c>
      <c r="U6217">
        <v>797.61572600163299</v>
      </c>
      <c r="V6217">
        <v>1.9230769230769201E-2</v>
      </c>
      <c r="W6217">
        <v>768051.61801096902</v>
      </c>
      <c r="X6217" t="s">
        <v>36</v>
      </c>
      <c r="Y6217">
        <f>1-807-417-3772</f>
        <v>-4995</v>
      </c>
    </row>
    <row r="6218" spans="1:25" x14ac:dyDescent="0.35">
      <c r="A6218">
        <v>38.388890720890402</v>
      </c>
      <c r="B6218">
        <v>-115.826031931004</v>
      </c>
      <c r="C6218" t="s">
        <v>34</v>
      </c>
      <c r="D6218">
        <v>43.619310903119697</v>
      </c>
      <c r="E6218">
        <v>3</v>
      </c>
      <c r="F6218">
        <v>519</v>
      </c>
      <c r="G6218">
        <v>3</v>
      </c>
      <c r="H6218">
        <v>1</v>
      </c>
      <c r="I6218">
        <v>1996</v>
      </c>
      <c r="J6218">
        <v>1</v>
      </c>
      <c r="K6218">
        <v>0</v>
      </c>
      <c r="L6218">
        <v>1</v>
      </c>
      <c r="M6218">
        <v>10</v>
      </c>
      <c r="N6218" t="s">
        <v>41</v>
      </c>
      <c r="O6218" t="s">
        <v>30</v>
      </c>
      <c r="P6218">
        <v>14.583067419665101</v>
      </c>
      <c r="Q6218">
        <v>0.81542018989513798</v>
      </c>
      <c r="R6218">
        <v>6.9432651669618002</v>
      </c>
      <c r="S6218">
        <v>186</v>
      </c>
      <c r="T6218">
        <v>26</v>
      </c>
      <c r="U6218">
        <v>474.83234850977999</v>
      </c>
      <c r="V6218">
        <v>1.9267822736030799E-2</v>
      </c>
      <c r="W6218">
        <v>583787.91100316995</v>
      </c>
      <c r="X6218" t="s">
        <v>44</v>
      </c>
      <c r="Y6218">
        <f>1-686-393-7342</f>
        <v>-8420</v>
      </c>
    </row>
    <row r="6219" spans="1:25" x14ac:dyDescent="0.35">
      <c r="A6219">
        <v>38.816124240633499</v>
      </c>
      <c r="B6219">
        <v>-116.715760735016</v>
      </c>
      <c r="C6219" t="s">
        <v>34</v>
      </c>
      <c r="D6219">
        <v>40.639061008031</v>
      </c>
      <c r="E6219">
        <v>9</v>
      </c>
      <c r="F6219">
        <v>1126</v>
      </c>
      <c r="G6219">
        <v>1</v>
      </c>
      <c r="H6219">
        <v>3</v>
      </c>
      <c r="I6219">
        <v>1956</v>
      </c>
      <c r="J6219">
        <v>0</v>
      </c>
      <c r="K6219">
        <v>1</v>
      </c>
      <c r="L6219">
        <v>1</v>
      </c>
      <c r="M6219">
        <v>5</v>
      </c>
      <c r="N6219" t="s">
        <v>26</v>
      </c>
      <c r="O6219" t="s">
        <v>27</v>
      </c>
      <c r="P6219">
        <v>14.2418852794606</v>
      </c>
      <c r="Q6219">
        <v>0.83481749223560897</v>
      </c>
      <c r="R6219">
        <v>9.6582093890459095</v>
      </c>
      <c r="S6219">
        <v>80</v>
      </c>
      <c r="T6219">
        <v>61</v>
      </c>
      <c r="U6219">
        <v>416.74073991956499</v>
      </c>
      <c r="V6219">
        <v>4.4404973357015896E-3</v>
      </c>
      <c r="W6219">
        <v>763334.24304337194</v>
      </c>
      <c r="X6219" t="s">
        <v>36</v>
      </c>
      <c r="Y6219">
        <f>1-292-270-4146</f>
        <v>-4707</v>
      </c>
    </row>
    <row r="6220" spans="1:25" x14ac:dyDescent="0.35">
      <c r="A6220">
        <v>34.893346882629302</v>
      </c>
      <c r="B6220">
        <v>-116.98432628481299</v>
      </c>
      <c r="C6220" t="s">
        <v>34</v>
      </c>
      <c r="D6220">
        <v>21.656476850350401</v>
      </c>
      <c r="E6220">
        <v>3</v>
      </c>
      <c r="F6220">
        <v>1038</v>
      </c>
      <c r="G6220">
        <v>2</v>
      </c>
      <c r="H6220">
        <v>2</v>
      </c>
      <c r="I6220">
        <v>1961</v>
      </c>
      <c r="J6220">
        <v>0</v>
      </c>
      <c r="K6220">
        <v>1</v>
      </c>
      <c r="L6220">
        <v>0</v>
      </c>
      <c r="M6220">
        <v>6</v>
      </c>
      <c r="N6220" t="s">
        <v>35</v>
      </c>
      <c r="O6220" t="s">
        <v>27</v>
      </c>
      <c r="P6220">
        <v>11.3316309771373</v>
      </c>
      <c r="Q6220">
        <v>1.8281045701452301</v>
      </c>
      <c r="R6220">
        <v>6.7175875762928996</v>
      </c>
      <c r="S6220">
        <v>118</v>
      </c>
      <c r="T6220">
        <v>49</v>
      </c>
      <c r="U6220">
        <v>526.866282685295</v>
      </c>
      <c r="V6220">
        <v>5.7803468208092396E-3</v>
      </c>
      <c r="W6220">
        <v>822388.27306207095</v>
      </c>
      <c r="X6220" t="s">
        <v>40</v>
      </c>
      <c r="Y6220">
        <f>1-280-353-5208</f>
        <v>-5840</v>
      </c>
    </row>
    <row r="6221" spans="1:25" x14ac:dyDescent="0.35">
      <c r="A6221">
        <v>35.726967845652503</v>
      </c>
      <c r="B6221">
        <v>-116.37980008391</v>
      </c>
      <c r="C6221" t="s">
        <v>25</v>
      </c>
      <c r="D6221">
        <v>42.557945557380997</v>
      </c>
      <c r="E6221">
        <v>6</v>
      </c>
      <c r="F6221">
        <v>4569</v>
      </c>
      <c r="G6221">
        <v>5</v>
      </c>
      <c r="H6221">
        <v>1</v>
      </c>
      <c r="I6221">
        <v>1969</v>
      </c>
      <c r="J6221">
        <v>0</v>
      </c>
      <c r="K6221">
        <v>0</v>
      </c>
      <c r="L6221">
        <v>1</v>
      </c>
      <c r="M6221">
        <v>12</v>
      </c>
      <c r="N6221" t="s">
        <v>37</v>
      </c>
      <c r="O6221" t="s">
        <v>30</v>
      </c>
      <c r="P6221">
        <v>7.5739711928683997</v>
      </c>
      <c r="Q6221">
        <v>1.2563467842041001</v>
      </c>
      <c r="R6221">
        <v>9.9208316326986594</v>
      </c>
      <c r="S6221">
        <v>91</v>
      </c>
      <c r="T6221">
        <v>20</v>
      </c>
      <c r="U6221">
        <v>271.11888264280799</v>
      </c>
      <c r="V6221">
        <v>2.6263952724885002E-3</v>
      </c>
      <c r="W6221">
        <v>1445838.84992624</v>
      </c>
      <c r="X6221" t="s">
        <v>28</v>
      </c>
      <c r="Y6221">
        <f>1-720-786-2922</f>
        <v>-4427</v>
      </c>
    </row>
    <row r="6222" spans="1:25" x14ac:dyDescent="0.35">
      <c r="A6222">
        <v>39.1835836143526</v>
      </c>
      <c r="B6222">
        <v>-119.862070226513</v>
      </c>
      <c r="C6222" t="s">
        <v>34</v>
      </c>
      <c r="D6222">
        <v>29.255944003713299</v>
      </c>
      <c r="E6222">
        <v>2</v>
      </c>
      <c r="F6222">
        <v>4507</v>
      </c>
      <c r="G6222">
        <v>4</v>
      </c>
      <c r="H6222">
        <v>1</v>
      </c>
      <c r="I6222">
        <v>1987</v>
      </c>
      <c r="J6222">
        <v>0</v>
      </c>
      <c r="K6222">
        <v>1</v>
      </c>
      <c r="L6222">
        <v>1</v>
      </c>
      <c r="M6222">
        <v>7</v>
      </c>
      <c r="N6222" t="s">
        <v>37</v>
      </c>
      <c r="O6222" t="s">
        <v>27</v>
      </c>
      <c r="P6222">
        <v>13.2660690640877</v>
      </c>
      <c r="Q6222">
        <v>2.0612940710298799</v>
      </c>
      <c r="R6222">
        <v>8.0641989296958201</v>
      </c>
      <c r="S6222">
        <v>73</v>
      </c>
      <c r="T6222">
        <v>29</v>
      </c>
      <c r="U6222">
        <v>970.57268242415705</v>
      </c>
      <c r="V6222">
        <v>1.55313956068338E-3</v>
      </c>
      <c r="W6222">
        <v>4797319.3382556196</v>
      </c>
      <c r="X6222" t="s">
        <v>39</v>
      </c>
      <c r="Y6222">
        <f>1-657-345-9302</f>
        <v>-10303</v>
      </c>
    </row>
    <row r="6223" spans="1:25" x14ac:dyDescent="0.35">
      <c r="A6223">
        <v>32.945049499073697</v>
      </c>
      <c r="B6223">
        <v>-115.943208476564</v>
      </c>
      <c r="C6223" t="s">
        <v>29</v>
      </c>
      <c r="D6223">
        <v>11.2900836190425</v>
      </c>
      <c r="E6223">
        <v>4</v>
      </c>
      <c r="F6223">
        <v>2954</v>
      </c>
      <c r="G6223">
        <v>5</v>
      </c>
      <c r="H6223">
        <v>1</v>
      </c>
      <c r="I6223">
        <v>1976</v>
      </c>
      <c r="J6223">
        <v>0</v>
      </c>
      <c r="K6223">
        <v>0</v>
      </c>
      <c r="L6223">
        <v>1</v>
      </c>
      <c r="M6223">
        <v>4</v>
      </c>
      <c r="N6223" t="s">
        <v>41</v>
      </c>
      <c r="O6223" t="s">
        <v>27</v>
      </c>
      <c r="P6223">
        <v>13.8440185883974</v>
      </c>
      <c r="Q6223">
        <v>1.3288704127181501</v>
      </c>
      <c r="R6223">
        <v>5.6223348126184698</v>
      </c>
      <c r="S6223">
        <v>43</v>
      </c>
      <c r="T6223">
        <v>51</v>
      </c>
      <c r="U6223">
        <v>520.22048923110003</v>
      </c>
      <c r="V6223">
        <v>1.3540961408259899E-3</v>
      </c>
      <c r="W6223">
        <v>1855868.1128264</v>
      </c>
      <c r="X6223" t="s">
        <v>33</v>
      </c>
      <c r="Y6223">
        <f>1-671-315-6271</f>
        <v>-7256</v>
      </c>
    </row>
    <row r="6224" spans="1:25" x14ac:dyDescent="0.35">
      <c r="A6224">
        <v>33.878518486097001</v>
      </c>
      <c r="B6224">
        <v>-119.880876500379</v>
      </c>
      <c r="C6224" t="s">
        <v>25</v>
      </c>
      <c r="D6224">
        <v>46.606482702421303</v>
      </c>
      <c r="E6224">
        <v>8</v>
      </c>
      <c r="F6224">
        <v>3985</v>
      </c>
      <c r="G6224">
        <v>4</v>
      </c>
      <c r="H6224">
        <v>3</v>
      </c>
      <c r="I6224">
        <v>1973</v>
      </c>
      <c r="J6224">
        <v>1</v>
      </c>
      <c r="K6224">
        <v>1</v>
      </c>
      <c r="L6224">
        <v>0</v>
      </c>
      <c r="M6224">
        <v>3</v>
      </c>
      <c r="N6224" t="s">
        <v>26</v>
      </c>
      <c r="O6224" t="s">
        <v>27</v>
      </c>
      <c r="P6224">
        <v>12.7081676751231</v>
      </c>
      <c r="Q6224">
        <v>2.2316251535894698</v>
      </c>
      <c r="R6224">
        <v>5.20472329303258</v>
      </c>
      <c r="S6224">
        <v>5</v>
      </c>
      <c r="T6224">
        <v>57</v>
      </c>
      <c r="U6224">
        <v>256.05709017557803</v>
      </c>
      <c r="V6224">
        <v>7.5282308657465501E-4</v>
      </c>
      <c r="W6224">
        <v>1440812.4269590301</v>
      </c>
      <c r="X6224" t="s">
        <v>28</v>
      </c>
      <c r="Y6224">
        <f>1-392-291-1081</f>
        <v>-1763</v>
      </c>
    </row>
    <row r="6225" spans="1:25" x14ac:dyDescent="0.35">
      <c r="A6225">
        <v>32.586993947464897</v>
      </c>
      <c r="B6225">
        <v>-123.05113206802</v>
      </c>
      <c r="C6225" t="s">
        <v>25</v>
      </c>
      <c r="D6225">
        <v>11.2986600554962</v>
      </c>
      <c r="E6225">
        <v>6</v>
      </c>
      <c r="F6225">
        <v>4994</v>
      </c>
      <c r="G6225">
        <v>2</v>
      </c>
      <c r="H6225">
        <v>3</v>
      </c>
      <c r="I6225">
        <v>1957</v>
      </c>
      <c r="J6225">
        <v>1</v>
      </c>
      <c r="K6225">
        <v>1</v>
      </c>
      <c r="L6225">
        <v>0</v>
      </c>
      <c r="M6225">
        <v>8</v>
      </c>
      <c r="N6225" t="s">
        <v>41</v>
      </c>
      <c r="O6225" t="s">
        <v>30</v>
      </c>
      <c r="P6225">
        <v>8.0108556823013597</v>
      </c>
      <c r="Q6225">
        <v>1.81664360016741</v>
      </c>
      <c r="R6225">
        <v>1.6505270530628799</v>
      </c>
      <c r="S6225">
        <v>184</v>
      </c>
      <c r="T6225">
        <v>72</v>
      </c>
      <c r="U6225">
        <v>241.938887938004</v>
      </c>
      <c r="V6225">
        <v>1.60192230676812E-3</v>
      </c>
      <c r="W6225">
        <v>1457112.39494338</v>
      </c>
      <c r="X6225" t="s">
        <v>43</v>
      </c>
      <c r="Y6225">
        <f>1-856-436-5364</f>
        <v>-6655</v>
      </c>
    </row>
    <row r="6226" spans="1:25" x14ac:dyDescent="0.35">
      <c r="A6226">
        <v>38.447462062224297</v>
      </c>
      <c r="B6226">
        <v>-117.305818066912</v>
      </c>
      <c r="C6226" t="s">
        <v>29</v>
      </c>
      <c r="D6226">
        <v>31.737518180986498</v>
      </c>
      <c r="E6226">
        <v>5</v>
      </c>
      <c r="F6226">
        <v>868</v>
      </c>
      <c r="G6226">
        <v>3</v>
      </c>
      <c r="H6226">
        <v>1</v>
      </c>
      <c r="I6226">
        <v>2017</v>
      </c>
      <c r="J6226">
        <v>1</v>
      </c>
      <c r="K6226">
        <v>1</v>
      </c>
      <c r="L6226">
        <v>0</v>
      </c>
      <c r="M6226">
        <v>3</v>
      </c>
      <c r="N6226" t="s">
        <v>37</v>
      </c>
      <c r="O6226" t="s">
        <v>30</v>
      </c>
      <c r="P6226">
        <v>11.792349269460701</v>
      </c>
      <c r="Q6226">
        <v>2.3288004234608399</v>
      </c>
      <c r="R6226">
        <v>4.7830989818257601</v>
      </c>
      <c r="S6226">
        <v>177</v>
      </c>
      <c r="T6226">
        <v>34</v>
      </c>
      <c r="U6226">
        <v>505.89027014064999</v>
      </c>
      <c r="V6226">
        <v>3.4562211981566801E-3</v>
      </c>
      <c r="W6226">
        <v>734012.81733572797</v>
      </c>
      <c r="X6226" t="s">
        <v>28</v>
      </c>
      <c r="Y6226">
        <f>1-772-271-9736</f>
        <v>-10778</v>
      </c>
    </row>
    <row r="6227" spans="1:25" x14ac:dyDescent="0.35">
      <c r="A6227">
        <v>33.919228378552397</v>
      </c>
      <c r="B6227">
        <v>-114.781682162834</v>
      </c>
      <c r="C6227" t="s">
        <v>29</v>
      </c>
      <c r="D6227">
        <v>8.2389435752521401</v>
      </c>
      <c r="E6227">
        <v>9</v>
      </c>
      <c r="F6227">
        <v>1351</v>
      </c>
      <c r="G6227">
        <v>3</v>
      </c>
      <c r="H6227">
        <v>2</v>
      </c>
      <c r="I6227">
        <v>1977</v>
      </c>
      <c r="J6227">
        <v>1</v>
      </c>
      <c r="K6227">
        <v>1</v>
      </c>
      <c r="L6227">
        <v>0</v>
      </c>
      <c r="M6227">
        <v>4</v>
      </c>
      <c r="N6227" t="s">
        <v>35</v>
      </c>
      <c r="O6227" t="s">
        <v>32</v>
      </c>
      <c r="P6227">
        <v>8.0118677985170308</v>
      </c>
      <c r="Q6227">
        <v>0.51627894130457996</v>
      </c>
      <c r="R6227">
        <v>2.0991211767850402</v>
      </c>
      <c r="S6227">
        <v>167</v>
      </c>
      <c r="T6227">
        <v>74</v>
      </c>
      <c r="U6227">
        <v>571.24431192528402</v>
      </c>
      <c r="V6227">
        <v>2.9607698001480301E-3</v>
      </c>
      <c r="W6227">
        <v>1106424.4117249099</v>
      </c>
      <c r="X6227" t="s">
        <v>40</v>
      </c>
      <c r="Y6227">
        <f>1-594-482-7537</f>
        <v>-8612</v>
      </c>
    </row>
    <row r="6228" spans="1:25" x14ac:dyDescent="0.35">
      <c r="A6228">
        <v>36.924148385884202</v>
      </c>
      <c r="B6228">
        <v>-119.516153869522</v>
      </c>
      <c r="C6228" t="s">
        <v>29</v>
      </c>
      <c r="D6228">
        <v>29.1968904403255</v>
      </c>
      <c r="E6228">
        <v>5</v>
      </c>
      <c r="F6228">
        <v>2770</v>
      </c>
      <c r="G6228">
        <v>2</v>
      </c>
      <c r="H6228">
        <v>2</v>
      </c>
      <c r="I6228">
        <v>1996</v>
      </c>
      <c r="J6228">
        <v>1</v>
      </c>
      <c r="K6228">
        <v>1</v>
      </c>
      <c r="L6228">
        <v>1</v>
      </c>
      <c r="M6228">
        <v>3</v>
      </c>
      <c r="N6228" t="s">
        <v>35</v>
      </c>
      <c r="O6228" t="s">
        <v>30</v>
      </c>
      <c r="P6228">
        <v>14.0194825241409</v>
      </c>
      <c r="Q6228">
        <v>2.0329834872091799</v>
      </c>
      <c r="R6228">
        <v>4.3024792835381396</v>
      </c>
      <c r="S6228">
        <v>30</v>
      </c>
      <c r="T6228">
        <v>30</v>
      </c>
      <c r="U6228">
        <v>363.68816703947601</v>
      </c>
      <c r="V6228">
        <v>1.0830324909747199E-3</v>
      </c>
      <c r="W6228">
        <v>1397300.7136691001</v>
      </c>
      <c r="X6228" t="s">
        <v>42</v>
      </c>
      <c r="Y6228">
        <f>1-801-517-6408</f>
        <v>-7725</v>
      </c>
    </row>
    <row r="6229" spans="1:25" x14ac:dyDescent="0.35">
      <c r="A6229">
        <v>41.551497265204802</v>
      </c>
      <c r="B6229">
        <v>-116.237804384588</v>
      </c>
      <c r="C6229" t="s">
        <v>34</v>
      </c>
      <c r="D6229">
        <v>29.5427525838052</v>
      </c>
      <c r="E6229">
        <v>4</v>
      </c>
      <c r="F6229">
        <v>2121</v>
      </c>
      <c r="G6229">
        <v>2</v>
      </c>
      <c r="H6229">
        <v>3</v>
      </c>
      <c r="I6229">
        <v>1994</v>
      </c>
      <c r="J6229">
        <v>1</v>
      </c>
      <c r="K6229">
        <v>0</v>
      </c>
      <c r="L6229">
        <v>1</v>
      </c>
      <c r="M6229">
        <v>6</v>
      </c>
      <c r="N6229" t="s">
        <v>37</v>
      </c>
      <c r="O6229" t="s">
        <v>32</v>
      </c>
      <c r="P6229">
        <v>7.3930179382389696</v>
      </c>
      <c r="Q6229">
        <v>2.3055590677268598</v>
      </c>
      <c r="R6229">
        <v>2.9875698420708399</v>
      </c>
      <c r="S6229">
        <v>59</v>
      </c>
      <c r="T6229">
        <v>40</v>
      </c>
      <c r="U6229">
        <v>321.85625542150399</v>
      </c>
      <c r="V6229">
        <v>2.8288543140028198E-3</v>
      </c>
      <c r="W6229">
        <v>938371.32423972106</v>
      </c>
      <c r="X6229" t="s">
        <v>33</v>
      </c>
      <c r="Y6229">
        <f>1-831-726-2705</f>
        <v>-4261</v>
      </c>
    </row>
    <row r="6230" spans="1:25" x14ac:dyDescent="0.35">
      <c r="A6230">
        <v>38.2678197505128</v>
      </c>
      <c r="B6230">
        <v>-123.26058797494299</v>
      </c>
      <c r="C6230" t="s">
        <v>29</v>
      </c>
      <c r="D6230">
        <v>43.718295735575403</v>
      </c>
      <c r="E6230">
        <v>5</v>
      </c>
      <c r="F6230">
        <v>2410</v>
      </c>
      <c r="G6230">
        <v>3</v>
      </c>
      <c r="H6230">
        <v>3</v>
      </c>
      <c r="I6230">
        <v>1955</v>
      </c>
      <c r="J6230">
        <v>1</v>
      </c>
      <c r="K6230">
        <v>1</v>
      </c>
      <c r="L6230">
        <v>0</v>
      </c>
      <c r="M6230">
        <v>11</v>
      </c>
      <c r="N6230" t="s">
        <v>35</v>
      </c>
      <c r="O6230" t="s">
        <v>30</v>
      </c>
      <c r="P6230">
        <v>2.0570316847963599</v>
      </c>
      <c r="Q6230">
        <v>1.05284392961947</v>
      </c>
      <c r="R6230">
        <v>6.5981603963141602</v>
      </c>
      <c r="S6230">
        <v>57</v>
      </c>
      <c r="T6230">
        <v>44</v>
      </c>
      <c r="U6230">
        <v>951.49818338020395</v>
      </c>
      <c r="V6230">
        <v>4.5643153526970896E-3</v>
      </c>
      <c r="W6230">
        <v>2563799.2817752399</v>
      </c>
      <c r="X6230" t="s">
        <v>38</v>
      </c>
      <c r="Y6230">
        <f>1-201-439-3726</f>
        <v>-4365</v>
      </c>
    </row>
    <row r="6231" spans="1:25" x14ac:dyDescent="0.35">
      <c r="A6231">
        <v>32.576224956662202</v>
      </c>
      <c r="B6231">
        <v>-114.681664665478</v>
      </c>
      <c r="C6231" t="s">
        <v>25</v>
      </c>
      <c r="D6231">
        <v>45.4594186676809</v>
      </c>
      <c r="E6231">
        <v>5</v>
      </c>
      <c r="F6231">
        <v>2525</v>
      </c>
      <c r="G6231">
        <v>3</v>
      </c>
      <c r="H6231">
        <v>2</v>
      </c>
      <c r="I6231">
        <v>1981</v>
      </c>
      <c r="J6231">
        <v>1</v>
      </c>
      <c r="K6231">
        <v>1</v>
      </c>
      <c r="L6231">
        <v>1</v>
      </c>
      <c r="M6231">
        <v>5</v>
      </c>
      <c r="N6231" t="s">
        <v>35</v>
      </c>
      <c r="O6231" t="s">
        <v>27</v>
      </c>
      <c r="P6231">
        <v>7.3502875737593403</v>
      </c>
      <c r="Q6231">
        <v>1.75357096608487</v>
      </c>
      <c r="R6231">
        <v>9.11735968095552</v>
      </c>
      <c r="S6231">
        <v>103</v>
      </c>
      <c r="T6231">
        <v>65</v>
      </c>
      <c r="U6231">
        <v>459.76197192486399</v>
      </c>
      <c r="V6231">
        <v>1.9801980198019798E-3</v>
      </c>
      <c r="W6231">
        <v>1570632.5941190601</v>
      </c>
      <c r="X6231" t="s">
        <v>36</v>
      </c>
      <c r="Y6231">
        <f>1-643-962-2635</f>
        <v>-4239</v>
      </c>
    </row>
    <row r="6232" spans="1:25" x14ac:dyDescent="0.35">
      <c r="A6232">
        <v>36.005863942898699</v>
      </c>
      <c r="B6232">
        <v>-115.01609163195801</v>
      </c>
      <c r="C6232" t="s">
        <v>25</v>
      </c>
      <c r="D6232">
        <v>26.213546310876399</v>
      </c>
      <c r="E6232">
        <v>9</v>
      </c>
      <c r="F6232">
        <v>2673</v>
      </c>
      <c r="G6232">
        <v>3</v>
      </c>
      <c r="H6232">
        <v>2</v>
      </c>
      <c r="I6232">
        <v>1992</v>
      </c>
      <c r="J6232">
        <v>0</v>
      </c>
      <c r="K6232">
        <v>0</v>
      </c>
      <c r="L6232">
        <v>0</v>
      </c>
      <c r="M6232">
        <v>2</v>
      </c>
      <c r="N6232" t="s">
        <v>41</v>
      </c>
      <c r="O6232" t="s">
        <v>32</v>
      </c>
      <c r="P6232">
        <v>5.5385779380465596</v>
      </c>
      <c r="Q6232">
        <v>1.1211762003382799</v>
      </c>
      <c r="R6232">
        <v>3.3383082380400402</v>
      </c>
      <c r="S6232">
        <v>181</v>
      </c>
      <c r="T6232">
        <v>66</v>
      </c>
      <c r="U6232">
        <v>288.437318688066</v>
      </c>
      <c r="V6232">
        <v>7.4822297044519197E-4</v>
      </c>
      <c r="W6232">
        <v>949856.287268796</v>
      </c>
      <c r="X6232" t="s">
        <v>42</v>
      </c>
      <c r="Y6232">
        <f>1-745-338-8481</f>
        <v>-9563</v>
      </c>
    </row>
    <row r="6233" spans="1:25" x14ac:dyDescent="0.35">
      <c r="A6233">
        <v>34.414995956297503</v>
      </c>
      <c r="B6233">
        <v>-123.96393260043401</v>
      </c>
      <c r="C6233" t="s">
        <v>25</v>
      </c>
      <c r="D6233">
        <v>5.9255255252986698</v>
      </c>
      <c r="E6233">
        <v>7</v>
      </c>
      <c r="F6233">
        <v>3769</v>
      </c>
      <c r="G6233">
        <v>4</v>
      </c>
      <c r="H6233">
        <v>1</v>
      </c>
      <c r="I6233">
        <v>2006</v>
      </c>
      <c r="J6233">
        <v>1</v>
      </c>
      <c r="K6233">
        <v>1</v>
      </c>
      <c r="L6233">
        <v>0</v>
      </c>
      <c r="M6233">
        <v>3</v>
      </c>
      <c r="N6233" t="s">
        <v>41</v>
      </c>
      <c r="O6233" t="s">
        <v>27</v>
      </c>
      <c r="P6233">
        <v>14.6881345337931</v>
      </c>
      <c r="Q6233">
        <v>1.1740024426695901</v>
      </c>
      <c r="R6233">
        <v>0.94723611670207597</v>
      </c>
      <c r="S6233">
        <v>168</v>
      </c>
      <c r="T6233">
        <v>76</v>
      </c>
      <c r="U6233">
        <v>358.33907453994902</v>
      </c>
      <c r="V6233">
        <v>7.9596710002653205E-4</v>
      </c>
      <c r="W6233">
        <v>1745166.83428232</v>
      </c>
      <c r="X6233" t="s">
        <v>42</v>
      </c>
      <c r="Y6233">
        <f>1-701-172-4851</f>
        <v>-5723</v>
      </c>
    </row>
    <row r="6234" spans="1:25" x14ac:dyDescent="0.35">
      <c r="A6234">
        <v>39.4477028231614</v>
      </c>
      <c r="B6234">
        <v>-114.833656915368</v>
      </c>
      <c r="C6234" t="s">
        <v>25</v>
      </c>
      <c r="D6234">
        <v>19.6524397765162</v>
      </c>
      <c r="E6234">
        <v>4</v>
      </c>
      <c r="F6234">
        <v>4420</v>
      </c>
      <c r="G6234">
        <v>2</v>
      </c>
      <c r="H6234">
        <v>1</v>
      </c>
      <c r="I6234">
        <v>1959</v>
      </c>
      <c r="J6234">
        <v>0</v>
      </c>
      <c r="K6234">
        <v>0</v>
      </c>
      <c r="L6234">
        <v>1</v>
      </c>
      <c r="M6234">
        <v>2</v>
      </c>
      <c r="N6234" t="s">
        <v>41</v>
      </c>
      <c r="O6234" t="s">
        <v>32</v>
      </c>
      <c r="P6234">
        <v>2.43374695128625</v>
      </c>
      <c r="Q6234">
        <v>0.601001799519159</v>
      </c>
      <c r="R6234">
        <v>1.1288132603201799</v>
      </c>
      <c r="S6234">
        <v>79</v>
      </c>
      <c r="T6234">
        <v>73</v>
      </c>
      <c r="U6234">
        <v>597.72375141001703</v>
      </c>
      <c r="V6234">
        <v>4.5248868778280501E-4</v>
      </c>
      <c r="W6234">
        <v>2665901.0050923098</v>
      </c>
      <c r="X6234" t="s">
        <v>31</v>
      </c>
      <c r="Y6234">
        <f>1-517-446-5289</f>
        <v>-6251</v>
      </c>
    </row>
    <row r="6235" spans="1:25" x14ac:dyDescent="0.35">
      <c r="A6235">
        <v>39.3728107852492</v>
      </c>
      <c r="B6235">
        <v>-120.777776325741</v>
      </c>
      <c r="C6235" t="s">
        <v>29</v>
      </c>
      <c r="D6235">
        <v>5.5370918303451502</v>
      </c>
      <c r="E6235">
        <v>5</v>
      </c>
      <c r="F6235">
        <v>2474</v>
      </c>
      <c r="G6235">
        <v>1</v>
      </c>
      <c r="H6235">
        <v>2</v>
      </c>
      <c r="I6235">
        <v>1951</v>
      </c>
      <c r="J6235">
        <v>0</v>
      </c>
      <c r="K6235">
        <v>1</v>
      </c>
      <c r="L6235">
        <v>0</v>
      </c>
      <c r="M6235">
        <v>9</v>
      </c>
      <c r="N6235" t="s">
        <v>26</v>
      </c>
      <c r="O6235" t="s">
        <v>32</v>
      </c>
      <c r="P6235">
        <v>6.2381608148616303</v>
      </c>
      <c r="Q6235">
        <v>1.7552080157978001</v>
      </c>
      <c r="R6235">
        <v>5.1068049208718502</v>
      </c>
      <c r="S6235">
        <v>175</v>
      </c>
      <c r="T6235">
        <v>45</v>
      </c>
      <c r="U6235">
        <v>662.02626500499105</v>
      </c>
      <c r="V6235">
        <v>3.6378334680679E-3</v>
      </c>
      <c r="W6235">
        <v>1691520.6210960699</v>
      </c>
      <c r="X6235" t="s">
        <v>38</v>
      </c>
      <c r="Y6235">
        <f>1-744-534-2647</f>
        <v>-3924</v>
      </c>
    </row>
    <row r="6236" spans="1:25" x14ac:dyDescent="0.35">
      <c r="A6236">
        <v>34.038951106902999</v>
      </c>
      <c r="B6236">
        <v>-121.228673358447</v>
      </c>
      <c r="C6236" t="s">
        <v>25</v>
      </c>
      <c r="D6236">
        <v>15.7003869759649</v>
      </c>
      <c r="E6236">
        <v>3</v>
      </c>
      <c r="F6236">
        <v>3839</v>
      </c>
      <c r="G6236">
        <v>4</v>
      </c>
      <c r="H6236">
        <v>2</v>
      </c>
      <c r="I6236">
        <v>1997</v>
      </c>
      <c r="J6236">
        <v>0</v>
      </c>
      <c r="K6236">
        <v>1</v>
      </c>
      <c r="L6236">
        <v>1</v>
      </c>
      <c r="M6236">
        <v>5</v>
      </c>
      <c r="N6236" t="s">
        <v>35</v>
      </c>
      <c r="O6236" t="s">
        <v>32</v>
      </c>
      <c r="P6236">
        <v>10.796808129514201</v>
      </c>
      <c r="Q6236">
        <v>1.36518378805858</v>
      </c>
      <c r="R6236">
        <v>8.5482738398247609</v>
      </c>
      <c r="S6236">
        <v>75</v>
      </c>
      <c r="T6236">
        <v>69</v>
      </c>
      <c r="U6236">
        <v>444.42157889571803</v>
      </c>
      <c r="V6236">
        <v>1.3024225058609E-3</v>
      </c>
      <c r="W6236">
        <v>2057782.5246099201</v>
      </c>
      <c r="X6236" t="s">
        <v>36</v>
      </c>
      <c r="Y6236">
        <f>1-645-466-5273</f>
        <v>-6383</v>
      </c>
    </row>
    <row r="6237" spans="1:25" x14ac:dyDescent="0.35">
      <c r="A6237">
        <v>37.461014564137599</v>
      </c>
      <c r="B6237">
        <v>-120.87933413760101</v>
      </c>
      <c r="C6237" t="s">
        <v>34</v>
      </c>
      <c r="D6237">
        <v>16.639758399242901</v>
      </c>
      <c r="E6237">
        <v>5</v>
      </c>
      <c r="F6237">
        <v>2625</v>
      </c>
      <c r="G6237">
        <v>1</v>
      </c>
      <c r="H6237">
        <v>2</v>
      </c>
      <c r="I6237">
        <v>1985</v>
      </c>
      <c r="J6237">
        <v>1</v>
      </c>
      <c r="K6237">
        <v>1</v>
      </c>
      <c r="L6237">
        <v>0</v>
      </c>
      <c r="M6237">
        <v>13</v>
      </c>
      <c r="N6237" t="s">
        <v>35</v>
      </c>
      <c r="O6237" t="s">
        <v>27</v>
      </c>
      <c r="P6237">
        <v>11.6469603483624</v>
      </c>
      <c r="Q6237">
        <v>1.1795364361649101</v>
      </c>
      <c r="R6237">
        <v>1.21516338326246</v>
      </c>
      <c r="S6237">
        <v>155</v>
      </c>
      <c r="T6237">
        <v>28</v>
      </c>
      <c r="U6237">
        <v>695.09965222746496</v>
      </c>
      <c r="V6237">
        <v>4.9523809523809503E-3</v>
      </c>
      <c r="W6237">
        <v>2211637.3614449399</v>
      </c>
      <c r="X6237" t="s">
        <v>43</v>
      </c>
      <c r="Y6237">
        <f>1-230-179-6720</f>
        <v>-7128</v>
      </c>
    </row>
    <row r="6238" spans="1:25" x14ac:dyDescent="0.35">
      <c r="A6238">
        <v>34.169869153227701</v>
      </c>
      <c r="B6238">
        <v>-118.264738458667</v>
      </c>
      <c r="C6238" t="s">
        <v>34</v>
      </c>
      <c r="D6238">
        <v>2.01863385835569</v>
      </c>
      <c r="E6238">
        <v>3</v>
      </c>
      <c r="F6238">
        <v>4319</v>
      </c>
      <c r="G6238">
        <v>1</v>
      </c>
      <c r="H6238">
        <v>1</v>
      </c>
      <c r="I6238">
        <v>1971</v>
      </c>
      <c r="J6238">
        <v>0</v>
      </c>
      <c r="K6238">
        <v>1</v>
      </c>
      <c r="L6238">
        <v>1</v>
      </c>
      <c r="M6238">
        <v>12</v>
      </c>
      <c r="N6238" t="s">
        <v>35</v>
      </c>
      <c r="O6238" t="s">
        <v>27</v>
      </c>
      <c r="P6238">
        <v>11.7961351089129</v>
      </c>
      <c r="Q6238">
        <v>2.4183191393455701</v>
      </c>
      <c r="R6238">
        <v>9.9070212790210803</v>
      </c>
      <c r="S6238">
        <v>139</v>
      </c>
      <c r="T6238">
        <v>42</v>
      </c>
      <c r="U6238">
        <v>815.85814209405999</v>
      </c>
      <c r="V6238">
        <v>2.7784209307710099E-3</v>
      </c>
      <c r="W6238">
        <v>3709586.6141524101</v>
      </c>
      <c r="X6238" t="s">
        <v>31</v>
      </c>
      <c r="Y6238">
        <f>1-669-527-8941</f>
        <v>-10136</v>
      </c>
    </row>
    <row r="6239" spans="1:25" x14ac:dyDescent="0.35">
      <c r="A6239">
        <v>39.467655120582997</v>
      </c>
      <c r="B6239">
        <v>-118.761416359733</v>
      </c>
      <c r="C6239" t="s">
        <v>34</v>
      </c>
      <c r="D6239">
        <v>18.715202340216301</v>
      </c>
      <c r="E6239">
        <v>6</v>
      </c>
      <c r="F6239">
        <v>595</v>
      </c>
      <c r="G6239">
        <v>1</v>
      </c>
      <c r="H6239">
        <v>3</v>
      </c>
      <c r="I6239">
        <v>1965</v>
      </c>
      <c r="J6239">
        <v>1</v>
      </c>
      <c r="K6239">
        <v>0</v>
      </c>
      <c r="L6239">
        <v>0</v>
      </c>
      <c r="M6239">
        <v>13</v>
      </c>
      <c r="N6239" t="s">
        <v>41</v>
      </c>
      <c r="O6239" t="s">
        <v>30</v>
      </c>
      <c r="P6239">
        <v>14.008099925287</v>
      </c>
      <c r="Q6239">
        <v>2.2270768877313198</v>
      </c>
      <c r="R6239">
        <v>7.4480508262590996</v>
      </c>
      <c r="S6239">
        <v>147</v>
      </c>
      <c r="T6239">
        <v>21</v>
      </c>
      <c r="U6239">
        <v>410.47054679753199</v>
      </c>
      <c r="V6239">
        <v>2.1848739495798301E-2</v>
      </c>
      <c r="W6239">
        <v>490104.75633476698</v>
      </c>
      <c r="X6239" t="s">
        <v>36</v>
      </c>
      <c r="Y6239">
        <f>1-286-551-6752</f>
        <v>-7588</v>
      </c>
    </row>
    <row r="6240" spans="1:25" x14ac:dyDescent="0.35">
      <c r="A6240">
        <v>39.798963003433101</v>
      </c>
      <c r="B6240">
        <v>-119.743370313483</v>
      </c>
      <c r="C6240" t="s">
        <v>25</v>
      </c>
      <c r="D6240">
        <v>46.563685205314997</v>
      </c>
      <c r="E6240">
        <v>7</v>
      </c>
      <c r="F6240">
        <v>4211</v>
      </c>
      <c r="G6240">
        <v>1</v>
      </c>
      <c r="H6240">
        <v>3</v>
      </c>
      <c r="I6240">
        <v>1975</v>
      </c>
      <c r="J6240">
        <v>0</v>
      </c>
      <c r="K6240">
        <v>1</v>
      </c>
      <c r="L6240">
        <v>0</v>
      </c>
      <c r="M6240">
        <v>10</v>
      </c>
      <c r="N6240" t="s">
        <v>37</v>
      </c>
      <c r="O6240" t="s">
        <v>32</v>
      </c>
      <c r="P6240">
        <v>12.3185984734878</v>
      </c>
      <c r="Q6240">
        <v>1.4361242334236299</v>
      </c>
      <c r="R6240">
        <v>8.5884483855929705</v>
      </c>
      <c r="S6240">
        <v>113</v>
      </c>
      <c r="T6240">
        <v>62</v>
      </c>
      <c r="U6240">
        <v>702.559069558033</v>
      </c>
      <c r="V6240">
        <v>2.3747328425552101E-3</v>
      </c>
      <c r="W6240">
        <v>3133353.4329902302</v>
      </c>
      <c r="X6240" t="s">
        <v>40</v>
      </c>
      <c r="Y6240">
        <f>1-415-521-9300</f>
        <v>-10235</v>
      </c>
    </row>
    <row r="6241" spans="1:25" x14ac:dyDescent="0.35">
      <c r="A6241">
        <v>35.116932665432401</v>
      </c>
      <c r="B6241">
        <v>-121.922839239197</v>
      </c>
      <c r="C6241" t="s">
        <v>25</v>
      </c>
      <c r="D6241">
        <v>29.848526602540002</v>
      </c>
      <c r="E6241">
        <v>1</v>
      </c>
      <c r="F6241">
        <v>2466</v>
      </c>
      <c r="G6241">
        <v>3</v>
      </c>
      <c r="H6241">
        <v>1</v>
      </c>
      <c r="I6241">
        <v>1979</v>
      </c>
      <c r="J6241">
        <v>0</v>
      </c>
      <c r="K6241">
        <v>0</v>
      </c>
      <c r="L6241">
        <v>0</v>
      </c>
      <c r="M6241">
        <v>2</v>
      </c>
      <c r="N6241" t="s">
        <v>37</v>
      </c>
      <c r="O6241" t="s">
        <v>30</v>
      </c>
      <c r="P6241">
        <v>5.7826212303589699</v>
      </c>
      <c r="Q6241">
        <v>2.2435378936122201</v>
      </c>
      <c r="R6241">
        <v>3.02885147613119</v>
      </c>
      <c r="S6241">
        <v>160</v>
      </c>
      <c r="T6241">
        <v>58</v>
      </c>
      <c r="U6241">
        <v>862.50858091469104</v>
      </c>
      <c r="V6241">
        <v>8.1103000811029999E-4</v>
      </c>
      <c r="W6241">
        <v>2251685.6320752101</v>
      </c>
      <c r="X6241" t="s">
        <v>36</v>
      </c>
      <c r="Y6241">
        <f>1-638-535-7696</f>
        <v>-8868</v>
      </c>
    </row>
    <row r="6242" spans="1:25" x14ac:dyDescent="0.35">
      <c r="A6242">
        <v>37.130224381226498</v>
      </c>
      <c r="B6242">
        <v>-120.04053741764901</v>
      </c>
      <c r="C6242" t="s">
        <v>29</v>
      </c>
      <c r="D6242">
        <v>17.9315396943067</v>
      </c>
      <c r="E6242">
        <v>3</v>
      </c>
      <c r="F6242">
        <v>1128</v>
      </c>
      <c r="G6242">
        <v>5</v>
      </c>
      <c r="H6242">
        <v>1</v>
      </c>
      <c r="I6242">
        <v>2016</v>
      </c>
      <c r="J6242">
        <v>1</v>
      </c>
      <c r="K6242">
        <v>0</v>
      </c>
      <c r="L6242">
        <v>1</v>
      </c>
      <c r="M6242">
        <v>12</v>
      </c>
      <c r="N6242" t="s">
        <v>37</v>
      </c>
      <c r="O6242" t="s">
        <v>32</v>
      </c>
      <c r="P6242">
        <v>6.1068737310973402</v>
      </c>
      <c r="Q6242">
        <v>0.98990190864389804</v>
      </c>
      <c r="R6242">
        <v>7.9641354778984903</v>
      </c>
      <c r="S6242">
        <v>118</v>
      </c>
      <c r="T6242">
        <v>37</v>
      </c>
      <c r="U6242">
        <v>383.87543644382498</v>
      </c>
      <c r="V6242">
        <v>1.0638297872340399E-2</v>
      </c>
      <c r="W6242">
        <v>735513.53574223304</v>
      </c>
      <c r="X6242" t="s">
        <v>38</v>
      </c>
      <c r="Y6242">
        <f>1-391-576-8788</f>
        <v>-9754</v>
      </c>
    </row>
    <row r="6243" spans="1:25" x14ac:dyDescent="0.35">
      <c r="A6243">
        <v>36.877213564196602</v>
      </c>
      <c r="B6243">
        <v>-122.77463711185401</v>
      </c>
      <c r="C6243" t="s">
        <v>34</v>
      </c>
      <c r="D6243">
        <v>10.6245199240554</v>
      </c>
      <c r="E6243">
        <v>4</v>
      </c>
      <c r="F6243">
        <v>3347</v>
      </c>
      <c r="G6243">
        <v>5</v>
      </c>
      <c r="H6243">
        <v>2</v>
      </c>
      <c r="I6243">
        <v>1971</v>
      </c>
      <c r="J6243">
        <v>0</v>
      </c>
      <c r="K6243">
        <v>0</v>
      </c>
      <c r="L6243">
        <v>1</v>
      </c>
      <c r="M6243">
        <v>12</v>
      </c>
      <c r="N6243" t="s">
        <v>37</v>
      </c>
      <c r="O6243" t="s">
        <v>27</v>
      </c>
      <c r="P6243">
        <v>5.2913033530534799</v>
      </c>
      <c r="Q6243">
        <v>2.21518595759634</v>
      </c>
      <c r="R6243">
        <v>5.6762260034373204</v>
      </c>
      <c r="S6243">
        <v>132</v>
      </c>
      <c r="T6243">
        <v>72</v>
      </c>
      <c r="U6243">
        <v>496.71954529125497</v>
      </c>
      <c r="V6243">
        <v>3.5853002688975202E-3</v>
      </c>
      <c r="W6243">
        <v>1860204.96852926</v>
      </c>
      <c r="X6243" t="s">
        <v>40</v>
      </c>
      <c r="Y6243">
        <f>1-788-691-5654</f>
        <v>-7132</v>
      </c>
    </row>
    <row r="6244" spans="1:25" x14ac:dyDescent="0.35">
      <c r="A6244">
        <v>37.207847527526503</v>
      </c>
      <c r="B6244">
        <v>-119.313677200773</v>
      </c>
      <c r="C6244" t="s">
        <v>29</v>
      </c>
      <c r="D6244">
        <v>40.1415543251467</v>
      </c>
      <c r="E6244">
        <v>6</v>
      </c>
      <c r="F6244">
        <v>795</v>
      </c>
      <c r="G6244">
        <v>5</v>
      </c>
      <c r="H6244">
        <v>3</v>
      </c>
      <c r="I6244">
        <v>1975</v>
      </c>
      <c r="J6244">
        <v>1</v>
      </c>
      <c r="K6244">
        <v>0</v>
      </c>
      <c r="L6244">
        <v>0</v>
      </c>
      <c r="M6244">
        <v>14</v>
      </c>
      <c r="N6244" t="s">
        <v>26</v>
      </c>
      <c r="O6244" t="s">
        <v>27</v>
      </c>
      <c r="P6244">
        <v>2.3834380592021098</v>
      </c>
      <c r="Q6244">
        <v>1.9642055240659</v>
      </c>
      <c r="R6244">
        <v>5.4872952731526299</v>
      </c>
      <c r="S6244">
        <v>90</v>
      </c>
      <c r="T6244">
        <v>55</v>
      </c>
      <c r="U6244">
        <v>541.77521382021496</v>
      </c>
      <c r="V6244">
        <v>1.7610062893081702E-2</v>
      </c>
      <c r="W6244">
        <v>739759.97565636702</v>
      </c>
      <c r="X6244" t="s">
        <v>28</v>
      </c>
      <c r="Y6244">
        <f>1-527-703-5549</f>
        <v>-6778</v>
      </c>
    </row>
    <row r="6245" spans="1:25" x14ac:dyDescent="0.35">
      <c r="A6245">
        <v>39.220873733340802</v>
      </c>
      <c r="B6245">
        <v>-120.710074289056</v>
      </c>
      <c r="C6245" t="s">
        <v>34</v>
      </c>
      <c r="D6245">
        <v>48.060975520875601</v>
      </c>
      <c r="E6245">
        <v>9</v>
      </c>
      <c r="F6245">
        <v>4297</v>
      </c>
      <c r="G6245">
        <v>4</v>
      </c>
      <c r="H6245">
        <v>2</v>
      </c>
      <c r="I6245">
        <v>1972</v>
      </c>
      <c r="J6245">
        <v>1</v>
      </c>
      <c r="K6245">
        <v>0</v>
      </c>
      <c r="L6245">
        <v>0</v>
      </c>
      <c r="M6245">
        <v>8</v>
      </c>
      <c r="N6245" t="s">
        <v>41</v>
      </c>
      <c r="O6245" t="s">
        <v>30</v>
      </c>
      <c r="P6245">
        <v>5.9863931442506404</v>
      </c>
      <c r="Q6245">
        <v>2.48967404950315</v>
      </c>
      <c r="R6245">
        <v>7.3291119549555503</v>
      </c>
      <c r="S6245">
        <v>94</v>
      </c>
      <c r="T6245">
        <v>36</v>
      </c>
      <c r="U6245">
        <v>674.495690904914</v>
      </c>
      <c r="V6245">
        <v>1.8617640214102799E-3</v>
      </c>
      <c r="W6245">
        <v>3224909.6638786001</v>
      </c>
      <c r="X6245" t="s">
        <v>40</v>
      </c>
      <c r="Y6245">
        <f>1-929-192-2827</f>
        <v>-3947</v>
      </c>
    </row>
    <row r="6246" spans="1:25" x14ac:dyDescent="0.35">
      <c r="A6246">
        <v>39.189634374086197</v>
      </c>
      <c r="B6246">
        <v>-120.11186852591599</v>
      </c>
      <c r="C6246" t="s">
        <v>34</v>
      </c>
      <c r="D6246">
        <v>9.0278043056238797</v>
      </c>
      <c r="E6246">
        <v>4</v>
      </c>
      <c r="F6246">
        <v>1899</v>
      </c>
      <c r="G6246">
        <v>3</v>
      </c>
      <c r="H6246">
        <v>1</v>
      </c>
      <c r="I6246">
        <v>1965</v>
      </c>
      <c r="J6246">
        <v>1</v>
      </c>
      <c r="K6246">
        <v>0</v>
      </c>
      <c r="L6246">
        <v>1</v>
      </c>
      <c r="M6246">
        <v>6</v>
      </c>
      <c r="N6246" t="s">
        <v>35</v>
      </c>
      <c r="O6246" t="s">
        <v>30</v>
      </c>
      <c r="P6246">
        <v>9.7239426445916894</v>
      </c>
      <c r="Q6246">
        <v>1.23503352055611</v>
      </c>
      <c r="R6246">
        <v>1.9147198538377299</v>
      </c>
      <c r="S6246">
        <v>114</v>
      </c>
      <c r="T6246">
        <v>68</v>
      </c>
      <c r="U6246">
        <v>269.12064811884198</v>
      </c>
      <c r="V6246">
        <v>3.1595576619273301E-3</v>
      </c>
      <c r="W6246">
        <v>680107.02425829601</v>
      </c>
      <c r="X6246" t="s">
        <v>33</v>
      </c>
      <c r="Y6246">
        <f>1-721-800-8767</f>
        <v>-10287</v>
      </c>
    </row>
    <row r="6247" spans="1:25" x14ac:dyDescent="0.35">
      <c r="A6247">
        <v>39.547538426491101</v>
      </c>
      <c r="B6247">
        <v>-123.35589901281401</v>
      </c>
      <c r="C6247" t="s">
        <v>25</v>
      </c>
      <c r="D6247">
        <v>46.375763171966398</v>
      </c>
      <c r="E6247">
        <v>5</v>
      </c>
      <c r="F6247">
        <v>1439</v>
      </c>
      <c r="G6247">
        <v>4</v>
      </c>
      <c r="H6247">
        <v>2</v>
      </c>
      <c r="I6247">
        <v>2000</v>
      </c>
      <c r="J6247">
        <v>1</v>
      </c>
      <c r="K6247">
        <v>0</v>
      </c>
      <c r="L6247">
        <v>0</v>
      </c>
      <c r="M6247">
        <v>10</v>
      </c>
      <c r="N6247" t="s">
        <v>35</v>
      </c>
      <c r="O6247" t="s">
        <v>32</v>
      </c>
      <c r="P6247">
        <v>12.958835934498</v>
      </c>
      <c r="Q6247">
        <v>1.6675694628859301</v>
      </c>
      <c r="R6247">
        <v>1.95451630312377</v>
      </c>
      <c r="S6247">
        <v>29</v>
      </c>
      <c r="T6247">
        <v>63</v>
      </c>
      <c r="U6247">
        <v>385.62288377151202</v>
      </c>
      <c r="V6247">
        <v>6.9492703266157002E-3</v>
      </c>
      <c r="W6247">
        <v>1009859.48948078</v>
      </c>
      <c r="X6247" t="s">
        <v>28</v>
      </c>
      <c r="Y6247">
        <f>1-325-248-5561</f>
        <v>-6133</v>
      </c>
    </row>
    <row r="6248" spans="1:25" x14ac:dyDescent="0.35">
      <c r="A6248">
        <v>33.589075098222999</v>
      </c>
      <c r="B6248">
        <v>-123.534707955771</v>
      </c>
      <c r="C6248" t="s">
        <v>25</v>
      </c>
      <c r="D6248">
        <v>17.907424748444999</v>
      </c>
      <c r="E6248">
        <v>3</v>
      </c>
      <c r="F6248">
        <v>3236</v>
      </c>
      <c r="G6248">
        <v>1</v>
      </c>
      <c r="H6248">
        <v>1</v>
      </c>
      <c r="I6248">
        <v>1985</v>
      </c>
      <c r="J6248">
        <v>1</v>
      </c>
      <c r="K6248">
        <v>1</v>
      </c>
      <c r="L6248">
        <v>1</v>
      </c>
      <c r="M6248">
        <v>8</v>
      </c>
      <c r="N6248" t="s">
        <v>37</v>
      </c>
      <c r="O6248" t="s">
        <v>27</v>
      </c>
      <c r="P6248">
        <v>7.4169493627006604</v>
      </c>
      <c r="Q6248">
        <v>1.3614058757562699</v>
      </c>
      <c r="R6248">
        <v>3.9749835427047802</v>
      </c>
      <c r="S6248">
        <v>150</v>
      </c>
      <c r="T6248">
        <v>45</v>
      </c>
      <c r="U6248">
        <v>936.44982338846501</v>
      </c>
      <c r="V6248">
        <v>2.4721878862793501E-3</v>
      </c>
      <c r="W6248">
        <v>3282744.0949981101</v>
      </c>
      <c r="X6248" t="s">
        <v>44</v>
      </c>
      <c r="Y6248">
        <f>1-561-924-5228</f>
        <v>-6712</v>
      </c>
    </row>
    <row r="6249" spans="1:25" x14ac:dyDescent="0.35">
      <c r="A6249">
        <v>35.1893511354343</v>
      </c>
      <c r="B6249">
        <v>-115.74638216167401</v>
      </c>
      <c r="C6249" t="s">
        <v>29</v>
      </c>
      <c r="D6249">
        <v>39.078648930784098</v>
      </c>
      <c r="E6249">
        <v>3</v>
      </c>
      <c r="F6249">
        <v>4785</v>
      </c>
      <c r="G6249">
        <v>2</v>
      </c>
      <c r="H6249">
        <v>2</v>
      </c>
      <c r="I6249">
        <v>1970</v>
      </c>
      <c r="J6249">
        <v>1</v>
      </c>
      <c r="K6249">
        <v>1</v>
      </c>
      <c r="L6249">
        <v>0</v>
      </c>
      <c r="M6249">
        <v>3</v>
      </c>
      <c r="N6249" t="s">
        <v>37</v>
      </c>
      <c r="O6249" t="s">
        <v>27</v>
      </c>
      <c r="P6249">
        <v>8.9237612471323509</v>
      </c>
      <c r="Q6249">
        <v>1.0666286987290701</v>
      </c>
      <c r="R6249">
        <v>1.3339626025817699</v>
      </c>
      <c r="S6249">
        <v>145</v>
      </c>
      <c r="T6249">
        <v>20</v>
      </c>
      <c r="U6249">
        <v>788.46882240611706</v>
      </c>
      <c r="V6249">
        <v>6.2695924764890199E-4</v>
      </c>
      <c r="W6249">
        <v>4069809.2037156401</v>
      </c>
      <c r="X6249" t="s">
        <v>31</v>
      </c>
      <c r="Y6249">
        <f>1-747-853-4171</f>
        <v>-5770</v>
      </c>
    </row>
    <row r="6250" spans="1:25" x14ac:dyDescent="0.35">
      <c r="A6250">
        <v>41.839282934236898</v>
      </c>
      <c r="B6250">
        <v>-115.365296442945</v>
      </c>
      <c r="C6250" t="s">
        <v>34</v>
      </c>
      <c r="D6250">
        <v>8.9628258740819895</v>
      </c>
      <c r="E6250">
        <v>2</v>
      </c>
      <c r="F6250">
        <v>4481</v>
      </c>
      <c r="G6250">
        <v>5</v>
      </c>
      <c r="H6250">
        <v>3</v>
      </c>
      <c r="I6250">
        <v>2022</v>
      </c>
      <c r="J6250">
        <v>0</v>
      </c>
      <c r="K6250">
        <v>0</v>
      </c>
      <c r="L6250">
        <v>1</v>
      </c>
      <c r="M6250">
        <v>10</v>
      </c>
      <c r="N6250" t="s">
        <v>26</v>
      </c>
      <c r="O6250" t="s">
        <v>30</v>
      </c>
      <c r="P6250">
        <v>10.8002935780132</v>
      </c>
      <c r="Q6250">
        <v>0.686521555580759</v>
      </c>
      <c r="R6250">
        <v>6.8480416613030801</v>
      </c>
      <c r="S6250">
        <v>120</v>
      </c>
      <c r="T6250">
        <v>60</v>
      </c>
      <c r="U6250">
        <v>615.00579769428498</v>
      </c>
      <c r="V6250">
        <v>2.2316447221602301E-3</v>
      </c>
      <c r="W6250">
        <v>3125073.41550272</v>
      </c>
      <c r="X6250" t="s">
        <v>42</v>
      </c>
      <c r="Y6250">
        <f>1-906-653-3248</f>
        <v>-4806</v>
      </c>
    </row>
    <row r="6251" spans="1:25" x14ac:dyDescent="0.35">
      <c r="A6251">
        <v>34.035235111109202</v>
      </c>
      <c r="B6251">
        <v>-121.100353227927</v>
      </c>
      <c r="C6251" t="s">
        <v>34</v>
      </c>
      <c r="D6251">
        <v>27.139434052750399</v>
      </c>
      <c r="E6251">
        <v>3</v>
      </c>
      <c r="F6251">
        <v>935</v>
      </c>
      <c r="G6251">
        <v>3</v>
      </c>
      <c r="H6251">
        <v>3</v>
      </c>
      <c r="I6251">
        <v>2015</v>
      </c>
      <c r="J6251">
        <v>1</v>
      </c>
      <c r="K6251">
        <v>1</v>
      </c>
      <c r="L6251">
        <v>0</v>
      </c>
      <c r="M6251">
        <v>3</v>
      </c>
      <c r="N6251" t="s">
        <v>41</v>
      </c>
      <c r="O6251" t="s">
        <v>27</v>
      </c>
      <c r="P6251">
        <v>8.9296220914868503</v>
      </c>
      <c r="Q6251">
        <v>1.1274863637549499</v>
      </c>
      <c r="R6251">
        <v>7.8740116354941403</v>
      </c>
      <c r="S6251">
        <v>20</v>
      </c>
      <c r="T6251">
        <v>51</v>
      </c>
      <c r="U6251">
        <v>335.23361922743902</v>
      </c>
      <c r="V6251">
        <v>3.20855614973262E-3</v>
      </c>
      <c r="W6251">
        <v>738673.54101282405</v>
      </c>
      <c r="X6251" t="s">
        <v>38</v>
      </c>
      <c r="Y6251">
        <f>1-843-986-6510</f>
        <v>-8338</v>
      </c>
    </row>
    <row r="6252" spans="1:25" x14ac:dyDescent="0.35">
      <c r="A6252">
        <v>39.780006300223199</v>
      </c>
      <c r="B6252">
        <v>-114.59570182015401</v>
      </c>
      <c r="C6252" t="s">
        <v>25</v>
      </c>
      <c r="D6252">
        <v>42.904072832967003</v>
      </c>
      <c r="E6252">
        <v>8</v>
      </c>
      <c r="F6252">
        <v>3968</v>
      </c>
      <c r="G6252">
        <v>1</v>
      </c>
      <c r="H6252">
        <v>3</v>
      </c>
      <c r="I6252">
        <v>1982</v>
      </c>
      <c r="J6252">
        <v>0</v>
      </c>
      <c r="K6252">
        <v>0</v>
      </c>
      <c r="L6252">
        <v>1</v>
      </c>
      <c r="M6252">
        <v>12</v>
      </c>
      <c r="N6252" t="s">
        <v>41</v>
      </c>
      <c r="O6252" t="s">
        <v>32</v>
      </c>
      <c r="P6252">
        <v>4.7748749873083698</v>
      </c>
      <c r="Q6252">
        <v>2.2036626852827301</v>
      </c>
      <c r="R6252">
        <v>4.8976735586149598</v>
      </c>
      <c r="S6252">
        <v>128</v>
      </c>
      <c r="T6252">
        <v>36</v>
      </c>
      <c r="U6252">
        <v>275.89020267419897</v>
      </c>
      <c r="V6252">
        <v>3.0241935483870902E-3</v>
      </c>
      <c r="W6252">
        <v>1108200.7527983601</v>
      </c>
      <c r="X6252" t="s">
        <v>40</v>
      </c>
      <c r="Y6252">
        <f>1-710-494-9769</f>
        <v>-10972</v>
      </c>
    </row>
    <row r="6253" spans="1:25" x14ac:dyDescent="0.35">
      <c r="A6253">
        <v>34.582888420040497</v>
      </c>
      <c r="B6253">
        <v>-123.26149164002101</v>
      </c>
      <c r="C6253" t="s">
        <v>25</v>
      </c>
      <c r="D6253">
        <v>41.728326753854098</v>
      </c>
      <c r="E6253">
        <v>6</v>
      </c>
      <c r="F6253">
        <v>1954</v>
      </c>
      <c r="G6253">
        <v>4</v>
      </c>
      <c r="H6253">
        <v>1</v>
      </c>
      <c r="I6253">
        <v>2020</v>
      </c>
      <c r="J6253">
        <v>0</v>
      </c>
      <c r="K6253">
        <v>0</v>
      </c>
      <c r="L6253">
        <v>0</v>
      </c>
      <c r="M6253">
        <v>14</v>
      </c>
      <c r="N6253" t="s">
        <v>37</v>
      </c>
      <c r="O6253" t="s">
        <v>30</v>
      </c>
      <c r="P6253">
        <v>8.1420669853355498</v>
      </c>
      <c r="Q6253">
        <v>2.2702804418739002</v>
      </c>
      <c r="R6253">
        <v>9.5719793949254104</v>
      </c>
      <c r="S6253">
        <v>38</v>
      </c>
      <c r="T6253">
        <v>36</v>
      </c>
      <c r="U6253">
        <v>927.390029465206</v>
      </c>
      <c r="V6253">
        <v>7.1647901740020401E-3</v>
      </c>
      <c r="W6253">
        <v>2157440.16710481</v>
      </c>
      <c r="X6253" t="s">
        <v>38</v>
      </c>
      <c r="Y6253">
        <f>1-377-357-1161</f>
        <v>-1894</v>
      </c>
    </row>
    <row r="6254" spans="1:25" x14ac:dyDescent="0.35">
      <c r="A6254">
        <v>33.652821353676003</v>
      </c>
      <c r="B6254">
        <v>-115.853780583165</v>
      </c>
      <c r="C6254" t="s">
        <v>34</v>
      </c>
      <c r="D6254">
        <v>44.052736463853797</v>
      </c>
      <c r="E6254">
        <v>0</v>
      </c>
      <c r="F6254">
        <v>1997</v>
      </c>
      <c r="G6254">
        <v>2</v>
      </c>
      <c r="H6254">
        <v>2</v>
      </c>
      <c r="I6254">
        <v>1970</v>
      </c>
      <c r="J6254">
        <v>0</v>
      </c>
      <c r="K6254">
        <v>0</v>
      </c>
      <c r="L6254">
        <v>0</v>
      </c>
      <c r="M6254">
        <v>7</v>
      </c>
      <c r="N6254" t="s">
        <v>26</v>
      </c>
      <c r="O6254" t="s">
        <v>30</v>
      </c>
      <c r="P6254">
        <v>11.0424679862742</v>
      </c>
      <c r="Q6254">
        <v>0.76797919332341202</v>
      </c>
      <c r="R6254">
        <v>5.07083463953483</v>
      </c>
      <c r="S6254">
        <v>197</v>
      </c>
      <c r="T6254">
        <v>34</v>
      </c>
      <c r="U6254">
        <v>736.47043331096904</v>
      </c>
      <c r="V6254">
        <v>3.5052578868302398E-3</v>
      </c>
      <c r="W6254">
        <v>1670496.5554665599</v>
      </c>
      <c r="X6254" t="s">
        <v>31</v>
      </c>
      <c r="Y6254">
        <f>1-366-818-6715</f>
        <v>-7898</v>
      </c>
    </row>
    <row r="6255" spans="1:25" x14ac:dyDescent="0.35">
      <c r="A6255">
        <v>41.635368573740202</v>
      </c>
      <c r="B6255">
        <v>-114.52926319303999</v>
      </c>
      <c r="C6255" t="s">
        <v>29</v>
      </c>
      <c r="D6255">
        <v>34.012687253185298</v>
      </c>
      <c r="E6255">
        <v>2</v>
      </c>
      <c r="F6255">
        <v>921</v>
      </c>
      <c r="G6255">
        <v>3</v>
      </c>
      <c r="H6255">
        <v>3</v>
      </c>
      <c r="I6255">
        <v>2014</v>
      </c>
      <c r="J6255">
        <v>0</v>
      </c>
      <c r="K6255">
        <v>0</v>
      </c>
      <c r="L6255">
        <v>1</v>
      </c>
      <c r="M6255">
        <v>14</v>
      </c>
      <c r="N6255" t="s">
        <v>37</v>
      </c>
      <c r="O6255" t="s">
        <v>30</v>
      </c>
      <c r="P6255">
        <v>9.7120967965244809</v>
      </c>
      <c r="Q6255">
        <v>0.86835038901886497</v>
      </c>
      <c r="R6255">
        <v>4.3736522858927396</v>
      </c>
      <c r="S6255">
        <v>123</v>
      </c>
      <c r="T6255">
        <v>42</v>
      </c>
      <c r="U6255">
        <v>884.87922390435995</v>
      </c>
      <c r="V6255">
        <v>1.5200868621064E-2</v>
      </c>
      <c r="W6255">
        <v>1060236.6443429801</v>
      </c>
      <c r="X6255" t="s">
        <v>39</v>
      </c>
      <c r="Y6255">
        <f>1-854-903-4490</f>
        <v>-6246</v>
      </c>
    </row>
    <row r="6256" spans="1:25" x14ac:dyDescent="0.35">
      <c r="A6256">
        <v>40.951055170505299</v>
      </c>
      <c r="B6256">
        <v>-116.855372161844</v>
      </c>
      <c r="C6256" t="s">
        <v>25</v>
      </c>
      <c r="D6256">
        <v>41.387363492179603</v>
      </c>
      <c r="E6256">
        <v>7</v>
      </c>
      <c r="F6256">
        <v>2060</v>
      </c>
      <c r="G6256">
        <v>1</v>
      </c>
      <c r="H6256">
        <v>2</v>
      </c>
      <c r="I6256">
        <v>1957</v>
      </c>
      <c r="J6256">
        <v>1</v>
      </c>
      <c r="K6256">
        <v>0</v>
      </c>
      <c r="L6256">
        <v>1</v>
      </c>
      <c r="M6256">
        <v>3</v>
      </c>
      <c r="N6256" t="s">
        <v>35</v>
      </c>
      <c r="O6256" t="s">
        <v>32</v>
      </c>
      <c r="P6256">
        <v>3.19426877100023</v>
      </c>
      <c r="Q6256">
        <v>0.65363505582973203</v>
      </c>
      <c r="R6256">
        <v>2.8544460856566198</v>
      </c>
      <c r="S6256">
        <v>132</v>
      </c>
      <c r="T6256">
        <v>39</v>
      </c>
      <c r="U6256">
        <v>777.95788132338203</v>
      </c>
      <c r="V6256">
        <v>1.4563106796116501E-3</v>
      </c>
      <c r="W6256">
        <v>1707823.9426770899</v>
      </c>
      <c r="X6256" t="s">
        <v>44</v>
      </c>
      <c r="Y6256">
        <f>1-971-864-8527</f>
        <v>-10361</v>
      </c>
    </row>
    <row r="6257" spans="1:25" x14ac:dyDescent="0.35">
      <c r="A6257">
        <v>38.175672839322601</v>
      </c>
      <c r="B6257">
        <v>-120.05976739101401</v>
      </c>
      <c r="C6257" t="s">
        <v>29</v>
      </c>
      <c r="D6257">
        <v>41.434035533713001</v>
      </c>
      <c r="E6257">
        <v>1</v>
      </c>
      <c r="F6257">
        <v>3614</v>
      </c>
      <c r="G6257">
        <v>3</v>
      </c>
      <c r="H6257">
        <v>3</v>
      </c>
      <c r="I6257">
        <v>2013</v>
      </c>
      <c r="J6257">
        <v>1</v>
      </c>
      <c r="K6257">
        <v>1</v>
      </c>
      <c r="L6257">
        <v>1</v>
      </c>
      <c r="M6257">
        <v>6</v>
      </c>
      <c r="N6257" t="s">
        <v>35</v>
      </c>
      <c r="O6257" t="s">
        <v>30</v>
      </c>
      <c r="P6257">
        <v>8.3523811830669406</v>
      </c>
      <c r="Q6257">
        <v>1.79828615532665</v>
      </c>
      <c r="R6257">
        <v>7.7076866913071296</v>
      </c>
      <c r="S6257">
        <v>40</v>
      </c>
      <c r="T6257">
        <v>55</v>
      </c>
      <c r="U6257">
        <v>265.382589273615</v>
      </c>
      <c r="V6257">
        <v>1.6602102933038099E-3</v>
      </c>
      <c r="W6257">
        <v>1509542.51072285</v>
      </c>
      <c r="X6257" t="s">
        <v>38</v>
      </c>
      <c r="Y6257">
        <f>1-820-861-5686</f>
        <v>-7366</v>
      </c>
    </row>
    <row r="6258" spans="1:25" x14ac:dyDescent="0.35">
      <c r="A6258">
        <v>37.803072072869497</v>
      </c>
      <c r="B6258">
        <v>-116.711524191341</v>
      </c>
      <c r="C6258" t="s">
        <v>34</v>
      </c>
      <c r="D6258">
        <v>34.232053593875399</v>
      </c>
      <c r="E6258">
        <v>4</v>
      </c>
      <c r="F6258">
        <v>3621</v>
      </c>
      <c r="G6258">
        <v>3</v>
      </c>
      <c r="H6258">
        <v>1</v>
      </c>
      <c r="I6258">
        <v>1968</v>
      </c>
      <c r="J6258">
        <v>0</v>
      </c>
      <c r="K6258">
        <v>1</v>
      </c>
      <c r="L6258">
        <v>0</v>
      </c>
      <c r="M6258">
        <v>11</v>
      </c>
      <c r="N6258" t="s">
        <v>41</v>
      </c>
      <c r="O6258" t="s">
        <v>27</v>
      </c>
      <c r="P6258">
        <v>10.8523715270975</v>
      </c>
      <c r="Q6258">
        <v>0.83458027545953295</v>
      </c>
      <c r="R6258">
        <v>6.69404124776446</v>
      </c>
      <c r="S6258">
        <v>180</v>
      </c>
      <c r="T6258">
        <v>52</v>
      </c>
      <c r="U6258">
        <v>783.71337782731496</v>
      </c>
      <c r="V6258">
        <v>3.0378348522507501E-3</v>
      </c>
      <c r="W6258">
        <v>3012042.5481605302</v>
      </c>
      <c r="X6258" t="s">
        <v>28</v>
      </c>
      <c r="Y6258">
        <f>1-905-167-7300</f>
        <v>-8371</v>
      </c>
    </row>
    <row r="6259" spans="1:25" x14ac:dyDescent="0.35">
      <c r="A6259">
        <v>36.521712064994396</v>
      </c>
      <c r="B6259">
        <v>-121.625166202131</v>
      </c>
      <c r="C6259" t="s">
        <v>34</v>
      </c>
      <c r="D6259">
        <v>15.2924288040356</v>
      </c>
      <c r="E6259">
        <v>8</v>
      </c>
      <c r="F6259">
        <v>2888</v>
      </c>
      <c r="G6259">
        <v>5</v>
      </c>
      <c r="H6259">
        <v>2</v>
      </c>
      <c r="I6259">
        <v>1997</v>
      </c>
      <c r="J6259">
        <v>0</v>
      </c>
      <c r="K6259">
        <v>1</v>
      </c>
      <c r="L6259">
        <v>0</v>
      </c>
      <c r="M6259">
        <v>13</v>
      </c>
      <c r="N6259" t="s">
        <v>37</v>
      </c>
      <c r="O6259" t="s">
        <v>27</v>
      </c>
      <c r="P6259">
        <v>7.4053814033588097</v>
      </c>
      <c r="Q6259">
        <v>2.40731577658222</v>
      </c>
      <c r="R6259">
        <v>7.7380569124138701</v>
      </c>
      <c r="S6259">
        <v>55</v>
      </c>
      <c r="T6259">
        <v>24</v>
      </c>
      <c r="U6259">
        <v>227.35944459272</v>
      </c>
      <c r="V6259">
        <v>4.50138504155124E-3</v>
      </c>
      <c r="W6259">
        <v>1035772.4350385</v>
      </c>
      <c r="X6259" t="s">
        <v>40</v>
      </c>
      <c r="Y6259">
        <f>1-873-941-5942</f>
        <v>-7755</v>
      </c>
    </row>
    <row r="6260" spans="1:25" x14ac:dyDescent="0.35">
      <c r="A6260">
        <v>39.425655518485399</v>
      </c>
      <c r="B6260">
        <v>-123.502025018382</v>
      </c>
      <c r="C6260" t="s">
        <v>34</v>
      </c>
      <c r="D6260">
        <v>1.37235910781098</v>
      </c>
      <c r="E6260">
        <v>0</v>
      </c>
      <c r="F6260">
        <v>2222</v>
      </c>
      <c r="G6260">
        <v>2</v>
      </c>
      <c r="H6260">
        <v>1</v>
      </c>
      <c r="I6260">
        <v>1989</v>
      </c>
      <c r="J6260">
        <v>0</v>
      </c>
      <c r="K6260">
        <v>1</v>
      </c>
      <c r="L6260">
        <v>1</v>
      </c>
      <c r="M6260">
        <v>14</v>
      </c>
      <c r="N6260" t="s">
        <v>35</v>
      </c>
      <c r="O6260" t="s">
        <v>27</v>
      </c>
      <c r="P6260">
        <v>6.4540900238107</v>
      </c>
      <c r="Q6260">
        <v>0.74147282179045004</v>
      </c>
      <c r="R6260">
        <v>7.18134788358382</v>
      </c>
      <c r="S6260">
        <v>129</v>
      </c>
      <c r="T6260">
        <v>39</v>
      </c>
      <c r="U6260">
        <v>210.04414236083599</v>
      </c>
      <c r="V6260">
        <v>6.3006300630062996E-3</v>
      </c>
      <c r="W6260">
        <v>648347.70627314004</v>
      </c>
      <c r="X6260" t="s">
        <v>33</v>
      </c>
      <c r="Y6260">
        <f>1-277-818-4319</f>
        <v>-5413</v>
      </c>
    </row>
    <row r="6261" spans="1:25" x14ac:dyDescent="0.35">
      <c r="A6261">
        <v>41.873328221942799</v>
      </c>
      <c r="B6261">
        <v>-119.800344727097</v>
      </c>
      <c r="C6261" t="s">
        <v>34</v>
      </c>
      <c r="D6261">
        <v>38.476967928292503</v>
      </c>
      <c r="E6261">
        <v>1</v>
      </c>
      <c r="F6261">
        <v>4138</v>
      </c>
      <c r="G6261">
        <v>4</v>
      </c>
      <c r="H6261">
        <v>1</v>
      </c>
      <c r="I6261">
        <v>1963</v>
      </c>
      <c r="J6261">
        <v>1</v>
      </c>
      <c r="K6261">
        <v>0</v>
      </c>
      <c r="L6261">
        <v>0</v>
      </c>
      <c r="M6261">
        <v>11</v>
      </c>
      <c r="N6261" t="s">
        <v>41</v>
      </c>
      <c r="O6261" t="s">
        <v>30</v>
      </c>
      <c r="P6261">
        <v>3.1418834964037901</v>
      </c>
      <c r="Q6261">
        <v>1.9951627530566201</v>
      </c>
      <c r="R6261">
        <v>6.30603019772634</v>
      </c>
      <c r="S6261">
        <v>172</v>
      </c>
      <c r="T6261">
        <v>25</v>
      </c>
      <c r="U6261">
        <v>621.60773630055405</v>
      </c>
      <c r="V6261">
        <v>2.6582890285161902E-3</v>
      </c>
      <c r="W6261">
        <v>2761033.5579634798</v>
      </c>
      <c r="X6261" t="s">
        <v>40</v>
      </c>
      <c r="Y6261">
        <f>1-664-894-7399</f>
        <v>-8956</v>
      </c>
    </row>
    <row r="6262" spans="1:25" x14ac:dyDescent="0.35">
      <c r="A6262">
        <v>40.8344385027358</v>
      </c>
      <c r="B6262">
        <v>-116.02330532120401</v>
      </c>
      <c r="C6262" t="s">
        <v>25</v>
      </c>
      <c r="D6262">
        <v>9.4431275802222299</v>
      </c>
      <c r="E6262">
        <v>3</v>
      </c>
      <c r="F6262">
        <v>1009</v>
      </c>
      <c r="G6262">
        <v>3</v>
      </c>
      <c r="H6262">
        <v>1</v>
      </c>
      <c r="I6262">
        <v>2002</v>
      </c>
      <c r="J6262">
        <v>0</v>
      </c>
      <c r="K6262">
        <v>0</v>
      </c>
      <c r="L6262">
        <v>0</v>
      </c>
      <c r="M6262">
        <v>4</v>
      </c>
      <c r="N6262" t="s">
        <v>35</v>
      </c>
      <c r="O6262" t="s">
        <v>30</v>
      </c>
      <c r="P6262">
        <v>3.0960114275316202</v>
      </c>
      <c r="Q6262">
        <v>2.0629531532763798</v>
      </c>
      <c r="R6262">
        <v>7.7494455589684597</v>
      </c>
      <c r="S6262">
        <v>46</v>
      </c>
      <c r="T6262">
        <v>51</v>
      </c>
      <c r="U6262">
        <v>374.72539493441099</v>
      </c>
      <c r="V6262">
        <v>3.9643211100099099E-3</v>
      </c>
      <c r="W6262">
        <v>692119.52180643706</v>
      </c>
      <c r="X6262" t="s">
        <v>43</v>
      </c>
      <c r="Y6262">
        <f>1-361-573-6910</f>
        <v>-7843</v>
      </c>
    </row>
    <row r="6263" spans="1:25" x14ac:dyDescent="0.35">
      <c r="A6263">
        <v>35.057195847456903</v>
      </c>
      <c r="B6263">
        <v>-118.225829839432</v>
      </c>
      <c r="C6263" t="s">
        <v>25</v>
      </c>
      <c r="D6263">
        <v>30.438488423134999</v>
      </c>
      <c r="E6263">
        <v>9</v>
      </c>
      <c r="F6263">
        <v>2937</v>
      </c>
      <c r="G6263">
        <v>1</v>
      </c>
      <c r="H6263">
        <v>2</v>
      </c>
      <c r="I6263">
        <v>1957</v>
      </c>
      <c r="J6263">
        <v>0</v>
      </c>
      <c r="K6263">
        <v>0</v>
      </c>
      <c r="L6263">
        <v>0</v>
      </c>
      <c r="M6263">
        <v>4</v>
      </c>
      <c r="N6263" t="s">
        <v>26</v>
      </c>
      <c r="O6263" t="s">
        <v>32</v>
      </c>
      <c r="P6263">
        <v>10.9454621092047</v>
      </c>
      <c r="Q6263">
        <v>0.77115269812846399</v>
      </c>
      <c r="R6263">
        <v>2.1501831659442598</v>
      </c>
      <c r="S6263">
        <v>4</v>
      </c>
      <c r="T6263">
        <v>53</v>
      </c>
      <c r="U6263">
        <v>470.88523806077501</v>
      </c>
      <c r="V6263">
        <v>1.3619339462035999E-3</v>
      </c>
      <c r="W6263">
        <v>1493110.19908288</v>
      </c>
      <c r="X6263" t="s">
        <v>28</v>
      </c>
      <c r="Y6263">
        <f>1-739-184-8883</f>
        <v>-9805</v>
      </c>
    </row>
    <row r="6264" spans="1:25" x14ac:dyDescent="0.35">
      <c r="A6264">
        <v>38.698211111117701</v>
      </c>
      <c r="B6264">
        <v>-116.973399301949</v>
      </c>
      <c r="C6264" t="s">
        <v>25</v>
      </c>
      <c r="D6264">
        <v>23.900087885875902</v>
      </c>
      <c r="E6264">
        <v>8</v>
      </c>
      <c r="F6264">
        <v>1831</v>
      </c>
      <c r="G6264">
        <v>3</v>
      </c>
      <c r="H6264">
        <v>2</v>
      </c>
      <c r="I6264">
        <v>1993</v>
      </c>
      <c r="J6264">
        <v>1</v>
      </c>
      <c r="K6264">
        <v>1</v>
      </c>
      <c r="L6264">
        <v>0</v>
      </c>
      <c r="M6264">
        <v>3</v>
      </c>
      <c r="N6264" t="s">
        <v>35</v>
      </c>
      <c r="O6264" t="s">
        <v>30</v>
      </c>
      <c r="P6264">
        <v>6.8271842743135096</v>
      </c>
      <c r="Q6264">
        <v>0.64391223100008699</v>
      </c>
      <c r="R6264">
        <v>3.9414562560137001</v>
      </c>
      <c r="S6264">
        <v>46</v>
      </c>
      <c r="T6264">
        <v>58</v>
      </c>
      <c r="U6264">
        <v>413.75447325688299</v>
      </c>
      <c r="V6264">
        <v>1.63844893500819E-3</v>
      </c>
      <c r="W6264">
        <v>1182831.24345914</v>
      </c>
      <c r="X6264" t="s">
        <v>39</v>
      </c>
      <c r="Y6264">
        <f>1-694-284-5454</f>
        <v>-6431</v>
      </c>
    </row>
    <row r="6265" spans="1:25" x14ac:dyDescent="0.35">
      <c r="A6265">
        <v>40.426857387940501</v>
      </c>
      <c r="B6265">
        <v>-122.806044951419</v>
      </c>
      <c r="C6265" t="s">
        <v>29</v>
      </c>
      <c r="D6265">
        <v>30.696829021837701</v>
      </c>
      <c r="E6265">
        <v>0</v>
      </c>
      <c r="F6265">
        <v>2306</v>
      </c>
      <c r="G6265">
        <v>4</v>
      </c>
      <c r="H6265">
        <v>2</v>
      </c>
      <c r="I6265">
        <v>2012</v>
      </c>
      <c r="J6265">
        <v>1</v>
      </c>
      <c r="K6265">
        <v>1</v>
      </c>
      <c r="L6265">
        <v>0</v>
      </c>
      <c r="M6265">
        <v>4</v>
      </c>
      <c r="N6265" t="s">
        <v>35</v>
      </c>
      <c r="O6265" t="s">
        <v>32</v>
      </c>
      <c r="P6265">
        <v>5.1974088191735097</v>
      </c>
      <c r="Q6265">
        <v>2.0846001505749001</v>
      </c>
      <c r="R6265">
        <v>9.1193110349414201</v>
      </c>
      <c r="S6265">
        <v>181</v>
      </c>
      <c r="T6265">
        <v>46</v>
      </c>
      <c r="U6265">
        <v>230.55060104616399</v>
      </c>
      <c r="V6265">
        <v>1.73460537727666E-3</v>
      </c>
      <c r="W6265">
        <v>861021.19598896301</v>
      </c>
      <c r="X6265" t="s">
        <v>38</v>
      </c>
      <c r="Y6265">
        <f>1-803-394-2996</f>
        <v>-4192</v>
      </c>
    </row>
    <row r="6266" spans="1:25" x14ac:dyDescent="0.35">
      <c r="A6266">
        <v>34.8869461689007</v>
      </c>
      <c r="B6266">
        <v>-117.75609941434099</v>
      </c>
      <c r="C6266" t="s">
        <v>25</v>
      </c>
      <c r="D6266">
        <v>34.897558576298003</v>
      </c>
      <c r="E6266">
        <v>3</v>
      </c>
      <c r="F6266">
        <v>4472</v>
      </c>
      <c r="G6266">
        <v>2</v>
      </c>
      <c r="H6266">
        <v>2</v>
      </c>
      <c r="I6266">
        <v>1955</v>
      </c>
      <c r="J6266">
        <v>1</v>
      </c>
      <c r="K6266">
        <v>1</v>
      </c>
      <c r="L6266">
        <v>1</v>
      </c>
      <c r="M6266">
        <v>14</v>
      </c>
      <c r="N6266" t="s">
        <v>41</v>
      </c>
      <c r="O6266" t="s">
        <v>27</v>
      </c>
      <c r="P6266">
        <v>9.9746560224148606</v>
      </c>
      <c r="Q6266">
        <v>1.61318497230591</v>
      </c>
      <c r="R6266">
        <v>5.2740962565203304</v>
      </c>
      <c r="S6266">
        <v>177</v>
      </c>
      <c r="T6266">
        <v>74</v>
      </c>
      <c r="U6266">
        <v>995.44081709018303</v>
      </c>
      <c r="V6266">
        <v>3.13059033989266E-3</v>
      </c>
      <c r="W6266">
        <v>4716195.8734757397</v>
      </c>
      <c r="X6266" t="s">
        <v>33</v>
      </c>
      <c r="Y6266">
        <f>1-511-648-9062</f>
        <v>-10220</v>
      </c>
    </row>
    <row r="6267" spans="1:25" x14ac:dyDescent="0.35">
      <c r="A6267">
        <v>39.813767693248998</v>
      </c>
      <c r="B6267">
        <v>-124.149796525654</v>
      </c>
      <c r="C6267" t="s">
        <v>34</v>
      </c>
      <c r="D6267">
        <v>2.0344051672633898</v>
      </c>
      <c r="E6267">
        <v>2</v>
      </c>
      <c r="F6267">
        <v>1615</v>
      </c>
      <c r="G6267">
        <v>1</v>
      </c>
      <c r="H6267">
        <v>1</v>
      </c>
      <c r="I6267">
        <v>2003</v>
      </c>
      <c r="J6267">
        <v>1</v>
      </c>
      <c r="K6267">
        <v>1</v>
      </c>
      <c r="L6267">
        <v>1</v>
      </c>
      <c r="M6267">
        <v>4</v>
      </c>
      <c r="N6267" t="s">
        <v>37</v>
      </c>
      <c r="O6267" t="s">
        <v>30</v>
      </c>
      <c r="P6267">
        <v>7.7936939345994203</v>
      </c>
      <c r="Q6267">
        <v>2.1549237363546601</v>
      </c>
      <c r="R6267">
        <v>0.14420411692461599</v>
      </c>
      <c r="S6267">
        <v>125</v>
      </c>
      <c r="T6267">
        <v>64</v>
      </c>
      <c r="U6267">
        <v>678.32598235221496</v>
      </c>
      <c r="V6267">
        <v>2.4767801857585102E-3</v>
      </c>
      <c r="W6267">
        <v>1297082.49483816</v>
      </c>
      <c r="X6267" t="s">
        <v>39</v>
      </c>
      <c r="Y6267">
        <f>1-976-605-9655</f>
        <v>-11235</v>
      </c>
    </row>
    <row r="6268" spans="1:25" x14ac:dyDescent="0.35">
      <c r="A6268">
        <v>40.961455805081499</v>
      </c>
      <c r="B6268">
        <v>-119.874327483295</v>
      </c>
      <c r="C6268" t="s">
        <v>25</v>
      </c>
      <c r="D6268">
        <v>9.4389037085996002</v>
      </c>
      <c r="E6268">
        <v>9</v>
      </c>
      <c r="F6268">
        <v>1017</v>
      </c>
      <c r="G6268">
        <v>3</v>
      </c>
      <c r="H6268">
        <v>1</v>
      </c>
      <c r="I6268">
        <v>1951</v>
      </c>
      <c r="J6268">
        <v>1</v>
      </c>
      <c r="K6268">
        <v>0</v>
      </c>
      <c r="L6268">
        <v>0</v>
      </c>
      <c r="M6268">
        <v>7</v>
      </c>
      <c r="N6268" t="s">
        <v>37</v>
      </c>
      <c r="O6268" t="s">
        <v>27</v>
      </c>
      <c r="P6268">
        <v>7.4482201355370004</v>
      </c>
      <c r="Q6268">
        <v>1.8034669037525599</v>
      </c>
      <c r="R6268">
        <v>9.2002854682239192</v>
      </c>
      <c r="S6268">
        <v>141</v>
      </c>
      <c r="T6268">
        <v>62</v>
      </c>
      <c r="U6268">
        <v>297.423501542959</v>
      </c>
      <c r="V6268">
        <v>6.8829891838741398E-3</v>
      </c>
      <c r="W6268">
        <v>422262.68907564</v>
      </c>
      <c r="X6268" t="s">
        <v>40</v>
      </c>
      <c r="Y6268">
        <f>1-958-587-2365</f>
        <v>-3909</v>
      </c>
    </row>
    <row r="6269" spans="1:25" x14ac:dyDescent="0.35">
      <c r="A6269">
        <v>41.605250335795901</v>
      </c>
      <c r="B6269">
        <v>-118.890605470029</v>
      </c>
      <c r="C6269" t="s">
        <v>29</v>
      </c>
      <c r="D6269">
        <v>15.029309825337</v>
      </c>
      <c r="E6269">
        <v>5</v>
      </c>
      <c r="F6269">
        <v>4075</v>
      </c>
      <c r="G6269">
        <v>1</v>
      </c>
      <c r="H6269">
        <v>1</v>
      </c>
      <c r="I6269">
        <v>2017</v>
      </c>
      <c r="J6269">
        <v>1</v>
      </c>
      <c r="K6269">
        <v>0</v>
      </c>
      <c r="L6269">
        <v>0</v>
      </c>
      <c r="M6269">
        <v>10</v>
      </c>
      <c r="N6269" t="s">
        <v>26</v>
      </c>
      <c r="O6269" t="s">
        <v>32</v>
      </c>
      <c r="P6269">
        <v>13.0279155093912</v>
      </c>
      <c r="Q6269">
        <v>1.46663120977617</v>
      </c>
      <c r="R6269">
        <v>2.6083198776913199</v>
      </c>
      <c r="S6269">
        <v>92</v>
      </c>
      <c r="T6269">
        <v>37</v>
      </c>
      <c r="U6269">
        <v>613.81773806813396</v>
      </c>
      <c r="V6269">
        <v>2.4539877300613498E-3</v>
      </c>
      <c r="W6269">
        <v>2673738.4601257602</v>
      </c>
      <c r="X6269" t="s">
        <v>31</v>
      </c>
      <c r="Y6269">
        <f>1-245-966-7064</f>
        <v>-8274</v>
      </c>
    </row>
    <row r="6270" spans="1:25" x14ac:dyDescent="0.35">
      <c r="A6270">
        <v>40.415520613889001</v>
      </c>
      <c r="B6270">
        <v>-121.06591107737999</v>
      </c>
      <c r="C6270" t="s">
        <v>34</v>
      </c>
      <c r="D6270">
        <v>18.997123733546601</v>
      </c>
      <c r="E6270">
        <v>9</v>
      </c>
      <c r="F6270">
        <v>1495</v>
      </c>
      <c r="G6270">
        <v>3</v>
      </c>
      <c r="H6270">
        <v>2</v>
      </c>
      <c r="I6270">
        <v>1983</v>
      </c>
      <c r="J6270">
        <v>0</v>
      </c>
      <c r="K6270">
        <v>0</v>
      </c>
      <c r="L6270">
        <v>0</v>
      </c>
      <c r="M6270">
        <v>8</v>
      </c>
      <c r="N6270" t="s">
        <v>26</v>
      </c>
      <c r="O6270" t="s">
        <v>27</v>
      </c>
      <c r="P6270">
        <v>4.5468049940850701</v>
      </c>
      <c r="Q6270">
        <v>1.15341780707568</v>
      </c>
      <c r="R6270">
        <v>0.49082500106709498</v>
      </c>
      <c r="S6270">
        <v>32</v>
      </c>
      <c r="T6270">
        <v>64</v>
      </c>
      <c r="U6270">
        <v>939.83406305622998</v>
      </c>
      <c r="V6270">
        <v>5.35117056856187E-3</v>
      </c>
      <c r="W6270">
        <v>1574984.31501673</v>
      </c>
      <c r="X6270" t="s">
        <v>40</v>
      </c>
      <c r="Y6270">
        <f>1-389-284-4818</f>
        <v>-5490</v>
      </c>
    </row>
    <row r="6271" spans="1:25" x14ac:dyDescent="0.35">
      <c r="A6271">
        <v>40.960175777368299</v>
      </c>
      <c r="B6271">
        <v>-124.23713711510899</v>
      </c>
      <c r="C6271" t="s">
        <v>25</v>
      </c>
      <c r="D6271">
        <v>20.548270916095699</v>
      </c>
      <c r="E6271">
        <v>2</v>
      </c>
      <c r="F6271">
        <v>4759</v>
      </c>
      <c r="G6271">
        <v>1</v>
      </c>
      <c r="H6271">
        <v>1</v>
      </c>
      <c r="I6271">
        <v>1990</v>
      </c>
      <c r="J6271">
        <v>1</v>
      </c>
      <c r="K6271">
        <v>1</v>
      </c>
      <c r="L6271">
        <v>0</v>
      </c>
      <c r="M6271">
        <v>12</v>
      </c>
      <c r="N6271" t="s">
        <v>41</v>
      </c>
      <c r="O6271" t="s">
        <v>32</v>
      </c>
      <c r="P6271">
        <v>4.57100299042059</v>
      </c>
      <c r="Q6271">
        <v>0.75124367042518503</v>
      </c>
      <c r="R6271">
        <v>8.5050588021787199</v>
      </c>
      <c r="S6271">
        <v>34</v>
      </c>
      <c r="T6271">
        <v>34</v>
      </c>
      <c r="U6271">
        <v>558.69447576024197</v>
      </c>
      <c r="V6271">
        <v>2.5215381382643399E-3</v>
      </c>
      <c r="W6271">
        <v>2876914.0718268398</v>
      </c>
      <c r="X6271" t="s">
        <v>44</v>
      </c>
      <c r="Y6271">
        <f>1-930-974-8410</f>
        <v>-10313</v>
      </c>
    </row>
    <row r="6272" spans="1:25" x14ac:dyDescent="0.35">
      <c r="A6272">
        <v>34.903803526058901</v>
      </c>
      <c r="B6272">
        <v>-122.083980013001</v>
      </c>
      <c r="C6272" t="s">
        <v>29</v>
      </c>
      <c r="D6272">
        <v>27.19975899049</v>
      </c>
      <c r="E6272">
        <v>1</v>
      </c>
      <c r="F6272">
        <v>1420</v>
      </c>
      <c r="G6272">
        <v>3</v>
      </c>
      <c r="H6272">
        <v>3</v>
      </c>
      <c r="I6272">
        <v>1980</v>
      </c>
      <c r="J6272">
        <v>1</v>
      </c>
      <c r="K6272">
        <v>0</v>
      </c>
      <c r="L6272">
        <v>1</v>
      </c>
      <c r="M6272">
        <v>8</v>
      </c>
      <c r="N6272" t="s">
        <v>35</v>
      </c>
      <c r="O6272" t="s">
        <v>30</v>
      </c>
      <c r="P6272">
        <v>7.7173472642849497</v>
      </c>
      <c r="Q6272">
        <v>2.4694231110039699</v>
      </c>
      <c r="R6272">
        <v>7.4000176639142401</v>
      </c>
      <c r="S6272">
        <v>81</v>
      </c>
      <c r="T6272">
        <v>29</v>
      </c>
      <c r="U6272">
        <v>310.24056624220299</v>
      </c>
      <c r="V6272">
        <v>5.6338028169014001E-3</v>
      </c>
      <c r="W6272">
        <v>745069.91923476302</v>
      </c>
      <c r="X6272" t="s">
        <v>44</v>
      </c>
      <c r="Y6272">
        <f>1-211-763-2420</f>
        <v>-3393</v>
      </c>
    </row>
    <row r="6273" spans="1:25" x14ac:dyDescent="0.35">
      <c r="A6273">
        <v>41.195849735314901</v>
      </c>
      <c r="B6273">
        <v>-120.30638327522099</v>
      </c>
      <c r="C6273" t="s">
        <v>25</v>
      </c>
      <c r="D6273">
        <v>22.4625526806823</v>
      </c>
      <c r="E6273">
        <v>1</v>
      </c>
      <c r="F6273">
        <v>2631</v>
      </c>
      <c r="G6273">
        <v>4</v>
      </c>
      <c r="H6273">
        <v>3</v>
      </c>
      <c r="I6273">
        <v>2002</v>
      </c>
      <c r="J6273">
        <v>0</v>
      </c>
      <c r="K6273">
        <v>1</v>
      </c>
      <c r="L6273">
        <v>0</v>
      </c>
      <c r="M6273">
        <v>3</v>
      </c>
      <c r="N6273" t="s">
        <v>35</v>
      </c>
      <c r="O6273" t="s">
        <v>30</v>
      </c>
      <c r="P6273">
        <v>10.7119475594848</v>
      </c>
      <c r="Q6273">
        <v>1.95667222245026</v>
      </c>
      <c r="R6273">
        <v>6.6034908879676602</v>
      </c>
      <c r="S6273">
        <v>171</v>
      </c>
      <c r="T6273">
        <v>69</v>
      </c>
      <c r="U6273">
        <v>473.54932522263999</v>
      </c>
      <c r="V6273">
        <v>1.1402508551881399E-3</v>
      </c>
      <c r="W6273">
        <v>1647024.3006777901</v>
      </c>
      <c r="X6273" t="s">
        <v>33</v>
      </c>
      <c r="Y6273">
        <f>1-502-399-4431</f>
        <v>-5331</v>
      </c>
    </row>
    <row r="6274" spans="1:25" x14ac:dyDescent="0.35">
      <c r="A6274">
        <v>38.858674423661</v>
      </c>
      <c r="B6274">
        <v>-124.255477486846</v>
      </c>
      <c r="C6274" t="s">
        <v>29</v>
      </c>
      <c r="D6274">
        <v>39.175028890859103</v>
      </c>
      <c r="E6274">
        <v>6</v>
      </c>
      <c r="F6274">
        <v>2765</v>
      </c>
      <c r="G6274">
        <v>3</v>
      </c>
      <c r="H6274">
        <v>1</v>
      </c>
      <c r="I6274">
        <v>1965</v>
      </c>
      <c r="J6274">
        <v>0</v>
      </c>
      <c r="K6274">
        <v>1</v>
      </c>
      <c r="L6274">
        <v>1</v>
      </c>
      <c r="M6274">
        <v>5</v>
      </c>
      <c r="N6274" t="s">
        <v>41</v>
      </c>
      <c r="O6274" t="s">
        <v>30</v>
      </c>
      <c r="P6274">
        <v>13.8385386256838</v>
      </c>
      <c r="Q6274">
        <v>2.4730006268214</v>
      </c>
      <c r="R6274">
        <v>7.9962422427078597</v>
      </c>
      <c r="S6274">
        <v>183</v>
      </c>
      <c r="T6274">
        <v>63</v>
      </c>
      <c r="U6274">
        <v>466.78705000893098</v>
      </c>
      <c r="V6274">
        <v>1.80831826401446E-3</v>
      </c>
      <c r="W6274">
        <v>1589769.4267558099</v>
      </c>
      <c r="X6274" t="s">
        <v>43</v>
      </c>
      <c r="Y6274">
        <f>1-822-128-2163</f>
        <v>-3112</v>
      </c>
    </row>
    <row r="6275" spans="1:25" x14ac:dyDescent="0.35">
      <c r="A6275">
        <v>36.044075120353298</v>
      </c>
      <c r="B6275">
        <v>-123.88904794277801</v>
      </c>
      <c r="C6275" t="s">
        <v>25</v>
      </c>
      <c r="D6275">
        <v>8.0858663630263106</v>
      </c>
      <c r="E6275">
        <v>8</v>
      </c>
      <c r="F6275">
        <v>4995</v>
      </c>
      <c r="G6275">
        <v>4</v>
      </c>
      <c r="H6275">
        <v>1</v>
      </c>
      <c r="I6275">
        <v>1979</v>
      </c>
      <c r="J6275">
        <v>1</v>
      </c>
      <c r="K6275">
        <v>0</v>
      </c>
      <c r="L6275">
        <v>0</v>
      </c>
      <c r="M6275">
        <v>2</v>
      </c>
      <c r="N6275" t="s">
        <v>26</v>
      </c>
      <c r="O6275" t="s">
        <v>30</v>
      </c>
      <c r="P6275">
        <v>12.141395091713401</v>
      </c>
      <c r="Q6275">
        <v>2.0890859894579399</v>
      </c>
      <c r="R6275">
        <v>6.3949898192115597</v>
      </c>
      <c r="S6275">
        <v>125</v>
      </c>
      <c r="T6275">
        <v>23</v>
      </c>
      <c r="U6275">
        <v>253.316097756841</v>
      </c>
      <c r="V6275">
        <v>4.0040040040039998E-4</v>
      </c>
      <c r="W6275">
        <v>1526963.8203300501</v>
      </c>
      <c r="X6275" t="s">
        <v>42</v>
      </c>
      <c r="Y6275">
        <f>1-768-360-7128</f>
        <v>-8255</v>
      </c>
    </row>
    <row r="6276" spans="1:25" x14ac:dyDescent="0.35">
      <c r="A6276">
        <v>34.581829060237901</v>
      </c>
      <c r="B6276">
        <v>-121.13404118684601</v>
      </c>
      <c r="C6276" t="s">
        <v>29</v>
      </c>
      <c r="D6276">
        <v>25.293705899244198</v>
      </c>
      <c r="E6276">
        <v>3</v>
      </c>
      <c r="F6276">
        <v>1450</v>
      </c>
      <c r="G6276">
        <v>2</v>
      </c>
      <c r="H6276">
        <v>1</v>
      </c>
      <c r="I6276">
        <v>1991</v>
      </c>
      <c r="J6276">
        <v>1</v>
      </c>
      <c r="K6276">
        <v>1</v>
      </c>
      <c r="L6276">
        <v>1</v>
      </c>
      <c r="M6276">
        <v>9</v>
      </c>
      <c r="N6276" t="s">
        <v>41</v>
      </c>
      <c r="O6276" t="s">
        <v>30</v>
      </c>
      <c r="P6276">
        <v>7.2264387424386998</v>
      </c>
      <c r="Q6276">
        <v>0.53903691476263405</v>
      </c>
      <c r="R6276">
        <v>7.3438106532887302</v>
      </c>
      <c r="S6276">
        <v>39</v>
      </c>
      <c r="T6276">
        <v>24</v>
      </c>
      <c r="U6276">
        <v>958.00638397697003</v>
      </c>
      <c r="V6276">
        <v>6.2068965517241299E-3</v>
      </c>
      <c r="W6276">
        <v>1661348.67068736</v>
      </c>
      <c r="X6276" t="s">
        <v>28</v>
      </c>
      <c r="Y6276">
        <f>1-425-756-9791</f>
        <v>-10971</v>
      </c>
    </row>
    <row r="6277" spans="1:25" x14ac:dyDescent="0.35">
      <c r="A6277">
        <v>40.244058611286199</v>
      </c>
      <c r="B6277">
        <v>-116.701395264921</v>
      </c>
      <c r="C6277" t="s">
        <v>34</v>
      </c>
      <c r="D6277">
        <v>28.915734510065899</v>
      </c>
      <c r="E6277">
        <v>0</v>
      </c>
      <c r="F6277">
        <v>1498</v>
      </c>
      <c r="G6277">
        <v>5</v>
      </c>
      <c r="H6277">
        <v>1</v>
      </c>
      <c r="I6277">
        <v>2012</v>
      </c>
      <c r="J6277">
        <v>1</v>
      </c>
      <c r="K6277">
        <v>1</v>
      </c>
      <c r="L6277">
        <v>0</v>
      </c>
      <c r="M6277">
        <v>4</v>
      </c>
      <c r="N6277" t="s">
        <v>41</v>
      </c>
      <c r="O6277" t="s">
        <v>30</v>
      </c>
      <c r="P6277">
        <v>13.491756543146399</v>
      </c>
      <c r="Q6277">
        <v>0.91312547972973701</v>
      </c>
      <c r="R6277">
        <v>2.46848537229498</v>
      </c>
      <c r="S6277">
        <v>102</v>
      </c>
      <c r="T6277">
        <v>66</v>
      </c>
      <c r="U6277">
        <v>280.75689793314501</v>
      </c>
      <c r="V6277">
        <v>2.6702269692923798E-3</v>
      </c>
      <c r="W6277">
        <v>814533.87012065295</v>
      </c>
      <c r="X6277" t="s">
        <v>44</v>
      </c>
      <c r="Y6277">
        <f>1-673-464-4010</f>
        <v>-5146</v>
      </c>
    </row>
    <row r="6278" spans="1:25" x14ac:dyDescent="0.35">
      <c r="A6278">
        <v>32.618578827093202</v>
      </c>
      <c r="B6278">
        <v>-122.972349258733</v>
      </c>
      <c r="C6278" t="s">
        <v>34</v>
      </c>
      <c r="D6278">
        <v>17.778955903872099</v>
      </c>
      <c r="E6278">
        <v>9</v>
      </c>
      <c r="F6278">
        <v>2600</v>
      </c>
      <c r="G6278">
        <v>5</v>
      </c>
      <c r="H6278">
        <v>3</v>
      </c>
      <c r="I6278">
        <v>2009</v>
      </c>
      <c r="J6278">
        <v>0</v>
      </c>
      <c r="K6278">
        <v>1</v>
      </c>
      <c r="L6278">
        <v>1</v>
      </c>
      <c r="M6278">
        <v>9</v>
      </c>
      <c r="N6278" t="s">
        <v>26</v>
      </c>
      <c r="O6278" t="s">
        <v>30</v>
      </c>
      <c r="P6278">
        <v>8.3531088435897694</v>
      </c>
      <c r="Q6278">
        <v>1.5015671408686899</v>
      </c>
      <c r="R6278">
        <v>7.1536838408262202</v>
      </c>
      <c r="S6278">
        <v>175</v>
      </c>
      <c r="T6278">
        <v>65</v>
      </c>
      <c r="U6278">
        <v>205.99668326195601</v>
      </c>
      <c r="V6278">
        <v>3.4615384615384599E-3</v>
      </c>
      <c r="W6278">
        <v>1071544.2160112399</v>
      </c>
      <c r="X6278" t="s">
        <v>40</v>
      </c>
      <c r="Y6278">
        <f>1-525-717-2611</f>
        <v>-3852</v>
      </c>
    </row>
    <row r="6279" spans="1:25" x14ac:dyDescent="0.35">
      <c r="A6279">
        <v>32.996479824698604</v>
      </c>
      <c r="B6279">
        <v>-123.23908348643</v>
      </c>
      <c r="C6279" t="s">
        <v>25</v>
      </c>
      <c r="D6279">
        <v>19.2289810386002</v>
      </c>
      <c r="E6279">
        <v>5</v>
      </c>
      <c r="F6279">
        <v>4483</v>
      </c>
      <c r="G6279">
        <v>2</v>
      </c>
      <c r="H6279">
        <v>2</v>
      </c>
      <c r="I6279">
        <v>1993</v>
      </c>
      <c r="J6279">
        <v>1</v>
      </c>
      <c r="K6279">
        <v>0</v>
      </c>
      <c r="L6279">
        <v>1</v>
      </c>
      <c r="M6279">
        <v>6</v>
      </c>
      <c r="N6279" t="s">
        <v>41</v>
      </c>
      <c r="O6279" t="s">
        <v>30</v>
      </c>
      <c r="P6279">
        <v>12.791846272246101</v>
      </c>
      <c r="Q6279">
        <v>1.1280025687136801</v>
      </c>
      <c r="R6279">
        <v>9.8537424158254101</v>
      </c>
      <c r="S6279">
        <v>82</v>
      </c>
      <c r="T6279">
        <v>33</v>
      </c>
      <c r="U6279">
        <v>594.23535268702301</v>
      </c>
      <c r="V6279">
        <v>1.33838947133615E-3</v>
      </c>
      <c r="W6279">
        <v>2824352.58312689</v>
      </c>
      <c r="X6279" t="s">
        <v>28</v>
      </c>
      <c r="Y6279">
        <f>1-773-317-3618</f>
        <v>-4707</v>
      </c>
    </row>
    <row r="6280" spans="1:25" x14ac:dyDescent="0.35">
      <c r="A6280">
        <v>33.4016367721729</v>
      </c>
      <c r="B6280">
        <v>-118.800029500313</v>
      </c>
      <c r="C6280" t="s">
        <v>34</v>
      </c>
      <c r="D6280">
        <v>34.702681112614201</v>
      </c>
      <c r="E6280">
        <v>2</v>
      </c>
      <c r="F6280">
        <v>1811</v>
      </c>
      <c r="G6280">
        <v>1</v>
      </c>
      <c r="H6280">
        <v>3</v>
      </c>
      <c r="I6280">
        <v>1961</v>
      </c>
      <c r="J6280">
        <v>0</v>
      </c>
      <c r="K6280">
        <v>0</v>
      </c>
      <c r="L6280">
        <v>1</v>
      </c>
      <c r="M6280">
        <v>2</v>
      </c>
      <c r="N6280" t="s">
        <v>35</v>
      </c>
      <c r="O6280" t="s">
        <v>27</v>
      </c>
      <c r="P6280">
        <v>14.7645780833709</v>
      </c>
      <c r="Q6280">
        <v>0.95095755952070204</v>
      </c>
      <c r="R6280">
        <v>4.9334836562364002</v>
      </c>
      <c r="S6280">
        <v>29</v>
      </c>
      <c r="T6280">
        <v>70</v>
      </c>
      <c r="U6280">
        <v>702.65381705091397</v>
      </c>
      <c r="V6280">
        <v>1.1043622308117001E-3</v>
      </c>
      <c r="W6280">
        <v>1490519.6080891299</v>
      </c>
      <c r="X6280" t="s">
        <v>43</v>
      </c>
      <c r="Y6280">
        <f>1-955-703-2693</f>
        <v>-4350</v>
      </c>
    </row>
    <row r="6281" spans="1:25" x14ac:dyDescent="0.35">
      <c r="A6281">
        <v>39.260057672188303</v>
      </c>
      <c r="B6281">
        <v>-115.89684825646</v>
      </c>
      <c r="C6281" t="s">
        <v>25</v>
      </c>
      <c r="D6281">
        <v>27.457485117416201</v>
      </c>
      <c r="E6281">
        <v>3</v>
      </c>
      <c r="F6281">
        <v>3710</v>
      </c>
      <c r="G6281">
        <v>4</v>
      </c>
      <c r="H6281">
        <v>1</v>
      </c>
      <c r="I6281">
        <v>1976</v>
      </c>
      <c r="J6281">
        <v>0</v>
      </c>
      <c r="K6281">
        <v>1</v>
      </c>
      <c r="L6281">
        <v>1</v>
      </c>
      <c r="M6281">
        <v>4</v>
      </c>
      <c r="N6281" t="s">
        <v>41</v>
      </c>
      <c r="O6281" t="s">
        <v>27</v>
      </c>
      <c r="P6281">
        <v>13.403457314745401</v>
      </c>
      <c r="Q6281">
        <v>0.87829933492949797</v>
      </c>
      <c r="R6281">
        <v>6.34249631218358</v>
      </c>
      <c r="S6281">
        <v>94</v>
      </c>
      <c r="T6281">
        <v>43</v>
      </c>
      <c r="U6281">
        <v>995.34015178628397</v>
      </c>
      <c r="V6281">
        <v>1.0781671159029601E-3</v>
      </c>
      <c r="W6281">
        <v>4154608.65105699</v>
      </c>
      <c r="X6281" t="s">
        <v>44</v>
      </c>
      <c r="Y6281">
        <f>1-890-781-6612</f>
        <v>-8282</v>
      </c>
    </row>
    <row r="6282" spans="1:25" x14ac:dyDescent="0.35">
      <c r="A6282">
        <v>38.7223592486393</v>
      </c>
      <c r="B6282">
        <v>-118.86742136168201</v>
      </c>
      <c r="C6282" t="s">
        <v>25</v>
      </c>
      <c r="D6282">
        <v>11.3024972517295</v>
      </c>
      <c r="E6282">
        <v>7</v>
      </c>
      <c r="F6282">
        <v>1102</v>
      </c>
      <c r="G6282">
        <v>4</v>
      </c>
      <c r="H6282">
        <v>1</v>
      </c>
      <c r="I6282">
        <v>1968</v>
      </c>
      <c r="J6282">
        <v>1</v>
      </c>
      <c r="K6282">
        <v>0</v>
      </c>
      <c r="L6282">
        <v>1</v>
      </c>
      <c r="M6282">
        <v>10</v>
      </c>
      <c r="N6282" t="s">
        <v>35</v>
      </c>
      <c r="O6282" t="s">
        <v>32</v>
      </c>
      <c r="P6282">
        <v>8.9410850393559809</v>
      </c>
      <c r="Q6282">
        <v>1.3604306656433001</v>
      </c>
      <c r="R6282">
        <v>0.42984478871578602</v>
      </c>
      <c r="S6282">
        <v>72</v>
      </c>
      <c r="T6282">
        <v>63</v>
      </c>
      <c r="U6282">
        <v>804.35701659938502</v>
      </c>
      <c r="V6282">
        <v>9.07441016333938E-3</v>
      </c>
      <c r="W6282">
        <v>1214998.8027333701</v>
      </c>
      <c r="X6282" t="s">
        <v>28</v>
      </c>
      <c r="Y6282">
        <f>1-260-608-7860</f>
        <v>-8727</v>
      </c>
    </row>
    <row r="6283" spans="1:25" x14ac:dyDescent="0.35">
      <c r="A6283">
        <v>37.606151450035199</v>
      </c>
      <c r="B6283">
        <v>-115.504504536242</v>
      </c>
      <c r="C6283" t="s">
        <v>34</v>
      </c>
      <c r="D6283">
        <v>6.2991054843486598</v>
      </c>
      <c r="E6283">
        <v>1</v>
      </c>
      <c r="F6283">
        <v>2990</v>
      </c>
      <c r="G6283">
        <v>2</v>
      </c>
      <c r="H6283">
        <v>2</v>
      </c>
      <c r="I6283">
        <v>1991</v>
      </c>
      <c r="J6283">
        <v>1</v>
      </c>
      <c r="K6283">
        <v>0</v>
      </c>
      <c r="L6283">
        <v>1</v>
      </c>
      <c r="M6283">
        <v>13</v>
      </c>
      <c r="N6283" t="s">
        <v>26</v>
      </c>
      <c r="O6283" t="s">
        <v>32</v>
      </c>
      <c r="P6283">
        <v>3.0657385578656502</v>
      </c>
      <c r="Q6283">
        <v>1.3279622986142099</v>
      </c>
      <c r="R6283">
        <v>7.6057874535557604</v>
      </c>
      <c r="S6283">
        <v>46</v>
      </c>
      <c r="T6283">
        <v>26</v>
      </c>
      <c r="U6283">
        <v>327.15524905563598</v>
      </c>
      <c r="V6283">
        <v>4.3478260869565201E-3</v>
      </c>
      <c r="W6283">
        <v>1171429.82393147</v>
      </c>
      <c r="X6283" t="s">
        <v>39</v>
      </c>
      <c r="Y6283">
        <f>1-614-264-2630</f>
        <v>-3507</v>
      </c>
    </row>
    <row r="6284" spans="1:25" x14ac:dyDescent="0.35">
      <c r="A6284">
        <v>37.199632422722303</v>
      </c>
      <c r="B6284">
        <v>-124.33042966275301</v>
      </c>
      <c r="C6284" t="s">
        <v>25</v>
      </c>
      <c r="D6284">
        <v>4.3862840308416704</v>
      </c>
      <c r="E6284">
        <v>3</v>
      </c>
      <c r="F6284">
        <v>2590</v>
      </c>
      <c r="G6284">
        <v>2</v>
      </c>
      <c r="H6284">
        <v>1</v>
      </c>
      <c r="I6284">
        <v>1952</v>
      </c>
      <c r="J6284">
        <v>1</v>
      </c>
      <c r="K6284">
        <v>1</v>
      </c>
      <c r="L6284">
        <v>0</v>
      </c>
      <c r="M6284">
        <v>2</v>
      </c>
      <c r="N6284" t="s">
        <v>37</v>
      </c>
      <c r="O6284" t="s">
        <v>32</v>
      </c>
      <c r="P6284">
        <v>2.0729969373078299</v>
      </c>
      <c r="Q6284">
        <v>0.59101682505979802</v>
      </c>
      <c r="R6284">
        <v>5.1953873726332098</v>
      </c>
      <c r="S6284">
        <v>135</v>
      </c>
      <c r="T6284">
        <v>64</v>
      </c>
      <c r="U6284">
        <v>463.19320487815497</v>
      </c>
      <c r="V6284">
        <v>7.7220077220077198E-4</v>
      </c>
      <c r="W6284">
        <v>1389705.34254271</v>
      </c>
      <c r="X6284" t="s">
        <v>39</v>
      </c>
      <c r="Y6284">
        <f>1-992-997-7577</f>
        <v>-9565</v>
      </c>
    </row>
    <row r="6285" spans="1:25" x14ac:dyDescent="0.35">
      <c r="A6285">
        <v>36.597836584440302</v>
      </c>
      <c r="B6285">
        <v>-114.94660940512</v>
      </c>
      <c r="C6285" t="s">
        <v>34</v>
      </c>
      <c r="D6285">
        <v>4.7833628644055803</v>
      </c>
      <c r="E6285">
        <v>2</v>
      </c>
      <c r="F6285">
        <v>3311</v>
      </c>
      <c r="G6285">
        <v>5</v>
      </c>
      <c r="H6285">
        <v>2</v>
      </c>
      <c r="I6285">
        <v>1987</v>
      </c>
      <c r="J6285">
        <v>1</v>
      </c>
      <c r="K6285">
        <v>1</v>
      </c>
      <c r="L6285">
        <v>1</v>
      </c>
      <c r="M6285">
        <v>5</v>
      </c>
      <c r="N6285" t="s">
        <v>41</v>
      </c>
      <c r="O6285" t="s">
        <v>30</v>
      </c>
      <c r="P6285">
        <v>5.7483019172022702</v>
      </c>
      <c r="Q6285">
        <v>1.9780716659676501</v>
      </c>
      <c r="R6285">
        <v>5.2467387503922902</v>
      </c>
      <c r="S6285">
        <v>184</v>
      </c>
      <c r="T6285">
        <v>55</v>
      </c>
      <c r="U6285">
        <v>708.37747457446505</v>
      </c>
      <c r="V6285">
        <v>1.51011778918755E-3</v>
      </c>
      <c r="W6285">
        <v>2764186.9528390002</v>
      </c>
      <c r="X6285" t="s">
        <v>43</v>
      </c>
      <c r="Y6285">
        <f>1-799-940-5181</f>
        <v>-6919</v>
      </c>
    </row>
    <row r="6286" spans="1:25" x14ac:dyDescent="0.35">
      <c r="A6286">
        <v>37.560127522685001</v>
      </c>
      <c r="B6286">
        <v>-114.19559664949399</v>
      </c>
      <c r="C6286" t="s">
        <v>29</v>
      </c>
      <c r="D6286">
        <v>40.881991307318899</v>
      </c>
      <c r="E6286">
        <v>3</v>
      </c>
      <c r="F6286">
        <v>4072</v>
      </c>
      <c r="G6286">
        <v>1</v>
      </c>
      <c r="H6286">
        <v>2</v>
      </c>
      <c r="I6286">
        <v>2001</v>
      </c>
      <c r="J6286">
        <v>0</v>
      </c>
      <c r="K6286">
        <v>0</v>
      </c>
      <c r="L6286">
        <v>1</v>
      </c>
      <c r="M6286">
        <v>13</v>
      </c>
      <c r="N6286" t="s">
        <v>26</v>
      </c>
      <c r="O6286" t="s">
        <v>27</v>
      </c>
      <c r="P6286">
        <v>10.7318675608166</v>
      </c>
      <c r="Q6286">
        <v>1.6067192478141501</v>
      </c>
      <c r="R6286">
        <v>9.6794272505171008</v>
      </c>
      <c r="S6286">
        <v>75</v>
      </c>
      <c r="T6286">
        <v>60</v>
      </c>
      <c r="U6286">
        <v>779.30326733332799</v>
      </c>
      <c r="V6286">
        <v>3.1925343811394801E-3</v>
      </c>
      <c r="W6286">
        <v>3395576.1982363001</v>
      </c>
      <c r="X6286" t="s">
        <v>31</v>
      </c>
      <c r="Y6286">
        <f>1-944-429-9900</f>
        <v>-11272</v>
      </c>
    </row>
    <row r="6287" spans="1:25" x14ac:dyDescent="0.35">
      <c r="A6287">
        <v>36.498537036953699</v>
      </c>
      <c r="B6287">
        <v>-116.037592927631</v>
      </c>
      <c r="C6287" t="s">
        <v>34</v>
      </c>
      <c r="D6287">
        <v>32.6843541777002</v>
      </c>
      <c r="E6287">
        <v>6</v>
      </c>
      <c r="F6287">
        <v>1731</v>
      </c>
      <c r="G6287">
        <v>4</v>
      </c>
      <c r="H6287">
        <v>1</v>
      </c>
      <c r="I6287">
        <v>1955</v>
      </c>
      <c r="J6287">
        <v>0</v>
      </c>
      <c r="K6287">
        <v>0</v>
      </c>
      <c r="L6287">
        <v>1</v>
      </c>
      <c r="M6287">
        <v>12</v>
      </c>
      <c r="N6287" t="s">
        <v>41</v>
      </c>
      <c r="O6287" t="s">
        <v>32</v>
      </c>
      <c r="P6287">
        <v>4.9673881448988402</v>
      </c>
      <c r="Q6287">
        <v>1.7284338155160399</v>
      </c>
      <c r="R6287">
        <v>9.3988185015489201</v>
      </c>
      <c r="S6287">
        <v>167</v>
      </c>
      <c r="T6287">
        <v>33</v>
      </c>
      <c r="U6287">
        <v>242.17830926621801</v>
      </c>
      <c r="V6287">
        <v>6.9324090121317102E-3</v>
      </c>
      <c r="W6287">
        <v>604222.79552319099</v>
      </c>
      <c r="X6287" t="s">
        <v>33</v>
      </c>
      <c r="Y6287">
        <f>1-980-191-3036</f>
        <v>-4206</v>
      </c>
    </row>
    <row r="6288" spans="1:25" x14ac:dyDescent="0.35">
      <c r="A6288">
        <v>38.119287128695298</v>
      </c>
      <c r="B6288">
        <v>-121.720583439748</v>
      </c>
      <c r="C6288" t="s">
        <v>25</v>
      </c>
      <c r="D6288">
        <v>14.201285676081399</v>
      </c>
      <c r="E6288">
        <v>0</v>
      </c>
      <c r="F6288">
        <v>3340</v>
      </c>
      <c r="G6288">
        <v>3</v>
      </c>
      <c r="H6288">
        <v>2</v>
      </c>
      <c r="I6288">
        <v>2012</v>
      </c>
      <c r="J6288">
        <v>1</v>
      </c>
      <c r="K6288">
        <v>1</v>
      </c>
      <c r="L6288">
        <v>1</v>
      </c>
      <c r="M6288">
        <v>11</v>
      </c>
      <c r="N6288" t="s">
        <v>37</v>
      </c>
      <c r="O6288" t="s">
        <v>32</v>
      </c>
      <c r="P6288">
        <v>4.7740886770871001</v>
      </c>
      <c r="Q6288">
        <v>1.5342114565915399</v>
      </c>
      <c r="R6288">
        <v>3.5330543662899898</v>
      </c>
      <c r="S6288">
        <v>51</v>
      </c>
      <c r="T6288">
        <v>29</v>
      </c>
      <c r="U6288">
        <v>888.26000057931401</v>
      </c>
      <c r="V6288">
        <v>3.2934131736526901E-3</v>
      </c>
      <c r="W6288">
        <v>3331794.93051585</v>
      </c>
      <c r="X6288" t="s">
        <v>44</v>
      </c>
      <c r="Y6288">
        <f>1-982-909-8428</f>
        <v>-10318</v>
      </c>
    </row>
    <row r="6289" spans="1:25" x14ac:dyDescent="0.35">
      <c r="A6289">
        <v>40.453999652281901</v>
      </c>
      <c r="B6289">
        <v>-119.708669865166</v>
      </c>
      <c r="C6289" t="s">
        <v>29</v>
      </c>
      <c r="D6289">
        <v>44.751387536128597</v>
      </c>
      <c r="E6289">
        <v>0</v>
      </c>
      <c r="F6289">
        <v>2883</v>
      </c>
      <c r="G6289">
        <v>5</v>
      </c>
      <c r="H6289">
        <v>3</v>
      </c>
      <c r="I6289">
        <v>1960</v>
      </c>
      <c r="J6289">
        <v>0</v>
      </c>
      <c r="K6289">
        <v>0</v>
      </c>
      <c r="L6289">
        <v>1</v>
      </c>
      <c r="M6289">
        <v>6</v>
      </c>
      <c r="N6289" t="s">
        <v>41</v>
      </c>
      <c r="O6289" t="s">
        <v>27</v>
      </c>
      <c r="P6289">
        <v>7.0443712463989598</v>
      </c>
      <c r="Q6289">
        <v>1.98107650519823</v>
      </c>
      <c r="R6289">
        <v>3.8649602929675702</v>
      </c>
      <c r="S6289">
        <v>11</v>
      </c>
      <c r="T6289">
        <v>62</v>
      </c>
      <c r="U6289">
        <v>451.560715135853</v>
      </c>
      <c r="V6289">
        <v>2.0811654526534801E-3</v>
      </c>
      <c r="W6289">
        <v>1570371.27887157</v>
      </c>
      <c r="X6289" t="s">
        <v>42</v>
      </c>
      <c r="Y6289">
        <f>1-405-197-2926</f>
        <v>-3527</v>
      </c>
    </row>
    <row r="6290" spans="1:25" x14ac:dyDescent="0.35">
      <c r="A6290">
        <v>37.833749111405901</v>
      </c>
      <c r="B6290">
        <v>-123.796977038664</v>
      </c>
      <c r="C6290" t="s">
        <v>34</v>
      </c>
      <c r="D6290">
        <v>45.8458583779625</v>
      </c>
      <c r="E6290">
        <v>2</v>
      </c>
      <c r="F6290">
        <v>1863</v>
      </c>
      <c r="G6290">
        <v>4</v>
      </c>
      <c r="H6290">
        <v>2</v>
      </c>
      <c r="I6290">
        <v>1963</v>
      </c>
      <c r="J6290">
        <v>1</v>
      </c>
      <c r="K6290">
        <v>1</v>
      </c>
      <c r="L6290">
        <v>1</v>
      </c>
      <c r="M6290">
        <v>5</v>
      </c>
      <c r="N6290" t="s">
        <v>41</v>
      </c>
      <c r="O6290" t="s">
        <v>27</v>
      </c>
      <c r="P6290">
        <v>3.65014966375387</v>
      </c>
      <c r="Q6290">
        <v>0.94845278836720603</v>
      </c>
      <c r="R6290">
        <v>3.2821428634831502</v>
      </c>
      <c r="S6290">
        <v>169</v>
      </c>
      <c r="T6290">
        <v>78</v>
      </c>
      <c r="U6290">
        <v>347.73044909238803</v>
      </c>
      <c r="V6290">
        <v>2.6838432635534E-3</v>
      </c>
      <c r="W6290">
        <v>971500.24813673506</v>
      </c>
      <c r="X6290" t="s">
        <v>28</v>
      </c>
      <c r="Y6290">
        <f>1-822-881-8089</f>
        <v>-9791</v>
      </c>
    </row>
    <row r="6291" spans="1:25" x14ac:dyDescent="0.35">
      <c r="A6291">
        <v>39.523030708196302</v>
      </c>
      <c r="B6291">
        <v>-114.897328593588</v>
      </c>
      <c r="C6291" t="s">
        <v>25</v>
      </c>
      <c r="D6291">
        <v>41.259558022781597</v>
      </c>
      <c r="E6291">
        <v>6</v>
      </c>
      <c r="F6291">
        <v>3462</v>
      </c>
      <c r="G6291">
        <v>3</v>
      </c>
      <c r="H6291">
        <v>2</v>
      </c>
      <c r="I6291">
        <v>1973</v>
      </c>
      <c r="J6291">
        <v>0</v>
      </c>
      <c r="K6291">
        <v>1</v>
      </c>
      <c r="L6291">
        <v>0</v>
      </c>
      <c r="M6291">
        <v>9</v>
      </c>
      <c r="N6291" t="s">
        <v>35</v>
      </c>
      <c r="O6291" t="s">
        <v>30</v>
      </c>
      <c r="P6291">
        <v>3.1831147102547401</v>
      </c>
      <c r="Q6291">
        <v>1.95462463899768</v>
      </c>
      <c r="R6291">
        <v>9.9109992673825804</v>
      </c>
      <c r="S6291">
        <v>56</v>
      </c>
      <c r="T6291">
        <v>21</v>
      </c>
      <c r="U6291">
        <v>589.78861258851805</v>
      </c>
      <c r="V6291">
        <v>2.5996533795493901E-3</v>
      </c>
      <c r="W6291">
        <v>2251363.0936287101</v>
      </c>
      <c r="X6291" t="s">
        <v>43</v>
      </c>
      <c r="Y6291">
        <f>1-212-189-1928</f>
        <v>-2328</v>
      </c>
    </row>
    <row r="6292" spans="1:25" x14ac:dyDescent="0.35">
      <c r="A6292">
        <v>40.620644975912597</v>
      </c>
      <c r="B6292">
        <v>-121.593433458541</v>
      </c>
      <c r="C6292" t="s">
        <v>25</v>
      </c>
      <c r="D6292">
        <v>43.4555327110684</v>
      </c>
      <c r="E6292">
        <v>1</v>
      </c>
      <c r="F6292">
        <v>2731</v>
      </c>
      <c r="G6292">
        <v>1</v>
      </c>
      <c r="H6292">
        <v>3</v>
      </c>
      <c r="I6292">
        <v>2001</v>
      </c>
      <c r="J6292">
        <v>0</v>
      </c>
      <c r="K6292">
        <v>1</v>
      </c>
      <c r="L6292">
        <v>0</v>
      </c>
      <c r="M6292">
        <v>11</v>
      </c>
      <c r="N6292" t="s">
        <v>37</v>
      </c>
      <c r="O6292" t="s">
        <v>32</v>
      </c>
      <c r="P6292">
        <v>2.8577316856361699</v>
      </c>
      <c r="Q6292">
        <v>1.90805782220664</v>
      </c>
      <c r="R6292">
        <v>0.83835238359057696</v>
      </c>
      <c r="S6292">
        <v>25</v>
      </c>
      <c r="T6292">
        <v>35</v>
      </c>
      <c r="U6292">
        <v>558.34675730819094</v>
      </c>
      <c r="V6292">
        <v>4.0278286341999198E-3</v>
      </c>
      <c r="W6292">
        <v>1756096.7661495099</v>
      </c>
      <c r="X6292" t="s">
        <v>36</v>
      </c>
      <c r="Y6292">
        <f>1-945-241-3530</f>
        <v>-4715</v>
      </c>
    </row>
    <row r="6293" spans="1:25" x14ac:dyDescent="0.35">
      <c r="A6293">
        <v>36.448662470169403</v>
      </c>
      <c r="B6293">
        <v>-117.509881966647</v>
      </c>
      <c r="C6293" t="s">
        <v>25</v>
      </c>
      <c r="D6293">
        <v>20.285723940267399</v>
      </c>
      <c r="E6293">
        <v>4</v>
      </c>
      <c r="F6293">
        <v>1710</v>
      </c>
      <c r="G6293">
        <v>1</v>
      </c>
      <c r="H6293">
        <v>2</v>
      </c>
      <c r="I6293">
        <v>1951</v>
      </c>
      <c r="J6293">
        <v>0</v>
      </c>
      <c r="K6293">
        <v>0</v>
      </c>
      <c r="L6293">
        <v>0</v>
      </c>
      <c r="M6293">
        <v>6</v>
      </c>
      <c r="N6293" t="s">
        <v>35</v>
      </c>
      <c r="O6293" t="s">
        <v>32</v>
      </c>
      <c r="P6293">
        <v>10.017159687571199</v>
      </c>
      <c r="Q6293">
        <v>0.861664841730436</v>
      </c>
      <c r="R6293">
        <v>0.27095884220529698</v>
      </c>
      <c r="S6293">
        <v>86</v>
      </c>
      <c r="T6293">
        <v>21</v>
      </c>
      <c r="U6293">
        <v>468.266479399454</v>
      </c>
      <c r="V6293">
        <v>3.5087719298245602E-3</v>
      </c>
      <c r="W6293">
        <v>831822.592185496</v>
      </c>
      <c r="X6293" t="s">
        <v>39</v>
      </c>
      <c r="Y6293">
        <f>1-945-934-5456</f>
        <v>-7334</v>
      </c>
    </row>
    <row r="6294" spans="1:25" x14ac:dyDescent="0.35">
      <c r="A6294">
        <v>38.221770873374602</v>
      </c>
      <c r="B6294">
        <v>-120.33964481772</v>
      </c>
      <c r="C6294" t="s">
        <v>25</v>
      </c>
      <c r="D6294">
        <v>25.176198181589498</v>
      </c>
      <c r="E6294">
        <v>5</v>
      </c>
      <c r="F6294">
        <v>2342</v>
      </c>
      <c r="G6294">
        <v>1</v>
      </c>
      <c r="H6294">
        <v>2</v>
      </c>
      <c r="I6294">
        <v>1954</v>
      </c>
      <c r="J6294">
        <v>0</v>
      </c>
      <c r="K6294">
        <v>0</v>
      </c>
      <c r="L6294">
        <v>0</v>
      </c>
      <c r="M6294">
        <v>10</v>
      </c>
      <c r="N6294" t="s">
        <v>37</v>
      </c>
      <c r="O6294" t="s">
        <v>32</v>
      </c>
      <c r="P6294">
        <v>7.8634412423922901</v>
      </c>
      <c r="Q6294">
        <v>1.59593732823612</v>
      </c>
      <c r="R6294">
        <v>2.7886144799045298</v>
      </c>
      <c r="S6294">
        <v>184</v>
      </c>
      <c r="T6294">
        <v>76</v>
      </c>
      <c r="U6294">
        <v>525.01158374521594</v>
      </c>
      <c r="V6294">
        <v>4.2698548249359503E-3</v>
      </c>
      <c r="W6294">
        <v>1250630.9091769899</v>
      </c>
      <c r="X6294" t="s">
        <v>31</v>
      </c>
      <c r="Y6294">
        <f>1-600-707-7897</f>
        <v>-9203</v>
      </c>
    </row>
    <row r="6295" spans="1:25" x14ac:dyDescent="0.35">
      <c r="A6295">
        <v>41.083191401090403</v>
      </c>
      <c r="B6295">
        <v>-116.369797384066</v>
      </c>
      <c r="C6295" t="s">
        <v>25</v>
      </c>
      <c r="D6295">
        <v>29.005293463409899</v>
      </c>
      <c r="E6295">
        <v>7</v>
      </c>
      <c r="F6295">
        <v>1580</v>
      </c>
      <c r="G6295">
        <v>2</v>
      </c>
      <c r="H6295">
        <v>1</v>
      </c>
      <c r="I6295">
        <v>2013</v>
      </c>
      <c r="J6295">
        <v>0</v>
      </c>
      <c r="K6295">
        <v>1</v>
      </c>
      <c r="L6295">
        <v>1</v>
      </c>
      <c r="M6295">
        <v>13</v>
      </c>
      <c r="N6295" t="s">
        <v>35</v>
      </c>
      <c r="O6295" t="s">
        <v>27</v>
      </c>
      <c r="P6295">
        <v>13.466959183859601</v>
      </c>
      <c r="Q6295">
        <v>1.9620093002705601</v>
      </c>
      <c r="R6295">
        <v>7.9122637857602598</v>
      </c>
      <c r="S6295">
        <v>43</v>
      </c>
      <c r="T6295">
        <v>67</v>
      </c>
      <c r="U6295">
        <v>459.72321003128599</v>
      </c>
      <c r="V6295">
        <v>8.2278481012658198E-3</v>
      </c>
      <c r="W6295">
        <v>1041961.77507361</v>
      </c>
      <c r="X6295" t="s">
        <v>36</v>
      </c>
      <c r="Y6295">
        <f>1-986-804-8334</f>
        <v>-10123</v>
      </c>
    </row>
    <row r="6296" spans="1:25" x14ac:dyDescent="0.35">
      <c r="A6296">
        <v>39.5406691722266</v>
      </c>
      <c r="B6296">
        <v>-114.788707560955</v>
      </c>
      <c r="C6296" t="s">
        <v>34</v>
      </c>
      <c r="D6296">
        <v>42.054105425384002</v>
      </c>
      <c r="E6296">
        <v>8</v>
      </c>
      <c r="F6296">
        <v>3919</v>
      </c>
      <c r="G6296">
        <v>2</v>
      </c>
      <c r="H6296">
        <v>2</v>
      </c>
      <c r="I6296">
        <v>1979</v>
      </c>
      <c r="J6296">
        <v>1</v>
      </c>
      <c r="K6296">
        <v>0</v>
      </c>
      <c r="L6296">
        <v>1</v>
      </c>
      <c r="M6296">
        <v>6</v>
      </c>
      <c r="N6296" t="s">
        <v>41</v>
      </c>
      <c r="O6296" t="s">
        <v>32</v>
      </c>
      <c r="P6296">
        <v>14.734345572210501</v>
      </c>
      <c r="Q6296">
        <v>1.2607315465492099</v>
      </c>
      <c r="R6296">
        <v>9.3929233337890796</v>
      </c>
      <c r="S6296">
        <v>19</v>
      </c>
      <c r="T6296">
        <v>70</v>
      </c>
      <c r="U6296">
        <v>510.93095605290102</v>
      </c>
      <c r="V6296">
        <v>1.53100280683847E-3</v>
      </c>
      <c r="W6296">
        <v>2298711.0693007801</v>
      </c>
      <c r="X6296" t="s">
        <v>43</v>
      </c>
      <c r="Y6296">
        <f>1-226-622-9265</f>
        <v>-10112</v>
      </c>
    </row>
    <row r="6297" spans="1:25" x14ac:dyDescent="0.35">
      <c r="A6297">
        <v>36.507810637164397</v>
      </c>
      <c r="B6297">
        <v>-117.000050703312</v>
      </c>
      <c r="C6297" t="s">
        <v>34</v>
      </c>
      <c r="D6297">
        <v>27.555596247300102</v>
      </c>
      <c r="E6297">
        <v>5</v>
      </c>
      <c r="F6297">
        <v>4579</v>
      </c>
      <c r="G6297">
        <v>3</v>
      </c>
      <c r="H6297">
        <v>1</v>
      </c>
      <c r="I6297">
        <v>2013</v>
      </c>
      <c r="J6297">
        <v>1</v>
      </c>
      <c r="K6297">
        <v>0</v>
      </c>
      <c r="L6297">
        <v>0</v>
      </c>
      <c r="M6297">
        <v>8</v>
      </c>
      <c r="N6297" t="s">
        <v>41</v>
      </c>
      <c r="O6297" t="s">
        <v>30</v>
      </c>
      <c r="P6297">
        <v>13.3490222546232</v>
      </c>
      <c r="Q6297">
        <v>2.2966086880230998</v>
      </c>
      <c r="R6297">
        <v>7.0569190199963998</v>
      </c>
      <c r="S6297">
        <v>87</v>
      </c>
      <c r="T6297">
        <v>42</v>
      </c>
      <c r="U6297">
        <v>405.02400877137802</v>
      </c>
      <c r="V6297">
        <v>1.7471063550993601E-3</v>
      </c>
      <c r="W6297">
        <v>2133840.30428534</v>
      </c>
      <c r="X6297" t="s">
        <v>36</v>
      </c>
      <c r="Y6297">
        <f>1-595-189-4406</f>
        <v>-5189</v>
      </c>
    </row>
    <row r="6298" spans="1:25" x14ac:dyDescent="0.35">
      <c r="A6298">
        <v>33.715000145298497</v>
      </c>
      <c r="B6298">
        <v>-122.207998163871</v>
      </c>
      <c r="C6298" t="s">
        <v>25</v>
      </c>
      <c r="D6298">
        <v>18.274759871326999</v>
      </c>
      <c r="E6298">
        <v>7</v>
      </c>
      <c r="F6298">
        <v>3742</v>
      </c>
      <c r="G6298">
        <v>3</v>
      </c>
      <c r="H6298">
        <v>3</v>
      </c>
      <c r="I6298">
        <v>2000</v>
      </c>
      <c r="J6298">
        <v>1</v>
      </c>
      <c r="K6298">
        <v>1</v>
      </c>
      <c r="L6298">
        <v>1</v>
      </c>
      <c r="M6298">
        <v>2</v>
      </c>
      <c r="N6298" t="s">
        <v>37</v>
      </c>
      <c r="O6298" t="s">
        <v>30</v>
      </c>
      <c r="P6298">
        <v>12.6739731723838</v>
      </c>
      <c r="Q6298">
        <v>2.3227699629617402</v>
      </c>
      <c r="R6298">
        <v>4.3655149770389796</v>
      </c>
      <c r="S6298">
        <v>173</v>
      </c>
      <c r="T6298">
        <v>69</v>
      </c>
      <c r="U6298">
        <v>241.10203409433399</v>
      </c>
      <c r="V6298">
        <v>5.34473543559593E-4</v>
      </c>
      <c r="W6298">
        <v>1339400.56368542</v>
      </c>
      <c r="X6298" t="s">
        <v>44</v>
      </c>
      <c r="Y6298">
        <f>1-266-876-4924</f>
        <v>-6065</v>
      </c>
    </row>
    <row r="6299" spans="1:25" x14ac:dyDescent="0.35">
      <c r="A6299">
        <v>36.1953498414086</v>
      </c>
      <c r="B6299">
        <v>-123.63657623922499</v>
      </c>
      <c r="C6299" t="s">
        <v>29</v>
      </c>
      <c r="D6299">
        <v>13.469595424246</v>
      </c>
      <c r="E6299">
        <v>3</v>
      </c>
      <c r="F6299">
        <v>4881</v>
      </c>
      <c r="G6299">
        <v>5</v>
      </c>
      <c r="H6299">
        <v>2</v>
      </c>
      <c r="I6299">
        <v>2019</v>
      </c>
      <c r="J6299">
        <v>0</v>
      </c>
      <c r="K6299">
        <v>0</v>
      </c>
      <c r="L6299">
        <v>1</v>
      </c>
      <c r="M6299">
        <v>9</v>
      </c>
      <c r="N6299" t="s">
        <v>37</v>
      </c>
      <c r="O6299" t="s">
        <v>27</v>
      </c>
      <c r="P6299">
        <v>4.7419729889062596</v>
      </c>
      <c r="Q6299">
        <v>0.70483001095811004</v>
      </c>
      <c r="R6299">
        <v>3.2148589951076398</v>
      </c>
      <c r="S6299">
        <v>163</v>
      </c>
      <c r="T6299">
        <v>47</v>
      </c>
      <c r="U6299">
        <v>940.649597557839</v>
      </c>
      <c r="V6299">
        <v>1.8438844499078001E-3</v>
      </c>
      <c r="W6299">
        <v>4936019.4470520196</v>
      </c>
      <c r="X6299" t="s">
        <v>38</v>
      </c>
      <c r="Y6299">
        <f>1-897-990-4875</f>
        <v>-6761</v>
      </c>
    </row>
    <row r="6300" spans="1:25" x14ac:dyDescent="0.35">
      <c r="A6300">
        <v>41.907703539159101</v>
      </c>
      <c r="B6300">
        <v>-120.41845127563199</v>
      </c>
      <c r="C6300" t="s">
        <v>25</v>
      </c>
      <c r="D6300">
        <v>38.416547405624499</v>
      </c>
      <c r="E6300">
        <v>0</v>
      </c>
      <c r="F6300">
        <v>4039</v>
      </c>
      <c r="G6300">
        <v>2</v>
      </c>
      <c r="H6300">
        <v>1</v>
      </c>
      <c r="I6300">
        <v>1982</v>
      </c>
      <c r="J6300">
        <v>1</v>
      </c>
      <c r="K6300">
        <v>0</v>
      </c>
      <c r="L6300">
        <v>1</v>
      </c>
      <c r="M6300">
        <v>5</v>
      </c>
      <c r="N6300" t="s">
        <v>41</v>
      </c>
      <c r="O6300" t="s">
        <v>30</v>
      </c>
      <c r="P6300">
        <v>3.79827121249973</v>
      </c>
      <c r="Q6300">
        <v>2.048832243269</v>
      </c>
      <c r="R6300">
        <v>3.9126266115272403E-2</v>
      </c>
      <c r="S6300">
        <v>16</v>
      </c>
      <c r="T6300">
        <v>55</v>
      </c>
      <c r="U6300">
        <v>585.51387730653903</v>
      </c>
      <c r="V6300">
        <v>1.2379301807378001E-3</v>
      </c>
      <c r="W6300">
        <v>2540320.4455479598</v>
      </c>
      <c r="X6300" t="s">
        <v>40</v>
      </c>
      <c r="Y6300">
        <f>1-710-130-6873</f>
        <v>-7712</v>
      </c>
    </row>
    <row r="6301" spans="1:25" x14ac:dyDescent="0.35">
      <c r="A6301">
        <v>37.161952822155797</v>
      </c>
      <c r="B6301">
        <v>-115.137144534708</v>
      </c>
      <c r="C6301" t="s">
        <v>29</v>
      </c>
      <c r="D6301">
        <v>2.7731012066246801</v>
      </c>
      <c r="E6301">
        <v>3</v>
      </c>
      <c r="F6301">
        <v>1450</v>
      </c>
      <c r="G6301">
        <v>2</v>
      </c>
      <c r="H6301">
        <v>3</v>
      </c>
      <c r="I6301">
        <v>1997</v>
      </c>
      <c r="J6301">
        <v>0</v>
      </c>
      <c r="K6301">
        <v>0</v>
      </c>
      <c r="L6301">
        <v>1</v>
      </c>
      <c r="M6301">
        <v>9</v>
      </c>
      <c r="N6301" t="s">
        <v>35</v>
      </c>
      <c r="O6301" t="s">
        <v>32</v>
      </c>
      <c r="P6301">
        <v>7.1286509547153596</v>
      </c>
      <c r="Q6301">
        <v>1.01387840451472</v>
      </c>
      <c r="R6301">
        <v>3.83823681496854</v>
      </c>
      <c r="S6301">
        <v>58</v>
      </c>
      <c r="T6301">
        <v>67</v>
      </c>
      <c r="U6301">
        <v>526.36052673264601</v>
      </c>
      <c r="V6301">
        <v>6.2068965517241299E-3</v>
      </c>
      <c r="W6301">
        <v>1040145.91261139</v>
      </c>
      <c r="X6301" t="s">
        <v>43</v>
      </c>
      <c r="Y6301">
        <f>1-230-715-2809</f>
        <v>-3753</v>
      </c>
    </row>
    <row r="6302" spans="1:25" x14ac:dyDescent="0.35">
      <c r="A6302">
        <v>41.840311649736996</v>
      </c>
      <c r="B6302">
        <v>-123.732659979709</v>
      </c>
      <c r="C6302" t="s">
        <v>25</v>
      </c>
      <c r="D6302">
        <v>17.5341455168439</v>
      </c>
      <c r="E6302">
        <v>3</v>
      </c>
      <c r="F6302">
        <v>2990</v>
      </c>
      <c r="G6302">
        <v>4</v>
      </c>
      <c r="H6302">
        <v>1</v>
      </c>
      <c r="I6302">
        <v>2006</v>
      </c>
      <c r="J6302">
        <v>0</v>
      </c>
      <c r="K6302">
        <v>1</v>
      </c>
      <c r="L6302">
        <v>0</v>
      </c>
      <c r="M6302">
        <v>7</v>
      </c>
      <c r="N6302" t="s">
        <v>41</v>
      </c>
      <c r="O6302" t="s">
        <v>32</v>
      </c>
      <c r="P6302">
        <v>11.717029944333801</v>
      </c>
      <c r="Q6302">
        <v>1.74582827963968</v>
      </c>
      <c r="R6302">
        <v>3.21526335478138</v>
      </c>
      <c r="S6302">
        <v>61</v>
      </c>
      <c r="T6302">
        <v>47</v>
      </c>
      <c r="U6302">
        <v>243.596662164984</v>
      </c>
      <c r="V6302">
        <v>2.3411371237458101E-3</v>
      </c>
      <c r="W6302">
        <v>1056005.5770053901</v>
      </c>
      <c r="X6302" t="s">
        <v>36</v>
      </c>
      <c r="Y6302">
        <f>1-566-314-2028</f>
        <v>-2907</v>
      </c>
    </row>
    <row r="6303" spans="1:25" x14ac:dyDescent="0.35">
      <c r="A6303">
        <v>37.313455386252301</v>
      </c>
      <c r="B6303">
        <v>-116.75428637901599</v>
      </c>
      <c r="C6303" t="s">
        <v>25</v>
      </c>
      <c r="D6303">
        <v>49.943466996239401</v>
      </c>
      <c r="E6303">
        <v>8</v>
      </c>
      <c r="F6303">
        <v>1706</v>
      </c>
      <c r="G6303">
        <v>1</v>
      </c>
      <c r="H6303">
        <v>2</v>
      </c>
      <c r="I6303">
        <v>2021</v>
      </c>
      <c r="J6303">
        <v>0</v>
      </c>
      <c r="K6303">
        <v>1</v>
      </c>
      <c r="L6303">
        <v>1</v>
      </c>
      <c r="M6303">
        <v>6</v>
      </c>
      <c r="N6303" t="s">
        <v>35</v>
      </c>
      <c r="O6303" t="s">
        <v>27</v>
      </c>
      <c r="P6303">
        <v>4.8168659110897796</v>
      </c>
      <c r="Q6303">
        <v>2.1833634548657801</v>
      </c>
      <c r="R6303">
        <v>9.0762108572113295E-2</v>
      </c>
      <c r="S6303">
        <v>170</v>
      </c>
      <c r="T6303">
        <v>29</v>
      </c>
      <c r="U6303">
        <v>314.65468239932102</v>
      </c>
      <c r="V6303">
        <v>3.5169988276670498E-3</v>
      </c>
      <c r="W6303">
        <v>785452.39798759599</v>
      </c>
      <c r="X6303" t="s">
        <v>28</v>
      </c>
      <c r="Y6303">
        <f>1-520-667-9915</f>
        <v>-11101</v>
      </c>
    </row>
    <row r="6304" spans="1:25" x14ac:dyDescent="0.35">
      <c r="A6304">
        <v>41.207037746041003</v>
      </c>
      <c r="B6304">
        <v>-121.77862778444501</v>
      </c>
      <c r="C6304" t="s">
        <v>29</v>
      </c>
      <c r="D6304">
        <v>45.7973806922625</v>
      </c>
      <c r="E6304">
        <v>8</v>
      </c>
      <c r="F6304">
        <v>2848</v>
      </c>
      <c r="G6304">
        <v>1</v>
      </c>
      <c r="H6304">
        <v>2</v>
      </c>
      <c r="I6304">
        <v>1985</v>
      </c>
      <c r="J6304">
        <v>0</v>
      </c>
      <c r="K6304">
        <v>1</v>
      </c>
      <c r="L6304">
        <v>1</v>
      </c>
      <c r="M6304">
        <v>3</v>
      </c>
      <c r="N6304" t="s">
        <v>35</v>
      </c>
      <c r="O6304" t="s">
        <v>32</v>
      </c>
      <c r="P6304">
        <v>9.2203225976714691</v>
      </c>
      <c r="Q6304">
        <v>1.77402913841751</v>
      </c>
      <c r="R6304">
        <v>9.4796087354448595</v>
      </c>
      <c r="S6304">
        <v>33</v>
      </c>
      <c r="T6304">
        <v>57</v>
      </c>
      <c r="U6304">
        <v>965.34164339020299</v>
      </c>
      <c r="V6304">
        <v>1.05337078651685E-3</v>
      </c>
      <c r="W6304">
        <v>2973732.3799093999</v>
      </c>
      <c r="X6304" t="s">
        <v>31</v>
      </c>
      <c r="Y6304">
        <f>1-531-359-4641</f>
        <v>-5530</v>
      </c>
    </row>
    <row r="6305" spans="1:25" x14ac:dyDescent="0.35">
      <c r="A6305">
        <v>35.919592212377601</v>
      </c>
      <c r="B6305">
        <v>-123.209545383543</v>
      </c>
      <c r="C6305" t="s">
        <v>29</v>
      </c>
      <c r="D6305">
        <v>32.140664680051898</v>
      </c>
      <c r="E6305">
        <v>8</v>
      </c>
      <c r="F6305">
        <v>3618</v>
      </c>
      <c r="G6305">
        <v>1</v>
      </c>
      <c r="H6305">
        <v>2</v>
      </c>
      <c r="I6305">
        <v>1975</v>
      </c>
      <c r="J6305">
        <v>1</v>
      </c>
      <c r="K6305">
        <v>0</v>
      </c>
      <c r="L6305">
        <v>0</v>
      </c>
      <c r="M6305">
        <v>3</v>
      </c>
      <c r="N6305" t="s">
        <v>37</v>
      </c>
      <c r="O6305" t="s">
        <v>32</v>
      </c>
      <c r="P6305">
        <v>6.1759167945425402</v>
      </c>
      <c r="Q6305">
        <v>1.7775906604412799</v>
      </c>
      <c r="R6305">
        <v>2.19148718243442</v>
      </c>
      <c r="S6305">
        <v>144</v>
      </c>
      <c r="T6305">
        <v>28</v>
      </c>
      <c r="U6305">
        <v>950.14387560210196</v>
      </c>
      <c r="V6305">
        <v>8.2918739635157504E-4</v>
      </c>
      <c r="W6305">
        <v>3496023.9651176599</v>
      </c>
      <c r="X6305" t="s">
        <v>28</v>
      </c>
      <c r="Y6305">
        <f>1-910-294-6092</f>
        <v>-7295</v>
      </c>
    </row>
    <row r="6306" spans="1:25" x14ac:dyDescent="0.35">
      <c r="A6306">
        <v>39.727655757100699</v>
      </c>
      <c r="B6306">
        <v>-124.431595645695</v>
      </c>
      <c r="C6306" t="s">
        <v>29</v>
      </c>
      <c r="D6306">
        <v>9.8297317416831902</v>
      </c>
      <c r="E6306">
        <v>4</v>
      </c>
      <c r="F6306">
        <v>3552</v>
      </c>
      <c r="G6306">
        <v>5</v>
      </c>
      <c r="H6306">
        <v>3</v>
      </c>
      <c r="I6306">
        <v>1966</v>
      </c>
      <c r="J6306">
        <v>0</v>
      </c>
      <c r="K6306">
        <v>0</v>
      </c>
      <c r="L6306">
        <v>1</v>
      </c>
      <c r="M6306">
        <v>10</v>
      </c>
      <c r="N6306" t="s">
        <v>35</v>
      </c>
      <c r="O6306" t="s">
        <v>27</v>
      </c>
      <c r="P6306">
        <v>10.4578813871533</v>
      </c>
      <c r="Q6306">
        <v>2.0480744113770202</v>
      </c>
      <c r="R6306">
        <v>2.0242307079103998</v>
      </c>
      <c r="S6306">
        <v>131</v>
      </c>
      <c r="T6306">
        <v>30</v>
      </c>
      <c r="U6306">
        <v>930.942279477841</v>
      </c>
      <c r="V6306">
        <v>2.81531531531531E-3</v>
      </c>
      <c r="W6306">
        <v>3659832.07134353</v>
      </c>
      <c r="X6306" t="s">
        <v>33</v>
      </c>
      <c r="Y6306">
        <f>1-736-396-2451</f>
        <v>-3582</v>
      </c>
    </row>
    <row r="6307" spans="1:25" x14ac:dyDescent="0.35">
      <c r="A6307">
        <v>35.808022288567301</v>
      </c>
      <c r="B6307">
        <v>-116.646324099181</v>
      </c>
      <c r="C6307" t="s">
        <v>29</v>
      </c>
      <c r="D6307">
        <v>26.335450027913701</v>
      </c>
      <c r="E6307">
        <v>0</v>
      </c>
      <c r="F6307">
        <v>4693</v>
      </c>
      <c r="G6307">
        <v>5</v>
      </c>
      <c r="H6307">
        <v>1</v>
      </c>
      <c r="I6307">
        <v>1967</v>
      </c>
      <c r="J6307">
        <v>1</v>
      </c>
      <c r="K6307">
        <v>1</v>
      </c>
      <c r="L6307">
        <v>1</v>
      </c>
      <c r="M6307">
        <v>14</v>
      </c>
      <c r="N6307" t="s">
        <v>37</v>
      </c>
      <c r="O6307" t="s">
        <v>27</v>
      </c>
      <c r="P6307">
        <v>8.4782823520067598</v>
      </c>
      <c r="Q6307">
        <v>0.60416881251676102</v>
      </c>
      <c r="R6307">
        <v>3.7250402447825199</v>
      </c>
      <c r="S6307">
        <v>149</v>
      </c>
      <c r="T6307">
        <v>73</v>
      </c>
      <c r="U6307">
        <v>912.90879649210501</v>
      </c>
      <c r="V6307">
        <v>2.9831664180694599E-3</v>
      </c>
      <c r="W6307">
        <v>4737948.9846345996</v>
      </c>
      <c r="X6307" t="s">
        <v>36</v>
      </c>
      <c r="Y6307">
        <f>1-919-652-6128</f>
        <v>-7698</v>
      </c>
    </row>
    <row r="6308" spans="1:25" x14ac:dyDescent="0.35">
      <c r="A6308">
        <v>35.897766482913902</v>
      </c>
      <c r="B6308">
        <v>-119.92036296715</v>
      </c>
      <c r="C6308" t="s">
        <v>34</v>
      </c>
      <c r="D6308">
        <v>40.426073720226398</v>
      </c>
      <c r="E6308">
        <v>7</v>
      </c>
      <c r="F6308">
        <v>4728</v>
      </c>
      <c r="G6308">
        <v>2</v>
      </c>
      <c r="H6308">
        <v>1</v>
      </c>
      <c r="I6308">
        <v>2012</v>
      </c>
      <c r="J6308">
        <v>1</v>
      </c>
      <c r="K6308">
        <v>1</v>
      </c>
      <c r="L6308">
        <v>1</v>
      </c>
      <c r="M6308">
        <v>9</v>
      </c>
      <c r="N6308" t="s">
        <v>26</v>
      </c>
      <c r="O6308" t="s">
        <v>32</v>
      </c>
      <c r="P6308">
        <v>4.8575189824098803</v>
      </c>
      <c r="Q6308">
        <v>1.7176297887618901</v>
      </c>
      <c r="R6308">
        <v>7.4627167007827699</v>
      </c>
      <c r="S6308">
        <v>145</v>
      </c>
      <c r="T6308">
        <v>50</v>
      </c>
      <c r="U6308">
        <v>299.195577219803</v>
      </c>
      <c r="V6308">
        <v>1.90355329949238E-3</v>
      </c>
      <c r="W6308">
        <v>1706800.3173010701</v>
      </c>
      <c r="X6308" t="s">
        <v>38</v>
      </c>
      <c r="Y6308">
        <f>1-573-514-6655</f>
        <v>-7741</v>
      </c>
    </row>
    <row r="6309" spans="1:25" x14ac:dyDescent="0.35">
      <c r="A6309">
        <v>36.179457887653697</v>
      </c>
      <c r="B6309">
        <v>-121.09731348511001</v>
      </c>
      <c r="C6309" t="s">
        <v>25</v>
      </c>
      <c r="D6309">
        <v>32.232804182451197</v>
      </c>
      <c r="E6309">
        <v>9</v>
      </c>
      <c r="F6309">
        <v>3903</v>
      </c>
      <c r="G6309">
        <v>5</v>
      </c>
      <c r="H6309">
        <v>1</v>
      </c>
      <c r="I6309">
        <v>2017</v>
      </c>
      <c r="J6309">
        <v>1</v>
      </c>
      <c r="K6309">
        <v>1</v>
      </c>
      <c r="L6309">
        <v>0</v>
      </c>
      <c r="M6309">
        <v>4</v>
      </c>
      <c r="N6309" t="s">
        <v>37</v>
      </c>
      <c r="O6309" t="s">
        <v>27</v>
      </c>
      <c r="P6309">
        <v>10.4961464897378</v>
      </c>
      <c r="Q6309">
        <v>1.98437054346562</v>
      </c>
      <c r="R6309">
        <v>0.53046713117688804</v>
      </c>
      <c r="S6309">
        <v>29</v>
      </c>
      <c r="T6309">
        <v>42</v>
      </c>
      <c r="U6309">
        <v>430.33265546795599</v>
      </c>
      <c r="V6309">
        <v>1.02485267742761E-3</v>
      </c>
      <c r="W6309">
        <v>2204424.1257461701</v>
      </c>
      <c r="X6309" t="s">
        <v>33</v>
      </c>
      <c r="Y6309">
        <f>1-354-354-5540</f>
        <v>-6247</v>
      </c>
    </row>
    <row r="6310" spans="1:25" x14ac:dyDescent="0.35">
      <c r="A6310">
        <v>39.8792833119779</v>
      </c>
      <c r="B6310">
        <v>-116.69962489583099</v>
      </c>
      <c r="C6310" t="s">
        <v>34</v>
      </c>
      <c r="D6310">
        <v>11.383521074292901</v>
      </c>
      <c r="E6310">
        <v>7</v>
      </c>
      <c r="F6310">
        <v>1497</v>
      </c>
      <c r="G6310">
        <v>1</v>
      </c>
      <c r="H6310">
        <v>1</v>
      </c>
      <c r="I6310">
        <v>2019</v>
      </c>
      <c r="J6310">
        <v>1</v>
      </c>
      <c r="K6310">
        <v>0</v>
      </c>
      <c r="L6310">
        <v>0</v>
      </c>
      <c r="M6310">
        <v>11</v>
      </c>
      <c r="N6310" t="s">
        <v>35</v>
      </c>
      <c r="O6310" t="s">
        <v>27</v>
      </c>
      <c r="P6310">
        <v>8.7282234202332205</v>
      </c>
      <c r="Q6310">
        <v>2.2503307556235899</v>
      </c>
      <c r="R6310">
        <v>8.4208871824737805</v>
      </c>
      <c r="S6310">
        <v>100</v>
      </c>
      <c r="T6310">
        <v>77</v>
      </c>
      <c r="U6310">
        <v>688.17011823671101</v>
      </c>
      <c r="V6310">
        <v>7.3480293921175596E-3</v>
      </c>
      <c r="W6310">
        <v>1115806.7600916</v>
      </c>
      <c r="X6310" t="s">
        <v>38</v>
      </c>
      <c r="Y6310">
        <f>1-731-279-6438</f>
        <v>-7447</v>
      </c>
    </row>
    <row r="6311" spans="1:25" x14ac:dyDescent="0.35">
      <c r="A6311">
        <v>32.7526748651321</v>
      </c>
      <c r="B6311">
        <v>-120.598543862257</v>
      </c>
      <c r="C6311" t="s">
        <v>29</v>
      </c>
      <c r="D6311">
        <v>49.887175240034203</v>
      </c>
      <c r="E6311">
        <v>8</v>
      </c>
      <c r="F6311">
        <v>4911</v>
      </c>
      <c r="G6311">
        <v>4</v>
      </c>
      <c r="H6311">
        <v>2</v>
      </c>
      <c r="I6311">
        <v>2006</v>
      </c>
      <c r="J6311">
        <v>0</v>
      </c>
      <c r="K6311">
        <v>0</v>
      </c>
      <c r="L6311">
        <v>1</v>
      </c>
      <c r="M6311">
        <v>6</v>
      </c>
      <c r="N6311" t="s">
        <v>37</v>
      </c>
      <c r="O6311" t="s">
        <v>27</v>
      </c>
      <c r="P6311">
        <v>2.2287375878859401</v>
      </c>
      <c r="Q6311">
        <v>2.4969084259904699</v>
      </c>
      <c r="R6311">
        <v>3.8034229253010299</v>
      </c>
      <c r="S6311">
        <v>176</v>
      </c>
      <c r="T6311">
        <v>65</v>
      </c>
      <c r="U6311">
        <v>520.08652305845703</v>
      </c>
      <c r="V6311">
        <v>1.2217470983506399E-3</v>
      </c>
      <c r="W6311">
        <v>2831252.6928997398</v>
      </c>
      <c r="X6311" t="s">
        <v>39</v>
      </c>
      <c r="Y6311">
        <f>1-776-828-1989</f>
        <v>-3592</v>
      </c>
    </row>
    <row r="6312" spans="1:25" x14ac:dyDescent="0.35">
      <c r="A6312">
        <v>37.032515426835097</v>
      </c>
      <c r="B6312">
        <v>-123.89566928038199</v>
      </c>
      <c r="C6312" t="s">
        <v>29</v>
      </c>
      <c r="D6312">
        <v>47.562576535509898</v>
      </c>
      <c r="E6312">
        <v>1</v>
      </c>
      <c r="F6312">
        <v>3046</v>
      </c>
      <c r="G6312">
        <v>2</v>
      </c>
      <c r="H6312">
        <v>1</v>
      </c>
      <c r="I6312">
        <v>1952</v>
      </c>
      <c r="J6312">
        <v>1</v>
      </c>
      <c r="K6312">
        <v>1</v>
      </c>
      <c r="L6312">
        <v>1</v>
      </c>
      <c r="M6312">
        <v>4</v>
      </c>
      <c r="N6312" t="s">
        <v>41</v>
      </c>
      <c r="O6312" t="s">
        <v>32</v>
      </c>
      <c r="P6312">
        <v>11.9154089671789</v>
      </c>
      <c r="Q6312">
        <v>0.86238316546075</v>
      </c>
      <c r="R6312">
        <v>7.1729388780763204</v>
      </c>
      <c r="S6312">
        <v>0</v>
      </c>
      <c r="T6312">
        <v>69</v>
      </c>
      <c r="U6312">
        <v>748.45011621846402</v>
      </c>
      <c r="V6312">
        <v>1.3131976362442501E-3</v>
      </c>
      <c r="W6312">
        <v>2496747.1730279601</v>
      </c>
      <c r="X6312" t="s">
        <v>28</v>
      </c>
      <c r="Y6312">
        <f>1-661-352-4699</f>
        <v>-5711</v>
      </c>
    </row>
    <row r="6313" spans="1:25" x14ac:dyDescent="0.35">
      <c r="A6313">
        <v>39.955128032544103</v>
      </c>
      <c r="B6313">
        <v>-117.884641139371</v>
      </c>
      <c r="C6313" t="s">
        <v>29</v>
      </c>
      <c r="D6313">
        <v>23.414766612175299</v>
      </c>
      <c r="E6313">
        <v>3</v>
      </c>
      <c r="F6313">
        <v>2914</v>
      </c>
      <c r="G6313">
        <v>5</v>
      </c>
      <c r="H6313">
        <v>2</v>
      </c>
      <c r="I6313">
        <v>2013</v>
      </c>
      <c r="J6313">
        <v>1</v>
      </c>
      <c r="K6313">
        <v>1</v>
      </c>
      <c r="L6313">
        <v>1</v>
      </c>
      <c r="M6313">
        <v>12</v>
      </c>
      <c r="N6313" t="s">
        <v>41</v>
      </c>
      <c r="O6313" t="s">
        <v>27</v>
      </c>
      <c r="P6313">
        <v>3.6426334529441702</v>
      </c>
      <c r="Q6313">
        <v>0.811196757083957</v>
      </c>
      <c r="R6313">
        <v>6.6531335918376504</v>
      </c>
      <c r="S6313">
        <v>159</v>
      </c>
      <c r="T6313">
        <v>58</v>
      </c>
      <c r="U6313">
        <v>446.25533086674398</v>
      </c>
      <c r="V6313">
        <v>4.1180507892930604E-3</v>
      </c>
      <c r="W6313">
        <v>1718861.6225370099</v>
      </c>
      <c r="X6313" t="s">
        <v>42</v>
      </c>
      <c r="Y6313">
        <f>1-870-789-6812</f>
        <v>-8470</v>
      </c>
    </row>
    <row r="6314" spans="1:25" x14ac:dyDescent="0.35">
      <c r="A6314">
        <v>38.729724386694002</v>
      </c>
      <c r="B6314">
        <v>-115.57697616931</v>
      </c>
      <c r="C6314" t="s">
        <v>29</v>
      </c>
      <c r="D6314">
        <v>21.068539485198301</v>
      </c>
      <c r="E6314">
        <v>3</v>
      </c>
      <c r="F6314">
        <v>1709</v>
      </c>
      <c r="G6314">
        <v>1</v>
      </c>
      <c r="H6314">
        <v>2</v>
      </c>
      <c r="I6314">
        <v>1950</v>
      </c>
      <c r="J6314">
        <v>0</v>
      </c>
      <c r="K6314">
        <v>0</v>
      </c>
      <c r="L6314">
        <v>0</v>
      </c>
      <c r="M6314">
        <v>5</v>
      </c>
      <c r="N6314" t="s">
        <v>41</v>
      </c>
      <c r="O6314" t="s">
        <v>30</v>
      </c>
      <c r="P6314">
        <v>8.0229538693784193</v>
      </c>
      <c r="Q6314">
        <v>1.69423923039861</v>
      </c>
      <c r="R6314">
        <v>3.8960001316837101</v>
      </c>
      <c r="S6314">
        <v>73</v>
      </c>
      <c r="T6314">
        <v>49</v>
      </c>
      <c r="U6314">
        <v>482.84878367011601</v>
      </c>
      <c r="V6314">
        <v>2.9256875365710898E-3</v>
      </c>
      <c r="W6314">
        <v>820346.42483229598</v>
      </c>
      <c r="X6314" t="s">
        <v>43</v>
      </c>
      <c r="Y6314">
        <f>1-360-922-5491</f>
        <v>-6772</v>
      </c>
    </row>
    <row r="6315" spans="1:25" x14ac:dyDescent="0.35">
      <c r="A6315">
        <v>32.551821994676402</v>
      </c>
      <c r="B6315">
        <v>-115.951736715514</v>
      </c>
      <c r="C6315" t="s">
        <v>29</v>
      </c>
      <c r="D6315">
        <v>27.528201291561299</v>
      </c>
      <c r="E6315">
        <v>1</v>
      </c>
      <c r="F6315">
        <v>2131</v>
      </c>
      <c r="G6315">
        <v>5</v>
      </c>
      <c r="H6315">
        <v>2</v>
      </c>
      <c r="I6315">
        <v>1987</v>
      </c>
      <c r="J6315">
        <v>1</v>
      </c>
      <c r="K6315">
        <v>0</v>
      </c>
      <c r="L6315">
        <v>0</v>
      </c>
      <c r="M6315">
        <v>11</v>
      </c>
      <c r="N6315" t="s">
        <v>41</v>
      </c>
      <c r="O6315" t="s">
        <v>30</v>
      </c>
      <c r="P6315">
        <v>10.8627290301073</v>
      </c>
      <c r="Q6315">
        <v>1.51698729159803</v>
      </c>
      <c r="R6315">
        <v>1.4805840190466899</v>
      </c>
      <c r="S6315">
        <v>179</v>
      </c>
      <c r="T6315">
        <v>79</v>
      </c>
      <c r="U6315">
        <v>589.02485911010899</v>
      </c>
      <c r="V6315">
        <v>5.1618958235570096E-3</v>
      </c>
      <c r="W6315">
        <v>1579655.6617025801</v>
      </c>
      <c r="X6315" t="s">
        <v>31</v>
      </c>
      <c r="Y6315">
        <f>1-965-178-5349</f>
        <v>-6491</v>
      </c>
    </row>
    <row r="6316" spans="1:25" x14ac:dyDescent="0.35">
      <c r="A6316">
        <v>38.846880764475799</v>
      </c>
      <c r="B6316">
        <v>-121.081695015412</v>
      </c>
      <c r="C6316" t="s">
        <v>34</v>
      </c>
      <c r="D6316">
        <v>46.060917967235497</v>
      </c>
      <c r="E6316">
        <v>6</v>
      </c>
      <c r="F6316">
        <v>3491</v>
      </c>
      <c r="G6316">
        <v>2</v>
      </c>
      <c r="H6316">
        <v>3</v>
      </c>
      <c r="I6316">
        <v>1993</v>
      </c>
      <c r="J6316">
        <v>0</v>
      </c>
      <c r="K6316">
        <v>1</v>
      </c>
      <c r="L6316">
        <v>1</v>
      </c>
      <c r="M6316">
        <v>6</v>
      </c>
      <c r="N6316" t="s">
        <v>41</v>
      </c>
      <c r="O6316" t="s">
        <v>30</v>
      </c>
      <c r="P6316">
        <v>6.7634524436583501</v>
      </c>
      <c r="Q6316">
        <v>0.93221962151898596</v>
      </c>
      <c r="R6316">
        <v>8.1483067567351597</v>
      </c>
      <c r="S6316">
        <v>47</v>
      </c>
      <c r="T6316">
        <v>38</v>
      </c>
      <c r="U6316">
        <v>479.37429088637401</v>
      </c>
      <c r="V6316">
        <v>1.71870524205098E-3</v>
      </c>
      <c r="W6316">
        <v>1961941.3937960099</v>
      </c>
      <c r="X6316" t="s">
        <v>36</v>
      </c>
      <c r="Y6316">
        <f>1-805-372-3207</f>
        <v>-4383</v>
      </c>
    </row>
    <row r="6317" spans="1:25" x14ac:dyDescent="0.35">
      <c r="A6317">
        <v>33.655812084227897</v>
      </c>
      <c r="B6317">
        <v>-121.161296451905</v>
      </c>
      <c r="C6317" t="s">
        <v>29</v>
      </c>
      <c r="D6317">
        <v>9.9835068968433394</v>
      </c>
      <c r="E6317">
        <v>4</v>
      </c>
      <c r="F6317">
        <v>3081</v>
      </c>
      <c r="G6317">
        <v>4</v>
      </c>
      <c r="H6317">
        <v>1</v>
      </c>
      <c r="I6317">
        <v>1984</v>
      </c>
      <c r="J6317">
        <v>1</v>
      </c>
      <c r="K6317">
        <v>1</v>
      </c>
      <c r="L6317">
        <v>0</v>
      </c>
      <c r="M6317">
        <v>12</v>
      </c>
      <c r="N6317" t="s">
        <v>41</v>
      </c>
      <c r="O6317" t="s">
        <v>27</v>
      </c>
      <c r="P6317">
        <v>10.277451583783</v>
      </c>
      <c r="Q6317">
        <v>2.0696497516511201</v>
      </c>
      <c r="R6317">
        <v>2.6185314984384802</v>
      </c>
      <c r="S6317">
        <v>147</v>
      </c>
      <c r="T6317">
        <v>68</v>
      </c>
      <c r="U6317">
        <v>543.58774620806298</v>
      </c>
      <c r="V6317">
        <v>3.8948393378773101E-3</v>
      </c>
      <c r="W6317">
        <v>2005057.5823971501</v>
      </c>
      <c r="X6317" t="s">
        <v>40</v>
      </c>
      <c r="Y6317">
        <f>1-791-346-6732</f>
        <v>-7868</v>
      </c>
    </row>
    <row r="6318" spans="1:25" x14ac:dyDescent="0.35">
      <c r="A6318">
        <v>35.841315721578198</v>
      </c>
      <c r="B6318">
        <v>-122.80989700824</v>
      </c>
      <c r="C6318" t="s">
        <v>29</v>
      </c>
      <c r="D6318">
        <v>34.120958895643497</v>
      </c>
      <c r="E6318">
        <v>4</v>
      </c>
      <c r="F6318">
        <v>3770</v>
      </c>
      <c r="G6318">
        <v>4</v>
      </c>
      <c r="H6318">
        <v>3</v>
      </c>
      <c r="I6318">
        <v>1996</v>
      </c>
      <c r="J6318">
        <v>1</v>
      </c>
      <c r="K6318">
        <v>1</v>
      </c>
      <c r="L6318">
        <v>1</v>
      </c>
      <c r="M6318">
        <v>3</v>
      </c>
      <c r="N6318" t="s">
        <v>26</v>
      </c>
      <c r="O6318" t="s">
        <v>27</v>
      </c>
      <c r="P6318">
        <v>6.0287670940919096</v>
      </c>
      <c r="Q6318">
        <v>1.26776053028381</v>
      </c>
      <c r="R6318">
        <v>7.5747935914482101</v>
      </c>
      <c r="S6318">
        <v>152</v>
      </c>
      <c r="T6318">
        <v>79</v>
      </c>
      <c r="U6318">
        <v>454.49761646795503</v>
      </c>
      <c r="V6318">
        <v>7.9575596816976104E-4</v>
      </c>
      <c r="W6318">
        <v>2148571.0534788398</v>
      </c>
      <c r="X6318" t="s">
        <v>31</v>
      </c>
      <c r="Y6318">
        <f>1-584-941-5882</f>
        <v>-7406</v>
      </c>
    </row>
    <row r="6319" spans="1:25" x14ac:dyDescent="0.35">
      <c r="A6319">
        <v>41.422441162120698</v>
      </c>
      <c r="B6319">
        <v>-123.220248711246</v>
      </c>
      <c r="C6319" t="s">
        <v>25</v>
      </c>
      <c r="D6319">
        <v>21.913732647601101</v>
      </c>
      <c r="E6319">
        <v>2</v>
      </c>
      <c r="F6319">
        <v>1328</v>
      </c>
      <c r="G6319">
        <v>2</v>
      </c>
      <c r="H6319">
        <v>2</v>
      </c>
      <c r="I6319">
        <v>1951</v>
      </c>
      <c r="J6319">
        <v>0</v>
      </c>
      <c r="K6319">
        <v>1</v>
      </c>
      <c r="L6319">
        <v>0</v>
      </c>
      <c r="M6319">
        <v>11</v>
      </c>
      <c r="N6319" t="s">
        <v>35</v>
      </c>
      <c r="O6319" t="s">
        <v>30</v>
      </c>
      <c r="P6319">
        <v>6.1336301180211601</v>
      </c>
      <c r="Q6319">
        <v>0.87074854353508002</v>
      </c>
      <c r="R6319">
        <v>7.65484692061335</v>
      </c>
      <c r="S6319">
        <v>87</v>
      </c>
      <c r="T6319">
        <v>29</v>
      </c>
      <c r="U6319">
        <v>222.27291922878101</v>
      </c>
      <c r="V6319">
        <v>8.2831325301204808E-3</v>
      </c>
      <c r="W6319">
        <v>491689.77187459997</v>
      </c>
      <c r="X6319" t="s">
        <v>43</v>
      </c>
      <c r="Y6319">
        <f>1-585-646-4936</f>
        <v>-6166</v>
      </c>
    </row>
    <row r="6320" spans="1:25" x14ac:dyDescent="0.35">
      <c r="A6320">
        <v>39.041652761122599</v>
      </c>
      <c r="B6320">
        <v>-119.81196563069901</v>
      </c>
      <c r="C6320" t="s">
        <v>25</v>
      </c>
      <c r="D6320">
        <v>27.597052097051201</v>
      </c>
      <c r="E6320">
        <v>3</v>
      </c>
      <c r="F6320">
        <v>3202</v>
      </c>
      <c r="G6320">
        <v>1</v>
      </c>
      <c r="H6320">
        <v>2</v>
      </c>
      <c r="I6320">
        <v>1990</v>
      </c>
      <c r="J6320">
        <v>1</v>
      </c>
      <c r="K6320">
        <v>1</v>
      </c>
      <c r="L6320">
        <v>1</v>
      </c>
      <c r="M6320">
        <v>7</v>
      </c>
      <c r="N6320" t="s">
        <v>37</v>
      </c>
      <c r="O6320" t="s">
        <v>27</v>
      </c>
      <c r="P6320">
        <v>4.7539384389019101</v>
      </c>
      <c r="Q6320">
        <v>1.3774213984503301</v>
      </c>
      <c r="R6320">
        <v>2.8879911290943099</v>
      </c>
      <c r="S6320">
        <v>194</v>
      </c>
      <c r="T6320">
        <v>49</v>
      </c>
      <c r="U6320">
        <v>851.62655266540105</v>
      </c>
      <c r="V6320">
        <v>2.1861336664584599E-3</v>
      </c>
      <c r="W6320">
        <v>2961940.0322691998</v>
      </c>
      <c r="X6320" t="s">
        <v>42</v>
      </c>
      <c r="Y6320">
        <f>1-574-613-4331</f>
        <v>-5517</v>
      </c>
    </row>
    <row r="6321" spans="1:25" x14ac:dyDescent="0.35">
      <c r="A6321">
        <v>33.215847226811299</v>
      </c>
      <c r="B6321">
        <v>-120.92861180890399</v>
      </c>
      <c r="C6321" t="s">
        <v>29</v>
      </c>
      <c r="D6321">
        <v>27.8592448567342</v>
      </c>
      <c r="E6321">
        <v>7</v>
      </c>
      <c r="F6321">
        <v>1024</v>
      </c>
      <c r="G6321">
        <v>2</v>
      </c>
      <c r="H6321">
        <v>3</v>
      </c>
      <c r="I6321">
        <v>1978</v>
      </c>
      <c r="J6321">
        <v>0</v>
      </c>
      <c r="K6321">
        <v>0</v>
      </c>
      <c r="L6321">
        <v>1</v>
      </c>
      <c r="M6321">
        <v>4</v>
      </c>
      <c r="N6321" t="s">
        <v>37</v>
      </c>
      <c r="O6321" t="s">
        <v>27</v>
      </c>
      <c r="P6321">
        <v>7.8178366051134001</v>
      </c>
      <c r="Q6321">
        <v>1.4920329871518301</v>
      </c>
      <c r="R6321">
        <v>2.0358582504010001</v>
      </c>
      <c r="S6321">
        <v>27</v>
      </c>
      <c r="T6321">
        <v>71</v>
      </c>
      <c r="U6321">
        <v>363.75985593671697</v>
      </c>
      <c r="V6321">
        <v>3.90625E-3</v>
      </c>
      <c r="W6321">
        <v>615627.10309482401</v>
      </c>
      <c r="X6321" t="s">
        <v>38</v>
      </c>
      <c r="Y6321">
        <f>1-723-192-6021</f>
        <v>-6935</v>
      </c>
    </row>
    <row r="6322" spans="1:25" x14ac:dyDescent="0.35">
      <c r="A6322">
        <v>35.732790605921302</v>
      </c>
      <c r="B6322">
        <v>-119.421387811214</v>
      </c>
      <c r="C6322" t="s">
        <v>25</v>
      </c>
      <c r="D6322">
        <v>25.452457051924899</v>
      </c>
      <c r="E6322">
        <v>2</v>
      </c>
      <c r="F6322">
        <v>3538</v>
      </c>
      <c r="G6322">
        <v>1</v>
      </c>
      <c r="H6322">
        <v>1</v>
      </c>
      <c r="I6322">
        <v>2009</v>
      </c>
      <c r="J6322">
        <v>1</v>
      </c>
      <c r="K6322">
        <v>0</v>
      </c>
      <c r="L6322">
        <v>0</v>
      </c>
      <c r="M6322">
        <v>5</v>
      </c>
      <c r="N6322" t="s">
        <v>26</v>
      </c>
      <c r="O6322" t="s">
        <v>30</v>
      </c>
      <c r="P6322">
        <v>11.284538979044299</v>
      </c>
      <c r="Q6322">
        <v>1.8505014859197899</v>
      </c>
      <c r="R6322">
        <v>3.8120436303332501</v>
      </c>
      <c r="S6322">
        <v>67</v>
      </c>
      <c r="T6322">
        <v>28</v>
      </c>
      <c r="U6322">
        <v>370.15934090192297</v>
      </c>
      <c r="V6322">
        <v>1.4132278123233401E-3</v>
      </c>
      <c r="W6322">
        <v>1450704.62411503</v>
      </c>
      <c r="X6322" t="s">
        <v>38</v>
      </c>
      <c r="Y6322">
        <f>1-495-952-8956</f>
        <v>-10402</v>
      </c>
    </row>
    <row r="6323" spans="1:25" x14ac:dyDescent="0.35">
      <c r="A6323">
        <v>38.175884781398302</v>
      </c>
      <c r="B6323">
        <v>-122.974828750217</v>
      </c>
      <c r="C6323" t="s">
        <v>25</v>
      </c>
      <c r="D6323">
        <v>29.046641336494801</v>
      </c>
      <c r="E6323">
        <v>0</v>
      </c>
      <c r="F6323">
        <v>2339</v>
      </c>
      <c r="G6323">
        <v>2</v>
      </c>
      <c r="H6323">
        <v>1</v>
      </c>
      <c r="I6323">
        <v>1976</v>
      </c>
      <c r="J6323">
        <v>1</v>
      </c>
      <c r="K6323">
        <v>0</v>
      </c>
      <c r="L6323">
        <v>1</v>
      </c>
      <c r="M6323">
        <v>14</v>
      </c>
      <c r="N6323" t="s">
        <v>37</v>
      </c>
      <c r="O6323" t="s">
        <v>30</v>
      </c>
      <c r="P6323">
        <v>12.3627507971326</v>
      </c>
      <c r="Q6323">
        <v>1.4141083921123601</v>
      </c>
      <c r="R6323">
        <v>0.80105966074308499</v>
      </c>
      <c r="S6323">
        <v>8</v>
      </c>
      <c r="T6323">
        <v>40</v>
      </c>
      <c r="U6323">
        <v>461.92393445954099</v>
      </c>
      <c r="V6323">
        <v>5.9854638734501897E-3</v>
      </c>
      <c r="W6323">
        <v>1311007.04937903</v>
      </c>
      <c r="X6323" t="s">
        <v>28</v>
      </c>
      <c r="Y6323">
        <f>1-674-546-5222</f>
        <v>-6441</v>
      </c>
    </row>
    <row r="6324" spans="1:25" x14ac:dyDescent="0.35">
      <c r="A6324">
        <v>41.533565844778998</v>
      </c>
      <c r="B6324">
        <v>-123.428881033236</v>
      </c>
      <c r="C6324" t="s">
        <v>34</v>
      </c>
      <c r="D6324">
        <v>5.0549246885096402</v>
      </c>
      <c r="E6324">
        <v>4</v>
      </c>
      <c r="F6324">
        <v>4440</v>
      </c>
      <c r="G6324">
        <v>3</v>
      </c>
      <c r="H6324">
        <v>3</v>
      </c>
      <c r="I6324">
        <v>1997</v>
      </c>
      <c r="J6324">
        <v>1</v>
      </c>
      <c r="K6324">
        <v>0</v>
      </c>
      <c r="L6324">
        <v>1</v>
      </c>
      <c r="M6324">
        <v>3</v>
      </c>
      <c r="N6324" t="s">
        <v>41</v>
      </c>
      <c r="O6324" t="s">
        <v>30</v>
      </c>
      <c r="P6324">
        <v>3.91732247467109</v>
      </c>
      <c r="Q6324">
        <v>1.6282117450881299</v>
      </c>
      <c r="R6324">
        <v>5.3814667745524902</v>
      </c>
      <c r="S6324">
        <v>194</v>
      </c>
      <c r="T6324">
        <v>63</v>
      </c>
      <c r="U6324">
        <v>664.32697415205996</v>
      </c>
      <c r="V6324">
        <v>6.7567567567567495E-4</v>
      </c>
      <c r="W6324">
        <v>3171544.26567232</v>
      </c>
      <c r="X6324" t="s">
        <v>36</v>
      </c>
      <c r="Y6324">
        <f>1-354-335-5107</f>
        <v>-5795</v>
      </c>
    </row>
    <row r="6325" spans="1:25" x14ac:dyDescent="0.35">
      <c r="A6325">
        <v>36.6752651988797</v>
      </c>
      <c r="B6325">
        <v>-123.625392946391</v>
      </c>
      <c r="C6325" t="s">
        <v>29</v>
      </c>
      <c r="D6325">
        <v>45.833516107423499</v>
      </c>
      <c r="E6325">
        <v>7</v>
      </c>
      <c r="F6325">
        <v>1145</v>
      </c>
      <c r="G6325">
        <v>1</v>
      </c>
      <c r="H6325">
        <v>3</v>
      </c>
      <c r="I6325">
        <v>2022</v>
      </c>
      <c r="J6325">
        <v>0</v>
      </c>
      <c r="K6325">
        <v>1</v>
      </c>
      <c r="L6325">
        <v>0</v>
      </c>
      <c r="M6325">
        <v>12</v>
      </c>
      <c r="N6325" t="s">
        <v>26</v>
      </c>
      <c r="O6325" t="s">
        <v>27</v>
      </c>
      <c r="P6325">
        <v>4.1199375771887397</v>
      </c>
      <c r="Q6325">
        <v>0.63482663807445305</v>
      </c>
      <c r="R6325">
        <v>4.26733817254049</v>
      </c>
      <c r="S6325">
        <v>64</v>
      </c>
      <c r="T6325">
        <v>24</v>
      </c>
      <c r="U6325">
        <v>234.27226405109599</v>
      </c>
      <c r="V6325">
        <v>1.04803493449781E-2</v>
      </c>
      <c r="W6325">
        <v>455075.465135562</v>
      </c>
      <c r="X6325" t="s">
        <v>43</v>
      </c>
      <c r="Y6325">
        <f>1-761-282-1799</f>
        <v>-2841</v>
      </c>
    </row>
    <row r="6326" spans="1:25" x14ac:dyDescent="0.35">
      <c r="A6326">
        <v>39.918258505818798</v>
      </c>
      <c r="B6326">
        <v>-123.601706676112</v>
      </c>
      <c r="C6326" t="s">
        <v>25</v>
      </c>
      <c r="D6326">
        <v>14.4496849588663</v>
      </c>
      <c r="E6326">
        <v>6</v>
      </c>
      <c r="F6326">
        <v>3279</v>
      </c>
      <c r="G6326">
        <v>5</v>
      </c>
      <c r="H6326">
        <v>1</v>
      </c>
      <c r="I6326">
        <v>1983</v>
      </c>
      <c r="J6326">
        <v>0</v>
      </c>
      <c r="K6326">
        <v>1</v>
      </c>
      <c r="L6326">
        <v>0</v>
      </c>
      <c r="M6326">
        <v>5</v>
      </c>
      <c r="N6326" t="s">
        <v>41</v>
      </c>
      <c r="O6326" t="s">
        <v>27</v>
      </c>
      <c r="P6326">
        <v>2.0467557673913199</v>
      </c>
      <c r="Q6326">
        <v>0.52647663115421495</v>
      </c>
      <c r="R6326">
        <v>7.6750340582804402</v>
      </c>
      <c r="S6326">
        <v>45</v>
      </c>
      <c r="T6326">
        <v>22</v>
      </c>
      <c r="U6326">
        <v>682.42135811937601</v>
      </c>
      <c r="V6326">
        <v>1.5248551387618101E-3</v>
      </c>
      <c r="W6326">
        <v>2508743.6214993298</v>
      </c>
      <c r="X6326" t="s">
        <v>33</v>
      </c>
      <c r="Y6326">
        <f>1-705-159-8899</f>
        <v>-9762</v>
      </c>
    </row>
    <row r="6327" spans="1:25" x14ac:dyDescent="0.35">
      <c r="A6327">
        <v>33.042590658345297</v>
      </c>
      <c r="B6327">
        <v>-122.13673046205299</v>
      </c>
      <c r="C6327" t="s">
        <v>29</v>
      </c>
      <c r="D6327">
        <v>25.5561934633307</v>
      </c>
      <c r="E6327">
        <v>8</v>
      </c>
      <c r="F6327">
        <v>2557</v>
      </c>
      <c r="G6327">
        <v>1</v>
      </c>
      <c r="H6327">
        <v>3</v>
      </c>
      <c r="I6327">
        <v>1959</v>
      </c>
      <c r="J6327">
        <v>0</v>
      </c>
      <c r="K6327">
        <v>1</v>
      </c>
      <c r="L6327">
        <v>1</v>
      </c>
      <c r="M6327">
        <v>6</v>
      </c>
      <c r="N6327" t="s">
        <v>35</v>
      </c>
      <c r="O6327" t="s">
        <v>27</v>
      </c>
      <c r="P6327">
        <v>5.9286072933942604</v>
      </c>
      <c r="Q6327">
        <v>0.70300014880935402</v>
      </c>
      <c r="R6327">
        <v>9.4098034953388705</v>
      </c>
      <c r="S6327">
        <v>149</v>
      </c>
      <c r="T6327">
        <v>62</v>
      </c>
      <c r="U6327">
        <v>856.70606967273898</v>
      </c>
      <c r="V6327">
        <v>2.3464998044583399E-3</v>
      </c>
      <c r="W6327">
        <v>2319659.4771163398</v>
      </c>
      <c r="X6327" t="s">
        <v>43</v>
      </c>
      <c r="Y6327">
        <f>1-203-223-5356</f>
        <v>-5781</v>
      </c>
    </row>
    <row r="6328" spans="1:25" x14ac:dyDescent="0.35">
      <c r="A6328">
        <v>38.457998428552301</v>
      </c>
      <c r="B6328">
        <v>-115.158053105194</v>
      </c>
      <c r="C6328" t="s">
        <v>29</v>
      </c>
      <c r="D6328">
        <v>22.8844594676859</v>
      </c>
      <c r="E6328">
        <v>6</v>
      </c>
      <c r="F6328">
        <v>1125</v>
      </c>
      <c r="G6328">
        <v>3</v>
      </c>
      <c r="H6328">
        <v>2</v>
      </c>
      <c r="I6328">
        <v>1950</v>
      </c>
      <c r="J6328">
        <v>1</v>
      </c>
      <c r="K6328">
        <v>1</v>
      </c>
      <c r="L6328">
        <v>1</v>
      </c>
      <c r="M6328">
        <v>5</v>
      </c>
      <c r="N6328" t="s">
        <v>41</v>
      </c>
      <c r="O6328" t="s">
        <v>30</v>
      </c>
      <c r="P6328">
        <v>3.2854480131420098</v>
      </c>
      <c r="Q6328">
        <v>0.84622397396831395</v>
      </c>
      <c r="R6328">
        <v>1.6682222025407401</v>
      </c>
      <c r="S6328">
        <v>39</v>
      </c>
      <c r="T6328">
        <v>27</v>
      </c>
      <c r="U6328">
        <v>601.03253930548306</v>
      </c>
      <c r="V6328">
        <v>4.4444444444444401E-3</v>
      </c>
      <c r="W6328">
        <v>1013531.29677854</v>
      </c>
      <c r="X6328" t="s">
        <v>36</v>
      </c>
      <c r="Y6328">
        <f>1-745-561-8199</f>
        <v>-9504</v>
      </c>
    </row>
    <row r="6329" spans="1:25" x14ac:dyDescent="0.35">
      <c r="A6329">
        <v>37.003998229893298</v>
      </c>
      <c r="B6329">
        <v>-123.100063319051</v>
      </c>
      <c r="C6329" t="s">
        <v>34</v>
      </c>
      <c r="D6329">
        <v>15.233646294950301</v>
      </c>
      <c r="E6329">
        <v>4</v>
      </c>
      <c r="F6329">
        <v>3873</v>
      </c>
      <c r="G6329">
        <v>2</v>
      </c>
      <c r="H6329">
        <v>2</v>
      </c>
      <c r="I6329">
        <v>1958</v>
      </c>
      <c r="J6329">
        <v>1</v>
      </c>
      <c r="K6329">
        <v>0</v>
      </c>
      <c r="L6329">
        <v>1</v>
      </c>
      <c r="M6329">
        <v>3</v>
      </c>
      <c r="N6329" t="s">
        <v>41</v>
      </c>
      <c r="O6329" t="s">
        <v>30</v>
      </c>
      <c r="P6329">
        <v>11.197927411658</v>
      </c>
      <c r="Q6329">
        <v>0.71056629752145195</v>
      </c>
      <c r="R6329">
        <v>7.4482481796847599</v>
      </c>
      <c r="S6329">
        <v>74</v>
      </c>
      <c r="T6329">
        <v>31</v>
      </c>
      <c r="U6329">
        <v>367.45295267870802</v>
      </c>
      <c r="V6329">
        <v>7.7459333849728897E-4</v>
      </c>
      <c r="W6329">
        <v>1572990.2378074999</v>
      </c>
      <c r="X6329" t="s">
        <v>28</v>
      </c>
      <c r="Y6329">
        <f>1-560-397-4776</f>
        <v>-5732</v>
      </c>
    </row>
    <row r="6330" spans="1:25" x14ac:dyDescent="0.35">
      <c r="A6330">
        <v>37.969894825090599</v>
      </c>
      <c r="B6330">
        <v>-120.342325050421</v>
      </c>
      <c r="C6330" t="s">
        <v>29</v>
      </c>
      <c r="D6330">
        <v>10.267703860678701</v>
      </c>
      <c r="E6330">
        <v>1</v>
      </c>
      <c r="F6330">
        <v>4345</v>
      </c>
      <c r="G6330">
        <v>1</v>
      </c>
      <c r="H6330">
        <v>2</v>
      </c>
      <c r="I6330">
        <v>1967</v>
      </c>
      <c r="J6330">
        <v>1</v>
      </c>
      <c r="K6330">
        <v>0</v>
      </c>
      <c r="L6330">
        <v>0</v>
      </c>
      <c r="M6330">
        <v>12</v>
      </c>
      <c r="N6330" t="s">
        <v>41</v>
      </c>
      <c r="O6330" t="s">
        <v>30</v>
      </c>
      <c r="P6330">
        <v>12.4088634688633</v>
      </c>
      <c r="Q6330">
        <v>2.2676761962571899</v>
      </c>
      <c r="R6330">
        <v>2.8217044028445102</v>
      </c>
      <c r="S6330">
        <v>119</v>
      </c>
      <c r="T6330">
        <v>52</v>
      </c>
      <c r="U6330">
        <v>687.43611796361199</v>
      </c>
      <c r="V6330">
        <v>2.7617951668584498E-3</v>
      </c>
      <c r="W6330">
        <v>3110578.2049987498</v>
      </c>
      <c r="X6330" t="s">
        <v>43</v>
      </c>
      <c r="Y6330">
        <f>1-997-352-6850</f>
        <v>-8198</v>
      </c>
    </row>
    <row r="6331" spans="1:25" x14ac:dyDescent="0.35">
      <c r="A6331">
        <v>41.573754003101001</v>
      </c>
      <c r="B6331">
        <v>-121.59191990406801</v>
      </c>
      <c r="C6331" t="s">
        <v>34</v>
      </c>
      <c r="D6331">
        <v>23.353571066433201</v>
      </c>
      <c r="E6331">
        <v>7</v>
      </c>
      <c r="F6331">
        <v>998</v>
      </c>
      <c r="G6331">
        <v>3</v>
      </c>
      <c r="H6331">
        <v>3</v>
      </c>
      <c r="I6331">
        <v>1967</v>
      </c>
      <c r="J6331">
        <v>0</v>
      </c>
      <c r="K6331">
        <v>0</v>
      </c>
      <c r="L6331">
        <v>0</v>
      </c>
      <c r="M6331">
        <v>4</v>
      </c>
      <c r="N6331" t="s">
        <v>41</v>
      </c>
      <c r="O6331" t="s">
        <v>30</v>
      </c>
      <c r="P6331">
        <v>14.480240448474101</v>
      </c>
      <c r="Q6331">
        <v>1.62351412085017</v>
      </c>
      <c r="R6331">
        <v>1.69649440620981</v>
      </c>
      <c r="S6331">
        <v>47</v>
      </c>
      <c r="T6331">
        <v>77</v>
      </c>
      <c r="U6331">
        <v>323.645220226307</v>
      </c>
      <c r="V6331">
        <v>4.0080160320641201E-3</v>
      </c>
      <c r="W6331">
        <v>588560.38554821303</v>
      </c>
      <c r="X6331" t="s">
        <v>31</v>
      </c>
      <c r="Y6331">
        <f>1-517-839-8217</f>
        <v>-9572</v>
      </c>
    </row>
    <row r="6332" spans="1:25" x14ac:dyDescent="0.35">
      <c r="A6332">
        <v>34.1789669015835</v>
      </c>
      <c r="B6332">
        <v>-117.683048051345</v>
      </c>
      <c r="C6332" t="s">
        <v>34</v>
      </c>
      <c r="D6332">
        <v>33.361734519704903</v>
      </c>
      <c r="E6332">
        <v>6</v>
      </c>
      <c r="F6332">
        <v>2106</v>
      </c>
      <c r="G6332">
        <v>1</v>
      </c>
      <c r="H6332">
        <v>1</v>
      </c>
      <c r="I6332">
        <v>1996</v>
      </c>
      <c r="J6332">
        <v>1</v>
      </c>
      <c r="K6332">
        <v>1</v>
      </c>
      <c r="L6332">
        <v>1</v>
      </c>
      <c r="M6332">
        <v>7</v>
      </c>
      <c r="N6332" t="s">
        <v>26</v>
      </c>
      <c r="O6332" t="s">
        <v>30</v>
      </c>
      <c r="P6332">
        <v>13.7492067669561</v>
      </c>
      <c r="Q6332">
        <v>0.96415790493919695</v>
      </c>
      <c r="R6332">
        <v>7.2527528524851697</v>
      </c>
      <c r="S6332">
        <v>144</v>
      </c>
      <c r="T6332">
        <v>61</v>
      </c>
      <c r="U6332">
        <v>484.872494048205</v>
      </c>
      <c r="V6332">
        <v>3.32383665716999E-3</v>
      </c>
      <c r="W6332">
        <v>1386943.3975031001</v>
      </c>
      <c r="X6332" t="s">
        <v>31</v>
      </c>
      <c r="Y6332">
        <f>1-525-822-3748</f>
        <v>-5094</v>
      </c>
    </row>
    <row r="6333" spans="1:25" x14ac:dyDescent="0.35">
      <c r="A6333">
        <v>32.778913211714801</v>
      </c>
      <c r="B6333">
        <v>-123.053363166235</v>
      </c>
      <c r="C6333" t="s">
        <v>29</v>
      </c>
      <c r="D6333">
        <v>19.827010257596299</v>
      </c>
      <c r="E6333">
        <v>6</v>
      </c>
      <c r="F6333">
        <v>4078</v>
      </c>
      <c r="G6333">
        <v>3</v>
      </c>
      <c r="H6333">
        <v>1</v>
      </c>
      <c r="I6333">
        <v>1979</v>
      </c>
      <c r="J6333">
        <v>1</v>
      </c>
      <c r="K6333">
        <v>0</v>
      </c>
      <c r="L6333">
        <v>0</v>
      </c>
      <c r="M6333">
        <v>4</v>
      </c>
      <c r="N6333" t="s">
        <v>26</v>
      </c>
      <c r="O6333" t="s">
        <v>27</v>
      </c>
      <c r="P6333">
        <v>5.74404897653584</v>
      </c>
      <c r="Q6333">
        <v>2.12630280165948</v>
      </c>
      <c r="R6333">
        <v>5.5628084176630699</v>
      </c>
      <c r="S6333">
        <v>149</v>
      </c>
      <c r="T6333">
        <v>27</v>
      </c>
      <c r="U6333">
        <v>878.98139411651402</v>
      </c>
      <c r="V6333">
        <v>9.8087297694948511E-4</v>
      </c>
      <c r="W6333">
        <v>3767139.42090692</v>
      </c>
      <c r="X6333" t="s">
        <v>38</v>
      </c>
      <c r="Y6333">
        <f>1-567-130-5313</f>
        <v>-6009</v>
      </c>
    </row>
    <row r="6334" spans="1:25" x14ac:dyDescent="0.35">
      <c r="A6334">
        <v>38.927351444428098</v>
      </c>
      <c r="B6334">
        <v>-118.340757728227</v>
      </c>
      <c r="C6334" t="s">
        <v>34</v>
      </c>
      <c r="D6334">
        <v>18.816197458868</v>
      </c>
      <c r="E6334">
        <v>9</v>
      </c>
      <c r="F6334">
        <v>3299</v>
      </c>
      <c r="G6334">
        <v>5</v>
      </c>
      <c r="H6334">
        <v>2</v>
      </c>
      <c r="I6334">
        <v>1977</v>
      </c>
      <c r="J6334">
        <v>1</v>
      </c>
      <c r="K6334">
        <v>1</v>
      </c>
      <c r="L6334">
        <v>0</v>
      </c>
      <c r="M6334">
        <v>3</v>
      </c>
      <c r="N6334" t="s">
        <v>26</v>
      </c>
      <c r="O6334" t="s">
        <v>30</v>
      </c>
      <c r="P6334">
        <v>4.7949531219411696</v>
      </c>
      <c r="Q6334">
        <v>2.3644832529762398</v>
      </c>
      <c r="R6334">
        <v>9.4591179487561394</v>
      </c>
      <c r="S6334">
        <v>94</v>
      </c>
      <c r="T6334">
        <v>64</v>
      </c>
      <c r="U6334">
        <v>780.72344259079102</v>
      </c>
      <c r="V6334">
        <v>9.0936647468929904E-4</v>
      </c>
      <c r="W6334">
        <v>2876264.1364202402</v>
      </c>
      <c r="X6334" t="s">
        <v>44</v>
      </c>
      <c r="Y6334">
        <f>1-579-609-3405</f>
        <v>-4592</v>
      </c>
    </row>
    <row r="6335" spans="1:25" x14ac:dyDescent="0.35">
      <c r="A6335">
        <v>36.8132573499404</v>
      </c>
      <c r="B6335">
        <v>-114.20665260881501</v>
      </c>
      <c r="C6335" t="s">
        <v>29</v>
      </c>
      <c r="D6335">
        <v>27.9461849101837</v>
      </c>
      <c r="E6335">
        <v>8</v>
      </c>
      <c r="F6335">
        <v>4457</v>
      </c>
      <c r="G6335">
        <v>3</v>
      </c>
      <c r="H6335">
        <v>2</v>
      </c>
      <c r="I6335">
        <v>1960</v>
      </c>
      <c r="J6335">
        <v>0</v>
      </c>
      <c r="K6335">
        <v>0</v>
      </c>
      <c r="L6335">
        <v>0</v>
      </c>
      <c r="M6335">
        <v>3</v>
      </c>
      <c r="N6335" t="s">
        <v>26</v>
      </c>
      <c r="O6335" t="s">
        <v>30</v>
      </c>
      <c r="P6335">
        <v>6.1369542757345501</v>
      </c>
      <c r="Q6335">
        <v>1.7315816232572301</v>
      </c>
      <c r="R6335">
        <v>8.4994336221748004</v>
      </c>
      <c r="S6335">
        <v>114</v>
      </c>
      <c r="T6335">
        <v>74</v>
      </c>
      <c r="U6335">
        <v>938.18579271075896</v>
      </c>
      <c r="V6335">
        <v>6.7309849674669002E-4</v>
      </c>
      <c r="W6335">
        <v>4303501.5474095</v>
      </c>
      <c r="X6335" t="s">
        <v>42</v>
      </c>
      <c r="Y6335">
        <f>1-658-299-6394</f>
        <v>-7350</v>
      </c>
    </row>
    <row r="6336" spans="1:25" x14ac:dyDescent="0.35">
      <c r="A6336">
        <v>34.562242478096302</v>
      </c>
      <c r="B6336">
        <v>-117.934419962552</v>
      </c>
      <c r="C6336" t="s">
        <v>29</v>
      </c>
      <c r="D6336">
        <v>44.520526596651699</v>
      </c>
      <c r="E6336">
        <v>6</v>
      </c>
      <c r="F6336">
        <v>1490</v>
      </c>
      <c r="G6336">
        <v>2</v>
      </c>
      <c r="H6336">
        <v>1</v>
      </c>
      <c r="I6336">
        <v>1978</v>
      </c>
      <c r="J6336">
        <v>1</v>
      </c>
      <c r="K6336">
        <v>0</v>
      </c>
      <c r="L6336">
        <v>0</v>
      </c>
      <c r="M6336">
        <v>6</v>
      </c>
      <c r="N6336" t="s">
        <v>35</v>
      </c>
      <c r="O6336" t="s">
        <v>27</v>
      </c>
      <c r="P6336">
        <v>5.7791779085728798</v>
      </c>
      <c r="Q6336">
        <v>1.9651915144358101</v>
      </c>
      <c r="R6336">
        <v>3.9292017583569199</v>
      </c>
      <c r="S6336">
        <v>65</v>
      </c>
      <c r="T6336">
        <v>22</v>
      </c>
      <c r="U6336">
        <v>573.21752186813103</v>
      </c>
      <c r="V6336">
        <v>4.0268456375838896E-3</v>
      </c>
      <c r="W6336">
        <v>994354.07241605106</v>
      </c>
      <c r="X6336" t="s">
        <v>31</v>
      </c>
      <c r="Y6336">
        <f>1-567-508-3368</f>
        <v>-4442</v>
      </c>
    </row>
    <row r="6337" spans="1:25" x14ac:dyDescent="0.35">
      <c r="A6337">
        <v>40.398741158308198</v>
      </c>
      <c r="B6337">
        <v>-120.015111316244</v>
      </c>
      <c r="C6337" t="s">
        <v>25</v>
      </c>
      <c r="D6337">
        <v>28.980229360310702</v>
      </c>
      <c r="E6337">
        <v>3</v>
      </c>
      <c r="F6337">
        <v>4358</v>
      </c>
      <c r="G6337">
        <v>1</v>
      </c>
      <c r="H6337">
        <v>1</v>
      </c>
      <c r="I6337">
        <v>1983</v>
      </c>
      <c r="J6337">
        <v>1</v>
      </c>
      <c r="K6337">
        <v>0</v>
      </c>
      <c r="L6337">
        <v>1</v>
      </c>
      <c r="M6337">
        <v>11</v>
      </c>
      <c r="N6337" t="s">
        <v>37</v>
      </c>
      <c r="O6337" t="s">
        <v>32</v>
      </c>
      <c r="P6337">
        <v>14.083766813191801</v>
      </c>
      <c r="Q6337">
        <v>1.44641483624254</v>
      </c>
      <c r="R6337">
        <v>8.9627834251995093</v>
      </c>
      <c r="S6337">
        <v>0</v>
      </c>
      <c r="T6337">
        <v>43</v>
      </c>
      <c r="U6337">
        <v>361.42658015711601</v>
      </c>
      <c r="V6337">
        <v>2.5240936209270301E-3</v>
      </c>
      <c r="W6337">
        <v>1822720.85849157</v>
      </c>
      <c r="X6337" t="s">
        <v>42</v>
      </c>
      <c r="Y6337">
        <f>1-625-850-9646</f>
        <v>-11120</v>
      </c>
    </row>
    <row r="6338" spans="1:25" x14ac:dyDescent="0.35">
      <c r="A6338">
        <v>34.988750946610097</v>
      </c>
      <c r="B6338">
        <v>-122.35260939115599</v>
      </c>
      <c r="C6338" t="s">
        <v>34</v>
      </c>
      <c r="D6338">
        <v>12.1096502786323</v>
      </c>
      <c r="E6338">
        <v>9</v>
      </c>
      <c r="F6338">
        <v>3879</v>
      </c>
      <c r="G6338">
        <v>2</v>
      </c>
      <c r="H6338">
        <v>1</v>
      </c>
      <c r="I6338">
        <v>2013</v>
      </c>
      <c r="J6338">
        <v>1</v>
      </c>
      <c r="K6338">
        <v>0</v>
      </c>
      <c r="L6338">
        <v>0</v>
      </c>
      <c r="M6338">
        <v>7</v>
      </c>
      <c r="N6338" t="s">
        <v>41</v>
      </c>
      <c r="O6338" t="s">
        <v>27</v>
      </c>
      <c r="P6338">
        <v>12.793624105283801</v>
      </c>
      <c r="Q6338">
        <v>0.87662073527481399</v>
      </c>
      <c r="R6338">
        <v>7.0112555561613199</v>
      </c>
      <c r="S6338">
        <v>41</v>
      </c>
      <c r="T6338">
        <v>74</v>
      </c>
      <c r="U6338">
        <v>265.37605109578698</v>
      </c>
      <c r="V6338">
        <v>1.80458881154936E-3</v>
      </c>
      <c r="W6338">
        <v>1327134.1067113001</v>
      </c>
      <c r="X6338" t="s">
        <v>43</v>
      </c>
      <c r="Y6338">
        <f>1-454-814-1464</f>
        <v>-2731</v>
      </c>
    </row>
    <row r="6339" spans="1:25" x14ac:dyDescent="0.35">
      <c r="A6339">
        <v>38.594861619746702</v>
      </c>
      <c r="B6339">
        <v>-121.322410843695</v>
      </c>
      <c r="C6339" t="s">
        <v>34</v>
      </c>
      <c r="D6339">
        <v>35.506616427984298</v>
      </c>
      <c r="E6339">
        <v>5</v>
      </c>
      <c r="F6339">
        <v>4878</v>
      </c>
      <c r="G6339">
        <v>2</v>
      </c>
      <c r="H6339">
        <v>2</v>
      </c>
      <c r="I6339">
        <v>2000</v>
      </c>
      <c r="J6339">
        <v>1</v>
      </c>
      <c r="K6339">
        <v>1</v>
      </c>
      <c r="L6339">
        <v>0</v>
      </c>
      <c r="M6339">
        <v>12</v>
      </c>
      <c r="N6339" t="s">
        <v>41</v>
      </c>
      <c r="O6339" t="s">
        <v>27</v>
      </c>
      <c r="P6339">
        <v>13.6081290294544</v>
      </c>
      <c r="Q6339">
        <v>0.92477113603466299</v>
      </c>
      <c r="R6339">
        <v>2.8241685817177</v>
      </c>
      <c r="S6339">
        <v>70</v>
      </c>
      <c r="T6339">
        <v>44</v>
      </c>
      <c r="U6339">
        <v>610.67667593861995</v>
      </c>
      <c r="V6339">
        <v>2.4600246002459999E-3</v>
      </c>
      <c r="W6339">
        <v>3331997.8420224902</v>
      </c>
      <c r="X6339" t="s">
        <v>42</v>
      </c>
      <c r="Y6339">
        <f>1-348-797-5721</f>
        <v>-6865</v>
      </c>
    </row>
    <row r="6340" spans="1:25" x14ac:dyDescent="0.35">
      <c r="A6340">
        <v>39.8563576744938</v>
      </c>
      <c r="B6340">
        <v>-120.43509241661801</v>
      </c>
      <c r="C6340" t="s">
        <v>34</v>
      </c>
      <c r="D6340">
        <v>19.506010468364298</v>
      </c>
      <c r="E6340">
        <v>4</v>
      </c>
      <c r="F6340">
        <v>942</v>
      </c>
      <c r="G6340">
        <v>1</v>
      </c>
      <c r="H6340">
        <v>1</v>
      </c>
      <c r="I6340">
        <v>1965</v>
      </c>
      <c r="J6340">
        <v>0</v>
      </c>
      <c r="K6340">
        <v>1</v>
      </c>
      <c r="L6340">
        <v>0</v>
      </c>
      <c r="M6340">
        <v>4</v>
      </c>
      <c r="N6340" t="s">
        <v>26</v>
      </c>
      <c r="O6340" t="s">
        <v>30</v>
      </c>
      <c r="P6340">
        <v>10.1707845561799</v>
      </c>
      <c r="Q6340">
        <v>1.6800143845355</v>
      </c>
      <c r="R6340">
        <v>1.4533932216343199</v>
      </c>
      <c r="S6340">
        <v>79</v>
      </c>
      <c r="T6340">
        <v>69</v>
      </c>
      <c r="U6340">
        <v>816.358512507162</v>
      </c>
      <c r="V6340">
        <v>4.2462845010615702E-3</v>
      </c>
      <c r="W6340">
        <v>897083.40585899295</v>
      </c>
      <c r="X6340" t="s">
        <v>38</v>
      </c>
      <c r="Y6340">
        <f>1-747-520-7868</f>
        <v>-9134</v>
      </c>
    </row>
    <row r="6341" spans="1:25" x14ac:dyDescent="0.35">
      <c r="A6341">
        <v>36.853336045595199</v>
      </c>
      <c r="B6341">
        <v>-121.60261058549401</v>
      </c>
      <c r="C6341" t="s">
        <v>34</v>
      </c>
      <c r="D6341">
        <v>21.286546155070099</v>
      </c>
      <c r="E6341">
        <v>3</v>
      </c>
      <c r="F6341">
        <v>4715</v>
      </c>
      <c r="G6341">
        <v>5</v>
      </c>
      <c r="H6341">
        <v>1</v>
      </c>
      <c r="I6341">
        <v>2008</v>
      </c>
      <c r="J6341">
        <v>1</v>
      </c>
      <c r="K6341">
        <v>0</v>
      </c>
      <c r="L6341">
        <v>1</v>
      </c>
      <c r="M6341">
        <v>2</v>
      </c>
      <c r="N6341" t="s">
        <v>35</v>
      </c>
      <c r="O6341" t="s">
        <v>27</v>
      </c>
      <c r="P6341">
        <v>9.2891092261628501</v>
      </c>
      <c r="Q6341">
        <v>2.3716223005567598</v>
      </c>
      <c r="R6341">
        <v>0.73574931392256904</v>
      </c>
      <c r="S6341">
        <v>23</v>
      </c>
      <c r="T6341">
        <v>69</v>
      </c>
      <c r="U6341">
        <v>897.01145181875404</v>
      </c>
      <c r="V6341">
        <v>4.24178154825026E-4</v>
      </c>
      <c r="W6341">
        <v>4673082.1462817499</v>
      </c>
      <c r="X6341" t="s">
        <v>42</v>
      </c>
      <c r="Y6341">
        <f>1-482-762-2983</f>
        <v>-4226</v>
      </c>
    </row>
    <row r="6342" spans="1:25" x14ac:dyDescent="0.35">
      <c r="A6342">
        <v>34.702413756676698</v>
      </c>
      <c r="B6342">
        <v>-118.848791635761</v>
      </c>
      <c r="C6342" t="s">
        <v>25</v>
      </c>
      <c r="D6342">
        <v>27.368551934527702</v>
      </c>
      <c r="E6342">
        <v>2</v>
      </c>
      <c r="F6342">
        <v>1114</v>
      </c>
      <c r="G6342">
        <v>4</v>
      </c>
      <c r="H6342">
        <v>3</v>
      </c>
      <c r="I6342">
        <v>2001</v>
      </c>
      <c r="J6342">
        <v>1</v>
      </c>
      <c r="K6342">
        <v>0</v>
      </c>
      <c r="L6342">
        <v>0</v>
      </c>
      <c r="M6342">
        <v>6</v>
      </c>
      <c r="N6342" t="s">
        <v>35</v>
      </c>
      <c r="O6342" t="s">
        <v>30</v>
      </c>
      <c r="P6342">
        <v>3.1343333929271702</v>
      </c>
      <c r="Q6342">
        <v>0.87846233448550803</v>
      </c>
      <c r="R6342">
        <v>5.1925773004188303</v>
      </c>
      <c r="S6342">
        <v>67</v>
      </c>
      <c r="T6342">
        <v>68</v>
      </c>
      <c r="U6342">
        <v>465.49129453021601</v>
      </c>
      <c r="V6342">
        <v>5.3859964093357204E-3</v>
      </c>
      <c r="W6342">
        <v>758209.591933975</v>
      </c>
      <c r="X6342" t="s">
        <v>43</v>
      </c>
      <c r="Y6342">
        <f>1-902-558-5033</f>
        <v>-6492</v>
      </c>
    </row>
    <row r="6343" spans="1:25" x14ac:dyDescent="0.35">
      <c r="A6343">
        <v>41.102330352749597</v>
      </c>
      <c r="B6343">
        <v>-118.307574575613</v>
      </c>
      <c r="C6343" t="s">
        <v>25</v>
      </c>
      <c r="D6343">
        <v>6.7457443562188697</v>
      </c>
      <c r="E6343">
        <v>1</v>
      </c>
      <c r="F6343">
        <v>1599</v>
      </c>
      <c r="G6343">
        <v>3</v>
      </c>
      <c r="H6343">
        <v>2</v>
      </c>
      <c r="I6343">
        <v>1954</v>
      </c>
      <c r="J6343">
        <v>0</v>
      </c>
      <c r="K6343">
        <v>1</v>
      </c>
      <c r="L6343">
        <v>1</v>
      </c>
      <c r="M6343">
        <v>6</v>
      </c>
      <c r="N6343" t="s">
        <v>41</v>
      </c>
      <c r="O6343" t="s">
        <v>30</v>
      </c>
      <c r="P6343">
        <v>2.2367360942147698</v>
      </c>
      <c r="Q6343">
        <v>0.87348951762873095</v>
      </c>
      <c r="R6343">
        <v>3.2274911571695899</v>
      </c>
      <c r="S6343">
        <v>0</v>
      </c>
      <c r="T6343">
        <v>60</v>
      </c>
      <c r="U6343">
        <v>854.21656910264005</v>
      </c>
      <c r="V6343">
        <v>3.7523452157598499E-3</v>
      </c>
      <c r="W6343">
        <v>1626807.69755938</v>
      </c>
      <c r="X6343" t="s">
        <v>39</v>
      </c>
      <c r="Y6343">
        <f>1-668-248-9108</f>
        <v>-10023</v>
      </c>
    </row>
    <row r="6344" spans="1:25" x14ac:dyDescent="0.35">
      <c r="A6344">
        <v>33.862233821530502</v>
      </c>
      <c r="B6344">
        <v>-115.260164835609</v>
      </c>
      <c r="C6344" t="s">
        <v>29</v>
      </c>
      <c r="D6344">
        <v>20.635906410263399</v>
      </c>
      <c r="E6344">
        <v>9</v>
      </c>
      <c r="F6344">
        <v>4715</v>
      </c>
      <c r="G6344">
        <v>2</v>
      </c>
      <c r="H6344">
        <v>2</v>
      </c>
      <c r="I6344">
        <v>2021</v>
      </c>
      <c r="J6344">
        <v>0</v>
      </c>
      <c r="K6344">
        <v>1</v>
      </c>
      <c r="L6344">
        <v>0</v>
      </c>
      <c r="M6344">
        <v>9</v>
      </c>
      <c r="N6344" t="s">
        <v>35</v>
      </c>
      <c r="O6344" t="s">
        <v>30</v>
      </c>
      <c r="P6344">
        <v>7.2777220473378099</v>
      </c>
      <c r="Q6344">
        <v>0.931809112795417</v>
      </c>
      <c r="R6344">
        <v>9.7553841841977498</v>
      </c>
      <c r="S6344">
        <v>15</v>
      </c>
      <c r="T6344">
        <v>64</v>
      </c>
      <c r="U6344">
        <v>660.74267740094501</v>
      </c>
      <c r="V6344">
        <v>1.90880169671261E-3</v>
      </c>
      <c r="W6344">
        <v>3358788.0464603798</v>
      </c>
      <c r="X6344" t="s">
        <v>44</v>
      </c>
      <c r="Y6344">
        <f>1-601-817-4880</f>
        <v>-6297</v>
      </c>
    </row>
    <row r="6345" spans="1:25" x14ac:dyDescent="0.35">
      <c r="A6345">
        <v>41.334752779738899</v>
      </c>
      <c r="B6345">
        <v>-120.73927619671301</v>
      </c>
      <c r="C6345" t="s">
        <v>25</v>
      </c>
      <c r="D6345">
        <v>9.63404419950872</v>
      </c>
      <c r="E6345">
        <v>0</v>
      </c>
      <c r="F6345">
        <v>1650</v>
      </c>
      <c r="G6345">
        <v>1</v>
      </c>
      <c r="H6345">
        <v>3</v>
      </c>
      <c r="I6345">
        <v>1954</v>
      </c>
      <c r="J6345">
        <v>1</v>
      </c>
      <c r="K6345">
        <v>0</v>
      </c>
      <c r="L6345">
        <v>0</v>
      </c>
      <c r="M6345">
        <v>4</v>
      </c>
      <c r="N6345" t="s">
        <v>26</v>
      </c>
      <c r="O6345" t="s">
        <v>27</v>
      </c>
      <c r="P6345">
        <v>10.0729569718013</v>
      </c>
      <c r="Q6345">
        <v>1.4169339795484901</v>
      </c>
      <c r="R6345">
        <v>8.7461536722216202</v>
      </c>
      <c r="S6345">
        <v>86</v>
      </c>
      <c r="T6345">
        <v>29</v>
      </c>
      <c r="U6345">
        <v>782.11972444125195</v>
      </c>
      <c r="V6345">
        <v>2.4242424242424199E-3</v>
      </c>
      <c r="W6345">
        <v>1346551.7536041201</v>
      </c>
      <c r="X6345" t="s">
        <v>33</v>
      </c>
      <c r="Y6345">
        <f>1-443-843-1086</f>
        <v>-2371</v>
      </c>
    </row>
    <row r="6346" spans="1:25" x14ac:dyDescent="0.35">
      <c r="A6346">
        <v>37.901655628574296</v>
      </c>
      <c r="B6346">
        <v>-116.962055766703</v>
      </c>
      <c r="C6346" t="s">
        <v>29</v>
      </c>
      <c r="D6346">
        <v>4.6526807990791097</v>
      </c>
      <c r="E6346">
        <v>5</v>
      </c>
      <c r="F6346">
        <v>2410</v>
      </c>
      <c r="G6346">
        <v>5</v>
      </c>
      <c r="H6346">
        <v>2</v>
      </c>
      <c r="I6346">
        <v>2013</v>
      </c>
      <c r="J6346">
        <v>0</v>
      </c>
      <c r="K6346">
        <v>0</v>
      </c>
      <c r="L6346">
        <v>0</v>
      </c>
      <c r="M6346">
        <v>5</v>
      </c>
      <c r="N6346" t="s">
        <v>37</v>
      </c>
      <c r="O6346" t="s">
        <v>30</v>
      </c>
      <c r="P6346">
        <v>14.7703484075936</v>
      </c>
      <c r="Q6346">
        <v>1.27761570500924</v>
      </c>
      <c r="R6346">
        <v>4.5216971548724096</v>
      </c>
      <c r="S6346">
        <v>130</v>
      </c>
      <c r="T6346">
        <v>58</v>
      </c>
      <c r="U6346">
        <v>553.63889157454901</v>
      </c>
      <c r="V6346">
        <v>2.0746887966804901E-3</v>
      </c>
      <c r="W6346">
        <v>1664819.67433253</v>
      </c>
      <c r="X6346" t="s">
        <v>28</v>
      </c>
      <c r="Y6346">
        <f>1-320-240-5206</f>
        <v>-5765</v>
      </c>
    </row>
    <row r="6347" spans="1:25" x14ac:dyDescent="0.35">
      <c r="A6347">
        <v>38.471870963921603</v>
      </c>
      <c r="B6347">
        <v>-118.535502229673</v>
      </c>
      <c r="C6347" t="s">
        <v>29</v>
      </c>
      <c r="D6347">
        <v>40.201742230081599</v>
      </c>
      <c r="E6347">
        <v>3</v>
      </c>
      <c r="F6347">
        <v>4004</v>
      </c>
      <c r="G6347">
        <v>2</v>
      </c>
      <c r="H6347">
        <v>3</v>
      </c>
      <c r="I6347">
        <v>1968</v>
      </c>
      <c r="J6347">
        <v>0</v>
      </c>
      <c r="K6347">
        <v>0</v>
      </c>
      <c r="L6347">
        <v>0</v>
      </c>
      <c r="M6347">
        <v>2</v>
      </c>
      <c r="N6347" t="s">
        <v>35</v>
      </c>
      <c r="O6347" t="s">
        <v>27</v>
      </c>
      <c r="P6347">
        <v>4.30727261319044</v>
      </c>
      <c r="Q6347">
        <v>2.4600285103137902</v>
      </c>
      <c r="R6347">
        <v>7.5661570745873403</v>
      </c>
      <c r="S6347">
        <v>158</v>
      </c>
      <c r="T6347">
        <v>53</v>
      </c>
      <c r="U6347">
        <v>528.67815705340604</v>
      </c>
      <c r="V6347">
        <v>4.9950049950049896E-4</v>
      </c>
      <c r="W6347">
        <v>2193430.8248741599</v>
      </c>
      <c r="X6347" t="s">
        <v>31</v>
      </c>
      <c r="Y6347">
        <f>1-551-685-2118</f>
        <v>-3353</v>
      </c>
    </row>
    <row r="6348" spans="1:25" x14ac:dyDescent="0.35">
      <c r="A6348">
        <v>37.836260149205202</v>
      </c>
      <c r="B6348">
        <v>-117.336108400066</v>
      </c>
      <c r="C6348" t="s">
        <v>34</v>
      </c>
      <c r="D6348">
        <v>2.0316233711537501</v>
      </c>
      <c r="E6348">
        <v>6</v>
      </c>
      <c r="F6348">
        <v>3160</v>
      </c>
      <c r="G6348">
        <v>3</v>
      </c>
      <c r="H6348">
        <v>2</v>
      </c>
      <c r="I6348">
        <v>1996</v>
      </c>
      <c r="J6348">
        <v>0</v>
      </c>
      <c r="K6348">
        <v>0</v>
      </c>
      <c r="L6348">
        <v>1</v>
      </c>
      <c r="M6348">
        <v>6</v>
      </c>
      <c r="N6348" t="s">
        <v>26</v>
      </c>
      <c r="O6348" t="s">
        <v>32</v>
      </c>
      <c r="P6348">
        <v>14.755233097291899</v>
      </c>
      <c r="Q6348">
        <v>1.4866310212662199</v>
      </c>
      <c r="R6348">
        <v>9.66196773983037</v>
      </c>
      <c r="S6348">
        <v>196</v>
      </c>
      <c r="T6348">
        <v>37</v>
      </c>
      <c r="U6348">
        <v>739.92932114375697</v>
      </c>
      <c r="V6348">
        <v>1.89873417721518E-3</v>
      </c>
      <c r="W6348">
        <v>2639078.9746703398</v>
      </c>
      <c r="X6348" t="s">
        <v>39</v>
      </c>
      <c r="Y6348">
        <f>1-440-398-2501</f>
        <v>-3338</v>
      </c>
    </row>
    <row r="6349" spans="1:25" x14ac:dyDescent="0.35">
      <c r="A6349">
        <v>41.124676253163699</v>
      </c>
      <c r="B6349">
        <v>-117.3542383595</v>
      </c>
      <c r="C6349" t="s">
        <v>25</v>
      </c>
      <c r="D6349">
        <v>5.7855991373518396</v>
      </c>
      <c r="E6349">
        <v>1</v>
      </c>
      <c r="F6349">
        <v>703</v>
      </c>
      <c r="G6349">
        <v>5</v>
      </c>
      <c r="H6349">
        <v>3</v>
      </c>
      <c r="I6349">
        <v>2015</v>
      </c>
      <c r="J6349">
        <v>1</v>
      </c>
      <c r="K6349">
        <v>1</v>
      </c>
      <c r="L6349">
        <v>0</v>
      </c>
      <c r="M6349">
        <v>13</v>
      </c>
      <c r="N6349" t="s">
        <v>26</v>
      </c>
      <c r="O6349" t="s">
        <v>27</v>
      </c>
      <c r="P6349">
        <v>14.690339763777301</v>
      </c>
      <c r="Q6349">
        <v>2.341882662113</v>
      </c>
      <c r="R6349">
        <v>0.993354188574048</v>
      </c>
      <c r="S6349">
        <v>96</v>
      </c>
      <c r="T6349">
        <v>70</v>
      </c>
      <c r="U6349">
        <v>444.40395364370403</v>
      </c>
      <c r="V6349">
        <v>1.8492176386913198E-2</v>
      </c>
      <c r="W6349">
        <v>825276.43422478205</v>
      </c>
      <c r="X6349" t="s">
        <v>38</v>
      </c>
      <c r="Y6349">
        <f>1-255-986-9450</f>
        <v>-10690</v>
      </c>
    </row>
    <row r="6350" spans="1:25" x14ac:dyDescent="0.35">
      <c r="A6350">
        <v>35.624905126321899</v>
      </c>
      <c r="B6350">
        <v>-115.637723239303</v>
      </c>
      <c r="C6350" t="s">
        <v>29</v>
      </c>
      <c r="D6350">
        <v>42.664646319758198</v>
      </c>
      <c r="E6350">
        <v>6</v>
      </c>
      <c r="F6350">
        <v>760</v>
      </c>
      <c r="G6350">
        <v>1</v>
      </c>
      <c r="H6350">
        <v>3</v>
      </c>
      <c r="I6350">
        <v>2018</v>
      </c>
      <c r="J6350">
        <v>0</v>
      </c>
      <c r="K6350">
        <v>1</v>
      </c>
      <c r="L6350">
        <v>1</v>
      </c>
      <c r="M6350">
        <v>11</v>
      </c>
      <c r="N6350" t="s">
        <v>26</v>
      </c>
      <c r="O6350" t="s">
        <v>27</v>
      </c>
      <c r="P6350">
        <v>7.9087514034403199</v>
      </c>
      <c r="Q6350">
        <v>1.2008828752051</v>
      </c>
      <c r="R6350">
        <v>1.3056523613831299</v>
      </c>
      <c r="S6350">
        <v>10</v>
      </c>
      <c r="T6350">
        <v>37</v>
      </c>
      <c r="U6350">
        <v>461.62176285298</v>
      </c>
      <c r="V6350">
        <v>1.44736842105263E-2</v>
      </c>
      <c r="W6350">
        <v>685074.78764480294</v>
      </c>
      <c r="X6350" t="s">
        <v>40</v>
      </c>
      <c r="Y6350">
        <f>1-757-747-9765</f>
        <v>-11268</v>
      </c>
    </row>
    <row r="6351" spans="1:25" x14ac:dyDescent="0.35">
      <c r="A6351">
        <v>41.744548124438502</v>
      </c>
      <c r="B6351">
        <v>-115.365634242943</v>
      </c>
      <c r="C6351" t="s">
        <v>34</v>
      </c>
      <c r="D6351">
        <v>6.5517507075341896</v>
      </c>
      <c r="E6351">
        <v>9</v>
      </c>
      <c r="F6351">
        <v>746</v>
      </c>
      <c r="G6351">
        <v>3</v>
      </c>
      <c r="H6351">
        <v>2</v>
      </c>
      <c r="I6351">
        <v>1990</v>
      </c>
      <c r="J6351">
        <v>1</v>
      </c>
      <c r="K6351">
        <v>1</v>
      </c>
      <c r="L6351">
        <v>0</v>
      </c>
      <c r="M6351">
        <v>6</v>
      </c>
      <c r="N6351" t="s">
        <v>37</v>
      </c>
      <c r="O6351" t="s">
        <v>27</v>
      </c>
      <c r="P6351">
        <v>8.9644099444452294</v>
      </c>
      <c r="Q6351">
        <v>1.1072320054398099</v>
      </c>
      <c r="R6351">
        <v>8.5558092303792499</v>
      </c>
      <c r="S6351">
        <v>43</v>
      </c>
      <c r="T6351">
        <v>65</v>
      </c>
      <c r="U6351">
        <v>805.74008337437203</v>
      </c>
      <c r="V6351">
        <v>8.0428954423592495E-3</v>
      </c>
      <c r="W6351">
        <v>893811.88912443898</v>
      </c>
      <c r="X6351" t="s">
        <v>44</v>
      </c>
      <c r="Y6351">
        <f>1-683-692-9351</f>
        <v>-10725</v>
      </c>
    </row>
    <row r="6352" spans="1:25" x14ac:dyDescent="0.35">
      <c r="A6352">
        <v>35.721615827036899</v>
      </c>
      <c r="B6352">
        <v>-114.708894244172</v>
      </c>
      <c r="C6352" t="s">
        <v>25</v>
      </c>
      <c r="D6352">
        <v>48.8938193432285</v>
      </c>
      <c r="E6352">
        <v>0</v>
      </c>
      <c r="F6352">
        <v>1799</v>
      </c>
      <c r="G6352">
        <v>2</v>
      </c>
      <c r="H6352">
        <v>1</v>
      </c>
      <c r="I6352">
        <v>2008</v>
      </c>
      <c r="J6352">
        <v>0</v>
      </c>
      <c r="K6352">
        <v>0</v>
      </c>
      <c r="L6352">
        <v>0</v>
      </c>
      <c r="M6352">
        <v>11</v>
      </c>
      <c r="N6352" t="s">
        <v>41</v>
      </c>
      <c r="O6352" t="s">
        <v>27</v>
      </c>
      <c r="P6352">
        <v>5.7410292841209003</v>
      </c>
      <c r="Q6352">
        <v>0.52558317612407002</v>
      </c>
      <c r="R6352">
        <v>2.53485132446329E-2</v>
      </c>
      <c r="S6352">
        <v>28</v>
      </c>
      <c r="T6352">
        <v>39</v>
      </c>
      <c r="U6352">
        <v>946.07620129385396</v>
      </c>
      <c r="V6352">
        <v>6.1145080600333501E-3</v>
      </c>
      <c r="W6352">
        <v>1899937.19261075</v>
      </c>
      <c r="X6352" t="s">
        <v>43</v>
      </c>
      <c r="Y6352">
        <f>1-591-286-7400</f>
        <v>-8276</v>
      </c>
    </row>
    <row r="6353" spans="1:25" x14ac:dyDescent="0.35">
      <c r="A6353">
        <v>35.247465842022599</v>
      </c>
      <c r="B6353">
        <v>-115.23370503473301</v>
      </c>
      <c r="C6353" t="s">
        <v>25</v>
      </c>
      <c r="D6353">
        <v>43.142881587815999</v>
      </c>
      <c r="E6353">
        <v>2</v>
      </c>
      <c r="F6353">
        <v>2447</v>
      </c>
      <c r="G6353">
        <v>1</v>
      </c>
      <c r="H6353">
        <v>3</v>
      </c>
      <c r="I6353">
        <v>2013</v>
      </c>
      <c r="J6353">
        <v>1</v>
      </c>
      <c r="K6353">
        <v>1</v>
      </c>
      <c r="L6353">
        <v>0</v>
      </c>
      <c r="M6353">
        <v>7</v>
      </c>
      <c r="N6353" t="s">
        <v>35</v>
      </c>
      <c r="O6353" t="s">
        <v>30</v>
      </c>
      <c r="P6353">
        <v>14.3787993018836</v>
      </c>
      <c r="Q6353">
        <v>2.0295979115657898</v>
      </c>
      <c r="R6353">
        <v>2.1522225993269299</v>
      </c>
      <c r="S6353">
        <v>10</v>
      </c>
      <c r="T6353">
        <v>70</v>
      </c>
      <c r="U6353">
        <v>567.91446883206299</v>
      </c>
      <c r="V6353">
        <v>2.8606456885982802E-3</v>
      </c>
      <c r="W6353">
        <v>1893916.9772246699</v>
      </c>
      <c r="X6353" t="s">
        <v>43</v>
      </c>
      <c r="Y6353">
        <f>1-393-524-5593</f>
        <v>-6509</v>
      </c>
    </row>
    <row r="6354" spans="1:25" x14ac:dyDescent="0.35">
      <c r="A6354">
        <v>38.439080439611402</v>
      </c>
      <c r="B6354">
        <v>-122.138571611502</v>
      </c>
      <c r="C6354" t="s">
        <v>29</v>
      </c>
      <c r="D6354">
        <v>27.9497055607576</v>
      </c>
      <c r="E6354">
        <v>4</v>
      </c>
      <c r="F6354">
        <v>2407</v>
      </c>
      <c r="G6354">
        <v>4</v>
      </c>
      <c r="H6354">
        <v>1</v>
      </c>
      <c r="I6354">
        <v>2005</v>
      </c>
      <c r="J6354">
        <v>1</v>
      </c>
      <c r="K6354">
        <v>1</v>
      </c>
      <c r="L6354">
        <v>1</v>
      </c>
      <c r="M6354">
        <v>10</v>
      </c>
      <c r="N6354" t="s">
        <v>35</v>
      </c>
      <c r="O6354" t="s">
        <v>27</v>
      </c>
      <c r="P6354">
        <v>6.6256003090085196</v>
      </c>
      <c r="Q6354">
        <v>1.97829629795061</v>
      </c>
      <c r="R6354">
        <v>5.87555858080494</v>
      </c>
      <c r="S6354">
        <v>68</v>
      </c>
      <c r="T6354">
        <v>51</v>
      </c>
      <c r="U6354">
        <v>308.22042749204502</v>
      </c>
      <c r="V6354">
        <v>4.1545492314083903E-3</v>
      </c>
      <c r="W6354">
        <v>1109710.2572975501</v>
      </c>
      <c r="X6354" t="s">
        <v>43</v>
      </c>
      <c r="Y6354">
        <f>1-370-793-7980</f>
        <v>-9142</v>
      </c>
    </row>
    <row r="6355" spans="1:25" x14ac:dyDescent="0.35">
      <c r="A6355">
        <v>34.3391966134417</v>
      </c>
      <c r="B6355">
        <v>-114.873977221085</v>
      </c>
      <c r="C6355" t="s">
        <v>29</v>
      </c>
      <c r="D6355">
        <v>30.557791126117401</v>
      </c>
      <c r="E6355">
        <v>4</v>
      </c>
      <c r="F6355">
        <v>4561</v>
      </c>
      <c r="G6355">
        <v>5</v>
      </c>
      <c r="H6355">
        <v>1</v>
      </c>
      <c r="I6355">
        <v>1961</v>
      </c>
      <c r="J6355">
        <v>0</v>
      </c>
      <c r="K6355">
        <v>1</v>
      </c>
      <c r="L6355">
        <v>1</v>
      </c>
      <c r="M6355">
        <v>4</v>
      </c>
      <c r="N6355" t="s">
        <v>41</v>
      </c>
      <c r="O6355" t="s">
        <v>32</v>
      </c>
      <c r="P6355">
        <v>8.7501762627522197</v>
      </c>
      <c r="Q6355">
        <v>1.91629277503289</v>
      </c>
      <c r="R6355">
        <v>8.1847327245814299</v>
      </c>
      <c r="S6355">
        <v>102</v>
      </c>
      <c r="T6355">
        <v>56</v>
      </c>
      <c r="U6355">
        <v>400.55566698966101</v>
      </c>
      <c r="V6355">
        <v>8.7700065775049303E-4</v>
      </c>
      <c r="W6355">
        <v>2253886.7169712801</v>
      </c>
      <c r="X6355" t="s">
        <v>44</v>
      </c>
      <c r="Y6355">
        <f>1-799-797-6426</f>
        <v>-8021</v>
      </c>
    </row>
    <row r="6356" spans="1:25" x14ac:dyDescent="0.35">
      <c r="A6356">
        <v>37.7289087487516</v>
      </c>
      <c r="B6356">
        <v>-121.293732979099</v>
      </c>
      <c r="C6356" t="s">
        <v>29</v>
      </c>
      <c r="D6356">
        <v>9.0036721326832492</v>
      </c>
      <c r="E6356">
        <v>7</v>
      </c>
      <c r="F6356">
        <v>3279</v>
      </c>
      <c r="G6356">
        <v>1</v>
      </c>
      <c r="H6356">
        <v>2</v>
      </c>
      <c r="I6356">
        <v>1996</v>
      </c>
      <c r="J6356">
        <v>1</v>
      </c>
      <c r="K6356">
        <v>1</v>
      </c>
      <c r="L6356">
        <v>1</v>
      </c>
      <c r="M6356">
        <v>11</v>
      </c>
      <c r="N6356" t="s">
        <v>26</v>
      </c>
      <c r="O6356" t="s">
        <v>32</v>
      </c>
      <c r="P6356">
        <v>14.126946006338899</v>
      </c>
      <c r="Q6356">
        <v>1.9036076182228301</v>
      </c>
      <c r="R6356">
        <v>1.84907692322278E-2</v>
      </c>
      <c r="S6356">
        <v>108</v>
      </c>
      <c r="T6356">
        <v>25</v>
      </c>
      <c r="U6356">
        <v>215.91716809643501</v>
      </c>
      <c r="V6356">
        <v>3.3546813052759898E-3</v>
      </c>
      <c r="W6356">
        <v>1008239.92243535</v>
      </c>
      <c r="X6356" t="s">
        <v>36</v>
      </c>
      <c r="Y6356">
        <f>1-916-691-4073</f>
        <v>-5679</v>
      </c>
    </row>
    <row r="6357" spans="1:25" x14ac:dyDescent="0.35">
      <c r="A6357">
        <v>41.819103066886399</v>
      </c>
      <c r="B6357">
        <v>-123.314630721303</v>
      </c>
      <c r="C6357" t="s">
        <v>29</v>
      </c>
      <c r="D6357">
        <v>27.865608755568601</v>
      </c>
      <c r="E6357">
        <v>2</v>
      </c>
      <c r="F6357">
        <v>4433</v>
      </c>
      <c r="G6357">
        <v>4</v>
      </c>
      <c r="H6357">
        <v>3</v>
      </c>
      <c r="I6357">
        <v>1988</v>
      </c>
      <c r="J6357">
        <v>1</v>
      </c>
      <c r="K6357">
        <v>1</v>
      </c>
      <c r="L6357">
        <v>1</v>
      </c>
      <c r="M6357">
        <v>7</v>
      </c>
      <c r="N6357" t="s">
        <v>41</v>
      </c>
      <c r="O6357" t="s">
        <v>30</v>
      </c>
      <c r="P6357">
        <v>7.77332265455144</v>
      </c>
      <c r="Q6357">
        <v>0.644837404543538</v>
      </c>
      <c r="R6357">
        <v>2.1711104646802499</v>
      </c>
      <c r="S6357">
        <v>76</v>
      </c>
      <c r="T6357">
        <v>22</v>
      </c>
      <c r="U6357">
        <v>534.84237232005</v>
      </c>
      <c r="V6357">
        <v>1.5790660951951201E-3</v>
      </c>
      <c r="W6357">
        <v>2841528.2285020901</v>
      </c>
      <c r="X6357" t="s">
        <v>33</v>
      </c>
      <c r="Y6357">
        <f>1-556-899-6619</f>
        <v>-8073</v>
      </c>
    </row>
    <row r="6358" spans="1:25" x14ac:dyDescent="0.35">
      <c r="A6358">
        <v>41.590022834589398</v>
      </c>
      <c r="B6358">
        <v>-119.48259063726699</v>
      </c>
      <c r="C6358" t="s">
        <v>34</v>
      </c>
      <c r="D6358">
        <v>37.256719579459798</v>
      </c>
      <c r="E6358">
        <v>0</v>
      </c>
      <c r="F6358">
        <v>1165</v>
      </c>
      <c r="G6358">
        <v>2</v>
      </c>
      <c r="H6358">
        <v>3</v>
      </c>
      <c r="I6358">
        <v>1999</v>
      </c>
      <c r="J6358">
        <v>1</v>
      </c>
      <c r="K6358">
        <v>1</v>
      </c>
      <c r="L6358">
        <v>1</v>
      </c>
      <c r="M6358">
        <v>6</v>
      </c>
      <c r="N6358" t="s">
        <v>41</v>
      </c>
      <c r="O6358" t="s">
        <v>30</v>
      </c>
      <c r="P6358">
        <v>12.548729106582201</v>
      </c>
      <c r="Q6358">
        <v>1.1337660760108501</v>
      </c>
      <c r="R6358">
        <v>5.7573723919210504</v>
      </c>
      <c r="S6358">
        <v>13</v>
      </c>
      <c r="T6358">
        <v>70</v>
      </c>
      <c r="U6358">
        <v>347.199016315824</v>
      </c>
      <c r="V6358">
        <v>5.1502145922746696E-3</v>
      </c>
      <c r="W6358">
        <v>839447.52916107001</v>
      </c>
      <c r="X6358" t="s">
        <v>38</v>
      </c>
      <c r="Y6358">
        <f>1-272-578-4438</f>
        <v>-5287</v>
      </c>
    </row>
    <row r="6359" spans="1:25" x14ac:dyDescent="0.35">
      <c r="A6359">
        <v>32.596614776897802</v>
      </c>
      <c r="B6359">
        <v>-115.52316657617899</v>
      </c>
      <c r="C6359" t="s">
        <v>29</v>
      </c>
      <c r="D6359">
        <v>22.105555542719799</v>
      </c>
      <c r="E6359">
        <v>8</v>
      </c>
      <c r="F6359">
        <v>1118</v>
      </c>
      <c r="G6359">
        <v>4</v>
      </c>
      <c r="H6359">
        <v>1</v>
      </c>
      <c r="I6359">
        <v>2003</v>
      </c>
      <c r="J6359">
        <v>1</v>
      </c>
      <c r="K6359">
        <v>1</v>
      </c>
      <c r="L6359">
        <v>0</v>
      </c>
      <c r="M6359">
        <v>6</v>
      </c>
      <c r="N6359" t="s">
        <v>41</v>
      </c>
      <c r="O6359" t="s">
        <v>30</v>
      </c>
      <c r="P6359">
        <v>9.0660812995055693</v>
      </c>
      <c r="Q6359">
        <v>2.2545395300380102</v>
      </c>
      <c r="R6359">
        <v>5.6410787361025703</v>
      </c>
      <c r="S6359">
        <v>59</v>
      </c>
      <c r="T6359">
        <v>67</v>
      </c>
      <c r="U6359">
        <v>370.54832635179002</v>
      </c>
      <c r="V6359">
        <v>5.3667262969588504E-3</v>
      </c>
      <c r="W6359">
        <v>715096.82025285799</v>
      </c>
      <c r="X6359" t="s">
        <v>44</v>
      </c>
      <c r="Y6359">
        <f>1-586-730-5090</f>
        <v>-6405</v>
      </c>
    </row>
    <row r="6360" spans="1:25" x14ac:dyDescent="0.35">
      <c r="A6360">
        <v>38.927705985275203</v>
      </c>
      <c r="B6360">
        <v>-121.942445721155</v>
      </c>
      <c r="C6360" t="s">
        <v>29</v>
      </c>
      <c r="D6360">
        <v>7.3253802805330297</v>
      </c>
      <c r="E6360">
        <v>2</v>
      </c>
      <c r="F6360">
        <v>1804</v>
      </c>
      <c r="G6360">
        <v>1</v>
      </c>
      <c r="H6360">
        <v>3</v>
      </c>
      <c r="I6360">
        <v>1958</v>
      </c>
      <c r="J6360">
        <v>1</v>
      </c>
      <c r="K6360">
        <v>0</v>
      </c>
      <c r="L6360">
        <v>0</v>
      </c>
      <c r="M6360">
        <v>2</v>
      </c>
      <c r="N6360" t="s">
        <v>41</v>
      </c>
      <c r="O6360" t="s">
        <v>30</v>
      </c>
      <c r="P6360">
        <v>13.9825121688373</v>
      </c>
      <c r="Q6360">
        <v>0.66536770366777098</v>
      </c>
      <c r="R6360">
        <v>2.7432560603259502</v>
      </c>
      <c r="S6360">
        <v>125</v>
      </c>
      <c r="T6360">
        <v>49</v>
      </c>
      <c r="U6360">
        <v>787.75640491984495</v>
      </c>
      <c r="V6360">
        <v>1.10864745011086E-3</v>
      </c>
      <c r="W6360">
        <v>1562439.44545101</v>
      </c>
      <c r="X6360" t="s">
        <v>28</v>
      </c>
      <c r="Y6360">
        <f>1-793-352-3238</f>
        <v>-4382</v>
      </c>
    </row>
    <row r="6361" spans="1:25" x14ac:dyDescent="0.35">
      <c r="A6361">
        <v>39.349360465402299</v>
      </c>
      <c r="B6361">
        <v>-122.464986318117</v>
      </c>
      <c r="C6361" t="s">
        <v>29</v>
      </c>
      <c r="D6361">
        <v>31.5090090636753</v>
      </c>
      <c r="E6361">
        <v>1</v>
      </c>
      <c r="F6361">
        <v>920</v>
      </c>
      <c r="G6361">
        <v>5</v>
      </c>
      <c r="H6361">
        <v>2</v>
      </c>
      <c r="I6361">
        <v>2006</v>
      </c>
      <c r="J6361">
        <v>0</v>
      </c>
      <c r="K6361">
        <v>0</v>
      </c>
      <c r="L6361">
        <v>0</v>
      </c>
      <c r="M6361">
        <v>12</v>
      </c>
      <c r="N6361" t="s">
        <v>37</v>
      </c>
      <c r="O6361" t="s">
        <v>27</v>
      </c>
      <c r="P6361">
        <v>8.9996240599813397</v>
      </c>
      <c r="Q6361">
        <v>0.55890828531614001</v>
      </c>
      <c r="R6361">
        <v>2.03889078844144</v>
      </c>
      <c r="S6361">
        <v>44</v>
      </c>
      <c r="T6361">
        <v>46</v>
      </c>
      <c r="U6361">
        <v>889.22417079584795</v>
      </c>
      <c r="V6361">
        <v>1.30434782608695E-2</v>
      </c>
      <c r="W6361">
        <v>1146918.27033402</v>
      </c>
      <c r="X6361" t="s">
        <v>28</v>
      </c>
      <c r="Y6361">
        <f>1-268-351-4469</f>
        <v>-5087</v>
      </c>
    </row>
    <row r="6362" spans="1:25" x14ac:dyDescent="0.35">
      <c r="A6362">
        <v>33.2980796553922</v>
      </c>
      <c r="B6362">
        <v>-120.31773289444099</v>
      </c>
      <c r="C6362" t="s">
        <v>29</v>
      </c>
      <c r="D6362">
        <v>5.2189665443438802</v>
      </c>
      <c r="E6362">
        <v>9</v>
      </c>
      <c r="F6362">
        <v>3948</v>
      </c>
      <c r="G6362">
        <v>5</v>
      </c>
      <c r="H6362">
        <v>2</v>
      </c>
      <c r="I6362">
        <v>2006</v>
      </c>
      <c r="J6362">
        <v>1</v>
      </c>
      <c r="K6362">
        <v>0</v>
      </c>
      <c r="L6362">
        <v>0</v>
      </c>
      <c r="M6362">
        <v>4</v>
      </c>
      <c r="N6362" t="s">
        <v>37</v>
      </c>
      <c r="O6362" t="s">
        <v>27</v>
      </c>
      <c r="P6362">
        <v>14.766828755606699</v>
      </c>
      <c r="Q6362">
        <v>0.83375510562022603</v>
      </c>
      <c r="R6362">
        <v>1.9681577253193301</v>
      </c>
      <c r="S6362">
        <v>185</v>
      </c>
      <c r="T6362">
        <v>23</v>
      </c>
      <c r="U6362">
        <v>303.97638129142001</v>
      </c>
      <c r="V6362">
        <v>1.01317122593718E-3</v>
      </c>
      <c r="W6362">
        <v>1619932.39668438</v>
      </c>
      <c r="X6362" t="s">
        <v>36</v>
      </c>
      <c r="Y6362">
        <f>1-697-407-2688</f>
        <v>-3791</v>
      </c>
    </row>
    <row r="6363" spans="1:25" x14ac:dyDescent="0.35">
      <c r="A6363">
        <v>36.289727541310498</v>
      </c>
      <c r="B6363">
        <v>-120.655174856065</v>
      </c>
      <c r="C6363" t="s">
        <v>29</v>
      </c>
      <c r="D6363">
        <v>10.535618180866599</v>
      </c>
      <c r="E6363">
        <v>9</v>
      </c>
      <c r="F6363">
        <v>2909</v>
      </c>
      <c r="G6363">
        <v>1</v>
      </c>
      <c r="H6363">
        <v>3</v>
      </c>
      <c r="I6363">
        <v>1964</v>
      </c>
      <c r="J6363">
        <v>0</v>
      </c>
      <c r="K6363">
        <v>0</v>
      </c>
      <c r="L6363">
        <v>0</v>
      </c>
      <c r="M6363">
        <v>3</v>
      </c>
      <c r="N6363" t="s">
        <v>41</v>
      </c>
      <c r="O6363" t="s">
        <v>27</v>
      </c>
      <c r="P6363">
        <v>9.5131840477837493</v>
      </c>
      <c r="Q6363">
        <v>1.30225539701513</v>
      </c>
      <c r="R6363">
        <v>5.1135146883683298</v>
      </c>
      <c r="S6363">
        <v>125</v>
      </c>
      <c r="T6363">
        <v>70</v>
      </c>
      <c r="U6363">
        <v>976.61823335098404</v>
      </c>
      <c r="V6363">
        <v>1.03128222756961E-3</v>
      </c>
      <c r="W6363">
        <v>2980537.9408136499</v>
      </c>
      <c r="X6363" t="s">
        <v>38</v>
      </c>
      <c r="Y6363">
        <f>1-326-561-6515</f>
        <v>-7401</v>
      </c>
    </row>
    <row r="6364" spans="1:25" x14ac:dyDescent="0.35">
      <c r="A6364">
        <v>37.9674713709977</v>
      </c>
      <c r="B6364">
        <v>-118.096571054714</v>
      </c>
      <c r="C6364" t="s">
        <v>29</v>
      </c>
      <c r="D6364">
        <v>37.0546794781933</v>
      </c>
      <c r="E6364">
        <v>4</v>
      </c>
      <c r="F6364">
        <v>2002</v>
      </c>
      <c r="G6364">
        <v>4</v>
      </c>
      <c r="H6364">
        <v>2</v>
      </c>
      <c r="I6364">
        <v>1993</v>
      </c>
      <c r="J6364">
        <v>1</v>
      </c>
      <c r="K6364">
        <v>0</v>
      </c>
      <c r="L6364">
        <v>1</v>
      </c>
      <c r="M6364">
        <v>7</v>
      </c>
      <c r="N6364" t="s">
        <v>41</v>
      </c>
      <c r="O6364" t="s">
        <v>32</v>
      </c>
      <c r="P6364">
        <v>2.01247936503158</v>
      </c>
      <c r="Q6364">
        <v>1.88707181666146</v>
      </c>
      <c r="R6364">
        <v>9.2056389975268296</v>
      </c>
      <c r="S6364">
        <v>98</v>
      </c>
      <c r="T6364">
        <v>39</v>
      </c>
      <c r="U6364">
        <v>554.34881619805299</v>
      </c>
      <c r="V6364">
        <v>3.49650349650349E-3</v>
      </c>
      <c r="W6364">
        <v>1291244.60228561</v>
      </c>
      <c r="X6364" t="s">
        <v>38</v>
      </c>
      <c r="Y6364">
        <f>1-467-776-8993</f>
        <v>-10235</v>
      </c>
    </row>
    <row r="6365" spans="1:25" x14ac:dyDescent="0.35">
      <c r="A6365">
        <v>39.191199719705601</v>
      </c>
      <c r="B6365">
        <v>-115.701737334189</v>
      </c>
      <c r="C6365" t="s">
        <v>29</v>
      </c>
      <c r="D6365">
        <v>46.935190027322797</v>
      </c>
      <c r="E6365">
        <v>3</v>
      </c>
      <c r="F6365">
        <v>514</v>
      </c>
      <c r="G6365">
        <v>5</v>
      </c>
      <c r="H6365">
        <v>3</v>
      </c>
      <c r="I6365">
        <v>1950</v>
      </c>
      <c r="J6365">
        <v>0</v>
      </c>
      <c r="K6365">
        <v>0</v>
      </c>
      <c r="L6365">
        <v>1</v>
      </c>
      <c r="M6365">
        <v>5</v>
      </c>
      <c r="N6365" t="s">
        <v>26</v>
      </c>
      <c r="O6365" t="s">
        <v>27</v>
      </c>
      <c r="P6365">
        <v>14.7884662441878</v>
      </c>
      <c r="Q6365">
        <v>1.4356728442642599</v>
      </c>
      <c r="R6365">
        <v>1.4482832540856401</v>
      </c>
      <c r="S6365">
        <v>150</v>
      </c>
      <c r="T6365">
        <v>25</v>
      </c>
      <c r="U6365">
        <v>972.06415540289697</v>
      </c>
      <c r="V6365">
        <v>9.7276264591439603E-3</v>
      </c>
      <c r="W6365">
        <v>978210.26805946103</v>
      </c>
      <c r="X6365" t="s">
        <v>44</v>
      </c>
      <c r="Y6365">
        <f>1-441-770-9046</f>
        <v>-10256</v>
      </c>
    </row>
    <row r="6366" spans="1:25" x14ac:dyDescent="0.35">
      <c r="A6366">
        <v>37.177132281524997</v>
      </c>
      <c r="B6366">
        <v>-118.66025533590501</v>
      </c>
      <c r="C6366" t="s">
        <v>25</v>
      </c>
      <c r="D6366">
        <v>17.529022147635999</v>
      </c>
      <c r="E6366">
        <v>8</v>
      </c>
      <c r="F6366">
        <v>4212</v>
      </c>
      <c r="G6366">
        <v>2</v>
      </c>
      <c r="H6366">
        <v>2</v>
      </c>
      <c r="I6366">
        <v>2001</v>
      </c>
      <c r="J6366">
        <v>1</v>
      </c>
      <c r="K6366">
        <v>1</v>
      </c>
      <c r="L6366">
        <v>0</v>
      </c>
      <c r="M6366">
        <v>2</v>
      </c>
      <c r="N6366" t="s">
        <v>26</v>
      </c>
      <c r="O6366" t="s">
        <v>27</v>
      </c>
      <c r="P6366">
        <v>8.6784602052079691</v>
      </c>
      <c r="Q6366">
        <v>0.93870617243930199</v>
      </c>
      <c r="R6366">
        <v>7.0235935188824401</v>
      </c>
      <c r="S6366">
        <v>7</v>
      </c>
      <c r="T6366">
        <v>34</v>
      </c>
      <c r="U6366">
        <v>613.16286242666899</v>
      </c>
      <c r="V6366">
        <v>4.7483380816714098E-4</v>
      </c>
      <c r="W6366">
        <v>2845906.08921882</v>
      </c>
      <c r="X6366" t="s">
        <v>36</v>
      </c>
      <c r="Y6366">
        <f>1-690-550-6129</f>
        <v>-7368</v>
      </c>
    </row>
    <row r="6367" spans="1:25" x14ac:dyDescent="0.35">
      <c r="A6367">
        <v>37.074911356021403</v>
      </c>
      <c r="B6367">
        <v>-122.260979898521</v>
      </c>
      <c r="C6367" t="s">
        <v>29</v>
      </c>
      <c r="D6367">
        <v>1.9423707120368401</v>
      </c>
      <c r="E6367">
        <v>9</v>
      </c>
      <c r="F6367">
        <v>2832</v>
      </c>
      <c r="G6367">
        <v>1</v>
      </c>
      <c r="H6367">
        <v>3</v>
      </c>
      <c r="I6367">
        <v>2021</v>
      </c>
      <c r="J6367">
        <v>1</v>
      </c>
      <c r="K6367">
        <v>0</v>
      </c>
      <c r="L6367">
        <v>0</v>
      </c>
      <c r="M6367">
        <v>4</v>
      </c>
      <c r="N6367" t="s">
        <v>37</v>
      </c>
      <c r="O6367" t="s">
        <v>32</v>
      </c>
      <c r="P6367">
        <v>10.147816396466199</v>
      </c>
      <c r="Q6367">
        <v>1.9172929646214101</v>
      </c>
      <c r="R6367">
        <v>6.73351147809257</v>
      </c>
      <c r="S6367">
        <v>155</v>
      </c>
      <c r="T6367">
        <v>27</v>
      </c>
      <c r="U6367">
        <v>664.84137754371</v>
      </c>
      <c r="V6367">
        <v>1.41242937853107E-3</v>
      </c>
      <c r="W6367">
        <v>2154932.9817198999</v>
      </c>
      <c r="X6367" t="s">
        <v>31</v>
      </c>
      <c r="Y6367">
        <f>1-704-486-2496</f>
        <v>-3685</v>
      </c>
    </row>
    <row r="6368" spans="1:25" x14ac:dyDescent="0.35">
      <c r="A6368">
        <v>37.836399301878501</v>
      </c>
      <c r="B6368">
        <v>-116.540090562001</v>
      </c>
      <c r="C6368" t="s">
        <v>29</v>
      </c>
      <c r="D6368">
        <v>36.610779640618802</v>
      </c>
      <c r="E6368">
        <v>9</v>
      </c>
      <c r="F6368">
        <v>2125</v>
      </c>
      <c r="G6368">
        <v>3</v>
      </c>
      <c r="H6368">
        <v>1</v>
      </c>
      <c r="I6368">
        <v>1979</v>
      </c>
      <c r="J6368">
        <v>0</v>
      </c>
      <c r="K6368">
        <v>1</v>
      </c>
      <c r="L6368">
        <v>0</v>
      </c>
      <c r="M6368">
        <v>14</v>
      </c>
      <c r="N6368" t="s">
        <v>35</v>
      </c>
      <c r="O6368" t="s">
        <v>30</v>
      </c>
      <c r="P6368">
        <v>9.6224117964271692</v>
      </c>
      <c r="Q6368">
        <v>0.92797786192964904</v>
      </c>
      <c r="R6368">
        <v>8.32967428254128</v>
      </c>
      <c r="S6368">
        <v>78</v>
      </c>
      <c r="T6368">
        <v>25</v>
      </c>
      <c r="U6368">
        <v>751.26674432848097</v>
      </c>
      <c r="V6368">
        <v>6.5882352941176404E-3</v>
      </c>
      <c r="W6368">
        <v>1858328.7421465199</v>
      </c>
      <c r="X6368" t="s">
        <v>44</v>
      </c>
      <c r="Y6368">
        <f>1-537-703-3267</f>
        <v>-4506</v>
      </c>
    </row>
    <row r="6369" spans="1:25" x14ac:dyDescent="0.35">
      <c r="A6369">
        <v>34.128803909228402</v>
      </c>
      <c r="B6369">
        <v>-114.260562023885</v>
      </c>
      <c r="C6369" t="s">
        <v>34</v>
      </c>
      <c r="D6369">
        <v>18.475489619685099</v>
      </c>
      <c r="E6369">
        <v>9</v>
      </c>
      <c r="F6369">
        <v>4437</v>
      </c>
      <c r="G6369">
        <v>2</v>
      </c>
      <c r="H6369">
        <v>1</v>
      </c>
      <c r="I6369">
        <v>1965</v>
      </c>
      <c r="J6369">
        <v>0</v>
      </c>
      <c r="K6369">
        <v>0</v>
      </c>
      <c r="L6369">
        <v>0</v>
      </c>
      <c r="M6369">
        <v>9</v>
      </c>
      <c r="N6369" t="s">
        <v>37</v>
      </c>
      <c r="O6369" t="s">
        <v>27</v>
      </c>
      <c r="P6369">
        <v>13.859232644196799</v>
      </c>
      <c r="Q6369">
        <v>2.11028051345474</v>
      </c>
      <c r="R6369">
        <v>2.0865654726565701</v>
      </c>
      <c r="S6369">
        <v>123</v>
      </c>
      <c r="T6369">
        <v>64</v>
      </c>
      <c r="U6369">
        <v>373.69441461279501</v>
      </c>
      <c r="V6369">
        <v>2.02839756592292E-3</v>
      </c>
      <c r="W6369">
        <v>1818333.45085343</v>
      </c>
      <c r="X6369" t="s">
        <v>40</v>
      </c>
      <c r="Y6369">
        <f>1-599-993-7227</f>
        <v>-8818</v>
      </c>
    </row>
    <row r="6370" spans="1:25" x14ac:dyDescent="0.35">
      <c r="A6370">
        <v>33.527122188589303</v>
      </c>
      <c r="B6370">
        <v>-115.449059259603</v>
      </c>
      <c r="C6370" t="s">
        <v>34</v>
      </c>
      <c r="D6370">
        <v>16.333314460057</v>
      </c>
      <c r="E6370">
        <v>4</v>
      </c>
      <c r="F6370">
        <v>2849</v>
      </c>
      <c r="G6370">
        <v>1</v>
      </c>
      <c r="H6370">
        <v>2</v>
      </c>
      <c r="I6370">
        <v>1967</v>
      </c>
      <c r="J6370">
        <v>1</v>
      </c>
      <c r="K6370">
        <v>0</v>
      </c>
      <c r="L6370">
        <v>1</v>
      </c>
      <c r="M6370">
        <v>2</v>
      </c>
      <c r="N6370" t="s">
        <v>37</v>
      </c>
      <c r="O6370" t="s">
        <v>32</v>
      </c>
      <c r="P6370">
        <v>10.5651925384735</v>
      </c>
      <c r="Q6370">
        <v>0.52790091611908796</v>
      </c>
      <c r="R6370">
        <v>0.490789688466785</v>
      </c>
      <c r="S6370">
        <v>181</v>
      </c>
      <c r="T6370">
        <v>36</v>
      </c>
      <c r="U6370">
        <v>524.21489802524002</v>
      </c>
      <c r="V6370">
        <v>7.0200070200070197E-4</v>
      </c>
      <c r="W6370">
        <v>1634986.8349248001</v>
      </c>
      <c r="X6370" t="s">
        <v>43</v>
      </c>
      <c r="Y6370">
        <f>1-730-533-3539</f>
        <v>-4801</v>
      </c>
    </row>
    <row r="6371" spans="1:25" x14ac:dyDescent="0.35">
      <c r="A6371">
        <v>33.708814390457597</v>
      </c>
      <c r="B6371">
        <v>-114.797007894853</v>
      </c>
      <c r="C6371" t="s">
        <v>29</v>
      </c>
      <c r="D6371">
        <v>49.116352596678603</v>
      </c>
      <c r="E6371">
        <v>4</v>
      </c>
      <c r="F6371">
        <v>894</v>
      </c>
      <c r="G6371">
        <v>2</v>
      </c>
      <c r="H6371">
        <v>3</v>
      </c>
      <c r="I6371">
        <v>1956</v>
      </c>
      <c r="J6371">
        <v>1</v>
      </c>
      <c r="K6371">
        <v>1</v>
      </c>
      <c r="L6371">
        <v>0</v>
      </c>
      <c r="M6371">
        <v>9</v>
      </c>
      <c r="N6371" t="s">
        <v>37</v>
      </c>
      <c r="O6371" t="s">
        <v>27</v>
      </c>
      <c r="P6371">
        <v>10.1552124130484</v>
      </c>
      <c r="Q6371">
        <v>1.9357461973294401</v>
      </c>
      <c r="R6371">
        <v>0.81066381419813804</v>
      </c>
      <c r="S6371">
        <v>55</v>
      </c>
      <c r="T6371">
        <v>66</v>
      </c>
      <c r="U6371">
        <v>875.53723663606104</v>
      </c>
      <c r="V6371">
        <v>1.00671140939597E-2</v>
      </c>
      <c r="W6371">
        <v>1091112.7160166299</v>
      </c>
      <c r="X6371" t="s">
        <v>39</v>
      </c>
      <c r="Y6371">
        <f>1-770-485-6365</f>
        <v>-7619</v>
      </c>
    </row>
    <row r="6372" spans="1:25" x14ac:dyDescent="0.35">
      <c r="A6372">
        <v>40.753961206800099</v>
      </c>
      <c r="B6372">
        <v>-120.072265326574</v>
      </c>
      <c r="C6372" t="s">
        <v>25</v>
      </c>
      <c r="D6372">
        <v>13.7839950905456</v>
      </c>
      <c r="E6372">
        <v>7</v>
      </c>
      <c r="F6372">
        <v>3577</v>
      </c>
      <c r="G6372">
        <v>2</v>
      </c>
      <c r="H6372">
        <v>3</v>
      </c>
      <c r="I6372">
        <v>1981</v>
      </c>
      <c r="J6372">
        <v>1</v>
      </c>
      <c r="K6372">
        <v>0</v>
      </c>
      <c r="L6372">
        <v>0</v>
      </c>
      <c r="M6372">
        <v>11</v>
      </c>
      <c r="N6372" t="s">
        <v>41</v>
      </c>
      <c r="O6372" t="s">
        <v>27</v>
      </c>
      <c r="P6372">
        <v>7.4445232266664298</v>
      </c>
      <c r="Q6372">
        <v>1.72781954517084</v>
      </c>
      <c r="R6372">
        <v>7.3657779982603202</v>
      </c>
      <c r="S6372">
        <v>26</v>
      </c>
      <c r="T6372">
        <v>56</v>
      </c>
      <c r="U6372">
        <v>226.27606646258201</v>
      </c>
      <c r="V6372">
        <v>3.0752026838132499E-3</v>
      </c>
      <c r="W6372">
        <v>1005703.1338427</v>
      </c>
      <c r="X6372" t="s">
        <v>36</v>
      </c>
      <c r="Y6372">
        <f>1-670-491-7126</f>
        <v>-8286</v>
      </c>
    </row>
    <row r="6373" spans="1:25" x14ac:dyDescent="0.35">
      <c r="A6373">
        <v>38.183131592252202</v>
      </c>
      <c r="B6373">
        <v>-122.264909571907</v>
      </c>
      <c r="C6373" t="s">
        <v>25</v>
      </c>
      <c r="D6373">
        <v>33.739641890163398</v>
      </c>
      <c r="E6373">
        <v>2</v>
      </c>
      <c r="F6373">
        <v>1320</v>
      </c>
      <c r="G6373">
        <v>2</v>
      </c>
      <c r="H6373">
        <v>3</v>
      </c>
      <c r="I6373">
        <v>2000</v>
      </c>
      <c r="J6373">
        <v>0</v>
      </c>
      <c r="K6373">
        <v>0</v>
      </c>
      <c r="L6373">
        <v>0</v>
      </c>
      <c r="M6373">
        <v>7</v>
      </c>
      <c r="N6373" t="s">
        <v>26</v>
      </c>
      <c r="O6373" t="s">
        <v>30</v>
      </c>
      <c r="P6373">
        <v>2.1243337618723901</v>
      </c>
      <c r="Q6373">
        <v>2.2785437348994502</v>
      </c>
      <c r="R6373">
        <v>2.2422005546620101</v>
      </c>
      <c r="S6373">
        <v>175</v>
      </c>
      <c r="T6373">
        <v>23</v>
      </c>
      <c r="U6373">
        <v>601.47561756030098</v>
      </c>
      <c r="V6373">
        <v>5.3030303030302999E-3</v>
      </c>
      <c r="W6373">
        <v>1004765.09873072</v>
      </c>
      <c r="X6373" t="s">
        <v>36</v>
      </c>
      <c r="Y6373">
        <f>1-972-798-9473</f>
        <v>-11242</v>
      </c>
    </row>
    <row r="6374" spans="1:25" x14ac:dyDescent="0.35">
      <c r="A6374">
        <v>34.012038156954702</v>
      </c>
      <c r="B6374">
        <v>-122.514249759431</v>
      </c>
      <c r="C6374" t="s">
        <v>25</v>
      </c>
      <c r="D6374">
        <v>6.2034188540621198</v>
      </c>
      <c r="E6374">
        <v>5</v>
      </c>
      <c r="F6374">
        <v>3710</v>
      </c>
      <c r="G6374">
        <v>3</v>
      </c>
      <c r="H6374">
        <v>1</v>
      </c>
      <c r="I6374">
        <v>2012</v>
      </c>
      <c r="J6374">
        <v>0</v>
      </c>
      <c r="K6374">
        <v>0</v>
      </c>
      <c r="L6374">
        <v>1</v>
      </c>
      <c r="M6374">
        <v>2</v>
      </c>
      <c r="N6374" t="s">
        <v>37</v>
      </c>
      <c r="O6374" t="s">
        <v>27</v>
      </c>
      <c r="P6374">
        <v>14.570918812485299</v>
      </c>
      <c r="Q6374">
        <v>0.52004622364555997</v>
      </c>
      <c r="R6374">
        <v>1.8491620224268099</v>
      </c>
      <c r="S6374">
        <v>120</v>
      </c>
      <c r="T6374">
        <v>77</v>
      </c>
      <c r="U6374">
        <v>739.80685030052098</v>
      </c>
      <c r="V6374">
        <v>5.3908355795148199E-4</v>
      </c>
      <c r="W6374">
        <v>3133902.07958032</v>
      </c>
      <c r="X6374" t="s">
        <v>39</v>
      </c>
      <c r="Y6374">
        <f>1-570-969-4500</f>
        <v>-6038</v>
      </c>
    </row>
    <row r="6375" spans="1:25" x14ac:dyDescent="0.35">
      <c r="A6375">
        <v>37.153541094076097</v>
      </c>
      <c r="B6375">
        <v>-122.105394213479</v>
      </c>
      <c r="C6375" t="s">
        <v>25</v>
      </c>
      <c r="D6375">
        <v>42.058397885888297</v>
      </c>
      <c r="E6375">
        <v>8</v>
      </c>
      <c r="F6375">
        <v>4298</v>
      </c>
      <c r="G6375">
        <v>1</v>
      </c>
      <c r="H6375">
        <v>2</v>
      </c>
      <c r="I6375">
        <v>2008</v>
      </c>
      <c r="J6375">
        <v>1</v>
      </c>
      <c r="K6375">
        <v>0</v>
      </c>
      <c r="L6375">
        <v>0</v>
      </c>
      <c r="M6375">
        <v>7</v>
      </c>
      <c r="N6375" t="s">
        <v>37</v>
      </c>
      <c r="O6375" t="s">
        <v>27</v>
      </c>
      <c r="P6375">
        <v>13.3925119091002</v>
      </c>
      <c r="Q6375">
        <v>1.95929313051211</v>
      </c>
      <c r="R6375">
        <v>1.9380553501800599</v>
      </c>
      <c r="S6375">
        <v>121</v>
      </c>
      <c r="T6375">
        <v>38</v>
      </c>
      <c r="U6375">
        <v>648.43303253940098</v>
      </c>
      <c r="V6375">
        <v>1.6286644951140001E-3</v>
      </c>
      <c r="W6375">
        <v>3020113.3200310702</v>
      </c>
      <c r="X6375" t="s">
        <v>36</v>
      </c>
      <c r="Y6375">
        <f>1-306-725-8987</f>
        <v>-10017</v>
      </c>
    </row>
    <row r="6376" spans="1:25" x14ac:dyDescent="0.35">
      <c r="A6376">
        <v>41.326548972571103</v>
      </c>
      <c r="B6376">
        <v>-114.328850881413</v>
      </c>
      <c r="C6376" t="s">
        <v>25</v>
      </c>
      <c r="D6376">
        <v>30.314027897494</v>
      </c>
      <c r="E6376">
        <v>2</v>
      </c>
      <c r="F6376">
        <v>2233</v>
      </c>
      <c r="G6376">
        <v>3</v>
      </c>
      <c r="H6376">
        <v>2</v>
      </c>
      <c r="I6376">
        <v>1962</v>
      </c>
      <c r="J6376">
        <v>0</v>
      </c>
      <c r="K6376">
        <v>1</v>
      </c>
      <c r="L6376">
        <v>1</v>
      </c>
      <c r="M6376">
        <v>5</v>
      </c>
      <c r="N6376" t="s">
        <v>41</v>
      </c>
      <c r="O6376" t="s">
        <v>32</v>
      </c>
      <c r="P6376">
        <v>4.7294033987343802</v>
      </c>
      <c r="Q6376">
        <v>1.51480695304015</v>
      </c>
      <c r="R6376">
        <v>4.8607693836742198</v>
      </c>
      <c r="S6376">
        <v>21</v>
      </c>
      <c r="T6376">
        <v>70</v>
      </c>
      <c r="U6376">
        <v>437.22003315117399</v>
      </c>
      <c r="V6376">
        <v>2.2391401701746501E-3</v>
      </c>
      <c r="W6376">
        <v>1183097.7954665199</v>
      </c>
      <c r="X6376" t="s">
        <v>43</v>
      </c>
      <c r="Y6376">
        <f>1-552-458-4800</f>
        <v>-5809</v>
      </c>
    </row>
    <row r="6377" spans="1:25" x14ac:dyDescent="0.35">
      <c r="A6377">
        <v>34.614439061510097</v>
      </c>
      <c r="B6377">
        <v>-115.647875716523</v>
      </c>
      <c r="C6377" t="s">
        <v>34</v>
      </c>
      <c r="D6377">
        <v>2.2571453614923298</v>
      </c>
      <c r="E6377">
        <v>9</v>
      </c>
      <c r="F6377">
        <v>4352</v>
      </c>
      <c r="G6377">
        <v>5</v>
      </c>
      <c r="H6377">
        <v>1</v>
      </c>
      <c r="I6377">
        <v>1993</v>
      </c>
      <c r="J6377">
        <v>1</v>
      </c>
      <c r="K6377">
        <v>1</v>
      </c>
      <c r="L6377">
        <v>1</v>
      </c>
      <c r="M6377">
        <v>11</v>
      </c>
      <c r="N6377" t="s">
        <v>26</v>
      </c>
      <c r="O6377" t="s">
        <v>30</v>
      </c>
      <c r="P6377">
        <v>13.846300843324901</v>
      </c>
      <c r="Q6377">
        <v>1.3698699855218299</v>
      </c>
      <c r="R6377">
        <v>7.4481786228781601</v>
      </c>
      <c r="S6377">
        <v>44</v>
      </c>
      <c r="T6377">
        <v>64</v>
      </c>
      <c r="U6377">
        <v>251.84538342969299</v>
      </c>
      <c r="V6377">
        <v>2.5275735294117601E-3</v>
      </c>
      <c r="W6377">
        <v>1687122.49040572</v>
      </c>
      <c r="X6377" t="s">
        <v>38</v>
      </c>
      <c r="Y6377">
        <f>1-972-557-3061</f>
        <v>-4589</v>
      </c>
    </row>
    <row r="6378" spans="1:25" x14ac:dyDescent="0.35">
      <c r="A6378">
        <v>37.922879955540701</v>
      </c>
      <c r="B6378">
        <v>-118.001371235427</v>
      </c>
      <c r="C6378" t="s">
        <v>25</v>
      </c>
      <c r="D6378">
        <v>14.0019979565268</v>
      </c>
      <c r="E6378">
        <v>4</v>
      </c>
      <c r="F6378">
        <v>3705</v>
      </c>
      <c r="G6378">
        <v>2</v>
      </c>
      <c r="H6378">
        <v>1</v>
      </c>
      <c r="I6378">
        <v>1967</v>
      </c>
      <c r="J6378">
        <v>1</v>
      </c>
      <c r="K6378">
        <v>0</v>
      </c>
      <c r="L6378">
        <v>0</v>
      </c>
      <c r="M6378">
        <v>9</v>
      </c>
      <c r="N6378" t="s">
        <v>37</v>
      </c>
      <c r="O6378" t="s">
        <v>27</v>
      </c>
      <c r="P6378">
        <v>8.0050630086293193</v>
      </c>
      <c r="Q6378">
        <v>0.63908818239937204</v>
      </c>
      <c r="R6378">
        <v>7.84529857142899</v>
      </c>
      <c r="S6378">
        <v>4</v>
      </c>
      <c r="T6378">
        <v>27</v>
      </c>
      <c r="U6378">
        <v>516.33098224653202</v>
      </c>
      <c r="V6378">
        <v>2.4291497975708499E-3</v>
      </c>
      <c r="W6378">
        <v>2074630.6780519099</v>
      </c>
      <c r="X6378" t="s">
        <v>39</v>
      </c>
      <c r="Y6378">
        <f>1-581-588-6687</f>
        <v>-7855</v>
      </c>
    </row>
    <row r="6379" spans="1:25" x14ac:dyDescent="0.35">
      <c r="A6379">
        <v>34.282491541587902</v>
      </c>
      <c r="B6379">
        <v>-119.154237690371</v>
      </c>
      <c r="C6379" t="s">
        <v>29</v>
      </c>
      <c r="D6379">
        <v>47.417665515261398</v>
      </c>
      <c r="E6379">
        <v>1</v>
      </c>
      <c r="F6379">
        <v>1920</v>
      </c>
      <c r="G6379">
        <v>5</v>
      </c>
      <c r="H6379">
        <v>2</v>
      </c>
      <c r="I6379">
        <v>1998</v>
      </c>
      <c r="J6379">
        <v>1</v>
      </c>
      <c r="K6379">
        <v>0</v>
      </c>
      <c r="L6379">
        <v>0</v>
      </c>
      <c r="M6379">
        <v>13</v>
      </c>
      <c r="N6379" t="s">
        <v>26</v>
      </c>
      <c r="O6379" t="s">
        <v>32</v>
      </c>
      <c r="P6379">
        <v>12.3367274319594</v>
      </c>
      <c r="Q6379">
        <v>1.4984577097598699</v>
      </c>
      <c r="R6379">
        <v>9.0617298697672108</v>
      </c>
      <c r="S6379">
        <v>197</v>
      </c>
      <c r="T6379">
        <v>31</v>
      </c>
      <c r="U6379">
        <v>281.73662002209602</v>
      </c>
      <c r="V6379">
        <v>6.7708333333333301E-3</v>
      </c>
      <c r="W6379">
        <v>943259.95194008504</v>
      </c>
      <c r="X6379" t="s">
        <v>28</v>
      </c>
      <c r="Y6379">
        <f>1-908-566-4787</f>
        <v>-6260</v>
      </c>
    </row>
    <row r="6380" spans="1:25" x14ac:dyDescent="0.35">
      <c r="A6380">
        <v>37.434683798959298</v>
      </c>
      <c r="B6380">
        <v>-121.767104229833</v>
      </c>
      <c r="C6380" t="s">
        <v>29</v>
      </c>
      <c r="D6380">
        <v>41.731783411684802</v>
      </c>
      <c r="E6380">
        <v>0</v>
      </c>
      <c r="F6380">
        <v>3402</v>
      </c>
      <c r="G6380">
        <v>4</v>
      </c>
      <c r="H6380">
        <v>1</v>
      </c>
      <c r="I6380">
        <v>1974</v>
      </c>
      <c r="J6380">
        <v>1</v>
      </c>
      <c r="K6380">
        <v>1</v>
      </c>
      <c r="L6380">
        <v>0</v>
      </c>
      <c r="M6380">
        <v>4</v>
      </c>
      <c r="N6380" t="s">
        <v>41</v>
      </c>
      <c r="O6380" t="s">
        <v>30</v>
      </c>
      <c r="P6380">
        <v>12.9395347890419</v>
      </c>
      <c r="Q6380">
        <v>2.4170633239403898</v>
      </c>
      <c r="R6380">
        <v>6.6540988038076403</v>
      </c>
      <c r="S6380">
        <v>97</v>
      </c>
      <c r="T6380">
        <v>55</v>
      </c>
      <c r="U6380">
        <v>668.77360768444805</v>
      </c>
      <c r="V6380">
        <v>1.17577895355673E-3</v>
      </c>
      <c r="W6380">
        <v>2594863.5192953302</v>
      </c>
      <c r="X6380" t="s">
        <v>28</v>
      </c>
      <c r="Y6380">
        <f>1-708-258-7899</f>
        <v>-8864</v>
      </c>
    </row>
    <row r="6381" spans="1:25" x14ac:dyDescent="0.35">
      <c r="A6381">
        <v>33.799589563524997</v>
      </c>
      <c r="B6381">
        <v>-118.473723634924</v>
      </c>
      <c r="C6381" t="s">
        <v>25</v>
      </c>
      <c r="D6381">
        <v>39.410612543480099</v>
      </c>
      <c r="E6381">
        <v>7</v>
      </c>
      <c r="F6381">
        <v>1144</v>
      </c>
      <c r="G6381">
        <v>3</v>
      </c>
      <c r="H6381">
        <v>1</v>
      </c>
      <c r="I6381">
        <v>1958</v>
      </c>
      <c r="J6381">
        <v>1</v>
      </c>
      <c r="K6381">
        <v>0</v>
      </c>
      <c r="L6381">
        <v>0</v>
      </c>
      <c r="M6381">
        <v>8</v>
      </c>
      <c r="N6381" t="s">
        <v>41</v>
      </c>
      <c r="O6381" t="s">
        <v>30</v>
      </c>
      <c r="P6381">
        <v>9.0360118533537293</v>
      </c>
      <c r="Q6381">
        <v>1.88524746352309</v>
      </c>
      <c r="R6381">
        <v>6.7824385729043097</v>
      </c>
      <c r="S6381">
        <v>174</v>
      </c>
      <c r="T6381">
        <v>55</v>
      </c>
      <c r="U6381">
        <v>397.17777407561198</v>
      </c>
      <c r="V6381">
        <v>6.9930069930069904E-3</v>
      </c>
      <c r="W6381">
        <v>709916.02214510005</v>
      </c>
      <c r="X6381" t="s">
        <v>43</v>
      </c>
      <c r="Y6381">
        <f>1-971-764-5863</f>
        <v>-7597</v>
      </c>
    </row>
    <row r="6382" spans="1:25" x14ac:dyDescent="0.35">
      <c r="A6382">
        <v>33.639295986843202</v>
      </c>
      <c r="B6382">
        <v>-118.641048891666</v>
      </c>
      <c r="C6382" t="s">
        <v>34</v>
      </c>
      <c r="D6382">
        <v>2.8366162629329601</v>
      </c>
      <c r="E6382">
        <v>9</v>
      </c>
      <c r="F6382">
        <v>4420</v>
      </c>
      <c r="G6382">
        <v>3</v>
      </c>
      <c r="H6382">
        <v>1</v>
      </c>
      <c r="I6382">
        <v>1952</v>
      </c>
      <c r="J6382">
        <v>0</v>
      </c>
      <c r="K6382">
        <v>0</v>
      </c>
      <c r="L6382">
        <v>0</v>
      </c>
      <c r="M6382">
        <v>6</v>
      </c>
      <c r="N6382" t="s">
        <v>35</v>
      </c>
      <c r="O6382" t="s">
        <v>27</v>
      </c>
      <c r="P6382">
        <v>6.0206697905355204</v>
      </c>
      <c r="Q6382">
        <v>1.09827100397674</v>
      </c>
      <c r="R6382">
        <v>3.7231610442292702</v>
      </c>
      <c r="S6382">
        <v>162</v>
      </c>
      <c r="T6382">
        <v>52</v>
      </c>
      <c r="U6382">
        <v>816.968040259958</v>
      </c>
      <c r="V6382">
        <v>1.3574660633484099E-3</v>
      </c>
      <c r="W6382">
        <v>3656361.23287503</v>
      </c>
      <c r="X6382" t="s">
        <v>33</v>
      </c>
      <c r="Y6382">
        <f>1-601-887-2340</f>
        <v>-3827</v>
      </c>
    </row>
    <row r="6383" spans="1:25" x14ac:dyDescent="0.35">
      <c r="A6383">
        <v>41.745387658436897</v>
      </c>
      <c r="B6383">
        <v>-117.204125396392</v>
      </c>
      <c r="C6383" t="s">
        <v>25</v>
      </c>
      <c r="D6383">
        <v>46.205238845236103</v>
      </c>
      <c r="E6383">
        <v>7</v>
      </c>
      <c r="F6383">
        <v>2987</v>
      </c>
      <c r="G6383">
        <v>4</v>
      </c>
      <c r="H6383">
        <v>2</v>
      </c>
      <c r="I6383">
        <v>1960</v>
      </c>
      <c r="J6383">
        <v>1</v>
      </c>
      <c r="K6383">
        <v>0</v>
      </c>
      <c r="L6383">
        <v>1</v>
      </c>
      <c r="M6383">
        <v>3</v>
      </c>
      <c r="N6383" t="s">
        <v>37</v>
      </c>
      <c r="O6383" t="s">
        <v>32</v>
      </c>
      <c r="P6383">
        <v>8.61769415477095</v>
      </c>
      <c r="Q6383">
        <v>2.3340810747385801</v>
      </c>
      <c r="R6383">
        <v>1.0293987811744001</v>
      </c>
      <c r="S6383">
        <v>113</v>
      </c>
      <c r="T6383">
        <v>22</v>
      </c>
      <c r="U6383">
        <v>434.00259281785497</v>
      </c>
      <c r="V6383">
        <v>1.0043521928356201E-3</v>
      </c>
      <c r="W6383">
        <v>1546585.2057157001</v>
      </c>
      <c r="X6383" t="s">
        <v>33</v>
      </c>
      <c r="Y6383">
        <f>1-759-495-6757</f>
        <v>-8010</v>
      </c>
    </row>
    <row r="6384" spans="1:25" x14ac:dyDescent="0.35">
      <c r="A6384">
        <v>36.9303658337436</v>
      </c>
      <c r="B6384">
        <v>-121.065439981634</v>
      </c>
      <c r="C6384" t="s">
        <v>29</v>
      </c>
      <c r="D6384">
        <v>2.7945746841055099</v>
      </c>
      <c r="E6384">
        <v>1</v>
      </c>
      <c r="F6384">
        <v>776</v>
      </c>
      <c r="G6384">
        <v>3</v>
      </c>
      <c r="H6384">
        <v>3</v>
      </c>
      <c r="I6384">
        <v>1978</v>
      </c>
      <c r="J6384">
        <v>1</v>
      </c>
      <c r="K6384">
        <v>1</v>
      </c>
      <c r="L6384">
        <v>1</v>
      </c>
      <c r="M6384">
        <v>10</v>
      </c>
      <c r="N6384" t="s">
        <v>41</v>
      </c>
      <c r="O6384" t="s">
        <v>30</v>
      </c>
      <c r="P6384">
        <v>13.5707576718141</v>
      </c>
      <c r="Q6384">
        <v>1.98005790169657</v>
      </c>
      <c r="R6384">
        <v>6.57062191943582</v>
      </c>
      <c r="S6384">
        <v>151</v>
      </c>
      <c r="T6384">
        <v>54</v>
      </c>
      <c r="U6384">
        <v>720.42084713910003</v>
      </c>
      <c r="V6384">
        <v>1.28865979381443E-2</v>
      </c>
      <c r="W6384">
        <v>923977.49122983206</v>
      </c>
      <c r="X6384" t="s">
        <v>28</v>
      </c>
      <c r="Y6384">
        <f>1-309-536-5497</f>
        <v>-6341</v>
      </c>
    </row>
    <row r="6385" spans="1:25" x14ac:dyDescent="0.35">
      <c r="A6385">
        <v>34.650289373092598</v>
      </c>
      <c r="B6385">
        <v>-119.89723355141901</v>
      </c>
      <c r="C6385" t="s">
        <v>29</v>
      </c>
      <c r="D6385">
        <v>38.006811365329199</v>
      </c>
      <c r="E6385">
        <v>6</v>
      </c>
      <c r="F6385">
        <v>1235</v>
      </c>
      <c r="G6385">
        <v>3</v>
      </c>
      <c r="H6385">
        <v>1</v>
      </c>
      <c r="I6385">
        <v>1990</v>
      </c>
      <c r="J6385">
        <v>0</v>
      </c>
      <c r="K6385">
        <v>1</v>
      </c>
      <c r="L6385">
        <v>0</v>
      </c>
      <c r="M6385">
        <v>7</v>
      </c>
      <c r="N6385" t="s">
        <v>37</v>
      </c>
      <c r="O6385" t="s">
        <v>30</v>
      </c>
      <c r="P6385">
        <v>2.0926984165187199</v>
      </c>
      <c r="Q6385">
        <v>1.6679529601560801</v>
      </c>
      <c r="R6385">
        <v>8.7787161702903997</v>
      </c>
      <c r="S6385">
        <v>121</v>
      </c>
      <c r="T6385">
        <v>47</v>
      </c>
      <c r="U6385">
        <v>659.44485960398094</v>
      </c>
      <c r="V6385">
        <v>5.6680161943319799E-3</v>
      </c>
      <c r="W6385">
        <v>902895.47110968002</v>
      </c>
      <c r="X6385" t="s">
        <v>44</v>
      </c>
      <c r="Y6385">
        <f>1-877-108-6919</f>
        <v>-7903</v>
      </c>
    </row>
    <row r="6386" spans="1:25" x14ac:dyDescent="0.35">
      <c r="A6386">
        <v>34.238436814632003</v>
      </c>
      <c r="B6386">
        <v>-115.062370696217</v>
      </c>
      <c r="C6386" t="s">
        <v>25</v>
      </c>
      <c r="D6386">
        <v>36.519926842318597</v>
      </c>
      <c r="E6386">
        <v>4</v>
      </c>
      <c r="F6386">
        <v>2867</v>
      </c>
      <c r="G6386">
        <v>1</v>
      </c>
      <c r="H6386">
        <v>3</v>
      </c>
      <c r="I6386">
        <v>1987</v>
      </c>
      <c r="J6386">
        <v>1</v>
      </c>
      <c r="K6386">
        <v>1</v>
      </c>
      <c r="L6386">
        <v>1</v>
      </c>
      <c r="M6386">
        <v>2</v>
      </c>
      <c r="N6386" t="s">
        <v>41</v>
      </c>
      <c r="O6386" t="s">
        <v>32</v>
      </c>
      <c r="P6386">
        <v>5.9279790400405501</v>
      </c>
      <c r="Q6386">
        <v>1.7354048631818699</v>
      </c>
      <c r="R6386">
        <v>6.4540743905835196</v>
      </c>
      <c r="S6386">
        <v>166</v>
      </c>
      <c r="T6386">
        <v>45</v>
      </c>
      <c r="U6386">
        <v>754.77128197381705</v>
      </c>
      <c r="V6386">
        <v>6.9759330310428997E-4</v>
      </c>
      <c r="W6386">
        <v>2422619.54108789</v>
      </c>
      <c r="X6386" t="s">
        <v>43</v>
      </c>
      <c r="Y6386">
        <f>1-231-341-2108</f>
        <v>-2679</v>
      </c>
    </row>
    <row r="6387" spans="1:25" x14ac:dyDescent="0.35">
      <c r="A6387">
        <v>39.331509175622202</v>
      </c>
      <c r="B6387">
        <v>-121.724427914565</v>
      </c>
      <c r="C6387" t="s">
        <v>25</v>
      </c>
      <c r="D6387">
        <v>27.3873498867185</v>
      </c>
      <c r="E6387">
        <v>7</v>
      </c>
      <c r="F6387">
        <v>4410</v>
      </c>
      <c r="G6387">
        <v>3</v>
      </c>
      <c r="H6387">
        <v>3</v>
      </c>
      <c r="I6387">
        <v>1957</v>
      </c>
      <c r="J6387">
        <v>1</v>
      </c>
      <c r="K6387">
        <v>0</v>
      </c>
      <c r="L6387">
        <v>0</v>
      </c>
      <c r="M6387">
        <v>9</v>
      </c>
      <c r="N6387" t="s">
        <v>35</v>
      </c>
      <c r="O6387" t="s">
        <v>32</v>
      </c>
      <c r="P6387">
        <v>2.82060821317451</v>
      </c>
      <c r="Q6387">
        <v>1.3950414246034999</v>
      </c>
      <c r="R6387">
        <v>7.7844008603664196</v>
      </c>
      <c r="S6387">
        <v>80</v>
      </c>
      <c r="T6387">
        <v>73</v>
      </c>
      <c r="U6387">
        <v>359.43106509977298</v>
      </c>
      <c r="V6387">
        <v>2.0408163265306098E-3</v>
      </c>
      <c r="W6387">
        <v>1774504.78337388</v>
      </c>
      <c r="X6387" t="s">
        <v>38</v>
      </c>
      <c r="Y6387">
        <f>1-554-981-9411</f>
        <v>-10945</v>
      </c>
    </row>
    <row r="6388" spans="1:25" x14ac:dyDescent="0.35">
      <c r="A6388">
        <v>37.550590451382</v>
      </c>
      <c r="B6388">
        <v>-122.30313297234601</v>
      </c>
      <c r="C6388" t="s">
        <v>29</v>
      </c>
      <c r="D6388">
        <v>24.437979695752599</v>
      </c>
      <c r="E6388">
        <v>6</v>
      </c>
      <c r="F6388">
        <v>4719</v>
      </c>
      <c r="G6388">
        <v>4</v>
      </c>
      <c r="H6388">
        <v>3</v>
      </c>
      <c r="I6388">
        <v>1952</v>
      </c>
      <c r="J6388">
        <v>1</v>
      </c>
      <c r="K6388">
        <v>1</v>
      </c>
      <c r="L6388">
        <v>1</v>
      </c>
      <c r="M6388">
        <v>6</v>
      </c>
      <c r="N6388" t="s">
        <v>35</v>
      </c>
      <c r="O6388" t="s">
        <v>30</v>
      </c>
      <c r="P6388">
        <v>10.0976150140635</v>
      </c>
      <c r="Q6388">
        <v>0.71844620189245401</v>
      </c>
      <c r="R6388">
        <v>6.6046578912679399</v>
      </c>
      <c r="S6388">
        <v>96</v>
      </c>
      <c r="T6388">
        <v>76</v>
      </c>
      <c r="U6388">
        <v>770.319710747876</v>
      </c>
      <c r="V6388">
        <v>1.27145581691036E-3</v>
      </c>
      <c r="W6388">
        <v>3996465.57534853</v>
      </c>
      <c r="X6388" t="s">
        <v>43</v>
      </c>
      <c r="Y6388">
        <f>1-250-845-9899</f>
        <v>-10993</v>
      </c>
    </row>
    <row r="6389" spans="1:25" x14ac:dyDescent="0.35">
      <c r="A6389">
        <v>33.332818395890101</v>
      </c>
      <c r="B6389">
        <v>-123.20515960906</v>
      </c>
      <c r="C6389" t="s">
        <v>34</v>
      </c>
      <c r="D6389">
        <v>1.1874231277570699</v>
      </c>
      <c r="E6389">
        <v>7</v>
      </c>
      <c r="F6389">
        <v>3978</v>
      </c>
      <c r="G6389">
        <v>1</v>
      </c>
      <c r="H6389">
        <v>2</v>
      </c>
      <c r="I6389">
        <v>1973</v>
      </c>
      <c r="J6389">
        <v>0</v>
      </c>
      <c r="K6389">
        <v>0</v>
      </c>
      <c r="L6389">
        <v>1</v>
      </c>
      <c r="M6389">
        <v>2</v>
      </c>
      <c r="N6389" t="s">
        <v>35</v>
      </c>
      <c r="O6389" t="s">
        <v>27</v>
      </c>
      <c r="P6389">
        <v>12.5466221075496</v>
      </c>
      <c r="Q6389">
        <v>1.53965510910357</v>
      </c>
      <c r="R6389">
        <v>1.4704004176805801</v>
      </c>
      <c r="S6389">
        <v>194</v>
      </c>
      <c r="T6389">
        <v>37</v>
      </c>
      <c r="U6389">
        <v>464.51980492295598</v>
      </c>
      <c r="V6389">
        <v>5.02765208647561E-4</v>
      </c>
      <c r="W6389">
        <v>1874308.49700542</v>
      </c>
      <c r="X6389" t="s">
        <v>40</v>
      </c>
      <c r="Y6389">
        <f>1-416-378-8895</f>
        <v>-9688</v>
      </c>
    </row>
    <row r="6390" spans="1:25" x14ac:dyDescent="0.35">
      <c r="A6390">
        <v>37.389372739076897</v>
      </c>
      <c r="B6390">
        <v>-115.28486357451099</v>
      </c>
      <c r="C6390" t="s">
        <v>34</v>
      </c>
      <c r="D6390">
        <v>36.405874813893497</v>
      </c>
      <c r="E6390">
        <v>6</v>
      </c>
      <c r="F6390">
        <v>1664</v>
      </c>
      <c r="G6390">
        <v>3</v>
      </c>
      <c r="H6390">
        <v>3</v>
      </c>
      <c r="I6390">
        <v>1963</v>
      </c>
      <c r="J6390">
        <v>1</v>
      </c>
      <c r="K6390">
        <v>0</v>
      </c>
      <c r="L6390">
        <v>1</v>
      </c>
      <c r="M6390">
        <v>11</v>
      </c>
      <c r="N6390" t="s">
        <v>41</v>
      </c>
      <c r="O6390" t="s">
        <v>30</v>
      </c>
      <c r="P6390">
        <v>10.3406433962388</v>
      </c>
      <c r="Q6390">
        <v>0.83837268497348005</v>
      </c>
      <c r="R6390">
        <v>0.53353165785383805</v>
      </c>
      <c r="S6390">
        <v>104</v>
      </c>
      <c r="T6390">
        <v>54</v>
      </c>
      <c r="U6390">
        <v>840.63839930497295</v>
      </c>
      <c r="V6390">
        <v>6.6105769230769204E-3</v>
      </c>
      <c r="W6390">
        <v>1722560.8898809899</v>
      </c>
      <c r="X6390" t="s">
        <v>28</v>
      </c>
      <c r="Y6390">
        <f>1-486-754-6364</f>
        <v>-7603</v>
      </c>
    </row>
    <row r="6391" spans="1:25" x14ac:dyDescent="0.35">
      <c r="A6391">
        <v>41.212137535528598</v>
      </c>
      <c r="B6391">
        <v>-123.432585960591</v>
      </c>
      <c r="C6391" t="s">
        <v>34</v>
      </c>
      <c r="D6391">
        <v>13.6055686108387</v>
      </c>
      <c r="E6391">
        <v>7</v>
      </c>
      <c r="F6391">
        <v>4405</v>
      </c>
      <c r="G6391">
        <v>4</v>
      </c>
      <c r="H6391">
        <v>3</v>
      </c>
      <c r="I6391">
        <v>2015</v>
      </c>
      <c r="J6391">
        <v>0</v>
      </c>
      <c r="K6391">
        <v>0</v>
      </c>
      <c r="L6391">
        <v>0</v>
      </c>
      <c r="M6391">
        <v>3</v>
      </c>
      <c r="N6391" t="s">
        <v>35</v>
      </c>
      <c r="O6391" t="s">
        <v>27</v>
      </c>
      <c r="P6391">
        <v>13.6784445044328</v>
      </c>
      <c r="Q6391">
        <v>2.2301987436313699</v>
      </c>
      <c r="R6391">
        <v>7.8907264279996197</v>
      </c>
      <c r="S6391">
        <v>118</v>
      </c>
      <c r="T6391">
        <v>27</v>
      </c>
      <c r="U6391">
        <v>977.77379980433</v>
      </c>
      <c r="V6391">
        <v>6.8104426787741199E-4</v>
      </c>
      <c r="W6391">
        <v>4672097.7117253197</v>
      </c>
      <c r="X6391" t="s">
        <v>39</v>
      </c>
      <c r="Y6391">
        <f>1-757-478-6105</f>
        <v>-7339</v>
      </c>
    </row>
    <row r="6392" spans="1:25" x14ac:dyDescent="0.35">
      <c r="A6392">
        <v>35.500240253797301</v>
      </c>
      <c r="B6392">
        <v>-122.363554974674</v>
      </c>
      <c r="C6392" t="s">
        <v>34</v>
      </c>
      <c r="D6392">
        <v>44.401949486983199</v>
      </c>
      <c r="E6392">
        <v>8</v>
      </c>
      <c r="F6392">
        <v>2227</v>
      </c>
      <c r="G6392">
        <v>1</v>
      </c>
      <c r="H6392">
        <v>1</v>
      </c>
      <c r="I6392">
        <v>1993</v>
      </c>
      <c r="J6392">
        <v>0</v>
      </c>
      <c r="K6392">
        <v>1</v>
      </c>
      <c r="L6392">
        <v>1</v>
      </c>
      <c r="M6392">
        <v>8</v>
      </c>
      <c r="N6392" t="s">
        <v>26</v>
      </c>
      <c r="O6392" t="s">
        <v>32</v>
      </c>
      <c r="P6392">
        <v>6.1989100356286899</v>
      </c>
      <c r="Q6392">
        <v>1.3901621227200001</v>
      </c>
      <c r="R6392">
        <v>9.9115850464351496</v>
      </c>
      <c r="S6392">
        <v>173</v>
      </c>
      <c r="T6392">
        <v>21</v>
      </c>
      <c r="U6392">
        <v>261.89432585862801</v>
      </c>
      <c r="V6392">
        <v>3.5922766052986E-3</v>
      </c>
      <c r="W6392">
        <v>757280.70123553101</v>
      </c>
      <c r="X6392" t="s">
        <v>36</v>
      </c>
      <c r="Y6392">
        <f>1-222-507-9542</f>
        <v>-10270</v>
      </c>
    </row>
    <row r="6393" spans="1:25" x14ac:dyDescent="0.35">
      <c r="A6393">
        <v>32.808769179471703</v>
      </c>
      <c r="B6393">
        <v>-124.107919488801</v>
      </c>
      <c r="C6393" t="s">
        <v>25</v>
      </c>
      <c r="D6393">
        <v>40.961872796759998</v>
      </c>
      <c r="E6393">
        <v>7</v>
      </c>
      <c r="F6393">
        <v>1904</v>
      </c>
      <c r="G6393">
        <v>1</v>
      </c>
      <c r="H6393">
        <v>2</v>
      </c>
      <c r="I6393">
        <v>2018</v>
      </c>
      <c r="J6393">
        <v>0</v>
      </c>
      <c r="K6393">
        <v>1</v>
      </c>
      <c r="L6393">
        <v>1</v>
      </c>
      <c r="M6393">
        <v>9</v>
      </c>
      <c r="N6393" t="s">
        <v>37</v>
      </c>
      <c r="O6393" t="s">
        <v>30</v>
      </c>
      <c r="P6393">
        <v>2.7876364384519001</v>
      </c>
      <c r="Q6393">
        <v>2.3818586677048001</v>
      </c>
      <c r="R6393">
        <v>4.0755128883398903</v>
      </c>
      <c r="S6393">
        <v>174</v>
      </c>
      <c r="T6393">
        <v>29</v>
      </c>
      <c r="U6393">
        <v>804.21046821791106</v>
      </c>
      <c r="V6393">
        <v>4.7268907563025198E-3</v>
      </c>
      <c r="W6393">
        <v>1675396.3758894801</v>
      </c>
      <c r="X6393" t="s">
        <v>31</v>
      </c>
      <c r="Y6393">
        <f>1-782-808-2338</f>
        <v>-3927</v>
      </c>
    </row>
    <row r="6394" spans="1:25" x14ac:dyDescent="0.35">
      <c r="A6394">
        <v>41.750391143558502</v>
      </c>
      <c r="B6394">
        <v>-117.46386990862401</v>
      </c>
      <c r="C6394" t="s">
        <v>25</v>
      </c>
      <c r="D6394">
        <v>47.265129596280097</v>
      </c>
      <c r="E6394">
        <v>7</v>
      </c>
      <c r="F6394">
        <v>4935</v>
      </c>
      <c r="G6394">
        <v>1</v>
      </c>
      <c r="H6394">
        <v>2</v>
      </c>
      <c r="I6394">
        <v>2019</v>
      </c>
      <c r="J6394">
        <v>1</v>
      </c>
      <c r="K6394">
        <v>0</v>
      </c>
      <c r="L6394">
        <v>1</v>
      </c>
      <c r="M6394">
        <v>2</v>
      </c>
      <c r="N6394" t="s">
        <v>35</v>
      </c>
      <c r="O6394" t="s">
        <v>27</v>
      </c>
      <c r="P6394">
        <v>4.1992646552800998</v>
      </c>
      <c r="Q6394">
        <v>1.42986455786748</v>
      </c>
      <c r="R6394">
        <v>0.54768022959079299</v>
      </c>
      <c r="S6394">
        <v>129</v>
      </c>
      <c r="T6394">
        <v>67</v>
      </c>
      <c r="U6394">
        <v>990.18062769972403</v>
      </c>
      <c r="V6394">
        <v>4.05268490374873E-4</v>
      </c>
      <c r="W6394">
        <v>5043438.8648661496</v>
      </c>
      <c r="X6394" t="s">
        <v>42</v>
      </c>
      <c r="Y6394">
        <f>1-571-929-4955</f>
        <v>-6454</v>
      </c>
    </row>
    <row r="6395" spans="1:25" x14ac:dyDescent="0.35">
      <c r="A6395">
        <v>41.4812681707946</v>
      </c>
      <c r="B6395">
        <v>-118.720852726754</v>
      </c>
      <c r="C6395" t="s">
        <v>29</v>
      </c>
      <c r="D6395">
        <v>48.186783069278398</v>
      </c>
      <c r="E6395">
        <v>4</v>
      </c>
      <c r="F6395">
        <v>3646</v>
      </c>
      <c r="G6395">
        <v>2</v>
      </c>
      <c r="H6395">
        <v>2</v>
      </c>
      <c r="I6395">
        <v>2007</v>
      </c>
      <c r="J6395">
        <v>1</v>
      </c>
      <c r="K6395">
        <v>0</v>
      </c>
      <c r="L6395">
        <v>0</v>
      </c>
      <c r="M6395">
        <v>5</v>
      </c>
      <c r="N6395" t="s">
        <v>37</v>
      </c>
      <c r="O6395" t="s">
        <v>32</v>
      </c>
      <c r="P6395">
        <v>6.4484489079460703</v>
      </c>
      <c r="Q6395">
        <v>1.7789421822840901</v>
      </c>
      <c r="R6395">
        <v>7.2512011956850397</v>
      </c>
      <c r="S6395">
        <v>141</v>
      </c>
      <c r="T6395">
        <v>44</v>
      </c>
      <c r="U6395">
        <v>940.78739403161603</v>
      </c>
      <c r="V6395">
        <v>1.37136588041689E-3</v>
      </c>
      <c r="W6395">
        <v>3756283.9385176701</v>
      </c>
      <c r="X6395" t="s">
        <v>36</v>
      </c>
      <c r="Y6395">
        <f>1-606-586-9758</f>
        <v>-10949</v>
      </c>
    </row>
    <row r="6396" spans="1:25" x14ac:dyDescent="0.35">
      <c r="A6396">
        <v>41.648624519119302</v>
      </c>
      <c r="B6396">
        <v>-115.231632660009</v>
      </c>
      <c r="C6396" t="s">
        <v>29</v>
      </c>
      <c r="D6396">
        <v>29.0499778134397</v>
      </c>
      <c r="E6396">
        <v>7</v>
      </c>
      <c r="F6396">
        <v>558</v>
      </c>
      <c r="G6396">
        <v>2</v>
      </c>
      <c r="H6396">
        <v>1</v>
      </c>
      <c r="I6396">
        <v>1967</v>
      </c>
      <c r="J6396">
        <v>0</v>
      </c>
      <c r="K6396">
        <v>1</v>
      </c>
      <c r="L6396">
        <v>1</v>
      </c>
      <c r="M6396">
        <v>13</v>
      </c>
      <c r="N6396" t="s">
        <v>26</v>
      </c>
      <c r="O6396" t="s">
        <v>32</v>
      </c>
      <c r="P6396">
        <v>6.0197439891037297</v>
      </c>
      <c r="Q6396">
        <v>1.3735085560908</v>
      </c>
      <c r="R6396">
        <v>9.2275276076308792</v>
      </c>
      <c r="S6396">
        <v>41</v>
      </c>
      <c r="T6396">
        <v>68</v>
      </c>
      <c r="U6396">
        <v>248.98932170495101</v>
      </c>
      <c r="V6396">
        <v>2.32974910394265E-2</v>
      </c>
      <c r="W6396">
        <v>327768.85262099298</v>
      </c>
      <c r="X6396" t="s">
        <v>28</v>
      </c>
      <c r="Y6396">
        <f>1-324-978-5530</f>
        <v>-6831</v>
      </c>
    </row>
    <row r="6397" spans="1:25" x14ac:dyDescent="0.35">
      <c r="A6397">
        <v>40.1683923568159</v>
      </c>
      <c r="B6397">
        <v>-117.649643259611</v>
      </c>
      <c r="C6397" t="s">
        <v>25</v>
      </c>
      <c r="D6397">
        <v>19.386683417444701</v>
      </c>
      <c r="E6397">
        <v>0</v>
      </c>
      <c r="F6397">
        <v>3266</v>
      </c>
      <c r="G6397">
        <v>4</v>
      </c>
      <c r="H6397">
        <v>2</v>
      </c>
      <c r="I6397">
        <v>1978</v>
      </c>
      <c r="J6397">
        <v>1</v>
      </c>
      <c r="K6397">
        <v>1</v>
      </c>
      <c r="L6397">
        <v>0</v>
      </c>
      <c r="M6397">
        <v>13</v>
      </c>
      <c r="N6397" t="s">
        <v>35</v>
      </c>
      <c r="O6397" t="s">
        <v>32</v>
      </c>
      <c r="P6397">
        <v>6.7903101306775797</v>
      </c>
      <c r="Q6397">
        <v>2.07992845852965</v>
      </c>
      <c r="R6397">
        <v>1.1206018148893</v>
      </c>
      <c r="S6397">
        <v>48</v>
      </c>
      <c r="T6397">
        <v>27</v>
      </c>
      <c r="U6397">
        <v>338.07225560794001</v>
      </c>
      <c r="V6397">
        <v>3.9804041641151198E-3</v>
      </c>
      <c r="W6397">
        <v>1520006.9346442199</v>
      </c>
      <c r="X6397" t="s">
        <v>39</v>
      </c>
      <c r="Y6397">
        <f>1-611-561-4785</f>
        <v>-5956</v>
      </c>
    </row>
    <row r="6398" spans="1:25" x14ac:dyDescent="0.35">
      <c r="A6398">
        <v>34.154057726145702</v>
      </c>
      <c r="B6398">
        <v>-118.456239308176</v>
      </c>
      <c r="C6398" t="s">
        <v>29</v>
      </c>
      <c r="D6398">
        <v>10.004931322663699</v>
      </c>
      <c r="E6398">
        <v>6</v>
      </c>
      <c r="F6398">
        <v>894</v>
      </c>
      <c r="G6398">
        <v>4</v>
      </c>
      <c r="H6398">
        <v>2</v>
      </c>
      <c r="I6398">
        <v>1973</v>
      </c>
      <c r="J6398">
        <v>1</v>
      </c>
      <c r="K6398">
        <v>0</v>
      </c>
      <c r="L6398">
        <v>0</v>
      </c>
      <c r="M6398">
        <v>5</v>
      </c>
      <c r="N6398" t="s">
        <v>41</v>
      </c>
      <c r="O6398" t="s">
        <v>30</v>
      </c>
      <c r="P6398">
        <v>10.4227922575911</v>
      </c>
      <c r="Q6398">
        <v>1.0038752379929701</v>
      </c>
      <c r="R6398">
        <v>6.6095997625898599</v>
      </c>
      <c r="S6398">
        <v>124</v>
      </c>
      <c r="T6398">
        <v>20</v>
      </c>
      <c r="U6398">
        <v>289.08530284282102</v>
      </c>
      <c r="V6398">
        <v>5.5928411633109597E-3</v>
      </c>
      <c r="W6398">
        <v>474941.13292992598</v>
      </c>
      <c r="X6398" t="s">
        <v>42</v>
      </c>
      <c r="Y6398">
        <f>1-338-351-6114</f>
        <v>-6802</v>
      </c>
    </row>
    <row r="6399" spans="1:25" x14ac:dyDescent="0.35">
      <c r="A6399">
        <v>36.541618452639597</v>
      </c>
      <c r="B6399">
        <v>-118.26335461595301</v>
      </c>
      <c r="C6399" t="s">
        <v>25</v>
      </c>
      <c r="D6399">
        <v>36.621788340799498</v>
      </c>
      <c r="E6399">
        <v>8</v>
      </c>
      <c r="F6399">
        <v>4408</v>
      </c>
      <c r="G6399">
        <v>1</v>
      </c>
      <c r="H6399">
        <v>3</v>
      </c>
      <c r="I6399">
        <v>1980</v>
      </c>
      <c r="J6399">
        <v>1</v>
      </c>
      <c r="K6399">
        <v>0</v>
      </c>
      <c r="L6399">
        <v>0</v>
      </c>
      <c r="M6399">
        <v>14</v>
      </c>
      <c r="N6399" t="s">
        <v>35</v>
      </c>
      <c r="O6399" t="s">
        <v>27</v>
      </c>
      <c r="P6399">
        <v>9.8523592623396894</v>
      </c>
      <c r="Q6399">
        <v>1.2693951531090999</v>
      </c>
      <c r="R6399">
        <v>4.51520552240979</v>
      </c>
      <c r="S6399">
        <v>100</v>
      </c>
      <c r="T6399">
        <v>72</v>
      </c>
      <c r="U6399">
        <v>570.04970905817902</v>
      </c>
      <c r="V6399">
        <v>3.1760435571687798E-3</v>
      </c>
      <c r="W6399">
        <v>2726191.7940720799</v>
      </c>
      <c r="X6399" t="s">
        <v>39</v>
      </c>
      <c r="Y6399">
        <f>1-360-372-4954</f>
        <v>-5685</v>
      </c>
    </row>
    <row r="6400" spans="1:25" x14ac:dyDescent="0.35">
      <c r="A6400">
        <v>37.1596589974762</v>
      </c>
      <c r="B6400">
        <v>-122.334727618889</v>
      </c>
      <c r="C6400" t="s">
        <v>29</v>
      </c>
      <c r="D6400">
        <v>44.881195633509599</v>
      </c>
      <c r="E6400">
        <v>1</v>
      </c>
      <c r="F6400">
        <v>932</v>
      </c>
      <c r="G6400">
        <v>5</v>
      </c>
      <c r="H6400">
        <v>3</v>
      </c>
      <c r="I6400">
        <v>2000</v>
      </c>
      <c r="J6400">
        <v>1</v>
      </c>
      <c r="K6400">
        <v>1</v>
      </c>
      <c r="L6400">
        <v>0</v>
      </c>
      <c r="M6400">
        <v>4</v>
      </c>
      <c r="N6400" t="s">
        <v>41</v>
      </c>
      <c r="O6400" t="s">
        <v>30</v>
      </c>
      <c r="P6400">
        <v>3.3511447523157201</v>
      </c>
      <c r="Q6400">
        <v>2.0901320647661299</v>
      </c>
      <c r="R6400">
        <v>6.9371829436283798</v>
      </c>
      <c r="S6400">
        <v>181</v>
      </c>
      <c r="T6400">
        <v>39</v>
      </c>
      <c r="U6400">
        <v>343.89177242460403</v>
      </c>
      <c r="V6400">
        <v>4.29184549356223E-3</v>
      </c>
      <c r="W6400">
        <v>716610.59225767595</v>
      </c>
      <c r="X6400" t="s">
        <v>36</v>
      </c>
      <c r="Y6400">
        <f>1-798-822-8339</f>
        <v>-9958</v>
      </c>
    </row>
    <row r="6401" spans="1:25" x14ac:dyDescent="0.35">
      <c r="A6401">
        <v>34.334552632259701</v>
      </c>
      <c r="B6401">
        <v>-120.76890906086901</v>
      </c>
      <c r="C6401" t="s">
        <v>25</v>
      </c>
      <c r="D6401">
        <v>28.436551253055001</v>
      </c>
      <c r="E6401">
        <v>1</v>
      </c>
      <c r="F6401">
        <v>2371</v>
      </c>
      <c r="G6401">
        <v>1</v>
      </c>
      <c r="H6401">
        <v>1</v>
      </c>
      <c r="I6401">
        <v>2022</v>
      </c>
      <c r="J6401">
        <v>0</v>
      </c>
      <c r="K6401">
        <v>0</v>
      </c>
      <c r="L6401">
        <v>0</v>
      </c>
      <c r="M6401">
        <v>8</v>
      </c>
      <c r="N6401" t="s">
        <v>37</v>
      </c>
      <c r="O6401" t="s">
        <v>32</v>
      </c>
      <c r="P6401">
        <v>2.31317753601529</v>
      </c>
      <c r="Q6401">
        <v>2.1422447593868101</v>
      </c>
      <c r="R6401">
        <v>9.9106807952952796</v>
      </c>
      <c r="S6401">
        <v>88</v>
      </c>
      <c r="T6401">
        <v>42</v>
      </c>
      <c r="U6401">
        <v>899.98277104342799</v>
      </c>
      <c r="V6401">
        <v>3.3741037536904198E-3</v>
      </c>
      <c r="W6401">
        <v>2164483.89064785</v>
      </c>
      <c r="X6401" t="s">
        <v>44</v>
      </c>
      <c r="Y6401">
        <f>1-882-303-8609</f>
        <v>-9793</v>
      </c>
    </row>
    <row r="6402" spans="1:25" x14ac:dyDescent="0.35">
      <c r="A6402">
        <v>41.521568107879197</v>
      </c>
      <c r="B6402">
        <v>-123.871162208236</v>
      </c>
      <c r="C6402" t="s">
        <v>34</v>
      </c>
      <c r="D6402">
        <v>39.701211354540902</v>
      </c>
      <c r="E6402">
        <v>0</v>
      </c>
      <c r="F6402">
        <v>516</v>
      </c>
      <c r="G6402">
        <v>2</v>
      </c>
      <c r="H6402">
        <v>3</v>
      </c>
      <c r="I6402">
        <v>1982</v>
      </c>
      <c r="J6402">
        <v>0</v>
      </c>
      <c r="K6402">
        <v>1</v>
      </c>
      <c r="L6402">
        <v>0</v>
      </c>
      <c r="M6402">
        <v>5</v>
      </c>
      <c r="N6402" t="s">
        <v>35</v>
      </c>
      <c r="O6402" t="s">
        <v>30</v>
      </c>
      <c r="P6402">
        <v>10.044894443113</v>
      </c>
      <c r="Q6402">
        <v>1.1384010416288199</v>
      </c>
      <c r="R6402">
        <v>2.2909176767359201</v>
      </c>
      <c r="S6402">
        <v>86</v>
      </c>
      <c r="T6402">
        <v>42</v>
      </c>
      <c r="U6402">
        <v>468.48566073870802</v>
      </c>
      <c r="V6402">
        <v>9.6899224806201497E-3</v>
      </c>
      <c r="W6402">
        <v>576074.51798722998</v>
      </c>
      <c r="X6402" t="s">
        <v>40</v>
      </c>
      <c r="Y6402">
        <f>1-291-533-6493</f>
        <v>-7316</v>
      </c>
    </row>
    <row r="6403" spans="1:25" x14ac:dyDescent="0.35">
      <c r="A6403">
        <v>34.8870121785287</v>
      </c>
      <c r="B6403">
        <v>-119.833878452306</v>
      </c>
      <c r="C6403" t="s">
        <v>25</v>
      </c>
      <c r="D6403">
        <v>20.494657523933</v>
      </c>
      <c r="E6403">
        <v>2</v>
      </c>
      <c r="F6403">
        <v>2028</v>
      </c>
      <c r="G6403">
        <v>4</v>
      </c>
      <c r="H6403">
        <v>1</v>
      </c>
      <c r="I6403">
        <v>2021</v>
      </c>
      <c r="J6403">
        <v>1</v>
      </c>
      <c r="K6403">
        <v>0</v>
      </c>
      <c r="L6403">
        <v>0</v>
      </c>
      <c r="M6403">
        <v>3</v>
      </c>
      <c r="N6403" t="s">
        <v>26</v>
      </c>
      <c r="O6403" t="s">
        <v>27</v>
      </c>
      <c r="P6403">
        <v>11.5961642291006</v>
      </c>
      <c r="Q6403">
        <v>2.38695880342051</v>
      </c>
      <c r="R6403">
        <v>1.4980809825865</v>
      </c>
      <c r="S6403">
        <v>196</v>
      </c>
      <c r="T6403">
        <v>68</v>
      </c>
      <c r="U6403">
        <v>869.63920782301295</v>
      </c>
      <c r="V6403">
        <v>1.4792899408283999E-3</v>
      </c>
      <c r="W6403">
        <v>2170436.0398299401</v>
      </c>
      <c r="X6403" t="s">
        <v>38</v>
      </c>
      <c r="Y6403">
        <f>1-264-882-9628</f>
        <v>-10773</v>
      </c>
    </row>
    <row r="6404" spans="1:25" x14ac:dyDescent="0.35">
      <c r="A6404">
        <v>37.802729196242197</v>
      </c>
      <c r="B6404">
        <v>-119.995781724675</v>
      </c>
      <c r="C6404" t="s">
        <v>25</v>
      </c>
      <c r="D6404">
        <v>3.7082216004780202</v>
      </c>
      <c r="E6404">
        <v>4</v>
      </c>
      <c r="F6404">
        <v>2513</v>
      </c>
      <c r="G6404">
        <v>4</v>
      </c>
      <c r="H6404">
        <v>3</v>
      </c>
      <c r="I6404">
        <v>1972</v>
      </c>
      <c r="J6404">
        <v>0</v>
      </c>
      <c r="K6404">
        <v>0</v>
      </c>
      <c r="L6404">
        <v>0</v>
      </c>
      <c r="M6404">
        <v>11</v>
      </c>
      <c r="N6404" t="s">
        <v>35</v>
      </c>
      <c r="O6404" t="s">
        <v>30</v>
      </c>
      <c r="P6404">
        <v>12.1036274644358</v>
      </c>
      <c r="Q6404">
        <v>1.94308416319918</v>
      </c>
      <c r="R6404">
        <v>7.2229292156522096</v>
      </c>
      <c r="S6404">
        <v>161</v>
      </c>
      <c r="T6404">
        <v>61</v>
      </c>
      <c r="U6404">
        <v>825.05710094159099</v>
      </c>
      <c r="V6404">
        <v>4.3772383605252601E-3</v>
      </c>
      <c r="W6404">
        <v>2307893.05848628</v>
      </c>
      <c r="X6404" t="s">
        <v>28</v>
      </c>
      <c r="Y6404">
        <f>1-863-540-7005</f>
        <v>-8407</v>
      </c>
    </row>
    <row r="6405" spans="1:25" x14ac:dyDescent="0.35">
      <c r="A6405">
        <v>38.942769769340501</v>
      </c>
      <c r="B6405">
        <v>-118.881894282799</v>
      </c>
      <c r="C6405" t="s">
        <v>29</v>
      </c>
      <c r="D6405">
        <v>8.1524178201585098</v>
      </c>
      <c r="E6405">
        <v>9</v>
      </c>
      <c r="F6405">
        <v>4828</v>
      </c>
      <c r="G6405">
        <v>1</v>
      </c>
      <c r="H6405">
        <v>2</v>
      </c>
      <c r="I6405">
        <v>2006</v>
      </c>
      <c r="J6405">
        <v>0</v>
      </c>
      <c r="K6405">
        <v>0</v>
      </c>
      <c r="L6405">
        <v>0</v>
      </c>
      <c r="M6405">
        <v>5</v>
      </c>
      <c r="N6405" t="s">
        <v>35</v>
      </c>
      <c r="O6405" t="s">
        <v>27</v>
      </c>
      <c r="P6405">
        <v>5.2676818511312202</v>
      </c>
      <c r="Q6405">
        <v>1.9849365846372999</v>
      </c>
      <c r="R6405">
        <v>0.70405653669072799</v>
      </c>
      <c r="S6405">
        <v>109</v>
      </c>
      <c r="T6405">
        <v>28</v>
      </c>
      <c r="U6405">
        <v>641.25415056470001</v>
      </c>
      <c r="V6405">
        <v>1.03562551781275E-3</v>
      </c>
      <c r="W6405">
        <v>3138466.9871931998</v>
      </c>
      <c r="X6405" t="s">
        <v>44</v>
      </c>
      <c r="Y6405">
        <f>1-644-131-5317</f>
        <v>-6091</v>
      </c>
    </row>
    <row r="6406" spans="1:25" x14ac:dyDescent="0.35">
      <c r="A6406">
        <v>34.978072710126803</v>
      </c>
      <c r="B6406">
        <v>-122.155310477515</v>
      </c>
      <c r="C6406" t="s">
        <v>25</v>
      </c>
      <c r="D6406">
        <v>36.548684243829697</v>
      </c>
      <c r="E6406">
        <v>6</v>
      </c>
      <c r="F6406">
        <v>4634</v>
      </c>
      <c r="G6406">
        <v>4</v>
      </c>
      <c r="H6406">
        <v>1</v>
      </c>
      <c r="I6406">
        <v>1985</v>
      </c>
      <c r="J6406">
        <v>1</v>
      </c>
      <c r="K6406">
        <v>0</v>
      </c>
      <c r="L6406">
        <v>1</v>
      </c>
      <c r="M6406">
        <v>7</v>
      </c>
      <c r="N6406" t="s">
        <v>37</v>
      </c>
      <c r="O6406" t="s">
        <v>32</v>
      </c>
      <c r="P6406">
        <v>8.9231188303419309</v>
      </c>
      <c r="Q6406">
        <v>2.1505512041426602</v>
      </c>
      <c r="R6406">
        <v>3.3313892108547698</v>
      </c>
      <c r="S6406">
        <v>91</v>
      </c>
      <c r="T6406">
        <v>78</v>
      </c>
      <c r="U6406">
        <v>305.288307704754</v>
      </c>
      <c r="V6406">
        <v>1.51057401812688E-3</v>
      </c>
      <c r="W6406">
        <v>1717135.7753676099</v>
      </c>
      <c r="X6406" t="s">
        <v>39</v>
      </c>
      <c r="Y6406">
        <f>1-243-350-7225</f>
        <v>-7817</v>
      </c>
    </row>
    <row r="6407" spans="1:25" x14ac:dyDescent="0.35">
      <c r="A6407">
        <v>33.184853846259301</v>
      </c>
      <c r="B6407">
        <v>-122.176884510913</v>
      </c>
      <c r="C6407" t="s">
        <v>34</v>
      </c>
      <c r="D6407">
        <v>36.577560551641298</v>
      </c>
      <c r="E6407">
        <v>0</v>
      </c>
      <c r="F6407">
        <v>1320</v>
      </c>
      <c r="G6407">
        <v>2</v>
      </c>
      <c r="H6407">
        <v>2</v>
      </c>
      <c r="I6407">
        <v>1964</v>
      </c>
      <c r="J6407">
        <v>1</v>
      </c>
      <c r="K6407">
        <v>0</v>
      </c>
      <c r="L6407">
        <v>1</v>
      </c>
      <c r="M6407">
        <v>9</v>
      </c>
      <c r="N6407" t="s">
        <v>35</v>
      </c>
      <c r="O6407" t="s">
        <v>27</v>
      </c>
      <c r="P6407">
        <v>10.8309455971995</v>
      </c>
      <c r="Q6407">
        <v>1.3875795773852699</v>
      </c>
      <c r="R6407">
        <v>8.1070901503392108</v>
      </c>
      <c r="S6407">
        <v>176</v>
      </c>
      <c r="T6407">
        <v>64</v>
      </c>
      <c r="U6407">
        <v>448.58148935982302</v>
      </c>
      <c r="V6407">
        <v>6.81818181818181E-3</v>
      </c>
      <c r="W6407">
        <v>802991.24352740298</v>
      </c>
      <c r="X6407" t="s">
        <v>39</v>
      </c>
      <c r="Y6407">
        <f>1-870-203-3559</f>
        <v>-4631</v>
      </c>
    </row>
    <row r="6408" spans="1:25" x14ac:dyDescent="0.35">
      <c r="A6408">
        <v>40.748459406249303</v>
      </c>
      <c r="B6408">
        <v>-116.372707108857</v>
      </c>
      <c r="C6408" t="s">
        <v>29</v>
      </c>
      <c r="D6408">
        <v>32.130409706068797</v>
      </c>
      <c r="E6408">
        <v>0</v>
      </c>
      <c r="F6408">
        <v>1830</v>
      </c>
      <c r="G6408">
        <v>1</v>
      </c>
      <c r="H6408">
        <v>2</v>
      </c>
      <c r="I6408">
        <v>1982</v>
      </c>
      <c r="J6408">
        <v>1</v>
      </c>
      <c r="K6408">
        <v>1</v>
      </c>
      <c r="L6408">
        <v>0</v>
      </c>
      <c r="M6408">
        <v>7</v>
      </c>
      <c r="N6408" t="s">
        <v>26</v>
      </c>
      <c r="O6408" t="s">
        <v>27</v>
      </c>
      <c r="P6408">
        <v>12.8922589272157</v>
      </c>
      <c r="Q6408">
        <v>0.97820955480037297</v>
      </c>
      <c r="R6408">
        <v>5.49813131524275</v>
      </c>
      <c r="S6408">
        <v>178</v>
      </c>
      <c r="T6408">
        <v>75</v>
      </c>
      <c r="U6408">
        <v>254.82360394297299</v>
      </c>
      <c r="V6408">
        <v>3.8251366120218501E-3</v>
      </c>
      <c r="W6408">
        <v>774336.34900208202</v>
      </c>
      <c r="X6408" t="s">
        <v>44</v>
      </c>
      <c r="Y6408">
        <f>1-229-224-4613</f>
        <v>-5065</v>
      </c>
    </row>
    <row r="6409" spans="1:25" x14ac:dyDescent="0.35">
      <c r="A6409">
        <v>33.427870477861603</v>
      </c>
      <c r="B6409">
        <v>-114.69097800370299</v>
      </c>
      <c r="C6409" t="s">
        <v>29</v>
      </c>
      <c r="D6409">
        <v>14.5002709829281</v>
      </c>
      <c r="E6409">
        <v>4</v>
      </c>
      <c r="F6409">
        <v>3406</v>
      </c>
      <c r="G6409">
        <v>4</v>
      </c>
      <c r="H6409">
        <v>3</v>
      </c>
      <c r="I6409">
        <v>1960</v>
      </c>
      <c r="J6409">
        <v>0</v>
      </c>
      <c r="K6409">
        <v>0</v>
      </c>
      <c r="L6409">
        <v>0</v>
      </c>
      <c r="M6409">
        <v>4</v>
      </c>
      <c r="N6409" t="s">
        <v>41</v>
      </c>
      <c r="O6409" t="s">
        <v>30</v>
      </c>
      <c r="P6409">
        <v>7.58609247488286</v>
      </c>
      <c r="Q6409">
        <v>1.0235600405610099</v>
      </c>
      <c r="R6409">
        <v>7.9676243004701099</v>
      </c>
      <c r="S6409">
        <v>165</v>
      </c>
      <c r="T6409">
        <v>47</v>
      </c>
      <c r="U6409">
        <v>702.75435852591102</v>
      </c>
      <c r="V6409">
        <v>1.1743981209629999E-3</v>
      </c>
      <c r="W6409">
        <v>2640184.3334129201</v>
      </c>
      <c r="X6409" t="s">
        <v>38</v>
      </c>
      <c r="Y6409">
        <f>1-748-458-5964</f>
        <v>-7169</v>
      </c>
    </row>
    <row r="6410" spans="1:25" x14ac:dyDescent="0.35">
      <c r="A6410">
        <v>39.594477948067798</v>
      </c>
      <c r="B6410">
        <v>-121.139059251091</v>
      </c>
      <c r="C6410" t="s">
        <v>25</v>
      </c>
      <c r="D6410">
        <v>19.504257601234599</v>
      </c>
      <c r="E6410">
        <v>5</v>
      </c>
      <c r="F6410">
        <v>2631</v>
      </c>
      <c r="G6410">
        <v>4</v>
      </c>
      <c r="H6410">
        <v>3</v>
      </c>
      <c r="I6410">
        <v>1980</v>
      </c>
      <c r="J6410">
        <v>0</v>
      </c>
      <c r="K6410">
        <v>1</v>
      </c>
      <c r="L6410">
        <v>0</v>
      </c>
      <c r="M6410">
        <v>11</v>
      </c>
      <c r="N6410" t="s">
        <v>41</v>
      </c>
      <c r="O6410" t="s">
        <v>30</v>
      </c>
      <c r="P6410">
        <v>13.8485506435744</v>
      </c>
      <c r="Q6410">
        <v>0.84952069425257704</v>
      </c>
      <c r="R6410">
        <v>2.1410594413755999</v>
      </c>
      <c r="S6410">
        <v>79</v>
      </c>
      <c r="T6410">
        <v>28</v>
      </c>
      <c r="U6410">
        <v>759.49214093416697</v>
      </c>
      <c r="V6410">
        <v>4.1809198023565102E-3</v>
      </c>
      <c r="W6410">
        <v>2425076.0393323498</v>
      </c>
      <c r="X6410" t="s">
        <v>36</v>
      </c>
      <c r="Y6410">
        <f>1-849-767-1324</f>
        <v>-2939</v>
      </c>
    </row>
    <row r="6411" spans="1:25" x14ac:dyDescent="0.35">
      <c r="A6411">
        <v>41.257205706190099</v>
      </c>
      <c r="B6411">
        <v>-120.69534287501401</v>
      </c>
      <c r="C6411" t="s">
        <v>29</v>
      </c>
      <c r="D6411">
        <v>7.0416983385897201</v>
      </c>
      <c r="E6411">
        <v>5</v>
      </c>
      <c r="F6411">
        <v>2664</v>
      </c>
      <c r="G6411">
        <v>1</v>
      </c>
      <c r="H6411">
        <v>2</v>
      </c>
      <c r="I6411">
        <v>2010</v>
      </c>
      <c r="J6411">
        <v>1</v>
      </c>
      <c r="K6411">
        <v>1</v>
      </c>
      <c r="L6411">
        <v>0</v>
      </c>
      <c r="M6411">
        <v>11</v>
      </c>
      <c r="N6411" t="s">
        <v>41</v>
      </c>
      <c r="O6411" t="s">
        <v>30</v>
      </c>
      <c r="P6411">
        <v>14.7617625372945</v>
      </c>
      <c r="Q6411">
        <v>0.60792119361793195</v>
      </c>
      <c r="R6411">
        <v>8.9950817739214095</v>
      </c>
      <c r="S6411">
        <v>68</v>
      </c>
      <c r="T6411">
        <v>46</v>
      </c>
      <c r="U6411">
        <v>545.51447014263499</v>
      </c>
      <c r="V6411">
        <v>4.1291291291291202E-3</v>
      </c>
      <c r="W6411">
        <v>1724433.7469725001</v>
      </c>
      <c r="X6411" t="s">
        <v>28</v>
      </c>
      <c r="Y6411">
        <f>1-331-892-7383</f>
        <v>-8605</v>
      </c>
    </row>
    <row r="6412" spans="1:25" x14ac:dyDescent="0.35">
      <c r="A6412">
        <v>32.783157147783399</v>
      </c>
      <c r="B6412">
        <v>-120.162993599215</v>
      </c>
      <c r="C6412" t="s">
        <v>25</v>
      </c>
      <c r="D6412">
        <v>32.5192766440396</v>
      </c>
      <c r="E6412">
        <v>1</v>
      </c>
      <c r="F6412">
        <v>1989</v>
      </c>
      <c r="G6412">
        <v>1</v>
      </c>
      <c r="H6412">
        <v>3</v>
      </c>
      <c r="I6412">
        <v>2013</v>
      </c>
      <c r="J6412">
        <v>1</v>
      </c>
      <c r="K6412">
        <v>1</v>
      </c>
      <c r="L6412">
        <v>1</v>
      </c>
      <c r="M6412">
        <v>4</v>
      </c>
      <c r="N6412" t="s">
        <v>26</v>
      </c>
      <c r="O6412" t="s">
        <v>32</v>
      </c>
      <c r="P6412">
        <v>11.6566995669327</v>
      </c>
      <c r="Q6412">
        <v>0.76031886313896302</v>
      </c>
      <c r="R6412">
        <v>5.8974494705920799</v>
      </c>
      <c r="S6412">
        <v>100</v>
      </c>
      <c r="T6412">
        <v>45</v>
      </c>
      <c r="U6412">
        <v>909.535567233047</v>
      </c>
      <c r="V6412">
        <v>2.0110608345902401E-3</v>
      </c>
      <c r="W6412">
        <v>2170432.57589558</v>
      </c>
      <c r="X6412" t="s">
        <v>33</v>
      </c>
      <c r="Y6412">
        <f>1-847-237-3917</f>
        <v>-5000</v>
      </c>
    </row>
    <row r="6413" spans="1:25" x14ac:dyDescent="0.35">
      <c r="A6413">
        <v>41.1257279005059</v>
      </c>
      <c r="B6413">
        <v>-123.823820258974</v>
      </c>
      <c r="C6413" t="s">
        <v>34</v>
      </c>
      <c r="D6413">
        <v>35.1945130865194</v>
      </c>
      <c r="E6413">
        <v>1</v>
      </c>
      <c r="F6413">
        <v>765</v>
      </c>
      <c r="G6413">
        <v>5</v>
      </c>
      <c r="H6413">
        <v>2</v>
      </c>
      <c r="I6413">
        <v>1961</v>
      </c>
      <c r="J6413">
        <v>1</v>
      </c>
      <c r="K6413">
        <v>1</v>
      </c>
      <c r="L6413">
        <v>1</v>
      </c>
      <c r="M6413">
        <v>12</v>
      </c>
      <c r="N6413" t="s">
        <v>37</v>
      </c>
      <c r="O6413" t="s">
        <v>32</v>
      </c>
      <c r="P6413">
        <v>7.2782604102061201</v>
      </c>
      <c r="Q6413">
        <v>1.7682885968759701</v>
      </c>
      <c r="R6413">
        <v>7.2374802100664697</v>
      </c>
      <c r="S6413">
        <v>30</v>
      </c>
      <c r="T6413">
        <v>68</v>
      </c>
      <c r="U6413">
        <v>596.55590664390297</v>
      </c>
      <c r="V6413">
        <v>1.5686274509803901E-2</v>
      </c>
      <c r="W6413">
        <v>879732.91410083196</v>
      </c>
      <c r="X6413" t="s">
        <v>33</v>
      </c>
      <c r="Y6413">
        <f>1-338-963-1346</f>
        <v>-2646</v>
      </c>
    </row>
    <row r="6414" spans="1:25" x14ac:dyDescent="0.35">
      <c r="A6414">
        <v>40.865597892242697</v>
      </c>
      <c r="B6414">
        <v>-119.853849621219</v>
      </c>
      <c r="C6414" t="s">
        <v>25</v>
      </c>
      <c r="D6414">
        <v>7.1067138520138702</v>
      </c>
      <c r="E6414">
        <v>7</v>
      </c>
      <c r="F6414">
        <v>2937</v>
      </c>
      <c r="G6414">
        <v>2</v>
      </c>
      <c r="H6414">
        <v>1</v>
      </c>
      <c r="I6414">
        <v>1956</v>
      </c>
      <c r="J6414">
        <v>0</v>
      </c>
      <c r="K6414">
        <v>0</v>
      </c>
      <c r="L6414">
        <v>1</v>
      </c>
      <c r="M6414">
        <v>6</v>
      </c>
      <c r="N6414" t="s">
        <v>35</v>
      </c>
      <c r="O6414" t="s">
        <v>27</v>
      </c>
      <c r="P6414">
        <v>14.4838324367516</v>
      </c>
      <c r="Q6414">
        <v>1.5887354706960799</v>
      </c>
      <c r="R6414">
        <v>7.4958695943005296</v>
      </c>
      <c r="S6414">
        <v>62</v>
      </c>
      <c r="T6414">
        <v>54</v>
      </c>
      <c r="U6414">
        <v>631.39069640841296</v>
      </c>
      <c r="V6414">
        <v>2.0429009193054098E-3</v>
      </c>
      <c r="W6414">
        <v>1978999.5006412</v>
      </c>
      <c r="X6414" t="s">
        <v>39</v>
      </c>
      <c r="Y6414">
        <f>1-931-955-7378</f>
        <v>-9263</v>
      </c>
    </row>
    <row r="6415" spans="1:25" x14ac:dyDescent="0.35">
      <c r="A6415">
        <v>40.334040515077902</v>
      </c>
      <c r="B6415">
        <v>-121.514248529198</v>
      </c>
      <c r="C6415" t="s">
        <v>34</v>
      </c>
      <c r="D6415">
        <v>43.077371450048801</v>
      </c>
      <c r="E6415">
        <v>1</v>
      </c>
      <c r="F6415">
        <v>1525</v>
      </c>
      <c r="G6415">
        <v>5</v>
      </c>
      <c r="H6415">
        <v>3</v>
      </c>
      <c r="I6415">
        <v>1951</v>
      </c>
      <c r="J6415">
        <v>1</v>
      </c>
      <c r="K6415">
        <v>1</v>
      </c>
      <c r="L6415">
        <v>0</v>
      </c>
      <c r="M6415">
        <v>8</v>
      </c>
      <c r="N6415" t="s">
        <v>35</v>
      </c>
      <c r="O6415" t="s">
        <v>27</v>
      </c>
      <c r="P6415">
        <v>3.8722037945658898</v>
      </c>
      <c r="Q6415">
        <v>0.70689749748699005</v>
      </c>
      <c r="R6415">
        <v>0.12920496725656799</v>
      </c>
      <c r="S6415">
        <v>159</v>
      </c>
      <c r="T6415">
        <v>50</v>
      </c>
      <c r="U6415">
        <v>484.79142084877498</v>
      </c>
      <c r="V6415">
        <v>5.2459016393442597E-3</v>
      </c>
      <c r="W6415">
        <v>1170471.5357355101</v>
      </c>
      <c r="X6415" t="s">
        <v>39</v>
      </c>
      <c r="Y6415">
        <f>1-211-350-2422</f>
        <v>-2982</v>
      </c>
    </row>
    <row r="6416" spans="1:25" x14ac:dyDescent="0.35">
      <c r="A6416">
        <v>35.869883054326699</v>
      </c>
      <c r="B6416">
        <v>-118.101060089532</v>
      </c>
      <c r="C6416" t="s">
        <v>34</v>
      </c>
      <c r="D6416">
        <v>46.118359558057101</v>
      </c>
      <c r="E6416">
        <v>8</v>
      </c>
      <c r="F6416">
        <v>3145</v>
      </c>
      <c r="G6416">
        <v>4</v>
      </c>
      <c r="H6416">
        <v>2</v>
      </c>
      <c r="I6416">
        <v>1976</v>
      </c>
      <c r="J6416">
        <v>1</v>
      </c>
      <c r="K6416">
        <v>1</v>
      </c>
      <c r="L6416">
        <v>0</v>
      </c>
      <c r="M6416">
        <v>11</v>
      </c>
      <c r="N6416" t="s">
        <v>26</v>
      </c>
      <c r="O6416" t="s">
        <v>30</v>
      </c>
      <c r="P6416">
        <v>6.5526323000989697</v>
      </c>
      <c r="Q6416">
        <v>1.0739764009377599</v>
      </c>
      <c r="R6416">
        <v>5.0090556879516299</v>
      </c>
      <c r="S6416">
        <v>116</v>
      </c>
      <c r="T6416">
        <v>64</v>
      </c>
      <c r="U6416">
        <v>366.85666682072298</v>
      </c>
      <c r="V6416">
        <v>3.49761526232114E-3</v>
      </c>
      <c r="W6416">
        <v>1504072.2186324201</v>
      </c>
      <c r="X6416" t="s">
        <v>31</v>
      </c>
      <c r="Y6416">
        <f>1-764-598-9021</f>
        <v>-10382</v>
      </c>
    </row>
    <row r="6417" spans="1:25" x14ac:dyDescent="0.35">
      <c r="A6417">
        <v>35.1988417237066</v>
      </c>
      <c r="B6417">
        <v>-117.439762404033</v>
      </c>
      <c r="C6417" t="s">
        <v>34</v>
      </c>
      <c r="D6417">
        <v>40.226384003273999</v>
      </c>
      <c r="E6417">
        <v>9</v>
      </c>
      <c r="F6417">
        <v>2432</v>
      </c>
      <c r="G6417">
        <v>2</v>
      </c>
      <c r="H6417">
        <v>1</v>
      </c>
      <c r="I6417">
        <v>2019</v>
      </c>
      <c r="J6417">
        <v>1</v>
      </c>
      <c r="K6417">
        <v>1</v>
      </c>
      <c r="L6417">
        <v>1</v>
      </c>
      <c r="M6417">
        <v>3</v>
      </c>
      <c r="N6417" t="s">
        <v>35</v>
      </c>
      <c r="O6417" t="s">
        <v>30</v>
      </c>
      <c r="P6417">
        <v>13.023236161572401</v>
      </c>
      <c r="Q6417">
        <v>1.35251178328252</v>
      </c>
      <c r="R6417">
        <v>8.8790780538569205</v>
      </c>
      <c r="S6417">
        <v>91</v>
      </c>
      <c r="T6417">
        <v>53</v>
      </c>
      <c r="U6417">
        <v>958.86911183683196</v>
      </c>
      <c r="V6417">
        <v>1.2335526315789399E-3</v>
      </c>
      <c r="W6417">
        <v>2668985.1327601098</v>
      </c>
      <c r="X6417" t="s">
        <v>40</v>
      </c>
      <c r="Y6417">
        <f>1-581-965-6942</f>
        <v>-8487</v>
      </c>
    </row>
    <row r="6418" spans="1:25" x14ac:dyDescent="0.35">
      <c r="A6418">
        <v>41.695478176394303</v>
      </c>
      <c r="B6418">
        <v>-114.14320252783099</v>
      </c>
      <c r="C6418" t="s">
        <v>34</v>
      </c>
      <c r="D6418">
        <v>6.2755930235033297</v>
      </c>
      <c r="E6418">
        <v>8</v>
      </c>
      <c r="F6418">
        <v>1037</v>
      </c>
      <c r="G6418">
        <v>1</v>
      </c>
      <c r="H6418">
        <v>1</v>
      </c>
      <c r="I6418">
        <v>1955</v>
      </c>
      <c r="J6418">
        <v>0</v>
      </c>
      <c r="K6418">
        <v>0</v>
      </c>
      <c r="L6418">
        <v>1</v>
      </c>
      <c r="M6418">
        <v>2</v>
      </c>
      <c r="N6418" t="s">
        <v>41</v>
      </c>
      <c r="O6418" t="s">
        <v>27</v>
      </c>
      <c r="P6418">
        <v>13.513639756040099</v>
      </c>
      <c r="Q6418">
        <v>0.52503184382975998</v>
      </c>
      <c r="R6418">
        <v>8.0554454987868596</v>
      </c>
      <c r="S6418">
        <v>109</v>
      </c>
      <c r="T6418">
        <v>57</v>
      </c>
      <c r="U6418">
        <v>713.22611378769</v>
      </c>
      <c r="V6418">
        <v>1.9286403085824399E-3</v>
      </c>
      <c r="W6418">
        <v>839531.81455026905</v>
      </c>
      <c r="X6418" t="s">
        <v>40</v>
      </c>
      <c r="Y6418">
        <f>1-769-524-6607</f>
        <v>-7899</v>
      </c>
    </row>
    <row r="6419" spans="1:25" x14ac:dyDescent="0.35">
      <c r="A6419">
        <v>33.7017654603168</v>
      </c>
      <c r="B6419">
        <v>-116.687005659699</v>
      </c>
      <c r="C6419" t="s">
        <v>29</v>
      </c>
      <c r="D6419">
        <v>8.3157891285718293</v>
      </c>
      <c r="E6419">
        <v>8</v>
      </c>
      <c r="F6419">
        <v>1856</v>
      </c>
      <c r="G6419">
        <v>2</v>
      </c>
      <c r="H6419">
        <v>2</v>
      </c>
      <c r="I6419">
        <v>2010</v>
      </c>
      <c r="J6419">
        <v>1</v>
      </c>
      <c r="K6419">
        <v>1</v>
      </c>
      <c r="L6419">
        <v>0</v>
      </c>
      <c r="M6419">
        <v>9</v>
      </c>
      <c r="N6419" t="s">
        <v>41</v>
      </c>
      <c r="O6419" t="s">
        <v>32</v>
      </c>
      <c r="P6419">
        <v>4.3838242762373998</v>
      </c>
      <c r="Q6419">
        <v>2.0895432839161701</v>
      </c>
      <c r="R6419">
        <v>2.5128847535754901</v>
      </c>
      <c r="S6419">
        <v>60</v>
      </c>
      <c r="T6419">
        <v>46</v>
      </c>
      <c r="U6419">
        <v>383.19190748172701</v>
      </c>
      <c r="V6419">
        <v>4.8491379310344803E-3</v>
      </c>
      <c r="W6419">
        <v>1060571.7316221499</v>
      </c>
      <c r="X6419" t="s">
        <v>39</v>
      </c>
      <c r="Y6419">
        <f>1-844-690-7725</f>
        <v>-9258</v>
      </c>
    </row>
    <row r="6420" spans="1:25" x14ac:dyDescent="0.35">
      <c r="A6420">
        <v>37.9133847933944</v>
      </c>
      <c r="B6420">
        <v>-114.56433626989499</v>
      </c>
      <c r="C6420" t="s">
        <v>29</v>
      </c>
      <c r="D6420">
        <v>14.904830565538299</v>
      </c>
      <c r="E6420">
        <v>8</v>
      </c>
      <c r="F6420">
        <v>694</v>
      </c>
      <c r="G6420">
        <v>1</v>
      </c>
      <c r="H6420">
        <v>3</v>
      </c>
      <c r="I6420">
        <v>1960</v>
      </c>
      <c r="J6420">
        <v>0</v>
      </c>
      <c r="K6420">
        <v>0</v>
      </c>
      <c r="L6420">
        <v>1</v>
      </c>
      <c r="M6420">
        <v>5</v>
      </c>
      <c r="N6420" t="s">
        <v>37</v>
      </c>
      <c r="O6420" t="s">
        <v>27</v>
      </c>
      <c r="P6420">
        <v>7.5709553974350801</v>
      </c>
      <c r="Q6420">
        <v>1.9361177334727799</v>
      </c>
      <c r="R6420">
        <v>2.0949016668552898</v>
      </c>
      <c r="S6420">
        <v>39</v>
      </c>
      <c r="T6420">
        <v>63</v>
      </c>
      <c r="U6420">
        <v>314.21652204695198</v>
      </c>
      <c r="V6420">
        <v>7.2046109510086401E-3</v>
      </c>
      <c r="W6420">
        <v>239167.68361665701</v>
      </c>
      <c r="X6420" t="s">
        <v>42</v>
      </c>
      <c r="Y6420">
        <f>1-959-623-2487</f>
        <v>-4068</v>
      </c>
    </row>
    <row r="6421" spans="1:25" x14ac:dyDescent="0.35">
      <c r="A6421">
        <v>32.648055433258399</v>
      </c>
      <c r="B6421">
        <v>-118.47526197661</v>
      </c>
      <c r="C6421" t="s">
        <v>34</v>
      </c>
      <c r="D6421">
        <v>47.358865983156399</v>
      </c>
      <c r="E6421">
        <v>2</v>
      </c>
      <c r="F6421">
        <v>3101</v>
      </c>
      <c r="G6421">
        <v>3</v>
      </c>
      <c r="H6421">
        <v>3</v>
      </c>
      <c r="I6421">
        <v>1954</v>
      </c>
      <c r="J6421">
        <v>0</v>
      </c>
      <c r="K6421">
        <v>0</v>
      </c>
      <c r="L6421">
        <v>1</v>
      </c>
      <c r="M6421">
        <v>10</v>
      </c>
      <c r="N6421" t="s">
        <v>37</v>
      </c>
      <c r="O6421" t="s">
        <v>27</v>
      </c>
      <c r="P6421">
        <v>11.366886609027301</v>
      </c>
      <c r="Q6421">
        <v>1.9766323710193501</v>
      </c>
      <c r="R6421">
        <v>6.6845448645406202</v>
      </c>
      <c r="S6421">
        <v>106</v>
      </c>
      <c r="T6421">
        <v>64</v>
      </c>
      <c r="U6421">
        <v>842.47641159031298</v>
      </c>
      <c r="V6421">
        <v>3.2247662044501699E-3</v>
      </c>
      <c r="W6421">
        <v>2863015.8594702599</v>
      </c>
      <c r="X6421" t="s">
        <v>31</v>
      </c>
      <c r="Y6421">
        <f>1-864-807-1645</f>
        <v>-3315</v>
      </c>
    </row>
    <row r="6422" spans="1:25" x14ac:dyDescent="0.35">
      <c r="A6422">
        <v>36.696330923662103</v>
      </c>
      <c r="B6422">
        <v>-115.460161595659</v>
      </c>
      <c r="C6422" t="s">
        <v>34</v>
      </c>
      <c r="D6422">
        <v>12.110270669452801</v>
      </c>
      <c r="E6422">
        <v>3</v>
      </c>
      <c r="F6422">
        <v>2389</v>
      </c>
      <c r="G6422">
        <v>2</v>
      </c>
      <c r="H6422">
        <v>3</v>
      </c>
      <c r="I6422">
        <v>1982</v>
      </c>
      <c r="J6422">
        <v>1</v>
      </c>
      <c r="K6422">
        <v>1</v>
      </c>
      <c r="L6422">
        <v>1</v>
      </c>
      <c r="M6422">
        <v>8</v>
      </c>
      <c r="N6422" t="s">
        <v>35</v>
      </c>
      <c r="O6422" t="s">
        <v>27</v>
      </c>
      <c r="P6422">
        <v>9.4826651514116804</v>
      </c>
      <c r="Q6422">
        <v>1.73473290865782</v>
      </c>
      <c r="R6422">
        <v>0.82271685202720402</v>
      </c>
      <c r="S6422">
        <v>128</v>
      </c>
      <c r="T6422">
        <v>45</v>
      </c>
      <c r="U6422">
        <v>258.67115575322401</v>
      </c>
      <c r="V6422">
        <v>3.3486814566764298E-3</v>
      </c>
      <c r="W6422">
        <v>987444.51663553703</v>
      </c>
      <c r="X6422" t="s">
        <v>33</v>
      </c>
      <c r="Y6422">
        <f>1-477-612-4852</f>
        <v>-5940</v>
      </c>
    </row>
    <row r="6423" spans="1:25" x14ac:dyDescent="0.35">
      <c r="A6423">
        <v>36.096189107823598</v>
      </c>
      <c r="B6423">
        <v>-116.92611390492</v>
      </c>
      <c r="C6423" t="s">
        <v>29</v>
      </c>
      <c r="D6423">
        <v>3.18858891420343</v>
      </c>
      <c r="E6423">
        <v>7</v>
      </c>
      <c r="F6423">
        <v>1574</v>
      </c>
      <c r="G6423">
        <v>3</v>
      </c>
      <c r="H6423">
        <v>1</v>
      </c>
      <c r="I6423">
        <v>1999</v>
      </c>
      <c r="J6423">
        <v>1</v>
      </c>
      <c r="K6423">
        <v>0</v>
      </c>
      <c r="L6423">
        <v>1</v>
      </c>
      <c r="M6423">
        <v>14</v>
      </c>
      <c r="N6423" t="s">
        <v>41</v>
      </c>
      <c r="O6423" t="s">
        <v>32</v>
      </c>
      <c r="P6423">
        <v>11.7615199971941</v>
      </c>
      <c r="Q6423">
        <v>0.73707072008845598</v>
      </c>
      <c r="R6423">
        <v>5.3710219134784198</v>
      </c>
      <c r="S6423">
        <v>198</v>
      </c>
      <c r="T6423">
        <v>32</v>
      </c>
      <c r="U6423">
        <v>785.14539237230997</v>
      </c>
      <c r="V6423">
        <v>8.8945362134688604E-3</v>
      </c>
      <c r="W6423">
        <v>1465047.93314804</v>
      </c>
      <c r="X6423" t="s">
        <v>28</v>
      </c>
      <c r="Y6423">
        <f>1-262-852-7904</f>
        <v>-9017</v>
      </c>
    </row>
    <row r="6424" spans="1:25" x14ac:dyDescent="0.35">
      <c r="A6424">
        <v>36.880595443487998</v>
      </c>
      <c r="B6424">
        <v>-114.74805847678201</v>
      </c>
      <c r="C6424" t="s">
        <v>29</v>
      </c>
      <c r="D6424">
        <v>31.098667284922801</v>
      </c>
      <c r="E6424">
        <v>5</v>
      </c>
      <c r="F6424">
        <v>4660</v>
      </c>
      <c r="G6424">
        <v>4</v>
      </c>
      <c r="H6424">
        <v>1</v>
      </c>
      <c r="I6424">
        <v>1987</v>
      </c>
      <c r="J6424">
        <v>0</v>
      </c>
      <c r="K6424">
        <v>1</v>
      </c>
      <c r="L6424">
        <v>1</v>
      </c>
      <c r="M6424">
        <v>2</v>
      </c>
      <c r="N6424" t="s">
        <v>37</v>
      </c>
      <c r="O6424" t="s">
        <v>30</v>
      </c>
      <c r="P6424">
        <v>13.080581010575299</v>
      </c>
      <c r="Q6424">
        <v>0.89530761419183502</v>
      </c>
      <c r="R6424">
        <v>1.7587063964847101</v>
      </c>
      <c r="S6424">
        <v>60</v>
      </c>
      <c r="T6424">
        <v>66</v>
      </c>
      <c r="U6424">
        <v>322.22100123563303</v>
      </c>
      <c r="V6424">
        <v>4.2918454935622299E-4</v>
      </c>
      <c r="W6424">
        <v>1902018.9886912699</v>
      </c>
      <c r="X6424" t="s">
        <v>39</v>
      </c>
      <c r="Y6424">
        <f>1-237-599-2238</f>
        <v>-3073</v>
      </c>
    </row>
    <row r="6425" spans="1:25" x14ac:dyDescent="0.35">
      <c r="A6425">
        <v>40.080340285405597</v>
      </c>
      <c r="B6425">
        <v>-119.688424563474</v>
      </c>
      <c r="C6425" t="s">
        <v>25</v>
      </c>
      <c r="D6425">
        <v>16.1393395363324</v>
      </c>
      <c r="E6425">
        <v>4</v>
      </c>
      <c r="F6425">
        <v>2432</v>
      </c>
      <c r="G6425">
        <v>4</v>
      </c>
      <c r="H6425">
        <v>2</v>
      </c>
      <c r="I6425">
        <v>1979</v>
      </c>
      <c r="J6425">
        <v>0</v>
      </c>
      <c r="K6425">
        <v>1</v>
      </c>
      <c r="L6425">
        <v>1</v>
      </c>
      <c r="M6425">
        <v>12</v>
      </c>
      <c r="N6425" t="s">
        <v>37</v>
      </c>
      <c r="O6425" t="s">
        <v>27</v>
      </c>
      <c r="P6425">
        <v>8.0431620249807008</v>
      </c>
      <c r="Q6425">
        <v>2.4725710775127698</v>
      </c>
      <c r="R6425">
        <v>5.3731933773999501</v>
      </c>
      <c r="S6425">
        <v>50</v>
      </c>
      <c r="T6425">
        <v>20</v>
      </c>
      <c r="U6425">
        <v>669.42381111290899</v>
      </c>
      <c r="V6425">
        <v>4.9342105263157797E-3</v>
      </c>
      <c r="W6425">
        <v>1936834.70859959</v>
      </c>
      <c r="X6425" t="s">
        <v>36</v>
      </c>
      <c r="Y6425">
        <f>1-735-489-6935</f>
        <v>-8158</v>
      </c>
    </row>
    <row r="6426" spans="1:25" x14ac:dyDescent="0.35">
      <c r="A6426">
        <v>37.184643887986397</v>
      </c>
      <c r="B6426">
        <v>-121.975129521057</v>
      </c>
      <c r="C6426" t="s">
        <v>25</v>
      </c>
      <c r="D6426">
        <v>9.5461988066924306</v>
      </c>
      <c r="E6426">
        <v>2</v>
      </c>
      <c r="F6426">
        <v>2155</v>
      </c>
      <c r="G6426">
        <v>5</v>
      </c>
      <c r="H6426">
        <v>3</v>
      </c>
      <c r="I6426">
        <v>1974</v>
      </c>
      <c r="J6426">
        <v>1</v>
      </c>
      <c r="K6426">
        <v>1</v>
      </c>
      <c r="L6426">
        <v>0</v>
      </c>
      <c r="M6426">
        <v>7</v>
      </c>
      <c r="N6426" t="s">
        <v>41</v>
      </c>
      <c r="O6426" t="s">
        <v>27</v>
      </c>
      <c r="P6426">
        <v>13.2520543588336</v>
      </c>
      <c r="Q6426">
        <v>2.36651759008183</v>
      </c>
      <c r="R6426">
        <v>0.50114130974474802</v>
      </c>
      <c r="S6426">
        <v>139</v>
      </c>
      <c r="T6426">
        <v>68</v>
      </c>
      <c r="U6426">
        <v>785.83207651750604</v>
      </c>
      <c r="V6426">
        <v>3.2482598607888602E-3</v>
      </c>
      <c r="W6426">
        <v>2245887.9855979802</v>
      </c>
      <c r="X6426" t="s">
        <v>33</v>
      </c>
      <c r="Y6426">
        <f>1-235-292-8065</f>
        <v>-8591</v>
      </c>
    </row>
    <row r="6427" spans="1:25" x14ac:dyDescent="0.35">
      <c r="A6427">
        <v>41.1484561086722</v>
      </c>
      <c r="B6427">
        <v>-117.70808635965101</v>
      </c>
      <c r="C6427" t="s">
        <v>29</v>
      </c>
      <c r="D6427">
        <v>27.0516910502587</v>
      </c>
      <c r="E6427">
        <v>5</v>
      </c>
      <c r="F6427">
        <v>4324</v>
      </c>
      <c r="G6427">
        <v>4</v>
      </c>
      <c r="H6427">
        <v>2</v>
      </c>
      <c r="I6427">
        <v>2015</v>
      </c>
      <c r="J6427">
        <v>0</v>
      </c>
      <c r="K6427">
        <v>0</v>
      </c>
      <c r="L6427">
        <v>0</v>
      </c>
      <c r="M6427">
        <v>13</v>
      </c>
      <c r="N6427" t="s">
        <v>41</v>
      </c>
      <c r="O6427" t="s">
        <v>30</v>
      </c>
      <c r="P6427">
        <v>10.275528957807399</v>
      </c>
      <c r="Q6427">
        <v>0.69089652185106298</v>
      </c>
      <c r="R6427">
        <v>6.0202052130262</v>
      </c>
      <c r="S6427">
        <v>149</v>
      </c>
      <c r="T6427">
        <v>25</v>
      </c>
      <c r="U6427">
        <v>601.04924824377304</v>
      </c>
      <c r="V6427">
        <v>3.0064754856614201E-3</v>
      </c>
      <c r="W6427">
        <v>2929281.6514277002</v>
      </c>
      <c r="X6427" t="s">
        <v>31</v>
      </c>
      <c r="Y6427">
        <f>1-774-595-3132</f>
        <v>-4500</v>
      </c>
    </row>
    <row r="6428" spans="1:25" x14ac:dyDescent="0.35">
      <c r="A6428">
        <v>38.349964486281998</v>
      </c>
      <c r="B6428">
        <v>-117.846890597251</v>
      </c>
      <c r="C6428" t="s">
        <v>29</v>
      </c>
      <c r="D6428">
        <v>47.301735941043098</v>
      </c>
      <c r="E6428">
        <v>7</v>
      </c>
      <c r="F6428">
        <v>3010</v>
      </c>
      <c r="G6428">
        <v>5</v>
      </c>
      <c r="H6428">
        <v>1</v>
      </c>
      <c r="I6428">
        <v>1952</v>
      </c>
      <c r="J6428">
        <v>0</v>
      </c>
      <c r="K6428">
        <v>1</v>
      </c>
      <c r="L6428">
        <v>1</v>
      </c>
      <c r="M6428">
        <v>13</v>
      </c>
      <c r="N6428" t="s">
        <v>41</v>
      </c>
      <c r="O6428" t="s">
        <v>30</v>
      </c>
      <c r="P6428">
        <v>2.9643372573806901</v>
      </c>
      <c r="Q6428">
        <v>2.2200101020101801</v>
      </c>
      <c r="R6428">
        <v>3.8327105735276299</v>
      </c>
      <c r="S6428">
        <v>189</v>
      </c>
      <c r="T6428">
        <v>57</v>
      </c>
      <c r="U6428">
        <v>244.291627689748</v>
      </c>
      <c r="V6428">
        <v>4.3189368770764104E-3</v>
      </c>
      <c r="W6428">
        <v>1085232.49914675</v>
      </c>
      <c r="X6428" t="s">
        <v>44</v>
      </c>
      <c r="Y6428">
        <f>1-387-381-7324</f>
        <v>-8091</v>
      </c>
    </row>
    <row r="6429" spans="1:25" x14ac:dyDescent="0.35">
      <c r="A6429">
        <v>36.008714220678598</v>
      </c>
      <c r="B6429">
        <v>-119.367985528343</v>
      </c>
      <c r="C6429" t="s">
        <v>34</v>
      </c>
      <c r="D6429">
        <v>28.9702318576945</v>
      </c>
      <c r="E6429">
        <v>1</v>
      </c>
      <c r="F6429">
        <v>3761</v>
      </c>
      <c r="G6429">
        <v>2</v>
      </c>
      <c r="H6429">
        <v>2</v>
      </c>
      <c r="I6429">
        <v>1973</v>
      </c>
      <c r="J6429">
        <v>0</v>
      </c>
      <c r="K6429">
        <v>0</v>
      </c>
      <c r="L6429">
        <v>1</v>
      </c>
      <c r="M6429">
        <v>6</v>
      </c>
      <c r="N6429" t="s">
        <v>37</v>
      </c>
      <c r="O6429" t="s">
        <v>32</v>
      </c>
      <c r="P6429">
        <v>7.6808515256102501</v>
      </c>
      <c r="Q6429">
        <v>2.3163779221718102</v>
      </c>
      <c r="R6429">
        <v>4.0206322013757596</v>
      </c>
      <c r="S6429">
        <v>50</v>
      </c>
      <c r="T6429">
        <v>60</v>
      </c>
      <c r="U6429">
        <v>283.59591432714302</v>
      </c>
      <c r="V6429">
        <v>1.59532039351236E-3</v>
      </c>
      <c r="W6429">
        <v>1237903.0424531801</v>
      </c>
      <c r="X6429" t="s">
        <v>43</v>
      </c>
      <c r="Y6429">
        <f>1-648-724-2601</f>
        <v>-3972</v>
      </c>
    </row>
    <row r="6430" spans="1:25" x14ac:dyDescent="0.35">
      <c r="A6430">
        <v>32.9663282303828</v>
      </c>
      <c r="B6430">
        <v>-114.377087084924</v>
      </c>
      <c r="C6430" t="s">
        <v>25</v>
      </c>
      <c r="D6430">
        <v>39.927337435366702</v>
      </c>
      <c r="E6430">
        <v>7</v>
      </c>
      <c r="F6430">
        <v>1562</v>
      </c>
      <c r="G6430">
        <v>4</v>
      </c>
      <c r="H6430">
        <v>1</v>
      </c>
      <c r="I6430">
        <v>1994</v>
      </c>
      <c r="J6430">
        <v>0</v>
      </c>
      <c r="K6430">
        <v>1</v>
      </c>
      <c r="L6430">
        <v>1</v>
      </c>
      <c r="M6430">
        <v>4</v>
      </c>
      <c r="N6430" t="s">
        <v>37</v>
      </c>
      <c r="O6430" t="s">
        <v>27</v>
      </c>
      <c r="P6430">
        <v>5.3568438924796702</v>
      </c>
      <c r="Q6430">
        <v>1.1355796583325299</v>
      </c>
      <c r="R6430">
        <v>0.951996265392134</v>
      </c>
      <c r="S6430">
        <v>69</v>
      </c>
      <c r="T6430">
        <v>46</v>
      </c>
      <c r="U6430">
        <v>834.13249437938998</v>
      </c>
      <c r="V6430">
        <v>2.5608194622279098E-3</v>
      </c>
      <c r="W6430">
        <v>1648534.1737852099</v>
      </c>
      <c r="X6430" t="s">
        <v>42</v>
      </c>
      <c r="Y6430">
        <f>1-645-648-1846</f>
        <v>-3138</v>
      </c>
    </row>
    <row r="6431" spans="1:25" x14ac:dyDescent="0.35">
      <c r="A6431">
        <v>39.845604654041999</v>
      </c>
      <c r="B6431">
        <v>-116.744191351301</v>
      </c>
      <c r="C6431" t="s">
        <v>29</v>
      </c>
      <c r="D6431">
        <v>19.565034845108901</v>
      </c>
      <c r="E6431">
        <v>8</v>
      </c>
      <c r="F6431">
        <v>2395</v>
      </c>
      <c r="G6431">
        <v>1</v>
      </c>
      <c r="H6431">
        <v>3</v>
      </c>
      <c r="I6431">
        <v>1978</v>
      </c>
      <c r="J6431">
        <v>1</v>
      </c>
      <c r="K6431">
        <v>0</v>
      </c>
      <c r="L6431">
        <v>0</v>
      </c>
      <c r="M6431">
        <v>6</v>
      </c>
      <c r="N6431" t="s">
        <v>37</v>
      </c>
      <c r="O6431" t="s">
        <v>30</v>
      </c>
      <c r="P6431">
        <v>2.4214522182229699</v>
      </c>
      <c r="Q6431">
        <v>0.81313650227144196</v>
      </c>
      <c r="R6431">
        <v>7.2263138344513802</v>
      </c>
      <c r="S6431">
        <v>175</v>
      </c>
      <c r="T6431">
        <v>24</v>
      </c>
      <c r="U6431">
        <v>633.88297237850099</v>
      </c>
      <c r="V6431">
        <v>2.5052192066805801E-3</v>
      </c>
      <c r="W6431">
        <v>1644424.4787767499</v>
      </c>
      <c r="X6431" t="s">
        <v>31</v>
      </c>
      <c r="Y6431">
        <f>1-325-335-6910</f>
        <v>-7569</v>
      </c>
    </row>
    <row r="6432" spans="1:25" x14ac:dyDescent="0.35">
      <c r="A6432">
        <v>36.593693326483901</v>
      </c>
      <c r="B6432">
        <v>-115.40150903892101</v>
      </c>
      <c r="C6432" t="s">
        <v>25</v>
      </c>
      <c r="D6432">
        <v>44.339682088358302</v>
      </c>
      <c r="E6432">
        <v>4</v>
      </c>
      <c r="F6432">
        <v>2731</v>
      </c>
      <c r="G6432">
        <v>4</v>
      </c>
      <c r="H6432">
        <v>3</v>
      </c>
      <c r="I6432">
        <v>2021</v>
      </c>
      <c r="J6432">
        <v>0</v>
      </c>
      <c r="K6432">
        <v>0</v>
      </c>
      <c r="L6432">
        <v>1</v>
      </c>
      <c r="M6432">
        <v>7</v>
      </c>
      <c r="N6432" t="s">
        <v>35</v>
      </c>
      <c r="O6432" t="s">
        <v>30</v>
      </c>
      <c r="P6432">
        <v>5.9605972456190202</v>
      </c>
      <c r="Q6432">
        <v>0.61099171779276595</v>
      </c>
      <c r="R6432">
        <v>8.5269011013721094</v>
      </c>
      <c r="S6432">
        <v>162</v>
      </c>
      <c r="T6432">
        <v>61</v>
      </c>
      <c r="U6432">
        <v>892.35292167754903</v>
      </c>
      <c r="V6432">
        <v>2.5631636763090398E-3</v>
      </c>
      <c r="W6432">
        <v>2763323.9810576299</v>
      </c>
      <c r="X6432" t="s">
        <v>31</v>
      </c>
      <c r="Y6432">
        <f>1-791-629-5080</f>
        <v>-6499</v>
      </c>
    </row>
    <row r="6433" spans="1:25" x14ac:dyDescent="0.35">
      <c r="A6433">
        <v>38.717671067555699</v>
      </c>
      <c r="B6433">
        <v>-116.996422124234</v>
      </c>
      <c r="C6433" t="s">
        <v>25</v>
      </c>
      <c r="D6433">
        <v>25.945589627472899</v>
      </c>
      <c r="E6433">
        <v>4</v>
      </c>
      <c r="F6433">
        <v>1797</v>
      </c>
      <c r="G6433">
        <v>2</v>
      </c>
      <c r="H6433">
        <v>3</v>
      </c>
      <c r="I6433">
        <v>1964</v>
      </c>
      <c r="J6433">
        <v>0</v>
      </c>
      <c r="K6433">
        <v>0</v>
      </c>
      <c r="L6433">
        <v>1</v>
      </c>
      <c r="M6433">
        <v>9</v>
      </c>
      <c r="N6433" t="s">
        <v>37</v>
      </c>
      <c r="O6433" t="s">
        <v>30</v>
      </c>
      <c r="P6433">
        <v>14.304213194511901</v>
      </c>
      <c r="Q6433">
        <v>1.13371802032651</v>
      </c>
      <c r="R6433">
        <v>9.5198575600607196</v>
      </c>
      <c r="S6433">
        <v>16</v>
      </c>
      <c r="T6433">
        <v>53</v>
      </c>
      <c r="U6433">
        <v>692.85313628490906</v>
      </c>
      <c r="V6433">
        <v>5.0083472454090098E-3</v>
      </c>
      <c r="W6433">
        <v>1395970.7760840401</v>
      </c>
      <c r="X6433" t="s">
        <v>42</v>
      </c>
      <c r="Y6433">
        <f>1-603-442-2705</f>
        <v>-3749</v>
      </c>
    </row>
    <row r="6434" spans="1:25" x14ac:dyDescent="0.35">
      <c r="A6434">
        <v>37.445984661586301</v>
      </c>
      <c r="B6434">
        <v>-121.620900709327</v>
      </c>
      <c r="C6434" t="s">
        <v>34</v>
      </c>
      <c r="D6434">
        <v>40.851004041762501</v>
      </c>
      <c r="E6434">
        <v>2</v>
      </c>
      <c r="F6434">
        <v>3234</v>
      </c>
      <c r="G6434">
        <v>4</v>
      </c>
      <c r="H6434">
        <v>3</v>
      </c>
      <c r="I6434">
        <v>2006</v>
      </c>
      <c r="J6434">
        <v>1</v>
      </c>
      <c r="K6434">
        <v>0</v>
      </c>
      <c r="L6434">
        <v>0</v>
      </c>
      <c r="M6434">
        <v>11</v>
      </c>
      <c r="N6434" t="s">
        <v>41</v>
      </c>
      <c r="O6434" t="s">
        <v>32</v>
      </c>
      <c r="P6434">
        <v>14.0838127263091</v>
      </c>
      <c r="Q6434">
        <v>1.3341815282730201</v>
      </c>
      <c r="R6434">
        <v>4.93017516532543</v>
      </c>
      <c r="S6434">
        <v>141</v>
      </c>
      <c r="T6434">
        <v>29</v>
      </c>
      <c r="U6434">
        <v>493.99914499445998</v>
      </c>
      <c r="V6434">
        <v>3.40136054421768E-3</v>
      </c>
      <c r="W6434">
        <v>1981324.82656999</v>
      </c>
      <c r="X6434" t="s">
        <v>31</v>
      </c>
      <c r="Y6434">
        <f>1-203-280-8820</f>
        <v>-9302</v>
      </c>
    </row>
    <row r="6435" spans="1:25" x14ac:dyDescent="0.35">
      <c r="A6435">
        <v>36.296972330802397</v>
      </c>
      <c r="B6435">
        <v>-123.528934972117</v>
      </c>
      <c r="C6435" t="s">
        <v>34</v>
      </c>
      <c r="D6435">
        <v>43.260001079164503</v>
      </c>
      <c r="E6435">
        <v>4</v>
      </c>
      <c r="F6435">
        <v>4871</v>
      </c>
      <c r="G6435">
        <v>3</v>
      </c>
      <c r="H6435">
        <v>3</v>
      </c>
      <c r="I6435">
        <v>2013</v>
      </c>
      <c r="J6435">
        <v>1</v>
      </c>
      <c r="K6435">
        <v>1</v>
      </c>
      <c r="L6435">
        <v>0</v>
      </c>
      <c r="M6435">
        <v>12</v>
      </c>
      <c r="N6435" t="s">
        <v>37</v>
      </c>
      <c r="O6435" t="s">
        <v>27</v>
      </c>
      <c r="P6435">
        <v>3.11745031278855</v>
      </c>
      <c r="Q6435">
        <v>1.4228821202278199</v>
      </c>
      <c r="R6435">
        <v>7.8619635918962096</v>
      </c>
      <c r="S6435">
        <v>85</v>
      </c>
      <c r="T6435">
        <v>42</v>
      </c>
      <c r="U6435">
        <v>952.54880159502102</v>
      </c>
      <c r="V6435">
        <v>2.4635598439745401E-3</v>
      </c>
      <c r="W6435">
        <v>4984380.7095253197</v>
      </c>
      <c r="X6435" t="s">
        <v>44</v>
      </c>
      <c r="Y6435">
        <f>1-287-400-4968</f>
        <v>-5654</v>
      </c>
    </row>
    <row r="6436" spans="1:25" x14ac:dyDescent="0.35">
      <c r="A6436">
        <v>34.348788494601997</v>
      </c>
      <c r="B6436">
        <v>-120.74655063291399</v>
      </c>
      <c r="C6436" t="s">
        <v>34</v>
      </c>
      <c r="D6436">
        <v>42.122339855070699</v>
      </c>
      <c r="E6436">
        <v>8</v>
      </c>
      <c r="F6436">
        <v>4279</v>
      </c>
      <c r="G6436">
        <v>3</v>
      </c>
      <c r="H6436">
        <v>2</v>
      </c>
      <c r="I6436">
        <v>2012</v>
      </c>
      <c r="J6436">
        <v>1</v>
      </c>
      <c r="K6436">
        <v>1</v>
      </c>
      <c r="L6436">
        <v>1</v>
      </c>
      <c r="M6436">
        <v>12</v>
      </c>
      <c r="N6436" t="s">
        <v>41</v>
      </c>
      <c r="O6436" t="s">
        <v>30</v>
      </c>
      <c r="P6436">
        <v>9.6381312231692107</v>
      </c>
      <c r="Q6436">
        <v>1.8722539077707301</v>
      </c>
      <c r="R6436">
        <v>8.9123906185858104</v>
      </c>
      <c r="S6436">
        <v>187</v>
      </c>
      <c r="T6436">
        <v>27</v>
      </c>
      <c r="U6436">
        <v>489.90546249252401</v>
      </c>
      <c r="V6436">
        <v>2.8043935498948298E-3</v>
      </c>
      <c r="W6436">
        <v>2445154.1817818899</v>
      </c>
      <c r="X6436" t="s">
        <v>28</v>
      </c>
      <c r="Y6436">
        <f>1-644-926-9652</f>
        <v>-11221</v>
      </c>
    </row>
    <row r="6437" spans="1:25" x14ac:dyDescent="0.35">
      <c r="A6437">
        <v>38.797133807816699</v>
      </c>
      <c r="B6437">
        <v>-121.463083788551</v>
      </c>
      <c r="C6437" t="s">
        <v>29</v>
      </c>
      <c r="D6437">
        <v>27.6287579666594</v>
      </c>
      <c r="E6437">
        <v>2</v>
      </c>
      <c r="F6437">
        <v>3374</v>
      </c>
      <c r="G6437">
        <v>3</v>
      </c>
      <c r="H6437">
        <v>2</v>
      </c>
      <c r="I6437">
        <v>1952</v>
      </c>
      <c r="J6437">
        <v>1</v>
      </c>
      <c r="K6437">
        <v>0</v>
      </c>
      <c r="L6437">
        <v>1</v>
      </c>
      <c r="M6437">
        <v>7</v>
      </c>
      <c r="N6437" t="s">
        <v>37</v>
      </c>
      <c r="O6437" t="s">
        <v>32</v>
      </c>
      <c r="P6437">
        <v>12.952487954177499</v>
      </c>
      <c r="Q6437">
        <v>0.51949340717784498</v>
      </c>
      <c r="R6437">
        <v>7.3686928289311702</v>
      </c>
      <c r="S6437">
        <v>16</v>
      </c>
      <c r="T6437">
        <v>35</v>
      </c>
      <c r="U6437">
        <v>684.79224817771603</v>
      </c>
      <c r="V6437">
        <v>2.0746887966804901E-3</v>
      </c>
      <c r="W6437">
        <v>2558290.90484619</v>
      </c>
      <c r="X6437" t="s">
        <v>44</v>
      </c>
      <c r="Y6437">
        <f>1-521-798-9554</f>
        <v>-10872</v>
      </c>
    </row>
    <row r="6438" spans="1:25" x14ac:dyDescent="0.35">
      <c r="A6438">
        <v>34.102708562937202</v>
      </c>
      <c r="B6438">
        <v>-122.191666703886</v>
      </c>
      <c r="C6438" t="s">
        <v>25</v>
      </c>
      <c r="D6438">
        <v>44.1541897491878</v>
      </c>
      <c r="E6438">
        <v>3</v>
      </c>
      <c r="F6438">
        <v>1100</v>
      </c>
      <c r="G6438">
        <v>3</v>
      </c>
      <c r="H6438">
        <v>1</v>
      </c>
      <c r="I6438">
        <v>1968</v>
      </c>
      <c r="J6438">
        <v>0</v>
      </c>
      <c r="K6438">
        <v>1</v>
      </c>
      <c r="L6438">
        <v>1</v>
      </c>
      <c r="M6438">
        <v>3</v>
      </c>
      <c r="N6438" t="s">
        <v>37</v>
      </c>
      <c r="O6438" t="s">
        <v>32</v>
      </c>
      <c r="P6438">
        <v>6.3825050899640399</v>
      </c>
      <c r="Q6438">
        <v>2.2928970998218001</v>
      </c>
      <c r="R6438">
        <v>4.1972535623041303</v>
      </c>
      <c r="S6438">
        <v>108</v>
      </c>
      <c r="T6438">
        <v>31</v>
      </c>
      <c r="U6438">
        <v>776.31744723876204</v>
      </c>
      <c r="V6438">
        <v>2.7272727272727201E-3</v>
      </c>
      <c r="W6438">
        <v>1096588.2298691601</v>
      </c>
      <c r="X6438" t="s">
        <v>38</v>
      </c>
      <c r="Y6438">
        <f>1-921-236-9727</f>
        <v>-10883</v>
      </c>
    </row>
    <row r="6439" spans="1:25" x14ac:dyDescent="0.35">
      <c r="A6439">
        <v>38.540432983761598</v>
      </c>
      <c r="B6439">
        <v>-120.669596862112</v>
      </c>
      <c r="C6439" t="s">
        <v>34</v>
      </c>
      <c r="D6439">
        <v>11.6205158253763</v>
      </c>
      <c r="E6439">
        <v>4</v>
      </c>
      <c r="F6439">
        <v>728</v>
      </c>
      <c r="G6439">
        <v>3</v>
      </c>
      <c r="H6439">
        <v>2</v>
      </c>
      <c r="I6439">
        <v>2012</v>
      </c>
      <c r="J6439">
        <v>0</v>
      </c>
      <c r="K6439">
        <v>1</v>
      </c>
      <c r="L6439">
        <v>1</v>
      </c>
      <c r="M6439">
        <v>12</v>
      </c>
      <c r="N6439" t="s">
        <v>26</v>
      </c>
      <c r="O6439" t="s">
        <v>27</v>
      </c>
      <c r="P6439">
        <v>10.3990656128917</v>
      </c>
      <c r="Q6439">
        <v>1.4208204939944999</v>
      </c>
      <c r="R6439">
        <v>2.9226176261944801</v>
      </c>
      <c r="S6439">
        <v>28</v>
      </c>
      <c r="T6439">
        <v>73</v>
      </c>
      <c r="U6439">
        <v>794.74255496127603</v>
      </c>
      <c r="V6439">
        <v>1.6483516483516401E-2</v>
      </c>
      <c r="W6439">
        <v>1082018.9875087901</v>
      </c>
      <c r="X6439" t="s">
        <v>42</v>
      </c>
      <c r="Y6439">
        <f>1-469-949-3987</f>
        <v>-5404</v>
      </c>
    </row>
    <row r="6440" spans="1:25" x14ac:dyDescent="0.35">
      <c r="A6440">
        <v>36.643174138552098</v>
      </c>
      <c r="B6440">
        <v>-121.538347539458</v>
      </c>
      <c r="C6440" t="s">
        <v>29</v>
      </c>
      <c r="D6440">
        <v>39.877883914130202</v>
      </c>
      <c r="E6440">
        <v>5</v>
      </c>
      <c r="F6440">
        <v>4054</v>
      </c>
      <c r="G6440">
        <v>1</v>
      </c>
      <c r="H6440">
        <v>1</v>
      </c>
      <c r="I6440">
        <v>1977</v>
      </c>
      <c r="J6440">
        <v>1</v>
      </c>
      <c r="K6440">
        <v>1</v>
      </c>
      <c r="L6440">
        <v>0</v>
      </c>
      <c r="M6440">
        <v>13</v>
      </c>
      <c r="N6440" t="s">
        <v>41</v>
      </c>
      <c r="O6440" t="s">
        <v>32</v>
      </c>
      <c r="P6440">
        <v>6.16730468848111</v>
      </c>
      <c r="Q6440">
        <v>1.87651306717702</v>
      </c>
      <c r="R6440">
        <v>2.9239435833649798</v>
      </c>
      <c r="S6440">
        <v>172</v>
      </c>
      <c r="T6440">
        <v>58</v>
      </c>
      <c r="U6440">
        <v>590.95960961744902</v>
      </c>
      <c r="V6440">
        <v>3.2067094227923002E-3</v>
      </c>
      <c r="W6440">
        <v>2584241.8251458998</v>
      </c>
      <c r="X6440" t="s">
        <v>33</v>
      </c>
      <c r="Y6440">
        <f>1-650-365-5440</f>
        <v>-6454</v>
      </c>
    </row>
    <row r="6441" spans="1:25" x14ac:dyDescent="0.35">
      <c r="A6441">
        <v>33.971446700939097</v>
      </c>
      <c r="B6441">
        <v>-118.49181932344101</v>
      </c>
      <c r="C6441" t="s">
        <v>25</v>
      </c>
      <c r="D6441">
        <v>15.916631289527</v>
      </c>
      <c r="E6441">
        <v>9</v>
      </c>
      <c r="F6441">
        <v>4564</v>
      </c>
      <c r="G6441">
        <v>5</v>
      </c>
      <c r="H6441">
        <v>3</v>
      </c>
      <c r="I6441">
        <v>2021</v>
      </c>
      <c r="J6441">
        <v>1</v>
      </c>
      <c r="K6441">
        <v>1</v>
      </c>
      <c r="L6441">
        <v>1</v>
      </c>
      <c r="M6441">
        <v>4</v>
      </c>
      <c r="N6441" t="s">
        <v>37</v>
      </c>
      <c r="O6441" t="s">
        <v>32</v>
      </c>
      <c r="P6441">
        <v>12.1905255983812</v>
      </c>
      <c r="Q6441">
        <v>0.71863028577108901</v>
      </c>
      <c r="R6441">
        <v>9.44435745483975</v>
      </c>
      <c r="S6441">
        <v>77</v>
      </c>
      <c r="T6441">
        <v>49</v>
      </c>
      <c r="U6441">
        <v>572.198646156466</v>
      </c>
      <c r="V6441">
        <v>8.7642418930762404E-4</v>
      </c>
      <c r="W6441">
        <v>3202155.2750330502</v>
      </c>
      <c r="X6441" t="s">
        <v>42</v>
      </c>
      <c r="Y6441">
        <f>1-878-306-4301</f>
        <v>-5484</v>
      </c>
    </row>
    <row r="6442" spans="1:25" x14ac:dyDescent="0.35">
      <c r="A6442">
        <v>38.9872555706621</v>
      </c>
      <c r="B6442">
        <v>-121.62925036966401</v>
      </c>
      <c r="C6442" t="s">
        <v>25</v>
      </c>
      <c r="D6442">
        <v>43.226322153727601</v>
      </c>
      <c r="E6442">
        <v>9</v>
      </c>
      <c r="F6442">
        <v>2242</v>
      </c>
      <c r="G6442">
        <v>3</v>
      </c>
      <c r="H6442">
        <v>1</v>
      </c>
      <c r="I6442">
        <v>2014</v>
      </c>
      <c r="J6442">
        <v>1</v>
      </c>
      <c r="K6442">
        <v>1</v>
      </c>
      <c r="L6442">
        <v>1</v>
      </c>
      <c r="M6442">
        <v>14</v>
      </c>
      <c r="N6442" t="s">
        <v>41</v>
      </c>
      <c r="O6442" t="s">
        <v>32</v>
      </c>
      <c r="P6442">
        <v>4.7659079184023003</v>
      </c>
      <c r="Q6442">
        <v>2.4163244216295099</v>
      </c>
      <c r="R6442">
        <v>1.15409628322159</v>
      </c>
      <c r="S6442">
        <v>49</v>
      </c>
      <c r="T6442">
        <v>62</v>
      </c>
      <c r="U6442">
        <v>967.13785079533</v>
      </c>
      <c r="V6442">
        <v>6.2444246208742098E-3</v>
      </c>
      <c r="W6442">
        <v>2514814.30530268</v>
      </c>
      <c r="X6442" t="s">
        <v>31</v>
      </c>
      <c r="Y6442">
        <f>1-638-322-1820</f>
        <v>-2779</v>
      </c>
    </row>
    <row r="6443" spans="1:25" x14ac:dyDescent="0.35">
      <c r="A6443">
        <v>35.414917958288598</v>
      </c>
      <c r="B6443">
        <v>-116.386728269467</v>
      </c>
      <c r="C6443" t="s">
        <v>25</v>
      </c>
      <c r="D6443">
        <v>12.970231253363099</v>
      </c>
      <c r="E6443">
        <v>9</v>
      </c>
      <c r="F6443">
        <v>1098</v>
      </c>
      <c r="G6443">
        <v>5</v>
      </c>
      <c r="H6443">
        <v>1</v>
      </c>
      <c r="I6443">
        <v>1984</v>
      </c>
      <c r="J6443">
        <v>0</v>
      </c>
      <c r="K6443">
        <v>1</v>
      </c>
      <c r="L6443">
        <v>1</v>
      </c>
      <c r="M6443">
        <v>10</v>
      </c>
      <c r="N6443" t="s">
        <v>37</v>
      </c>
      <c r="O6443" t="s">
        <v>30</v>
      </c>
      <c r="P6443">
        <v>9.5293559400661199</v>
      </c>
      <c r="Q6443">
        <v>1.0916354244486299</v>
      </c>
      <c r="R6443">
        <v>5.8180456836235299</v>
      </c>
      <c r="S6443">
        <v>159</v>
      </c>
      <c r="T6443">
        <v>35</v>
      </c>
      <c r="U6443">
        <v>462.854972153137</v>
      </c>
      <c r="V6443">
        <v>9.1074681238615604E-3</v>
      </c>
      <c r="W6443">
        <v>949690.22288405499</v>
      </c>
      <c r="X6443" t="s">
        <v>42</v>
      </c>
      <c r="Y6443">
        <f>1-921-332-9291</f>
        <v>-10543</v>
      </c>
    </row>
    <row r="6444" spans="1:25" x14ac:dyDescent="0.35">
      <c r="A6444">
        <v>32.531053032393302</v>
      </c>
      <c r="B6444">
        <v>-117.128105980474</v>
      </c>
      <c r="C6444" t="s">
        <v>29</v>
      </c>
      <c r="D6444">
        <v>25.249526532797098</v>
      </c>
      <c r="E6444">
        <v>9</v>
      </c>
      <c r="F6444">
        <v>2301</v>
      </c>
      <c r="G6444">
        <v>1</v>
      </c>
      <c r="H6444">
        <v>3</v>
      </c>
      <c r="I6444">
        <v>1982</v>
      </c>
      <c r="J6444">
        <v>0</v>
      </c>
      <c r="K6444">
        <v>1</v>
      </c>
      <c r="L6444">
        <v>1</v>
      </c>
      <c r="M6444">
        <v>11</v>
      </c>
      <c r="N6444" t="s">
        <v>35</v>
      </c>
      <c r="O6444" t="s">
        <v>32</v>
      </c>
      <c r="P6444">
        <v>7.6073757485844604</v>
      </c>
      <c r="Q6444">
        <v>1.9839164474420401</v>
      </c>
      <c r="R6444">
        <v>9.1499079769668707</v>
      </c>
      <c r="S6444">
        <v>162</v>
      </c>
      <c r="T6444">
        <v>26</v>
      </c>
      <c r="U6444">
        <v>392.59993763798599</v>
      </c>
      <c r="V6444">
        <v>4.7805302042590097E-3</v>
      </c>
      <c r="W6444">
        <v>1122472.4162699</v>
      </c>
      <c r="X6444" t="s">
        <v>31</v>
      </c>
      <c r="Y6444">
        <f>1-917-342-6797</f>
        <v>-8055</v>
      </c>
    </row>
    <row r="6445" spans="1:25" x14ac:dyDescent="0.35">
      <c r="A6445">
        <v>38.039809167404002</v>
      </c>
      <c r="B6445">
        <v>-114.781340427478</v>
      </c>
      <c r="C6445" t="s">
        <v>34</v>
      </c>
      <c r="D6445">
        <v>4.6002827930307904</v>
      </c>
      <c r="E6445">
        <v>3</v>
      </c>
      <c r="F6445">
        <v>1725</v>
      </c>
      <c r="G6445">
        <v>5</v>
      </c>
      <c r="H6445">
        <v>3</v>
      </c>
      <c r="I6445">
        <v>2013</v>
      </c>
      <c r="J6445">
        <v>1</v>
      </c>
      <c r="K6445">
        <v>0</v>
      </c>
      <c r="L6445">
        <v>0</v>
      </c>
      <c r="M6445">
        <v>14</v>
      </c>
      <c r="N6445" t="s">
        <v>41</v>
      </c>
      <c r="O6445" t="s">
        <v>27</v>
      </c>
      <c r="P6445">
        <v>5.3710236306936903</v>
      </c>
      <c r="Q6445">
        <v>1.1849401086928699</v>
      </c>
      <c r="R6445">
        <v>5.5284671587952303</v>
      </c>
      <c r="S6445">
        <v>47</v>
      </c>
      <c r="T6445">
        <v>38</v>
      </c>
      <c r="U6445">
        <v>591.42202986038797</v>
      </c>
      <c r="V6445">
        <v>8.1159420289855008E-3</v>
      </c>
      <c r="W6445">
        <v>1452195.8435701099</v>
      </c>
      <c r="X6445" t="s">
        <v>28</v>
      </c>
      <c r="Y6445">
        <f>1-734-430-6985</f>
        <v>-8148</v>
      </c>
    </row>
    <row r="6446" spans="1:25" x14ac:dyDescent="0.35">
      <c r="A6446">
        <v>34.857789821776699</v>
      </c>
      <c r="B6446">
        <v>-118.408818885665</v>
      </c>
      <c r="C6446" t="s">
        <v>29</v>
      </c>
      <c r="D6446">
        <v>30.797177004686102</v>
      </c>
      <c r="E6446">
        <v>6</v>
      </c>
      <c r="F6446">
        <v>2924</v>
      </c>
      <c r="G6446">
        <v>1</v>
      </c>
      <c r="H6446">
        <v>2</v>
      </c>
      <c r="I6446">
        <v>1971</v>
      </c>
      <c r="J6446">
        <v>1</v>
      </c>
      <c r="K6446">
        <v>0</v>
      </c>
      <c r="L6446">
        <v>1</v>
      </c>
      <c r="M6446">
        <v>2</v>
      </c>
      <c r="N6446" t="s">
        <v>35</v>
      </c>
      <c r="O6446" t="s">
        <v>27</v>
      </c>
      <c r="P6446">
        <v>7.6148738442762403</v>
      </c>
      <c r="Q6446">
        <v>1.1079893334939099</v>
      </c>
      <c r="R6446">
        <v>7.7369680482656999</v>
      </c>
      <c r="S6446">
        <v>112</v>
      </c>
      <c r="T6446">
        <v>67</v>
      </c>
      <c r="U6446">
        <v>824.92664339829605</v>
      </c>
      <c r="V6446">
        <v>6.8399452804377499E-4</v>
      </c>
      <c r="W6446">
        <v>2519228.2182019302</v>
      </c>
      <c r="X6446" t="s">
        <v>36</v>
      </c>
      <c r="Y6446">
        <f>1-664-218-5829</f>
        <v>-6710</v>
      </c>
    </row>
    <row r="6447" spans="1:25" x14ac:dyDescent="0.35">
      <c r="A6447">
        <v>40.698009992543099</v>
      </c>
      <c r="B6447">
        <v>-124.42549994282599</v>
      </c>
      <c r="C6447" t="s">
        <v>34</v>
      </c>
      <c r="D6447">
        <v>43.540782433825598</v>
      </c>
      <c r="E6447">
        <v>4</v>
      </c>
      <c r="F6447">
        <v>3965</v>
      </c>
      <c r="G6447">
        <v>4</v>
      </c>
      <c r="H6447">
        <v>1</v>
      </c>
      <c r="I6447">
        <v>1956</v>
      </c>
      <c r="J6447">
        <v>0</v>
      </c>
      <c r="K6447">
        <v>1</v>
      </c>
      <c r="L6447">
        <v>0</v>
      </c>
      <c r="M6447">
        <v>4</v>
      </c>
      <c r="N6447" t="s">
        <v>26</v>
      </c>
      <c r="O6447" t="s">
        <v>27</v>
      </c>
      <c r="P6447">
        <v>5.7423512987073702</v>
      </c>
      <c r="Q6447">
        <v>0.65427718543471103</v>
      </c>
      <c r="R6447">
        <v>3.80692357928003</v>
      </c>
      <c r="S6447">
        <v>114</v>
      </c>
      <c r="T6447">
        <v>45</v>
      </c>
      <c r="U6447">
        <v>327.806925003299</v>
      </c>
      <c r="V6447">
        <v>1.0088272383354301E-3</v>
      </c>
      <c r="W6447">
        <v>1553202.78235077</v>
      </c>
      <c r="X6447" t="s">
        <v>38</v>
      </c>
      <c r="Y6447">
        <f>1-619-132-1885</f>
        <v>-2635</v>
      </c>
    </row>
    <row r="6448" spans="1:25" x14ac:dyDescent="0.35">
      <c r="A6448">
        <v>41.230978229459303</v>
      </c>
      <c r="B6448">
        <v>-124.499828435335</v>
      </c>
      <c r="C6448" t="s">
        <v>34</v>
      </c>
      <c r="D6448">
        <v>40.434580672634397</v>
      </c>
      <c r="E6448">
        <v>4</v>
      </c>
      <c r="F6448">
        <v>3455</v>
      </c>
      <c r="G6448">
        <v>1</v>
      </c>
      <c r="H6448">
        <v>1</v>
      </c>
      <c r="I6448">
        <v>1984</v>
      </c>
      <c r="J6448">
        <v>1</v>
      </c>
      <c r="K6448">
        <v>0</v>
      </c>
      <c r="L6448">
        <v>1</v>
      </c>
      <c r="M6448">
        <v>12</v>
      </c>
      <c r="N6448" t="s">
        <v>41</v>
      </c>
      <c r="O6448" t="s">
        <v>32</v>
      </c>
      <c r="P6448">
        <v>12.0525196267838</v>
      </c>
      <c r="Q6448">
        <v>1.1801475962800501</v>
      </c>
      <c r="R6448">
        <v>9.7725115354008292</v>
      </c>
      <c r="S6448">
        <v>40</v>
      </c>
      <c r="T6448">
        <v>35</v>
      </c>
      <c r="U6448">
        <v>484.08014125603103</v>
      </c>
      <c r="V6448">
        <v>3.4732272069464502E-3</v>
      </c>
      <c r="W6448">
        <v>1952731.4394799499</v>
      </c>
      <c r="X6448" t="s">
        <v>31</v>
      </c>
      <c r="Y6448">
        <f>1-944-587-7265</f>
        <v>-8795</v>
      </c>
    </row>
    <row r="6449" spans="1:25" x14ac:dyDescent="0.35">
      <c r="A6449">
        <v>41.718528181010299</v>
      </c>
      <c r="B6449">
        <v>-122.119605142043</v>
      </c>
      <c r="C6449" t="s">
        <v>34</v>
      </c>
      <c r="D6449">
        <v>38.195100684948997</v>
      </c>
      <c r="E6449">
        <v>9</v>
      </c>
      <c r="F6449">
        <v>3793</v>
      </c>
      <c r="G6449">
        <v>1</v>
      </c>
      <c r="H6449">
        <v>2</v>
      </c>
      <c r="I6449">
        <v>2000</v>
      </c>
      <c r="J6449">
        <v>1</v>
      </c>
      <c r="K6449">
        <v>1</v>
      </c>
      <c r="L6449">
        <v>1</v>
      </c>
      <c r="M6449">
        <v>4</v>
      </c>
      <c r="N6449" t="s">
        <v>41</v>
      </c>
      <c r="O6449" t="s">
        <v>32</v>
      </c>
      <c r="P6449">
        <v>5.5235729608680399</v>
      </c>
      <c r="Q6449">
        <v>1.0402072022281399</v>
      </c>
      <c r="R6449">
        <v>5.73352751306596</v>
      </c>
      <c r="S6449">
        <v>112</v>
      </c>
      <c r="T6449">
        <v>29</v>
      </c>
      <c r="U6449">
        <v>792.65256421491802</v>
      </c>
      <c r="V6449">
        <v>1.05457421566042E-3</v>
      </c>
      <c r="W6449">
        <v>3335646.9840764599</v>
      </c>
      <c r="X6449" t="s">
        <v>39</v>
      </c>
      <c r="Y6449">
        <f>1-414-137-4474</f>
        <v>-5024</v>
      </c>
    </row>
    <row r="6450" spans="1:25" x14ac:dyDescent="0.35">
      <c r="A6450">
        <v>41.796638988785404</v>
      </c>
      <c r="B6450">
        <v>-121.78085843235201</v>
      </c>
      <c r="C6450" t="s">
        <v>25</v>
      </c>
      <c r="D6450">
        <v>36.531612287594697</v>
      </c>
      <c r="E6450">
        <v>6</v>
      </c>
      <c r="F6450">
        <v>2304</v>
      </c>
      <c r="G6450">
        <v>1</v>
      </c>
      <c r="H6450">
        <v>3</v>
      </c>
      <c r="I6450">
        <v>1965</v>
      </c>
      <c r="J6450">
        <v>0</v>
      </c>
      <c r="K6450">
        <v>0</v>
      </c>
      <c r="L6450">
        <v>1</v>
      </c>
      <c r="M6450">
        <v>9</v>
      </c>
      <c r="N6450" t="s">
        <v>37</v>
      </c>
      <c r="O6450" t="s">
        <v>32</v>
      </c>
      <c r="P6450">
        <v>11.501842767951601</v>
      </c>
      <c r="Q6450">
        <v>1.23191396602676</v>
      </c>
      <c r="R6450">
        <v>3.1850026847501001</v>
      </c>
      <c r="S6450">
        <v>50</v>
      </c>
      <c r="T6450">
        <v>35</v>
      </c>
      <c r="U6450">
        <v>324.767183613128</v>
      </c>
      <c r="V6450">
        <v>3.90625E-3</v>
      </c>
      <c r="W6450">
        <v>1014940.49872949</v>
      </c>
      <c r="X6450" t="s">
        <v>36</v>
      </c>
      <c r="Y6450">
        <f>1-935-781-9596</f>
        <v>-11311</v>
      </c>
    </row>
    <row r="6451" spans="1:25" x14ac:dyDescent="0.35">
      <c r="A6451">
        <v>37.302538633121998</v>
      </c>
      <c r="B6451">
        <v>-122.350507325845</v>
      </c>
      <c r="C6451" t="s">
        <v>25</v>
      </c>
      <c r="D6451">
        <v>5.5470904097512701</v>
      </c>
      <c r="E6451">
        <v>4</v>
      </c>
      <c r="F6451">
        <v>4678</v>
      </c>
      <c r="G6451">
        <v>3</v>
      </c>
      <c r="H6451">
        <v>1</v>
      </c>
      <c r="I6451">
        <v>1996</v>
      </c>
      <c r="J6451">
        <v>1</v>
      </c>
      <c r="K6451">
        <v>1</v>
      </c>
      <c r="L6451">
        <v>0</v>
      </c>
      <c r="M6451">
        <v>12</v>
      </c>
      <c r="N6451" t="s">
        <v>26</v>
      </c>
      <c r="O6451" t="s">
        <v>32</v>
      </c>
      <c r="P6451">
        <v>8.0938972958030906</v>
      </c>
      <c r="Q6451">
        <v>0.76997130650535295</v>
      </c>
      <c r="R6451">
        <v>3.7982930890118101</v>
      </c>
      <c r="S6451">
        <v>86</v>
      </c>
      <c r="T6451">
        <v>78</v>
      </c>
      <c r="U6451">
        <v>207.541686699504</v>
      </c>
      <c r="V6451">
        <v>2.5651988029072202E-3</v>
      </c>
      <c r="W6451">
        <v>1308568.4230579201</v>
      </c>
      <c r="X6451" t="s">
        <v>40</v>
      </c>
      <c r="Y6451">
        <f>1-644-685-4249</f>
        <v>-5577</v>
      </c>
    </row>
    <row r="6452" spans="1:25" x14ac:dyDescent="0.35">
      <c r="A6452">
        <v>35.745072286606401</v>
      </c>
      <c r="B6452">
        <v>-117.64708987831099</v>
      </c>
      <c r="C6452" t="s">
        <v>25</v>
      </c>
      <c r="D6452">
        <v>22.078637333141199</v>
      </c>
      <c r="E6452">
        <v>8</v>
      </c>
      <c r="F6452">
        <v>3470</v>
      </c>
      <c r="G6452">
        <v>1</v>
      </c>
      <c r="H6452">
        <v>3</v>
      </c>
      <c r="I6452">
        <v>2008</v>
      </c>
      <c r="J6452">
        <v>0</v>
      </c>
      <c r="K6452">
        <v>1</v>
      </c>
      <c r="L6452">
        <v>0</v>
      </c>
      <c r="M6452">
        <v>10</v>
      </c>
      <c r="N6452" t="s">
        <v>26</v>
      </c>
      <c r="O6452" t="s">
        <v>32</v>
      </c>
      <c r="P6452">
        <v>6.5096057036209896</v>
      </c>
      <c r="Q6452">
        <v>1.5240007189451701</v>
      </c>
      <c r="R6452">
        <v>3.7171953588584201</v>
      </c>
      <c r="S6452">
        <v>32</v>
      </c>
      <c r="T6452">
        <v>73</v>
      </c>
      <c r="U6452">
        <v>587.17976666841696</v>
      </c>
      <c r="V6452">
        <v>2.8818443804034498E-3</v>
      </c>
      <c r="W6452">
        <v>2283844.70834886</v>
      </c>
      <c r="X6452" t="s">
        <v>28</v>
      </c>
      <c r="Y6452">
        <f>1-706-833-5688</f>
        <v>-7226</v>
      </c>
    </row>
    <row r="6453" spans="1:25" x14ac:dyDescent="0.35">
      <c r="A6453">
        <v>38.390257886354298</v>
      </c>
      <c r="B6453">
        <v>-114.444016894209</v>
      </c>
      <c r="C6453" t="s">
        <v>25</v>
      </c>
      <c r="D6453">
        <v>8.0511768605867893</v>
      </c>
      <c r="E6453">
        <v>2</v>
      </c>
      <c r="F6453">
        <v>2582</v>
      </c>
      <c r="G6453">
        <v>2</v>
      </c>
      <c r="H6453">
        <v>2</v>
      </c>
      <c r="I6453">
        <v>1966</v>
      </c>
      <c r="J6453">
        <v>1</v>
      </c>
      <c r="K6453">
        <v>0</v>
      </c>
      <c r="L6453">
        <v>1</v>
      </c>
      <c r="M6453">
        <v>3</v>
      </c>
      <c r="N6453" t="s">
        <v>41</v>
      </c>
      <c r="O6453" t="s">
        <v>27</v>
      </c>
      <c r="P6453">
        <v>8.9752335594193209</v>
      </c>
      <c r="Q6453">
        <v>0.99447662555710203</v>
      </c>
      <c r="R6453">
        <v>1.9005805728545799</v>
      </c>
      <c r="S6453">
        <v>107</v>
      </c>
      <c r="T6453">
        <v>74</v>
      </c>
      <c r="U6453">
        <v>558.53170347801597</v>
      </c>
      <c r="V6453">
        <v>1.16189000774593E-3</v>
      </c>
      <c r="W6453">
        <v>1704509.24319094</v>
      </c>
      <c r="X6453" t="s">
        <v>31</v>
      </c>
      <c r="Y6453">
        <f>1-529-182-3149</f>
        <v>-3859</v>
      </c>
    </row>
    <row r="6454" spans="1:25" x14ac:dyDescent="0.35">
      <c r="A6454">
        <v>33.408487135462003</v>
      </c>
      <c r="B6454">
        <v>-118.103369584654</v>
      </c>
      <c r="C6454" t="s">
        <v>25</v>
      </c>
      <c r="D6454">
        <v>45.147072440022498</v>
      </c>
      <c r="E6454">
        <v>3</v>
      </c>
      <c r="F6454">
        <v>590</v>
      </c>
      <c r="G6454">
        <v>4</v>
      </c>
      <c r="H6454">
        <v>3</v>
      </c>
      <c r="I6454">
        <v>2005</v>
      </c>
      <c r="J6454">
        <v>1</v>
      </c>
      <c r="K6454">
        <v>0</v>
      </c>
      <c r="L6454">
        <v>1</v>
      </c>
      <c r="M6454">
        <v>11</v>
      </c>
      <c r="N6454" t="s">
        <v>35</v>
      </c>
      <c r="O6454" t="s">
        <v>27</v>
      </c>
      <c r="P6454">
        <v>3.6690874215037401</v>
      </c>
      <c r="Q6454">
        <v>1.28671625756835</v>
      </c>
      <c r="R6454">
        <v>8.5306883193896095</v>
      </c>
      <c r="S6454">
        <v>104</v>
      </c>
      <c r="T6454">
        <v>47</v>
      </c>
      <c r="U6454">
        <v>750.57691484275699</v>
      </c>
      <c r="V6454">
        <v>1.8644067796610101E-2</v>
      </c>
      <c r="W6454">
        <v>734398.57535180997</v>
      </c>
      <c r="X6454" t="s">
        <v>44</v>
      </c>
      <c r="Y6454">
        <f>1-524-567-3594</f>
        <v>-4684</v>
      </c>
    </row>
    <row r="6455" spans="1:25" x14ac:dyDescent="0.35">
      <c r="A6455">
        <v>38.039576645256197</v>
      </c>
      <c r="B6455">
        <v>-120.881916992534</v>
      </c>
      <c r="C6455" t="s">
        <v>29</v>
      </c>
      <c r="D6455">
        <v>27.406067458743401</v>
      </c>
      <c r="E6455">
        <v>6</v>
      </c>
      <c r="F6455">
        <v>671</v>
      </c>
      <c r="G6455">
        <v>5</v>
      </c>
      <c r="H6455">
        <v>1</v>
      </c>
      <c r="I6455">
        <v>1956</v>
      </c>
      <c r="J6455">
        <v>1</v>
      </c>
      <c r="K6455">
        <v>1</v>
      </c>
      <c r="L6455">
        <v>0</v>
      </c>
      <c r="M6455">
        <v>12</v>
      </c>
      <c r="N6455" t="s">
        <v>41</v>
      </c>
      <c r="O6455" t="s">
        <v>27</v>
      </c>
      <c r="P6455">
        <v>4.9378385850972899</v>
      </c>
      <c r="Q6455">
        <v>0.75659726305180497</v>
      </c>
      <c r="R6455">
        <v>3.4683248535195998</v>
      </c>
      <c r="S6455">
        <v>196</v>
      </c>
      <c r="T6455">
        <v>30</v>
      </c>
      <c r="U6455">
        <v>224.8388304998</v>
      </c>
      <c r="V6455">
        <v>1.7883755588673601E-2</v>
      </c>
      <c r="W6455">
        <v>478402.34802183002</v>
      </c>
      <c r="X6455" t="s">
        <v>40</v>
      </c>
      <c r="Y6455">
        <f>1-756-965-7164</f>
        <v>-8884</v>
      </c>
    </row>
    <row r="6456" spans="1:25" x14ac:dyDescent="0.35">
      <c r="A6456">
        <v>40.737158390673599</v>
      </c>
      <c r="B6456">
        <v>-120.058275373828</v>
      </c>
      <c r="C6456" t="s">
        <v>29</v>
      </c>
      <c r="D6456">
        <v>43.125498828904199</v>
      </c>
      <c r="E6456">
        <v>6</v>
      </c>
      <c r="F6456">
        <v>2227</v>
      </c>
      <c r="G6456">
        <v>5</v>
      </c>
      <c r="H6456">
        <v>1</v>
      </c>
      <c r="I6456">
        <v>2007</v>
      </c>
      <c r="J6456">
        <v>0</v>
      </c>
      <c r="K6456">
        <v>0</v>
      </c>
      <c r="L6456">
        <v>0</v>
      </c>
      <c r="M6456">
        <v>14</v>
      </c>
      <c r="N6456" t="s">
        <v>37</v>
      </c>
      <c r="O6456" t="s">
        <v>30</v>
      </c>
      <c r="P6456">
        <v>10.5900135213934</v>
      </c>
      <c r="Q6456">
        <v>2.3362084716656502</v>
      </c>
      <c r="R6456">
        <v>6.44121972178728</v>
      </c>
      <c r="S6456">
        <v>14</v>
      </c>
      <c r="T6456">
        <v>64</v>
      </c>
      <c r="U6456">
        <v>545.77008222621396</v>
      </c>
      <c r="V6456">
        <v>6.2864840592725601E-3</v>
      </c>
      <c r="W6456">
        <v>1625095.46319394</v>
      </c>
      <c r="X6456" t="s">
        <v>44</v>
      </c>
      <c r="Y6456">
        <f>1-947-753-1611</f>
        <v>-3310</v>
      </c>
    </row>
    <row r="6457" spans="1:25" x14ac:dyDescent="0.35">
      <c r="A6457">
        <v>41.950833955253501</v>
      </c>
      <c r="B6457">
        <v>-122.133438886253</v>
      </c>
      <c r="C6457" t="s">
        <v>29</v>
      </c>
      <c r="D6457">
        <v>20.720638385231702</v>
      </c>
      <c r="E6457">
        <v>0</v>
      </c>
      <c r="F6457">
        <v>3458</v>
      </c>
      <c r="G6457">
        <v>1</v>
      </c>
      <c r="H6457">
        <v>1</v>
      </c>
      <c r="I6457">
        <v>1951</v>
      </c>
      <c r="J6457">
        <v>1</v>
      </c>
      <c r="K6457">
        <v>1</v>
      </c>
      <c r="L6457">
        <v>1</v>
      </c>
      <c r="M6457">
        <v>14</v>
      </c>
      <c r="N6457" t="s">
        <v>37</v>
      </c>
      <c r="O6457" t="s">
        <v>32</v>
      </c>
      <c r="P6457">
        <v>13.2800514913905</v>
      </c>
      <c r="Q6457">
        <v>0.73984949917266696</v>
      </c>
      <c r="R6457">
        <v>2.8036030173374802</v>
      </c>
      <c r="S6457">
        <v>103</v>
      </c>
      <c r="T6457">
        <v>72</v>
      </c>
      <c r="U6457">
        <v>347.663834540322</v>
      </c>
      <c r="V6457">
        <v>4.0485829959514101E-3</v>
      </c>
      <c r="W6457">
        <v>1396173.46414355</v>
      </c>
      <c r="X6457" t="s">
        <v>44</v>
      </c>
      <c r="Y6457">
        <f>1-872-837-8683</f>
        <v>-10391</v>
      </c>
    </row>
    <row r="6458" spans="1:25" x14ac:dyDescent="0.35">
      <c r="A6458">
        <v>36.004878311097997</v>
      </c>
      <c r="B6458">
        <v>-120.928472030412</v>
      </c>
      <c r="C6458" t="s">
        <v>25</v>
      </c>
      <c r="D6458">
        <v>15.7665289852419</v>
      </c>
      <c r="E6458">
        <v>3</v>
      </c>
      <c r="F6458">
        <v>3613</v>
      </c>
      <c r="G6458">
        <v>2</v>
      </c>
      <c r="H6458">
        <v>2</v>
      </c>
      <c r="I6458">
        <v>2014</v>
      </c>
      <c r="J6458">
        <v>0</v>
      </c>
      <c r="K6458">
        <v>0</v>
      </c>
      <c r="L6458">
        <v>0</v>
      </c>
      <c r="M6458">
        <v>2</v>
      </c>
      <c r="N6458" t="s">
        <v>37</v>
      </c>
      <c r="O6458" t="s">
        <v>32</v>
      </c>
      <c r="P6458">
        <v>11.929813594214</v>
      </c>
      <c r="Q6458">
        <v>2.3108101753727701</v>
      </c>
      <c r="R6458">
        <v>4.87327308601947</v>
      </c>
      <c r="S6458">
        <v>6</v>
      </c>
      <c r="T6458">
        <v>42</v>
      </c>
      <c r="U6458">
        <v>371.27008616197298</v>
      </c>
      <c r="V6458">
        <v>5.5355660116246797E-4</v>
      </c>
      <c r="W6458">
        <v>1559507.1654083501</v>
      </c>
      <c r="X6458" t="s">
        <v>31</v>
      </c>
      <c r="Y6458">
        <f>1-704-665-9405</f>
        <v>-10773</v>
      </c>
    </row>
    <row r="6459" spans="1:25" x14ac:dyDescent="0.35">
      <c r="A6459">
        <v>38.119264398441899</v>
      </c>
      <c r="B6459">
        <v>-114.029264880127</v>
      </c>
      <c r="C6459" t="s">
        <v>25</v>
      </c>
      <c r="D6459">
        <v>25.2618538597217</v>
      </c>
      <c r="E6459">
        <v>4</v>
      </c>
      <c r="F6459">
        <v>3826</v>
      </c>
      <c r="G6459">
        <v>3</v>
      </c>
      <c r="H6459">
        <v>3</v>
      </c>
      <c r="I6459">
        <v>1958</v>
      </c>
      <c r="J6459">
        <v>0</v>
      </c>
      <c r="K6459">
        <v>0</v>
      </c>
      <c r="L6459">
        <v>0</v>
      </c>
      <c r="M6459">
        <v>13</v>
      </c>
      <c r="N6459" t="s">
        <v>37</v>
      </c>
      <c r="O6459" t="s">
        <v>30</v>
      </c>
      <c r="P6459">
        <v>3.2886267205901398</v>
      </c>
      <c r="Q6459">
        <v>1.1316980793593201</v>
      </c>
      <c r="R6459">
        <v>0.52401978256736204</v>
      </c>
      <c r="S6459">
        <v>193</v>
      </c>
      <c r="T6459">
        <v>67</v>
      </c>
      <c r="U6459">
        <v>779.64588372514299</v>
      </c>
      <c r="V6459">
        <v>3.3978044955567102E-3</v>
      </c>
      <c r="W6459">
        <v>3240823.1076179198</v>
      </c>
      <c r="X6459" t="s">
        <v>36</v>
      </c>
      <c r="Y6459">
        <f>1-317-309-7965</f>
        <v>-8590</v>
      </c>
    </row>
    <row r="6460" spans="1:25" x14ac:dyDescent="0.35">
      <c r="A6460">
        <v>34.625294676743799</v>
      </c>
      <c r="B6460">
        <v>-116.226779579142</v>
      </c>
      <c r="C6460" t="s">
        <v>34</v>
      </c>
      <c r="D6460">
        <v>39.890621980214597</v>
      </c>
      <c r="E6460">
        <v>5</v>
      </c>
      <c r="F6460">
        <v>1614</v>
      </c>
      <c r="G6460">
        <v>2</v>
      </c>
      <c r="H6460">
        <v>1</v>
      </c>
      <c r="I6460">
        <v>1963</v>
      </c>
      <c r="J6460">
        <v>1</v>
      </c>
      <c r="K6460">
        <v>0</v>
      </c>
      <c r="L6460">
        <v>0</v>
      </c>
      <c r="M6460">
        <v>6</v>
      </c>
      <c r="N6460" t="s">
        <v>26</v>
      </c>
      <c r="O6460" t="s">
        <v>27</v>
      </c>
      <c r="P6460">
        <v>14.409386014321001</v>
      </c>
      <c r="Q6460">
        <v>0.85645721640907402</v>
      </c>
      <c r="R6460">
        <v>7.5892797022249896</v>
      </c>
      <c r="S6460">
        <v>66</v>
      </c>
      <c r="T6460">
        <v>40</v>
      </c>
      <c r="U6460">
        <v>318.83661510386298</v>
      </c>
      <c r="V6460">
        <v>3.7174721189590998E-3</v>
      </c>
      <c r="W6460">
        <v>585750.20859906601</v>
      </c>
      <c r="X6460" t="s">
        <v>28</v>
      </c>
      <c r="Y6460">
        <f>1-340-157-4898</f>
        <v>-5394</v>
      </c>
    </row>
    <row r="6461" spans="1:25" x14ac:dyDescent="0.35">
      <c r="A6461">
        <v>38.009060804644498</v>
      </c>
      <c r="B6461">
        <v>-121.118938388876</v>
      </c>
      <c r="C6461" t="s">
        <v>29</v>
      </c>
      <c r="D6461">
        <v>12.134489106232801</v>
      </c>
      <c r="E6461">
        <v>5</v>
      </c>
      <c r="F6461">
        <v>4255</v>
      </c>
      <c r="G6461">
        <v>3</v>
      </c>
      <c r="H6461">
        <v>2</v>
      </c>
      <c r="I6461">
        <v>1978</v>
      </c>
      <c r="J6461">
        <v>0</v>
      </c>
      <c r="K6461">
        <v>0</v>
      </c>
      <c r="L6461">
        <v>0</v>
      </c>
      <c r="M6461">
        <v>14</v>
      </c>
      <c r="N6461" t="s">
        <v>35</v>
      </c>
      <c r="O6461" t="s">
        <v>30</v>
      </c>
      <c r="P6461">
        <v>14.355283770002799</v>
      </c>
      <c r="Q6461">
        <v>2.4153288024921098</v>
      </c>
      <c r="R6461">
        <v>3.3836237467977899</v>
      </c>
      <c r="S6461">
        <v>57</v>
      </c>
      <c r="T6461">
        <v>61</v>
      </c>
      <c r="U6461">
        <v>765.99154220600599</v>
      </c>
      <c r="V6461">
        <v>3.2902467685076301E-3</v>
      </c>
      <c r="W6461">
        <v>3461898.0906777498</v>
      </c>
      <c r="X6461" t="s">
        <v>36</v>
      </c>
      <c r="Y6461">
        <f>1-818-590-8805</f>
        <v>-10212</v>
      </c>
    </row>
    <row r="6462" spans="1:25" x14ac:dyDescent="0.35">
      <c r="A6462">
        <v>40.1334490995579</v>
      </c>
      <c r="B6462">
        <v>-119.949056786814</v>
      </c>
      <c r="C6462" t="s">
        <v>34</v>
      </c>
      <c r="D6462">
        <v>18.1923306118806</v>
      </c>
      <c r="E6462">
        <v>1</v>
      </c>
      <c r="F6462">
        <v>2240</v>
      </c>
      <c r="G6462">
        <v>4</v>
      </c>
      <c r="H6462">
        <v>3</v>
      </c>
      <c r="I6462">
        <v>2012</v>
      </c>
      <c r="J6462">
        <v>0</v>
      </c>
      <c r="K6462">
        <v>1</v>
      </c>
      <c r="L6462">
        <v>1</v>
      </c>
      <c r="M6462">
        <v>2</v>
      </c>
      <c r="N6462" t="s">
        <v>35</v>
      </c>
      <c r="O6462" t="s">
        <v>27</v>
      </c>
      <c r="P6462">
        <v>7.8104558327446698</v>
      </c>
      <c r="Q6462">
        <v>1.81344369333166</v>
      </c>
      <c r="R6462">
        <v>1.17893888040755</v>
      </c>
      <c r="S6462">
        <v>135</v>
      </c>
      <c r="T6462">
        <v>59</v>
      </c>
      <c r="U6462">
        <v>979.04953915156796</v>
      </c>
      <c r="V6462">
        <v>8.9285714285714196E-4</v>
      </c>
      <c r="W6462">
        <v>2675690.1926833601</v>
      </c>
      <c r="X6462" t="s">
        <v>39</v>
      </c>
      <c r="Y6462">
        <f>1-629-542-5850</f>
        <v>-7020</v>
      </c>
    </row>
    <row r="6463" spans="1:25" x14ac:dyDescent="0.35">
      <c r="A6463">
        <v>34.348687680780799</v>
      </c>
      <c r="B6463">
        <v>-121.42990273234101</v>
      </c>
      <c r="C6463" t="s">
        <v>34</v>
      </c>
      <c r="D6463">
        <v>4.5801674618127004</v>
      </c>
      <c r="E6463">
        <v>2</v>
      </c>
      <c r="F6463">
        <v>615</v>
      </c>
      <c r="G6463">
        <v>5</v>
      </c>
      <c r="H6463">
        <v>2</v>
      </c>
      <c r="I6463">
        <v>2007</v>
      </c>
      <c r="J6463">
        <v>1</v>
      </c>
      <c r="K6463">
        <v>0</v>
      </c>
      <c r="L6463">
        <v>0</v>
      </c>
      <c r="M6463">
        <v>10</v>
      </c>
      <c r="N6463" t="s">
        <v>26</v>
      </c>
      <c r="O6463" t="s">
        <v>32</v>
      </c>
      <c r="P6463">
        <v>13.6398407501937</v>
      </c>
      <c r="Q6463">
        <v>1.6772328308842199</v>
      </c>
      <c r="R6463">
        <v>3.56465679684255</v>
      </c>
      <c r="S6463">
        <v>45</v>
      </c>
      <c r="T6463">
        <v>70</v>
      </c>
      <c r="U6463">
        <v>257.51415784391497</v>
      </c>
      <c r="V6463">
        <v>1.6260162601626001E-2</v>
      </c>
      <c r="W6463">
        <v>587713.16890535096</v>
      </c>
      <c r="X6463" t="s">
        <v>43</v>
      </c>
      <c r="Y6463">
        <f>1-452-815-1847</f>
        <v>-3113</v>
      </c>
    </row>
    <row r="6464" spans="1:25" x14ac:dyDescent="0.35">
      <c r="A6464">
        <v>32.912188988459597</v>
      </c>
      <c r="B6464">
        <v>-114.678406311637</v>
      </c>
      <c r="C6464" t="s">
        <v>29</v>
      </c>
      <c r="D6464">
        <v>44.450551068293798</v>
      </c>
      <c r="E6464">
        <v>4</v>
      </c>
      <c r="F6464">
        <v>2130</v>
      </c>
      <c r="G6464">
        <v>5</v>
      </c>
      <c r="H6464">
        <v>2</v>
      </c>
      <c r="I6464">
        <v>1996</v>
      </c>
      <c r="J6464">
        <v>0</v>
      </c>
      <c r="K6464">
        <v>0</v>
      </c>
      <c r="L6464">
        <v>1</v>
      </c>
      <c r="M6464">
        <v>13</v>
      </c>
      <c r="N6464" t="s">
        <v>37</v>
      </c>
      <c r="O6464" t="s">
        <v>27</v>
      </c>
      <c r="P6464">
        <v>11.700631201439601</v>
      </c>
      <c r="Q6464">
        <v>1.74172541968679</v>
      </c>
      <c r="R6464">
        <v>6.6928179709500899</v>
      </c>
      <c r="S6464">
        <v>78</v>
      </c>
      <c r="T6464">
        <v>47</v>
      </c>
      <c r="U6464">
        <v>706.08349064868003</v>
      </c>
      <c r="V6464">
        <v>6.1032863849765197E-3</v>
      </c>
      <c r="W6464">
        <v>1882598.7683538401</v>
      </c>
      <c r="X6464" t="s">
        <v>38</v>
      </c>
      <c r="Y6464">
        <f>1-515-825-8534</f>
        <v>-9873</v>
      </c>
    </row>
    <row r="6465" spans="1:25" x14ac:dyDescent="0.35">
      <c r="A6465">
        <v>33.875846858825199</v>
      </c>
      <c r="B6465">
        <v>-119.385678090583</v>
      </c>
      <c r="C6465" t="s">
        <v>29</v>
      </c>
      <c r="D6465">
        <v>7.35155589933313</v>
      </c>
      <c r="E6465">
        <v>2</v>
      </c>
      <c r="F6465">
        <v>1490</v>
      </c>
      <c r="G6465">
        <v>1</v>
      </c>
      <c r="H6465">
        <v>3</v>
      </c>
      <c r="I6465">
        <v>2014</v>
      </c>
      <c r="J6465">
        <v>1</v>
      </c>
      <c r="K6465">
        <v>1</v>
      </c>
      <c r="L6465">
        <v>0</v>
      </c>
      <c r="M6465">
        <v>3</v>
      </c>
      <c r="N6465" t="s">
        <v>26</v>
      </c>
      <c r="O6465" t="s">
        <v>32</v>
      </c>
      <c r="P6465">
        <v>12.1395051493809</v>
      </c>
      <c r="Q6465">
        <v>1.49417329928229</v>
      </c>
      <c r="R6465">
        <v>9.8491582234935997</v>
      </c>
      <c r="S6465">
        <v>5</v>
      </c>
      <c r="T6465">
        <v>79</v>
      </c>
      <c r="U6465">
        <v>967.54054985369999</v>
      </c>
      <c r="V6465">
        <v>2.01342281879194E-3</v>
      </c>
      <c r="W6465">
        <v>1725323.9610949401</v>
      </c>
      <c r="X6465" t="s">
        <v>33</v>
      </c>
      <c r="Y6465">
        <f>1-210-869-1065</f>
        <v>-2143</v>
      </c>
    </row>
    <row r="6466" spans="1:25" x14ac:dyDescent="0.35">
      <c r="A6466">
        <v>33.013674216936302</v>
      </c>
      <c r="B6466">
        <v>-121.74257022294201</v>
      </c>
      <c r="C6466" t="s">
        <v>25</v>
      </c>
      <c r="D6466">
        <v>42.867017854909001</v>
      </c>
      <c r="E6466">
        <v>8</v>
      </c>
      <c r="F6466">
        <v>2168</v>
      </c>
      <c r="G6466">
        <v>2</v>
      </c>
      <c r="H6466">
        <v>2</v>
      </c>
      <c r="I6466">
        <v>2018</v>
      </c>
      <c r="J6466">
        <v>0</v>
      </c>
      <c r="K6466">
        <v>0</v>
      </c>
      <c r="L6466">
        <v>1</v>
      </c>
      <c r="M6466">
        <v>3</v>
      </c>
      <c r="N6466" t="s">
        <v>41</v>
      </c>
      <c r="O6466" t="s">
        <v>27</v>
      </c>
      <c r="P6466">
        <v>6.0758334064579698</v>
      </c>
      <c r="Q6466">
        <v>1.7529125456202299</v>
      </c>
      <c r="R6466">
        <v>7.7325941310878896</v>
      </c>
      <c r="S6466">
        <v>144</v>
      </c>
      <c r="T6466">
        <v>79</v>
      </c>
      <c r="U6466">
        <v>794.59749789036903</v>
      </c>
      <c r="V6466">
        <v>1.38376383763837E-3</v>
      </c>
      <c r="W6466">
        <v>1835509.7430789401</v>
      </c>
      <c r="X6466" t="s">
        <v>31</v>
      </c>
      <c r="Y6466">
        <f>1-605-893-6298</f>
        <v>-7795</v>
      </c>
    </row>
    <row r="6467" spans="1:25" x14ac:dyDescent="0.35">
      <c r="A6467">
        <v>36.056114023567197</v>
      </c>
      <c r="B6467">
        <v>-116.17721436832799</v>
      </c>
      <c r="C6467" t="s">
        <v>25</v>
      </c>
      <c r="D6467">
        <v>34.005675583962699</v>
      </c>
      <c r="E6467">
        <v>0</v>
      </c>
      <c r="F6467">
        <v>3933</v>
      </c>
      <c r="G6467">
        <v>4</v>
      </c>
      <c r="H6467">
        <v>2</v>
      </c>
      <c r="I6467">
        <v>2001</v>
      </c>
      <c r="J6467">
        <v>1</v>
      </c>
      <c r="K6467">
        <v>1</v>
      </c>
      <c r="L6467">
        <v>0</v>
      </c>
      <c r="M6467">
        <v>13</v>
      </c>
      <c r="N6467" t="s">
        <v>41</v>
      </c>
      <c r="O6467" t="s">
        <v>30</v>
      </c>
      <c r="P6467">
        <v>6.3017394254050201</v>
      </c>
      <c r="Q6467">
        <v>0.62444329370774398</v>
      </c>
      <c r="R6467">
        <v>3.9323343404031701</v>
      </c>
      <c r="S6467">
        <v>103</v>
      </c>
      <c r="T6467">
        <v>76</v>
      </c>
      <c r="U6467">
        <v>330.99757678970002</v>
      </c>
      <c r="V6467">
        <v>3.3053648614289298E-3</v>
      </c>
      <c r="W6467">
        <v>1715439.70044314</v>
      </c>
      <c r="X6467" t="s">
        <v>31</v>
      </c>
      <c r="Y6467">
        <f>1-759-216-2958</f>
        <v>-3932</v>
      </c>
    </row>
    <row r="6468" spans="1:25" x14ac:dyDescent="0.35">
      <c r="A6468">
        <v>36.989909920307298</v>
      </c>
      <c r="B6468">
        <v>-122.445394578502</v>
      </c>
      <c r="C6468" t="s">
        <v>29</v>
      </c>
      <c r="D6468">
        <v>41.927527275781699</v>
      </c>
      <c r="E6468">
        <v>4</v>
      </c>
      <c r="F6468">
        <v>1444</v>
      </c>
      <c r="G6468">
        <v>3</v>
      </c>
      <c r="H6468">
        <v>1</v>
      </c>
      <c r="I6468">
        <v>1974</v>
      </c>
      <c r="J6468">
        <v>0</v>
      </c>
      <c r="K6468">
        <v>0</v>
      </c>
      <c r="L6468">
        <v>1</v>
      </c>
      <c r="M6468">
        <v>13</v>
      </c>
      <c r="N6468" t="s">
        <v>37</v>
      </c>
      <c r="O6468" t="s">
        <v>27</v>
      </c>
      <c r="P6468">
        <v>10.954979230854001</v>
      </c>
      <c r="Q6468">
        <v>1.30769797595451</v>
      </c>
      <c r="R6468">
        <v>3.9707251943931499</v>
      </c>
      <c r="S6468">
        <v>149</v>
      </c>
      <c r="T6468">
        <v>33</v>
      </c>
      <c r="U6468">
        <v>857.35906712901897</v>
      </c>
      <c r="V6468">
        <v>9.0027700831024904E-3</v>
      </c>
      <c r="W6468">
        <v>1526686.8975146899</v>
      </c>
      <c r="X6468" t="s">
        <v>44</v>
      </c>
      <c r="Y6468">
        <f>1-647-824-7379</f>
        <v>-8849</v>
      </c>
    </row>
    <row r="6469" spans="1:25" x14ac:dyDescent="0.35">
      <c r="A6469">
        <v>40.106257642167002</v>
      </c>
      <c r="B6469">
        <v>-117.74625972436399</v>
      </c>
      <c r="C6469" t="s">
        <v>34</v>
      </c>
      <c r="D6469">
        <v>49.289759348715499</v>
      </c>
      <c r="E6469">
        <v>5</v>
      </c>
      <c r="F6469">
        <v>4814</v>
      </c>
      <c r="G6469">
        <v>3</v>
      </c>
      <c r="H6469">
        <v>1</v>
      </c>
      <c r="I6469">
        <v>2020</v>
      </c>
      <c r="J6469">
        <v>1</v>
      </c>
      <c r="K6469">
        <v>0</v>
      </c>
      <c r="L6469">
        <v>0</v>
      </c>
      <c r="M6469">
        <v>13</v>
      </c>
      <c r="N6469" t="s">
        <v>35</v>
      </c>
      <c r="O6469" t="s">
        <v>32</v>
      </c>
      <c r="P6469">
        <v>7.2184829656221803</v>
      </c>
      <c r="Q6469">
        <v>1.58608806372934</v>
      </c>
      <c r="R6469">
        <v>2.6093398452351502</v>
      </c>
      <c r="S6469">
        <v>91</v>
      </c>
      <c r="T6469">
        <v>30</v>
      </c>
      <c r="U6469">
        <v>278.26658780861698</v>
      </c>
      <c r="V6469">
        <v>2.7004570004154501E-3</v>
      </c>
      <c r="W6469">
        <v>1560312.60447485</v>
      </c>
      <c r="X6469" t="s">
        <v>31</v>
      </c>
      <c r="Y6469">
        <f>1-764-481-7509</f>
        <v>-8753</v>
      </c>
    </row>
    <row r="6470" spans="1:25" x14ac:dyDescent="0.35">
      <c r="A6470">
        <v>36.248792214319799</v>
      </c>
      <c r="B6470">
        <v>-117.58289325191301</v>
      </c>
      <c r="C6470" t="s">
        <v>34</v>
      </c>
      <c r="D6470">
        <v>27.980686206450802</v>
      </c>
      <c r="E6470">
        <v>0</v>
      </c>
      <c r="F6470">
        <v>536</v>
      </c>
      <c r="G6470">
        <v>5</v>
      </c>
      <c r="H6470">
        <v>3</v>
      </c>
      <c r="I6470">
        <v>2006</v>
      </c>
      <c r="J6470">
        <v>1</v>
      </c>
      <c r="K6470">
        <v>1</v>
      </c>
      <c r="L6470">
        <v>0</v>
      </c>
      <c r="M6470">
        <v>5</v>
      </c>
      <c r="N6470" t="s">
        <v>35</v>
      </c>
      <c r="O6470" t="s">
        <v>32</v>
      </c>
      <c r="P6470">
        <v>6.8661884934910304</v>
      </c>
      <c r="Q6470">
        <v>1.8479327668796499</v>
      </c>
      <c r="R6470">
        <v>4.2546226769295403</v>
      </c>
      <c r="S6470">
        <v>116</v>
      </c>
      <c r="T6470">
        <v>68</v>
      </c>
      <c r="U6470">
        <v>559.19807067475699</v>
      </c>
      <c r="V6470">
        <v>9.3283582089552196E-3</v>
      </c>
      <c r="W6470">
        <v>756649.04619814502</v>
      </c>
      <c r="X6470" t="s">
        <v>31</v>
      </c>
      <c r="Y6470">
        <f>1-368-591-9524</f>
        <v>-10482</v>
      </c>
    </row>
    <row r="6471" spans="1:25" x14ac:dyDescent="0.35">
      <c r="A6471">
        <v>34.484965174086497</v>
      </c>
      <c r="B6471">
        <v>-119.48785636385701</v>
      </c>
      <c r="C6471" t="s">
        <v>34</v>
      </c>
      <c r="D6471">
        <v>5.7002399425124404</v>
      </c>
      <c r="E6471">
        <v>3</v>
      </c>
      <c r="F6471">
        <v>1235</v>
      </c>
      <c r="G6471">
        <v>4</v>
      </c>
      <c r="H6471">
        <v>2</v>
      </c>
      <c r="I6471">
        <v>1998</v>
      </c>
      <c r="J6471">
        <v>1</v>
      </c>
      <c r="K6471">
        <v>1</v>
      </c>
      <c r="L6471">
        <v>0</v>
      </c>
      <c r="M6471">
        <v>8</v>
      </c>
      <c r="N6471" t="s">
        <v>41</v>
      </c>
      <c r="O6471" t="s">
        <v>27</v>
      </c>
      <c r="P6471">
        <v>2.4967456923689002</v>
      </c>
      <c r="Q6471">
        <v>2.3744510863432802</v>
      </c>
      <c r="R6471">
        <v>8.7586340607164299</v>
      </c>
      <c r="S6471">
        <v>73</v>
      </c>
      <c r="T6471">
        <v>66</v>
      </c>
      <c r="U6471">
        <v>673.19393952503594</v>
      </c>
      <c r="V6471">
        <v>6.47773279352226E-3</v>
      </c>
      <c r="W6471">
        <v>1175230.7930768901</v>
      </c>
      <c r="X6471" t="s">
        <v>33</v>
      </c>
      <c r="Y6471">
        <f>1-298-451-2914</f>
        <v>-3662</v>
      </c>
    </row>
    <row r="6472" spans="1:25" x14ac:dyDescent="0.35">
      <c r="A6472">
        <v>37.739815853474902</v>
      </c>
      <c r="B6472">
        <v>-114.175907100926</v>
      </c>
      <c r="C6472" t="s">
        <v>34</v>
      </c>
      <c r="D6472">
        <v>31.28321904365</v>
      </c>
      <c r="E6472">
        <v>6</v>
      </c>
      <c r="F6472">
        <v>1888</v>
      </c>
      <c r="G6472">
        <v>2</v>
      </c>
      <c r="H6472">
        <v>3</v>
      </c>
      <c r="I6472">
        <v>1995</v>
      </c>
      <c r="J6472">
        <v>0</v>
      </c>
      <c r="K6472">
        <v>1</v>
      </c>
      <c r="L6472">
        <v>1</v>
      </c>
      <c r="M6472">
        <v>8</v>
      </c>
      <c r="N6472" t="s">
        <v>41</v>
      </c>
      <c r="O6472" t="s">
        <v>27</v>
      </c>
      <c r="P6472">
        <v>7.5518154575516903</v>
      </c>
      <c r="Q6472">
        <v>1.0776537442160701</v>
      </c>
      <c r="R6472">
        <v>1.2427014346176899</v>
      </c>
      <c r="S6472">
        <v>50</v>
      </c>
      <c r="T6472">
        <v>73</v>
      </c>
      <c r="U6472">
        <v>890.83524802269199</v>
      </c>
      <c r="V6472">
        <v>4.2372881355932203E-3</v>
      </c>
      <c r="W6472">
        <v>2035167.1377752901</v>
      </c>
      <c r="X6472" t="s">
        <v>38</v>
      </c>
      <c r="Y6472">
        <f>1-901-905-2465</f>
        <v>-4270</v>
      </c>
    </row>
    <row r="6473" spans="1:25" x14ac:dyDescent="0.35">
      <c r="A6473">
        <v>35.996390832882199</v>
      </c>
      <c r="B6473">
        <v>-119.87685306880999</v>
      </c>
      <c r="C6473" t="s">
        <v>25</v>
      </c>
      <c r="D6473">
        <v>33.626757680098201</v>
      </c>
      <c r="E6473">
        <v>9</v>
      </c>
      <c r="F6473">
        <v>969</v>
      </c>
      <c r="G6473">
        <v>4</v>
      </c>
      <c r="H6473">
        <v>3</v>
      </c>
      <c r="I6473">
        <v>1960</v>
      </c>
      <c r="J6473">
        <v>0</v>
      </c>
      <c r="K6473">
        <v>1</v>
      </c>
      <c r="L6473">
        <v>0</v>
      </c>
      <c r="M6473">
        <v>9</v>
      </c>
      <c r="N6473" t="s">
        <v>35</v>
      </c>
      <c r="O6473" t="s">
        <v>30</v>
      </c>
      <c r="P6473">
        <v>3.43977060758405</v>
      </c>
      <c r="Q6473">
        <v>0.64051429455874398</v>
      </c>
      <c r="R6473">
        <v>6.3612528870719904</v>
      </c>
      <c r="S6473">
        <v>3</v>
      </c>
      <c r="T6473">
        <v>42</v>
      </c>
      <c r="U6473">
        <v>966.11310345232096</v>
      </c>
      <c r="V6473">
        <v>9.28792569659442E-3</v>
      </c>
      <c r="W6473">
        <v>1220328.9449372799</v>
      </c>
      <c r="X6473" t="s">
        <v>44</v>
      </c>
      <c r="Y6473">
        <f>1-521-832-6922</f>
        <v>-8274</v>
      </c>
    </row>
    <row r="6474" spans="1:25" x14ac:dyDescent="0.35">
      <c r="A6474">
        <v>35.518938406411102</v>
      </c>
      <c r="B6474">
        <v>-120.34378727521199</v>
      </c>
      <c r="C6474" t="s">
        <v>29</v>
      </c>
      <c r="D6474">
        <v>44.535020471389501</v>
      </c>
      <c r="E6474">
        <v>2</v>
      </c>
      <c r="F6474">
        <v>2076</v>
      </c>
      <c r="G6474">
        <v>4</v>
      </c>
      <c r="H6474">
        <v>1</v>
      </c>
      <c r="I6474">
        <v>1954</v>
      </c>
      <c r="J6474">
        <v>1</v>
      </c>
      <c r="K6474">
        <v>1</v>
      </c>
      <c r="L6474">
        <v>1</v>
      </c>
      <c r="M6474">
        <v>13</v>
      </c>
      <c r="N6474" t="s">
        <v>26</v>
      </c>
      <c r="O6474" t="s">
        <v>27</v>
      </c>
      <c r="P6474">
        <v>7.3822920884019796</v>
      </c>
      <c r="Q6474">
        <v>1.85746305086146</v>
      </c>
      <c r="R6474">
        <v>7.9935907980708096</v>
      </c>
      <c r="S6474">
        <v>78</v>
      </c>
      <c r="T6474">
        <v>33</v>
      </c>
      <c r="U6474">
        <v>487.69447672573199</v>
      </c>
      <c r="V6474">
        <v>6.2620423892100104E-3</v>
      </c>
      <c r="W6474">
        <v>1358011.04202748</v>
      </c>
      <c r="X6474" t="s">
        <v>39</v>
      </c>
      <c r="Y6474">
        <f>1-536-962-6548</f>
        <v>-8045</v>
      </c>
    </row>
    <row r="6475" spans="1:25" x14ac:dyDescent="0.35">
      <c r="A6475">
        <v>40.305064395235704</v>
      </c>
      <c r="B6475">
        <v>-119.456703843375</v>
      </c>
      <c r="C6475" t="s">
        <v>29</v>
      </c>
      <c r="D6475">
        <v>40.624125114310303</v>
      </c>
      <c r="E6475">
        <v>4</v>
      </c>
      <c r="F6475">
        <v>4559</v>
      </c>
      <c r="G6475">
        <v>4</v>
      </c>
      <c r="H6475">
        <v>2</v>
      </c>
      <c r="I6475">
        <v>2018</v>
      </c>
      <c r="J6475">
        <v>1</v>
      </c>
      <c r="K6475">
        <v>1</v>
      </c>
      <c r="L6475">
        <v>1</v>
      </c>
      <c r="M6475">
        <v>7</v>
      </c>
      <c r="N6475" t="s">
        <v>35</v>
      </c>
      <c r="O6475" t="s">
        <v>30</v>
      </c>
      <c r="P6475">
        <v>3.0271153878522998</v>
      </c>
      <c r="Q6475">
        <v>2.4593995410673202</v>
      </c>
      <c r="R6475">
        <v>1.84744818877142</v>
      </c>
      <c r="S6475">
        <v>195</v>
      </c>
      <c r="T6475">
        <v>56</v>
      </c>
      <c r="U6475">
        <v>349.76235785020998</v>
      </c>
      <c r="V6475">
        <v>1.53542443518315E-3</v>
      </c>
      <c r="W6475">
        <v>1990100.1114767101</v>
      </c>
      <c r="X6475" t="s">
        <v>39</v>
      </c>
      <c r="Y6475">
        <f>1-557-646-9176</f>
        <v>-10378</v>
      </c>
    </row>
    <row r="6476" spans="1:25" x14ac:dyDescent="0.35">
      <c r="A6476">
        <v>38.111533067975898</v>
      </c>
      <c r="B6476">
        <v>-114.349366855925</v>
      </c>
      <c r="C6476" t="s">
        <v>29</v>
      </c>
      <c r="D6476">
        <v>30.278304277705701</v>
      </c>
      <c r="E6476">
        <v>1</v>
      </c>
      <c r="F6476">
        <v>982</v>
      </c>
      <c r="G6476">
        <v>5</v>
      </c>
      <c r="H6476">
        <v>1</v>
      </c>
      <c r="I6476">
        <v>1990</v>
      </c>
      <c r="J6476">
        <v>0</v>
      </c>
      <c r="K6476">
        <v>0</v>
      </c>
      <c r="L6476">
        <v>0</v>
      </c>
      <c r="M6476">
        <v>7</v>
      </c>
      <c r="N6476" t="s">
        <v>41</v>
      </c>
      <c r="O6476" t="s">
        <v>27</v>
      </c>
      <c r="P6476">
        <v>12.085008813068301</v>
      </c>
      <c r="Q6476">
        <v>1.7946036638215599</v>
      </c>
      <c r="R6476">
        <v>3.7282916683129099</v>
      </c>
      <c r="S6476">
        <v>16</v>
      </c>
      <c r="T6476">
        <v>31</v>
      </c>
      <c r="U6476">
        <v>451.51142322365899</v>
      </c>
      <c r="V6476">
        <v>7.12830957230142E-3</v>
      </c>
      <c r="W6476">
        <v>776870.13400557905</v>
      </c>
      <c r="X6476" t="s">
        <v>40</v>
      </c>
      <c r="Y6476">
        <f>1-490-167-8696</f>
        <v>-9352</v>
      </c>
    </row>
    <row r="6477" spans="1:25" x14ac:dyDescent="0.35">
      <c r="A6477">
        <v>37.566987450558301</v>
      </c>
      <c r="B6477">
        <v>-120.59220566155</v>
      </c>
      <c r="C6477" t="s">
        <v>34</v>
      </c>
      <c r="D6477">
        <v>36.146914018256801</v>
      </c>
      <c r="E6477">
        <v>0</v>
      </c>
      <c r="F6477">
        <v>2582</v>
      </c>
      <c r="G6477">
        <v>3</v>
      </c>
      <c r="H6477">
        <v>3</v>
      </c>
      <c r="I6477">
        <v>1987</v>
      </c>
      <c r="J6477">
        <v>0</v>
      </c>
      <c r="K6477">
        <v>0</v>
      </c>
      <c r="L6477">
        <v>0</v>
      </c>
      <c r="M6477">
        <v>9</v>
      </c>
      <c r="N6477" t="s">
        <v>35</v>
      </c>
      <c r="O6477" t="s">
        <v>30</v>
      </c>
      <c r="P6477">
        <v>4.4092513881483404</v>
      </c>
      <c r="Q6477">
        <v>2.0312152004800699</v>
      </c>
      <c r="R6477">
        <v>3.7937965039092201</v>
      </c>
      <c r="S6477">
        <v>146</v>
      </c>
      <c r="T6477">
        <v>45</v>
      </c>
      <c r="U6477">
        <v>965.49457144480004</v>
      </c>
      <c r="V6477">
        <v>3.4856700232377999E-3</v>
      </c>
      <c r="W6477">
        <v>2636976.4293520702</v>
      </c>
      <c r="X6477" t="s">
        <v>43</v>
      </c>
      <c r="Y6477">
        <f>1-711-906-4604</f>
        <v>-6220</v>
      </c>
    </row>
    <row r="6478" spans="1:25" x14ac:dyDescent="0.35">
      <c r="A6478">
        <v>41.187269800094597</v>
      </c>
      <c r="B6478">
        <v>-123.887575111692</v>
      </c>
      <c r="C6478" t="s">
        <v>25</v>
      </c>
      <c r="D6478">
        <v>40.8678026305058</v>
      </c>
      <c r="E6478">
        <v>0</v>
      </c>
      <c r="F6478">
        <v>1673</v>
      </c>
      <c r="G6478">
        <v>1</v>
      </c>
      <c r="H6478">
        <v>2</v>
      </c>
      <c r="I6478">
        <v>1962</v>
      </c>
      <c r="J6478">
        <v>0</v>
      </c>
      <c r="K6478">
        <v>0</v>
      </c>
      <c r="L6478">
        <v>1</v>
      </c>
      <c r="M6478">
        <v>14</v>
      </c>
      <c r="N6478" t="s">
        <v>26</v>
      </c>
      <c r="O6478" t="s">
        <v>30</v>
      </c>
      <c r="P6478">
        <v>3.18110759909495</v>
      </c>
      <c r="Q6478">
        <v>1.3232113616130901</v>
      </c>
      <c r="R6478">
        <v>5.3550158634736604</v>
      </c>
      <c r="S6478">
        <v>150</v>
      </c>
      <c r="T6478">
        <v>63</v>
      </c>
      <c r="U6478">
        <v>784.46693440209799</v>
      </c>
      <c r="V6478">
        <v>8.3682008368200795E-3</v>
      </c>
      <c r="W6478">
        <v>1265672.0255925499</v>
      </c>
      <c r="X6478" t="s">
        <v>44</v>
      </c>
      <c r="Y6478">
        <f>1-672-220-3646</f>
        <v>-4537</v>
      </c>
    </row>
    <row r="6479" spans="1:25" x14ac:dyDescent="0.35">
      <c r="A6479">
        <v>41.528577212970099</v>
      </c>
      <c r="B6479">
        <v>-123.382401467054</v>
      </c>
      <c r="C6479" t="s">
        <v>34</v>
      </c>
      <c r="D6479">
        <v>40.238431193137998</v>
      </c>
      <c r="E6479">
        <v>1</v>
      </c>
      <c r="F6479">
        <v>3649</v>
      </c>
      <c r="G6479">
        <v>4</v>
      </c>
      <c r="H6479">
        <v>1</v>
      </c>
      <c r="I6479">
        <v>1971</v>
      </c>
      <c r="J6479">
        <v>0</v>
      </c>
      <c r="K6479">
        <v>1</v>
      </c>
      <c r="L6479">
        <v>0</v>
      </c>
      <c r="M6479">
        <v>5</v>
      </c>
      <c r="N6479" t="s">
        <v>37</v>
      </c>
      <c r="O6479" t="s">
        <v>32</v>
      </c>
      <c r="P6479">
        <v>7.3562789130660997</v>
      </c>
      <c r="Q6479">
        <v>2.4878736018699699</v>
      </c>
      <c r="R6479">
        <v>5.7001768800662997</v>
      </c>
      <c r="S6479">
        <v>2</v>
      </c>
      <c r="T6479">
        <v>46</v>
      </c>
      <c r="U6479">
        <v>717.10657798321301</v>
      </c>
      <c r="V6479">
        <v>1.3702384214853299E-3</v>
      </c>
      <c r="W6479">
        <v>2916765.6696796101</v>
      </c>
      <c r="X6479" t="s">
        <v>44</v>
      </c>
      <c r="Y6479">
        <f>1-324-151-1895</f>
        <v>-2369</v>
      </c>
    </row>
    <row r="6480" spans="1:25" x14ac:dyDescent="0.35">
      <c r="A6480">
        <v>35.472686245428797</v>
      </c>
      <c r="B6480">
        <v>-116.323254784829</v>
      </c>
      <c r="C6480" t="s">
        <v>34</v>
      </c>
      <c r="D6480">
        <v>6.2059661592424398</v>
      </c>
      <c r="E6480">
        <v>6</v>
      </c>
      <c r="F6480">
        <v>4968</v>
      </c>
      <c r="G6480">
        <v>1</v>
      </c>
      <c r="H6480">
        <v>2</v>
      </c>
      <c r="I6480">
        <v>1999</v>
      </c>
      <c r="J6480">
        <v>0</v>
      </c>
      <c r="K6480">
        <v>0</v>
      </c>
      <c r="L6480">
        <v>1</v>
      </c>
      <c r="M6480">
        <v>14</v>
      </c>
      <c r="N6480" t="s">
        <v>41</v>
      </c>
      <c r="O6480" t="s">
        <v>32</v>
      </c>
      <c r="P6480">
        <v>12.030494580370799</v>
      </c>
      <c r="Q6480">
        <v>0.76574328529443803</v>
      </c>
      <c r="R6480">
        <v>7.0728035696432103</v>
      </c>
      <c r="S6480">
        <v>147</v>
      </c>
      <c r="T6480">
        <v>35</v>
      </c>
      <c r="U6480">
        <v>664.35545802667298</v>
      </c>
      <c r="V6480">
        <v>2.8180354267310702E-3</v>
      </c>
      <c r="W6480">
        <v>3447671.3605340002</v>
      </c>
      <c r="X6480" t="s">
        <v>42</v>
      </c>
      <c r="Y6480">
        <f>1-619-853-2626</f>
        <v>-4097</v>
      </c>
    </row>
    <row r="6481" spans="1:25" x14ac:dyDescent="0.35">
      <c r="A6481">
        <v>34.377093878695597</v>
      </c>
      <c r="B6481">
        <v>-121.719958089282</v>
      </c>
      <c r="C6481" t="s">
        <v>34</v>
      </c>
      <c r="D6481">
        <v>3.3934864702490199</v>
      </c>
      <c r="E6481">
        <v>1</v>
      </c>
      <c r="F6481">
        <v>2945</v>
      </c>
      <c r="G6481">
        <v>5</v>
      </c>
      <c r="H6481">
        <v>3</v>
      </c>
      <c r="I6481">
        <v>1994</v>
      </c>
      <c r="J6481">
        <v>1</v>
      </c>
      <c r="K6481">
        <v>0</v>
      </c>
      <c r="L6481">
        <v>1</v>
      </c>
      <c r="M6481">
        <v>11</v>
      </c>
      <c r="N6481" t="s">
        <v>41</v>
      </c>
      <c r="O6481" t="s">
        <v>32</v>
      </c>
      <c r="P6481">
        <v>2.1513330968094699</v>
      </c>
      <c r="Q6481">
        <v>1.3189003045302501</v>
      </c>
      <c r="R6481">
        <v>6.5001175291538598</v>
      </c>
      <c r="S6481">
        <v>49</v>
      </c>
      <c r="T6481">
        <v>27</v>
      </c>
      <c r="U6481">
        <v>694.80657567804599</v>
      </c>
      <c r="V6481">
        <v>3.73514431239388E-3</v>
      </c>
      <c r="W6481">
        <v>2408307.72811851</v>
      </c>
      <c r="X6481" t="s">
        <v>40</v>
      </c>
      <c r="Y6481">
        <f>1-655-335-6535</f>
        <v>-7524</v>
      </c>
    </row>
    <row r="6482" spans="1:25" x14ac:dyDescent="0.35">
      <c r="A6482">
        <v>39.049131685433998</v>
      </c>
      <c r="B6482">
        <v>-120.345545769227</v>
      </c>
      <c r="C6482" t="s">
        <v>29</v>
      </c>
      <c r="D6482">
        <v>5.1600791669300499</v>
      </c>
      <c r="E6482">
        <v>6</v>
      </c>
      <c r="F6482">
        <v>2070</v>
      </c>
      <c r="G6482">
        <v>1</v>
      </c>
      <c r="H6482">
        <v>2</v>
      </c>
      <c r="I6482">
        <v>2015</v>
      </c>
      <c r="J6482">
        <v>0</v>
      </c>
      <c r="K6482">
        <v>1</v>
      </c>
      <c r="L6482">
        <v>0</v>
      </c>
      <c r="M6482">
        <v>8</v>
      </c>
      <c r="N6482" t="s">
        <v>35</v>
      </c>
      <c r="O6482" t="s">
        <v>30</v>
      </c>
      <c r="P6482">
        <v>12.5763354124703</v>
      </c>
      <c r="Q6482">
        <v>0.67366369652151903</v>
      </c>
      <c r="R6482">
        <v>7.22542744654133</v>
      </c>
      <c r="S6482">
        <v>161</v>
      </c>
      <c r="T6482">
        <v>77</v>
      </c>
      <c r="U6482">
        <v>686.52884214824201</v>
      </c>
      <c r="V6482">
        <v>3.8647342995168999E-3</v>
      </c>
      <c r="W6482">
        <v>1577762.7257655</v>
      </c>
      <c r="X6482" t="s">
        <v>42</v>
      </c>
      <c r="Y6482">
        <f>1-369-252-6235</f>
        <v>-6855</v>
      </c>
    </row>
    <row r="6483" spans="1:25" x14ac:dyDescent="0.35">
      <c r="A6483">
        <v>38.358676805448901</v>
      </c>
      <c r="B6483">
        <v>-117.039375494181</v>
      </c>
      <c r="C6483" t="s">
        <v>34</v>
      </c>
      <c r="D6483">
        <v>44.592120941479898</v>
      </c>
      <c r="E6483">
        <v>3</v>
      </c>
      <c r="F6483">
        <v>611</v>
      </c>
      <c r="G6483">
        <v>5</v>
      </c>
      <c r="H6483">
        <v>1</v>
      </c>
      <c r="I6483">
        <v>2008</v>
      </c>
      <c r="J6483">
        <v>1</v>
      </c>
      <c r="K6483">
        <v>0</v>
      </c>
      <c r="L6483">
        <v>0</v>
      </c>
      <c r="M6483">
        <v>12</v>
      </c>
      <c r="N6483" t="s">
        <v>26</v>
      </c>
      <c r="O6483" t="s">
        <v>27</v>
      </c>
      <c r="P6483">
        <v>14.553885885825499</v>
      </c>
      <c r="Q6483">
        <v>1.8862667372876301</v>
      </c>
      <c r="R6483">
        <v>5.698293747828</v>
      </c>
      <c r="S6483">
        <v>189</v>
      </c>
      <c r="T6483">
        <v>75</v>
      </c>
      <c r="U6483">
        <v>355.77927717863702</v>
      </c>
      <c r="V6483">
        <v>1.9639934533551499E-2</v>
      </c>
      <c r="W6483">
        <v>754967.07111613802</v>
      </c>
      <c r="X6483" t="s">
        <v>39</v>
      </c>
      <c r="Y6483">
        <f>1-846-988-4004</f>
        <v>-5837</v>
      </c>
    </row>
    <row r="6484" spans="1:25" x14ac:dyDescent="0.35">
      <c r="A6484">
        <v>35.325011945879702</v>
      </c>
      <c r="B6484">
        <v>-119.05271381960399</v>
      </c>
      <c r="C6484" t="s">
        <v>25</v>
      </c>
      <c r="D6484">
        <v>4.1580128868695496</v>
      </c>
      <c r="E6484">
        <v>4</v>
      </c>
      <c r="F6484">
        <v>1542</v>
      </c>
      <c r="G6484">
        <v>5</v>
      </c>
      <c r="H6484">
        <v>1</v>
      </c>
      <c r="I6484">
        <v>2021</v>
      </c>
      <c r="J6484">
        <v>0</v>
      </c>
      <c r="K6484">
        <v>1</v>
      </c>
      <c r="L6484">
        <v>1</v>
      </c>
      <c r="M6484">
        <v>8</v>
      </c>
      <c r="N6484" t="s">
        <v>35</v>
      </c>
      <c r="O6484" t="s">
        <v>32</v>
      </c>
      <c r="P6484">
        <v>12.862068018529101</v>
      </c>
      <c r="Q6484">
        <v>0.50491274061560698</v>
      </c>
      <c r="R6484">
        <v>6.9433409320788897</v>
      </c>
      <c r="S6484">
        <v>18</v>
      </c>
      <c r="T6484">
        <v>76</v>
      </c>
      <c r="U6484">
        <v>385.92267747468998</v>
      </c>
      <c r="V6484">
        <v>5.1880674448767797E-3</v>
      </c>
      <c r="W6484">
        <v>1015894.14668493</v>
      </c>
      <c r="X6484" t="s">
        <v>40</v>
      </c>
      <c r="Y6484">
        <f>1-512-328-7991</f>
        <v>-8830</v>
      </c>
    </row>
    <row r="6485" spans="1:25" x14ac:dyDescent="0.35">
      <c r="A6485">
        <v>36.860289007374199</v>
      </c>
      <c r="B6485">
        <v>-119.736242179676</v>
      </c>
      <c r="C6485" t="s">
        <v>25</v>
      </c>
      <c r="D6485">
        <v>24.334835841257501</v>
      </c>
      <c r="E6485">
        <v>1</v>
      </c>
      <c r="F6485">
        <v>3811</v>
      </c>
      <c r="G6485">
        <v>2</v>
      </c>
      <c r="H6485">
        <v>1</v>
      </c>
      <c r="I6485">
        <v>1983</v>
      </c>
      <c r="J6485">
        <v>0</v>
      </c>
      <c r="K6485">
        <v>1</v>
      </c>
      <c r="L6485">
        <v>0</v>
      </c>
      <c r="M6485">
        <v>11</v>
      </c>
      <c r="N6485" t="s">
        <v>35</v>
      </c>
      <c r="O6485" t="s">
        <v>27</v>
      </c>
      <c r="P6485">
        <v>2.6413853695780798</v>
      </c>
      <c r="Q6485">
        <v>1.4940126380649601</v>
      </c>
      <c r="R6485">
        <v>5.6718760114062903</v>
      </c>
      <c r="S6485">
        <v>122</v>
      </c>
      <c r="T6485">
        <v>53</v>
      </c>
      <c r="U6485">
        <v>263.65531918264298</v>
      </c>
      <c r="V6485">
        <v>2.8863815271582198E-3</v>
      </c>
      <c r="W6485">
        <v>1168906.27492717</v>
      </c>
      <c r="X6485" t="s">
        <v>38</v>
      </c>
      <c r="Y6485">
        <f>1-470-414-7895</f>
        <v>-8778</v>
      </c>
    </row>
    <row r="6486" spans="1:25" x14ac:dyDescent="0.35">
      <c r="A6486">
        <v>35.695941813850801</v>
      </c>
      <c r="B6486">
        <v>-115.55857005196199</v>
      </c>
      <c r="C6486" t="s">
        <v>25</v>
      </c>
      <c r="D6486">
        <v>33.386689997461097</v>
      </c>
      <c r="E6486">
        <v>4</v>
      </c>
      <c r="F6486">
        <v>2796</v>
      </c>
      <c r="G6486">
        <v>4</v>
      </c>
      <c r="H6486">
        <v>3</v>
      </c>
      <c r="I6486">
        <v>2005</v>
      </c>
      <c r="J6486">
        <v>1</v>
      </c>
      <c r="K6486">
        <v>1</v>
      </c>
      <c r="L6486">
        <v>1</v>
      </c>
      <c r="M6486">
        <v>12</v>
      </c>
      <c r="N6486" t="s">
        <v>26</v>
      </c>
      <c r="O6486" t="s">
        <v>30</v>
      </c>
      <c r="P6486">
        <v>6.2792161157877198</v>
      </c>
      <c r="Q6486">
        <v>1.1293671882874601</v>
      </c>
      <c r="R6486">
        <v>9.0431180663191597</v>
      </c>
      <c r="S6486">
        <v>27</v>
      </c>
      <c r="T6486">
        <v>62</v>
      </c>
      <c r="U6486">
        <v>570.56668019689198</v>
      </c>
      <c r="V6486">
        <v>4.29184549356223E-3</v>
      </c>
      <c r="W6486">
        <v>2039427.6486372501</v>
      </c>
      <c r="X6486" t="s">
        <v>36</v>
      </c>
      <c r="Y6486">
        <f>1-847-449-6463</f>
        <v>-7758</v>
      </c>
    </row>
    <row r="6487" spans="1:25" x14ac:dyDescent="0.35">
      <c r="A6487">
        <v>39.287301522308802</v>
      </c>
      <c r="B6487">
        <v>-122.503710987414</v>
      </c>
      <c r="C6487" t="s">
        <v>25</v>
      </c>
      <c r="D6487">
        <v>34.039364879427197</v>
      </c>
      <c r="E6487">
        <v>4</v>
      </c>
      <c r="F6487">
        <v>1947</v>
      </c>
      <c r="G6487">
        <v>3</v>
      </c>
      <c r="H6487">
        <v>2</v>
      </c>
      <c r="I6487">
        <v>2005</v>
      </c>
      <c r="J6487">
        <v>1</v>
      </c>
      <c r="K6487">
        <v>0</v>
      </c>
      <c r="L6487">
        <v>0</v>
      </c>
      <c r="M6487">
        <v>8</v>
      </c>
      <c r="N6487" t="s">
        <v>41</v>
      </c>
      <c r="O6487" t="s">
        <v>27</v>
      </c>
      <c r="P6487">
        <v>11.5791469390067</v>
      </c>
      <c r="Q6487">
        <v>1.8525323347229199</v>
      </c>
      <c r="R6487">
        <v>2.5205109995760999</v>
      </c>
      <c r="S6487">
        <v>51</v>
      </c>
      <c r="T6487">
        <v>51</v>
      </c>
      <c r="U6487">
        <v>313.35429708364501</v>
      </c>
      <c r="V6487">
        <v>4.1088854648176597E-3</v>
      </c>
      <c r="W6487">
        <v>968987.79246568598</v>
      </c>
      <c r="X6487" t="s">
        <v>33</v>
      </c>
      <c r="Y6487">
        <f>1-374-574-8414</f>
        <v>-9361</v>
      </c>
    </row>
    <row r="6488" spans="1:25" x14ac:dyDescent="0.35">
      <c r="A6488">
        <v>32.523547171065999</v>
      </c>
      <c r="B6488">
        <v>-117.596385038809</v>
      </c>
      <c r="C6488" t="s">
        <v>34</v>
      </c>
      <c r="D6488">
        <v>20.173851175193999</v>
      </c>
      <c r="E6488">
        <v>1</v>
      </c>
      <c r="F6488">
        <v>3664</v>
      </c>
      <c r="G6488">
        <v>5</v>
      </c>
      <c r="H6488">
        <v>1</v>
      </c>
      <c r="I6488">
        <v>2018</v>
      </c>
      <c r="J6488">
        <v>1</v>
      </c>
      <c r="K6488">
        <v>0</v>
      </c>
      <c r="L6488">
        <v>0</v>
      </c>
      <c r="M6488">
        <v>2</v>
      </c>
      <c r="N6488" t="s">
        <v>35</v>
      </c>
      <c r="O6488" t="s">
        <v>27</v>
      </c>
      <c r="P6488">
        <v>4.9645909259642904</v>
      </c>
      <c r="Q6488">
        <v>1.6688881377270699</v>
      </c>
      <c r="R6488">
        <v>7.2382268782510897</v>
      </c>
      <c r="S6488">
        <v>153</v>
      </c>
      <c r="T6488">
        <v>38</v>
      </c>
      <c r="U6488">
        <v>960.85464387699506</v>
      </c>
      <c r="V6488">
        <v>5.4585152838427901E-4</v>
      </c>
      <c r="W6488">
        <v>3846305.7724781702</v>
      </c>
      <c r="X6488" t="s">
        <v>43</v>
      </c>
      <c r="Y6488">
        <f>1-680-923-6178</f>
        <v>-7780</v>
      </c>
    </row>
    <row r="6489" spans="1:25" x14ac:dyDescent="0.35">
      <c r="A6489">
        <v>34.445956929069297</v>
      </c>
      <c r="B6489">
        <v>-123.231560931996</v>
      </c>
      <c r="C6489" t="s">
        <v>25</v>
      </c>
      <c r="D6489">
        <v>46.0733625021618</v>
      </c>
      <c r="E6489">
        <v>4</v>
      </c>
      <c r="F6489">
        <v>3494</v>
      </c>
      <c r="G6489">
        <v>1</v>
      </c>
      <c r="H6489">
        <v>1</v>
      </c>
      <c r="I6489">
        <v>2011</v>
      </c>
      <c r="J6489">
        <v>1</v>
      </c>
      <c r="K6489">
        <v>0</v>
      </c>
      <c r="L6489">
        <v>0</v>
      </c>
      <c r="M6489">
        <v>11</v>
      </c>
      <c r="N6489" t="s">
        <v>41</v>
      </c>
      <c r="O6489" t="s">
        <v>30</v>
      </c>
      <c r="P6489">
        <v>2.7127233756943401</v>
      </c>
      <c r="Q6489">
        <v>1.6688982130571399</v>
      </c>
      <c r="R6489">
        <v>8.2435489891658396</v>
      </c>
      <c r="S6489">
        <v>44</v>
      </c>
      <c r="T6489">
        <v>24</v>
      </c>
      <c r="U6489">
        <v>274.86362532714497</v>
      </c>
      <c r="V6489">
        <v>3.14825414997137E-3</v>
      </c>
      <c r="W6489">
        <v>1103816.5919830501</v>
      </c>
      <c r="X6489" t="s">
        <v>38</v>
      </c>
      <c r="Y6489">
        <f>1-739-400-1179</f>
        <v>-2317</v>
      </c>
    </row>
    <row r="6490" spans="1:25" x14ac:dyDescent="0.35">
      <c r="A6490">
        <v>33.431446525066399</v>
      </c>
      <c r="B6490">
        <v>-122.385331644877</v>
      </c>
      <c r="C6490" t="s">
        <v>25</v>
      </c>
      <c r="D6490">
        <v>6.3306345368619796</v>
      </c>
      <c r="E6490">
        <v>0</v>
      </c>
      <c r="F6490">
        <v>2124</v>
      </c>
      <c r="G6490">
        <v>1</v>
      </c>
      <c r="H6490">
        <v>1</v>
      </c>
      <c r="I6490">
        <v>1963</v>
      </c>
      <c r="J6490">
        <v>1</v>
      </c>
      <c r="K6490">
        <v>0</v>
      </c>
      <c r="L6490">
        <v>1</v>
      </c>
      <c r="M6490">
        <v>9</v>
      </c>
      <c r="N6490" t="s">
        <v>26</v>
      </c>
      <c r="O6490" t="s">
        <v>27</v>
      </c>
      <c r="P6490">
        <v>9.7476138441575593</v>
      </c>
      <c r="Q6490">
        <v>0.89719251972319602</v>
      </c>
      <c r="R6490">
        <v>0.78751356867634503</v>
      </c>
      <c r="S6490">
        <v>175</v>
      </c>
      <c r="T6490">
        <v>38</v>
      </c>
      <c r="U6490">
        <v>629.89927550696302</v>
      </c>
      <c r="V6490">
        <v>4.2372881355932203E-3</v>
      </c>
      <c r="W6490">
        <v>1489703.94274868</v>
      </c>
      <c r="X6490" t="s">
        <v>28</v>
      </c>
      <c r="Y6490">
        <f>1-904-727-2167</f>
        <v>-3797</v>
      </c>
    </row>
    <row r="6491" spans="1:25" x14ac:dyDescent="0.35">
      <c r="A6491">
        <v>38.700995952672002</v>
      </c>
      <c r="B6491">
        <v>-122.48679526533201</v>
      </c>
      <c r="C6491" t="s">
        <v>34</v>
      </c>
      <c r="D6491">
        <v>44.105896149457301</v>
      </c>
      <c r="E6491">
        <v>4</v>
      </c>
      <c r="F6491">
        <v>3987</v>
      </c>
      <c r="G6491">
        <v>5</v>
      </c>
      <c r="H6491">
        <v>3</v>
      </c>
      <c r="I6491">
        <v>1974</v>
      </c>
      <c r="J6491">
        <v>1</v>
      </c>
      <c r="K6491">
        <v>1</v>
      </c>
      <c r="L6491">
        <v>1</v>
      </c>
      <c r="M6491">
        <v>12</v>
      </c>
      <c r="N6491" t="s">
        <v>26</v>
      </c>
      <c r="O6491" t="s">
        <v>27</v>
      </c>
      <c r="P6491">
        <v>2.29507301505837</v>
      </c>
      <c r="Q6491">
        <v>0.633179385026165</v>
      </c>
      <c r="R6491">
        <v>8.8161012035471096</v>
      </c>
      <c r="S6491">
        <v>7</v>
      </c>
      <c r="T6491">
        <v>77</v>
      </c>
      <c r="U6491">
        <v>555.72713524965104</v>
      </c>
      <c r="V6491">
        <v>3.0097817908201598E-3</v>
      </c>
      <c r="W6491">
        <v>2588451.6600015298</v>
      </c>
      <c r="X6491" t="s">
        <v>31</v>
      </c>
      <c r="Y6491">
        <f>1-925-350-3775</f>
        <v>-5049</v>
      </c>
    </row>
    <row r="6492" spans="1:25" x14ac:dyDescent="0.35">
      <c r="A6492">
        <v>37.472925427099497</v>
      </c>
      <c r="B6492">
        <v>-116.917995923967</v>
      </c>
      <c r="C6492" t="s">
        <v>29</v>
      </c>
      <c r="D6492">
        <v>34.171385471658702</v>
      </c>
      <c r="E6492">
        <v>9</v>
      </c>
      <c r="F6492">
        <v>1920</v>
      </c>
      <c r="G6492">
        <v>4</v>
      </c>
      <c r="H6492">
        <v>1</v>
      </c>
      <c r="I6492">
        <v>1966</v>
      </c>
      <c r="J6492">
        <v>0</v>
      </c>
      <c r="K6492">
        <v>1</v>
      </c>
      <c r="L6492">
        <v>0</v>
      </c>
      <c r="M6492">
        <v>2</v>
      </c>
      <c r="N6492" t="s">
        <v>35</v>
      </c>
      <c r="O6492" t="s">
        <v>27</v>
      </c>
      <c r="P6492">
        <v>10.552320004117499</v>
      </c>
      <c r="Q6492">
        <v>0.51986186094867404</v>
      </c>
      <c r="R6492">
        <v>9.2842420534794297</v>
      </c>
      <c r="S6492">
        <v>196</v>
      </c>
      <c r="T6492">
        <v>40</v>
      </c>
      <c r="U6492">
        <v>636.25807372091697</v>
      </c>
      <c r="V6492">
        <v>1.0416666666666599E-3</v>
      </c>
      <c r="W6492">
        <v>1449166.1795980299</v>
      </c>
      <c r="X6492" t="s">
        <v>28</v>
      </c>
      <c r="Y6492">
        <f>1-905-160-3922</f>
        <v>-4986</v>
      </c>
    </row>
    <row r="6493" spans="1:25" x14ac:dyDescent="0.35">
      <c r="A6493">
        <v>41.3844414650166</v>
      </c>
      <c r="B6493">
        <v>-122.128858541976</v>
      </c>
      <c r="C6493" t="s">
        <v>25</v>
      </c>
      <c r="D6493">
        <v>46.756986872871401</v>
      </c>
      <c r="E6493">
        <v>2</v>
      </c>
      <c r="F6493">
        <v>1185</v>
      </c>
      <c r="G6493">
        <v>3</v>
      </c>
      <c r="H6493">
        <v>1</v>
      </c>
      <c r="I6493">
        <v>1989</v>
      </c>
      <c r="J6493">
        <v>1</v>
      </c>
      <c r="K6493">
        <v>0</v>
      </c>
      <c r="L6493">
        <v>1</v>
      </c>
      <c r="M6493">
        <v>14</v>
      </c>
      <c r="N6493" t="s">
        <v>41</v>
      </c>
      <c r="O6493" t="s">
        <v>32</v>
      </c>
      <c r="P6493">
        <v>11.404910509691501</v>
      </c>
      <c r="Q6493">
        <v>2.4877833034457399</v>
      </c>
      <c r="R6493">
        <v>1.92206131680118</v>
      </c>
      <c r="S6493">
        <v>51</v>
      </c>
      <c r="T6493">
        <v>27</v>
      </c>
      <c r="U6493">
        <v>435.67710527816098</v>
      </c>
      <c r="V6493">
        <v>1.1814345991561099E-2</v>
      </c>
      <c r="W6493">
        <v>817895.27771371102</v>
      </c>
      <c r="X6493" t="s">
        <v>38</v>
      </c>
      <c r="Y6493">
        <f>1-747-394-9740</f>
        <v>-10880</v>
      </c>
    </row>
    <row r="6494" spans="1:25" x14ac:dyDescent="0.35">
      <c r="A6494">
        <v>36.155096086077101</v>
      </c>
      <c r="B6494">
        <v>-121.56343041248</v>
      </c>
      <c r="C6494" t="s">
        <v>25</v>
      </c>
      <c r="D6494">
        <v>49.997899736507797</v>
      </c>
      <c r="E6494">
        <v>0</v>
      </c>
      <c r="F6494">
        <v>1544</v>
      </c>
      <c r="G6494">
        <v>3</v>
      </c>
      <c r="H6494">
        <v>1</v>
      </c>
      <c r="I6494">
        <v>2020</v>
      </c>
      <c r="J6494">
        <v>0</v>
      </c>
      <c r="K6494">
        <v>1</v>
      </c>
      <c r="L6494">
        <v>1</v>
      </c>
      <c r="M6494">
        <v>11</v>
      </c>
      <c r="N6494" t="s">
        <v>37</v>
      </c>
      <c r="O6494" t="s">
        <v>30</v>
      </c>
      <c r="P6494">
        <v>13.063694275602</v>
      </c>
      <c r="Q6494">
        <v>0.90172991069416097</v>
      </c>
      <c r="R6494">
        <v>3.0898228935565801</v>
      </c>
      <c r="S6494">
        <v>135</v>
      </c>
      <c r="T6494">
        <v>52</v>
      </c>
      <c r="U6494">
        <v>265.63595831695102</v>
      </c>
      <c r="V6494">
        <v>7.12435233160621E-3</v>
      </c>
      <c r="W6494">
        <v>755132.04201225203</v>
      </c>
      <c r="X6494" t="s">
        <v>39</v>
      </c>
      <c r="Y6494">
        <f>1-942-132-5373</f>
        <v>-6446</v>
      </c>
    </row>
    <row r="6495" spans="1:25" x14ac:dyDescent="0.35">
      <c r="A6495">
        <v>32.949518657770497</v>
      </c>
      <c r="B6495">
        <v>-121.875861748269</v>
      </c>
      <c r="C6495" t="s">
        <v>34</v>
      </c>
      <c r="D6495">
        <v>5.5867180146404198</v>
      </c>
      <c r="E6495">
        <v>0</v>
      </c>
      <c r="F6495">
        <v>2465</v>
      </c>
      <c r="G6495">
        <v>3</v>
      </c>
      <c r="H6495">
        <v>3</v>
      </c>
      <c r="I6495">
        <v>2002</v>
      </c>
      <c r="J6495">
        <v>1</v>
      </c>
      <c r="K6495">
        <v>1</v>
      </c>
      <c r="L6495">
        <v>0</v>
      </c>
      <c r="M6495">
        <v>13</v>
      </c>
      <c r="N6495" t="s">
        <v>37</v>
      </c>
      <c r="O6495" t="s">
        <v>30</v>
      </c>
      <c r="P6495">
        <v>10.7501130072802</v>
      </c>
      <c r="Q6495">
        <v>0.90934920041508005</v>
      </c>
      <c r="R6495">
        <v>7.20831659793427</v>
      </c>
      <c r="S6495">
        <v>54</v>
      </c>
      <c r="T6495">
        <v>57</v>
      </c>
      <c r="U6495">
        <v>278.36187350724799</v>
      </c>
      <c r="V6495">
        <v>5.2738336713995899E-3</v>
      </c>
      <c r="W6495">
        <v>1237220.76482862</v>
      </c>
      <c r="X6495" t="s">
        <v>42</v>
      </c>
      <c r="Y6495">
        <f>1-368-907-8308</f>
        <v>-9582</v>
      </c>
    </row>
    <row r="6496" spans="1:25" x14ac:dyDescent="0.35">
      <c r="A6496">
        <v>34.900963102079402</v>
      </c>
      <c r="B6496">
        <v>-118.205760865816</v>
      </c>
      <c r="C6496" t="s">
        <v>29</v>
      </c>
      <c r="D6496">
        <v>20.478205417663499</v>
      </c>
      <c r="E6496">
        <v>4</v>
      </c>
      <c r="F6496">
        <v>623</v>
      </c>
      <c r="G6496">
        <v>5</v>
      </c>
      <c r="H6496">
        <v>1</v>
      </c>
      <c r="I6496">
        <v>2000</v>
      </c>
      <c r="J6496">
        <v>0</v>
      </c>
      <c r="K6496">
        <v>1</v>
      </c>
      <c r="L6496">
        <v>1</v>
      </c>
      <c r="M6496">
        <v>11</v>
      </c>
      <c r="N6496" t="s">
        <v>35</v>
      </c>
      <c r="O6496" t="s">
        <v>32</v>
      </c>
      <c r="P6496">
        <v>13.445630083660401</v>
      </c>
      <c r="Q6496">
        <v>1.77906760462337</v>
      </c>
      <c r="R6496">
        <v>6.2088404233594598</v>
      </c>
      <c r="S6496">
        <v>143</v>
      </c>
      <c r="T6496">
        <v>40</v>
      </c>
      <c r="U6496">
        <v>565.64725820191302</v>
      </c>
      <c r="V6496">
        <v>1.7656500802568201E-2</v>
      </c>
      <c r="W6496">
        <v>779684.41661227203</v>
      </c>
      <c r="X6496" t="s">
        <v>44</v>
      </c>
      <c r="Y6496">
        <f>1-819-597-8926</f>
        <v>-10341</v>
      </c>
    </row>
    <row r="6497" spans="1:25" x14ac:dyDescent="0.35">
      <c r="A6497">
        <v>33.618223003179899</v>
      </c>
      <c r="B6497">
        <v>-124.25065420763799</v>
      </c>
      <c r="C6497" t="s">
        <v>29</v>
      </c>
      <c r="D6497">
        <v>11.6380456744022</v>
      </c>
      <c r="E6497">
        <v>9</v>
      </c>
      <c r="F6497">
        <v>4384</v>
      </c>
      <c r="G6497">
        <v>4</v>
      </c>
      <c r="H6497">
        <v>3</v>
      </c>
      <c r="I6497">
        <v>1956</v>
      </c>
      <c r="J6497">
        <v>1</v>
      </c>
      <c r="K6497">
        <v>0</v>
      </c>
      <c r="L6497">
        <v>1</v>
      </c>
      <c r="M6497">
        <v>7</v>
      </c>
      <c r="N6497" t="s">
        <v>26</v>
      </c>
      <c r="O6497" t="s">
        <v>32</v>
      </c>
      <c r="P6497">
        <v>4.01601518231932</v>
      </c>
      <c r="Q6497">
        <v>0.51716637980828295</v>
      </c>
      <c r="R6497">
        <v>2.2949388713535099</v>
      </c>
      <c r="S6497">
        <v>105</v>
      </c>
      <c r="T6497">
        <v>37</v>
      </c>
      <c r="U6497">
        <v>468.44853531875799</v>
      </c>
      <c r="V6497">
        <v>1.59671532846715E-3</v>
      </c>
      <c r="W6497">
        <v>2346752.1206371002</v>
      </c>
      <c r="X6497" t="s">
        <v>40</v>
      </c>
      <c r="Y6497">
        <f>1-409-557-9210</f>
        <v>-10175</v>
      </c>
    </row>
    <row r="6498" spans="1:25" x14ac:dyDescent="0.35">
      <c r="A6498">
        <v>36.862358193669202</v>
      </c>
      <c r="B6498">
        <v>-123.676237293371</v>
      </c>
      <c r="C6498" t="s">
        <v>34</v>
      </c>
      <c r="D6498">
        <v>2.3870573277814899</v>
      </c>
      <c r="E6498">
        <v>3</v>
      </c>
      <c r="F6498">
        <v>4877</v>
      </c>
      <c r="G6498">
        <v>2</v>
      </c>
      <c r="H6498">
        <v>2</v>
      </c>
      <c r="I6498">
        <v>2021</v>
      </c>
      <c r="J6498">
        <v>1</v>
      </c>
      <c r="K6498">
        <v>1</v>
      </c>
      <c r="L6498">
        <v>0</v>
      </c>
      <c r="M6498">
        <v>10</v>
      </c>
      <c r="N6498" t="s">
        <v>41</v>
      </c>
      <c r="O6498" t="s">
        <v>32</v>
      </c>
      <c r="P6498">
        <v>9.1350248179112405</v>
      </c>
      <c r="Q6498">
        <v>0.83017775316181097</v>
      </c>
      <c r="R6498">
        <v>2.3198634778239899</v>
      </c>
      <c r="S6498">
        <v>46</v>
      </c>
      <c r="T6498">
        <v>47</v>
      </c>
      <c r="U6498">
        <v>270.87079119357901</v>
      </c>
      <c r="V6498">
        <v>2.0504408447816198E-3</v>
      </c>
      <c r="W6498">
        <v>1651240.20336744</v>
      </c>
      <c r="X6498" t="s">
        <v>38</v>
      </c>
      <c r="Y6498">
        <f>1-343-154-6161</f>
        <v>-6657</v>
      </c>
    </row>
    <row r="6499" spans="1:25" x14ac:dyDescent="0.35">
      <c r="A6499">
        <v>35.485410322908201</v>
      </c>
      <c r="B6499">
        <v>-114.740262680803</v>
      </c>
      <c r="C6499" t="s">
        <v>34</v>
      </c>
      <c r="D6499">
        <v>5.7372345409482897</v>
      </c>
      <c r="E6499">
        <v>3</v>
      </c>
      <c r="F6499">
        <v>654</v>
      </c>
      <c r="G6499">
        <v>4</v>
      </c>
      <c r="H6499">
        <v>3</v>
      </c>
      <c r="I6499">
        <v>2013</v>
      </c>
      <c r="J6499">
        <v>0</v>
      </c>
      <c r="K6499">
        <v>1</v>
      </c>
      <c r="L6499">
        <v>1</v>
      </c>
      <c r="M6499">
        <v>4</v>
      </c>
      <c r="N6499" t="s">
        <v>26</v>
      </c>
      <c r="O6499" t="s">
        <v>32</v>
      </c>
      <c r="P6499">
        <v>4.4756599375641297</v>
      </c>
      <c r="Q6499">
        <v>0.73663947033820099</v>
      </c>
      <c r="R6499">
        <v>4.5051809287094304</v>
      </c>
      <c r="S6499">
        <v>68</v>
      </c>
      <c r="T6499">
        <v>60</v>
      </c>
      <c r="U6499">
        <v>497.41117294072097</v>
      </c>
      <c r="V6499">
        <v>6.1162079510703304E-3</v>
      </c>
      <c r="W6499">
        <v>742300.07070416701</v>
      </c>
      <c r="X6499" t="s">
        <v>42</v>
      </c>
      <c r="Y6499">
        <f>1-920-754-8717</f>
        <v>-10390</v>
      </c>
    </row>
    <row r="6500" spans="1:25" x14ac:dyDescent="0.35">
      <c r="A6500">
        <v>33.364442548455202</v>
      </c>
      <c r="B6500">
        <v>-118.86901333263</v>
      </c>
      <c r="C6500" t="s">
        <v>34</v>
      </c>
      <c r="D6500">
        <v>20.006956522227199</v>
      </c>
      <c r="E6500">
        <v>0</v>
      </c>
      <c r="F6500">
        <v>1683</v>
      </c>
      <c r="G6500">
        <v>3</v>
      </c>
      <c r="H6500">
        <v>2</v>
      </c>
      <c r="I6500">
        <v>2018</v>
      </c>
      <c r="J6500">
        <v>0</v>
      </c>
      <c r="K6500">
        <v>0</v>
      </c>
      <c r="L6500">
        <v>1</v>
      </c>
      <c r="M6500">
        <v>4</v>
      </c>
      <c r="N6500" t="s">
        <v>41</v>
      </c>
      <c r="O6500" t="s">
        <v>27</v>
      </c>
      <c r="P6500">
        <v>8.7619117698324391</v>
      </c>
      <c r="Q6500">
        <v>2.2751622259730899</v>
      </c>
      <c r="R6500">
        <v>0.70190692485819695</v>
      </c>
      <c r="S6500">
        <v>61</v>
      </c>
      <c r="T6500">
        <v>49</v>
      </c>
      <c r="U6500">
        <v>241.40472062256001</v>
      </c>
      <c r="V6500">
        <v>2.3767082590612E-3</v>
      </c>
      <c r="W6500">
        <v>697821.37948929705</v>
      </c>
      <c r="X6500" t="s">
        <v>38</v>
      </c>
      <c r="Y6500">
        <f>1-364-858-1433</f>
        <v>-2654</v>
      </c>
    </row>
    <row r="6501" spans="1:25" x14ac:dyDescent="0.35">
      <c r="A6501">
        <v>36.158682449255302</v>
      </c>
      <c r="B6501">
        <v>-119.08287181444901</v>
      </c>
      <c r="C6501" t="s">
        <v>29</v>
      </c>
      <c r="D6501">
        <v>32.737047868645703</v>
      </c>
      <c r="E6501">
        <v>1</v>
      </c>
      <c r="F6501">
        <v>4635</v>
      </c>
      <c r="G6501">
        <v>4</v>
      </c>
      <c r="H6501">
        <v>1</v>
      </c>
      <c r="I6501">
        <v>1975</v>
      </c>
      <c r="J6501">
        <v>0</v>
      </c>
      <c r="K6501">
        <v>1</v>
      </c>
      <c r="L6501">
        <v>0</v>
      </c>
      <c r="M6501">
        <v>11</v>
      </c>
      <c r="N6501" t="s">
        <v>41</v>
      </c>
      <c r="O6501" t="s">
        <v>30</v>
      </c>
      <c r="P6501">
        <v>3.4337404887678802</v>
      </c>
      <c r="Q6501">
        <v>1.3661874067062401</v>
      </c>
      <c r="R6501">
        <v>5.6478327944993998</v>
      </c>
      <c r="S6501">
        <v>164</v>
      </c>
      <c r="T6501">
        <v>29</v>
      </c>
      <c r="U6501">
        <v>251.00791042565999</v>
      </c>
      <c r="V6501">
        <v>2.3732470334412001E-3</v>
      </c>
      <c r="W6501">
        <v>1450591.14391929</v>
      </c>
      <c r="X6501" t="s">
        <v>43</v>
      </c>
      <c r="Y6501">
        <f>1-690-842-5022</f>
        <v>-6553</v>
      </c>
    </row>
    <row r="6502" spans="1:25" x14ac:dyDescent="0.35">
      <c r="A6502">
        <v>36.187540555546597</v>
      </c>
      <c r="B6502">
        <v>-119.336108369369</v>
      </c>
      <c r="C6502" t="s">
        <v>25</v>
      </c>
      <c r="D6502">
        <v>42.676008244584899</v>
      </c>
      <c r="E6502">
        <v>8</v>
      </c>
      <c r="F6502">
        <v>2451</v>
      </c>
      <c r="G6502">
        <v>2</v>
      </c>
      <c r="H6502">
        <v>1</v>
      </c>
      <c r="I6502">
        <v>1975</v>
      </c>
      <c r="J6502">
        <v>1</v>
      </c>
      <c r="K6502">
        <v>1</v>
      </c>
      <c r="L6502">
        <v>1</v>
      </c>
      <c r="M6502">
        <v>13</v>
      </c>
      <c r="N6502" t="s">
        <v>26</v>
      </c>
      <c r="O6502" t="s">
        <v>30</v>
      </c>
      <c r="P6502">
        <v>6.5016247319584597</v>
      </c>
      <c r="Q6502">
        <v>2.4742663973497101</v>
      </c>
      <c r="R6502">
        <v>2.7433083757644399</v>
      </c>
      <c r="S6502">
        <v>123</v>
      </c>
      <c r="T6502">
        <v>68</v>
      </c>
      <c r="U6502">
        <v>351.90311268458601</v>
      </c>
      <c r="V6502">
        <v>5.3039575683394499E-3</v>
      </c>
      <c r="W6502">
        <v>1099106.08229891</v>
      </c>
      <c r="X6502" t="s">
        <v>40</v>
      </c>
      <c r="Y6502">
        <f>1-981-292-3485</f>
        <v>-4757</v>
      </c>
    </row>
    <row r="6503" spans="1:25" x14ac:dyDescent="0.35">
      <c r="A6503">
        <v>32.904046560725902</v>
      </c>
      <c r="B6503">
        <v>-119.755809524943</v>
      </c>
      <c r="C6503" t="s">
        <v>29</v>
      </c>
      <c r="D6503">
        <v>41.579861162866798</v>
      </c>
      <c r="E6503">
        <v>1</v>
      </c>
      <c r="F6503">
        <v>567</v>
      </c>
      <c r="G6503">
        <v>1</v>
      </c>
      <c r="H6503">
        <v>3</v>
      </c>
      <c r="I6503">
        <v>1962</v>
      </c>
      <c r="J6503">
        <v>0</v>
      </c>
      <c r="K6503">
        <v>0</v>
      </c>
      <c r="L6503">
        <v>0</v>
      </c>
      <c r="M6503">
        <v>8</v>
      </c>
      <c r="N6503" t="s">
        <v>37</v>
      </c>
      <c r="O6503" t="s">
        <v>32</v>
      </c>
      <c r="P6503">
        <v>3.5835086041884399</v>
      </c>
      <c r="Q6503">
        <v>1.35128286996261</v>
      </c>
      <c r="R6503">
        <v>0.44569577163375501</v>
      </c>
      <c r="S6503">
        <v>59</v>
      </c>
      <c r="T6503">
        <v>79</v>
      </c>
      <c r="U6503">
        <v>784.93638023523101</v>
      </c>
      <c r="V6503">
        <v>1.4109347442680701E-2</v>
      </c>
      <c r="W6503">
        <v>460609.71240637603</v>
      </c>
      <c r="X6503" t="s">
        <v>33</v>
      </c>
      <c r="Y6503">
        <f>1-799-448-3516</f>
        <v>-4762</v>
      </c>
    </row>
    <row r="6504" spans="1:25" x14ac:dyDescent="0.35">
      <c r="A6504">
        <v>36.905607610463903</v>
      </c>
      <c r="B6504">
        <v>-119.327575580238</v>
      </c>
      <c r="C6504" t="s">
        <v>29</v>
      </c>
      <c r="D6504">
        <v>31.0619142925033</v>
      </c>
      <c r="E6504">
        <v>5</v>
      </c>
      <c r="F6504">
        <v>4532</v>
      </c>
      <c r="G6504">
        <v>5</v>
      </c>
      <c r="H6504">
        <v>3</v>
      </c>
      <c r="I6504">
        <v>2001</v>
      </c>
      <c r="J6504">
        <v>0</v>
      </c>
      <c r="K6504">
        <v>1</v>
      </c>
      <c r="L6504">
        <v>1</v>
      </c>
      <c r="M6504">
        <v>4</v>
      </c>
      <c r="N6504" t="s">
        <v>26</v>
      </c>
      <c r="O6504" t="s">
        <v>30</v>
      </c>
      <c r="P6504">
        <v>7.5849638297202002</v>
      </c>
      <c r="Q6504">
        <v>2.49999755884506</v>
      </c>
      <c r="R6504">
        <v>7.1181395118871604</v>
      </c>
      <c r="S6504">
        <v>63</v>
      </c>
      <c r="T6504">
        <v>56</v>
      </c>
      <c r="U6504">
        <v>857.94077420328495</v>
      </c>
      <c r="V6504">
        <v>8.8261253309797002E-4</v>
      </c>
      <c r="W6504">
        <v>4412263.43313359</v>
      </c>
      <c r="X6504" t="s">
        <v>42</v>
      </c>
      <c r="Y6504">
        <f>1-876-851-1868</f>
        <v>-3594</v>
      </c>
    </row>
    <row r="6505" spans="1:25" x14ac:dyDescent="0.35">
      <c r="A6505">
        <v>38.921473833368502</v>
      </c>
      <c r="B6505">
        <v>-116.92499676587499</v>
      </c>
      <c r="C6505" t="s">
        <v>34</v>
      </c>
      <c r="D6505">
        <v>35.217562782084599</v>
      </c>
      <c r="E6505">
        <v>6</v>
      </c>
      <c r="F6505">
        <v>2675</v>
      </c>
      <c r="G6505">
        <v>1</v>
      </c>
      <c r="H6505">
        <v>1</v>
      </c>
      <c r="I6505">
        <v>1959</v>
      </c>
      <c r="J6505">
        <v>1</v>
      </c>
      <c r="K6505">
        <v>1</v>
      </c>
      <c r="L6505">
        <v>0</v>
      </c>
      <c r="M6505">
        <v>5</v>
      </c>
      <c r="N6505" t="s">
        <v>35</v>
      </c>
      <c r="O6505" t="s">
        <v>27</v>
      </c>
      <c r="P6505">
        <v>13.1242553768151</v>
      </c>
      <c r="Q6505">
        <v>1.37067576556078</v>
      </c>
      <c r="R6505">
        <v>3.0025910349661502</v>
      </c>
      <c r="S6505">
        <v>174</v>
      </c>
      <c r="T6505">
        <v>77</v>
      </c>
      <c r="U6505">
        <v>700.79991866434898</v>
      </c>
      <c r="V6505">
        <v>1.8691588785046699E-3</v>
      </c>
      <c r="W6505">
        <v>2091010.5088360701</v>
      </c>
      <c r="X6505" t="s">
        <v>36</v>
      </c>
      <c r="Y6505">
        <f>1-633-810-7442</f>
        <v>-8884</v>
      </c>
    </row>
    <row r="6506" spans="1:25" x14ac:dyDescent="0.35">
      <c r="A6506">
        <v>40.339007776013297</v>
      </c>
      <c r="B6506">
        <v>-120.951458661457</v>
      </c>
      <c r="C6506" t="s">
        <v>34</v>
      </c>
      <c r="D6506">
        <v>33.430379448581697</v>
      </c>
      <c r="E6506">
        <v>6</v>
      </c>
      <c r="F6506">
        <v>4084</v>
      </c>
      <c r="G6506">
        <v>5</v>
      </c>
      <c r="H6506">
        <v>2</v>
      </c>
      <c r="I6506">
        <v>2006</v>
      </c>
      <c r="J6506">
        <v>1</v>
      </c>
      <c r="K6506">
        <v>1</v>
      </c>
      <c r="L6506">
        <v>0</v>
      </c>
      <c r="M6506">
        <v>5</v>
      </c>
      <c r="N6506" t="s">
        <v>35</v>
      </c>
      <c r="O6506" t="s">
        <v>32</v>
      </c>
      <c r="P6506">
        <v>14.8653749571186</v>
      </c>
      <c r="Q6506">
        <v>0.83776060193797497</v>
      </c>
      <c r="R6506">
        <v>3.1719373175699599</v>
      </c>
      <c r="S6506">
        <v>116</v>
      </c>
      <c r="T6506">
        <v>48</v>
      </c>
      <c r="U6506">
        <v>839.39262728084202</v>
      </c>
      <c r="V6506">
        <v>1.2242899118511199E-3</v>
      </c>
      <c r="W6506">
        <v>3924733.49907084</v>
      </c>
      <c r="X6506" t="s">
        <v>43</v>
      </c>
      <c r="Y6506">
        <f>1-945-750-7455</f>
        <v>-9149</v>
      </c>
    </row>
    <row r="6507" spans="1:25" x14ac:dyDescent="0.35">
      <c r="A6507">
        <v>37.046500011298498</v>
      </c>
      <c r="B6507">
        <v>-119.97630697578001</v>
      </c>
      <c r="C6507" t="s">
        <v>34</v>
      </c>
      <c r="D6507">
        <v>49.314728005544502</v>
      </c>
      <c r="E6507">
        <v>1</v>
      </c>
      <c r="F6507">
        <v>2745</v>
      </c>
      <c r="G6507">
        <v>5</v>
      </c>
      <c r="H6507">
        <v>3</v>
      </c>
      <c r="I6507">
        <v>1966</v>
      </c>
      <c r="J6507">
        <v>0</v>
      </c>
      <c r="K6507">
        <v>1</v>
      </c>
      <c r="L6507">
        <v>1</v>
      </c>
      <c r="M6507">
        <v>12</v>
      </c>
      <c r="N6507" t="s">
        <v>26</v>
      </c>
      <c r="O6507" t="s">
        <v>30</v>
      </c>
      <c r="P6507">
        <v>4.28190759898661</v>
      </c>
      <c r="Q6507">
        <v>2.3255466640360498</v>
      </c>
      <c r="R6507">
        <v>8.8465598198346598</v>
      </c>
      <c r="S6507">
        <v>178</v>
      </c>
      <c r="T6507">
        <v>38</v>
      </c>
      <c r="U6507">
        <v>627.07463534471901</v>
      </c>
      <c r="V6507">
        <v>4.3715846994535502E-3</v>
      </c>
      <c r="W6507">
        <v>1940841.6414699301</v>
      </c>
      <c r="X6507" t="s">
        <v>42</v>
      </c>
      <c r="Y6507">
        <f>1-399-222-7336</f>
        <v>-7956</v>
      </c>
    </row>
    <row r="6508" spans="1:25" x14ac:dyDescent="0.35">
      <c r="A6508">
        <v>38.806827680465901</v>
      </c>
      <c r="B6508">
        <v>-122.601164165688</v>
      </c>
      <c r="C6508" t="s">
        <v>29</v>
      </c>
      <c r="D6508">
        <v>24.899131581502399</v>
      </c>
      <c r="E6508">
        <v>9</v>
      </c>
      <c r="F6508">
        <v>1401</v>
      </c>
      <c r="G6508">
        <v>2</v>
      </c>
      <c r="H6508">
        <v>2</v>
      </c>
      <c r="I6508">
        <v>1986</v>
      </c>
      <c r="J6508">
        <v>1</v>
      </c>
      <c r="K6508">
        <v>0</v>
      </c>
      <c r="L6508">
        <v>0</v>
      </c>
      <c r="M6508">
        <v>12</v>
      </c>
      <c r="N6508" t="s">
        <v>35</v>
      </c>
      <c r="O6508" t="s">
        <v>27</v>
      </c>
      <c r="P6508">
        <v>14.404283589157</v>
      </c>
      <c r="Q6508">
        <v>1.09262978650786</v>
      </c>
      <c r="R6508">
        <v>7.9931997438066498</v>
      </c>
      <c r="S6508">
        <v>128</v>
      </c>
      <c r="T6508">
        <v>60</v>
      </c>
      <c r="U6508">
        <v>727.00808670128004</v>
      </c>
      <c r="V6508">
        <v>8.5653104925053503E-3</v>
      </c>
      <c r="W6508">
        <v>1246995.54984915</v>
      </c>
      <c r="X6508" t="s">
        <v>31</v>
      </c>
      <c r="Y6508">
        <f>1-606-209-3036</f>
        <v>-3850</v>
      </c>
    </row>
    <row r="6509" spans="1:25" x14ac:dyDescent="0.35">
      <c r="A6509">
        <v>32.746698927638199</v>
      </c>
      <c r="B6509">
        <v>-117.258740047389</v>
      </c>
      <c r="C6509" t="s">
        <v>29</v>
      </c>
      <c r="D6509">
        <v>48.4158413992836</v>
      </c>
      <c r="E6509">
        <v>6</v>
      </c>
      <c r="F6509">
        <v>861</v>
      </c>
      <c r="G6509">
        <v>5</v>
      </c>
      <c r="H6509">
        <v>3</v>
      </c>
      <c r="I6509">
        <v>1978</v>
      </c>
      <c r="J6509">
        <v>1</v>
      </c>
      <c r="K6509">
        <v>0</v>
      </c>
      <c r="L6509">
        <v>0</v>
      </c>
      <c r="M6509">
        <v>13</v>
      </c>
      <c r="N6509" t="s">
        <v>41</v>
      </c>
      <c r="O6509" t="s">
        <v>32</v>
      </c>
      <c r="P6509">
        <v>12.5983495332014</v>
      </c>
      <c r="Q6509">
        <v>2.0898961458662102</v>
      </c>
      <c r="R6509">
        <v>2.59335935134217</v>
      </c>
      <c r="S6509">
        <v>15</v>
      </c>
      <c r="T6509">
        <v>22</v>
      </c>
      <c r="U6509">
        <v>826.25636131339104</v>
      </c>
      <c r="V6509">
        <v>1.5098722415795501E-2</v>
      </c>
      <c r="W6509">
        <v>1208554.0007238099</v>
      </c>
      <c r="X6509" t="s">
        <v>40</v>
      </c>
      <c r="Y6509">
        <f>1-820-663-3787</f>
        <v>-5269</v>
      </c>
    </row>
    <row r="6510" spans="1:25" x14ac:dyDescent="0.35">
      <c r="A6510">
        <v>36.112405399586798</v>
      </c>
      <c r="B6510">
        <v>-123.12122381359799</v>
      </c>
      <c r="C6510" t="s">
        <v>25</v>
      </c>
      <c r="D6510">
        <v>14.634001625148001</v>
      </c>
      <c r="E6510">
        <v>7</v>
      </c>
      <c r="F6510">
        <v>2810</v>
      </c>
      <c r="G6510">
        <v>3</v>
      </c>
      <c r="H6510">
        <v>1</v>
      </c>
      <c r="I6510">
        <v>1951</v>
      </c>
      <c r="J6510">
        <v>1</v>
      </c>
      <c r="K6510">
        <v>1</v>
      </c>
      <c r="L6510">
        <v>0</v>
      </c>
      <c r="M6510">
        <v>10</v>
      </c>
      <c r="N6510" t="s">
        <v>37</v>
      </c>
      <c r="O6510" t="s">
        <v>30</v>
      </c>
      <c r="P6510">
        <v>3.0315721837333398</v>
      </c>
      <c r="Q6510">
        <v>0.92730842246329204</v>
      </c>
      <c r="R6510">
        <v>9.8885078701838101</v>
      </c>
      <c r="S6510">
        <v>193</v>
      </c>
      <c r="T6510">
        <v>54</v>
      </c>
      <c r="U6510">
        <v>825.91932745136899</v>
      </c>
      <c r="V6510">
        <v>3.5587188612099599E-3</v>
      </c>
      <c r="W6510">
        <v>2487709.1063720202</v>
      </c>
      <c r="X6510" t="s">
        <v>44</v>
      </c>
      <c r="Y6510">
        <f>1-390-997-6371</f>
        <v>-7757</v>
      </c>
    </row>
    <row r="6511" spans="1:25" x14ac:dyDescent="0.35">
      <c r="A6511">
        <v>39.414287445902701</v>
      </c>
      <c r="B6511">
        <v>-115.219929545429</v>
      </c>
      <c r="C6511" t="s">
        <v>29</v>
      </c>
      <c r="D6511">
        <v>34.941050856627299</v>
      </c>
      <c r="E6511">
        <v>0</v>
      </c>
      <c r="F6511">
        <v>3088</v>
      </c>
      <c r="G6511">
        <v>5</v>
      </c>
      <c r="H6511">
        <v>2</v>
      </c>
      <c r="I6511">
        <v>2015</v>
      </c>
      <c r="J6511">
        <v>1</v>
      </c>
      <c r="K6511">
        <v>1</v>
      </c>
      <c r="L6511">
        <v>0</v>
      </c>
      <c r="M6511">
        <v>13</v>
      </c>
      <c r="N6511" t="s">
        <v>41</v>
      </c>
      <c r="O6511" t="s">
        <v>27</v>
      </c>
      <c r="P6511">
        <v>10.215935183248</v>
      </c>
      <c r="Q6511">
        <v>1.0451416485037499</v>
      </c>
      <c r="R6511">
        <v>8.9244270518110707</v>
      </c>
      <c r="S6511">
        <v>33</v>
      </c>
      <c r="T6511">
        <v>40</v>
      </c>
      <c r="U6511">
        <v>818.78960607033503</v>
      </c>
      <c r="V6511">
        <v>4.2098445595854898E-3</v>
      </c>
      <c r="W6511">
        <v>3020072.42251042</v>
      </c>
      <c r="X6511" t="s">
        <v>28</v>
      </c>
      <c r="Y6511">
        <f>1-828-144-9789</f>
        <v>-10760</v>
      </c>
    </row>
    <row r="6512" spans="1:25" x14ac:dyDescent="0.35">
      <c r="A6512">
        <v>34.243528012215101</v>
      </c>
      <c r="B6512">
        <v>-116.184497447753</v>
      </c>
      <c r="C6512" t="s">
        <v>34</v>
      </c>
      <c r="D6512">
        <v>19.436017367081298</v>
      </c>
      <c r="E6512">
        <v>4</v>
      </c>
      <c r="F6512">
        <v>3315</v>
      </c>
      <c r="G6512">
        <v>3</v>
      </c>
      <c r="H6512">
        <v>1</v>
      </c>
      <c r="I6512">
        <v>1951</v>
      </c>
      <c r="J6512">
        <v>1</v>
      </c>
      <c r="K6512">
        <v>1</v>
      </c>
      <c r="L6512">
        <v>0</v>
      </c>
      <c r="M6512">
        <v>11</v>
      </c>
      <c r="N6512" t="s">
        <v>37</v>
      </c>
      <c r="O6512" t="s">
        <v>30</v>
      </c>
      <c r="P6512">
        <v>3.7802304675484</v>
      </c>
      <c r="Q6512">
        <v>1.44393932898773</v>
      </c>
      <c r="R6512">
        <v>0.78593071570106599</v>
      </c>
      <c r="S6512">
        <v>173</v>
      </c>
      <c r="T6512">
        <v>67</v>
      </c>
      <c r="U6512">
        <v>805.96949260266604</v>
      </c>
      <c r="V6512">
        <v>3.3182503770738999E-3</v>
      </c>
      <c r="W6512">
        <v>2794290.3911513099</v>
      </c>
      <c r="X6512" t="s">
        <v>38</v>
      </c>
      <c r="Y6512">
        <f>1-717-354-9230</f>
        <v>-10300</v>
      </c>
    </row>
    <row r="6513" spans="1:25" x14ac:dyDescent="0.35">
      <c r="A6513">
        <v>36.764795480108901</v>
      </c>
      <c r="B6513">
        <v>-115.475626760941</v>
      </c>
      <c r="C6513" t="s">
        <v>25</v>
      </c>
      <c r="D6513">
        <v>7.6536532846793</v>
      </c>
      <c r="E6513">
        <v>6</v>
      </c>
      <c r="F6513">
        <v>2141</v>
      </c>
      <c r="G6513">
        <v>2</v>
      </c>
      <c r="H6513">
        <v>2</v>
      </c>
      <c r="I6513">
        <v>1959</v>
      </c>
      <c r="J6513">
        <v>0</v>
      </c>
      <c r="K6513">
        <v>1</v>
      </c>
      <c r="L6513">
        <v>0</v>
      </c>
      <c r="M6513">
        <v>6</v>
      </c>
      <c r="N6513" t="s">
        <v>35</v>
      </c>
      <c r="O6513" t="s">
        <v>27</v>
      </c>
      <c r="P6513">
        <v>5.6244358313242104</v>
      </c>
      <c r="Q6513">
        <v>1.39620388048569</v>
      </c>
      <c r="R6513">
        <v>1.5370697611949999</v>
      </c>
      <c r="S6513">
        <v>78</v>
      </c>
      <c r="T6513">
        <v>52</v>
      </c>
      <c r="U6513">
        <v>452.85492650619301</v>
      </c>
      <c r="V6513">
        <v>2.8024287716020501E-3</v>
      </c>
      <c r="W6513">
        <v>1222147.3835635399</v>
      </c>
      <c r="X6513" t="s">
        <v>44</v>
      </c>
      <c r="Y6513">
        <f>1-906-898-6456</f>
        <v>-8259</v>
      </c>
    </row>
    <row r="6514" spans="1:25" x14ac:dyDescent="0.35">
      <c r="A6514">
        <v>39.029267921534398</v>
      </c>
      <c r="B6514">
        <v>-118.978798032645</v>
      </c>
      <c r="C6514" t="s">
        <v>25</v>
      </c>
      <c r="D6514">
        <v>47.272975780684497</v>
      </c>
      <c r="E6514">
        <v>6</v>
      </c>
      <c r="F6514">
        <v>3944</v>
      </c>
      <c r="G6514">
        <v>4</v>
      </c>
      <c r="H6514">
        <v>1</v>
      </c>
      <c r="I6514">
        <v>1993</v>
      </c>
      <c r="J6514">
        <v>1</v>
      </c>
      <c r="K6514">
        <v>0</v>
      </c>
      <c r="L6514">
        <v>0</v>
      </c>
      <c r="M6514">
        <v>11</v>
      </c>
      <c r="N6514" t="s">
        <v>37</v>
      </c>
      <c r="O6514" t="s">
        <v>27</v>
      </c>
      <c r="P6514">
        <v>4.5070597773096903</v>
      </c>
      <c r="Q6514">
        <v>1.7613121230083999</v>
      </c>
      <c r="R6514">
        <v>4.3059650521824704</v>
      </c>
      <c r="S6514">
        <v>131</v>
      </c>
      <c r="T6514">
        <v>51</v>
      </c>
      <c r="U6514">
        <v>852.43725869588297</v>
      </c>
      <c r="V6514">
        <v>2.7890466531440101E-3</v>
      </c>
      <c r="W6514">
        <v>3599015.1472547599</v>
      </c>
      <c r="X6514" t="s">
        <v>38</v>
      </c>
      <c r="Y6514">
        <f>1-479-296-6523</f>
        <v>-7297</v>
      </c>
    </row>
    <row r="6515" spans="1:25" x14ac:dyDescent="0.35">
      <c r="A6515">
        <v>39.328354346204399</v>
      </c>
      <c r="B6515">
        <v>-118.841583925468</v>
      </c>
      <c r="C6515" t="s">
        <v>25</v>
      </c>
      <c r="D6515">
        <v>21.019185274898501</v>
      </c>
      <c r="E6515">
        <v>5</v>
      </c>
      <c r="F6515">
        <v>2513</v>
      </c>
      <c r="G6515">
        <v>1</v>
      </c>
      <c r="H6515">
        <v>3</v>
      </c>
      <c r="I6515">
        <v>1973</v>
      </c>
      <c r="J6515">
        <v>0</v>
      </c>
      <c r="K6515">
        <v>0</v>
      </c>
      <c r="L6515">
        <v>0</v>
      </c>
      <c r="M6515">
        <v>13</v>
      </c>
      <c r="N6515" t="s">
        <v>35</v>
      </c>
      <c r="O6515" t="s">
        <v>30</v>
      </c>
      <c r="P6515">
        <v>4.1671801390366001</v>
      </c>
      <c r="Q6515">
        <v>2.21562613350698</v>
      </c>
      <c r="R6515">
        <v>5.23442941385259</v>
      </c>
      <c r="S6515">
        <v>182</v>
      </c>
      <c r="T6515">
        <v>57</v>
      </c>
      <c r="U6515">
        <v>501.84414026081799</v>
      </c>
      <c r="V6515">
        <v>5.1730998806207703E-3</v>
      </c>
      <c r="W6515">
        <v>1274173.5727432</v>
      </c>
      <c r="X6515" t="s">
        <v>33</v>
      </c>
      <c r="Y6515">
        <f>1-988-342-6926</f>
        <v>-8255</v>
      </c>
    </row>
    <row r="6516" spans="1:25" x14ac:dyDescent="0.35">
      <c r="A6516">
        <v>36.7926520144146</v>
      </c>
      <c r="B6516">
        <v>-117.234658792993</v>
      </c>
      <c r="C6516" t="s">
        <v>34</v>
      </c>
      <c r="D6516">
        <v>15.954105828443399</v>
      </c>
      <c r="E6516">
        <v>0</v>
      </c>
      <c r="F6516">
        <v>4357</v>
      </c>
      <c r="G6516">
        <v>5</v>
      </c>
      <c r="H6516">
        <v>2</v>
      </c>
      <c r="I6516">
        <v>2000</v>
      </c>
      <c r="J6516">
        <v>1</v>
      </c>
      <c r="K6516">
        <v>1</v>
      </c>
      <c r="L6516">
        <v>1</v>
      </c>
      <c r="M6516">
        <v>7</v>
      </c>
      <c r="N6516" t="s">
        <v>37</v>
      </c>
      <c r="O6516" t="s">
        <v>27</v>
      </c>
      <c r="P6516">
        <v>10.2124219831879</v>
      </c>
      <c r="Q6516">
        <v>2.4385583913638</v>
      </c>
      <c r="R6516">
        <v>8.2198473861045702</v>
      </c>
      <c r="S6516">
        <v>37</v>
      </c>
      <c r="T6516">
        <v>65</v>
      </c>
      <c r="U6516">
        <v>806.51212063901698</v>
      </c>
      <c r="V6516">
        <v>1.6066100527886099E-3</v>
      </c>
      <c r="W6516">
        <v>4019629.10390042</v>
      </c>
      <c r="X6516" t="s">
        <v>38</v>
      </c>
      <c r="Y6516">
        <f>1-635-833-5150</f>
        <v>-6617</v>
      </c>
    </row>
    <row r="6517" spans="1:25" x14ac:dyDescent="0.35">
      <c r="A6517">
        <v>40.089381233560303</v>
      </c>
      <c r="B6517">
        <v>-116.792309803869</v>
      </c>
      <c r="C6517" t="s">
        <v>29</v>
      </c>
      <c r="D6517">
        <v>1.9211077971650199</v>
      </c>
      <c r="E6517">
        <v>7</v>
      </c>
      <c r="F6517">
        <v>2929</v>
      </c>
      <c r="G6517">
        <v>1</v>
      </c>
      <c r="H6517">
        <v>2</v>
      </c>
      <c r="I6517">
        <v>1981</v>
      </c>
      <c r="J6517">
        <v>0</v>
      </c>
      <c r="K6517">
        <v>1</v>
      </c>
      <c r="L6517">
        <v>1</v>
      </c>
      <c r="M6517">
        <v>7</v>
      </c>
      <c r="N6517" t="s">
        <v>41</v>
      </c>
      <c r="O6517" t="s">
        <v>30</v>
      </c>
      <c r="P6517">
        <v>4.1825614429998499</v>
      </c>
      <c r="Q6517">
        <v>0.621868101296704</v>
      </c>
      <c r="R6517">
        <v>1.27603683591345</v>
      </c>
      <c r="S6517">
        <v>196</v>
      </c>
      <c r="T6517">
        <v>65</v>
      </c>
      <c r="U6517">
        <v>983.81116273986402</v>
      </c>
      <c r="V6517">
        <v>2.38989416182997E-3</v>
      </c>
      <c r="W6517">
        <v>3047072.4135191198</v>
      </c>
      <c r="X6517" t="s">
        <v>38</v>
      </c>
      <c r="Y6517">
        <f>1-648-871-9825</f>
        <v>-11343</v>
      </c>
    </row>
    <row r="6518" spans="1:25" x14ac:dyDescent="0.35">
      <c r="A6518">
        <v>37.244929428885897</v>
      </c>
      <c r="B6518">
        <v>-114.95957068687601</v>
      </c>
      <c r="C6518" t="s">
        <v>34</v>
      </c>
      <c r="D6518">
        <v>2.0084670265992899</v>
      </c>
      <c r="E6518">
        <v>9</v>
      </c>
      <c r="F6518">
        <v>632</v>
      </c>
      <c r="G6518">
        <v>2</v>
      </c>
      <c r="H6518">
        <v>1</v>
      </c>
      <c r="I6518">
        <v>2022</v>
      </c>
      <c r="J6518">
        <v>0</v>
      </c>
      <c r="K6518">
        <v>0</v>
      </c>
      <c r="L6518">
        <v>1</v>
      </c>
      <c r="M6518">
        <v>7</v>
      </c>
      <c r="N6518" t="s">
        <v>37</v>
      </c>
      <c r="O6518" t="s">
        <v>27</v>
      </c>
      <c r="P6518">
        <v>2.1026937002445201</v>
      </c>
      <c r="Q6518">
        <v>0.51836395434350502</v>
      </c>
      <c r="R6518">
        <v>2.2833994285757702</v>
      </c>
      <c r="S6518">
        <v>24</v>
      </c>
      <c r="T6518">
        <v>20</v>
      </c>
      <c r="U6518">
        <v>247.04211055896701</v>
      </c>
      <c r="V6518">
        <v>1.1075949367088601E-2</v>
      </c>
      <c r="W6518">
        <v>366308.204330376</v>
      </c>
      <c r="X6518" t="s">
        <v>44</v>
      </c>
      <c r="Y6518">
        <f>1-307-135-1705</f>
        <v>-2146</v>
      </c>
    </row>
    <row r="6519" spans="1:25" x14ac:dyDescent="0.35">
      <c r="A6519">
        <v>34.918919249996797</v>
      </c>
      <c r="B6519">
        <v>-117.957650230894</v>
      </c>
      <c r="C6519" t="s">
        <v>29</v>
      </c>
      <c r="D6519">
        <v>46.994085229821003</v>
      </c>
      <c r="E6519">
        <v>0</v>
      </c>
      <c r="F6519">
        <v>2658</v>
      </c>
      <c r="G6519">
        <v>4</v>
      </c>
      <c r="H6519">
        <v>1</v>
      </c>
      <c r="I6519">
        <v>1999</v>
      </c>
      <c r="J6519">
        <v>1</v>
      </c>
      <c r="K6519">
        <v>0</v>
      </c>
      <c r="L6519">
        <v>0</v>
      </c>
      <c r="M6519">
        <v>7</v>
      </c>
      <c r="N6519" t="s">
        <v>37</v>
      </c>
      <c r="O6519" t="s">
        <v>30</v>
      </c>
      <c r="P6519">
        <v>5.7969949210175997</v>
      </c>
      <c r="Q6519">
        <v>0.69908909199255997</v>
      </c>
      <c r="R6519">
        <v>9.2419118027142293</v>
      </c>
      <c r="S6519">
        <v>9</v>
      </c>
      <c r="T6519">
        <v>46</v>
      </c>
      <c r="U6519">
        <v>365.901179323652</v>
      </c>
      <c r="V6519">
        <v>2.6335590669676399E-3</v>
      </c>
      <c r="W6519">
        <v>1182614.2683000599</v>
      </c>
      <c r="X6519" t="s">
        <v>31</v>
      </c>
      <c r="Y6519">
        <f>1-423-693-6589</f>
        <v>-7704</v>
      </c>
    </row>
    <row r="6520" spans="1:25" x14ac:dyDescent="0.35">
      <c r="A6520">
        <v>38.818770237823003</v>
      </c>
      <c r="B6520">
        <v>-120.487990818528</v>
      </c>
      <c r="C6520" t="s">
        <v>29</v>
      </c>
      <c r="D6520">
        <v>38.047715319434197</v>
      </c>
      <c r="E6520">
        <v>0</v>
      </c>
      <c r="F6520">
        <v>605</v>
      </c>
      <c r="G6520">
        <v>1</v>
      </c>
      <c r="H6520">
        <v>1</v>
      </c>
      <c r="I6520">
        <v>1997</v>
      </c>
      <c r="J6520">
        <v>0</v>
      </c>
      <c r="K6520">
        <v>1</v>
      </c>
      <c r="L6520">
        <v>1</v>
      </c>
      <c r="M6520">
        <v>9</v>
      </c>
      <c r="N6520" t="s">
        <v>35</v>
      </c>
      <c r="O6520" t="s">
        <v>32</v>
      </c>
      <c r="P6520">
        <v>3.5108338852812602</v>
      </c>
      <c r="Q6520">
        <v>2.3357935042959399</v>
      </c>
      <c r="R6520">
        <v>6.5123907401546903</v>
      </c>
      <c r="S6520">
        <v>31</v>
      </c>
      <c r="T6520">
        <v>61</v>
      </c>
      <c r="U6520">
        <v>588.52192698817396</v>
      </c>
      <c r="V6520">
        <v>1.48760330578512E-2</v>
      </c>
      <c r="W6520">
        <v>522436.80781707098</v>
      </c>
      <c r="X6520" t="s">
        <v>31</v>
      </c>
      <c r="Y6520">
        <f>1-306-783-4570</f>
        <v>-5658</v>
      </c>
    </row>
    <row r="6521" spans="1:25" x14ac:dyDescent="0.35">
      <c r="A6521">
        <v>37.297837069089702</v>
      </c>
      <c r="B6521">
        <v>-120.75525575626099</v>
      </c>
      <c r="C6521" t="s">
        <v>34</v>
      </c>
      <c r="D6521">
        <v>43.2071192743918</v>
      </c>
      <c r="E6521">
        <v>7</v>
      </c>
      <c r="F6521">
        <v>755</v>
      </c>
      <c r="G6521">
        <v>2</v>
      </c>
      <c r="H6521">
        <v>1</v>
      </c>
      <c r="I6521">
        <v>2014</v>
      </c>
      <c r="J6521">
        <v>0</v>
      </c>
      <c r="K6521">
        <v>0</v>
      </c>
      <c r="L6521">
        <v>0</v>
      </c>
      <c r="M6521">
        <v>2</v>
      </c>
      <c r="N6521" t="s">
        <v>37</v>
      </c>
      <c r="O6521" t="s">
        <v>27</v>
      </c>
      <c r="P6521">
        <v>3.0788882605716599</v>
      </c>
      <c r="Q6521">
        <v>0.91189436914352995</v>
      </c>
      <c r="R6521">
        <v>1.90622962886145</v>
      </c>
      <c r="S6521">
        <v>142</v>
      </c>
      <c r="T6521">
        <v>59</v>
      </c>
      <c r="U6521">
        <v>426.460694996119</v>
      </c>
      <c r="V6521">
        <v>2.6490066225165498E-3</v>
      </c>
      <c r="W6521">
        <v>485808.30382261798</v>
      </c>
      <c r="X6521" t="s">
        <v>36</v>
      </c>
      <c r="Y6521">
        <f>1-205-506-7787</f>
        <v>-8497</v>
      </c>
    </row>
    <row r="6522" spans="1:25" x14ac:dyDescent="0.35">
      <c r="A6522">
        <v>34.929416735947399</v>
      </c>
      <c r="B6522">
        <v>-116.436560043855</v>
      </c>
      <c r="C6522" t="s">
        <v>34</v>
      </c>
      <c r="D6522">
        <v>37.865537623122002</v>
      </c>
      <c r="E6522">
        <v>5</v>
      </c>
      <c r="F6522">
        <v>867</v>
      </c>
      <c r="G6522">
        <v>3</v>
      </c>
      <c r="H6522">
        <v>2</v>
      </c>
      <c r="I6522">
        <v>1987</v>
      </c>
      <c r="J6522">
        <v>0</v>
      </c>
      <c r="K6522">
        <v>1</v>
      </c>
      <c r="L6522">
        <v>1</v>
      </c>
      <c r="M6522">
        <v>13</v>
      </c>
      <c r="N6522" t="s">
        <v>41</v>
      </c>
      <c r="O6522" t="s">
        <v>27</v>
      </c>
      <c r="P6522">
        <v>6.0442397436532103</v>
      </c>
      <c r="Q6522">
        <v>2.37907244968605</v>
      </c>
      <c r="R6522">
        <v>5.3677417332728403</v>
      </c>
      <c r="S6522">
        <v>107</v>
      </c>
      <c r="T6522">
        <v>41</v>
      </c>
      <c r="U6522">
        <v>909.84373990077495</v>
      </c>
      <c r="V6522">
        <v>1.4994232987312501E-2</v>
      </c>
      <c r="W6522">
        <v>1042812.66471313</v>
      </c>
      <c r="X6522" t="s">
        <v>38</v>
      </c>
      <c r="Y6522">
        <f>1-832-826-9004</f>
        <v>-10661</v>
      </c>
    </row>
    <row r="6523" spans="1:25" x14ac:dyDescent="0.35">
      <c r="A6523">
        <v>39.1939524224953</v>
      </c>
      <c r="B6523">
        <v>-117.344131033962</v>
      </c>
      <c r="C6523" t="s">
        <v>29</v>
      </c>
      <c r="D6523">
        <v>29.088521289068499</v>
      </c>
      <c r="E6523">
        <v>8</v>
      </c>
      <c r="F6523">
        <v>4973</v>
      </c>
      <c r="G6523">
        <v>3</v>
      </c>
      <c r="H6523">
        <v>3</v>
      </c>
      <c r="I6523">
        <v>2011</v>
      </c>
      <c r="J6523">
        <v>1</v>
      </c>
      <c r="K6523">
        <v>0</v>
      </c>
      <c r="L6523">
        <v>1</v>
      </c>
      <c r="M6523">
        <v>9</v>
      </c>
      <c r="N6523" t="s">
        <v>37</v>
      </c>
      <c r="O6523" t="s">
        <v>27</v>
      </c>
      <c r="P6523">
        <v>8.8843226734829202</v>
      </c>
      <c r="Q6523">
        <v>1.16544131887651</v>
      </c>
      <c r="R6523">
        <v>6.2880106956669302</v>
      </c>
      <c r="S6523">
        <v>55</v>
      </c>
      <c r="T6523">
        <v>64</v>
      </c>
      <c r="U6523">
        <v>783.05567391924103</v>
      </c>
      <c r="V6523">
        <v>1.8097727729740501E-3</v>
      </c>
      <c r="W6523">
        <v>4179222.8196223802</v>
      </c>
      <c r="X6523" t="s">
        <v>36</v>
      </c>
      <c r="Y6523">
        <f>1-269-694-6678</f>
        <v>-7640</v>
      </c>
    </row>
    <row r="6524" spans="1:25" x14ac:dyDescent="0.35">
      <c r="A6524">
        <v>33.2184241233996</v>
      </c>
      <c r="B6524">
        <v>-121.797907813272</v>
      </c>
      <c r="C6524" t="s">
        <v>34</v>
      </c>
      <c r="D6524">
        <v>37.723883301978198</v>
      </c>
      <c r="E6524">
        <v>1</v>
      </c>
      <c r="F6524">
        <v>2251</v>
      </c>
      <c r="G6524">
        <v>1</v>
      </c>
      <c r="H6524">
        <v>2</v>
      </c>
      <c r="I6524">
        <v>1952</v>
      </c>
      <c r="J6524">
        <v>0</v>
      </c>
      <c r="K6524">
        <v>1</v>
      </c>
      <c r="L6524">
        <v>1</v>
      </c>
      <c r="M6524">
        <v>11</v>
      </c>
      <c r="N6524" t="s">
        <v>37</v>
      </c>
      <c r="O6524" t="s">
        <v>30</v>
      </c>
      <c r="P6524">
        <v>9.1330063532972492</v>
      </c>
      <c r="Q6524">
        <v>2.0909433081789399</v>
      </c>
      <c r="R6524">
        <v>1.94244910639896</v>
      </c>
      <c r="S6524">
        <v>15</v>
      </c>
      <c r="T6524">
        <v>34</v>
      </c>
      <c r="U6524">
        <v>587.84357396684504</v>
      </c>
      <c r="V6524">
        <v>4.8867170146601503E-3</v>
      </c>
      <c r="W6524">
        <v>1502040.2401587199</v>
      </c>
      <c r="X6524" t="s">
        <v>36</v>
      </c>
      <c r="Y6524">
        <f>1-858-337-9654</f>
        <v>-10848</v>
      </c>
    </row>
    <row r="6525" spans="1:25" x14ac:dyDescent="0.35">
      <c r="A6525">
        <v>36.506546276530202</v>
      </c>
      <c r="B6525">
        <v>-119.85526460788699</v>
      </c>
      <c r="C6525" t="s">
        <v>29</v>
      </c>
      <c r="D6525">
        <v>33.980064859574703</v>
      </c>
      <c r="E6525">
        <v>2</v>
      </c>
      <c r="F6525">
        <v>863</v>
      </c>
      <c r="G6525">
        <v>3</v>
      </c>
      <c r="H6525">
        <v>3</v>
      </c>
      <c r="I6525">
        <v>1977</v>
      </c>
      <c r="J6525">
        <v>0</v>
      </c>
      <c r="K6525">
        <v>1</v>
      </c>
      <c r="L6525">
        <v>1</v>
      </c>
      <c r="M6525">
        <v>2</v>
      </c>
      <c r="N6525" t="s">
        <v>26</v>
      </c>
      <c r="O6525" t="s">
        <v>27</v>
      </c>
      <c r="P6525">
        <v>7.2790557368860398</v>
      </c>
      <c r="Q6525">
        <v>0.79919190106279003</v>
      </c>
      <c r="R6525">
        <v>8.7105303550804791</v>
      </c>
      <c r="S6525">
        <v>140</v>
      </c>
      <c r="T6525">
        <v>45</v>
      </c>
      <c r="U6525">
        <v>217.805943284325</v>
      </c>
      <c r="V6525">
        <v>2.3174971031286202E-3</v>
      </c>
      <c r="W6525">
        <v>519381.37061735999</v>
      </c>
      <c r="X6525" t="s">
        <v>31</v>
      </c>
      <c r="Y6525">
        <f>1-473-706-1957</f>
        <v>-3135</v>
      </c>
    </row>
    <row r="6526" spans="1:25" x14ac:dyDescent="0.35">
      <c r="A6526">
        <v>32.880701264492899</v>
      </c>
      <c r="B6526">
        <v>-121.22546417866</v>
      </c>
      <c r="C6526" t="s">
        <v>29</v>
      </c>
      <c r="D6526">
        <v>33.686410067272398</v>
      </c>
      <c r="E6526">
        <v>8</v>
      </c>
      <c r="F6526">
        <v>2005</v>
      </c>
      <c r="G6526">
        <v>5</v>
      </c>
      <c r="H6526">
        <v>3</v>
      </c>
      <c r="I6526">
        <v>1988</v>
      </c>
      <c r="J6526">
        <v>1</v>
      </c>
      <c r="K6526">
        <v>1</v>
      </c>
      <c r="L6526">
        <v>1</v>
      </c>
      <c r="M6526">
        <v>11</v>
      </c>
      <c r="N6526" t="s">
        <v>41</v>
      </c>
      <c r="O6526" t="s">
        <v>30</v>
      </c>
      <c r="P6526">
        <v>14.920151883649799</v>
      </c>
      <c r="Q6526">
        <v>1.38742999813999</v>
      </c>
      <c r="R6526">
        <v>4.5805579679095896</v>
      </c>
      <c r="S6526">
        <v>120</v>
      </c>
      <c r="T6526">
        <v>23</v>
      </c>
      <c r="U6526">
        <v>755.19919009057298</v>
      </c>
      <c r="V6526">
        <v>5.4862842892767997E-3</v>
      </c>
      <c r="W6526">
        <v>2074454.75671227</v>
      </c>
      <c r="X6526" t="s">
        <v>42</v>
      </c>
      <c r="Y6526">
        <f>1-910-254-3587</f>
        <v>-4750</v>
      </c>
    </row>
    <row r="6527" spans="1:25" x14ac:dyDescent="0.35">
      <c r="A6527">
        <v>41.389708778971801</v>
      </c>
      <c r="B6527">
        <v>-124.26703119914799</v>
      </c>
      <c r="C6527" t="s">
        <v>29</v>
      </c>
      <c r="D6527">
        <v>41.9169084455445</v>
      </c>
      <c r="E6527">
        <v>8</v>
      </c>
      <c r="F6527">
        <v>1971</v>
      </c>
      <c r="G6527">
        <v>4</v>
      </c>
      <c r="H6527">
        <v>3</v>
      </c>
      <c r="I6527">
        <v>2014</v>
      </c>
      <c r="J6527">
        <v>1</v>
      </c>
      <c r="K6527">
        <v>1</v>
      </c>
      <c r="L6527">
        <v>0</v>
      </c>
      <c r="M6527">
        <v>4</v>
      </c>
      <c r="N6527" t="s">
        <v>41</v>
      </c>
      <c r="O6527" t="s">
        <v>32</v>
      </c>
      <c r="P6527">
        <v>13.582426694641001</v>
      </c>
      <c r="Q6527">
        <v>2.3419044295826001</v>
      </c>
      <c r="R6527">
        <v>3.1845303289941298</v>
      </c>
      <c r="S6527">
        <v>4</v>
      </c>
      <c r="T6527">
        <v>26</v>
      </c>
      <c r="U6527">
        <v>640.20470978276796</v>
      </c>
      <c r="V6527">
        <v>2.02942668696093E-3</v>
      </c>
      <c r="W6527">
        <v>1809278.3068017201</v>
      </c>
      <c r="X6527" t="s">
        <v>31</v>
      </c>
      <c r="Y6527">
        <f>1-749-159-9960</f>
        <v>-10867</v>
      </c>
    </row>
    <row r="6528" spans="1:25" x14ac:dyDescent="0.35">
      <c r="A6528">
        <v>33.876833273958503</v>
      </c>
      <c r="B6528">
        <v>-118.510797357535</v>
      </c>
      <c r="C6528" t="s">
        <v>25</v>
      </c>
      <c r="D6528">
        <v>42.072680706346198</v>
      </c>
      <c r="E6528">
        <v>3</v>
      </c>
      <c r="F6528">
        <v>3752</v>
      </c>
      <c r="G6528">
        <v>4</v>
      </c>
      <c r="H6528">
        <v>1</v>
      </c>
      <c r="I6528">
        <v>1956</v>
      </c>
      <c r="J6528">
        <v>1</v>
      </c>
      <c r="K6528">
        <v>0</v>
      </c>
      <c r="L6528">
        <v>0</v>
      </c>
      <c r="M6528">
        <v>11</v>
      </c>
      <c r="N6528" t="s">
        <v>37</v>
      </c>
      <c r="O6528" t="s">
        <v>30</v>
      </c>
      <c r="P6528">
        <v>7.5705131621183002</v>
      </c>
      <c r="Q6528">
        <v>1.49047889828038</v>
      </c>
      <c r="R6528">
        <v>5.2600238055060302</v>
      </c>
      <c r="S6528">
        <v>104</v>
      </c>
      <c r="T6528">
        <v>51</v>
      </c>
      <c r="U6528">
        <v>828.08031146876306</v>
      </c>
      <c r="V6528">
        <v>2.93176972281449E-3</v>
      </c>
      <c r="W6528">
        <v>3325592.38041953</v>
      </c>
      <c r="X6528" t="s">
        <v>40</v>
      </c>
      <c r="Y6528">
        <f>1-539-809-6695</f>
        <v>-8042</v>
      </c>
    </row>
    <row r="6529" spans="1:25" x14ac:dyDescent="0.35">
      <c r="A6529">
        <v>41.897742397154502</v>
      </c>
      <c r="B6529">
        <v>-121.369563790355</v>
      </c>
      <c r="C6529" t="s">
        <v>25</v>
      </c>
      <c r="D6529">
        <v>20.1168263623942</v>
      </c>
      <c r="E6529">
        <v>6</v>
      </c>
      <c r="F6529">
        <v>3816</v>
      </c>
      <c r="G6529">
        <v>1</v>
      </c>
      <c r="H6529">
        <v>1</v>
      </c>
      <c r="I6529">
        <v>1980</v>
      </c>
      <c r="J6529">
        <v>0</v>
      </c>
      <c r="K6529">
        <v>1</v>
      </c>
      <c r="L6529">
        <v>1</v>
      </c>
      <c r="M6529">
        <v>12</v>
      </c>
      <c r="N6529" t="s">
        <v>26</v>
      </c>
      <c r="O6529" t="s">
        <v>32</v>
      </c>
      <c r="P6529">
        <v>5.2643781619975698</v>
      </c>
      <c r="Q6529">
        <v>1.4972114458179799</v>
      </c>
      <c r="R6529">
        <v>0.218576250118167</v>
      </c>
      <c r="S6529">
        <v>157</v>
      </c>
      <c r="T6529">
        <v>27</v>
      </c>
      <c r="U6529">
        <v>323.39991996953302</v>
      </c>
      <c r="V6529">
        <v>3.1446540880503099E-3</v>
      </c>
      <c r="W6529">
        <v>1480749.44382978</v>
      </c>
      <c r="X6529" t="s">
        <v>44</v>
      </c>
      <c r="Y6529">
        <f>1-961-507-2519</f>
        <v>-3986</v>
      </c>
    </row>
    <row r="6530" spans="1:25" x14ac:dyDescent="0.35">
      <c r="A6530">
        <v>37.8761459768455</v>
      </c>
      <c r="B6530">
        <v>-118.392082222417</v>
      </c>
      <c r="C6530" t="s">
        <v>25</v>
      </c>
      <c r="D6530">
        <v>30.910357332309399</v>
      </c>
      <c r="E6530">
        <v>9</v>
      </c>
      <c r="F6530">
        <v>2298</v>
      </c>
      <c r="G6530">
        <v>3</v>
      </c>
      <c r="H6530">
        <v>3</v>
      </c>
      <c r="I6530">
        <v>2021</v>
      </c>
      <c r="J6530">
        <v>0</v>
      </c>
      <c r="K6530">
        <v>1</v>
      </c>
      <c r="L6530">
        <v>1</v>
      </c>
      <c r="M6530">
        <v>3</v>
      </c>
      <c r="N6530" t="s">
        <v>26</v>
      </c>
      <c r="O6530" t="s">
        <v>30</v>
      </c>
      <c r="P6530">
        <v>4.5042086211595302</v>
      </c>
      <c r="Q6530">
        <v>1.66312167007497</v>
      </c>
      <c r="R6530">
        <v>5.5438435331488396</v>
      </c>
      <c r="S6530">
        <v>190</v>
      </c>
      <c r="T6530">
        <v>27</v>
      </c>
      <c r="U6530">
        <v>325.221808721885</v>
      </c>
      <c r="V6530">
        <v>1.3054830287206199E-3</v>
      </c>
      <c r="W6530">
        <v>1079823.6152292299</v>
      </c>
      <c r="X6530" t="s">
        <v>31</v>
      </c>
      <c r="Y6530">
        <f>1-462-998-2151</f>
        <v>-3610</v>
      </c>
    </row>
    <row r="6531" spans="1:25" x14ac:dyDescent="0.35">
      <c r="A6531">
        <v>39.384120412030398</v>
      </c>
      <c r="B6531">
        <v>-122.97013784869399</v>
      </c>
      <c r="C6531" t="s">
        <v>34</v>
      </c>
      <c r="D6531">
        <v>13.4971412336873</v>
      </c>
      <c r="E6531">
        <v>9</v>
      </c>
      <c r="F6531">
        <v>1652</v>
      </c>
      <c r="G6531">
        <v>5</v>
      </c>
      <c r="H6531">
        <v>2</v>
      </c>
      <c r="I6531">
        <v>1999</v>
      </c>
      <c r="J6531">
        <v>1</v>
      </c>
      <c r="K6531">
        <v>1</v>
      </c>
      <c r="L6531">
        <v>0</v>
      </c>
      <c r="M6531">
        <v>9</v>
      </c>
      <c r="N6531" t="s">
        <v>37</v>
      </c>
      <c r="O6531" t="s">
        <v>30</v>
      </c>
      <c r="P6531">
        <v>14.6127605157631</v>
      </c>
      <c r="Q6531">
        <v>2.1792414415087298</v>
      </c>
      <c r="R6531">
        <v>4.53291928275502</v>
      </c>
      <c r="S6531">
        <v>180</v>
      </c>
      <c r="T6531">
        <v>32</v>
      </c>
      <c r="U6531">
        <v>286.47863760608101</v>
      </c>
      <c r="V6531">
        <v>5.44794188861985E-3</v>
      </c>
      <c r="W6531">
        <v>913555.48023138405</v>
      </c>
      <c r="X6531" t="s">
        <v>36</v>
      </c>
      <c r="Y6531">
        <f>1-774-487-2791</f>
        <v>-4051</v>
      </c>
    </row>
    <row r="6532" spans="1:25" x14ac:dyDescent="0.35">
      <c r="A6532">
        <v>36.542137205658001</v>
      </c>
      <c r="B6532">
        <v>-117.836756871758</v>
      </c>
      <c r="C6532" t="s">
        <v>34</v>
      </c>
      <c r="D6532">
        <v>37.827486601438203</v>
      </c>
      <c r="E6532">
        <v>2</v>
      </c>
      <c r="F6532">
        <v>3890</v>
      </c>
      <c r="G6532">
        <v>1</v>
      </c>
      <c r="H6532">
        <v>2</v>
      </c>
      <c r="I6532">
        <v>1974</v>
      </c>
      <c r="J6532">
        <v>0</v>
      </c>
      <c r="K6532">
        <v>1</v>
      </c>
      <c r="L6532">
        <v>0</v>
      </c>
      <c r="M6532">
        <v>12</v>
      </c>
      <c r="N6532" t="s">
        <v>37</v>
      </c>
      <c r="O6532" t="s">
        <v>27</v>
      </c>
      <c r="P6532">
        <v>8.2118163203474008</v>
      </c>
      <c r="Q6532">
        <v>1.0011713484623199</v>
      </c>
      <c r="R6532">
        <v>7.7532574312828899</v>
      </c>
      <c r="S6532">
        <v>65</v>
      </c>
      <c r="T6532">
        <v>60</v>
      </c>
      <c r="U6532">
        <v>403.82420440681699</v>
      </c>
      <c r="V6532">
        <v>3.0848329048843099E-3</v>
      </c>
      <c r="W6532">
        <v>1831130.95037695</v>
      </c>
      <c r="X6532" t="s">
        <v>39</v>
      </c>
      <c r="Y6532">
        <f>1-503-130-6571</f>
        <v>-7203</v>
      </c>
    </row>
    <row r="6533" spans="1:25" x14ac:dyDescent="0.35">
      <c r="A6533">
        <v>40.156840932354498</v>
      </c>
      <c r="B6533">
        <v>-117.8887360582</v>
      </c>
      <c r="C6533" t="s">
        <v>34</v>
      </c>
      <c r="D6533">
        <v>18.9112075135453</v>
      </c>
      <c r="E6533">
        <v>1</v>
      </c>
      <c r="F6533">
        <v>3686</v>
      </c>
      <c r="G6533">
        <v>1</v>
      </c>
      <c r="H6533">
        <v>2</v>
      </c>
      <c r="I6533">
        <v>2022</v>
      </c>
      <c r="J6533">
        <v>1</v>
      </c>
      <c r="K6533">
        <v>1</v>
      </c>
      <c r="L6533">
        <v>0</v>
      </c>
      <c r="M6533">
        <v>11</v>
      </c>
      <c r="N6533" t="s">
        <v>26</v>
      </c>
      <c r="O6533" t="s">
        <v>30</v>
      </c>
      <c r="P6533">
        <v>13.5863289592654</v>
      </c>
      <c r="Q6533">
        <v>2.37450001151152</v>
      </c>
      <c r="R6533">
        <v>2.0924236864634</v>
      </c>
      <c r="S6533">
        <v>117</v>
      </c>
      <c r="T6533">
        <v>38</v>
      </c>
      <c r="U6533">
        <v>464.51599302631701</v>
      </c>
      <c r="V6533">
        <v>2.9842647856755198E-3</v>
      </c>
      <c r="W6533">
        <v>2102297.75613866</v>
      </c>
      <c r="X6533" t="s">
        <v>44</v>
      </c>
      <c r="Y6533">
        <f>1-290-176-4961</f>
        <v>-5426</v>
      </c>
    </row>
    <row r="6534" spans="1:25" x14ac:dyDescent="0.35">
      <c r="A6534">
        <v>36.116077899159897</v>
      </c>
      <c r="B6534">
        <v>-121.943490051035</v>
      </c>
      <c r="C6534" t="s">
        <v>34</v>
      </c>
      <c r="D6534">
        <v>12.549330815885799</v>
      </c>
      <c r="E6534">
        <v>5</v>
      </c>
      <c r="F6534">
        <v>4475</v>
      </c>
      <c r="G6534">
        <v>4</v>
      </c>
      <c r="H6534">
        <v>3</v>
      </c>
      <c r="I6534">
        <v>1984</v>
      </c>
      <c r="J6534">
        <v>0</v>
      </c>
      <c r="K6534">
        <v>0</v>
      </c>
      <c r="L6534">
        <v>1</v>
      </c>
      <c r="M6534">
        <v>6</v>
      </c>
      <c r="N6534" t="s">
        <v>41</v>
      </c>
      <c r="O6534" t="s">
        <v>30</v>
      </c>
      <c r="P6534">
        <v>14.735120091375601</v>
      </c>
      <c r="Q6534">
        <v>2.3491137308193402</v>
      </c>
      <c r="R6534">
        <v>0.34825031864350398</v>
      </c>
      <c r="S6534">
        <v>111</v>
      </c>
      <c r="T6534">
        <v>22</v>
      </c>
      <c r="U6534">
        <v>857.26780927734103</v>
      </c>
      <c r="V6534">
        <v>1.3407821229050199E-3</v>
      </c>
      <c r="W6534">
        <v>4253393.7416867604</v>
      </c>
      <c r="X6534" t="s">
        <v>42</v>
      </c>
      <c r="Y6534">
        <f>1-624-205-9489</f>
        <v>-10317</v>
      </c>
    </row>
    <row r="6535" spans="1:25" x14ac:dyDescent="0.35">
      <c r="A6535">
        <v>40.311555563360997</v>
      </c>
      <c r="B6535">
        <v>-122.32010265784901</v>
      </c>
      <c r="C6535" t="s">
        <v>34</v>
      </c>
      <c r="D6535">
        <v>32.282588157130199</v>
      </c>
      <c r="E6535">
        <v>2</v>
      </c>
      <c r="F6535">
        <v>932</v>
      </c>
      <c r="G6535">
        <v>4</v>
      </c>
      <c r="H6535">
        <v>2</v>
      </c>
      <c r="I6535">
        <v>1993</v>
      </c>
      <c r="J6535">
        <v>1</v>
      </c>
      <c r="K6535">
        <v>1</v>
      </c>
      <c r="L6535">
        <v>1</v>
      </c>
      <c r="M6535">
        <v>7</v>
      </c>
      <c r="N6535" t="s">
        <v>37</v>
      </c>
      <c r="O6535" t="s">
        <v>27</v>
      </c>
      <c r="P6535">
        <v>14.4997590137078</v>
      </c>
      <c r="Q6535">
        <v>2.4028778767833399</v>
      </c>
      <c r="R6535">
        <v>7.3321985016154896</v>
      </c>
      <c r="S6535">
        <v>7</v>
      </c>
      <c r="T6535">
        <v>21</v>
      </c>
      <c r="U6535">
        <v>822.31869113596997</v>
      </c>
      <c r="V6535">
        <v>7.5107296137339003E-3</v>
      </c>
      <c r="W6535">
        <v>1306055.41870674</v>
      </c>
      <c r="X6535" t="s">
        <v>39</v>
      </c>
      <c r="Y6535">
        <f>1-322-854-1820</f>
        <v>-2995</v>
      </c>
    </row>
    <row r="6536" spans="1:25" x14ac:dyDescent="0.35">
      <c r="A6536">
        <v>41.2734151271058</v>
      </c>
      <c r="B6536">
        <v>-117.17021137854201</v>
      </c>
      <c r="C6536" t="s">
        <v>25</v>
      </c>
      <c r="D6536">
        <v>39.654154786102602</v>
      </c>
      <c r="E6536">
        <v>3</v>
      </c>
      <c r="F6536">
        <v>2537</v>
      </c>
      <c r="G6536">
        <v>2</v>
      </c>
      <c r="H6536">
        <v>2</v>
      </c>
      <c r="I6536">
        <v>2018</v>
      </c>
      <c r="J6536">
        <v>1</v>
      </c>
      <c r="K6536">
        <v>0</v>
      </c>
      <c r="L6536">
        <v>1</v>
      </c>
      <c r="M6536">
        <v>10</v>
      </c>
      <c r="N6536" t="s">
        <v>41</v>
      </c>
      <c r="O6536" t="s">
        <v>32</v>
      </c>
      <c r="P6536">
        <v>9.4176916868131393</v>
      </c>
      <c r="Q6536">
        <v>0.78041880862858304</v>
      </c>
      <c r="R6536">
        <v>6.2697643512127401</v>
      </c>
      <c r="S6536">
        <v>173</v>
      </c>
      <c r="T6536">
        <v>22</v>
      </c>
      <c r="U6536">
        <v>825.21328746199799</v>
      </c>
      <c r="V6536">
        <v>3.9416633819471802E-3</v>
      </c>
      <c r="W6536">
        <v>2344970.0733505399</v>
      </c>
      <c r="X6536" t="s">
        <v>36</v>
      </c>
      <c r="Y6536">
        <f>1-609-806-5556</f>
        <v>-6970</v>
      </c>
    </row>
    <row r="6537" spans="1:25" x14ac:dyDescent="0.35">
      <c r="A6537">
        <v>38.783897749744099</v>
      </c>
      <c r="B6537">
        <v>-115.55343993651501</v>
      </c>
      <c r="C6537" t="s">
        <v>34</v>
      </c>
      <c r="D6537">
        <v>13.8451205099229</v>
      </c>
      <c r="E6537">
        <v>2</v>
      </c>
      <c r="F6537">
        <v>1583</v>
      </c>
      <c r="G6537">
        <v>2</v>
      </c>
      <c r="H6537">
        <v>1</v>
      </c>
      <c r="I6537">
        <v>1997</v>
      </c>
      <c r="J6537">
        <v>0</v>
      </c>
      <c r="K6537">
        <v>0</v>
      </c>
      <c r="L6537">
        <v>1</v>
      </c>
      <c r="M6537">
        <v>6</v>
      </c>
      <c r="N6537" t="s">
        <v>37</v>
      </c>
      <c r="O6537" t="s">
        <v>32</v>
      </c>
      <c r="P6537">
        <v>5.2191057323979004</v>
      </c>
      <c r="Q6537">
        <v>1.45795648280338</v>
      </c>
      <c r="R6537">
        <v>5.9406356737123902E-3</v>
      </c>
      <c r="S6537">
        <v>31</v>
      </c>
      <c r="T6537">
        <v>68</v>
      </c>
      <c r="U6537">
        <v>675.54012706802803</v>
      </c>
      <c r="V6537">
        <v>3.7902716361339199E-3</v>
      </c>
      <c r="W6537">
        <v>1302636.56555026</v>
      </c>
      <c r="X6537" t="s">
        <v>42</v>
      </c>
      <c r="Y6537">
        <f>1-272-551-7931</f>
        <v>-8753</v>
      </c>
    </row>
    <row r="6538" spans="1:25" x14ac:dyDescent="0.35">
      <c r="A6538">
        <v>35.754304231515597</v>
      </c>
      <c r="B6538">
        <v>-117.823227537962</v>
      </c>
      <c r="C6538" t="s">
        <v>25</v>
      </c>
      <c r="D6538">
        <v>44.677234346346701</v>
      </c>
      <c r="E6538">
        <v>6</v>
      </c>
      <c r="F6538">
        <v>811</v>
      </c>
      <c r="G6538">
        <v>3</v>
      </c>
      <c r="H6538">
        <v>2</v>
      </c>
      <c r="I6538">
        <v>2016</v>
      </c>
      <c r="J6538">
        <v>1</v>
      </c>
      <c r="K6538">
        <v>0</v>
      </c>
      <c r="L6538">
        <v>0</v>
      </c>
      <c r="M6538">
        <v>4</v>
      </c>
      <c r="N6538" t="s">
        <v>41</v>
      </c>
      <c r="O6538" t="s">
        <v>30</v>
      </c>
      <c r="P6538">
        <v>8.4076705473060898</v>
      </c>
      <c r="Q6538">
        <v>2.1875142455957701</v>
      </c>
      <c r="R6538">
        <v>1.8822559181082099</v>
      </c>
      <c r="S6538">
        <v>10</v>
      </c>
      <c r="T6538">
        <v>46</v>
      </c>
      <c r="U6538">
        <v>589.40984798954105</v>
      </c>
      <c r="V6538">
        <v>4.9321824907521501E-3</v>
      </c>
      <c r="W6538">
        <v>814254.16194874095</v>
      </c>
      <c r="X6538" t="s">
        <v>36</v>
      </c>
      <c r="Y6538">
        <f>1-646-835-7921</f>
        <v>-9401</v>
      </c>
    </row>
    <row r="6539" spans="1:25" x14ac:dyDescent="0.35">
      <c r="A6539">
        <v>33.769454824420798</v>
      </c>
      <c r="B6539">
        <v>-122.37170452837201</v>
      </c>
      <c r="C6539" t="s">
        <v>25</v>
      </c>
      <c r="D6539">
        <v>6.9617699431715003</v>
      </c>
      <c r="E6539">
        <v>5</v>
      </c>
      <c r="F6539">
        <v>3959</v>
      </c>
      <c r="G6539">
        <v>5</v>
      </c>
      <c r="H6539">
        <v>1</v>
      </c>
      <c r="I6539">
        <v>2001</v>
      </c>
      <c r="J6539">
        <v>0</v>
      </c>
      <c r="K6539">
        <v>1</v>
      </c>
      <c r="L6539">
        <v>0</v>
      </c>
      <c r="M6539">
        <v>5</v>
      </c>
      <c r="N6539" t="s">
        <v>35</v>
      </c>
      <c r="O6539" t="s">
        <v>30</v>
      </c>
      <c r="P6539">
        <v>14.1002537869353</v>
      </c>
      <c r="Q6539">
        <v>2.37119361424842</v>
      </c>
      <c r="R6539">
        <v>3.2037514292488498</v>
      </c>
      <c r="S6539">
        <v>86</v>
      </c>
      <c r="T6539">
        <v>72</v>
      </c>
      <c r="U6539">
        <v>618.48266088035496</v>
      </c>
      <c r="V6539">
        <v>1.2629451881788301E-3</v>
      </c>
      <c r="W6539">
        <v>2897720.2768823202</v>
      </c>
      <c r="X6539" t="s">
        <v>38</v>
      </c>
      <c r="Y6539">
        <f>1-850-366-3030</f>
        <v>-4245</v>
      </c>
    </row>
    <row r="6540" spans="1:25" x14ac:dyDescent="0.35">
      <c r="A6540">
        <v>39.475044590439701</v>
      </c>
      <c r="B6540">
        <v>-119.113442029865</v>
      </c>
      <c r="C6540" t="s">
        <v>25</v>
      </c>
      <c r="D6540">
        <v>12.8202673359306</v>
      </c>
      <c r="E6540">
        <v>2</v>
      </c>
      <c r="F6540">
        <v>2013</v>
      </c>
      <c r="G6540">
        <v>4</v>
      </c>
      <c r="H6540">
        <v>3</v>
      </c>
      <c r="I6540">
        <v>1988</v>
      </c>
      <c r="J6540">
        <v>1</v>
      </c>
      <c r="K6540">
        <v>1</v>
      </c>
      <c r="L6540">
        <v>1</v>
      </c>
      <c r="M6540">
        <v>2</v>
      </c>
      <c r="N6540" t="s">
        <v>26</v>
      </c>
      <c r="O6540" t="s">
        <v>30</v>
      </c>
      <c r="P6540">
        <v>11.6038665580494</v>
      </c>
      <c r="Q6540">
        <v>2.3206844069309001</v>
      </c>
      <c r="R6540">
        <v>0.116633629044134</v>
      </c>
      <c r="S6540">
        <v>27</v>
      </c>
      <c r="T6540">
        <v>21</v>
      </c>
      <c r="U6540">
        <v>625.49854242783101</v>
      </c>
      <c r="V6540">
        <v>9.9354197714853409E-4</v>
      </c>
      <c r="W6540">
        <v>1791136.9236426901</v>
      </c>
      <c r="X6540" t="s">
        <v>43</v>
      </c>
      <c r="Y6540">
        <f>1-718-216-6206</f>
        <v>-7139</v>
      </c>
    </row>
    <row r="6541" spans="1:25" x14ac:dyDescent="0.35">
      <c r="A6541">
        <v>40.582003097021598</v>
      </c>
      <c r="B6541">
        <v>-114.646980452007</v>
      </c>
      <c r="C6541" t="s">
        <v>29</v>
      </c>
      <c r="D6541">
        <v>20.5814252873332</v>
      </c>
      <c r="E6541">
        <v>7</v>
      </c>
      <c r="F6541">
        <v>1233</v>
      </c>
      <c r="G6541">
        <v>3</v>
      </c>
      <c r="H6541">
        <v>2</v>
      </c>
      <c r="I6541">
        <v>2017</v>
      </c>
      <c r="J6541">
        <v>0</v>
      </c>
      <c r="K6541">
        <v>1</v>
      </c>
      <c r="L6541">
        <v>1</v>
      </c>
      <c r="M6541">
        <v>9</v>
      </c>
      <c r="N6541" t="s">
        <v>35</v>
      </c>
      <c r="O6541" t="s">
        <v>32</v>
      </c>
      <c r="P6541">
        <v>13.150327168880001</v>
      </c>
      <c r="Q6541">
        <v>0.77888570711767302</v>
      </c>
      <c r="R6541">
        <v>9.2973375603534993</v>
      </c>
      <c r="S6541">
        <v>6</v>
      </c>
      <c r="T6541">
        <v>20</v>
      </c>
      <c r="U6541">
        <v>611.653335216355</v>
      </c>
      <c r="V6541">
        <v>7.2992700729926996E-3</v>
      </c>
      <c r="W6541">
        <v>1222703.6152375799</v>
      </c>
      <c r="X6541" t="s">
        <v>31</v>
      </c>
      <c r="Y6541">
        <f>1-313-120-5086</f>
        <v>-5518</v>
      </c>
    </row>
    <row r="6542" spans="1:25" x14ac:dyDescent="0.35">
      <c r="A6542">
        <v>35.163235476854602</v>
      </c>
      <c r="B6542">
        <v>-124.31086235574401</v>
      </c>
      <c r="C6542" t="s">
        <v>25</v>
      </c>
      <c r="D6542">
        <v>33.215232736299697</v>
      </c>
      <c r="E6542">
        <v>5</v>
      </c>
      <c r="F6542">
        <v>1126</v>
      </c>
      <c r="G6542">
        <v>4</v>
      </c>
      <c r="H6542">
        <v>1</v>
      </c>
      <c r="I6542">
        <v>1951</v>
      </c>
      <c r="J6542">
        <v>1</v>
      </c>
      <c r="K6542">
        <v>0</v>
      </c>
      <c r="L6542">
        <v>0</v>
      </c>
      <c r="M6542">
        <v>10</v>
      </c>
      <c r="N6542" t="s">
        <v>26</v>
      </c>
      <c r="O6542" t="s">
        <v>32</v>
      </c>
      <c r="P6542">
        <v>10.391005802714</v>
      </c>
      <c r="Q6542">
        <v>1.2824149386436201</v>
      </c>
      <c r="R6542">
        <v>0.36598230347747002</v>
      </c>
      <c r="S6542">
        <v>111</v>
      </c>
      <c r="T6542">
        <v>52</v>
      </c>
      <c r="U6542">
        <v>396.78182117643502</v>
      </c>
      <c r="V6542">
        <v>8.8809946714031897E-3</v>
      </c>
      <c r="W6542">
        <v>708380.28099835396</v>
      </c>
      <c r="X6542" t="s">
        <v>36</v>
      </c>
      <c r="Y6542">
        <f>1-689-258-4541</f>
        <v>-5487</v>
      </c>
    </row>
    <row r="6543" spans="1:25" x14ac:dyDescent="0.35">
      <c r="A6543">
        <v>33.373689719359199</v>
      </c>
      <c r="B6543">
        <v>-122.734554915917</v>
      </c>
      <c r="C6543" t="s">
        <v>25</v>
      </c>
      <c r="D6543">
        <v>20.638219671778799</v>
      </c>
      <c r="E6543">
        <v>0</v>
      </c>
      <c r="F6543">
        <v>2625</v>
      </c>
      <c r="G6543">
        <v>5</v>
      </c>
      <c r="H6543">
        <v>3</v>
      </c>
      <c r="I6543">
        <v>1964</v>
      </c>
      <c r="J6543">
        <v>1</v>
      </c>
      <c r="K6543">
        <v>0</v>
      </c>
      <c r="L6543">
        <v>1</v>
      </c>
      <c r="M6543">
        <v>6</v>
      </c>
      <c r="N6543" t="s">
        <v>41</v>
      </c>
      <c r="O6543" t="s">
        <v>30</v>
      </c>
      <c r="P6543">
        <v>12.994077892150701</v>
      </c>
      <c r="Q6543">
        <v>1.2046912541091299</v>
      </c>
      <c r="R6543">
        <v>0.115502807297948</v>
      </c>
      <c r="S6543">
        <v>127</v>
      </c>
      <c r="T6543">
        <v>60</v>
      </c>
      <c r="U6543">
        <v>942.96235459322395</v>
      </c>
      <c r="V6543">
        <v>2.2857142857142798E-3</v>
      </c>
      <c r="W6543">
        <v>2873971.4228200298</v>
      </c>
      <c r="X6543" t="s">
        <v>40</v>
      </c>
      <c r="Y6543">
        <f>1-519-146-2955</f>
        <v>-3619</v>
      </c>
    </row>
    <row r="6544" spans="1:25" x14ac:dyDescent="0.35">
      <c r="A6544">
        <v>32.761410017544101</v>
      </c>
      <c r="B6544">
        <v>-117.641244011541</v>
      </c>
      <c r="C6544" t="s">
        <v>29</v>
      </c>
      <c r="D6544">
        <v>8.3321225880764604</v>
      </c>
      <c r="E6544">
        <v>3</v>
      </c>
      <c r="F6544">
        <v>516</v>
      </c>
      <c r="G6544">
        <v>3</v>
      </c>
      <c r="H6544">
        <v>2</v>
      </c>
      <c r="I6544">
        <v>2000</v>
      </c>
      <c r="J6544">
        <v>0</v>
      </c>
      <c r="K6544">
        <v>0</v>
      </c>
      <c r="L6544">
        <v>0</v>
      </c>
      <c r="M6544">
        <v>11</v>
      </c>
      <c r="N6544" t="s">
        <v>35</v>
      </c>
      <c r="O6544" t="s">
        <v>27</v>
      </c>
      <c r="P6544">
        <v>9.6197083409599706</v>
      </c>
      <c r="Q6544">
        <v>1.5094254852675999</v>
      </c>
      <c r="R6544">
        <v>1.7490433104269001</v>
      </c>
      <c r="S6544">
        <v>166</v>
      </c>
      <c r="T6544">
        <v>22</v>
      </c>
      <c r="U6544">
        <v>790.26697631231502</v>
      </c>
      <c r="V6544">
        <v>2.1317829457364299E-2</v>
      </c>
      <c r="W6544">
        <v>604168.33250780497</v>
      </c>
      <c r="X6544" t="s">
        <v>36</v>
      </c>
      <c r="Y6544">
        <f>1-669-754-4812</f>
        <v>-6234</v>
      </c>
    </row>
    <row r="6545" spans="1:25" x14ac:dyDescent="0.35">
      <c r="A6545">
        <v>34.861069270002901</v>
      </c>
      <c r="B6545">
        <v>-119.71340316587499</v>
      </c>
      <c r="C6545" t="s">
        <v>34</v>
      </c>
      <c r="D6545">
        <v>32.196160425959398</v>
      </c>
      <c r="E6545">
        <v>2</v>
      </c>
      <c r="F6545">
        <v>2715</v>
      </c>
      <c r="G6545">
        <v>5</v>
      </c>
      <c r="H6545">
        <v>2</v>
      </c>
      <c r="I6545">
        <v>2006</v>
      </c>
      <c r="J6545">
        <v>0</v>
      </c>
      <c r="K6545">
        <v>1</v>
      </c>
      <c r="L6545">
        <v>0</v>
      </c>
      <c r="M6545">
        <v>10</v>
      </c>
      <c r="N6545" t="s">
        <v>41</v>
      </c>
      <c r="O6545" t="s">
        <v>30</v>
      </c>
      <c r="P6545">
        <v>5.7988995438397897</v>
      </c>
      <c r="Q6545">
        <v>1.05978281608747</v>
      </c>
      <c r="R6545">
        <v>6.4160812818652397</v>
      </c>
      <c r="S6545">
        <v>145</v>
      </c>
      <c r="T6545">
        <v>54</v>
      </c>
      <c r="U6545">
        <v>689.08578173246201</v>
      </c>
      <c r="V6545">
        <v>3.6832412523020198E-3</v>
      </c>
      <c r="W6545">
        <v>2235611.2500216798</v>
      </c>
      <c r="X6545" t="s">
        <v>36</v>
      </c>
      <c r="Y6545">
        <f>1-550-475-7345</f>
        <v>-8369</v>
      </c>
    </row>
    <row r="6546" spans="1:25" x14ac:dyDescent="0.35">
      <c r="A6546">
        <v>32.723386451748702</v>
      </c>
      <c r="B6546">
        <v>-115.60906290481999</v>
      </c>
      <c r="C6546" t="s">
        <v>34</v>
      </c>
      <c r="D6546">
        <v>22.387215158036302</v>
      </c>
      <c r="E6546">
        <v>5</v>
      </c>
      <c r="F6546">
        <v>4997</v>
      </c>
      <c r="G6546">
        <v>3</v>
      </c>
      <c r="H6546">
        <v>2</v>
      </c>
      <c r="I6546">
        <v>2014</v>
      </c>
      <c r="J6546">
        <v>0</v>
      </c>
      <c r="K6546">
        <v>0</v>
      </c>
      <c r="L6546">
        <v>1</v>
      </c>
      <c r="M6546">
        <v>13</v>
      </c>
      <c r="N6546" t="s">
        <v>41</v>
      </c>
      <c r="O6546" t="s">
        <v>32</v>
      </c>
      <c r="P6546">
        <v>4.9005927487035601</v>
      </c>
      <c r="Q6546">
        <v>1.8473105804816501</v>
      </c>
      <c r="R6546">
        <v>1.1668219288041299</v>
      </c>
      <c r="S6546">
        <v>170</v>
      </c>
      <c r="T6546">
        <v>32</v>
      </c>
      <c r="U6546">
        <v>997.07025881238405</v>
      </c>
      <c r="V6546">
        <v>2.6015609365619302E-3</v>
      </c>
      <c r="W6546">
        <v>5260177.1862805504</v>
      </c>
      <c r="X6546" t="s">
        <v>38</v>
      </c>
      <c r="Y6546">
        <f>1-830-864-9065</f>
        <v>-10758</v>
      </c>
    </row>
    <row r="6547" spans="1:25" x14ac:dyDescent="0.35">
      <c r="A6547">
        <v>38.180642695476699</v>
      </c>
      <c r="B6547">
        <v>-117.488030964266</v>
      </c>
      <c r="C6547" t="s">
        <v>29</v>
      </c>
      <c r="D6547">
        <v>30.070456069841899</v>
      </c>
      <c r="E6547">
        <v>7</v>
      </c>
      <c r="F6547">
        <v>3951</v>
      </c>
      <c r="G6547">
        <v>1</v>
      </c>
      <c r="H6547">
        <v>3</v>
      </c>
      <c r="I6547">
        <v>2015</v>
      </c>
      <c r="J6547">
        <v>0</v>
      </c>
      <c r="K6547">
        <v>0</v>
      </c>
      <c r="L6547">
        <v>1</v>
      </c>
      <c r="M6547">
        <v>9</v>
      </c>
      <c r="N6547" t="s">
        <v>41</v>
      </c>
      <c r="O6547" t="s">
        <v>30</v>
      </c>
      <c r="P6547">
        <v>10.5227141109791</v>
      </c>
      <c r="Q6547">
        <v>2.0014850938217901</v>
      </c>
      <c r="R6547">
        <v>0.78544408365252505</v>
      </c>
      <c r="S6547">
        <v>77</v>
      </c>
      <c r="T6547">
        <v>70</v>
      </c>
      <c r="U6547">
        <v>863.17703104991494</v>
      </c>
      <c r="V6547">
        <v>2.2779043280182201E-3</v>
      </c>
      <c r="W6547">
        <v>3608999.2622300098</v>
      </c>
      <c r="X6547" t="s">
        <v>42</v>
      </c>
      <c r="Y6547">
        <f>1-427-138-2528</f>
        <v>-3092</v>
      </c>
    </row>
    <row r="6548" spans="1:25" x14ac:dyDescent="0.35">
      <c r="A6548">
        <v>33.5054751547599</v>
      </c>
      <c r="B6548">
        <v>-114.19919095447599</v>
      </c>
      <c r="C6548" t="s">
        <v>25</v>
      </c>
      <c r="D6548">
        <v>42.837384745168997</v>
      </c>
      <c r="E6548">
        <v>6</v>
      </c>
      <c r="F6548">
        <v>2261</v>
      </c>
      <c r="G6548">
        <v>5</v>
      </c>
      <c r="H6548">
        <v>1</v>
      </c>
      <c r="I6548">
        <v>1986</v>
      </c>
      <c r="J6548">
        <v>1</v>
      </c>
      <c r="K6548">
        <v>0</v>
      </c>
      <c r="L6548">
        <v>0</v>
      </c>
      <c r="M6548">
        <v>13</v>
      </c>
      <c r="N6548" t="s">
        <v>37</v>
      </c>
      <c r="O6548" t="s">
        <v>27</v>
      </c>
      <c r="P6548">
        <v>12.9239260020952</v>
      </c>
      <c r="Q6548">
        <v>0.84323026759742903</v>
      </c>
      <c r="R6548">
        <v>5.0349334408907698</v>
      </c>
      <c r="S6548">
        <v>145</v>
      </c>
      <c r="T6548">
        <v>21</v>
      </c>
      <c r="U6548">
        <v>454.09745337010298</v>
      </c>
      <c r="V6548">
        <v>5.7496682883679696E-3</v>
      </c>
      <c r="W6548">
        <v>1366399.78520313</v>
      </c>
      <c r="X6548" t="s">
        <v>28</v>
      </c>
      <c r="Y6548">
        <f>1-690-322-6321</f>
        <v>-7332</v>
      </c>
    </row>
    <row r="6549" spans="1:25" x14ac:dyDescent="0.35">
      <c r="A6549">
        <v>41.714812243405099</v>
      </c>
      <c r="B6549">
        <v>-121.423280737556</v>
      </c>
      <c r="C6549" t="s">
        <v>34</v>
      </c>
      <c r="D6549">
        <v>3.09054424563399</v>
      </c>
      <c r="E6549">
        <v>6</v>
      </c>
      <c r="F6549">
        <v>3406</v>
      </c>
      <c r="G6549">
        <v>4</v>
      </c>
      <c r="H6549">
        <v>2</v>
      </c>
      <c r="I6549">
        <v>1974</v>
      </c>
      <c r="J6549">
        <v>0</v>
      </c>
      <c r="K6549">
        <v>1</v>
      </c>
      <c r="L6549">
        <v>1</v>
      </c>
      <c r="M6549">
        <v>13</v>
      </c>
      <c r="N6549" t="s">
        <v>37</v>
      </c>
      <c r="O6549" t="s">
        <v>30</v>
      </c>
      <c r="P6549">
        <v>11.0852709432432</v>
      </c>
      <c r="Q6549">
        <v>1.7734267148899701</v>
      </c>
      <c r="R6549">
        <v>1.0067824079290799</v>
      </c>
      <c r="S6549">
        <v>20</v>
      </c>
      <c r="T6549">
        <v>41</v>
      </c>
      <c r="U6549">
        <v>352.46564774655297</v>
      </c>
      <c r="V6549">
        <v>3.81679389312977E-3</v>
      </c>
      <c r="W6549">
        <v>1576743.4654345</v>
      </c>
      <c r="X6549" t="s">
        <v>36</v>
      </c>
      <c r="Y6549">
        <f>1-929-792-8017</f>
        <v>-9737</v>
      </c>
    </row>
    <row r="6550" spans="1:25" x14ac:dyDescent="0.35">
      <c r="A6550">
        <v>33.3939669115193</v>
      </c>
      <c r="B6550">
        <v>-122.441891057734</v>
      </c>
      <c r="C6550" t="s">
        <v>29</v>
      </c>
      <c r="D6550">
        <v>3.0691401413717001</v>
      </c>
      <c r="E6550">
        <v>8</v>
      </c>
      <c r="F6550">
        <v>3541</v>
      </c>
      <c r="G6550">
        <v>3</v>
      </c>
      <c r="H6550">
        <v>3</v>
      </c>
      <c r="I6550">
        <v>1981</v>
      </c>
      <c r="J6550">
        <v>1</v>
      </c>
      <c r="K6550">
        <v>1</v>
      </c>
      <c r="L6550">
        <v>1</v>
      </c>
      <c r="M6550">
        <v>7</v>
      </c>
      <c r="N6550" t="s">
        <v>41</v>
      </c>
      <c r="O6550" t="s">
        <v>30</v>
      </c>
      <c r="P6550">
        <v>2.38223844861936</v>
      </c>
      <c r="Q6550">
        <v>0.61427779836029395</v>
      </c>
      <c r="R6550">
        <v>1.58848979783044</v>
      </c>
      <c r="S6550">
        <v>108</v>
      </c>
      <c r="T6550">
        <v>77</v>
      </c>
      <c r="U6550">
        <v>888.571040834055</v>
      </c>
      <c r="V6550">
        <v>1.9768426998023102E-3</v>
      </c>
      <c r="W6550">
        <v>3424434.2434324301</v>
      </c>
      <c r="X6550" t="s">
        <v>33</v>
      </c>
      <c r="Y6550">
        <f>1-298-315-7358</f>
        <v>-7970</v>
      </c>
    </row>
    <row r="6551" spans="1:25" x14ac:dyDescent="0.35">
      <c r="A6551">
        <v>32.716520661329298</v>
      </c>
      <c r="B6551">
        <v>-122.903530239312</v>
      </c>
      <c r="C6551" t="s">
        <v>29</v>
      </c>
      <c r="D6551">
        <v>44.249114956874699</v>
      </c>
      <c r="E6551">
        <v>9</v>
      </c>
      <c r="F6551">
        <v>3482</v>
      </c>
      <c r="G6551">
        <v>2</v>
      </c>
      <c r="H6551">
        <v>1</v>
      </c>
      <c r="I6551">
        <v>2015</v>
      </c>
      <c r="J6551">
        <v>1</v>
      </c>
      <c r="K6551">
        <v>0</v>
      </c>
      <c r="L6551">
        <v>0</v>
      </c>
      <c r="M6551">
        <v>12</v>
      </c>
      <c r="N6551" t="s">
        <v>26</v>
      </c>
      <c r="O6551" t="s">
        <v>30</v>
      </c>
      <c r="P6551">
        <v>14.4087240888681</v>
      </c>
      <c r="Q6551">
        <v>1.81383583388032</v>
      </c>
      <c r="R6551">
        <v>1.5648968683556701</v>
      </c>
      <c r="S6551">
        <v>27</v>
      </c>
      <c r="T6551">
        <v>26</v>
      </c>
      <c r="U6551">
        <v>387.195750716514</v>
      </c>
      <c r="V6551">
        <v>3.44629523262492E-3</v>
      </c>
      <c r="W6551">
        <v>1617356.2223113901</v>
      </c>
      <c r="X6551" t="s">
        <v>42</v>
      </c>
      <c r="Y6551">
        <f>1-638-461-3639</f>
        <v>-4737</v>
      </c>
    </row>
    <row r="6552" spans="1:25" x14ac:dyDescent="0.35">
      <c r="A6552">
        <v>37.985431073963298</v>
      </c>
      <c r="B6552">
        <v>-122.640248986296</v>
      </c>
      <c r="C6552" t="s">
        <v>34</v>
      </c>
      <c r="D6552">
        <v>28.541886332413501</v>
      </c>
      <c r="E6552">
        <v>0</v>
      </c>
      <c r="F6552">
        <v>1558</v>
      </c>
      <c r="G6552">
        <v>1</v>
      </c>
      <c r="H6552">
        <v>3</v>
      </c>
      <c r="I6552">
        <v>1952</v>
      </c>
      <c r="J6552">
        <v>1</v>
      </c>
      <c r="K6552">
        <v>0</v>
      </c>
      <c r="L6552">
        <v>0</v>
      </c>
      <c r="M6552">
        <v>6</v>
      </c>
      <c r="N6552" t="s">
        <v>37</v>
      </c>
      <c r="O6552" t="s">
        <v>30</v>
      </c>
      <c r="P6552">
        <v>8.0921633148118399</v>
      </c>
      <c r="Q6552">
        <v>0.94465388553333995</v>
      </c>
      <c r="R6552">
        <v>9.2012892047220394</v>
      </c>
      <c r="S6552">
        <v>167</v>
      </c>
      <c r="T6552">
        <v>32</v>
      </c>
      <c r="U6552">
        <v>884.46967419866996</v>
      </c>
      <c r="V6552">
        <v>3.8510911424903698E-3</v>
      </c>
      <c r="W6552">
        <v>1394161.31854661</v>
      </c>
      <c r="X6552" t="s">
        <v>31</v>
      </c>
      <c r="Y6552">
        <f>1-572-356-5240</f>
        <v>-6167</v>
      </c>
    </row>
    <row r="6553" spans="1:25" x14ac:dyDescent="0.35">
      <c r="A6553">
        <v>32.892908419912402</v>
      </c>
      <c r="B6553">
        <v>-115.68066650951801</v>
      </c>
      <c r="C6553" t="s">
        <v>34</v>
      </c>
      <c r="D6553">
        <v>16.463496261359701</v>
      </c>
      <c r="E6553">
        <v>1</v>
      </c>
      <c r="F6553">
        <v>3713</v>
      </c>
      <c r="G6553">
        <v>3</v>
      </c>
      <c r="H6553">
        <v>2</v>
      </c>
      <c r="I6553">
        <v>1986</v>
      </c>
      <c r="J6553">
        <v>1</v>
      </c>
      <c r="K6553">
        <v>1</v>
      </c>
      <c r="L6553">
        <v>0</v>
      </c>
      <c r="M6553">
        <v>3</v>
      </c>
      <c r="N6553" t="s">
        <v>26</v>
      </c>
      <c r="O6553" t="s">
        <v>32</v>
      </c>
      <c r="P6553">
        <v>7.24698099519326</v>
      </c>
      <c r="Q6553">
        <v>0.52609495407138296</v>
      </c>
      <c r="R6553">
        <v>3.6762863781499902</v>
      </c>
      <c r="S6553">
        <v>49</v>
      </c>
      <c r="T6553">
        <v>61</v>
      </c>
      <c r="U6553">
        <v>460.61650030581501</v>
      </c>
      <c r="V6553">
        <v>8.0797199030433603E-4</v>
      </c>
      <c r="W6553">
        <v>2036071.2833319199</v>
      </c>
      <c r="X6553" t="s">
        <v>43</v>
      </c>
      <c r="Y6553">
        <f>1-946-889-5729</f>
        <v>-7563</v>
      </c>
    </row>
    <row r="6554" spans="1:25" x14ac:dyDescent="0.35">
      <c r="A6554">
        <v>40.229503233676198</v>
      </c>
      <c r="B6554">
        <v>-116.94186025795899</v>
      </c>
      <c r="C6554" t="s">
        <v>34</v>
      </c>
      <c r="D6554">
        <v>42.912456371701403</v>
      </c>
      <c r="E6554">
        <v>4</v>
      </c>
      <c r="F6554">
        <v>4925</v>
      </c>
      <c r="G6554">
        <v>4</v>
      </c>
      <c r="H6554">
        <v>2</v>
      </c>
      <c r="I6554">
        <v>1990</v>
      </c>
      <c r="J6554">
        <v>0</v>
      </c>
      <c r="K6554">
        <v>0</v>
      </c>
      <c r="L6554">
        <v>0</v>
      </c>
      <c r="M6554">
        <v>7</v>
      </c>
      <c r="N6554" t="s">
        <v>37</v>
      </c>
      <c r="O6554" t="s">
        <v>32</v>
      </c>
      <c r="P6554">
        <v>14.7803558214188</v>
      </c>
      <c r="Q6554">
        <v>1.85758545620699</v>
      </c>
      <c r="R6554">
        <v>0.78065780913729599</v>
      </c>
      <c r="S6554">
        <v>122</v>
      </c>
      <c r="T6554">
        <v>72</v>
      </c>
      <c r="U6554">
        <v>399.09570717529198</v>
      </c>
      <c r="V6554">
        <v>1.4213197969543099E-3</v>
      </c>
      <c r="W6554">
        <v>2226513.1280308901</v>
      </c>
      <c r="X6554" t="s">
        <v>40</v>
      </c>
      <c r="Y6554">
        <f>1-752-223-4918</f>
        <v>-5892</v>
      </c>
    </row>
    <row r="6555" spans="1:25" x14ac:dyDescent="0.35">
      <c r="A6555">
        <v>36.895877189718597</v>
      </c>
      <c r="B6555">
        <v>-114.313673156973</v>
      </c>
      <c r="C6555" t="s">
        <v>29</v>
      </c>
      <c r="D6555">
        <v>22.523552589336798</v>
      </c>
      <c r="E6555">
        <v>4</v>
      </c>
      <c r="F6555">
        <v>3992</v>
      </c>
      <c r="G6555">
        <v>2</v>
      </c>
      <c r="H6555">
        <v>3</v>
      </c>
      <c r="I6555">
        <v>1986</v>
      </c>
      <c r="J6555">
        <v>1</v>
      </c>
      <c r="K6555">
        <v>1</v>
      </c>
      <c r="L6555">
        <v>1</v>
      </c>
      <c r="M6555">
        <v>12</v>
      </c>
      <c r="N6555" t="s">
        <v>35</v>
      </c>
      <c r="O6555" t="s">
        <v>27</v>
      </c>
      <c r="P6555">
        <v>6.7229595041170302</v>
      </c>
      <c r="Q6555">
        <v>2.3536815409362899</v>
      </c>
      <c r="R6555">
        <v>9.3163701969680606</v>
      </c>
      <c r="S6555">
        <v>193</v>
      </c>
      <c r="T6555">
        <v>25</v>
      </c>
      <c r="U6555">
        <v>902.33579570504503</v>
      </c>
      <c r="V6555">
        <v>3.0060120240480901E-3</v>
      </c>
      <c r="W6555">
        <v>3883015.87390063</v>
      </c>
      <c r="X6555" t="s">
        <v>33</v>
      </c>
      <c r="Y6555">
        <f>1-364-106-9126</f>
        <v>-9595</v>
      </c>
    </row>
    <row r="6556" spans="1:25" x14ac:dyDescent="0.35">
      <c r="A6556">
        <v>36.991658163058801</v>
      </c>
      <c r="B6556">
        <v>-121.328463956513</v>
      </c>
      <c r="C6556" t="s">
        <v>29</v>
      </c>
      <c r="D6556">
        <v>45.004571735802401</v>
      </c>
      <c r="E6556">
        <v>7</v>
      </c>
      <c r="F6556">
        <v>815</v>
      </c>
      <c r="G6556">
        <v>1</v>
      </c>
      <c r="H6556">
        <v>3</v>
      </c>
      <c r="I6556">
        <v>1983</v>
      </c>
      <c r="J6556">
        <v>0</v>
      </c>
      <c r="K6556">
        <v>0</v>
      </c>
      <c r="L6556">
        <v>0</v>
      </c>
      <c r="M6556">
        <v>11</v>
      </c>
      <c r="N6556" t="s">
        <v>37</v>
      </c>
      <c r="O6556" t="s">
        <v>27</v>
      </c>
      <c r="P6556">
        <v>9.8515933540231106</v>
      </c>
      <c r="Q6556">
        <v>1.2225814396118999</v>
      </c>
      <c r="R6556">
        <v>4.0668003785223599</v>
      </c>
      <c r="S6556">
        <v>2</v>
      </c>
      <c r="T6556">
        <v>32</v>
      </c>
      <c r="U6556">
        <v>626.877917066549</v>
      </c>
      <c r="V6556">
        <v>1.3496932515337399E-2</v>
      </c>
      <c r="W6556">
        <v>725988.89951848704</v>
      </c>
      <c r="X6556" t="s">
        <v>44</v>
      </c>
      <c r="Y6556">
        <f>1-938-931-9801</f>
        <v>-11669</v>
      </c>
    </row>
    <row r="6557" spans="1:25" x14ac:dyDescent="0.35">
      <c r="A6557">
        <v>33.478319382126102</v>
      </c>
      <c r="B6557">
        <v>-121.940736348916</v>
      </c>
      <c r="C6557" t="s">
        <v>29</v>
      </c>
      <c r="D6557">
        <v>1.7197553617432599</v>
      </c>
      <c r="E6557">
        <v>4</v>
      </c>
      <c r="F6557">
        <v>3033</v>
      </c>
      <c r="G6557">
        <v>3</v>
      </c>
      <c r="H6557">
        <v>1</v>
      </c>
      <c r="I6557">
        <v>1968</v>
      </c>
      <c r="J6557">
        <v>1</v>
      </c>
      <c r="K6557">
        <v>1</v>
      </c>
      <c r="L6557">
        <v>1</v>
      </c>
      <c r="M6557">
        <v>7</v>
      </c>
      <c r="N6557" t="s">
        <v>41</v>
      </c>
      <c r="O6557" t="s">
        <v>27</v>
      </c>
      <c r="P6557">
        <v>5.2079620604043102</v>
      </c>
      <c r="Q6557">
        <v>0.58926161909438701</v>
      </c>
      <c r="R6557">
        <v>7.4646925216907496</v>
      </c>
      <c r="S6557">
        <v>112</v>
      </c>
      <c r="T6557">
        <v>58</v>
      </c>
      <c r="U6557">
        <v>301.46618808058503</v>
      </c>
      <c r="V6557">
        <v>2.3079459281239601E-3</v>
      </c>
      <c r="W6557">
        <v>1129839.1347709999</v>
      </c>
      <c r="X6557" t="s">
        <v>31</v>
      </c>
      <c r="Y6557">
        <f>1-509-940-7817</f>
        <v>-9265</v>
      </c>
    </row>
    <row r="6558" spans="1:25" x14ac:dyDescent="0.35">
      <c r="A6558">
        <v>34.617697282673497</v>
      </c>
      <c r="B6558">
        <v>-117.941972699828</v>
      </c>
      <c r="C6558" t="s">
        <v>34</v>
      </c>
      <c r="D6558">
        <v>33.336006234256402</v>
      </c>
      <c r="E6558">
        <v>7</v>
      </c>
      <c r="F6558">
        <v>2263</v>
      </c>
      <c r="G6558">
        <v>4</v>
      </c>
      <c r="H6558">
        <v>2</v>
      </c>
      <c r="I6558">
        <v>1984</v>
      </c>
      <c r="J6558">
        <v>1</v>
      </c>
      <c r="K6558">
        <v>0</v>
      </c>
      <c r="L6558">
        <v>0</v>
      </c>
      <c r="M6558">
        <v>6</v>
      </c>
      <c r="N6558" t="s">
        <v>41</v>
      </c>
      <c r="O6558" t="s">
        <v>27</v>
      </c>
      <c r="P6558">
        <v>10.842378951513</v>
      </c>
      <c r="Q6558">
        <v>1.58005656094177</v>
      </c>
      <c r="R6558">
        <v>9.0607627501367407</v>
      </c>
      <c r="S6558">
        <v>182</v>
      </c>
      <c r="T6558">
        <v>52</v>
      </c>
      <c r="U6558">
        <v>831.50514884698305</v>
      </c>
      <c r="V6558">
        <v>2.6513477684489599E-3</v>
      </c>
      <c r="W6558">
        <v>2165968.13189269</v>
      </c>
      <c r="X6558" t="s">
        <v>40</v>
      </c>
      <c r="Y6558">
        <f>1-889-363-3521</f>
        <v>-4772</v>
      </c>
    </row>
    <row r="6559" spans="1:25" x14ac:dyDescent="0.35">
      <c r="A6559">
        <v>34.355260682441099</v>
      </c>
      <c r="B6559">
        <v>-118.974470210429</v>
      </c>
      <c r="C6559" t="s">
        <v>29</v>
      </c>
      <c r="D6559">
        <v>33.345936147495102</v>
      </c>
      <c r="E6559">
        <v>7</v>
      </c>
      <c r="F6559">
        <v>2269</v>
      </c>
      <c r="G6559">
        <v>2</v>
      </c>
      <c r="H6559">
        <v>3</v>
      </c>
      <c r="I6559">
        <v>1993</v>
      </c>
      <c r="J6559">
        <v>1</v>
      </c>
      <c r="K6559">
        <v>0</v>
      </c>
      <c r="L6559">
        <v>0</v>
      </c>
      <c r="M6559">
        <v>11</v>
      </c>
      <c r="N6559" t="s">
        <v>41</v>
      </c>
      <c r="O6559" t="s">
        <v>32</v>
      </c>
      <c r="P6559">
        <v>10.6532256901945</v>
      </c>
      <c r="Q6559">
        <v>1.7769418418702601</v>
      </c>
      <c r="R6559">
        <v>4.1001671274020302</v>
      </c>
      <c r="S6559">
        <v>76</v>
      </c>
      <c r="T6559">
        <v>75</v>
      </c>
      <c r="U6559">
        <v>855.14290466646298</v>
      </c>
      <c r="V6559">
        <v>4.8479506390480299E-3</v>
      </c>
      <c r="W6559">
        <v>2135940.1490411698</v>
      </c>
      <c r="X6559" t="s">
        <v>31</v>
      </c>
      <c r="Y6559">
        <f>1-305-615-3062</f>
        <v>-3981</v>
      </c>
    </row>
    <row r="6560" spans="1:25" x14ac:dyDescent="0.35">
      <c r="A6560">
        <v>40.201615275045</v>
      </c>
      <c r="B6560">
        <v>-116.744685459716</v>
      </c>
      <c r="C6560" t="s">
        <v>29</v>
      </c>
      <c r="D6560">
        <v>46.852363534749699</v>
      </c>
      <c r="E6560">
        <v>3</v>
      </c>
      <c r="F6560">
        <v>4655</v>
      </c>
      <c r="G6560">
        <v>3</v>
      </c>
      <c r="H6560">
        <v>1</v>
      </c>
      <c r="I6560">
        <v>1990</v>
      </c>
      <c r="J6560">
        <v>0</v>
      </c>
      <c r="K6560">
        <v>0</v>
      </c>
      <c r="L6560">
        <v>1</v>
      </c>
      <c r="M6560">
        <v>8</v>
      </c>
      <c r="N6560" t="s">
        <v>35</v>
      </c>
      <c r="O6560" t="s">
        <v>32</v>
      </c>
      <c r="P6560">
        <v>5.4330347454262098</v>
      </c>
      <c r="Q6560">
        <v>1.1070669274768301</v>
      </c>
      <c r="R6560">
        <v>2.54235686396752</v>
      </c>
      <c r="S6560">
        <v>122</v>
      </c>
      <c r="T6560">
        <v>70</v>
      </c>
      <c r="U6560">
        <v>841.00169793559303</v>
      </c>
      <c r="V6560">
        <v>1.71858216970998E-3</v>
      </c>
      <c r="W6560">
        <v>4108452.0065062102</v>
      </c>
      <c r="X6560" t="s">
        <v>39</v>
      </c>
      <c r="Y6560">
        <f>1-480-814-2841</f>
        <v>-4134</v>
      </c>
    </row>
    <row r="6561" spans="1:25" x14ac:dyDescent="0.35">
      <c r="A6561">
        <v>35.4995588887002</v>
      </c>
      <c r="B6561">
        <v>-123.01793820835501</v>
      </c>
      <c r="C6561" t="s">
        <v>25</v>
      </c>
      <c r="D6561">
        <v>42.525358985209699</v>
      </c>
      <c r="E6561">
        <v>0</v>
      </c>
      <c r="F6561">
        <v>808</v>
      </c>
      <c r="G6561">
        <v>1</v>
      </c>
      <c r="H6561">
        <v>1</v>
      </c>
      <c r="I6561">
        <v>1952</v>
      </c>
      <c r="J6561">
        <v>0</v>
      </c>
      <c r="K6561">
        <v>0</v>
      </c>
      <c r="L6561">
        <v>0</v>
      </c>
      <c r="M6561">
        <v>10</v>
      </c>
      <c r="N6561" t="s">
        <v>41</v>
      </c>
      <c r="O6561" t="s">
        <v>32</v>
      </c>
      <c r="P6561">
        <v>3.6792636638851999</v>
      </c>
      <c r="Q6561">
        <v>2.4374707588650901</v>
      </c>
      <c r="R6561">
        <v>8.76070554926822</v>
      </c>
      <c r="S6561">
        <v>174</v>
      </c>
      <c r="T6561">
        <v>56</v>
      </c>
      <c r="U6561">
        <v>631.34927001093502</v>
      </c>
      <c r="V6561">
        <v>1.23762376237623E-2</v>
      </c>
      <c r="W6561">
        <v>412143.88180029602</v>
      </c>
      <c r="X6561" t="s">
        <v>39</v>
      </c>
      <c r="Y6561">
        <f>1-922-883-8018</f>
        <v>-9822</v>
      </c>
    </row>
    <row r="6562" spans="1:25" x14ac:dyDescent="0.35">
      <c r="A6562">
        <v>34.420222400398401</v>
      </c>
      <c r="B6562">
        <v>-119.186905000756</v>
      </c>
      <c r="C6562" t="s">
        <v>25</v>
      </c>
      <c r="D6562">
        <v>7.3518836894441897</v>
      </c>
      <c r="E6562">
        <v>7</v>
      </c>
      <c r="F6562">
        <v>866</v>
      </c>
      <c r="G6562">
        <v>2</v>
      </c>
      <c r="H6562">
        <v>2</v>
      </c>
      <c r="I6562">
        <v>2007</v>
      </c>
      <c r="J6562">
        <v>0</v>
      </c>
      <c r="K6562">
        <v>0</v>
      </c>
      <c r="L6562">
        <v>0</v>
      </c>
      <c r="M6562">
        <v>7</v>
      </c>
      <c r="N6562" t="s">
        <v>37</v>
      </c>
      <c r="O6562" t="s">
        <v>32</v>
      </c>
      <c r="P6562">
        <v>12.9264712122289</v>
      </c>
      <c r="Q6562">
        <v>2.2392934936868398</v>
      </c>
      <c r="R6562">
        <v>7.2853624373590398</v>
      </c>
      <c r="S6562">
        <v>74</v>
      </c>
      <c r="T6562">
        <v>58</v>
      </c>
      <c r="U6562">
        <v>415.28660126659599</v>
      </c>
      <c r="V6562">
        <v>8.0831408775981495E-3</v>
      </c>
      <c r="W6562">
        <v>559329.91201104096</v>
      </c>
      <c r="X6562" t="s">
        <v>43</v>
      </c>
      <c r="Y6562">
        <f>1-798-989-5298</f>
        <v>-7084</v>
      </c>
    </row>
    <row r="6563" spans="1:25" x14ac:dyDescent="0.35">
      <c r="A6563">
        <v>41.219939478202697</v>
      </c>
      <c r="B6563">
        <v>-115.001362940695</v>
      </c>
      <c r="C6563" t="s">
        <v>29</v>
      </c>
      <c r="D6563">
        <v>21.605405613317</v>
      </c>
      <c r="E6563">
        <v>0</v>
      </c>
      <c r="F6563">
        <v>4414</v>
      </c>
      <c r="G6563">
        <v>1</v>
      </c>
      <c r="H6563">
        <v>3</v>
      </c>
      <c r="I6563">
        <v>1970</v>
      </c>
      <c r="J6563">
        <v>0</v>
      </c>
      <c r="K6563">
        <v>0</v>
      </c>
      <c r="L6563">
        <v>0</v>
      </c>
      <c r="M6563">
        <v>6</v>
      </c>
      <c r="N6563" t="s">
        <v>37</v>
      </c>
      <c r="O6563" t="s">
        <v>30</v>
      </c>
      <c r="P6563">
        <v>3.06032758015365</v>
      </c>
      <c r="Q6563">
        <v>1.67716571865965</v>
      </c>
      <c r="R6563">
        <v>2.9991328633423202</v>
      </c>
      <c r="S6563">
        <v>125</v>
      </c>
      <c r="T6563">
        <v>67</v>
      </c>
      <c r="U6563">
        <v>908.07086964728296</v>
      </c>
      <c r="V6563">
        <v>1.35931128228364E-3</v>
      </c>
      <c r="W6563">
        <v>3975771.6336092302</v>
      </c>
      <c r="X6563" t="s">
        <v>42</v>
      </c>
      <c r="Y6563">
        <f>1-338-448-6608</f>
        <v>-7393</v>
      </c>
    </row>
    <row r="6564" spans="1:25" x14ac:dyDescent="0.35">
      <c r="A6564">
        <v>35.312836362584399</v>
      </c>
      <c r="B6564">
        <v>-116.754125253281</v>
      </c>
      <c r="C6564" t="s">
        <v>34</v>
      </c>
      <c r="D6564">
        <v>2.7508667204684798</v>
      </c>
      <c r="E6564">
        <v>4</v>
      </c>
      <c r="F6564">
        <v>1236</v>
      </c>
      <c r="G6564">
        <v>5</v>
      </c>
      <c r="H6564">
        <v>3</v>
      </c>
      <c r="I6564">
        <v>1979</v>
      </c>
      <c r="J6564">
        <v>1</v>
      </c>
      <c r="K6564">
        <v>1</v>
      </c>
      <c r="L6564">
        <v>1</v>
      </c>
      <c r="M6564">
        <v>6</v>
      </c>
      <c r="N6564" t="s">
        <v>26</v>
      </c>
      <c r="O6564" t="s">
        <v>27</v>
      </c>
      <c r="P6564">
        <v>11.394095428857</v>
      </c>
      <c r="Q6564">
        <v>1.8625946213944</v>
      </c>
      <c r="R6564">
        <v>0.16025174814732901</v>
      </c>
      <c r="S6564">
        <v>36</v>
      </c>
      <c r="T6564">
        <v>73</v>
      </c>
      <c r="U6564">
        <v>613.84089099129096</v>
      </c>
      <c r="V6564">
        <v>4.8543689320388302E-3</v>
      </c>
      <c r="W6564">
        <v>1242528.49155859</v>
      </c>
      <c r="X6564" t="s">
        <v>31</v>
      </c>
      <c r="Y6564">
        <f>1-576-428-3511</f>
        <v>-4514</v>
      </c>
    </row>
    <row r="6565" spans="1:25" x14ac:dyDescent="0.35">
      <c r="A6565">
        <v>39.743303888294101</v>
      </c>
      <c r="B6565">
        <v>-119.92621731087</v>
      </c>
      <c r="C6565" t="s">
        <v>34</v>
      </c>
      <c r="D6565">
        <v>15.5281029478941</v>
      </c>
      <c r="E6565">
        <v>0</v>
      </c>
      <c r="F6565">
        <v>1073</v>
      </c>
      <c r="G6565">
        <v>5</v>
      </c>
      <c r="H6565">
        <v>3</v>
      </c>
      <c r="I6565">
        <v>2014</v>
      </c>
      <c r="J6565">
        <v>1</v>
      </c>
      <c r="K6565">
        <v>0</v>
      </c>
      <c r="L6565">
        <v>0</v>
      </c>
      <c r="M6565">
        <v>6</v>
      </c>
      <c r="N6565" t="s">
        <v>26</v>
      </c>
      <c r="O6565" t="s">
        <v>30</v>
      </c>
      <c r="P6565">
        <v>4.8447733435135296</v>
      </c>
      <c r="Q6565">
        <v>2.22325577462406</v>
      </c>
      <c r="R6565">
        <v>8.4463183845616907</v>
      </c>
      <c r="S6565">
        <v>188</v>
      </c>
      <c r="T6565">
        <v>35</v>
      </c>
      <c r="U6565">
        <v>607.76666388784497</v>
      </c>
      <c r="V6565">
        <v>5.5917986952469696E-3</v>
      </c>
      <c r="W6565">
        <v>1001204.8472854201</v>
      </c>
      <c r="X6565" t="s">
        <v>28</v>
      </c>
      <c r="Y6565">
        <f>1-340-498-3439</f>
        <v>-4276</v>
      </c>
    </row>
    <row r="6566" spans="1:25" x14ac:dyDescent="0.35">
      <c r="A6566">
        <v>41.153991891379903</v>
      </c>
      <c r="B6566">
        <v>-120.74314100266599</v>
      </c>
      <c r="C6566" t="s">
        <v>25</v>
      </c>
      <c r="D6566">
        <v>28.3952167652158</v>
      </c>
      <c r="E6566">
        <v>4</v>
      </c>
      <c r="F6566">
        <v>2129</v>
      </c>
      <c r="G6566">
        <v>3</v>
      </c>
      <c r="H6566">
        <v>1</v>
      </c>
      <c r="I6566">
        <v>1957</v>
      </c>
      <c r="J6566">
        <v>0</v>
      </c>
      <c r="K6566">
        <v>1</v>
      </c>
      <c r="L6566">
        <v>0</v>
      </c>
      <c r="M6566">
        <v>6</v>
      </c>
      <c r="N6566" t="s">
        <v>37</v>
      </c>
      <c r="O6566" t="s">
        <v>30</v>
      </c>
      <c r="P6566">
        <v>4.3735724649537202</v>
      </c>
      <c r="Q6566">
        <v>1.9534542777228201</v>
      </c>
      <c r="R6566">
        <v>5.3042129033705203</v>
      </c>
      <c r="S6566">
        <v>127</v>
      </c>
      <c r="T6566">
        <v>71</v>
      </c>
      <c r="U6566">
        <v>642.83176255535102</v>
      </c>
      <c r="V6566">
        <v>2.8182245185533099E-3</v>
      </c>
      <c r="W6566">
        <v>1552129.8865865499</v>
      </c>
      <c r="X6566" t="s">
        <v>28</v>
      </c>
      <c r="Y6566">
        <f>1-443-970-7823</f>
        <v>-9235</v>
      </c>
    </row>
    <row r="6567" spans="1:25" x14ac:dyDescent="0.35">
      <c r="A6567">
        <v>41.340879122262301</v>
      </c>
      <c r="B6567">
        <v>-120.29947512719301</v>
      </c>
      <c r="C6567" t="s">
        <v>29</v>
      </c>
      <c r="D6567">
        <v>28.368575505202401</v>
      </c>
      <c r="E6567">
        <v>6</v>
      </c>
      <c r="F6567">
        <v>4833</v>
      </c>
      <c r="G6567">
        <v>1</v>
      </c>
      <c r="H6567">
        <v>3</v>
      </c>
      <c r="I6567">
        <v>1951</v>
      </c>
      <c r="J6567">
        <v>0</v>
      </c>
      <c r="K6567">
        <v>0</v>
      </c>
      <c r="L6567">
        <v>1</v>
      </c>
      <c r="M6567">
        <v>4</v>
      </c>
      <c r="N6567" t="s">
        <v>41</v>
      </c>
      <c r="O6567" t="s">
        <v>30</v>
      </c>
      <c r="P6567">
        <v>11.845792005289301</v>
      </c>
      <c r="Q6567">
        <v>0.85157779881366302</v>
      </c>
      <c r="R6567">
        <v>1.3103487952270101</v>
      </c>
      <c r="S6567">
        <v>155</v>
      </c>
      <c r="T6567">
        <v>20</v>
      </c>
      <c r="U6567">
        <v>624.02961979067697</v>
      </c>
      <c r="V6567">
        <v>8.2764328574384404E-4</v>
      </c>
      <c r="W6567">
        <v>3122139.7001581802</v>
      </c>
      <c r="X6567" t="s">
        <v>38</v>
      </c>
      <c r="Y6567">
        <f>1-830-732-6281</f>
        <v>-7842</v>
      </c>
    </row>
    <row r="6568" spans="1:25" x14ac:dyDescent="0.35">
      <c r="A6568">
        <v>39.505646247723398</v>
      </c>
      <c r="B6568">
        <v>-114.819901738485</v>
      </c>
      <c r="C6568" t="s">
        <v>34</v>
      </c>
      <c r="D6568">
        <v>38.015587629510101</v>
      </c>
      <c r="E6568">
        <v>0</v>
      </c>
      <c r="F6568">
        <v>1175</v>
      </c>
      <c r="G6568">
        <v>2</v>
      </c>
      <c r="H6568">
        <v>2</v>
      </c>
      <c r="I6568">
        <v>1979</v>
      </c>
      <c r="J6568">
        <v>1</v>
      </c>
      <c r="K6568">
        <v>0</v>
      </c>
      <c r="L6568">
        <v>0</v>
      </c>
      <c r="M6568">
        <v>6</v>
      </c>
      <c r="N6568" t="s">
        <v>37</v>
      </c>
      <c r="O6568" t="s">
        <v>27</v>
      </c>
      <c r="P6568">
        <v>12.641726495357201</v>
      </c>
      <c r="Q6568">
        <v>1.95268526385231</v>
      </c>
      <c r="R6568">
        <v>6.1849156198538902</v>
      </c>
      <c r="S6568">
        <v>8</v>
      </c>
      <c r="T6568">
        <v>48</v>
      </c>
      <c r="U6568">
        <v>307.237651975397</v>
      </c>
      <c r="V6568">
        <v>5.1063829787233997E-3</v>
      </c>
      <c r="W6568">
        <v>569230.32988703402</v>
      </c>
      <c r="X6568" t="s">
        <v>44</v>
      </c>
      <c r="Y6568">
        <f>1-250-405-8627</f>
        <v>-9281</v>
      </c>
    </row>
    <row r="6569" spans="1:25" x14ac:dyDescent="0.35">
      <c r="A6569">
        <v>34.6566742016307</v>
      </c>
      <c r="B6569">
        <v>-120.18376857751799</v>
      </c>
      <c r="C6569" t="s">
        <v>29</v>
      </c>
      <c r="D6569">
        <v>45.665981162081202</v>
      </c>
      <c r="E6569">
        <v>0</v>
      </c>
      <c r="F6569">
        <v>648</v>
      </c>
      <c r="G6569">
        <v>2</v>
      </c>
      <c r="H6569">
        <v>1</v>
      </c>
      <c r="I6569">
        <v>2008</v>
      </c>
      <c r="J6569">
        <v>0</v>
      </c>
      <c r="K6569">
        <v>0</v>
      </c>
      <c r="L6569">
        <v>0</v>
      </c>
      <c r="M6569">
        <v>11</v>
      </c>
      <c r="N6569" t="s">
        <v>41</v>
      </c>
      <c r="O6569" t="s">
        <v>32</v>
      </c>
      <c r="P6569">
        <v>11.7052606373035</v>
      </c>
      <c r="Q6569">
        <v>0.90831044498326197</v>
      </c>
      <c r="R6569">
        <v>1.7607611251292801</v>
      </c>
      <c r="S6569">
        <v>102</v>
      </c>
      <c r="T6569">
        <v>28</v>
      </c>
      <c r="U6569">
        <v>504.508065983243</v>
      </c>
      <c r="V6569">
        <v>1.6975308641975301E-2</v>
      </c>
      <c r="W6569">
        <v>498269.45678834</v>
      </c>
      <c r="X6569" t="s">
        <v>33</v>
      </c>
      <c r="Y6569">
        <f>1-607-866-1882</f>
        <v>-3354</v>
      </c>
    </row>
    <row r="6570" spans="1:25" x14ac:dyDescent="0.35">
      <c r="A6570">
        <v>33.306629003257797</v>
      </c>
      <c r="B6570">
        <v>-123.848554699788</v>
      </c>
      <c r="C6570" t="s">
        <v>25</v>
      </c>
      <c r="D6570">
        <v>14.378903404160001</v>
      </c>
      <c r="E6570">
        <v>1</v>
      </c>
      <c r="F6570">
        <v>4404</v>
      </c>
      <c r="G6570">
        <v>2</v>
      </c>
      <c r="H6570">
        <v>1</v>
      </c>
      <c r="I6570">
        <v>2013</v>
      </c>
      <c r="J6570">
        <v>0</v>
      </c>
      <c r="K6570">
        <v>1</v>
      </c>
      <c r="L6570">
        <v>1</v>
      </c>
      <c r="M6570">
        <v>11</v>
      </c>
      <c r="N6570" t="s">
        <v>26</v>
      </c>
      <c r="O6570" t="s">
        <v>30</v>
      </c>
      <c r="P6570">
        <v>6.97585633140966</v>
      </c>
      <c r="Q6570">
        <v>1.41885033040907</v>
      </c>
      <c r="R6570">
        <v>2.7891274026958999</v>
      </c>
      <c r="S6570">
        <v>27</v>
      </c>
      <c r="T6570">
        <v>32</v>
      </c>
      <c r="U6570">
        <v>617.03303572690197</v>
      </c>
      <c r="V6570">
        <v>2.4977293369663899E-3</v>
      </c>
      <c r="W6570">
        <v>2888301.52244699</v>
      </c>
      <c r="X6570" t="s">
        <v>43</v>
      </c>
      <c r="Y6570">
        <f>1-874-278-5378</f>
        <v>-6529</v>
      </c>
    </row>
    <row r="6571" spans="1:25" x14ac:dyDescent="0.35">
      <c r="A6571">
        <v>38.531659130031898</v>
      </c>
      <c r="B6571">
        <v>-118.14757632072001</v>
      </c>
      <c r="C6571" t="s">
        <v>29</v>
      </c>
      <c r="D6571">
        <v>29.116204192468501</v>
      </c>
      <c r="E6571">
        <v>6</v>
      </c>
      <c r="F6571">
        <v>2429</v>
      </c>
      <c r="G6571">
        <v>4</v>
      </c>
      <c r="H6571">
        <v>2</v>
      </c>
      <c r="I6571">
        <v>2016</v>
      </c>
      <c r="J6571">
        <v>0</v>
      </c>
      <c r="K6571">
        <v>0</v>
      </c>
      <c r="L6571">
        <v>0</v>
      </c>
      <c r="M6571">
        <v>3</v>
      </c>
      <c r="N6571" t="s">
        <v>41</v>
      </c>
      <c r="O6571" t="s">
        <v>32</v>
      </c>
      <c r="P6571">
        <v>9.4487076566987707</v>
      </c>
      <c r="Q6571">
        <v>2.1949769062356199</v>
      </c>
      <c r="R6571">
        <v>4.7221451453501802</v>
      </c>
      <c r="S6571">
        <v>174</v>
      </c>
      <c r="T6571">
        <v>48</v>
      </c>
      <c r="U6571">
        <v>802.26194648786998</v>
      </c>
      <c r="V6571">
        <v>1.2350761630300501E-3</v>
      </c>
      <c r="W6571">
        <v>2160019.8728620298</v>
      </c>
      <c r="X6571" t="s">
        <v>40</v>
      </c>
      <c r="Y6571">
        <f>1-780-655-5491</f>
        <v>-6925</v>
      </c>
    </row>
    <row r="6572" spans="1:25" x14ac:dyDescent="0.35">
      <c r="A6572">
        <v>36.920942084185597</v>
      </c>
      <c r="B6572">
        <v>-114.82547725827099</v>
      </c>
      <c r="C6572" t="s">
        <v>34</v>
      </c>
      <c r="D6572">
        <v>1.1897456787060099</v>
      </c>
      <c r="E6572">
        <v>7</v>
      </c>
      <c r="F6572">
        <v>3468</v>
      </c>
      <c r="G6572">
        <v>3</v>
      </c>
      <c r="H6572">
        <v>3</v>
      </c>
      <c r="I6572">
        <v>1979</v>
      </c>
      <c r="J6572">
        <v>0</v>
      </c>
      <c r="K6572">
        <v>0</v>
      </c>
      <c r="L6572">
        <v>0</v>
      </c>
      <c r="M6572">
        <v>11</v>
      </c>
      <c r="N6572" t="s">
        <v>37</v>
      </c>
      <c r="O6572" t="s">
        <v>32</v>
      </c>
      <c r="P6572">
        <v>14.387632769754701</v>
      </c>
      <c r="Q6572">
        <v>0.85759358387774998</v>
      </c>
      <c r="R6572">
        <v>8.6846811416945702</v>
      </c>
      <c r="S6572">
        <v>126</v>
      </c>
      <c r="T6572">
        <v>33</v>
      </c>
      <c r="U6572">
        <v>786.274686738897</v>
      </c>
      <c r="V6572">
        <v>3.1718569780853499E-3</v>
      </c>
      <c r="W6572">
        <v>3028730.76236038</v>
      </c>
      <c r="X6572" t="s">
        <v>43</v>
      </c>
      <c r="Y6572">
        <f>1-341-998-5095</f>
        <v>-6433</v>
      </c>
    </row>
    <row r="6573" spans="1:25" x14ac:dyDescent="0.35">
      <c r="A6573">
        <v>41.546495480870803</v>
      </c>
      <c r="B6573">
        <v>-121.437784947889</v>
      </c>
      <c r="C6573" t="s">
        <v>29</v>
      </c>
      <c r="D6573">
        <v>49.537647598110702</v>
      </c>
      <c r="E6573">
        <v>0</v>
      </c>
      <c r="F6573">
        <v>1539</v>
      </c>
      <c r="G6573">
        <v>3</v>
      </c>
      <c r="H6573">
        <v>2</v>
      </c>
      <c r="I6573">
        <v>2021</v>
      </c>
      <c r="J6573">
        <v>1</v>
      </c>
      <c r="K6573">
        <v>1</v>
      </c>
      <c r="L6573">
        <v>0</v>
      </c>
      <c r="M6573">
        <v>14</v>
      </c>
      <c r="N6573" t="s">
        <v>35</v>
      </c>
      <c r="O6573" t="s">
        <v>32</v>
      </c>
      <c r="P6573">
        <v>10.851836713573899</v>
      </c>
      <c r="Q6573">
        <v>0.75346879334021399</v>
      </c>
      <c r="R6573">
        <v>6.9474514291381402</v>
      </c>
      <c r="S6573">
        <v>89</v>
      </c>
      <c r="T6573">
        <v>57</v>
      </c>
      <c r="U6573">
        <v>308.327241531803</v>
      </c>
      <c r="V6573">
        <v>9.09681611435997E-3</v>
      </c>
      <c r="W6573">
        <v>938521.35823781101</v>
      </c>
      <c r="X6573" t="s">
        <v>36</v>
      </c>
      <c r="Y6573">
        <f>1-501-396-4070</f>
        <v>-4966</v>
      </c>
    </row>
    <row r="6574" spans="1:25" x14ac:dyDescent="0.35">
      <c r="A6574">
        <v>37.169525925613698</v>
      </c>
      <c r="B6574">
        <v>-117.04918333226701</v>
      </c>
      <c r="C6574" t="s">
        <v>25</v>
      </c>
      <c r="D6574">
        <v>11.386844741289901</v>
      </c>
      <c r="E6574">
        <v>3</v>
      </c>
      <c r="F6574">
        <v>1024</v>
      </c>
      <c r="G6574">
        <v>2</v>
      </c>
      <c r="H6574">
        <v>1</v>
      </c>
      <c r="I6574">
        <v>1980</v>
      </c>
      <c r="J6574">
        <v>1</v>
      </c>
      <c r="K6574">
        <v>0</v>
      </c>
      <c r="L6574">
        <v>1</v>
      </c>
      <c r="M6574">
        <v>14</v>
      </c>
      <c r="N6574" t="s">
        <v>41</v>
      </c>
      <c r="O6574" t="s">
        <v>27</v>
      </c>
      <c r="P6574">
        <v>14.7841985874459</v>
      </c>
      <c r="Q6574">
        <v>1.46104760793407</v>
      </c>
      <c r="R6574">
        <v>1.5981503024100201</v>
      </c>
      <c r="S6574">
        <v>43</v>
      </c>
      <c r="T6574">
        <v>28</v>
      </c>
      <c r="U6574">
        <v>200.22719245301499</v>
      </c>
      <c r="V6574">
        <v>1.3671875E-2</v>
      </c>
      <c r="W6574">
        <v>438297.09075858898</v>
      </c>
      <c r="X6574" t="s">
        <v>33</v>
      </c>
      <c r="Y6574">
        <f>1-757-669-8044</f>
        <v>-9469</v>
      </c>
    </row>
    <row r="6575" spans="1:25" x14ac:dyDescent="0.35">
      <c r="A6575">
        <v>37.4782709067429</v>
      </c>
      <c r="B6575">
        <v>-118.462450115146</v>
      </c>
      <c r="C6575" t="s">
        <v>34</v>
      </c>
      <c r="D6575">
        <v>16.0836937446619</v>
      </c>
      <c r="E6575">
        <v>9</v>
      </c>
      <c r="F6575">
        <v>1776</v>
      </c>
      <c r="G6575">
        <v>1</v>
      </c>
      <c r="H6575">
        <v>1</v>
      </c>
      <c r="I6575">
        <v>1959</v>
      </c>
      <c r="J6575">
        <v>0</v>
      </c>
      <c r="K6575">
        <v>1</v>
      </c>
      <c r="L6575">
        <v>1</v>
      </c>
      <c r="M6575">
        <v>10</v>
      </c>
      <c r="N6575" t="s">
        <v>26</v>
      </c>
      <c r="O6575" t="s">
        <v>27</v>
      </c>
      <c r="P6575">
        <v>5.8020088277519797</v>
      </c>
      <c r="Q6575">
        <v>1.8683848681817901</v>
      </c>
      <c r="R6575">
        <v>6.8117179824714702</v>
      </c>
      <c r="S6575">
        <v>113</v>
      </c>
      <c r="T6575">
        <v>79</v>
      </c>
      <c r="U6575">
        <v>377.16100797012803</v>
      </c>
      <c r="V6575">
        <v>5.6306306306306304E-3</v>
      </c>
      <c r="W6575">
        <v>824463.47974560398</v>
      </c>
      <c r="X6575" t="s">
        <v>43</v>
      </c>
      <c r="Y6575">
        <f>1-887-273-7073</f>
        <v>-8232</v>
      </c>
    </row>
    <row r="6576" spans="1:25" x14ac:dyDescent="0.35">
      <c r="A6576">
        <v>33.353084994400199</v>
      </c>
      <c r="B6576">
        <v>-120.01073002701099</v>
      </c>
      <c r="C6576" t="s">
        <v>29</v>
      </c>
      <c r="D6576">
        <v>35.354534654043</v>
      </c>
      <c r="E6576">
        <v>4</v>
      </c>
      <c r="F6576">
        <v>2591</v>
      </c>
      <c r="G6576">
        <v>1</v>
      </c>
      <c r="H6576">
        <v>1</v>
      </c>
      <c r="I6576">
        <v>2014</v>
      </c>
      <c r="J6576">
        <v>0</v>
      </c>
      <c r="K6576">
        <v>0</v>
      </c>
      <c r="L6576">
        <v>0</v>
      </c>
      <c r="M6576">
        <v>5</v>
      </c>
      <c r="N6576" t="s">
        <v>35</v>
      </c>
      <c r="O6576" t="s">
        <v>27</v>
      </c>
      <c r="P6576">
        <v>8.9744007884256494</v>
      </c>
      <c r="Q6576">
        <v>2.4087868648736901</v>
      </c>
      <c r="R6576">
        <v>4.7135151518702996</v>
      </c>
      <c r="S6576">
        <v>56</v>
      </c>
      <c r="T6576">
        <v>75</v>
      </c>
      <c r="U6576">
        <v>271.09255839758703</v>
      </c>
      <c r="V6576">
        <v>1.92975685063681E-3</v>
      </c>
      <c r="W6576">
        <v>855743.72427912499</v>
      </c>
      <c r="X6576" t="s">
        <v>38</v>
      </c>
      <c r="Y6576">
        <f>1-842-365-1826</f>
        <v>-3032</v>
      </c>
    </row>
    <row r="6577" spans="1:25" x14ac:dyDescent="0.35">
      <c r="A6577">
        <v>40.734930640064199</v>
      </c>
      <c r="B6577">
        <v>-124.35488588194001</v>
      </c>
      <c r="C6577" t="s">
        <v>34</v>
      </c>
      <c r="D6577">
        <v>6.6373816289456897</v>
      </c>
      <c r="E6577">
        <v>0</v>
      </c>
      <c r="F6577">
        <v>3624</v>
      </c>
      <c r="G6577">
        <v>5</v>
      </c>
      <c r="H6577">
        <v>2</v>
      </c>
      <c r="I6577">
        <v>1972</v>
      </c>
      <c r="J6577">
        <v>0</v>
      </c>
      <c r="K6577">
        <v>1</v>
      </c>
      <c r="L6577">
        <v>0</v>
      </c>
      <c r="M6577">
        <v>14</v>
      </c>
      <c r="N6577" t="s">
        <v>37</v>
      </c>
      <c r="O6577" t="s">
        <v>30</v>
      </c>
      <c r="P6577">
        <v>3.22791740274856</v>
      </c>
      <c r="Q6577">
        <v>0.91236507408711598</v>
      </c>
      <c r="R6577">
        <v>7.45988686857023</v>
      </c>
      <c r="S6577">
        <v>74</v>
      </c>
      <c r="T6577">
        <v>51</v>
      </c>
      <c r="U6577">
        <v>560.44325071587502</v>
      </c>
      <c r="V6577">
        <v>3.86313465783664E-3</v>
      </c>
      <c r="W6577">
        <v>2370712.76730025</v>
      </c>
      <c r="X6577" t="s">
        <v>39</v>
      </c>
      <c r="Y6577">
        <f>1-749-630-9492</f>
        <v>-10870</v>
      </c>
    </row>
    <row r="6578" spans="1:25" x14ac:dyDescent="0.35">
      <c r="A6578">
        <v>39.563179806795603</v>
      </c>
      <c r="B6578">
        <v>-115.92466371608801</v>
      </c>
      <c r="C6578" t="s">
        <v>34</v>
      </c>
      <c r="D6578">
        <v>19.861254012197701</v>
      </c>
      <c r="E6578">
        <v>1</v>
      </c>
      <c r="F6578">
        <v>3177</v>
      </c>
      <c r="G6578">
        <v>1</v>
      </c>
      <c r="H6578">
        <v>1</v>
      </c>
      <c r="I6578">
        <v>2017</v>
      </c>
      <c r="J6578">
        <v>1</v>
      </c>
      <c r="K6578">
        <v>0</v>
      </c>
      <c r="L6578">
        <v>0</v>
      </c>
      <c r="M6578">
        <v>5</v>
      </c>
      <c r="N6578" t="s">
        <v>35</v>
      </c>
      <c r="O6578" t="s">
        <v>30</v>
      </c>
      <c r="P6578">
        <v>10.979956719316901</v>
      </c>
      <c r="Q6578">
        <v>0.84718870155785497</v>
      </c>
      <c r="R6578">
        <v>8.8589567184703899</v>
      </c>
      <c r="S6578">
        <v>96</v>
      </c>
      <c r="T6578">
        <v>74</v>
      </c>
      <c r="U6578">
        <v>354.58129501513997</v>
      </c>
      <c r="V6578">
        <v>1.5738117721120499E-3</v>
      </c>
      <c r="W6578">
        <v>1264146.51853102</v>
      </c>
      <c r="X6578" t="s">
        <v>36</v>
      </c>
      <c r="Y6578">
        <f>1-488-676-6458</f>
        <v>-7621</v>
      </c>
    </row>
    <row r="6579" spans="1:25" x14ac:dyDescent="0.35">
      <c r="A6579">
        <v>35.453188232496501</v>
      </c>
      <c r="B6579">
        <v>-120.094308814423</v>
      </c>
      <c r="C6579" t="s">
        <v>34</v>
      </c>
      <c r="D6579">
        <v>15.0632661532256</v>
      </c>
      <c r="E6579">
        <v>5</v>
      </c>
      <c r="F6579">
        <v>3310</v>
      </c>
      <c r="G6579">
        <v>5</v>
      </c>
      <c r="H6579">
        <v>2</v>
      </c>
      <c r="I6579">
        <v>1981</v>
      </c>
      <c r="J6579">
        <v>1</v>
      </c>
      <c r="K6579">
        <v>1</v>
      </c>
      <c r="L6579">
        <v>0</v>
      </c>
      <c r="M6579">
        <v>7</v>
      </c>
      <c r="N6579" t="s">
        <v>37</v>
      </c>
      <c r="O6579" t="s">
        <v>30</v>
      </c>
      <c r="P6579">
        <v>3.9931547288867502</v>
      </c>
      <c r="Q6579">
        <v>1.68617697403349</v>
      </c>
      <c r="R6579">
        <v>3.4457084389741701</v>
      </c>
      <c r="S6579">
        <v>22</v>
      </c>
      <c r="T6579">
        <v>41</v>
      </c>
      <c r="U6579">
        <v>789.66589001259695</v>
      </c>
      <c r="V6579">
        <v>2.11480362537764E-3</v>
      </c>
      <c r="W6579">
        <v>2959923.80985534</v>
      </c>
      <c r="X6579" t="s">
        <v>36</v>
      </c>
      <c r="Y6579">
        <f>1-417-199-2444</f>
        <v>-3059</v>
      </c>
    </row>
    <row r="6580" spans="1:25" x14ac:dyDescent="0.35">
      <c r="A6580">
        <v>36.248516601076702</v>
      </c>
      <c r="B6580">
        <v>-115.653434262202</v>
      </c>
      <c r="C6580" t="s">
        <v>34</v>
      </c>
      <c r="D6580">
        <v>3.7742737709840402</v>
      </c>
      <c r="E6580">
        <v>8</v>
      </c>
      <c r="F6580">
        <v>3849</v>
      </c>
      <c r="G6580">
        <v>1</v>
      </c>
      <c r="H6580">
        <v>1</v>
      </c>
      <c r="I6580">
        <v>2012</v>
      </c>
      <c r="J6580">
        <v>0</v>
      </c>
      <c r="K6580">
        <v>0</v>
      </c>
      <c r="L6580">
        <v>1</v>
      </c>
      <c r="M6580">
        <v>10</v>
      </c>
      <c r="N6580" t="s">
        <v>26</v>
      </c>
      <c r="O6580" t="s">
        <v>30</v>
      </c>
      <c r="P6580">
        <v>14.3985188556934</v>
      </c>
      <c r="Q6580">
        <v>1.7252483646244401</v>
      </c>
      <c r="R6580">
        <v>2.47627040091957</v>
      </c>
      <c r="S6580">
        <v>153</v>
      </c>
      <c r="T6580">
        <v>27</v>
      </c>
      <c r="U6580">
        <v>347.15949197698001</v>
      </c>
      <c r="V6580">
        <v>2.5980774227071898E-3</v>
      </c>
      <c r="W6580">
        <v>1564717.6944669201</v>
      </c>
      <c r="X6580" t="s">
        <v>40</v>
      </c>
      <c r="Y6580">
        <f>1-660-765-5766</f>
        <v>-7190</v>
      </c>
    </row>
    <row r="6581" spans="1:25" x14ac:dyDescent="0.35">
      <c r="A6581">
        <v>34.400633314519702</v>
      </c>
      <c r="B6581">
        <v>-118.472008767009</v>
      </c>
      <c r="C6581" t="s">
        <v>25</v>
      </c>
      <c r="D6581">
        <v>23.682946948091502</v>
      </c>
      <c r="E6581">
        <v>8</v>
      </c>
      <c r="F6581">
        <v>4111</v>
      </c>
      <c r="G6581">
        <v>3</v>
      </c>
      <c r="H6581">
        <v>2</v>
      </c>
      <c r="I6581">
        <v>1974</v>
      </c>
      <c r="J6581">
        <v>0</v>
      </c>
      <c r="K6581">
        <v>0</v>
      </c>
      <c r="L6581">
        <v>1</v>
      </c>
      <c r="M6581">
        <v>9</v>
      </c>
      <c r="N6581" t="s">
        <v>35</v>
      </c>
      <c r="O6581" t="s">
        <v>32</v>
      </c>
      <c r="P6581">
        <v>14.8164731057745</v>
      </c>
      <c r="Q6581">
        <v>0.67869277125267902</v>
      </c>
      <c r="R6581">
        <v>9.1388948266035896</v>
      </c>
      <c r="S6581">
        <v>135</v>
      </c>
      <c r="T6581">
        <v>45</v>
      </c>
      <c r="U6581">
        <v>580.84283113575896</v>
      </c>
      <c r="V6581">
        <v>2.1892483580637301E-3</v>
      </c>
      <c r="W6581">
        <v>2728987.8890691302</v>
      </c>
      <c r="X6581" t="s">
        <v>40</v>
      </c>
      <c r="Y6581">
        <f>1-384-205-4747</f>
        <v>-5335</v>
      </c>
    </row>
    <row r="6582" spans="1:25" x14ac:dyDescent="0.35">
      <c r="A6582">
        <v>36.157747028093198</v>
      </c>
      <c r="B6582">
        <v>-117.188216108712</v>
      </c>
      <c r="C6582" t="s">
        <v>29</v>
      </c>
      <c r="D6582">
        <v>31.857533590849101</v>
      </c>
      <c r="E6582">
        <v>0</v>
      </c>
      <c r="F6582">
        <v>969</v>
      </c>
      <c r="G6582">
        <v>2</v>
      </c>
      <c r="H6582">
        <v>2</v>
      </c>
      <c r="I6582">
        <v>1994</v>
      </c>
      <c r="J6582">
        <v>0</v>
      </c>
      <c r="K6582">
        <v>1</v>
      </c>
      <c r="L6582">
        <v>1</v>
      </c>
      <c r="M6582">
        <v>4</v>
      </c>
      <c r="N6582" t="s">
        <v>37</v>
      </c>
      <c r="O6582" t="s">
        <v>30</v>
      </c>
      <c r="P6582">
        <v>12.265149610222</v>
      </c>
      <c r="Q6582">
        <v>2.2622544787367298</v>
      </c>
      <c r="R6582">
        <v>3.2455887009586801</v>
      </c>
      <c r="S6582">
        <v>40</v>
      </c>
      <c r="T6582">
        <v>50</v>
      </c>
      <c r="U6582">
        <v>232.86588507676001</v>
      </c>
      <c r="V6582">
        <v>4.12796697626418E-3</v>
      </c>
      <c r="W6582">
        <v>460327.52723286999</v>
      </c>
      <c r="X6582" t="s">
        <v>43</v>
      </c>
      <c r="Y6582">
        <f>1-437-864-8780</f>
        <v>-10080</v>
      </c>
    </row>
    <row r="6583" spans="1:25" x14ac:dyDescent="0.35">
      <c r="A6583">
        <v>33.4182180812684</v>
      </c>
      <c r="B6583">
        <v>-118.132835230203</v>
      </c>
      <c r="C6583" t="s">
        <v>25</v>
      </c>
      <c r="D6583">
        <v>20.544254659336499</v>
      </c>
      <c r="E6583">
        <v>5</v>
      </c>
      <c r="F6583">
        <v>1083</v>
      </c>
      <c r="G6583">
        <v>4</v>
      </c>
      <c r="H6583">
        <v>3</v>
      </c>
      <c r="I6583">
        <v>1983</v>
      </c>
      <c r="J6583">
        <v>0</v>
      </c>
      <c r="K6583">
        <v>1</v>
      </c>
      <c r="L6583">
        <v>1</v>
      </c>
      <c r="M6583">
        <v>2</v>
      </c>
      <c r="N6583" t="s">
        <v>37</v>
      </c>
      <c r="O6583" t="s">
        <v>30</v>
      </c>
      <c r="P6583">
        <v>14.577522747024799</v>
      </c>
      <c r="Q6583">
        <v>1.4259415632710599</v>
      </c>
      <c r="R6583">
        <v>7.2972454862307004</v>
      </c>
      <c r="S6583">
        <v>193</v>
      </c>
      <c r="T6583">
        <v>45</v>
      </c>
      <c r="U6583">
        <v>323.38336280301598</v>
      </c>
      <c r="V6583">
        <v>1.84672206832871E-3</v>
      </c>
      <c r="W6583">
        <v>745023.61470444396</v>
      </c>
      <c r="X6583" t="s">
        <v>40</v>
      </c>
      <c r="Y6583">
        <f>1-436-830-8834</f>
        <v>-10099</v>
      </c>
    </row>
    <row r="6584" spans="1:25" x14ac:dyDescent="0.35">
      <c r="A6584">
        <v>37.645654023262999</v>
      </c>
      <c r="B6584">
        <v>-117.95481333180901</v>
      </c>
      <c r="C6584" t="s">
        <v>25</v>
      </c>
      <c r="D6584">
        <v>6.4983516461827699</v>
      </c>
      <c r="E6584">
        <v>1</v>
      </c>
      <c r="F6584">
        <v>2717</v>
      </c>
      <c r="G6584">
        <v>1</v>
      </c>
      <c r="H6584">
        <v>1</v>
      </c>
      <c r="I6584">
        <v>2002</v>
      </c>
      <c r="J6584">
        <v>1</v>
      </c>
      <c r="K6584">
        <v>0</v>
      </c>
      <c r="L6584">
        <v>1</v>
      </c>
      <c r="M6584">
        <v>6</v>
      </c>
      <c r="N6584" t="s">
        <v>37</v>
      </c>
      <c r="O6584" t="s">
        <v>32</v>
      </c>
      <c r="P6584">
        <v>14.8539038602737</v>
      </c>
      <c r="Q6584">
        <v>1.0299201090465</v>
      </c>
      <c r="R6584">
        <v>0.58728929115135098</v>
      </c>
      <c r="S6584">
        <v>179</v>
      </c>
      <c r="T6584">
        <v>40</v>
      </c>
      <c r="U6584">
        <v>204.36671723367201</v>
      </c>
      <c r="V6584">
        <v>2.20831799779168E-3</v>
      </c>
      <c r="W6584">
        <v>799689.84234158206</v>
      </c>
      <c r="X6584" t="s">
        <v>36</v>
      </c>
      <c r="Y6584">
        <f>1-877-210-8711</f>
        <v>-9797</v>
      </c>
    </row>
    <row r="6585" spans="1:25" x14ac:dyDescent="0.35">
      <c r="A6585">
        <v>38.734555504104598</v>
      </c>
      <c r="B6585">
        <v>-117.42935794248601</v>
      </c>
      <c r="C6585" t="s">
        <v>34</v>
      </c>
      <c r="D6585">
        <v>18.9236432660107</v>
      </c>
      <c r="E6585">
        <v>0</v>
      </c>
      <c r="F6585">
        <v>4744</v>
      </c>
      <c r="G6585">
        <v>5</v>
      </c>
      <c r="H6585">
        <v>1</v>
      </c>
      <c r="I6585">
        <v>2008</v>
      </c>
      <c r="J6585">
        <v>0</v>
      </c>
      <c r="K6585">
        <v>0</v>
      </c>
      <c r="L6585">
        <v>0</v>
      </c>
      <c r="M6585">
        <v>11</v>
      </c>
      <c r="N6585" t="s">
        <v>35</v>
      </c>
      <c r="O6585" t="s">
        <v>32</v>
      </c>
      <c r="P6585">
        <v>10.016254863193</v>
      </c>
      <c r="Q6585">
        <v>0.68042875730559305</v>
      </c>
      <c r="R6585">
        <v>9.2341667665792695</v>
      </c>
      <c r="S6585">
        <v>195</v>
      </c>
      <c r="T6585">
        <v>41</v>
      </c>
      <c r="U6585">
        <v>226.59141434717199</v>
      </c>
      <c r="V6585">
        <v>2.3187183811129801E-3</v>
      </c>
      <c r="W6585">
        <v>1305303.2711046301</v>
      </c>
      <c r="X6585" t="s">
        <v>36</v>
      </c>
      <c r="Y6585">
        <f>1-491-424-7143</f>
        <v>-8057</v>
      </c>
    </row>
    <row r="6586" spans="1:25" x14ac:dyDescent="0.35">
      <c r="A6586">
        <v>41.944242794048499</v>
      </c>
      <c r="B6586">
        <v>-124.484028597136</v>
      </c>
      <c r="C6586" t="s">
        <v>25</v>
      </c>
      <c r="D6586">
        <v>49.868709298578501</v>
      </c>
      <c r="E6586">
        <v>9</v>
      </c>
      <c r="F6586">
        <v>1517</v>
      </c>
      <c r="G6586">
        <v>3</v>
      </c>
      <c r="H6586">
        <v>1</v>
      </c>
      <c r="I6586">
        <v>1994</v>
      </c>
      <c r="J6586">
        <v>1</v>
      </c>
      <c r="K6586">
        <v>1</v>
      </c>
      <c r="L6586">
        <v>1</v>
      </c>
      <c r="M6586">
        <v>13</v>
      </c>
      <c r="N6586" t="s">
        <v>37</v>
      </c>
      <c r="O6586" t="s">
        <v>30</v>
      </c>
      <c r="P6586">
        <v>13.689293984280299</v>
      </c>
      <c r="Q6586">
        <v>1.5458321523288401</v>
      </c>
      <c r="R6586">
        <v>5.9165399542995996</v>
      </c>
      <c r="S6586">
        <v>135</v>
      </c>
      <c r="T6586">
        <v>53</v>
      </c>
      <c r="U6586">
        <v>868.46177610934797</v>
      </c>
      <c r="V6586">
        <v>8.5695451549110003E-3</v>
      </c>
      <c r="W6586">
        <v>1710120.7667411</v>
      </c>
      <c r="X6586" t="s">
        <v>42</v>
      </c>
      <c r="Y6586">
        <f>1-710-267-6231</f>
        <v>-7207</v>
      </c>
    </row>
    <row r="6587" spans="1:25" x14ac:dyDescent="0.35">
      <c r="A6587">
        <v>37.746216281187998</v>
      </c>
      <c r="B6587">
        <v>-122.261511124579</v>
      </c>
      <c r="C6587" t="s">
        <v>29</v>
      </c>
      <c r="D6587">
        <v>44.978351746582703</v>
      </c>
      <c r="E6587">
        <v>1</v>
      </c>
      <c r="F6587">
        <v>3824</v>
      </c>
      <c r="G6587">
        <v>2</v>
      </c>
      <c r="H6587">
        <v>2</v>
      </c>
      <c r="I6587">
        <v>2022</v>
      </c>
      <c r="J6587">
        <v>0</v>
      </c>
      <c r="K6587">
        <v>0</v>
      </c>
      <c r="L6587">
        <v>0</v>
      </c>
      <c r="M6587">
        <v>9</v>
      </c>
      <c r="N6587" t="s">
        <v>35</v>
      </c>
      <c r="O6587" t="s">
        <v>30</v>
      </c>
      <c r="P6587">
        <v>5.3005719962153002</v>
      </c>
      <c r="Q6587">
        <v>1.6167702640375801</v>
      </c>
      <c r="R6587">
        <v>3.4822442096046902</v>
      </c>
      <c r="S6587">
        <v>7</v>
      </c>
      <c r="T6587">
        <v>76</v>
      </c>
      <c r="U6587">
        <v>828.85792196048203</v>
      </c>
      <c r="V6587">
        <v>2.3535564853556399E-3</v>
      </c>
      <c r="W6587">
        <v>3393169.4213874801</v>
      </c>
      <c r="X6587" t="s">
        <v>36</v>
      </c>
      <c r="Y6587">
        <f>1-756-694-2484</f>
        <v>-3933</v>
      </c>
    </row>
    <row r="6588" spans="1:25" x14ac:dyDescent="0.35">
      <c r="A6588">
        <v>39.142232077205101</v>
      </c>
      <c r="B6588">
        <v>-115.244147905012</v>
      </c>
      <c r="C6588" t="s">
        <v>29</v>
      </c>
      <c r="D6588">
        <v>23.615133783788899</v>
      </c>
      <c r="E6588">
        <v>5</v>
      </c>
      <c r="F6588">
        <v>4569</v>
      </c>
      <c r="G6588">
        <v>1</v>
      </c>
      <c r="H6588">
        <v>3</v>
      </c>
      <c r="I6588">
        <v>1998</v>
      </c>
      <c r="J6588">
        <v>1</v>
      </c>
      <c r="K6588">
        <v>1</v>
      </c>
      <c r="L6588">
        <v>1</v>
      </c>
      <c r="M6588">
        <v>7</v>
      </c>
      <c r="N6588" t="s">
        <v>35</v>
      </c>
      <c r="O6588" t="s">
        <v>30</v>
      </c>
      <c r="P6588">
        <v>3.3270766419609199</v>
      </c>
      <c r="Q6588">
        <v>1.3193857102080899</v>
      </c>
      <c r="R6588">
        <v>2.25290154680554</v>
      </c>
      <c r="S6588">
        <v>39</v>
      </c>
      <c r="T6588">
        <v>41</v>
      </c>
      <c r="U6588">
        <v>339.37320642875699</v>
      </c>
      <c r="V6588">
        <v>1.5320639089516301E-3</v>
      </c>
      <c r="W6588">
        <v>1929888.55932399</v>
      </c>
      <c r="X6588" t="s">
        <v>44</v>
      </c>
      <c r="Y6588">
        <f>1-265-240-5852</f>
        <v>-6356</v>
      </c>
    </row>
    <row r="6589" spans="1:25" x14ac:dyDescent="0.35">
      <c r="A6589">
        <v>32.988651564483199</v>
      </c>
      <c r="B6589">
        <v>-123.31165533694301</v>
      </c>
      <c r="C6589" t="s">
        <v>25</v>
      </c>
      <c r="D6589">
        <v>29.291505343178599</v>
      </c>
      <c r="E6589">
        <v>6</v>
      </c>
      <c r="F6589">
        <v>4323</v>
      </c>
      <c r="G6589">
        <v>3</v>
      </c>
      <c r="H6589">
        <v>2</v>
      </c>
      <c r="I6589">
        <v>1952</v>
      </c>
      <c r="J6589">
        <v>0</v>
      </c>
      <c r="K6589">
        <v>1</v>
      </c>
      <c r="L6589">
        <v>1</v>
      </c>
      <c r="M6589">
        <v>10</v>
      </c>
      <c r="N6589" t="s">
        <v>26</v>
      </c>
      <c r="O6589" t="s">
        <v>27</v>
      </c>
      <c r="P6589">
        <v>11.1729891176459</v>
      </c>
      <c r="Q6589">
        <v>1.39846736611088</v>
      </c>
      <c r="R6589">
        <v>3.4488618498759802</v>
      </c>
      <c r="S6589">
        <v>152</v>
      </c>
      <c r="T6589">
        <v>56</v>
      </c>
      <c r="U6589">
        <v>755.82710773270401</v>
      </c>
      <c r="V6589">
        <v>2.31320842007864E-3</v>
      </c>
      <c r="W6589">
        <v>3585485.98372549</v>
      </c>
      <c r="X6589" t="s">
        <v>38</v>
      </c>
      <c r="Y6589">
        <f>1-544-254-1159</f>
        <v>-1956</v>
      </c>
    </row>
    <row r="6590" spans="1:25" x14ac:dyDescent="0.35">
      <c r="A6590">
        <v>40.971546789939197</v>
      </c>
      <c r="B6590">
        <v>-114.09555949336701</v>
      </c>
      <c r="C6590" t="s">
        <v>29</v>
      </c>
      <c r="D6590">
        <v>12.526316071841901</v>
      </c>
      <c r="E6590">
        <v>7</v>
      </c>
      <c r="F6590">
        <v>3260</v>
      </c>
      <c r="G6590">
        <v>1</v>
      </c>
      <c r="H6590">
        <v>3</v>
      </c>
      <c r="I6590">
        <v>1952</v>
      </c>
      <c r="J6590">
        <v>1</v>
      </c>
      <c r="K6590">
        <v>1</v>
      </c>
      <c r="L6590">
        <v>0</v>
      </c>
      <c r="M6590">
        <v>11</v>
      </c>
      <c r="N6590" t="s">
        <v>26</v>
      </c>
      <c r="O6590" t="s">
        <v>27</v>
      </c>
      <c r="P6590">
        <v>11.2912013318935</v>
      </c>
      <c r="Q6590">
        <v>2.4761858798756902</v>
      </c>
      <c r="R6590">
        <v>0.61244825271972203</v>
      </c>
      <c r="S6590">
        <v>18</v>
      </c>
      <c r="T6590">
        <v>27</v>
      </c>
      <c r="U6590">
        <v>612.089078239581</v>
      </c>
      <c r="V6590">
        <v>3.3742331288343498E-3</v>
      </c>
      <c r="W6590">
        <v>2271496.4276691298</v>
      </c>
      <c r="X6590" t="s">
        <v>40</v>
      </c>
      <c r="Y6590">
        <f>1-802-665-6652</f>
        <v>-8118</v>
      </c>
    </row>
    <row r="6591" spans="1:25" x14ac:dyDescent="0.35">
      <c r="A6591">
        <v>39.795737854612199</v>
      </c>
      <c r="B6591">
        <v>-119.45311187974499</v>
      </c>
      <c r="C6591" t="s">
        <v>29</v>
      </c>
      <c r="D6591">
        <v>5.09569808809474</v>
      </c>
      <c r="E6591">
        <v>7</v>
      </c>
      <c r="F6591">
        <v>2310</v>
      </c>
      <c r="G6591">
        <v>5</v>
      </c>
      <c r="H6591">
        <v>3</v>
      </c>
      <c r="I6591">
        <v>2001</v>
      </c>
      <c r="J6591">
        <v>0</v>
      </c>
      <c r="K6591">
        <v>1</v>
      </c>
      <c r="L6591">
        <v>0</v>
      </c>
      <c r="M6591">
        <v>5</v>
      </c>
      <c r="N6591" t="s">
        <v>26</v>
      </c>
      <c r="O6591" t="s">
        <v>30</v>
      </c>
      <c r="P6591">
        <v>13.5132794284663</v>
      </c>
      <c r="Q6591">
        <v>2.2625198645961699</v>
      </c>
      <c r="R6591">
        <v>2.9589421349678098</v>
      </c>
      <c r="S6591">
        <v>72</v>
      </c>
      <c r="T6591">
        <v>69</v>
      </c>
      <c r="U6591">
        <v>378.294727313083</v>
      </c>
      <c r="V6591">
        <v>2.1645021645021602E-3</v>
      </c>
      <c r="W6591">
        <v>1408962.2959167799</v>
      </c>
      <c r="X6591" t="s">
        <v>38</v>
      </c>
      <c r="Y6591">
        <f>1-768-735-2533</f>
        <v>-4035</v>
      </c>
    </row>
    <row r="6592" spans="1:25" x14ac:dyDescent="0.35">
      <c r="A6592">
        <v>37.372666630695797</v>
      </c>
      <c r="B6592">
        <v>-122.526430852676</v>
      </c>
      <c r="C6592" t="s">
        <v>29</v>
      </c>
      <c r="D6592">
        <v>1.9877051895495601</v>
      </c>
      <c r="E6592">
        <v>3</v>
      </c>
      <c r="F6592">
        <v>887</v>
      </c>
      <c r="G6592">
        <v>1</v>
      </c>
      <c r="H6592">
        <v>2</v>
      </c>
      <c r="I6592">
        <v>2009</v>
      </c>
      <c r="J6592">
        <v>0</v>
      </c>
      <c r="K6592">
        <v>1</v>
      </c>
      <c r="L6592">
        <v>0</v>
      </c>
      <c r="M6592">
        <v>11</v>
      </c>
      <c r="N6592" t="s">
        <v>41</v>
      </c>
      <c r="O6592" t="s">
        <v>30</v>
      </c>
      <c r="P6592">
        <v>12.0982614834172</v>
      </c>
      <c r="Q6592">
        <v>0.69173696012750097</v>
      </c>
      <c r="R6592">
        <v>0.469836231563802</v>
      </c>
      <c r="S6592">
        <v>46</v>
      </c>
      <c r="T6592">
        <v>55</v>
      </c>
      <c r="U6592">
        <v>701.58262975642197</v>
      </c>
      <c r="V6592">
        <v>1.2401352874859E-2</v>
      </c>
      <c r="W6592">
        <v>954027.87767963903</v>
      </c>
      <c r="X6592" t="s">
        <v>31</v>
      </c>
      <c r="Y6592">
        <f>1-305-110-3969</f>
        <v>-4383</v>
      </c>
    </row>
    <row r="6593" spans="1:25" x14ac:dyDescent="0.35">
      <c r="A6593">
        <v>41.415012348252503</v>
      </c>
      <c r="B6593">
        <v>-114.147190363281</v>
      </c>
      <c r="C6593" t="s">
        <v>29</v>
      </c>
      <c r="D6593">
        <v>21.0130330242336</v>
      </c>
      <c r="E6593">
        <v>7</v>
      </c>
      <c r="F6593">
        <v>1242</v>
      </c>
      <c r="G6593">
        <v>5</v>
      </c>
      <c r="H6593">
        <v>1</v>
      </c>
      <c r="I6593">
        <v>2016</v>
      </c>
      <c r="J6593">
        <v>0</v>
      </c>
      <c r="K6593">
        <v>1</v>
      </c>
      <c r="L6593">
        <v>1</v>
      </c>
      <c r="M6593">
        <v>10</v>
      </c>
      <c r="N6593" t="s">
        <v>35</v>
      </c>
      <c r="O6593" t="s">
        <v>27</v>
      </c>
      <c r="P6593">
        <v>12.875346116481801</v>
      </c>
      <c r="Q6593">
        <v>0.928285093506373</v>
      </c>
      <c r="R6593">
        <v>8.7361884744501594</v>
      </c>
      <c r="S6593">
        <v>140</v>
      </c>
      <c r="T6593">
        <v>62</v>
      </c>
      <c r="U6593">
        <v>596.29366206574196</v>
      </c>
      <c r="V6593">
        <v>8.0515297906602196E-3</v>
      </c>
      <c r="W6593">
        <v>1089798.1580702099</v>
      </c>
      <c r="X6593" t="s">
        <v>33</v>
      </c>
      <c r="Y6593">
        <f>1-679-486-5779</f>
        <v>-6943</v>
      </c>
    </row>
    <row r="6594" spans="1:25" x14ac:dyDescent="0.35">
      <c r="A6594">
        <v>37.933932648152101</v>
      </c>
      <c r="B6594">
        <v>-119.419592889626</v>
      </c>
      <c r="C6594" t="s">
        <v>34</v>
      </c>
      <c r="D6594">
        <v>22.427466558463699</v>
      </c>
      <c r="E6594">
        <v>4</v>
      </c>
      <c r="F6594">
        <v>2124</v>
      </c>
      <c r="G6594">
        <v>4</v>
      </c>
      <c r="H6594">
        <v>1</v>
      </c>
      <c r="I6594">
        <v>1995</v>
      </c>
      <c r="J6594">
        <v>1</v>
      </c>
      <c r="K6594">
        <v>0</v>
      </c>
      <c r="L6594">
        <v>1</v>
      </c>
      <c r="M6594">
        <v>5</v>
      </c>
      <c r="N6594" t="s">
        <v>41</v>
      </c>
      <c r="O6594" t="s">
        <v>32</v>
      </c>
      <c r="P6594">
        <v>6.3357852683560898</v>
      </c>
      <c r="Q6594">
        <v>1.15747007828565</v>
      </c>
      <c r="R6594">
        <v>4.8793129668697697</v>
      </c>
      <c r="S6594">
        <v>133</v>
      </c>
      <c r="T6594">
        <v>55</v>
      </c>
      <c r="U6594">
        <v>612.15461083401203</v>
      </c>
      <c r="V6594">
        <v>2.35404896421845E-3</v>
      </c>
      <c r="W6594">
        <v>1603899.8695779501</v>
      </c>
      <c r="X6594" t="s">
        <v>42</v>
      </c>
      <c r="Y6594">
        <f>1-723-465-4896</f>
        <v>-6083</v>
      </c>
    </row>
    <row r="6595" spans="1:25" x14ac:dyDescent="0.35">
      <c r="A6595">
        <v>39.151255695193797</v>
      </c>
      <c r="B6595">
        <v>-114.13326238577299</v>
      </c>
      <c r="C6595" t="s">
        <v>25</v>
      </c>
      <c r="D6595">
        <v>43.271592850739097</v>
      </c>
      <c r="E6595">
        <v>2</v>
      </c>
      <c r="F6595">
        <v>4301</v>
      </c>
      <c r="G6595">
        <v>1</v>
      </c>
      <c r="H6595">
        <v>3</v>
      </c>
      <c r="I6595">
        <v>1995</v>
      </c>
      <c r="J6595">
        <v>1</v>
      </c>
      <c r="K6595">
        <v>0</v>
      </c>
      <c r="L6595">
        <v>0</v>
      </c>
      <c r="M6595">
        <v>7</v>
      </c>
      <c r="N6595" t="s">
        <v>35</v>
      </c>
      <c r="O6595" t="s">
        <v>32</v>
      </c>
      <c r="P6595">
        <v>5.40655681210038</v>
      </c>
      <c r="Q6595">
        <v>2.1193154172564501</v>
      </c>
      <c r="R6595">
        <v>6.3459745449852303</v>
      </c>
      <c r="S6595">
        <v>36</v>
      </c>
      <c r="T6595">
        <v>49</v>
      </c>
      <c r="U6595">
        <v>330.96534047298798</v>
      </c>
      <c r="V6595">
        <v>1.62752848174843E-3</v>
      </c>
      <c r="W6595">
        <v>1560111.6661269399</v>
      </c>
      <c r="X6595" t="s">
        <v>43</v>
      </c>
      <c r="Y6595">
        <f>1-826-101-2769</f>
        <v>-3695</v>
      </c>
    </row>
    <row r="6596" spans="1:25" x14ac:dyDescent="0.35">
      <c r="A6596">
        <v>36.440245924686899</v>
      </c>
      <c r="B6596">
        <v>-118.423122898762</v>
      </c>
      <c r="C6596" t="s">
        <v>25</v>
      </c>
      <c r="D6596">
        <v>2.34638054353253</v>
      </c>
      <c r="E6596">
        <v>5</v>
      </c>
      <c r="F6596">
        <v>1577</v>
      </c>
      <c r="G6596">
        <v>5</v>
      </c>
      <c r="H6596">
        <v>3</v>
      </c>
      <c r="I6596">
        <v>1985</v>
      </c>
      <c r="J6596">
        <v>0</v>
      </c>
      <c r="K6596">
        <v>1</v>
      </c>
      <c r="L6596">
        <v>1</v>
      </c>
      <c r="M6596">
        <v>7</v>
      </c>
      <c r="N6596" t="s">
        <v>26</v>
      </c>
      <c r="O6596" t="s">
        <v>27</v>
      </c>
      <c r="P6596">
        <v>12.5960127893114</v>
      </c>
      <c r="Q6596">
        <v>1.25337153163916</v>
      </c>
      <c r="R6596">
        <v>0.36836629000925403</v>
      </c>
      <c r="S6596">
        <v>142</v>
      </c>
      <c r="T6596">
        <v>41</v>
      </c>
      <c r="U6596">
        <v>642.02905371099996</v>
      </c>
      <c r="V6596">
        <v>4.4388078630310697E-3</v>
      </c>
      <c r="W6596">
        <v>1511496.7151275801</v>
      </c>
      <c r="X6596" t="s">
        <v>36</v>
      </c>
      <c r="Y6596">
        <f>1-387-738-8793</f>
        <v>-9917</v>
      </c>
    </row>
    <row r="6597" spans="1:25" x14ac:dyDescent="0.35">
      <c r="A6597">
        <v>39.247187712466499</v>
      </c>
      <c r="B6597">
        <v>-114.10242092281401</v>
      </c>
      <c r="C6597" t="s">
        <v>29</v>
      </c>
      <c r="D6597">
        <v>32.779656486953797</v>
      </c>
      <c r="E6597">
        <v>6</v>
      </c>
      <c r="F6597">
        <v>4141</v>
      </c>
      <c r="G6597">
        <v>2</v>
      </c>
      <c r="H6597">
        <v>1</v>
      </c>
      <c r="I6597">
        <v>2002</v>
      </c>
      <c r="J6597">
        <v>0</v>
      </c>
      <c r="K6597">
        <v>1</v>
      </c>
      <c r="L6597">
        <v>0</v>
      </c>
      <c r="M6597">
        <v>11</v>
      </c>
      <c r="N6597" t="s">
        <v>37</v>
      </c>
      <c r="O6597" t="s">
        <v>27</v>
      </c>
      <c r="P6597">
        <v>12.357752338119001</v>
      </c>
      <c r="Q6597">
        <v>1.2245249784155701</v>
      </c>
      <c r="R6597">
        <v>9.6359288644988101</v>
      </c>
      <c r="S6597">
        <v>146</v>
      </c>
      <c r="T6597">
        <v>50</v>
      </c>
      <c r="U6597">
        <v>685.261826476858</v>
      </c>
      <c r="V6597">
        <v>2.6563631972953299E-3</v>
      </c>
      <c r="W6597">
        <v>3115358.7495562299</v>
      </c>
      <c r="X6597" t="s">
        <v>36</v>
      </c>
      <c r="Y6597">
        <f>1-515-616-9880</f>
        <v>-11010</v>
      </c>
    </row>
    <row r="6598" spans="1:25" x14ac:dyDescent="0.35">
      <c r="A6598">
        <v>40.536032537459903</v>
      </c>
      <c r="B6598">
        <v>-122.953570775515</v>
      </c>
      <c r="C6598" t="s">
        <v>34</v>
      </c>
      <c r="D6598">
        <v>44.480207508251802</v>
      </c>
      <c r="E6598">
        <v>3</v>
      </c>
      <c r="F6598">
        <v>1447</v>
      </c>
      <c r="G6598">
        <v>2</v>
      </c>
      <c r="H6598">
        <v>2</v>
      </c>
      <c r="I6598">
        <v>1963</v>
      </c>
      <c r="J6598">
        <v>0</v>
      </c>
      <c r="K6598">
        <v>0</v>
      </c>
      <c r="L6598">
        <v>1</v>
      </c>
      <c r="M6598">
        <v>14</v>
      </c>
      <c r="N6598" t="s">
        <v>41</v>
      </c>
      <c r="O6598" t="s">
        <v>32</v>
      </c>
      <c r="P6598">
        <v>5.9937996930075297</v>
      </c>
      <c r="Q6598">
        <v>2.0656487724117198</v>
      </c>
      <c r="R6598">
        <v>1.73465797781772</v>
      </c>
      <c r="S6598">
        <v>92</v>
      </c>
      <c r="T6598">
        <v>56</v>
      </c>
      <c r="U6598">
        <v>865.59008180346405</v>
      </c>
      <c r="V6598">
        <v>9.6751900483759493E-3</v>
      </c>
      <c r="W6598">
        <v>1413959.73202918</v>
      </c>
      <c r="X6598" t="s">
        <v>39</v>
      </c>
      <c r="Y6598">
        <f>1-421-624-2181</f>
        <v>-3225</v>
      </c>
    </row>
    <row r="6599" spans="1:25" x14ac:dyDescent="0.35">
      <c r="A6599">
        <v>36.657857723172597</v>
      </c>
      <c r="B6599">
        <v>-120.057231247985</v>
      </c>
      <c r="C6599" t="s">
        <v>25</v>
      </c>
      <c r="D6599">
        <v>7.5358556148126103</v>
      </c>
      <c r="E6599">
        <v>5</v>
      </c>
      <c r="F6599">
        <v>572</v>
      </c>
      <c r="G6599">
        <v>4</v>
      </c>
      <c r="H6599">
        <v>3</v>
      </c>
      <c r="I6599">
        <v>1979</v>
      </c>
      <c r="J6599">
        <v>0</v>
      </c>
      <c r="K6599">
        <v>1</v>
      </c>
      <c r="L6599">
        <v>1</v>
      </c>
      <c r="M6599">
        <v>2</v>
      </c>
      <c r="N6599" t="s">
        <v>37</v>
      </c>
      <c r="O6599" t="s">
        <v>32</v>
      </c>
      <c r="P6599">
        <v>6.9240173128257796</v>
      </c>
      <c r="Q6599">
        <v>1.8510084617435401</v>
      </c>
      <c r="R6599">
        <v>0.26468865267664998</v>
      </c>
      <c r="S6599">
        <v>68</v>
      </c>
      <c r="T6599">
        <v>64</v>
      </c>
      <c r="U6599">
        <v>953.37822987008803</v>
      </c>
      <c r="V6599">
        <v>3.49650349650349E-3</v>
      </c>
      <c r="W6599">
        <v>955178.35248713905</v>
      </c>
      <c r="X6599" t="s">
        <v>31</v>
      </c>
      <c r="Y6599">
        <f>1-460-377-5198</f>
        <v>-6034</v>
      </c>
    </row>
    <row r="6600" spans="1:25" x14ac:dyDescent="0.35">
      <c r="A6600">
        <v>37.098906129512301</v>
      </c>
      <c r="B6600">
        <v>-122.09006196549799</v>
      </c>
      <c r="C6600" t="s">
        <v>25</v>
      </c>
      <c r="D6600">
        <v>11.114842433444201</v>
      </c>
      <c r="E6600">
        <v>7</v>
      </c>
      <c r="F6600">
        <v>3282</v>
      </c>
      <c r="G6600">
        <v>5</v>
      </c>
      <c r="H6600">
        <v>1</v>
      </c>
      <c r="I6600">
        <v>1984</v>
      </c>
      <c r="J6600">
        <v>0</v>
      </c>
      <c r="K6600">
        <v>0</v>
      </c>
      <c r="L6600">
        <v>0</v>
      </c>
      <c r="M6600">
        <v>13</v>
      </c>
      <c r="N6600" t="s">
        <v>41</v>
      </c>
      <c r="O6600" t="s">
        <v>32</v>
      </c>
      <c r="P6600">
        <v>9.8183381116603101</v>
      </c>
      <c r="Q6600">
        <v>1.2112965888462299</v>
      </c>
      <c r="R6600">
        <v>2.2675785997190299</v>
      </c>
      <c r="S6600">
        <v>130</v>
      </c>
      <c r="T6600">
        <v>76</v>
      </c>
      <c r="U6600">
        <v>694.65714023534395</v>
      </c>
      <c r="V6600">
        <v>3.9609993906154703E-3</v>
      </c>
      <c r="W6600">
        <v>2558392.49734001</v>
      </c>
      <c r="X6600" t="s">
        <v>31</v>
      </c>
      <c r="Y6600">
        <f>1-349-809-9053</f>
        <v>-10210</v>
      </c>
    </row>
    <row r="6601" spans="1:25" x14ac:dyDescent="0.35">
      <c r="A6601">
        <v>35.948225905359301</v>
      </c>
      <c r="B6601">
        <v>-123.231005825328</v>
      </c>
      <c r="C6601" t="s">
        <v>29</v>
      </c>
      <c r="D6601">
        <v>34.5971197920354</v>
      </c>
      <c r="E6601">
        <v>3</v>
      </c>
      <c r="F6601">
        <v>1686</v>
      </c>
      <c r="G6601">
        <v>3</v>
      </c>
      <c r="H6601">
        <v>3</v>
      </c>
      <c r="I6601">
        <v>1983</v>
      </c>
      <c r="J6601">
        <v>0</v>
      </c>
      <c r="K6601">
        <v>1</v>
      </c>
      <c r="L6601">
        <v>0</v>
      </c>
      <c r="M6601">
        <v>5</v>
      </c>
      <c r="N6601" t="s">
        <v>37</v>
      </c>
      <c r="O6601" t="s">
        <v>30</v>
      </c>
      <c r="P6601">
        <v>12.376399283599699</v>
      </c>
      <c r="Q6601">
        <v>1.2382234432435899</v>
      </c>
      <c r="R6601">
        <v>8.8858113336183493</v>
      </c>
      <c r="S6601">
        <v>169</v>
      </c>
      <c r="T6601">
        <v>35</v>
      </c>
      <c r="U6601">
        <v>391.77418916329702</v>
      </c>
      <c r="V6601">
        <v>2.9655990510083002E-3</v>
      </c>
      <c r="W6601">
        <v>1097296.0978284399</v>
      </c>
      <c r="X6601" t="s">
        <v>38</v>
      </c>
      <c r="Y6601">
        <f>1-488-523-9274</f>
        <v>-10284</v>
      </c>
    </row>
    <row r="6602" spans="1:25" x14ac:dyDescent="0.35">
      <c r="A6602">
        <v>40.9595308146788</v>
      </c>
      <c r="B6602">
        <v>-119.00184183386899</v>
      </c>
      <c r="C6602" t="s">
        <v>25</v>
      </c>
      <c r="D6602">
        <v>47.1376878327886</v>
      </c>
      <c r="E6602">
        <v>8</v>
      </c>
      <c r="F6602">
        <v>3667</v>
      </c>
      <c r="G6602">
        <v>4</v>
      </c>
      <c r="H6602">
        <v>1</v>
      </c>
      <c r="I6602">
        <v>1994</v>
      </c>
      <c r="J6602">
        <v>1</v>
      </c>
      <c r="K6602">
        <v>0</v>
      </c>
      <c r="L6602">
        <v>0</v>
      </c>
      <c r="M6602">
        <v>13</v>
      </c>
      <c r="N6602" t="s">
        <v>37</v>
      </c>
      <c r="O6602" t="s">
        <v>27</v>
      </c>
      <c r="P6602">
        <v>11.694688400870801</v>
      </c>
      <c r="Q6602">
        <v>2.2438928431284899</v>
      </c>
      <c r="R6602">
        <v>5.27836226343703</v>
      </c>
      <c r="S6602">
        <v>190</v>
      </c>
      <c r="T6602">
        <v>41</v>
      </c>
      <c r="U6602">
        <v>505.17693224497498</v>
      </c>
      <c r="V6602">
        <v>3.5451322607035702E-3</v>
      </c>
      <c r="W6602">
        <v>2150372.2232414498</v>
      </c>
      <c r="X6602" t="s">
        <v>44</v>
      </c>
      <c r="Y6602">
        <f>1-998-660-9926</f>
        <v>-11583</v>
      </c>
    </row>
    <row r="6603" spans="1:25" x14ac:dyDescent="0.35">
      <c r="A6603">
        <v>35.423427018298099</v>
      </c>
      <c r="B6603">
        <v>-123.061447700638</v>
      </c>
      <c r="C6603" t="s">
        <v>25</v>
      </c>
      <c r="D6603">
        <v>29.849774575923998</v>
      </c>
      <c r="E6603">
        <v>1</v>
      </c>
      <c r="F6603">
        <v>2385</v>
      </c>
      <c r="G6603">
        <v>3</v>
      </c>
      <c r="H6603">
        <v>3</v>
      </c>
      <c r="I6603">
        <v>1982</v>
      </c>
      <c r="J6603">
        <v>0</v>
      </c>
      <c r="K6603">
        <v>0</v>
      </c>
      <c r="L6603">
        <v>1</v>
      </c>
      <c r="M6603">
        <v>6</v>
      </c>
      <c r="N6603" t="s">
        <v>35</v>
      </c>
      <c r="O6603" t="s">
        <v>27</v>
      </c>
      <c r="P6603">
        <v>10.1655322216935</v>
      </c>
      <c r="Q6603">
        <v>2.2675571790781102</v>
      </c>
      <c r="R6603">
        <v>6.2579710835326603</v>
      </c>
      <c r="S6603">
        <v>163</v>
      </c>
      <c r="T6603">
        <v>47</v>
      </c>
      <c r="U6603">
        <v>883.22615300564098</v>
      </c>
      <c r="V6603">
        <v>2.5157232704402501E-3</v>
      </c>
      <c r="W6603">
        <v>2370535.8080424299</v>
      </c>
      <c r="X6603" t="s">
        <v>40</v>
      </c>
      <c r="Y6603">
        <f>1-830-433-5971</f>
        <v>-7233</v>
      </c>
    </row>
    <row r="6604" spans="1:25" x14ac:dyDescent="0.35">
      <c r="A6604">
        <v>33.547013488033897</v>
      </c>
      <c r="B6604">
        <v>-120.877123383097</v>
      </c>
      <c r="C6604" t="s">
        <v>29</v>
      </c>
      <c r="D6604">
        <v>7.96090006367585</v>
      </c>
      <c r="E6604">
        <v>9</v>
      </c>
      <c r="F6604">
        <v>3812</v>
      </c>
      <c r="G6604">
        <v>3</v>
      </c>
      <c r="H6604">
        <v>1</v>
      </c>
      <c r="I6604">
        <v>1967</v>
      </c>
      <c r="J6604">
        <v>1</v>
      </c>
      <c r="K6604">
        <v>1</v>
      </c>
      <c r="L6604">
        <v>0</v>
      </c>
      <c r="M6604">
        <v>13</v>
      </c>
      <c r="N6604" t="s">
        <v>41</v>
      </c>
      <c r="O6604" t="s">
        <v>30</v>
      </c>
      <c r="P6604">
        <v>2.02483530044243</v>
      </c>
      <c r="Q6604">
        <v>1.8911882781523801</v>
      </c>
      <c r="R6604">
        <v>4.1582135949070196</v>
      </c>
      <c r="S6604">
        <v>36</v>
      </c>
      <c r="T6604">
        <v>38</v>
      </c>
      <c r="U6604">
        <v>692.93507322617302</v>
      </c>
      <c r="V6604">
        <v>3.4102833158446999E-3</v>
      </c>
      <c r="W6604">
        <v>2878800.32946068</v>
      </c>
      <c r="X6604" t="s">
        <v>39</v>
      </c>
      <c r="Y6604">
        <f>1-838-873-7305</f>
        <v>-9015</v>
      </c>
    </row>
    <row r="6605" spans="1:25" x14ac:dyDescent="0.35">
      <c r="A6605">
        <v>35.035661962106097</v>
      </c>
      <c r="B6605">
        <v>-117.985273031604</v>
      </c>
      <c r="C6605" t="s">
        <v>25</v>
      </c>
      <c r="D6605">
        <v>28.799646453677799</v>
      </c>
      <c r="E6605">
        <v>9</v>
      </c>
      <c r="F6605">
        <v>2147</v>
      </c>
      <c r="G6605">
        <v>3</v>
      </c>
      <c r="H6605">
        <v>1</v>
      </c>
      <c r="I6605">
        <v>1975</v>
      </c>
      <c r="J6605">
        <v>0</v>
      </c>
      <c r="K6605">
        <v>1</v>
      </c>
      <c r="L6605">
        <v>1</v>
      </c>
      <c r="M6605">
        <v>8</v>
      </c>
      <c r="N6605" t="s">
        <v>35</v>
      </c>
      <c r="O6605" t="s">
        <v>27</v>
      </c>
      <c r="P6605">
        <v>6.9499398741106502</v>
      </c>
      <c r="Q6605">
        <v>1.0408569291406899</v>
      </c>
      <c r="R6605">
        <v>6.0778697517730196</v>
      </c>
      <c r="S6605">
        <v>58</v>
      </c>
      <c r="T6605">
        <v>36</v>
      </c>
      <c r="U6605">
        <v>530.34089041320897</v>
      </c>
      <c r="V6605">
        <v>3.72612948299953E-3</v>
      </c>
      <c r="W6605">
        <v>1483964.95732153</v>
      </c>
      <c r="X6605" t="s">
        <v>42</v>
      </c>
      <c r="Y6605">
        <f>1-856-969-9116</f>
        <v>-10940</v>
      </c>
    </row>
    <row r="6606" spans="1:25" x14ac:dyDescent="0.35">
      <c r="A6606">
        <v>34.8383138016967</v>
      </c>
      <c r="B6606">
        <v>-123.317551998428</v>
      </c>
      <c r="C6606" t="s">
        <v>29</v>
      </c>
      <c r="D6606">
        <v>45.983891167266002</v>
      </c>
      <c r="E6606">
        <v>4</v>
      </c>
      <c r="F6606">
        <v>1588</v>
      </c>
      <c r="G6606">
        <v>1</v>
      </c>
      <c r="H6606">
        <v>2</v>
      </c>
      <c r="I6606">
        <v>1975</v>
      </c>
      <c r="J6606">
        <v>1</v>
      </c>
      <c r="K6606">
        <v>1</v>
      </c>
      <c r="L6606">
        <v>0</v>
      </c>
      <c r="M6606">
        <v>10</v>
      </c>
      <c r="N6606" t="s">
        <v>37</v>
      </c>
      <c r="O6606" t="s">
        <v>30</v>
      </c>
      <c r="P6606">
        <v>7.1302680014670896</v>
      </c>
      <c r="Q6606">
        <v>1.0623419481384799</v>
      </c>
      <c r="R6606">
        <v>0.56770226767542997</v>
      </c>
      <c r="S6606">
        <v>176</v>
      </c>
      <c r="T6606">
        <v>65</v>
      </c>
      <c r="U6606">
        <v>986.72461535634795</v>
      </c>
      <c r="V6606">
        <v>6.2972292191435702E-3</v>
      </c>
      <c r="W6606">
        <v>1799869.4998403699</v>
      </c>
      <c r="X6606" t="s">
        <v>44</v>
      </c>
      <c r="Y6606">
        <f>1-394-920-2263</f>
        <v>-3576</v>
      </c>
    </row>
    <row r="6607" spans="1:25" x14ac:dyDescent="0.35">
      <c r="A6607">
        <v>41.697707253486598</v>
      </c>
      <c r="B6607">
        <v>-114.652501032728</v>
      </c>
      <c r="C6607" t="s">
        <v>34</v>
      </c>
      <c r="D6607">
        <v>44.0645880736541</v>
      </c>
      <c r="E6607">
        <v>7</v>
      </c>
      <c r="F6607">
        <v>1696</v>
      </c>
      <c r="G6607">
        <v>1</v>
      </c>
      <c r="H6607">
        <v>2</v>
      </c>
      <c r="I6607">
        <v>2019</v>
      </c>
      <c r="J6607">
        <v>1</v>
      </c>
      <c r="K6607">
        <v>1</v>
      </c>
      <c r="L6607">
        <v>1</v>
      </c>
      <c r="M6607">
        <v>11</v>
      </c>
      <c r="N6607" t="s">
        <v>37</v>
      </c>
      <c r="O6607" t="s">
        <v>27</v>
      </c>
      <c r="P6607">
        <v>11.6131216435036</v>
      </c>
      <c r="Q6607">
        <v>0.97285899537432097</v>
      </c>
      <c r="R6607">
        <v>2.2020895228924702</v>
      </c>
      <c r="S6607">
        <v>73</v>
      </c>
      <c r="T6607">
        <v>57</v>
      </c>
      <c r="U6607">
        <v>960.30184587920496</v>
      </c>
      <c r="V6607">
        <v>6.4858490566037704E-3</v>
      </c>
      <c r="W6607">
        <v>1931316.0889929601</v>
      </c>
      <c r="X6607" t="s">
        <v>36</v>
      </c>
      <c r="Y6607">
        <f>1-694-933-8410</f>
        <v>-10036</v>
      </c>
    </row>
    <row r="6608" spans="1:25" x14ac:dyDescent="0.35">
      <c r="A6608">
        <v>32.895684422104097</v>
      </c>
      <c r="B6608">
        <v>-114.790077266964</v>
      </c>
      <c r="C6608" t="s">
        <v>34</v>
      </c>
      <c r="D6608">
        <v>40.158596816224602</v>
      </c>
      <c r="E6608">
        <v>7</v>
      </c>
      <c r="F6608">
        <v>2493</v>
      </c>
      <c r="G6608">
        <v>3</v>
      </c>
      <c r="H6608">
        <v>3</v>
      </c>
      <c r="I6608">
        <v>1963</v>
      </c>
      <c r="J6608">
        <v>1</v>
      </c>
      <c r="K6608">
        <v>0</v>
      </c>
      <c r="L6608">
        <v>1</v>
      </c>
      <c r="M6608">
        <v>4</v>
      </c>
      <c r="N6608" t="s">
        <v>35</v>
      </c>
      <c r="O6608" t="s">
        <v>32</v>
      </c>
      <c r="P6608">
        <v>11.0642083478476</v>
      </c>
      <c r="Q6608">
        <v>2.2471886593572301</v>
      </c>
      <c r="R6608">
        <v>9.9307823869655696</v>
      </c>
      <c r="S6608">
        <v>26</v>
      </c>
      <c r="T6608">
        <v>66</v>
      </c>
      <c r="U6608">
        <v>587.88626438445704</v>
      </c>
      <c r="V6608">
        <v>1.6044925792218199E-3</v>
      </c>
      <c r="W6608">
        <v>1775014.16251481</v>
      </c>
      <c r="X6608" t="s">
        <v>44</v>
      </c>
      <c r="Y6608">
        <f>1-370-155-7892</f>
        <v>-8416</v>
      </c>
    </row>
    <row r="6609" spans="1:25" x14ac:dyDescent="0.35">
      <c r="A6609">
        <v>37.143438209695397</v>
      </c>
      <c r="B6609">
        <v>-117.19525879913</v>
      </c>
      <c r="C6609" t="s">
        <v>34</v>
      </c>
      <c r="D6609">
        <v>35.592087779299099</v>
      </c>
      <c r="E6609">
        <v>2</v>
      </c>
      <c r="F6609">
        <v>677</v>
      </c>
      <c r="G6609">
        <v>1</v>
      </c>
      <c r="H6609">
        <v>3</v>
      </c>
      <c r="I6609">
        <v>1967</v>
      </c>
      <c r="J6609">
        <v>0</v>
      </c>
      <c r="K6609">
        <v>1</v>
      </c>
      <c r="L6609">
        <v>1</v>
      </c>
      <c r="M6609">
        <v>13</v>
      </c>
      <c r="N6609" t="s">
        <v>35</v>
      </c>
      <c r="O6609" t="s">
        <v>30</v>
      </c>
      <c r="P6609">
        <v>14.3001008220696</v>
      </c>
      <c r="Q6609">
        <v>0.73976033814639297</v>
      </c>
      <c r="R6609">
        <v>7.6427304209731499</v>
      </c>
      <c r="S6609">
        <v>192</v>
      </c>
      <c r="T6609">
        <v>46</v>
      </c>
      <c r="U6609">
        <v>935.15089986876205</v>
      </c>
      <c r="V6609">
        <v>1.92023633677991E-2</v>
      </c>
      <c r="W6609">
        <v>885927.097586622</v>
      </c>
      <c r="X6609" t="s">
        <v>31</v>
      </c>
      <c r="Y6609">
        <f>1-910-501-3329</f>
        <v>-4739</v>
      </c>
    </row>
    <row r="6610" spans="1:25" x14ac:dyDescent="0.35">
      <c r="A6610">
        <v>39.978365625100999</v>
      </c>
      <c r="B6610">
        <v>-121.117380486553</v>
      </c>
      <c r="C6610" t="s">
        <v>25</v>
      </c>
      <c r="D6610">
        <v>41.4287957426194</v>
      </c>
      <c r="E6610">
        <v>2</v>
      </c>
      <c r="F6610">
        <v>4861</v>
      </c>
      <c r="G6610">
        <v>4</v>
      </c>
      <c r="H6610">
        <v>3</v>
      </c>
      <c r="I6610">
        <v>2015</v>
      </c>
      <c r="J6610">
        <v>0</v>
      </c>
      <c r="K6610">
        <v>1</v>
      </c>
      <c r="L6610">
        <v>0</v>
      </c>
      <c r="M6610">
        <v>13</v>
      </c>
      <c r="N6610" t="s">
        <v>35</v>
      </c>
      <c r="O6610" t="s">
        <v>32</v>
      </c>
      <c r="P6610">
        <v>3.86953637233113</v>
      </c>
      <c r="Q6610">
        <v>1.41704647831231</v>
      </c>
      <c r="R6610">
        <v>0.25411699080276101</v>
      </c>
      <c r="S6610">
        <v>54</v>
      </c>
      <c r="T6610">
        <v>39</v>
      </c>
      <c r="U6610">
        <v>332.67935798189501</v>
      </c>
      <c r="V6610">
        <v>2.67434684221353E-3</v>
      </c>
      <c r="W6610">
        <v>2089598.3191368501</v>
      </c>
      <c r="X6610" t="s">
        <v>43</v>
      </c>
      <c r="Y6610">
        <f>1-250-622-4379</f>
        <v>-5250</v>
      </c>
    </row>
    <row r="6611" spans="1:25" x14ac:dyDescent="0.35">
      <c r="A6611">
        <v>35.4873390008649</v>
      </c>
      <c r="B6611">
        <v>-124.18301165168</v>
      </c>
      <c r="C6611" t="s">
        <v>29</v>
      </c>
      <c r="D6611">
        <v>34.402882348618498</v>
      </c>
      <c r="E6611">
        <v>3</v>
      </c>
      <c r="F6611">
        <v>4562</v>
      </c>
      <c r="G6611">
        <v>4</v>
      </c>
      <c r="H6611">
        <v>3</v>
      </c>
      <c r="I6611">
        <v>1975</v>
      </c>
      <c r="J6611">
        <v>1</v>
      </c>
      <c r="K6611">
        <v>0</v>
      </c>
      <c r="L6611">
        <v>0</v>
      </c>
      <c r="M6611">
        <v>8</v>
      </c>
      <c r="N6611" t="s">
        <v>26</v>
      </c>
      <c r="O6611" t="s">
        <v>32</v>
      </c>
      <c r="P6611">
        <v>4.3394279485326104</v>
      </c>
      <c r="Q6611">
        <v>0.60469848318934205</v>
      </c>
      <c r="R6611">
        <v>9.6488448562757601</v>
      </c>
      <c r="S6611">
        <v>189</v>
      </c>
      <c r="T6611">
        <v>49</v>
      </c>
      <c r="U6611">
        <v>259.86546147708202</v>
      </c>
      <c r="V6611">
        <v>1.7536168347216099E-3</v>
      </c>
      <c r="W6611">
        <v>1419926.4324541599</v>
      </c>
      <c r="X6611" t="s">
        <v>33</v>
      </c>
      <c r="Y6611">
        <f>1-685-392-2530</f>
        <v>-3606</v>
      </c>
    </row>
    <row r="6612" spans="1:25" x14ac:dyDescent="0.35">
      <c r="A6612">
        <v>39.701876724155802</v>
      </c>
      <c r="B6612">
        <v>-123.722897527924</v>
      </c>
      <c r="C6612" t="s">
        <v>25</v>
      </c>
      <c r="D6612">
        <v>4.6761071133694401</v>
      </c>
      <c r="E6612">
        <v>9</v>
      </c>
      <c r="F6612">
        <v>2371</v>
      </c>
      <c r="G6612">
        <v>2</v>
      </c>
      <c r="H6612">
        <v>3</v>
      </c>
      <c r="I6612">
        <v>1970</v>
      </c>
      <c r="J6612">
        <v>1</v>
      </c>
      <c r="K6612">
        <v>1</v>
      </c>
      <c r="L6612">
        <v>1</v>
      </c>
      <c r="M6612">
        <v>9</v>
      </c>
      <c r="N6612" t="s">
        <v>37</v>
      </c>
      <c r="O6612" t="s">
        <v>32</v>
      </c>
      <c r="P6612">
        <v>13.079314942732299</v>
      </c>
      <c r="Q6612">
        <v>1.2091993202348701</v>
      </c>
      <c r="R6612">
        <v>1.0115129153998099</v>
      </c>
      <c r="S6612">
        <v>6</v>
      </c>
      <c r="T6612">
        <v>68</v>
      </c>
      <c r="U6612">
        <v>979.82736865639299</v>
      </c>
      <c r="V6612">
        <v>3.79586672290172E-3</v>
      </c>
      <c r="W6612">
        <v>2703577.87994703</v>
      </c>
      <c r="X6612" t="s">
        <v>42</v>
      </c>
      <c r="Y6612">
        <f>1-382-783-1152</f>
        <v>-2316</v>
      </c>
    </row>
    <row r="6613" spans="1:25" x14ac:dyDescent="0.35">
      <c r="A6613">
        <v>41.032595165659203</v>
      </c>
      <c r="B6613">
        <v>-121.383844180575</v>
      </c>
      <c r="C6613" t="s">
        <v>34</v>
      </c>
      <c r="D6613">
        <v>10.4209161195642</v>
      </c>
      <c r="E6613">
        <v>9</v>
      </c>
      <c r="F6613">
        <v>525</v>
      </c>
      <c r="G6613">
        <v>5</v>
      </c>
      <c r="H6613">
        <v>1</v>
      </c>
      <c r="I6613">
        <v>2009</v>
      </c>
      <c r="J6613">
        <v>1</v>
      </c>
      <c r="K6613">
        <v>1</v>
      </c>
      <c r="L6613">
        <v>0</v>
      </c>
      <c r="M6613">
        <v>8</v>
      </c>
      <c r="N6613" t="s">
        <v>37</v>
      </c>
      <c r="O6613" t="s">
        <v>27</v>
      </c>
      <c r="P6613">
        <v>2.91672752030175</v>
      </c>
      <c r="Q6613">
        <v>2.3781798112149199</v>
      </c>
      <c r="R6613">
        <v>4.5070327924507003</v>
      </c>
      <c r="S6613">
        <v>30</v>
      </c>
      <c r="T6613">
        <v>66</v>
      </c>
      <c r="U6613">
        <v>419.878991763751</v>
      </c>
      <c r="V6613">
        <v>1.52380952380952E-2</v>
      </c>
      <c r="W6613">
        <v>633665.31924263795</v>
      </c>
      <c r="X6613" t="s">
        <v>43</v>
      </c>
      <c r="Y6613">
        <f>1-932-932-3130</f>
        <v>-4993</v>
      </c>
    </row>
    <row r="6614" spans="1:25" x14ac:dyDescent="0.35">
      <c r="A6614">
        <v>38.557749697982203</v>
      </c>
      <c r="B6614">
        <v>-117.501270043248</v>
      </c>
      <c r="C6614" t="s">
        <v>29</v>
      </c>
      <c r="D6614">
        <v>31.697195720586901</v>
      </c>
      <c r="E6614">
        <v>7</v>
      </c>
      <c r="F6614">
        <v>2903</v>
      </c>
      <c r="G6614">
        <v>5</v>
      </c>
      <c r="H6614">
        <v>3</v>
      </c>
      <c r="I6614">
        <v>1957</v>
      </c>
      <c r="J6614">
        <v>1</v>
      </c>
      <c r="K6614">
        <v>1</v>
      </c>
      <c r="L6614">
        <v>0</v>
      </c>
      <c r="M6614">
        <v>9</v>
      </c>
      <c r="N6614" t="s">
        <v>35</v>
      </c>
      <c r="O6614" t="s">
        <v>27</v>
      </c>
      <c r="P6614">
        <v>3.0777571407793398</v>
      </c>
      <c r="Q6614">
        <v>1.7314264621834901</v>
      </c>
      <c r="R6614">
        <v>8.3687416120146096</v>
      </c>
      <c r="S6614">
        <v>161</v>
      </c>
      <c r="T6614">
        <v>65</v>
      </c>
      <c r="U6614">
        <v>915.27870010172103</v>
      </c>
      <c r="V6614">
        <v>3.10024112986565E-3</v>
      </c>
      <c r="W6614">
        <v>3011193.7370414902</v>
      </c>
      <c r="X6614" t="s">
        <v>33</v>
      </c>
      <c r="Y6614">
        <f>1-691-798-9181</f>
        <v>-10669</v>
      </c>
    </row>
    <row r="6615" spans="1:25" x14ac:dyDescent="0.35">
      <c r="A6615">
        <v>38.4419326348821</v>
      </c>
      <c r="B6615">
        <v>-119.31653209853199</v>
      </c>
      <c r="C6615" t="s">
        <v>25</v>
      </c>
      <c r="D6615">
        <v>13.448206658301901</v>
      </c>
      <c r="E6615">
        <v>1</v>
      </c>
      <c r="F6615">
        <v>2832</v>
      </c>
      <c r="G6615">
        <v>1</v>
      </c>
      <c r="H6615">
        <v>2</v>
      </c>
      <c r="I6615">
        <v>2014</v>
      </c>
      <c r="J6615">
        <v>1</v>
      </c>
      <c r="K6615">
        <v>0</v>
      </c>
      <c r="L6615">
        <v>1</v>
      </c>
      <c r="M6615">
        <v>5</v>
      </c>
      <c r="N6615" t="s">
        <v>37</v>
      </c>
      <c r="O6615" t="s">
        <v>32</v>
      </c>
      <c r="P6615">
        <v>2.3728415502215801</v>
      </c>
      <c r="Q6615">
        <v>1.85529170174067</v>
      </c>
      <c r="R6615">
        <v>6.3079002623163598</v>
      </c>
      <c r="S6615">
        <v>90</v>
      </c>
      <c r="T6615">
        <v>43</v>
      </c>
      <c r="U6615">
        <v>714.19578139661496</v>
      </c>
      <c r="V6615">
        <v>1.7655367231638401E-3</v>
      </c>
      <c r="W6615">
        <v>2212430.3662959202</v>
      </c>
      <c r="X6615" t="s">
        <v>43</v>
      </c>
      <c r="Y6615">
        <f>1-672-168-5957</f>
        <v>-6796</v>
      </c>
    </row>
    <row r="6616" spans="1:25" x14ac:dyDescent="0.35">
      <c r="A6616">
        <v>37.476456401506297</v>
      </c>
      <c r="B6616">
        <v>-123.503544461613</v>
      </c>
      <c r="C6616" t="s">
        <v>29</v>
      </c>
      <c r="D6616">
        <v>24.459592175100902</v>
      </c>
      <c r="E6616">
        <v>0</v>
      </c>
      <c r="F6616">
        <v>1053</v>
      </c>
      <c r="G6616">
        <v>4</v>
      </c>
      <c r="H6616">
        <v>1</v>
      </c>
      <c r="I6616">
        <v>1989</v>
      </c>
      <c r="J6616">
        <v>0</v>
      </c>
      <c r="K6616">
        <v>0</v>
      </c>
      <c r="L6616">
        <v>1</v>
      </c>
      <c r="M6616">
        <v>13</v>
      </c>
      <c r="N6616" t="s">
        <v>26</v>
      </c>
      <c r="O6616" t="s">
        <v>32</v>
      </c>
      <c r="P6616">
        <v>7.24382912558527</v>
      </c>
      <c r="Q6616">
        <v>0.55415229059951598</v>
      </c>
      <c r="R6616">
        <v>9.6970323509520409</v>
      </c>
      <c r="S6616">
        <v>28</v>
      </c>
      <c r="T6616">
        <v>73</v>
      </c>
      <c r="U6616">
        <v>941.45414644920595</v>
      </c>
      <c r="V6616">
        <v>1.23456790123456E-2</v>
      </c>
      <c r="W6616">
        <v>1144490.6328241499</v>
      </c>
      <c r="X6616" t="s">
        <v>33</v>
      </c>
      <c r="Y6616">
        <f>1-982-311-2260</f>
        <v>-3552</v>
      </c>
    </row>
    <row r="6617" spans="1:25" x14ac:dyDescent="0.35">
      <c r="A6617">
        <v>38.3934501250531</v>
      </c>
      <c r="B6617">
        <v>-117.04662289558399</v>
      </c>
      <c r="C6617" t="s">
        <v>34</v>
      </c>
      <c r="D6617">
        <v>18.441937796639099</v>
      </c>
      <c r="E6617">
        <v>5</v>
      </c>
      <c r="F6617">
        <v>2064</v>
      </c>
      <c r="G6617">
        <v>2</v>
      </c>
      <c r="H6617">
        <v>3</v>
      </c>
      <c r="I6617">
        <v>1972</v>
      </c>
      <c r="J6617">
        <v>1</v>
      </c>
      <c r="K6617">
        <v>0</v>
      </c>
      <c r="L6617">
        <v>1</v>
      </c>
      <c r="M6617">
        <v>4</v>
      </c>
      <c r="N6617" t="s">
        <v>41</v>
      </c>
      <c r="O6617" t="s">
        <v>30</v>
      </c>
      <c r="P6617">
        <v>4.24148780153023</v>
      </c>
      <c r="Q6617">
        <v>2.0836499719897401</v>
      </c>
      <c r="R6617">
        <v>0.70809723467294405</v>
      </c>
      <c r="S6617">
        <v>112</v>
      </c>
      <c r="T6617">
        <v>59</v>
      </c>
      <c r="U6617">
        <v>467.36652125712101</v>
      </c>
      <c r="V6617">
        <v>1.9379844961240299E-3</v>
      </c>
      <c r="W6617">
        <v>1087387.72710776</v>
      </c>
      <c r="X6617" t="s">
        <v>42</v>
      </c>
      <c r="Y6617">
        <f>1-568-768-1311</f>
        <v>-2646</v>
      </c>
    </row>
    <row r="6618" spans="1:25" x14ac:dyDescent="0.35">
      <c r="A6618">
        <v>37.593624080627798</v>
      </c>
      <c r="B6618">
        <v>-117.518336756089</v>
      </c>
      <c r="C6618" t="s">
        <v>34</v>
      </c>
      <c r="D6618">
        <v>37.157106722594698</v>
      </c>
      <c r="E6618">
        <v>8</v>
      </c>
      <c r="F6618">
        <v>1862</v>
      </c>
      <c r="G6618">
        <v>1</v>
      </c>
      <c r="H6618">
        <v>3</v>
      </c>
      <c r="I6618">
        <v>1975</v>
      </c>
      <c r="J6618">
        <v>0</v>
      </c>
      <c r="K6618">
        <v>0</v>
      </c>
      <c r="L6618">
        <v>1</v>
      </c>
      <c r="M6618">
        <v>2</v>
      </c>
      <c r="N6618" t="s">
        <v>26</v>
      </c>
      <c r="O6618" t="s">
        <v>27</v>
      </c>
      <c r="P6618">
        <v>3.4365354909783798</v>
      </c>
      <c r="Q6618">
        <v>1.15170244724799</v>
      </c>
      <c r="R6618">
        <v>2.3329107358695</v>
      </c>
      <c r="S6618">
        <v>184</v>
      </c>
      <c r="T6618">
        <v>73</v>
      </c>
      <c r="U6618">
        <v>591.51888477015302</v>
      </c>
      <c r="V6618">
        <v>1.07411385606874E-3</v>
      </c>
      <c r="W6618">
        <v>1233908.28813261</v>
      </c>
      <c r="X6618" t="s">
        <v>31</v>
      </c>
      <c r="Y6618">
        <f>1-834-584-3215</f>
        <v>-4632</v>
      </c>
    </row>
    <row r="6619" spans="1:25" x14ac:dyDescent="0.35">
      <c r="A6619">
        <v>35.562480356850998</v>
      </c>
      <c r="B6619">
        <v>-122.755951965112</v>
      </c>
      <c r="C6619" t="s">
        <v>25</v>
      </c>
      <c r="D6619">
        <v>5.4124333795862203</v>
      </c>
      <c r="E6619">
        <v>0</v>
      </c>
      <c r="F6619">
        <v>2334</v>
      </c>
      <c r="G6619">
        <v>4</v>
      </c>
      <c r="H6619">
        <v>3</v>
      </c>
      <c r="I6619">
        <v>1984</v>
      </c>
      <c r="J6619">
        <v>1</v>
      </c>
      <c r="K6619">
        <v>0</v>
      </c>
      <c r="L6619">
        <v>1</v>
      </c>
      <c r="M6619">
        <v>8</v>
      </c>
      <c r="N6619" t="s">
        <v>35</v>
      </c>
      <c r="O6619" t="s">
        <v>30</v>
      </c>
      <c r="P6619">
        <v>6.0538415270043702</v>
      </c>
      <c r="Q6619">
        <v>1.5398399594271499</v>
      </c>
      <c r="R6619">
        <v>5.5896487206219403</v>
      </c>
      <c r="S6619">
        <v>195</v>
      </c>
      <c r="T6619">
        <v>65</v>
      </c>
      <c r="U6619">
        <v>816.52490650746199</v>
      </c>
      <c r="V6619">
        <v>3.42759211653813E-3</v>
      </c>
      <c r="W6619">
        <v>2217913.24757209</v>
      </c>
      <c r="X6619" t="s">
        <v>36</v>
      </c>
      <c r="Y6619">
        <f>1-904-205-9520</f>
        <v>-10628</v>
      </c>
    </row>
    <row r="6620" spans="1:25" x14ac:dyDescent="0.35">
      <c r="A6620">
        <v>41.530028102120298</v>
      </c>
      <c r="B6620">
        <v>-122.442426353366</v>
      </c>
      <c r="C6620" t="s">
        <v>29</v>
      </c>
      <c r="D6620">
        <v>28.423867553142401</v>
      </c>
      <c r="E6620">
        <v>7</v>
      </c>
      <c r="F6620">
        <v>565</v>
      </c>
      <c r="G6620">
        <v>4</v>
      </c>
      <c r="H6620">
        <v>3</v>
      </c>
      <c r="I6620">
        <v>1954</v>
      </c>
      <c r="J6620">
        <v>1</v>
      </c>
      <c r="K6620">
        <v>1</v>
      </c>
      <c r="L6620">
        <v>0</v>
      </c>
      <c r="M6620">
        <v>6</v>
      </c>
      <c r="N6620" t="s">
        <v>35</v>
      </c>
      <c r="O6620" t="s">
        <v>30</v>
      </c>
      <c r="P6620">
        <v>11.6278844226212</v>
      </c>
      <c r="Q6620">
        <v>2.1622935460527799</v>
      </c>
      <c r="R6620">
        <v>8.5108696913649595</v>
      </c>
      <c r="S6620">
        <v>192</v>
      </c>
      <c r="T6620">
        <v>47</v>
      </c>
      <c r="U6620">
        <v>700.37294749001205</v>
      </c>
      <c r="V6620">
        <v>1.06194690265486E-2</v>
      </c>
      <c r="W6620">
        <v>810537.36610325298</v>
      </c>
      <c r="X6620" t="s">
        <v>40</v>
      </c>
      <c r="Y6620">
        <f>1-751-122-8249</f>
        <v>-9121</v>
      </c>
    </row>
    <row r="6621" spans="1:25" x14ac:dyDescent="0.35">
      <c r="A6621">
        <v>37.978271407841703</v>
      </c>
      <c r="B6621">
        <v>-119.18735160171499</v>
      </c>
      <c r="C6621" t="s">
        <v>29</v>
      </c>
      <c r="D6621">
        <v>30.8664045290137</v>
      </c>
      <c r="E6621">
        <v>4</v>
      </c>
      <c r="F6621">
        <v>3163</v>
      </c>
      <c r="G6621">
        <v>1</v>
      </c>
      <c r="H6621">
        <v>3</v>
      </c>
      <c r="I6621">
        <v>2020</v>
      </c>
      <c r="J6621">
        <v>0</v>
      </c>
      <c r="K6621">
        <v>1</v>
      </c>
      <c r="L6621">
        <v>0</v>
      </c>
      <c r="M6621">
        <v>13</v>
      </c>
      <c r="N6621" t="s">
        <v>26</v>
      </c>
      <c r="O6621" t="s">
        <v>32</v>
      </c>
      <c r="P6621">
        <v>2.6924481134289802</v>
      </c>
      <c r="Q6621">
        <v>0.70037223821394201</v>
      </c>
      <c r="R6621">
        <v>2.0461081959432001</v>
      </c>
      <c r="S6621">
        <v>193</v>
      </c>
      <c r="T6621">
        <v>71</v>
      </c>
      <c r="U6621">
        <v>853.815042926263</v>
      </c>
      <c r="V6621">
        <v>4.11002213088839E-3</v>
      </c>
      <c r="W6621">
        <v>2895959.6767148101</v>
      </c>
      <c r="X6621" t="s">
        <v>33</v>
      </c>
      <c r="Y6621">
        <f>1-822-988-1526</f>
        <v>-3335</v>
      </c>
    </row>
    <row r="6622" spans="1:25" x14ac:dyDescent="0.35">
      <c r="A6622">
        <v>40.131343075761002</v>
      </c>
      <c r="B6622">
        <v>-117.78816803283701</v>
      </c>
      <c r="C6622" t="s">
        <v>34</v>
      </c>
      <c r="D6622">
        <v>13.543011729604499</v>
      </c>
      <c r="E6622">
        <v>2</v>
      </c>
      <c r="F6622">
        <v>736</v>
      </c>
      <c r="G6622">
        <v>2</v>
      </c>
      <c r="H6622">
        <v>2</v>
      </c>
      <c r="I6622">
        <v>1998</v>
      </c>
      <c r="J6622">
        <v>0</v>
      </c>
      <c r="K6622">
        <v>1</v>
      </c>
      <c r="L6622">
        <v>0</v>
      </c>
      <c r="M6622">
        <v>5</v>
      </c>
      <c r="N6622" t="s">
        <v>41</v>
      </c>
      <c r="O6622" t="s">
        <v>32</v>
      </c>
      <c r="P6622">
        <v>14.972303315551899</v>
      </c>
      <c r="Q6622">
        <v>1.5824076937123599</v>
      </c>
      <c r="R6622">
        <v>6.4474392347610898</v>
      </c>
      <c r="S6622">
        <v>62</v>
      </c>
      <c r="T6622">
        <v>46</v>
      </c>
      <c r="U6622">
        <v>387.28074667960698</v>
      </c>
      <c r="V6622">
        <v>6.7934782608695598E-3</v>
      </c>
      <c r="W6622">
        <v>595182.35405586404</v>
      </c>
      <c r="X6622" t="s">
        <v>38</v>
      </c>
      <c r="Y6622">
        <f>1-327-223-8977</f>
        <v>-9526</v>
      </c>
    </row>
    <row r="6623" spans="1:25" x14ac:dyDescent="0.35">
      <c r="A6623">
        <v>35.228209838190999</v>
      </c>
      <c r="B6623">
        <v>-123.425799589701</v>
      </c>
      <c r="C6623" t="s">
        <v>29</v>
      </c>
      <c r="D6623">
        <v>36.993177197170503</v>
      </c>
      <c r="E6623">
        <v>1</v>
      </c>
      <c r="F6623">
        <v>4455</v>
      </c>
      <c r="G6623">
        <v>5</v>
      </c>
      <c r="H6623">
        <v>3</v>
      </c>
      <c r="I6623">
        <v>1987</v>
      </c>
      <c r="J6623">
        <v>1</v>
      </c>
      <c r="K6623">
        <v>1</v>
      </c>
      <c r="L6623">
        <v>1</v>
      </c>
      <c r="M6623">
        <v>14</v>
      </c>
      <c r="N6623" t="s">
        <v>37</v>
      </c>
      <c r="O6623" t="s">
        <v>30</v>
      </c>
      <c r="P6623">
        <v>14.4530660289943</v>
      </c>
      <c r="Q6623">
        <v>1.4653546108895701</v>
      </c>
      <c r="R6623">
        <v>9.8445493255511192</v>
      </c>
      <c r="S6623">
        <v>84</v>
      </c>
      <c r="T6623">
        <v>42</v>
      </c>
      <c r="U6623">
        <v>305.390441540045</v>
      </c>
      <c r="V6623">
        <v>3.1425364758698002E-3</v>
      </c>
      <c r="W6623">
        <v>1956380.89525355</v>
      </c>
      <c r="X6623" t="s">
        <v>33</v>
      </c>
      <c r="Y6623">
        <f>1-592-145-2153</f>
        <v>-2889</v>
      </c>
    </row>
    <row r="6624" spans="1:25" x14ac:dyDescent="0.35">
      <c r="A6624">
        <v>40.611876952235299</v>
      </c>
      <c r="B6624">
        <v>-119.28528964199</v>
      </c>
      <c r="C6624" t="s">
        <v>34</v>
      </c>
      <c r="D6624">
        <v>46.137501924265699</v>
      </c>
      <c r="E6624">
        <v>5</v>
      </c>
      <c r="F6624">
        <v>4166</v>
      </c>
      <c r="G6624">
        <v>1</v>
      </c>
      <c r="H6624">
        <v>2</v>
      </c>
      <c r="I6624">
        <v>1957</v>
      </c>
      <c r="J6624">
        <v>0</v>
      </c>
      <c r="K6624">
        <v>1</v>
      </c>
      <c r="L6624">
        <v>0</v>
      </c>
      <c r="M6624">
        <v>10</v>
      </c>
      <c r="N6624" t="s">
        <v>26</v>
      </c>
      <c r="O6624" t="s">
        <v>30</v>
      </c>
      <c r="P6624">
        <v>8.4035477645488292</v>
      </c>
      <c r="Q6624">
        <v>0.689454263244064</v>
      </c>
      <c r="R6624">
        <v>7.5913109348705996</v>
      </c>
      <c r="S6624">
        <v>194</v>
      </c>
      <c r="T6624">
        <v>30</v>
      </c>
      <c r="U6624">
        <v>628.328453595886</v>
      </c>
      <c r="V6624">
        <v>2.4003840614498298E-3</v>
      </c>
      <c r="W6624">
        <v>2689724.2413553302</v>
      </c>
      <c r="X6624" t="s">
        <v>40</v>
      </c>
      <c r="Y6624">
        <f>1-698-526-5233</f>
        <v>-6456</v>
      </c>
    </row>
    <row r="6625" spans="1:25" x14ac:dyDescent="0.35">
      <c r="A6625">
        <v>41.577552712045403</v>
      </c>
      <c r="B6625">
        <v>-119.628887048821</v>
      </c>
      <c r="C6625" t="s">
        <v>29</v>
      </c>
      <c r="D6625">
        <v>35.956417518582299</v>
      </c>
      <c r="E6625">
        <v>3</v>
      </c>
      <c r="F6625">
        <v>2102</v>
      </c>
      <c r="G6625">
        <v>1</v>
      </c>
      <c r="H6625">
        <v>2</v>
      </c>
      <c r="I6625">
        <v>2012</v>
      </c>
      <c r="J6625">
        <v>0</v>
      </c>
      <c r="K6625">
        <v>1</v>
      </c>
      <c r="L6625">
        <v>0</v>
      </c>
      <c r="M6625">
        <v>12</v>
      </c>
      <c r="N6625" t="s">
        <v>37</v>
      </c>
      <c r="O6625" t="s">
        <v>30</v>
      </c>
      <c r="P6625">
        <v>13.6203934260385</v>
      </c>
      <c r="Q6625">
        <v>1.25096471070457</v>
      </c>
      <c r="R6625">
        <v>8.8229015736301903</v>
      </c>
      <c r="S6625">
        <v>108</v>
      </c>
      <c r="T6625">
        <v>59</v>
      </c>
      <c r="U6625">
        <v>590.55802521819805</v>
      </c>
      <c r="V6625">
        <v>5.7088487155090304E-3</v>
      </c>
      <c r="W6625">
        <v>1587958.5121126201</v>
      </c>
      <c r="X6625" t="s">
        <v>40</v>
      </c>
      <c r="Y6625">
        <f>1-714-279-5478</f>
        <v>-6470</v>
      </c>
    </row>
    <row r="6626" spans="1:25" x14ac:dyDescent="0.35">
      <c r="A6626">
        <v>37.411915095408702</v>
      </c>
      <c r="B6626">
        <v>-116.894605943672</v>
      </c>
      <c r="C6626" t="s">
        <v>25</v>
      </c>
      <c r="D6626">
        <v>5.1540917939858399</v>
      </c>
      <c r="E6626">
        <v>1</v>
      </c>
      <c r="F6626">
        <v>556</v>
      </c>
      <c r="G6626">
        <v>2</v>
      </c>
      <c r="H6626">
        <v>2</v>
      </c>
      <c r="I6626">
        <v>1960</v>
      </c>
      <c r="J6626">
        <v>1</v>
      </c>
      <c r="K6626">
        <v>0</v>
      </c>
      <c r="L6626">
        <v>0</v>
      </c>
      <c r="M6626">
        <v>3</v>
      </c>
      <c r="N6626" t="s">
        <v>35</v>
      </c>
      <c r="O6626" t="s">
        <v>30</v>
      </c>
      <c r="P6626">
        <v>8.6484299377077107</v>
      </c>
      <c r="Q6626">
        <v>1.8477370042696299</v>
      </c>
      <c r="R6626">
        <v>5.5049456447226399</v>
      </c>
      <c r="S6626">
        <v>6</v>
      </c>
      <c r="T6626">
        <v>39</v>
      </c>
      <c r="U6626">
        <v>292.77110287976001</v>
      </c>
      <c r="V6626">
        <v>5.3956834532374104E-3</v>
      </c>
      <c r="W6626">
        <v>306148.961918596</v>
      </c>
      <c r="X6626" t="s">
        <v>31</v>
      </c>
      <c r="Y6626">
        <f>1-463-700-8945</f>
        <v>-10107</v>
      </c>
    </row>
    <row r="6627" spans="1:25" x14ac:dyDescent="0.35">
      <c r="A6627">
        <v>39.406964946607999</v>
      </c>
      <c r="B6627">
        <v>-121.165199203795</v>
      </c>
      <c r="C6627" t="s">
        <v>29</v>
      </c>
      <c r="D6627">
        <v>32.113494092698502</v>
      </c>
      <c r="E6627">
        <v>1</v>
      </c>
      <c r="F6627">
        <v>1966</v>
      </c>
      <c r="G6627">
        <v>5</v>
      </c>
      <c r="H6627">
        <v>2</v>
      </c>
      <c r="I6627">
        <v>2022</v>
      </c>
      <c r="J6627">
        <v>1</v>
      </c>
      <c r="K6627">
        <v>1</v>
      </c>
      <c r="L6627">
        <v>1</v>
      </c>
      <c r="M6627">
        <v>3</v>
      </c>
      <c r="N6627" t="s">
        <v>41</v>
      </c>
      <c r="O6627" t="s">
        <v>30</v>
      </c>
      <c r="P6627">
        <v>4.0059565087406801</v>
      </c>
      <c r="Q6627">
        <v>0.75551053236966104</v>
      </c>
      <c r="R6627">
        <v>7.4006184934957497</v>
      </c>
      <c r="S6627">
        <v>115</v>
      </c>
      <c r="T6627">
        <v>71</v>
      </c>
      <c r="U6627">
        <v>390.58245587665101</v>
      </c>
      <c r="V6627">
        <v>1.5259409969481099E-3</v>
      </c>
      <c r="W6627">
        <v>1252044.8097169299</v>
      </c>
      <c r="X6627" t="s">
        <v>36</v>
      </c>
      <c r="Y6627">
        <f>1-750-655-3770</f>
        <v>-5174</v>
      </c>
    </row>
    <row r="6628" spans="1:25" x14ac:dyDescent="0.35">
      <c r="A6628">
        <v>34.948527691254903</v>
      </c>
      <c r="B6628">
        <v>-115.83554459264499</v>
      </c>
      <c r="C6628" t="s">
        <v>25</v>
      </c>
      <c r="D6628">
        <v>17.2848509818709</v>
      </c>
      <c r="E6628">
        <v>0</v>
      </c>
      <c r="F6628">
        <v>4640</v>
      </c>
      <c r="G6628">
        <v>2</v>
      </c>
      <c r="H6628">
        <v>1</v>
      </c>
      <c r="I6628">
        <v>1967</v>
      </c>
      <c r="J6628">
        <v>0</v>
      </c>
      <c r="K6628">
        <v>0</v>
      </c>
      <c r="L6628">
        <v>1</v>
      </c>
      <c r="M6628">
        <v>2</v>
      </c>
      <c r="N6628" t="s">
        <v>26</v>
      </c>
      <c r="O6628" t="s">
        <v>30</v>
      </c>
      <c r="P6628">
        <v>14.3956553494892</v>
      </c>
      <c r="Q6628">
        <v>0.81672768708002597</v>
      </c>
      <c r="R6628">
        <v>2.4637043127232601</v>
      </c>
      <c r="S6628">
        <v>139</v>
      </c>
      <c r="T6628">
        <v>74</v>
      </c>
      <c r="U6628">
        <v>459.32593607128399</v>
      </c>
      <c r="V6628">
        <v>4.3103448275861998E-4</v>
      </c>
      <c r="W6628">
        <v>2328574.0859600399</v>
      </c>
      <c r="X6628" t="s">
        <v>36</v>
      </c>
      <c r="Y6628">
        <f>1-979-804-8150</f>
        <v>-9932</v>
      </c>
    </row>
    <row r="6629" spans="1:25" x14ac:dyDescent="0.35">
      <c r="A6629">
        <v>34.808717517712097</v>
      </c>
      <c r="B6629">
        <v>-118.027874433284</v>
      </c>
      <c r="C6629" t="s">
        <v>29</v>
      </c>
      <c r="D6629">
        <v>8.7489937202999801</v>
      </c>
      <c r="E6629">
        <v>4</v>
      </c>
      <c r="F6629">
        <v>4100</v>
      </c>
      <c r="G6629">
        <v>1</v>
      </c>
      <c r="H6629">
        <v>2</v>
      </c>
      <c r="I6629">
        <v>1954</v>
      </c>
      <c r="J6629">
        <v>0</v>
      </c>
      <c r="K6629">
        <v>0</v>
      </c>
      <c r="L6629">
        <v>1</v>
      </c>
      <c r="M6629">
        <v>9</v>
      </c>
      <c r="N6629" t="s">
        <v>26</v>
      </c>
      <c r="O6629" t="s">
        <v>27</v>
      </c>
      <c r="P6629">
        <v>12.4481471256763</v>
      </c>
      <c r="Q6629">
        <v>0.700803509711169</v>
      </c>
      <c r="R6629">
        <v>2.64378691382292</v>
      </c>
      <c r="S6629">
        <v>186</v>
      </c>
      <c r="T6629">
        <v>39</v>
      </c>
      <c r="U6629">
        <v>490.65042775483602</v>
      </c>
      <c r="V6629">
        <v>2.1951219512195098E-3</v>
      </c>
      <c r="W6629">
        <v>2181650.6505953199</v>
      </c>
      <c r="X6629" t="s">
        <v>44</v>
      </c>
      <c r="Y6629">
        <f>1-815-371-2753</f>
        <v>-3938</v>
      </c>
    </row>
    <row r="6630" spans="1:25" x14ac:dyDescent="0.35">
      <c r="A6630">
        <v>33.111224531555301</v>
      </c>
      <c r="B6630">
        <v>-121.653485450188</v>
      </c>
      <c r="C6630" t="s">
        <v>29</v>
      </c>
      <c r="D6630">
        <v>4.2235355886231698</v>
      </c>
      <c r="E6630">
        <v>9</v>
      </c>
      <c r="F6630">
        <v>4530</v>
      </c>
      <c r="G6630">
        <v>2</v>
      </c>
      <c r="H6630">
        <v>2</v>
      </c>
      <c r="I6630">
        <v>2003</v>
      </c>
      <c r="J6630">
        <v>0</v>
      </c>
      <c r="K6630">
        <v>1</v>
      </c>
      <c r="L6630">
        <v>0</v>
      </c>
      <c r="M6630">
        <v>9</v>
      </c>
      <c r="N6630" t="s">
        <v>37</v>
      </c>
      <c r="O6630" t="s">
        <v>32</v>
      </c>
      <c r="P6630">
        <v>11.384447317424801</v>
      </c>
      <c r="Q6630">
        <v>1.8092887881430899</v>
      </c>
      <c r="R6630">
        <v>7.8393463918475996</v>
      </c>
      <c r="S6630">
        <v>160</v>
      </c>
      <c r="T6630">
        <v>24</v>
      </c>
      <c r="U6630">
        <v>828.40282531685898</v>
      </c>
      <c r="V6630">
        <v>1.9867549668874098E-3</v>
      </c>
      <c r="W6630">
        <v>4051133.9861737001</v>
      </c>
      <c r="X6630" t="s">
        <v>36</v>
      </c>
      <c r="Y6630">
        <f>1-693-383-5390</f>
        <v>-6465</v>
      </c>
    </row>
    <row r="6631" spans="1:25" x14ac:dyDescent="0.35">
      <c r="A6631">
        <v>36.086376524241103</v>
      </c>
      <c r="B6631">
        <v>-117.72693095029901</v>
      </c>
      <c r="C6631" t="s">
        <v>29</v>
      </c>
      <c r="D6631">
        <v>15.0202431412559</v>
      </c>
      <c r="E6631">
        <v>6</v>
      </c>
      <c r="F6631">
        <v>2717</v>
      </c>
      <c r="G6631">
        <v>3</v>
      </c>
      <c r="H6631">
        <v>2</v>
      </c>
      <c r="I6631">
        <v>1977</v>
      </c>
      <c r="J6631">
        <v>0</v>
      </c>
      <c r="K6631">
        <v>0</v>
      </c>
      <c r="L6631">
        <v>1</v>
      </c>
      <c r="M6631">
        <v>13</v>
      </c>
      <c r="N6631" t="s">
        <v>41</v>
      </c>
      <c r="O6631" t="s">
        <v>32</v>
      </c>
      <c r="P6631">
        <v>12.164748668002501</v>
      </c>
      <c r="Q6631">
        <v>1.027203206044</v>
      </c>
      <c r="R6631">
        <v>2.8603888609147701</v>
      </c>
      <c r="S6631">
        <v>129</v>
      </c>
      <c r="T6631">
        <v>46</v>
      </c>
      <c r="U6631">
        <v>507.028893790864</v>
      </c>
      <c r="V6631">
        <v>4.78468899521531E-3</v>
      </c>
      <c r="W6631">
        <v>1591362.01718184</v>
      </c>
      <c r="X6631" t="s">
        <v>39</v>
      </c>
      <c r="Y6631">
        <f>1-256-944-7593</f>
        <v>-8792</v>
      </c>
    </row>
    <row r="6632" spans="1:25" x14ac:dyDescent="0.35">
      <c r="A6632">
        <v>37.1527643024138</v>
      </c>
      <c r="B6632">
        <v>-115.72289279088901</v>
      </c>
      <c r="C6632" t="s">
        <v>25</v>
      </c>
      <c r="D6632">
        <v>10.631156179299699</v>
      </c>
      <c r="E6632">
        <v>0</v>
      </c>
      <c r="F6632">
        <v>805</v>
      </c>
      <c r="G6632">
        <v>2</v>
      </c>
      <c r="H6632">
        <v>3</v>
      </c>
      <c r="I6632">
        <v>1985</v>
      </c>
      <c r="J6632">
        <v>0</v>
      </c>
      <c r="K6632">
        <v>0</v>
      </c>
      <c r="L6632">
        <v>1</v>
      </c>
      <c r="M6632">
        <v>11</v>
      </c>
      <c r="N6632" t="s">
        <v>37</v>
      </c>
      <c r="O6632" t="s">
        <v>30</v>
      </c>
      <c r="P6632">
        <v>8.5304717266654695</v>
      </c>
      <c r="Q6632">
        <v>2.0143319941210498</v>
      </c>
      <c r="R6632">
        <v>6.5725179345642699</v>
      </c>
      <c r="S6632">
        <v>56</v>
      </c>
      <c r="T6632">
        <v>22</v>
      </c>
      <c r="U6632">
        <v>773.30405527965297</v>
      </c>
      <c r="V6632">
        <v>1.3664596273291901E-2</v>
      </c>
      <c r="W6632">
        <v>814762.396619712</v>
      </c>
      <c r="X6632" t="s">
        <v>31</v>
      </c>
      <c r="Y6632">
        <f>1-650-564-1203</f>
        <v>-2416</v>
      </c>
    </row>
    <row r="6633" spans="1:25" x14ac:dyDescent="0.35">
      <c r="A6633">
        <v>34.163333595440299</v>
      </c>
      <c r="B6633">
        <v>-120.27723880079201</v>
      </c>
      <c r="C6633" t="s">
        <v>25</v>
      </c>
      <c r="D6633">
        <v>42.358659809403903</v>
      </c>
      <c r="E6633">
        <v>6</v>
      </c>
      <c r="F6633">
        <v>4326</v>
      </c>
      <c r="G6633">
        <v>5</v>
      </c>
      <c r="H6633">
        <v>3</v>
      </c>
      <c r="I6633">
        <v>2019</v>
      </c>
      <c r="J6633">
        <v>0</v>
      </c>
      <c r="K6633">
        <v>0</v>
      </c>
      <c r="L6633">
        <v>1</v>
      </c>
      <c r="M6633">
        <v>6</v>
      </c>
      <c r="N6633" t="s">
        <v>35</v>
      </c>
      <c r="O6633" t="s">
        <v>27</v>
      </c>
      <c r="P6633">
        <v>5.0862116532647903</v>
      </c>
      <c r="Q6633">
        <v>2.4629213701196502</v>
      </c>
      <c r="R6633">
        <v>2.4414912694035702</v>
      </c>
      <c r="S6633">
        <v>46</v>
      </c>
      <c r="T6633">
        <v>38</v>
      </c>
      <c r="U6633">
        <v>604.09226943953399</v>
      </c>
      <c r="V6633">
        <v>1.3869625520110901E-3</v>
      </c>
      <c r="W6633">
        <v>3036591.7217218298</v>
      </c>
      <c r="X6633" t="s">
        <v>42</v>
      </c>
      <c r="Y6633">
        <f>1-975-133-2665</f>
        <v>-3772</v>
      </c>
    </row>
    <row r="6634" spans="1:25" x14ac:dyDescent="0.35">
      <c r="A6634">
        <v>35.130682026329602</v>
      </c>
      <c r="B6634">
        <v>-123.79251646078799</v>
      </c>
      <c r="C6634" t="s">
        <v>34</v>
      </c>
      <c r="D6634">
        <v>4.6496191763678203</v>
      </c>
      <c r="E6634">
        <v>8</v>
      </c>
      <c r="F6634">
        <v>4424</v>
      </c>
      <c r="G6634">
        <v>4</v>
      </c>
      <c r="H6634">
        <v>3</v>
      </c>
      <c r="I6634">
        <v>1988</v>
      </c>
      <c r="J6634">
        <v>1</v>
      </c>
      <c r="K6634">
        <v>1</v>
      </c>
      <c r="L6634">
        <v>1</v>
      </c>
      <c r="M6634">
        <v>11</v>
      </c>
      <c r="N6634" t="s">
        <v>41</v>
      </c>
      <c r="O6634" t="s">
        <v>30</v>
      </c>
      <c r="P6634">
        <v>12.9169731220817</v>
      </c>
      <c r="Q6634">
        <v>1.6433784591282701</v>
      </c>
      <c r="R6634">
        <v>3.3757973899520901</v>
      </c>
      <c r="S6634">
        <v>61</v>
      </c>
      <c r="T6634">
        <v>51</v>
      </c>
      <c r="U6634">
        <v>250.95070985328999</v>
      </c>
      <c r="V6634">
        <v>2.4864376130198898E-3</v>
      </c>
      <c r="W6634">
        <v>1570891.29632263</v>
      </c>
      <c r="X6634" t="s">
        <v>43</v>
      </c>
      <c r="Y6634">
        <f>1-990-666-2203</f>
        <v>-3858</v>
      </c>
    </row>
    <row r="6635" spans="1:25" x14ac:dyDescent="0.35">
      <c r="A6635">
        <v>40.530518811198299</v>
      </c>
      <c r="B6635">
        <v>-124.20351067600799</v>
      </c>
      <c r="C6635" t="s">
        <v>34</v>
      </c>
      <c r="D6635">
        <v>21.125635953048299</v>
      </c>
      <c r="E6635">
        <v>9</v>
      </c>
      <c r="F6635">
        <v>2338</v>
      </c>
      <c r="G6635">
        <v>4</v>
      </c>
      <c r="H6635">
        <v>3</v>
      </c>
      <c r="I6635">
        <v>1958</v>
      </c>
      <c r="J6635">
        <v>0</v>
      </c>
      <c r="K6635">
        <v>1</v>
      </c>
      <c r="L6635">
        <v>1</v>
      </c>
      <c r="M6635">
        <v>11</v>
      </c>
      <c r="N6635" t="s">
        <v>35</v>
      </c>
      <c r="O6635" t="s">
        <v>27</v>
      </c>
      <c r="P6635">
        <v>13.0679349753193</v>
      </c>
      <c r="Q6635">
        <v>1.40402269109859</v>
      </c>
      <c r="R6635">
        <v>5.38245198280298</v>
      </c>
      <c r="S6635">
        <v>64</v>
      </c>
      <c r="T6635">
        <v>79</v>
      </c>
      <c r="U6635">
        <v>909.80374353967602</v>
      </c>
      <c r="V6635">
        <v>4.7048759623609902E-3</v>
      </c>
      <c r="W6635">
        <v>2500371.7199490499</v>
      </c>
      <c r="X6635" t="s">
        <v>31</v>
      </c>
      <c r="Y6635">
        <f>1-521-977-2726</f>
        <v>-4223</v>
      </c>
    </row>
    <row r="6636" spans="1:25" x14ac:dyDescent="0.35">
      <c r="A6636">
        <v>37.006520711803297</v>
      </c>
      <c r="B6636">
        <v>-115.865630821385</v>
      </c>
      <c r="C6636" t="s">
        <v>34</v>
      </c>
      <c r="D6636">
        <v>39.350648510996002</v>
      </c>
      <c r="E6636">
        <v>7</v>
      </c>
      <c r="F6636">
        <v>4542</v>
      </c>
      <c r="G6636">
        <v>4</v>
      </c>
      <c r="H6636">
        <v>1</v>
      </c>
      <c r="I6636">
        <v>1963</v>
      </c>
      <c r="J6636">
        <v>1</v>
      </c>
      <c r="K6636">
        <v>0</v>
      </c>
      <c r="L6636">
        <v>0</v>
      </c>
      <c r="M6636">
        <v>2</v>
      </c>
      <c r="N6636" t="s">
        <v>35</v>
      </c>
      <c r="O6636" t="s">
        <v>32</v>
      </c>
      <c r="P6636">
        <v>3.63332339511883</v>
      </c>
      <c r="Q6636">
        <v>2.02911429999592</v>
      </c>
      <c r="R6636">
        <v>8.0996618196341394</v>
      </c>
      <c r="S6636">
        <v>197</v>
      </c>
      <c r="T6636">
        <v>59</v>
      </c>
      <c r="U6636">
        <v>642.86324335259303</v>
      </c>
      <c r="V6636">
        <v>4.4033465433729601E-4</v>
      </c>
      <c r="W6636">
        <v>3108488.5008975901</v>
      </c>
      <c r="X6636" t="s">
        <v>38</v>
      </c>
      <c r="Y6636">
        <f>1-546-858-5794</f>
        <v>-7197</v>
      </c>
    </row>
    <row r="6637" spans="1:25" x14ac:dyDescent="0.35">
      <c r="A6637">
        <v>41.957786320751303</v>
      </c>
      <c r="B6637">
        <v>-122.355258882432</v>
      </c>
      <c r="C6637" t="s">
        <v>29</v>
      </c>
      <c r="D6637">
        <v>31.2301834208717</v>
      </c>
      <c r="E6637">
        <v>7</v>
      </c>
      <c r="F6637">
        <v>1064</v>
      </c>
      <c r="G6637">
        <v>1</v>
      </c>
      <c r="H6637">
        <v>3</v>
      </c>
      <c r="I6637">
        <v>1996</v>
      </c>
      <c r="J6637">
        <v>1</v>
      </c>
      <c r="K6637">
        <v>0</v>
      </c>
      <c r="L6637">
        <v>0</v>
      </c>
      <c r="M6637">
        <v>14</v>
      </c>
      <c r="N6637" t="s">
        <v>35</v>
      </c>
      <c r="O6637" t="s">
        <v>32</v>
      </c>
      <c r="P6637">
        <v>2.2071027408944199</v>
      </c>
      <c r="Q6637">
        <v>1.25790006638525</v>
      </c>
      <c r="R6637">
        <v>8.0499116792715508</v>
      </c>
      <c r="S6637">
        <v>150</v>
      </c>
      <c r="T6637">
        <v>34</v>
      </c>
      <c r="U6637">
        <v>990.06604990539699</v>
      </c>
      <c r="V6637">
        <v>1.3157894736842099E-2</v>
      </c>
      <c r="W6637">
        <v>1120447.3365839899</v>
      </c>
      <c r="X6637" t="s">
        <v>43</v>
      </c>
      <c r="Y6637">
        <f>1-768-425-2162</f>
        <v>-3354</v>
      </c>
    </row>
    <row r="6638" spans="1:25" x14ac:dyDescent="0.35">
      <c r="A6638">
        <v>39.336019880722503</v>
      </c>
      <c r="B6638">
        <v>-115.490320564847</v>
      </c>
      <c r="C6638" t="s">
        <v>29</v>
      </c>
      <c r="D6638">
        <v>7.6233395703952596</v>
      </c>
      <c r="E6638">
        <v>7</v>
      </c>
      <c r="F6638">
        <v>3396</v>
      </c>
      <c r="G6638">
        <v>2</v>
      </c>
      <c r="H6638">
        <v>1</v>
      </c>
      <c r="I6638">
        <v>1954</v>
      </c>
      <c r="J6638">
        <v>1</v>
      </c>
      <c r="K6638">
        <v>1</v>
      </c>
      <c r="L6638">
        <v>1</v>
      </c>
      <c r="M6638">
        <v>14</v>
      </c>
      <c r="N6638" t="s">
        <v>41</v>
      </c>
      <c r="O6638" t="s">
        <v>32</v>
      </c>
      <c r="P6638">
        <v>3.3953638046838401</v>
      </c>
      <c r="Q6638">
        <v>1.9095220935069199</v>
      </c>
      <c r="R6638">
        <v>6.4128109685858901</v>
      </c>
      <c r="S6638">
        <v>136</v>
      </c>
      <c r="T6638">
        <v>30</v>
      </c>
      <c r="U6638">
        <v>527.07026853524701</v>
      </c>
      <c r="V6638">
        <v>4.1224970553592399E-3</v>
      </c>
      <c r="W6638">
        <v>2041900.1067084901</v>
      </c>
      <c r="X6638" t="s">
        <v>36</v>
      </c>
      <c r="Y6638">
        <f>1-891-190-3458</f>
        <v>-4538</v>
      </c>
    </row>
    <row r="6639" spans="1:25" x14ac:dyDescent="0.35">
      <c r="A6639">
        <v>39.969869154138898</v>
      </c>
      <c r="B6639">
        <v>-116.365919895931</v>
      </c>
      <c r="C6639" t="s">
        <v>29</v>
      </c>
      <c r="D6639">
        <v>33.591851172245597</v>
      </c>
      <c r="E6639">
        <v>3</v>
      </c>
      <c r="F6639">
        <v>2516</v>
      </c>
      <c r="G6639">
        <v>2</v>
      </c>
      <c r="H6639">
        <v>3</v>
      </c>
      <c r="I6639">
        <v>2011</v>
      </c>
      <c r="J6639">
        <v>0</v>
      </c>
      <c r="K6639">
        <v>0</v>
      </c>
      <c r="L6639">
        <v>0</v>
      </c>
      <c r="M6639">
        <v>13</v>
      </c>
      <c r="N6639" t="s">
        <v>37</v>
      </c>
      <c r="O6639" t="s">
        <v>30</v>
      </c>
      <c r="P6639">
        <v>4.6844955414509402</v>
      </c>
      <c r="Q6639">
        <v>1.7379693468215001</v>
      </c>
      <c r="R6639">
        <v>3.0552402949384798</v>
      </c>
      <c r="S6639">
        <v>164</v>
      </c>
      <c r="T6639">
        <v>20</v>
      </c>
      <c r="U6639">
        <v>980.97064738040501</v>
      </c>
      <c r="V6639">
        <v>5.1669316375198698E-3</v>
      </c>
      <c r="W6639">
        <v>2670827.30905075</v>
      </c>
      <c r="X6639" t="s">
        <v>31</v>
      </c>
      <c r="Y6639">
        <f>1-826-974-3291</f>
        <v>-5090</v>
      </c>
    </row>
    <row r="6640" spans="1:25" x14ac:dyDescent="0.35">
      <c r="A6640">
        <v>35.834204168875097</v>
      </c>
      <c r="B6640">
        <v>-122.101597080429</v>
      </c>
      <c r="C6640" t="s">
        <v>34</v>
      </c>
      <c r="D6640">
        <v>30.2811187247123</v>
      </c>
      <c r="E6640">
        <v>8</v>
      </c>
      <c r="F6640">
        <v>4520</v>
      </c>
      <c r="G6640">
        <v>5</v>
      </c>
      <c r="H6640">
        <v>2</v>
      </c>
      <c r="I6640">
        <v>1996</v>
      </c>
      <c r="J6640">
        <v>0</v>
      </c>
      <c r="K6640">
        <v>0</v>
      </c>
      <c r="L6640">
        <v>1</v>
      </c>
      <c r="M6640">
        <v>8</v>
      </c>
      <c r="N6640" t="s">
        <v>37</v>
      </c>
      <c r="O6640" t="s">
        <v>32</v>
      </c>
      <c r="P6640">
        <v>3.1274576639411</v>
      </c>
      <c r="Q6640">
        <v>0.50774569134151404</v>
      </c>
      <c r="R6640">
        <v>0.24524005347966499</v>
      </c>
      <c r="S6640">
        <v>1</v>
      </c>
      <c r="T6640">
        <v>45</v>
      </c>
      <c r="U6640">
        <v>913.34438133299204</v>
      </c>
      <c r="V6640">
        <v>1.7699115044247701E-3</v>
      </c>
      <c r="W6640">
        <v>4418883.17617225</v>
      </c>
      <c r="X6640" t="s">
        <v>42</v>
      </c>
      <c r="Y6640">
        <f>1-689-248-5433</f>
        <v>-6369</v>
      </c>
    </row>
    <row r="6641" spans="1:25" x14ac:dyDescent="0.35">
      <c r="A6641">
        <v>32.586769725282601</v>
      </c>
      <c r="B6641">
        <v>-120.84542607829999</v>
      </c>
      <c r="C6641" t="s">
        <v>34</v>
      </c>
      <c r="D6641">
        <v>40.9623251601191</v>
      </c>
      <c r="E6641">
        <v>9</v>
      </c>
      <c r="F6641">
        <v>3018</v>
      </c>
      <c r="G6641">
        <v>1</v>
      </c>
      <c r="H6641">
        <v>2</v>
      </c>
      <c r="I6641">
        <v>1995</v>
      </c>
      <c r="J6641">
        <v>1</v>
      </c>
      <c r="K6641">
        <v>1</v>
      </c>
      <c r="L6641">
        <v>1</v>
      </c>
      <c r="M6641">
        <v>11</v>
      </c>
      <c r="N6641" t="s">
        <v>35</v>
      </c>
      <c r="O6641" t="s">
        <v>30</v>
      </c>
      <c r="P6641">
        <v>13.719030707382601</v>
      </c>
      <c r="Q6641">
        <v>1.1197291294310201</v>
      </c>
      <c r="R6641">
        <v>0.45411877149740998</v>
      </c>
      <c r="S6641">
        <v>115</v>
      </c>
      <c r="T6641">
        <v>36</v>
      </c>
      <c r="U6641">
        <v>985.15771395769696</v>
      </c>
      <c r="V6641">
        <v>3.6447978793903201E-3</v>
      </c>
      <c r="W6641">
        <v>3369661.1292306902</v>
      </c>
      <c r="X6641" t="s">
        <v>31</v>
      </c>
      <c r="Y6641">
        <f>1-669-877-3953</f>
        <v>-5498</v>
      </c>
    </row>
    <row r="6642" spans="1:25" x14ac:dyDescent="0.35">
      <c r="A6642">
        <v>33.979608616969301</v>
      </c>
      <c r="B6642">
        <v>-121.008945886086</v>
      </c>
      <c r="C6642" t="s">
        <v>29</v>
      </c>
      <c r="D6642">
        <v>15.333250016638999</v>
      </c>
      <c r="E6642">
        <v>4</v>
      </c>
      <c r="F6642">
        <v>3135</v>
      </c>
      <c r="G6642">
        <v>5</v>
      </c>
      <c r="H6642">
        <v>1</v>
      </c>
      <c r="I6642">
        <v>1961</v>
      </c>
      <c r="J6642">
        <v>1</v>
      </c>
      <c r="K6642">
        <v>1</v>
      </c>
      <c r="L6642">
        <v>1</v>
      </c>
      <c r="M6642">
        <v>6</v>
      </c>
      <c r="N6642" t="s">
        <v>35</v>
      </c>
      <c r="O6642" t="s">
        <v>30</v>
      </c>
      <c r="P6642">
        <v>10.468785713606501</v>
      </c>
      <c r="Q6642">
        <v>1.6546114757866199</v>
      </c>
      <c r="R6642">
        <v>7.1344087287466502</v>
      </c>
      <c r="S6642">
        <v>127</v>
      </c>
      <c r="T6642">
        <v>52</v>
      </c>
      <c r="U6642">
        <v>551.88043688084099</v>
      </c>
      <c r="V6642">
        <v>1.9138755980861199E-3</v>
      </c>
      <c r="W6642">
        <v>2148992.8311156998</v>
      </c>
      <c r="X6642" t="s">
        <v>40</v>
      </c>
      <c r="Y6642">
        <f>1-772-282-5776</f>
        <v>-6829</v>
      </c>
    </row>
    <row r="6643" spans="1:25" x14ac:dyDescent="0.35">
      <c r="A6643">
        <v>41.299458746986602</v>
      </c>
      <c r="B6643">
        <v>-115.931524168005</v>
      </c>
      <c r="C6643" t="s">
        <v>29</v>
      </c>
      <c r="D6643">
        <v>21.394720251064101</v>
      </c>
      <c r="E6643">
        <v>8</v>
      </c>
      <c r="F6643">
        <v>2850</v>
      </c>
      <c r="G6643">
        <v>5</v>
      </c>
      <c r="H6643">
        <v>2</v>
      </c>
      <c r="I6643">
        <v>2019</v>
      </c>
      <c r="J6643">
        <v>1</v>
      </c>
      <c r="K6643">
        <v>0</v>
      </c>
      <c r="L6643">
        <v>1</v>
      </c>
      <c r="M6643">
        <v>9</v>
      </c>
      <c r="N6643" t="s">
        <v>41</v>
      </c>
      <c r="O6643" t="s">
        <v>27</v>
      </c>
      <c r="P6643">
        <v>6.0949057958688702</v>
      </c>
      <c r="Q6643">
        <v>1.5862934319286901</v>
      </c>
      <c r="R6643">
        <v>4.9399887667945999</v>
      </c>
      <c r="S6643">
        <v>68</v>
      </c>
      <c r="T6643">
        <v>38</v>
      </c>
      <c r="U6643">
        <v>249.137966802101</v>
      </c>
      <c r="V6643">
        <v>3.1578947368421E-3</v>
      </c>
      <c r="W6643">
        <v>1080726.8108252301</v>
      </c>
      <c r="X6643" t="s">
        <v>28</v>
      </c>
      <c r="Y6643">
        <f>1-318-977-9926</f>
        <v>-11220</v>
      </c>
    </row>
    <row r="6644" spans="1:25" x14ac:dyDescent="0.35">
      <c r="A6644">
        <v>34.654440364166398</v>
      </c>
      <c r="B6644">
        <v>-114.59893180138999</v>
      </c>
      <c r="C6644" t="s">
        <v>29</v>
      </c>
      <c r="D6644">
        <v>6.1269064306589502</v>
      </c>
      <c r="E6644">
        <v>6</v>
      </c>
      <c r="F6644">
        <v>4018</v>
      </c>
      <c r="G6644">
        <v>3</v>
      </c>
      <c r="H6644">
        <v>2</v>
      </c>
      <c r="I6644">
        <v>1987</v>
      </c>
      <c r="J6644">
        <v>0</v>
      </c>
      <c r="K6644">
        <v>1</v>
      </c>
      <c r="L6644">
        <v>0</v>
      </c>
      <c r="M6644">
        <v>3</v>
      </c>
      <c r="N6644" t="s">
        <v>35</v>
      </c>
      <c r="O6644" t="s">
        <v>30</v>
      </c>
      <c r="P6644">
        <v>11.922682697224101</v>
      </c>
      <c r="Q6644">
        <v>1.15290442248258</v>
      </c>
      <c r="R6644">
        <v>5.5761180618457598</v>
      </c>
      <c r="S6644">
        <v>172</v>
      </c>
      <c r="T6644">
        <v>34</v>
      </c>
      <c r="U6644">
        <v>683.81723562396496</v>
      </c>
      <c r="V6644">
        <v>7.4664011946241904E-4</v>
      </c>
      <c r="W6644">
        <v>3059975.4633796001</v>
      </c>
      <c r="X6644" t="s">
        <v>43</v>
      </c>
      <c r="Y6644">
        <f>1-799-676-5183</f>
        <v>-6657</v>
      </c>
    </row>
    <row r="6645" spans="1:25" x14ac:dyDescent="0.35">
      <c r="A6645">
        <v>38.624513990051099</v>
      </c>
      <c r="B6645">
        <v>-115.01150755834701</v>
      </c>
      <c r="C6645" t="s">
        <v>34</v>
      </c>
      <c r="D6645">
        <v>44.022817539736501</v>
      </c>
      <c r="E6645">
        <v>3</v>
      </c>
      <c r="F6645">
        <v>3217</v>
      </c>
      <c r="G6645">
        <v>1</v>
      </c>
      <c r="H6645">
        <v>2</v>
      </c>
      <c r="I6645">
        <v>1978</v>
      </c>
      <c r="J6645">
        <v>0</v>
      </c>
      <c r="K6645">
        <v>0</v>
      </c>
      <c r="L6645">
        <v>0</v>
      </c>
      <c r="M6645">
        <v>5</v>
      </c>
      <c r="N6645" t="s">
        <v>35</v>
      </c>
      <c r="O6645" t="s">
        <v>32</v>
      </c>
      <c r="P6645">
        <v>14.478901838013</v>
      </c>
      <c r="Q6645">
        <v>1.3833700389568999</v>
      </c>
      <c r="R6645">
        <v>9.2045763335840203</v>
      </c>
      <c r="S6645">
        <v>47</v>
      </c>
      <c r="T6645">
        <v>46</v>
      </c>
      <c r="U6645">
        <v>227.549514370965</v>
      </c>
      <c r="V6645">
        <v>1.5542430836182699E-3</v>
      </c>
      <c r="W6645">
        <v>788463.37240512006</v>
      </c>
      <c r="X6645" t="s">
        <v>43</v>
      </c>
      <c r="Y6645">
        <f>1-683-762-2999</f>
        <v>-4443</v>
      </c>
    </row>
    <row r="6646" spans="1:25" x14ac:dyDescent="0.35">
      <c r="A6646">
        <v>40.238609333501401</v>
      </c>
      <c r="B6646">
        <v>-119.598602917381</v>
      </c>
      <c r="C6646" t="s">
        <v>25</v>
      </c>
      <c r="D6646">
        <v>2.7302239638926999</v>
      </c>
      <c r="E6646">
        <v>8</v>
      </c>
      <c r="F6646">
        <v>2285</v>
      </c>
      <c r="G6646">
        <v>2</v>
      </c>
      <c r="H6646">
        <v>1</v>
      </c>
      <c r="I6646">
        <v>1996</v>
      </c>
      <c r="J6646">
        <v>0</v>
      </c>
      <c r="K6646">
        <v>1</v>
      </c>
      <c r="L6646">
        <v>0</v>
      </c>
      <c r="M6646">
        <v>2</v>
      </c>
      <c r="N6646" t="s">
        <v>37</v>
      </c>
      <c r="O6646" t="s">
        <v>27</v>
      </c>
      <c r="P6646">
        <v>9.8679498583596992</v>
      </c>
      <c r="Q6646">
        <v>2.4881223396008898</v>
      </c>
      <c r="R6646">
        <v>9.4662979501045594</v>
      </c>
      <c r="S6646">
        <v>98</v>
      </c>
      <c r="T6646">
        <v>20</v>
      </c>
      <c r="U6646">
        <v>401.75757539022999</v>
      </c>
      <c r="V6646">
        <v>8.7527352297593001E-4</v>
      </c>
      <c r="W6646">
        <v>1150816.4821236001</v>
      </c>
      <c r="X6646" t="s">
        <v>31</v>
      </c>
      <c r="Y6646">
        <f>1-639-540-2831</f>
        <v>-4009</v>
      </c>
    </row>
    <row r="6647" spans="1:25" x14ac:dyDescent="0.35">
      <c r="A6647">
        <v>36.804801352549802</v>
      </c>
      <c r="B6647">
        <v>-120.599410095384</v>
      </c>
      <c r="C6647" t="s">
        <v>25</v>
      </c>
      <c r="D6647">
        <v>38.316421960409798</v>
      </c>
      <c r="E6647">
        <v>7</v>
      </c>
      <c r="F6647">
        <v>2103</v>
      </c>
      <c r="G6647">
        <v>1</v>
      </c>
      <c r="H6647">
        <v>3</v>
      </c>
      <c r="I6647">
        <v>1995</v>
      </c>
      <c r="J6647">
        <v>1</v>
      </c>
      <c r="K6647">
        <v>0</v>
      </c>
      <c r="L6647">
        <v>0</v>
      </c>
      <c r="M6647">
        <v>2</v>
      </c>
      <c r="N6647" t="s">
        <v>35</v>
      </c>
      <c r="O6647" t="s">
        <v>30</v>
      </c>
      <c r="P6647">
        <v>14.3381091571738</v>
      </c>
      <c r="Q6647">
        <v>0.98728235204480397</v>
      </c>
      <c r="R6647">
        <v>4.0435167830913299</v>
      </c>
      <c r="S6647">
        <v>129</v>
      </c>
      <c r="T6647">
        <v>42</v>
      </c>
      <c r="U6647">
        <v>990.12054837156404</v>
      </c>
      <c r="V6647">
        <v>9.5102234902520201E-4</v>
      </c>
      <c r="W6647">
        <v>2360318.13972273</v>
      </c>
      <c r="X6647" t="s">
        <v>36</v>
      </c>
      <c r="Y6647">
        <f>1-422-824-6322</f>
        <v>-7567</v>
      </c>
    </row>
    <row r="6648" spans="1:25" x14ac:dyDescent="0.35">
      <c r="A6648">
        <v>41.143876360532197</v>
      </c>
      <c r="B6648">
        <v>-120.087336937647</v>
      </c>
      <c r="C6648" t="s">
        <v>29</v>
      </c>
      <c r="D6648">
        <v>15.1503337587004</v>
      </c>
      <c r="E6648">
        <v>3</v>
      </c>
      <c r="F6648">
        <v>1774</v>
      </c>
      <c r="G6648">
        <v>5</v>
      </c>
      <c r="H6648">
        <v>3</v>
      </c>
      <c r="I6648">
        <v>2011</v>
      </c>
      <c r="J6648">
        <v>0</v>
      </c>
      <c r="K6648">
        <v>0</v>
      </c>
      <c r="L6648">
        <v>0</v>
      </c>
      <c r="M6648">
        <v>6</v>
      </c>
      <c r="N6648" t="s">
        <v>26</v>
      </c>
      <c r="O6648" t="s">
        <v>30</v>
      </c>
      <c r="P6648">
        <v>7.1396297247869596</v>
      </c>
      <c r="Q6648">
        <v>1.21205571459998</v>
      </c>
      <c r="R6648">
        <v>0.73656749316029602</v>
      </c>
      <c r="S6648">
        <v>33</v>
      </c>
      <c r="T6648">
        <v>77</v>
      </c>
      <c r="U6648">
        <v>604.96536279393501</v>
      </c>
      <c r="V6648">
        <v>3.38218714768883E-3</v>
      </c>
      <c r="W6648">
        <v>1389162.5473816099</v>
      </c>
      <c r="X6648" t="s">
        <v>44</v>
      </c>
      <c r="Y6648">
        <f>1-806-362-4853</f>
        <v>-6020</v>
      </c>
    </row>
    <row r="6649" spans="1:25" x14ac:dyDescent="0.35">
      <c r="A6649">
        <v>37.9418276403212</v>
      </c>
      <c r="B6649">
        <v>-122.507087479514</v>
      </c>
      <c r="C6649" t="s">
        <v>25</v>
      </c>
      <c r="D6649">
        <v>2.8370471214684501</v>
      </c>
      <c r="E6649">
        <v>5</v>
      </c>
      <c r="F6649">
        <v>4473</v>
      </c>
      <c r="G6649">
        <v>3</v>
      </c>
      <c r="H6649">
        <v>2</v>
      </c>
      <c r="I6649">
        <v>2021</v>
      </c>
      <c r="J6649">
        <v>1</v>
      </c>
      <c r="K6649">
        <v>1</v>
      </c>
      <c r="L6649">
        <v>1</v>
      </c>
      <c r="M6649">
        <v>12</v>
      </c>
      <c r="N6649" t="s">
        <v>37</v>
      </c>
      <c r="O6649" t="s">
        <v>27</v>
      </c>
      <c r="P6649">
        <v>6.9915157390481202</v>
      </c>
      <c r="Q6649">
        <v>1.8689321472682201</v>
      </c>
      <c r="R6649">
        <v>6.8687237987741998</v>
      </c>
      <c r="S6649">
        <v>150</v>
      </c>
      <c r="T6649">
        <v>49</v>
      </c>
      <c r="U6649">
        <v>583.93437468471905</v>
      </c>
      <c r="V6649">
        <v>2.68276324614352E-3</v>
      </c>
      <c r="W6649">
        <v>2973668.3378816298</v>
      </c>
      <c r="X6649" t="s">
        <v>43</v>
      </c>
      <c r="Y6649">
        <f>1-527-368-7744</f>
        <v>-8638</v>
      </c>
    </row>
    <row r="6650" spans="1:25" x14ac:dyDescent="0.35">
      <c r="A6650">
        <v>41.933127406117102</v>
      </c>
      <c r="B6650">
        <v>-124.287094769775</v>
      </c>
      <c r="C6650" t="s">
        <v>34</v>
      </c>
      <c r="D6650">
        <v>1.63425297645115</v>
      </c>
      <c r="E6650">
        <v>5</v>
      </c>
      <c r="F6650">
        <v>3624</v>
      </c>
      <c r="G6650">
        <v>4</v>
      </c>
      <c r="H6650">
        <v>3</v>
      </c>
      <c r="I6650">
        <v>1962</v>
      </c>
      <c r="J6650">
        <v>0</v>
      </c>
      <c r="K6650">
        <v>0</v>
      </c>
      <c r="L6650">
        <v>1</v>
      </c>
      <c r="M6650">
        <v>6</v>
      </c>
      <c r="N6650" t="s">
        <v>26</v>
      </c>
      <c r="O6650" t="s">
        <v>30</v>
      </c>
      <c r="P6650">
        <v>8.7198132923439307</v>
      </c>
      <c r="Q6650">
        <v>2.1314667990114602</v>
      </c>
      <c r="R6650">
        <v>7.0734255936836901</v>
      </c>
      <c r="S6650">
        <v>177</v>
      </c>
      <c r="T6650">
        <v>71</v>
      </c>
      <c r="U6650">
        <v>885.23747138203305</v>
      </c>
      <c r="V6650">
        <v>1.6556291390728401E-3</v>
      </c>
      <c r="W6650">
        <v>3450737.7311492199</v>
      </c>
      <c r="X6650" t="s">
        <v>40</v>
      </c>
      <c r="Y6650">
        <f>1-982-649-6475</f>
        <v>-8105</v>
      </c>
    </row>
    <row r="6651" spans="1:25" x14ac:dyDescent="0.35">
      <c r="A6651">
        <v>37.206375804449898</v>
      </c>
      <c r="B6651">
        <v>-123.09689851817799</v>
      </c>
      <c r="C6651" t="s">
        <v>25</v>
      </c>
      <c r="D6651">
        <v>38.003235478416102</v>
      </c>
      <c r="E6651">
        <v>2</v>
      </c>
      <c r="F6651">
        <v>3731</v>
      </c>
      <c r="G6651">
        <v>1</v>
      </c>
      <c r="H6651">
        <v>2</v>
      </c>
      <c r="I6651">
        <v>1994</v>
      </c>
      <c r="J6651">
        <v>1</v>
      </c>
      <c r="K6651">
        <v>1</v>
      </c>
      <c r="L6651">
        <v>0</v>
      </c>
      <c r="M6651">
        <v>7</v>
      </c>
      <c r="N6651" t="s">
        <v>41</v>
      </c>
      <c r="O6651" t="s">
        <v>32</v>
      </c>
      <c r="P6651">
        <v>6.3306982785525703</v>
      </c>
      <c r="Q6651">
        <v>1.2405534769967601</v>
      </c>
      <c r="R6651">
        <v>5.6211690273870296</v>
      </c>
      <c r="S6651">
        <v>52</v>
      </c>
      <c r="T6651">
        <v>27</v>
      </c>
      <c r="U6651">
        <v>532.26352858782695</v>
      </c>
      <c r="V6651">
        <v>1.87617260787992E-3</v>
      </c>
      <c r="W6651">
        <v>2155940.9699182902</v>
      </c>
      <c r="X6651" t="s">
        <v>40</v>
      </c>
      <c r="Y6651">
        <f>1-667-310-1905</f>
        <v>-2881</v>
      </c>
    </row>
    <row r="6652" spans="1:25" x14ac:dyDescent="0.35">
      <c r="A6652">
        <v>38.182656440353597</v>
      </c>
      <c r="B6652">
        <v>-118.71450793591799</v>
      </c>
      <c r="C6652" t="s">
        <v>25</v>
      </c>
      <c r="D6652">
        <v>26.462216811418099</v>
      </c>
      <c r="E6652">
        <v>0</v>
      </c>
      <c r="F6652">
        <v>1755</v>
      </c>
      <c r="G6652">
        <v>2</v>
      </c>
      <c r="H6652">
        <v>2</v>
      </c>
      <c r="I6652">
        <v>1956</v>
      </c>
      <c r="J6652">
        <v>1</v>
      </c>
      <c r="K6652">
        <v>0</v>
      </c>
      <c r="L6652">
        <v>1</v>
      </c>
      <c r="M6652">
        <v>2</v>
      </c>
      <c r="N6652" t="s">
        <v>37</v>
      </c>
      <c r="O6652" t="s">
        <v>32</v>
      </c>
      <c r="P6652">
        <v>6.0423096345296301</v>
      </c>
      <c r="Q6652">
        <v>2.2610966745721899</v>
      </c>
      <c r="R6652">
        <v>3.3352900751523999</v>
      </c>
      <c r="S6652">
        <v>67</v>
      </c>
      <c r="T6652">
        <v>58</v>
      </c>
      <c r="U6652">
        <v>746.39794009214302</v>
      </c>
      <c r="V6652">
        <v>1.13960113960113E-3</v>
      </c>
      <c r="W6652">
        <v>1484969.0025609799</v>
      </c>
      <c r="X6652" t="s">
        <v>33</v>
      </c>
      <c r="Y6652">
        <f>1-249-541-1263</f>
        <v>-2052</v>
      </c>
    </row>
    <row r="6653" spans="1:25" x14ac:dyDescent="0.35">
      <c r="A6653">
        <v>41.197627876002102</v>
      </c>
      <c r="B6653">
        <v>-123.91701379347801</v>
      </c>
      <c r="C6653" t="s">
        <v>34</v>
      </c>
      <c r="D6653">
        <v>42.990061763018502</v>
      </c>
      <c r="E6653">
        <v>9</v>
      </c>
      <c r="F6653">
        <v>1430</v>
      </c>
      <c r="G6653">
        <v>2</v>
      </c>
      <c r="H6653">
        <v>2</v>
      </c>
      <c r="I6653">
        <v>1953</v>
      </c>
      <c r="J6653">
        <v>0</v>
      </c>
      <c r="K6653">
        <v>1</v>
      </c>
      <c r="L6653">
        <v>1</v>
      </c>
      <c r="M6653">
        <v>11</v>
      </c>
      <c r="N6653" t="s">
        <v>41</v>
      </c>
      <c r="O6653" t="s">
        <v>32</v>
      </c>
      <c r="P6653">
        <v>4.0035653496423</v>
      </c>
      <c r="Q6653">
        <v>1.7821788040561399</v>
      </c>
      <c r="R6653">
        <v>6.1315396907203796</v>
      </c>
      <c r="S6653">
        <v>73</v>
      </c>
      <c r="T6653">
        <v>77</v>
      </c>
      <c r="U6653">
        <v>485.52460466028202</v>
      </c>
      <c r="V6653">
        <v>7.6923076923076901E-3</v>
      </c>
      <c r="W6653">
        <v>858783.95243145805</v>
      </c>
      <c r="X6653" t="s">
        <v>36</v>
      </c>
      <c r="Y6653">
        <f>1-662-780-4677</f>
        <v>-6118</v>
      </c>
    </row>
    <row r="6654" spans="1:25" x14ac:dyDescent="0.35">
      <c r="A6654">
        <v>40.6693008380755</v>
      </c>
      <c r="B6654">
        <v>-119.01155014562499</v>
      </c>
      <c r="C6654" t="s">
        <v>34</v>
      </c>
      <c r="D6654">
        <v>36.095335979980597</v>
      </c>
      <c r="E6654">
        <v>9</v>
      </c>
      <c r="F6654">
        <v>1272</v>
      </c>
      <c r="G6654">
        <v>1</v>
      </c>
      <c r="H6654">
        <v>2</v>
      </c>
      <c r="I6654">
        <v>2017</v>
      </c>
      <c r="J6654">
        <v>0</v>
      </c>
      <c r="K6654">
        <v>1</v>
      </c>
      <c r="L6654">
        <v>1</v>
      </c>
      <c r="M6654">
        <v>4</v>
      </c>
      <c r="N6654" t="s">
        <v>26</v>
      </c>
      <c r="O6654" t="s">
        <v>30</v>
      </c>
      <c r="P6654">
        <v>4.4112178255646599</v>
      </c>
      <c r="Q6654">
        <v>2.2518406805245101</v>
      </c>
      <c r="R6654">
        <v>7.5777133865626398</v>
      </c>
      <c r="S6654">
        <v>173</v>
      </c>
      <c r="T6654">
        <v>27</v>
      </c>
      <c r="U6654">
        <v>741.17081682610296</v>
      </c>
      <c r="V6654">
        <v>3.1446540880503099E-3</v>
      </c>
      <c r="W6654">
        <v>1203660.3577500901</v>
      </c>
      <c r="X6654" t="s">
        <v>44</v>
      </c>
      <c r="Y6654">
        <f>1-814-487-3679</f>
        <v>-4979</v>
      </c>
    </row>
    <row r="6655" spans="1:25" x14ac:dyDescent="0.35">
      <c r="A6655">
        <v>34.1857473128726</v>
      </c>
      <c r="B6655">
        <v>-117.905804416648</v>
      </c>
      <c r="C6655" t="s">
        <v>34</v>
      </c>
      <c r="D6655">
        <v>39.745238598721301</v>
      </c>
      <c r="E6655">
        <v>7</v>
      </c>
      <c r="F6655">
        <v>3470</v>
      </c>
      <c r="G6655">
        <v>1</v>
      </c>
      <c r="H6655">
        <v>1</v>
      </c>
      <c r="I6655">
        <v>1962</v>
      </c>
      <c r="J6655">
        <v>1</v>
      </c>
      <c r="K6655">
        <v>1</v>
      </c>
      <c r="L6655">
        <v>1</v>
      </c>
      <c r="M6655">
        <v>14</v>
      </c>
      <c r="N6655" t="s">
        <v>26</v>
      </c>
      <c r="O6655" t="s">
        <v>27</v>
      </c>
      <c r="P6655">
        <v>13.4336163162089</v>
      </c>
      <c r="Q6655">
        <v>1.28789947212593</v>
      </c>
      <c r="R6655">
        <v>2.6101307239151601</v>
      </c>
      <c r="S6655">
        <v>101</v>
      </c>
      <c r="T6655">
        <v>43</v>
      </c>
      <c r="U6655">
        <v>278.23828303802901</v>
      </c>
      <c r="V6655">
        <v>4.0345821325648403E-3</v>
      </c>
      <c r="W6655">
        <v>1257233.6661378499</v>
      </c>
      <c r="X6655" t="s">
        <v>44</v>
      </c>
      <c r="Y6655">
        <f>1-810-152-7336</f>
        <v>-8297</v>
      </c>
    </row>
    <row r="6656" spans="1:25" x14ac:dyDescent="0.35">
      <c r="A6656">
        <v>37.5533362356704</v>
      </c>
      <c r="B6656">
        <v>-116.97509151808801</v>
      </c>
      <c r="C6656" t="s">
        <v>25</v>
      </c>
      <c r="D6656">
        <v>47.117513000459098</v>
      </c>
      <c r="E6656">
        <v>1</v>
      </c>
      <c r="F6656">
        <v>749</v>
      </c>
      <c r="G6656">
        <v>3</v>
      </c>
      <c r="H6656">
        <v>3</v>
      </c>
      <c r="I6656">
        <v>1990</v>
      </c>
      <c r="J6656">
        <v>1</v>
      </c>
      <c r="K6656">
        <v>0</v>
      </c>
      <c r="L6656">
        <v>1</v>
      </c>
      <c r="M6656">
        <v>5</v>
      </c>
      <c r="N6656" t="s">
        <v>35</v>
      </c>
      <c r="O6656" t="s">
        <v>30</v>
      </c>
      <c r="P6656">
        <v>6.0376083596267502</v>
      </c>
      <c r="Q6656">
        <v>2.22348368040966</v>
      </c>
      <c r="R6656">
        <v>8.1357271052479394</v>
      </c>
      <c r="S6656">
        <v>130</v>
      </c>
      <c r="T6656">
        <v>42</v>
      </c>
      <c r="U6656">
        <v>378.381592825398</v>
      </c>
      <c r="V6656">
        <v>6.6755674232309697E-3</v>
      </c>
      <c r="W6656">
        <v>588031.81445723504</v>
      </c>
      <c r="X6656" t="s">
        <v>31</v>
      </c>
      <c r="Y6656">
        <f>1-453-548-3404</f>
        <v>-4404</v>
      </c>
    </row>
    <row r="6657" spans="1:25" x14ac:dyDescent="0.35">
      <c r="A6657">
        <v>34.141094793894702</v>
      </c>
      <c r="B6657">
        <v>-121.72106172188499</v>
      </c>
      <c r="C6657" t="s">
        <v>29</v>
      </c>
      <c r="D6657">
        <v>4.4072119823376603</v>
      </c>
      <c r="E6657">
        <v>1</v>
      </c>
      <c r="F6657">
        <v>3011</v>
      </c>
      <c r="G6657">
        <v>3</v>
      </c>
      <c r="H6657">
        <v>2</v>
      </c>
      <c r="I6657">
        <v>1975</v>
      </c>
      <c r="J6657">
        <v>1</v>
      </c>
      <c r="K6657">
        <v>1</v>
      </c>
      <c r="L6657">
        <v>0</v>
      </c>
      <c r="M6657">
        <v>5</v>
      </c>
      <c r="N6657" t="s">
        <v>26</v>
      </c>
      <c r="O6657" t="s">
        <v>27</v>
      </c>
      <c r="P6657">
        <v>2.0740519073798298</v>
      </c>
      <c r="Q6657">
        <v>0.59627795764682701</v>
      </c>
      <c r="R6657">
        <v>9.6222321444414602E-2</v>
      </c>
      <c r="S6657">
        <v>63</v>
      </c>
      <c r="T6657">
        <v>37</v>
      </c>
      <c r="U6657">
        <v>225.30841331452899</v>
      </c>
      <c r="V6657">
        <v>1.66057788110262E-3</v>
      </c>
      <c r="W6657">
        <v>987724.04450399894</v>
      </c>
      <c r="X6657" t="s">
        <v>28</v>
      </c>
      <c r="Y6657">
        <f>1-819-668-9225</f>
        <v>-10711</v>
      </c>
    </row>
    <row r="6658" spans="1:25" x14ac:dyDescent="0.35">
      <c r="A6658">
        <v>40.792832450528699</v>
      </c>
      <c r="B6658">
        <v>-124.036262691958</v>
      </c>
      <c r="C6658" t="s">
        <v>25</v>
      </c>
      <c r="D6658">
        <v>45.791263965856402</v>
      </c>
      <c r="E6658">
        <v>5</v>
      </c>
      <c r="F6658">
        <v>3321</v>
      </c>
      <c r="G6658">
        <v>3</v>
      </c>
      <c r="H6658">
        <v>2</v>
      </c>
      <c r="I6658">
        <v>1994</v>
      </c>
      <c r="J6658">
        <v>0</v>
      </c>
      <c r="K6658">
        <v>0</v>
      </c>
      <c r="L6658">
        <v>1</v>
      </c>
      <c r="M6658">
        <v>3</v>
      </c>
      <c r="N6658" t="s">
        <v>37</v>
      </c>
      <c r="O6658" t="s">
        <v>32</v>
      </c>
      <c r="P6658">
        <v>3.4050361419385502</v>
      </c>
      <c r="Q6658">
        <v>1.5909842305452599</v>
      </c>
      <c r="R6658">
        <v>3.0079077447489202</v>
      </c>
      <c r="S6658">
        <v>120</v>
      </c>
      <c r="T6658">
        <v>73</v>
      </c>
      <c r="U6658">
        <v>440.838775858487</v>
      </c>
      <c r="V6658">
        <v>9.03342366757E-4</v>
      </c>
      <c r="W6658">
        <v>1749118.62889356</v>
      </c>
      <c r="X6658" t="s">
        <v>44</v>
      </c>
      <c r="Y6658">
        <f>1-468-513-2705</f>
        <v>-3685</v>
      </c>
    </row>
    <row r="6659" spans="1:25" x14ac:dyDescent="0.35">
      <c r="A6659">
        <v>38.765471564014199</v>
      </c>
      <c r="B6659">
        <v>-120.194117999448</v>
      </c>
      <c r="C6659" t="s">
        <v>29</v>
      </c>
      <c r="D6659">
        <v>8.4249857670289092</v>
      </c>
      <c r="E6659">
        <v>2</v>
      </c>
      <c r="F6659">
        <v>3599</v>
      </c>
      <c r="G6659">
        <v>1</v>
      </c>
      <c r="H6659">
        <v>2</v>
      </c>
      <c r="I6659">
        <v>1956</v>
      </c>
      <c r="J6659">
        <v>0</v>
      </c>
      <c r="K6659">
        <v>1</v>
      </c>
      <c r="L6659">
        <v>0</v>
      </c>
      <c r="M6659">
        <v>7</v>
      </c>
      <c r="N6659" t="s">
        <v>26</v>
      </c>
      <c r="O6659" t="s">
        <v>30</v>
      </c>
      <c r="P6659">
        <v>10.921689186844</v>
      </c>
      <c r="Q6659">
        <v>1.21052450017008</v>
      </c>
      <c r="R6659">
        <v>2.3794133989673001</v>
      </c>
      <c r="S6659">
        <v>131</v>
      </c>
      <c r="T6659">
        <v>21</v>
      </c>
      <c r="U6659">
        <v>776.66108157253598</v>
      </c>
      <c r="V6659">
        <v>1.9449847179772101E-3</v>
      </c>
      <c r="W6659">
        <v>2931995.5744965998</v>
      </c>
      <c r="X6659" t="s">
        <v>31</v>
      </c>
      <c r="Y6659">
        <f>1-798-892-1848</f>
        <v>-3537</v>
      </c>
    </row>
    <row r="6660" spans="1:25" x14ac:dyDescent="0.35">
      <c r="A6660">
        <v>41.313765614252901</v>
      </c>
      <c r="B6660">
        <v>-117.78619722724601</v>
      </c>
      <c r="C6660" t="s">
        <v>29</v>
      </c>
      <c r="D6660">
        <v>47.542734214878898</v>
      </c>
      <c r="E6660">
        <v>4</v>
      </c>
      <c r="F6660">
        <v>2327</v>
      </c>
      <c r="G6660">
        <v>3</v>
      </c>
      <c r="H6660">
        <v>3</v>
      </c>
      <c r="I6660">
        <v>2005</v>
      </c>
      <c r="J6660">
        <v>1</v>
      </c>
      <c r="K6660">
        <v>0</v>
      </c>
      <c r="L6660">
        <v>1</v>
      </c>
      <c r="M6660">
        <v>3</v>
      </c>
      <c r="N6660" t="s">
        <v>26</v>
      </c>
      <c r="O6660" t="s">
        <v>27</v>
      </c>
      <c r="P6660">
        <v>2.1141885706322601</v>
      </c>
      <c r="Q6660">
        <v>1.8187952364668001</v>
      </c>
      <c r="R6660">
        <v>4.8290127889798802</v>
      </c>
      <c r="S6660">
        <v>25</v>
      </c>
      <c r="T6660">
        <v>65</v>
      </c>
      <c r="U6660">
        <v>677.02100407069599</v>
      </c>
      <c r="V6660">
        <v>1.28921357971637E-3</v>
      </c>
      <c r="W6660">
        <v>1831412.9942405401</v>
      </c>
      <c r="X6660" t="s">
        <v>40</v>
      </c>
      <c r="Y6660">
        <f>1-436-816-7978</f>
        <v>-9229</v>
      </c>
    </row>
    <row r="6661" spans="1:25" x14ac:dyDescent="0.35">
      <c r="A6661">
        <v>34.103904523070902</v>
      </c>
      <c r="B6661">
        <v>-120.36919890490999</v>
      </c>
      <c r="C6661" t="s">
        <v>25</v>
      </c>
      <c r="D6661">
        <v>28.1378092370643</v>
      </c>
      <c r="E6661">
        <v>0</v>
      </c>
      <c r="F6661">
        <v>875</v>
      </c>
      <c r="G6661">
        <v>3</v>
      </c>
      <c r="H6661">
        <v>3</v>
      </c>
      <c r="I6661">
        <v>1953</v>
      </c>
      <c r="J6661">
        <v>0</v>
      </c>
      <c r="K6661">
        <v>0</v>
      </c>
      <c r="L6661">
        <v>0</v>
      </c>
      <c r="M6661">
        <v>2</v>
      </c>
      <c r="N6661" t="s">
        <v>35</v>
      </c>
      <c r="O6661" t="s">
        <v>30</v>
      </c>
      <c r="P6661">
        <v>8.49232387983953</v>
      </c>
      <c r="Q6661">
        <v>0.96905817133531802</v>
      </c>
      <c r="R6661">
        <v>2.46936020532626</v>
      </c>
      <c r="S6661">
        <v>88</v>
      </c>
      <c r="T6661">
        <v>23</v>
      </c>
      <c r="U6661">
        <v>964.22171367261103</v>
      </c>
      <c r="V6661">
        <v>2.2857142857142798E-3</v>
      </c>
      <c r="W6661">
        <v>994312.37395476794</v>
      </c>
      <c r="X6661" t="s">
        <v>38</v>
      </c>
      <c r="Y6661">
        <f>1-798-604-8710</f>
        <v>-10111</v>
      </c>
    </row>
    <row r="6662" spans="1:25" x14ac:dyDescent="0.35">
      <c r="A6662">
        <v>40.0741492585475</v>
      </c>
      <c r="B6662">
        <v>-119.394722689356</v>
      </c>
      <c r="C6662" t="s">
        <v>34</v>
      </c>
      <c r="D6662">
        <v>27.993706778184599</v>
      </c>
      <c r="E6662">
        <v>4</v>
      </c>
      <c r="F6662">
        <v>3605</v>
      </c>
      <c r="G6662">
        <v>3</v>
      </c>
      <c r="H6662">
        <v>1</v>
      </c>
      <c r="I6662">
        <v>1993</v>
      </c>
      <c r="J6662">
        <v>0</v>
      </c>
      <c r="K6662">
        <v>0</v>
      </c>
      <c r="L6662">
        <v>0</v>
      </c>
      <c r="M6662">
        <v>2</v>
      </c>
      <c r="N6662" t="s">
        <v>35</v>
      </c>
      <c r="O6662" t="s">
        <v>32</v>
      </c>
      <c r="P6662">
        <v>11.0390540824112</v>
      </c>
      <c r="Q6662">
        <v>1.1153572750956</v>
      </c>
      <c r="R6662">
        <v>9.50246647459476</v>
      </c>
      <c r="S6662">
        <v>155</v>
      </c>
      <c r="T6662">
        <v>66</v>
      </c>
      <c r="U6662">
        <v>948.15579934866798</v>
      </c>
      <c r="V6662">
        <v>5.5478502080443795E-4</v>
      </c>
      <c r="W6662">
        <v>3645201.9983971599</v>
      </c>
      <c r="X6662" t="s">
        <v>36</v>
      </c>
      <c r="Y6662">
        <f>1-562-789-1941</f>
        <v>-3291</v>
      </c>
    </row>
    <row r="6663" spans="1:25" x14ac:dyDescent="0.35">
      <c r="A6663">
        <v>36.9217577058605</v>
      </c>
      <c r="B6663">
        <v>-122.571313575695</v>
      </c>
      <c r="C6663" t="s">
        <v>25</v>
      </c>
      <c r="D6663">
        <v>44.810944373698</v>
      </c>
      <c r="E6663">
        <v>2</v>
      </c>
      <c r="F6663">
        <v>4956</v>
      </c>
      <c r="G6663">
        <v>3</v>
      </c>
      <c r="H6663">
        <v>1</v>
      </c>
      <c r="I6663">
        <v>1960</v>
      </c>
      <c r="J6663">
        <v>1</v>
      </c>
      <c r="K6663">
        <v>1</v>
      </c>
      <c r="L6663">
        <v>0</v>
      </c>
      <c r="M6663">
        <v>9</v>
      </c>
      <c r="N6663" t="s">
        <v>35</v>
      </c>
      <c r="O6663" t="s">
        <v>27</v>
      </c>
      <c r="P6663">
        <v>10.963282586031101</v>
      </c>
      <c r="Q6663">
        <v>2.1823901490847502</v>
      </c>
      <c r="R6663">
        <v>3.4114598942711098</v>
      </c>
      <c r="S6663">
        <v>128</v>
      </c>
      <c r="T6663">
        <v>21</v>
      </c>
      <c r="U6663">
        <v>653.28735221781199</v>
      </c>
      <c r="V6663">
        <v>1.8159806295399499E-3</v>
      </c>
      <c r="W6663">
        <v>3489449.6192474798</v>
      </c>
      <c r="X6663" t="s">
        <v>39</v>
      </c>
      <c r="Y6663">
        <f>1-662-211-1167</f>
        <v>-2039</v>
      </c>
    </row>
    <row r="6664" spans="1:25" x14ac:dyDescent="0.35">
      <c r="A6664">
        <v>38.345530279659002</v>
      </c>
      <c r="B6664">
        <v>-118.893726879935</v>
      </c>
      <c r="C6664" t="s">
        <v>25</v>
      </c>
      <c r="D6664">
        <v>49.943745429779</v>
      </c>
      <c r="E6664">
        <v>8</v>
      </c>
      <c r="F6664">
        <v>3487</v>
      </c>
      <c r="G6664">
        <v>2</v>
      </c>
      <c r="H6664">
        <v>3</v>
      </c>
      <c r="I6664">
        <v>1973</v>
      </c>
      <c r="J6664">
        <v>1</v>
      </c>
      <c r="K6664">
        <v>1</v>
      </c>
      <c r="L6664">
        <v>0</v>
      </c>
      <c r="M6664">
        <v>13</v>
      </c>
      <c r="N6664" t="s">
        <v>37</v>
      </c>
      <c r="O6664" t="s">
        <v>30</v>
      </c>
      <c r="P6664">
        <v>6.1428198619253003</v>
      </c>
      <c r="Q6664">
        <v>2.1469135177518801</v>
      </c>
      <c r="R6664">
        <v>7.7894141408247402</v>
      </c>
      <c r="S6664">
        <v>114</v>
      </c>
      <c r="T6664">
        <v>34</v>
      </c>
      <c r="U6664">
        <v>896.20098086887401</v>
      </c>
      <c r="V6664">
        <v>3.7281330656724898E-3</v>
      </c>
      <c r="W6664">
        <v>3349053.56252445</v>
      </c>
      <c r="X6664" t="s">
        <v>44</v>
      </c>
      <c r="Y6664">
        <f>1-548-621-1477</f>
        <v>-2645</v>
      </c>
    </row>
    <row r="6665" spans="1:25" x14ac:dyDescent="0.35">
      <c r="A6665">
        <v>40.541613539362103</v>
      </c>
      <c r="B6665">
        <v>-117.590319544614</v>
      </c>
      <c r="C6665" t="s">
        <v>25</v>
      </c>
      <c r="D6665">
        <v>19.2294655233454</v>
      </c>
      <c r="E6665">
        <v>0</v>
      </c>
      <c r="F6665">
        <v>2256</v>
      </c>
      <c r="G6665">
        <v>4</v>
      </c>
      <c r="H6665">
        <v>1</v>
      </c>
      <c r="I6665">
        <v>1979</v>
      </c>
      <c r="J6665">
        <v>0</v>
      </c>
      <c r="K6665">
        <v>0</v>
      </c>
      <c r="L6665">
        <v>1</v>
      </c>
      <c r="M6665">
        <v>10</v>
      </c>
      <c r="N6665" t="s">
        <v>26</v>
      </c>
      <c r="O6665" t="s">
        <v>32</v>
      </c>
      <c r="P6665">
        <v>8.5932329003834003</v>
      </c>
      <c r="Q6665">
        <v>1.59861845388321</v>
      </c>
      <c r="R6665">
        <v>1.61539603198027</v>
      </c>
      <c r="S6665">
        <v>65</v>
      </c>
      <c r="T6665">
        <v>59</v>
      </c>
      <c r="U6665">
        <v>946.41064766933403</v>
      </c>
      <c r="V6665">
        <v>4.4326241134751698E-3</v>
      </c>
      <c r="W6665">
        <v>2399436.8219121201</v>
      </c>
      <c r="X6665" t="s">
        <v>44</v>
      </c>
      <c r="Y6665">
        <f>1-752-815-9114</f>
        <v>-10680</v>
      </c>
    </row>
    <row r="6666" spans="1:25" x14ac:dyDescent="0.35">
      <c r="A6666">
        <v>39.984410243963303</v>
      </c>
      <c r="B6666">
        <v>-116.147981813149</v>
      </c>
      <c r="C6666" t="s">
        <v>29</v>
      </c>
      <c r="D6666">
        <v>2.6795303940054702</v>
      </c>
      <c r="E6666">
        <v>6</v>
      </c>
      <c r="F6666">
        <v>3487</v>
      </c>
      <c r="G6666">
        <v>1</v>
      </c>
      <c r="H6666">
        <v>1</v>
      </c>
      <c r="I6666">
        <v>2001</v>
      </c>
      <c r="J6666">
        <v>0</v>
      </c>
      <c r="K6666">
        <v>0</v>
      </c>
      <c r="L6666">
        <v>1</v>
      </c>
      <c r="M6666">
        <v>10</v>
      </c>
      <c r="N6666" t="s">
        <v>35</v>
      </c>
      <c r="O6666" t="s">
        <v>32</v>
      </c>
      <c r="P6666">
        <v>2.1988552110297599</v>
      </c>
      <c r="Q6666">
        <v>1.00188367523222</v>
      </c>
      <c r="R6666">
        <v>2.9165576243185698</v>
      </c>
      <c r="S6666">
        <v>116</v>
      </c>
      <c r="T6666">
        <v>30</v>
      </c>
      <c r="U6666">
        <v>775.75033853262698</v>
      </c>
      <c r="V6666">
        <v>2.8677946659019199E-3</v>
      </c>
      <c r="W6666">
        <v>2801768.0793747599</v>
      </c>
      <c r="X6666" t="s">
        <v>28</v>
      </c>
      <c r="Y6666">
        <f>1-859-716-3195</f>
        <v>-4769</v>
      </c>
    </row>
    <row r="6667" spans="1:25" x14ac:dyDescent="0.35">
      <c r="A6667">
        <v>32.557273679850198</v>
      </c>
      <c r="B6667">
        <v>-116.133018908559</v>
      </c>
      <c r="C6667" t="s">
        <v>34</v>
      </c>
      <c r="D6667">
        <v>41.209456536907702</v>
      </c>
      <c r="E6667">
        <v>0</v>
      </c>
      <c r="F6667">
        <v>4408</v>
      </c>
      <c r="G6667">
        <v>2</v>
      </c>
      <c r="H6667">
        <v>1</v>
      </c>
      <c r="I6667">
        <v>1954</v>
      </c>
      <c r="J6667">
        <v>1</v>
      </c>
      <c r="K6667">
        <v>0</v>
      </c>
      <c r="L6667">
        <v>1</v>
      </c>
      <c r="M6667">
        <v>4</v>
      </c>
      <c r="N6667" t="s">
        <v>37</v>
      </c>
      <c r="O6667" t="s">
        <v>27</v>
      </c>
      <c r="P6667">
        <v>2.4040520748312799</v>
      </c>
      <c r="Q6667">
        <v>1.92636340829766</v>
      </c>
      <c r="R6667">
        <v>5.6956604870488299</v>
      </c>
      <c r="S6667">
        <v>16</v>
      </c>
      <c r="T6667">
        <v>57</v>
      </c>
      <c r="U6667">
        <v>504.26879035877698</v>
      </c>
      <c r="V6667">
        <v>9.0744101633393804E-4</v>
      </c>
      <c r="W6667">
        <v>2249919.6245968202</v>
      </c>
      <c r="X6667" t="s">
        <v>43</v>
      </c>
      <c r="Y6667">
        <f>1-780-655-9658</f>
        <v>-11092</v>
      </c>
    </row>
    <row r="6668" spans="1:25" x14ac:dyDescent="0.35">
      <c r="A6668">
        <v>37.2925343566693</v>
      </c>
      <c r="B6668">
        <v>-116.935832412764</v>
      </c>
      <c r="C6668" t="s">
        <v>25</v>
      </c>
      <c r="D6668">
        <v>35.525329788285099</v>
      </c>
      <c r="E6668">
        <v>7</v>
      </c>
      <c r="F6668">
        <v>1585</v>
      </c>
      <c r="G6668">
        <v>3</v>
      </c>
      <c r="H6668">
        <v>1</v>
      </c>
      <c r="I6668">
        <v>1974</v>
      </c>
      <c r="J6668">
        <v>1</v>
      </c>
      <c r="K6668">
        <v>1</v>
      </c>
      <c r="L6668">
        <v>0</v>
      </c>
      <c r="M6668">
        <v>12</v>
      </c>
      <c r="N6668" t="s">
        <v>35</v>
      </c>
      <c r="O6668" t="s">
        <v>30</v>
      </c>
      <c r="P6668">
        <v>11.524160936402099</v>
      </c>
      <c r="Q6668">
        <v>1.1037397528969599</v>
      </c>
      <c r="R6668">
        <v>1.72500414111714</v>
      </c>
      <c r="S6668">
        <v>39</v>
      </c>
      <c r="T6668">
        <v>29</v>
      </c>
      <c r="U6668">
        <v>688.21814843067602</v>
      </c>
      <c r="V6668">
        <v>7.5709779179810701E-3</v>
      </c>
      <c r="W6668">
        <v>1432798.3705530299</v>
      </c>
      <c r="X6668" t="s">
        <v>38</v>
      </c>
      <c r="Y6668">
        <f>1-575-966-8080</f>
        <v>-9620</v>
      </c>
    </row>
    <row r="6669" spans="1:25" x14ac:dyDescent="0.35">
      <c r="A6669">
        <v>41.234430330632399</v>
      </c>
      <c r="B6669">
        <v>-120.94450968445</v>
      </c>
      <c r="C6669" t="s">
        <v>29</v>
      </c>
      <c r="D6669">
        <v>33.5502892864355</v>
      </c>
      <c r="E6669">
        <v>4</v>
      </c>
      <c r="F6669">
        <v>4009</v>
      </c>
      <c r="G6669">
        <v>3</v>
      </c>
      <c r="H6669">
        <v>3</v>
      </c>
      <c r="I6669">
        <v>1961</v>
      </c>
      <c r="J6669">
        <v>1</v>
      </c>
      <c r="K6669">
        <v>0</v>
      </c>
      <c r="L6669">
        <v>1</v>
      </c>
      <c r="M6669">
        <v>10</v>
      </c>
      <c r="N6669" t="s">
        <v>37</v>
      </c>
      <c r="O6669" t="s">
        <v>30</v>
      </c>
      <c r="P6669">
        <v>9.0226211270603702</v>
      </c>
      <c r="Q6669">
        <v>1.5120948242635399</v>
      </c>
      <c r="R6669">
        <v>0.89334507690292797</v>
      </c>
      <c r="S6669">
        <v>146</v>
      </c>
      <c r="T6669">
        <v>20</v>
      </c>
      <c r="U6669">
        <v>717.64292116517299</v>
      </c>
      <c r="V6669">
        <v>2.49438762783736E-3</v>
      </c>
      <c r="W6669">
        <v>3131603.2374028298</v>
      </c>
      <c r="X6669" t="s">
        <v>28</v>
      </c>
      <c r="Y6669">
        <f>1-526-441-7214</f>
        <v>-8180</v>
      </c>
    </row>
    <row r="6670" spans="1:25" x14ac:dyDescent="0.35">
      <c r="A6670">
        <v>41.315757015775901</v>
      </c>
      <c r="B6670">
        <v>-115.819218863785</v>
      </c>
      <c r="C6670" t="s">
        <v>29</v>
      </c>
      <c r="D6670">
        <v>24.050744725416401</v>
      </c>
      <c r="E6670">
        <v>3</v>
      </c>
      <c r="F6670">
        <v>4821</v>
      </c>
      <c r="G6670">
        <v>1</v>
      </c>
      <c r="H6670">
        <v>2</v>
      </c>
      <c r="I6670">
        <v>1999</v>
      </c>
      <c r="J6670">
        <v>1</v>
      </c>
      <c r="K6670">
        <v>0</v>
      </c>
      <c r="L6670">
        <v>0</v>
      </c>
      <c r="M6670">
        <v>7</v>
      </c>
      <c r="N6670" t="s">
        <v>35</v>
      </c>
      <c r="O6670" t="s">
        <v>32</v>
      </c>
      <c r="P6670">
        <v>3.4396014080019199</v>
      </c>
      <c r="Q6670">
        <v>0.88435077190240496</v>
      </c>
      <c r="R6670">
        <v>6.5510172798740296</v>
      </c>
      <c r="S6670">
        <v>59</v>
      </c>
      <c r="T6670">
        <v>57</v>
      </c>
      <c r="U6670">
        <v>225.11157199584801</v>
      </c>
      <c r="V6670">
        <v>1.45198091682223E-3</v>
      </c>
      <c r="W6670">
        <v>1180873.07173955</v>
      </c>
      <c r="X6670" t="s">
        <v>40</v>
      </c>
      <c r="Y6670">
        <f>1-754-189-7058</f>
        <v>-8000</v>
      </c>
    </row>
    <row r="6671" spans="1:25" x14ac:dyDescent="0.35">
      <c r="A6671">
        <v>36.7313379780948</v>
      </c>
      <c r="B6671">
        <v>-122.338006109906</v>
      </c>
      <c r="C6671" t="s">
        <v>29</v>
      </c>
      <c r="D6671">
        <v>18.577473020128402</v>
      </c>
      <c r="E6671">
        <v>9</v>
      </c>
      <c r="F6671">
        <v>1844</v>
      </c>
      <c r="G6671">
        <v>1</v>
      </c>
      <c r="H6671">
        <v>1</v>
      </c>
      <c r="I6671">
        <v>1964</v>
      </c>
      <c r="J6671">
        <v>0</v>
      </c>
      <c r="K6671">
        <v>0</v>
      </c>
      <c r="L6671">
        <v>0</v>
      </c>
      <c r="M6671">
        <v>3</v>
      </c>
      <c r="N6671" t="s">
        <v>35</v>
      </c>
      <c r="O6671" t="s">
        <v>30</v>
      </c>
      <c r="P6671">
        <v>8.7819773450772498</v>
      </c>
      <c r="Q6671">
        <v>0.52363250970653397</v>
      </c>
      <c r="R6671">
        <v>8.7898554649011604</v>
      </c>
      <c r="S6671">
        <v>178</v>
      </c>
      <c r="T6671">
        <v>51</v>
      </c>
      <c r="U6671">
        <v>876.16677950831399</v>
      </c>
      <c r="V6671">
        <v>1.6268980477223401E-3</v>
      </c>
      <c r="W6671">
        <v>1601078.25231348</v>
      </c>
      <c r="X6671" t="s">
        <v>28</v>
      </c>
      <c r="Y6671">
        <f>1-459-560-8919</f>
        <v>-9937</v>
      </c>
    </row>
    <row r="6672" spans="1:25" x14ac:dyDescent="0.35">
      <c r="A6672">
        <v>41.104296317215997</v>
      </c>
      <c r="B6672">
        <v>-122.868072367556</v>
      </c>
      <c r="C6672" t="s">
        <v>29</v>
      </c>
      <c r="D6672">
        <v>7.1521905323057497</v>
      </c>
      <c r="E6672">
        <v>3</v>
      </c>
      <c r="F6672">
        <v>1444</v>
      </c>
      <c r="G6672">
        <v>1</v>
      </c>
      <c r="H6672">
        <v>2</v>
      </c>
      <c r="I6672">
        <v>1976</v>
      </c>
      <c r="J6672">
        <v>1</v>
      </c>
      <c r="K6672">
        <v>0</v>
      </c>
      <c r="L6672">
        <v>0</v>
      </c>
      <c r="M6672">
        <v>3</v>
      </c>
      <c r="N6672" t="s">
        <v>35</v>
      </c>
      <c r="O6672" t="s">
        <v>27</v>
      </c>
      <c r="P6672">
        <v>11.6145459295733</v>
      </c>
      <c r="Q6672">
        <v>1.38550415071597</v>
      </c>
      <c r="R6672">
        <v>6.5004009719141598</v>
      </c>
      <c r="S6672">
        <v>159</v>
      </c>
      <c r="T6672">
        <v>72</v>
      </c>
      <c r="U6672">
        <v>973.68457214886303</v>
      </c>
      <c r="V6672">
        <v>2.0775623268698001E-3</v>
      </c>
      <c r="W6672">
        <v>1544065.0408109</v>
      </c>
      <c r="X6672" t="s">
        <v>44</v>
      </c>
      <c r="Y6672">
        <f>1-766-294-1876</f>
        <v>-2935</v>
      </c>
    </row>
    <row r="6673" spans="1:25" x14ac:dyDescent="0.35">
      <c r="A6673">
        <v>41.2513469806008</v>
      </c>
      <c r="B6673">
        <v>-114.81167993349899</v>
      </c>
      <c r="C6673" t="s">
        <v>29</v>
      </c>
      <c r="D6673">
        <v>29.3235713698921</v>
      </c>
      <c r="E6673">
        <v>9</v>
      </c>
      <c r="F6673">
        <v>4270</v>
      </c>
      <c r="G6673">
        <v>3</v>
      </c>
      <c r="H6673">
        <v>2</v>
      </c>
      <c r="I6673">
        <v>2007</v>
      </c>
      <c r="J6673">
        <v>1</v>
      </c>
      <c r="K6673">
        <v>1</v>
      </c>
      <c r="L6673">
        <v>1</v>
      </c>
      <c r="M6673">
        <v>2</v>
      </c>
      <c r="N6673" t="s">
        <v>35</v>
      </c>
      <c r="O6673" t="s">
        <v>32</v>
      </c>
      <c r="P6673">
        <v>13.232638095181599</v>
      </c>
      <c r="Q6673">
        <v>1.74300763032543</v>
      </c>
      <c r="R6673">
        <v>4.8175872905344201</v>
      </c>
      <c r="S6673">
        <v>102</v>
      </c>
      <c r="T6673">
        <v>64</v>
      </c>
      <c r="U6673">
        <v>677.39317768475405</v>
      </c>
      <c r="V6673">
        <v>4.6838407494145199E-4</v>
      </c>
      <c r="W6673">
        <v>3317003.3574538198</v>
      </c>
      <c r="X6673" t="s">
        <v>38</v>
      </c>
      <c r="Y6673">
        <f>1-471-881-7213</f>
        <v>-8564</v>
      </c>
    </row>
    <row r="6674" spans="1:25" x14ac:dyDescent="0.35">
      <c r="A6674">
        <v>37.829598889609997</v>
      </c>
      <c r="B6674">
        <v>-119.634179892228</v>
      </c>
      <c r="C6674" t="s">
        <v>34</v>
      </c>
      <c r="D6674">
        <v>11.0315205846689</v>
      </c>
      <c r="E6674">
        <v>3</v>
      </c>
      <c r="F6674">
        <v>4532</v>
      </c>
      <c r="G6674">
        <v>5</v>
      </c>
      <c r="H6674">
        <v>1</v>
      </c>
      <c r="I6674">
        <v>1987</v>
      </c>
      <c r="J6674">
        <v>1</v>
      </c>
      <c r="K6674">
        <v>0</v>
      </c>
      <c r="L6674">
        <v>1</v>
      </c>
      <c r="M6674">
        <v>9</v>
      </c>
      <c r="N6674" t="s">
        <v>26</v>
      </c>
      <c r="O6674" t="s">
        <v>27</v>
      </c>
      <c r="P6674">
        <v>9.8644987830751507</v>
      </c>
      <c r="Q6674">
        <v>2.2146584594785699</v>
      </c>
      <c r="R6674">
        <v>6.1988010777518197</v>
      </c>
      <c r="S6674">
        <v>156</v>
      </c>
      <c r="T6674">
        <v>71</v>
      </c>
      <c r="U6674">
        <v>748.957303745167</v>
      </c>
      <c r="V6674">
        <v>1.9858781994704301E-3</v>
      </c>
      <c r="W6674">
        <v>3792266.3883046098</v>
      </c>
      <c r="X6674" t="s">
        <v>40</v>
      </c>
      <c r="Y6674">
        <f>1-282-728-2943</f>
        <v>-3952</v>
      </c>
    </row>
    <row r="6675" spans="1:25" x14ac:dyDescent="0.35">
      <c r="A6675">
        <v>38.0996725990464</v>
      </c>
      <c r="B6675">
        <v>-117.490370892223</v>
      </c>
      <c r="C6675" t="s">
        <v>25</v>
      </c>
      <c r="D6675">
        <v>3.73661207003983</v>
      </c>
      <c r="E6675">
        <v>4</v>
      </c>
      <c r="F6675">
        <v>4460</v>
      </c>
      <c r="G6675">
        <v>5</v>
      </c>
      <c r="H6675">
        <v>3</v>
      </c>
      <c r="I6675">
        <v>2012</v>
      </c>
      <c r="J6675">
        <v>0</v>
      </c>
      <c r="K6675">
        <v>0</v>
      </c>
      <c r="L6675">
        <v>1</v>
      </c>
      <c r="M6675">
        <v>2</v>
      </c>
      <c r="N6675" t="s">
        <v>26</v>
      </c>
      <c r="O6675" t="s">
        <v>30</v>
      </c>
      <c r="P6675">
        <v>13.579405203884001</v>
      </c>
      <c r="Q6675">
        <v>1.26082562710334</v>
      </c>
      <c r="R6675">
        <v>6.2806490965693396</v>
      </c>
      <c r="S6675">
        <v>121</v>
      </c>
      <c r="T6675">
        <v>73</v>
      </c>
      <c r="U6675">
        <v>450.37446398081403</v>
      </c>
      <c r="V6675">
        <v>4.4843049327354201E-4</v>
      </c>
      <c r="W6675">
        <v>2428054.01655511</v>
      </c>
      <c r="X6675" t="s">
        <v>33</v>
      </c>
      <c r="Y6675">
        <f>1-657-991-8008</f>
        <v>-9655</v>
      </c>
    </row>
    <row r="6676" spans="1:25" x14ac:dyDescent="0.35">
      <c r="A6676">
        <v>33.822463441561297</v>
      </c>
      <c r="B6676">
        <v>-123.098982908612</v>
      </c>
      <c r="C6676" t="s">
        <v>29</v>
      </c>
      <c r="D6676">
        <v>14.7593342488623</v>
      </c>
      <c r="E6676">
        <v>0</v>
      </c>
      <c r="F6676">
        <v>1482</v>
      </c>
      <c r="G6676">
        <v>3</v>
      </c>
      <c r="H6676">
        <v>2</v>
      </c>
      <c r="I6676">
        <v>1954</v>
      </c>
      <c r="J6676">
        <v>0</v>
      </c>
      <c r="K6676">
        <v>0</v>
      </c>
      <c r="L6676">
        <v>1</v>
      </c>
      <c r="M6676">
        <v>4</v>
      </c>
      <c r="N6676" t="s">
        <v>37</v>
      </c>
      <c r="O6676" t="s">
        <v>27</v>
      </c>
      <c r="P6676">
        <v>3.6919997728590901</v>
      </c>
      <c r="Q6676">
        <v>0.99623781612904205</v>
      </c>
      <c r="R6676">
        <v>8.3991239350415494</v>
      </c>
      <c r="S6676">
        <v>14</v>
      </c>
      <c r="T6676">
        <v>71</v>
      </c>
      <c r="U6676">
        <v>731.07842407308499</v>
      </c>
      <c r="V6676">
        <v>2.6990553306342701E-3</v>
      </c>
      <c r="W6676">
        <v>1236403.3895551199</v>
      </c>
      <c r="X6676" t="s">
        <v>33</v>
      </c>
      <c r="Y6676">
        <f>1-424-281-6271</f>
        <v>-6975</v>
      </c>
    </row>
    <row r="6677" spans="1:25" x14ac:dyDescent="0.35">
      <c r="A6677">
        <v>38.998629706749298</v>
      </c>
      <c r="B6677">
        <v>-121.964301817125</v>
      </c>
      <c r="C6677" t="s">
        <v>25</v>
      </c>
      <c r="D6677">
        <v>30.157603062549001</v>
      </c>
      <c r="E6677">
        <v>4</v>
      </c>
      <c r="F6677">
        <v>1806</v>
      </c>
      <c r="G6677">
        <v>2</v>
      </c>
      <c r="H6677">
        <v>1</v>
      </c>
      <c r="I6677">
        <v>2018</v>
      </c>
      <c r="J6677">
        <v>0</v>
      </c>
      <c r="K6677">
        <v>1</v>
      </c>
      <c r="L6677">
        <v>1</v>
      </c>
      <c r="M6677">
        <v>8</v>
      </c>
      <c r="N6677" t="s">
        <v>37</v>
      </c>
      <c r="O6677" t="s">
        <v>32</v>
      </c>
      <c r="P6677">
        <v>4.1006831863981601</v>
      </c>
      <c r="Q6677">
        <v>1.7778018410029801</v>
      </c>
      <c r="R6677">
        <v>9.5412143980650903</v>
      </c>
      <c r="S6677">
        <v>197</v>
      </c>
      <c r="T6677">
        <v>39</v>
      </c>
      <c r="U6677">
        <v>620.33079934643797</v>
      </c>
      <c r="V6677">
        <v>4.4296788482834897E-3</v>
      </c>
      <c r="W6677">
        <v>1332467.7964872301</v>
      </c>
      <c r="X6677" t="s">
        <v>40</v>
      </c>
      <c r="Y6677">
        <f>1-778-220-6739</f>
        <v>-7736</v>
      </c>
    </row>
    <row r="6678" spans="1:25" x14ac:dyDescent="0.35">
      <c r="A6678">
        <v>33.825056894822097</v>
      </c>
      <c r="B6678">
        <v>-116.58408873012399</v>
      </c>
      <c r="C6678" t="s">
        <v>34</v>
      </c>
      <c r="D6678">
        <v>49.307697420777401</v>
      </c>
      <c r="E6678">
        <v>5</v>
      </c>
      <c r="F6678">
        <v>3744</v>
      </c>
      <c r="G6678">
        <v>1</v>
      </c>
      <c r="H6678">
        <v>1</v>
      </c>
      <c r="I6678">
        <v>1993</v>
      </c>
      <c r="J6678">
        <v>0</v>
      </c>
      <c r="K6678">
        <v>0</v>
      </c>
      <c r="L6678">
        <v>0</v>
      </c>
      <c r="M6678">
        <v>9</v>
      </c>
      <c r="N6678" t="s">
        <v>41</v>
      </c>
      <c r="O6678" t="s">
        <v>30</v>
      </c>
      <c r="P6678">
        <v>8.6396806946915401</v>
      </c>
      <c r="Q6678">
        <v>1.73093880321551</v>
      </c>
      <c r="R6678">
        <v>7.5532873936316998</v>
      </c>
      <c r="S6678">
        <v>93</v>
      </c>
      <c r="T6678">
        <v>20</v>
      </c>
      <c r="U6678">
        <v>844.76359608866096</v>
      </c>
      <c r="V6678">
        <v>2.4038461538461501E-3</v>
      </c>
      <c r="W6678">
        <v>3361435.0795041299</v>
      </c>
      <c r="X6678" t="s">
        <v>33</v>
      </c>
      <c r="Y6678">
        <f>1-733-798-4120</f>
        <v>-5650</v>
      </c>
    </row>
    <row r="6679" spans="1:25" x14ac:dyDescent="0.35">
      <c r="A6679">
        <v>35.721272217605097</v>
      </c>
      <c r="B6679">
        <v>-120.316179800575</v>
      </c>
      <c r="C6679" t="s">
        <v>25</v>
      </c>
      <c r="D6679">
        <v>23.188720501694501</v>
      </c>
      <c r="E6679">
        <v>3</v>
      </c>
      <c r="F6679">
        <v>3168</v>
      </c>
      <c r="G6679">
        <v>2</v>
      </c>
      <c r="H6679">
        <v>1</v>
      </c>
      <c r="I6679">
        <v>1977</v>
      </c>
      <c r="J6679">
        <v>1</v>
      </c>
      <c r="K6679">
        <v>0</v>
      </c>
      <c r="L6679">
        <v>1</v>
      </c>
      <c r="M6679">
        <v>9</v>
      </c>
      <c r="N6679" t="s">
        <v>37</v>
      </c>
      <c r="O6679" t="s">
        <v>32</v>
      </c>
      <c r="P6679">
        <v>6.0895198938217803</v>
      </c>
      <c r="Q6679">
        <v>1.6800746997342499</v>
      </c>
      <c r="R6679">
        <v>4.1763430407805098</v>
      </c>
      <c r="S6679">
        <v>137</v>
      </c>
      <c r="T6679">
        <v>53</v>
      </c>
      <c r="U6679">
        <v>440.77295417832801</v>
      </c>
      <c r="V6679">
        <v>2.8409090909090901E-3</v>
      </c>
      <c r="W6679">
        <v>1403345.91812655</v>
      </c>
      <c r="X6679" t="s">
        <v>33</v>
      </c>
      <c r="Y6679">
        <f>1-256-279-5098</f>
        <v>-5632</v>
      </c>
    </row>
    <row r="6680" spans="1:25" x14ac:dyDescent="0.35">
      <c r="A6680">
        <v>39.336145242201397</v>
      </c>
      <c r="B6680">
        <v>-121.416266358955</v>
      </c>
      <c r="C6680" t="s">
        <v>25</v>
      </c>
      <c r="D6680">
        <v>15.759586450986401</v>
      </c>
      <c r="E6680">
        <v>0</v>
      </c>
      <c r="F6680">
        <v>3543</v>
      </c>
      <c r="G6680">
        <v>3</v>
      </c>
      <c r="H6680">
        <v>3</v>
      </c>
      <c r="I6680">
        <v>2012</v>
      </c>
      <c r="J6680">
        <v>0</v>
      </c>
      <c r="K6680">
        <v>1</v>
      </c>
      <c r="L6680">
        <v>1</v>
      </c>
      <c r="M6680">
        <v>2</v>
      </c>
      <c r="N6680" t="s">
        <v>41</v>
      </c>
      <c r="O6680" t="s">
        <v>30</v>
      </c>
      <c r="P6680">
        <v>3.4569947598920301</v>
      </c>
      <c r="Q6680">
        <v>0.74190694474724095</v>
      </c>
      <c r="R6680">
        <v>8.8877349515505593</v>
      </c>
      <c r="S6680">
        <v>71</v>
      </c>
      <c r="T6680">
        <v>53</v>
      </c>
      <c r="U6680">
        <v>853.58879057911099</v>
      </c>
      <c r="V6680">
        <v>5.6449336720293495E-4</v>
      </c>
      <c r="W6680">
        <v>3348811.19807741</v>
      </c>
      <c r="X6680" t="s">
        <v>36</v>
      </c>
      <c r="Y6680">
        <f>1-297-719-1531</f>
        <v>-2546</v>
      </c>
    </row>
    <row r="6681" spans="1:25" x14ac:dyDescent="0.35">
      <c r="A6681">
        <v>38.352040207102199</v>
      </c>
      <c r="B6681">
        <v>-115.63802231551099</v>
      </c>
      <c r="C6681" t="s">
        <v>25</v>
      </c>
      <c r="D6681">
        <v>1.19232995653894</v>
      </c>
      <c r="E6681">
        <v>8</v>
      </c>
      <c r="F6681">
        <v>2319</v>
      </c>
      <c r="G6681">
        <v>3</v>
      </c>
      <c r="H6681">
        <v>3</v>
      </c>
      <c r="I6681">
        <v>2017</v>
      </c>
      <c r="J6681">
        <v>0</v>
      </c>
      <c r="K6681">
        <v>1</v>
      </c>
      <c r="L6681">
        <v>0</v>
      </c>
      <c r="M6681">
        <v>14</v>
      </c>
      <c r="N6681" t="s">
        <v>37</v>
      </c>
      <c r="O6681" t="s">
        <v>27</v>
      </c>
      <c r="P6681">
        <v>9.6751510892978594</v>
      </c>
      <c r="Q6681">
        <v>0.61629087913772496</v>
      </c>
      <c r="R6681">
        <v>9.5760309019610705</v>
      </c>
      <c r="S6681">
        <v>55</v>
      </c>
      <c r="T6681">
        <v>75</v>
      </c>
      <c r="U6681">
        <v>628.71388343053798</v>
      </c>
      <c r="V6681">
        <v>6.0370849504096597E-3</v>
      </c>
      <c r="W6681">
        <v>1869212.93573015</v>
      </c>
      <c r="X6681" t="s">
        <v>31</v>
      </c>
      <c r="Y6681">
        <f>1-859-257-3592</f>
        <v>-4707</v>
      </c>
    </row>
    <row r="6682" spans="1:25" x14ac:dyDescent="0.35">
      <c r="A6682">
        <v>34.348863184568899</v>
      </c>
      <c r="B6682">
        <v>-115.086651105597</v>
      </c>
      <c r="C6682" t="s">
        <v>29</v>
      </c>
      <c r="D6682">
        <v>21.417121657042902</v>
      </c>
      <c r="E6682">
        <v>5</v>
      </c>
      <c r="F6682">
        <v>1599</v>
      </c>
      <c r="G6682">
        <v>4</v>
      </c>
      <c r="H6682">
        <v>3</v>
      </c>
      <c r="I6682">
        <v>1990</v>
      </c>
      <c r="J6682">
        <v>0</v>
      </c>
      <c r="K6682">
        <v>0</v>
      </c>
      <c r="L6682">
        <v>0</v>
      </c>
      <c r="M6682">
        <v>11</v>
      </c>
      <c r="N6682" t="s">
        <v>37</v>
      </c>
      <c r="O6682" t="s">
        <v>32</v>
      </c>
      <c r="P6682">
        <v>13.2396005649776</v>
      </c>
      <c r="Q6682">
        <v>1.8629594587824601</v>
      </c>
      <c r="R6682">
        <v>2.5177411753467598</v>
      </c>
      <c r="S6682">
        <v>36</v>
      </c>
      <c r="T6682">
        <v>48</v>
      </c>
      <c r="U6682">
        <v>547.89901780401101</v>
      </c>
      <c r="V6682">
        <v>6.8792995622263898E-3</v>
      </c>
      <c r="W6682">
        <v>1238324.0003804599</v>
      </c>
      <c r="X6682" t="s">
        <v>44</v>
      </c>
      <c r="Y6682">
        <f>1-753-848-7673</f>
        <v>-9273</v>
      </c>
    </row>
    <row r="6683" spans="1:25" x14ac:dyDescent="0.35">
      <c r="A6683">
        <v>39.864891020963803</v>
      </c>
      <c r="B6683">
        <v>-122.39339255741901</v>
      </c>
      <c r="C6683" t="s">
        <v>29</v>
      </c>
      <c r="D6683">
        <v>1.40764508062055</v>
      </c>
      <c r="E6683">
        <v>6</v>
      </c>
      <c r="F6683">
        <v>3946</v>
      </c>
      <c r="G6683">
        <v>5</v>
      </c>
      <c r="H6683">
        <v>3</v>
      </c>
      <c r="I6683">
        <v>1979</v>
      </c>
      <c r="J6683">
        <v>0</v>
      </c>
      <c r="K6683">
        <v>0</v>
      </c>
      <c r="L6683">
        <v>0</v>
      </c>
      <c r="M6683">
        <v>3</v>
      </c>
      <c r="N6683" t="s">
        <v>41</v>
      </c>
      <c r="O6683" t="s">
        <v>32</v>
      </c>
      <c r="P6683">
        <v>9.0175236956999196</v>
      </c>
      <c r="Q6683">
        <v>0.53075487490671203</v>
      </c>
      <c r="R6683">
        <v>8.3692081100496001</v>
      </c>
      <c r="S6683">
        <v>54</v>
      </c>
      <c r="T6683">
        <v>55</v>
      </c>
      <c r="U6683">
        <v>719.14602836292602</v>
      </c>
      <c r="V6683">
        <v>7.60263558033451E-4</v>
      </c>
      <c r="W6683">
        <v>3161221.7010716102</v>
      </c>
      <c r="X6683" t="s">
        <v>40</v>
      </c>
      <c r="Y6683">
        <f>1-326-210-9719</f>
        <v>-10254</v>
      </c>
    </row>
    <row r="6684" spans="1:25" x14ac:dyDescent="0.35">
      <c r="A6684">
        <v>37.530559352470398</v>
      </c>
      <c r="B6684">
        <v>-123.382442353483</v>
      </c>
      <c r="C6684" t="s">
        <v>25</v>
      </c>
      <c r="D6684">
        <v>15.8040260776175</v>
      </c>
      <c r="E6684">
        <v>9</v>
      </c>
      <c r="F6684">
        <v>3869</v>
      </c>
      <c r="G6684">
        <v>1</v>
      </c>
      <c r="H6684">
        <v>1</v>
      </c>
      <c r="I6684">
        <v>1958</v>
      </c>
      <c r="J6684">
        <v>0</v>
      </c>
      <c r="K6684">
        <v>0</v>
      </c>
      <c r="L6684">
        <v>0</v>
      </c>
      <c r="M6684">
        <v>9</v>
      </c>
      <c r="N6684" t="s">
        <v>35</v>
      </c>
      <c r="O6684" t="s">
        <v>32</v>
      </c>
      <c r="P6684">
        <v>12.3864868760025</v>
      </c>
      <c r="Q6684">
        <v>2.0342346345136399</v>
      </c>
      <c r="R6684">
        <v>3.1624145294698698</v>
      </c>
      <c r="S6684">
        <v>131</v>
      </c>
      <c r="T6684">
        <v>69</v>
      </c>
      <c r="U6684">
        <v>686.06842450721797</v>
      </c>
      <c r="V6684">
        <v>2.32618247609201E-3</v>
      </c>
      <c r="W6684">
        <v>2730937.99747231</v>
      </c>
      <c r="X6684" t="s">
        <v>38</v>
      </c>
      <c r="Y6684">
        <f>1-334-755-1496</f>
        <v>-2584</v>
      </c>
    </row>
    <row r="6685" spans="1:25" x14ac:dyDescent="0.35">
      <c r="A6685">
        <v>33.154951237501699</v>
      </c>
      <c r="B6685">
        <v>-124.19702592838701</v>
      </c>
      <c r="C6685" t="s">
        <v>25</v>
      </c>
      <c r="D6685">
        <v>41.981542691191301</v>
      </c>
      <c r="E6685">
        <v>3</v>
      </c>
      <c r="F6685">
        <v>2663</v>
      </c>
      <c r="G6685">
        <v>1</v>
      </c>
      <c r="H6685">
        <v>3</v>
      </c>
      <c r="I6685">
        <v>2003</v>
      </c>
      <c r="J6685">
        <v>0</v>
      </c>
      <c r="K6685">
        <v>1</v>
      </c>
      <c r="L6685">
        <v>0</v>
      </c>
      <c r="M6685">
        <v>12</v>
      </c>
      <c r="N6685" t="s">
        <v>41</v>
      </c>
      <c r="O6685" t="s">
        <v>30</v>
      </c>
      <c r="P6685">
        <v>12.976979015258401</v>
      </c>
      <c r="Q6685">
        <v>1.0180549930018199</v>
      </c>
      <c r="R6685">
        <v>4.3746034384586698</v>
      </c>
      <c r="S6685">
        <v>103</v>
      </c>
      <c r="T6685">
        <v>48</v>
      </c>
      <c r="U6685">
        <v>261.56560415969898</v>
      </c>
      <c r="V6685">
        <v>4.5061960195268399E-3</v>
      </c>
      <c r="W6685">
        <v>914002.65250908001</v>
      </c>
      <c r="X6685" t="s">
        <v>28</v>
      </c>
      <c r="Y6685">
        <f>1-737-578-3808</f>
        <v>-5122</v>
      </c>
    </row>
    <row r="6686" spans="1:25" x14ac:dyDescent="0.35">
      <c r="A6686">
        <v>36.859441456354297</v>
      </c>
      <c r="B6686">
        <v>-118.59301500461</v>
      </c>
      <c r="C6686" t="s">
        <v>25</v>
      </c>
      <c r="D6686">
        <v>43.573054189898798</v>
      </c>
      <c r="E6686">
        <v>8</v>
      </c>
      <c r="F6686">
        <v>3292</v>
      </c>
      <c r="G6686">
        <v>2</v>
      </c>
      <c r="H6686">
        <v>2</v>
      </c>
      <c r="I6686">
        <v>2022</v>
      </c>
      <c r="J6686">
        <v>0</v>
      </c>
      <c r="K6686">
        <v>0</v>
      </c>
      <c r="L6686">
        <v>0</v>
      </c>
      <c r="M6686">
        <v>8</v>
      </c>
      <c r="N6686" t="s">
        <v>41</v>
      </c>
      <c r="O6686" t="s">
        <v>30</v>
      </c>
      <c r="P6686">
        <v>6.5852402987537797</v>
      </c>
      <c r="Q6686">
        <v>2.3939493141173598</v>
      </c>
      <c r="R6686">
        <v>1.56852057133046</v>
      </c>
      <c r="S6686">
        <v>129</v>
      </c>
      <c r="T6686">
        <v>34</v>
      </c>
      <c r="U6686">
        <v>882.27905321468097</v>
      </c>
      <c r="V6686">
        <v>2.4301336573511502E-3</v>
      </c>
      <c r="W6686">
        <v>3024076.4305248102</v>
      </c>
      <c r="X6686" t="s">
        <v>42</v>
      </c>
      <c r="Y6686">
        <f>1-394-217-5230</f>
        <v>-5840</v>
      </c>
    </row>
    <row r="6687" spans="1:25" x14ac:dyDescent="0.35">
      <c r="A6687">
        <v>37.573801356571401</v>
      </c>
      <c r="B6687">
        <v>-122.181624360939</v>
      </c>
      <c r="C6687" t="s">
        <v>25</v>
      </c>
      <c r="D6687">
        <v>41.7505262106095</v>
      </c>
      <c r="E6687">
        <v>3</v>
      </c>
      <c r="F6687">
        <v>1181</v>
      </c>
      <c r="G6687">
        <v>5</v>
      </c>
      <c r="H6687">
        <v>2</v>
      </c>
      <c r="I6687">
        <v>1989</v>
      </c>
      <c r="J6687">
        <v>0</v>
      </c>
      <c r="K6687">
        <v>1</v>
      </c>
      <c r="L6687">
        <v>1</v>
      </c>
      <c r="M6687">
        <v>7</v>
      </c>
      <c r="N6687" t="s">
        <v>26</v>
      </c>
      <c r="O6687" t="s">
        <v>30</v>
      </c>
      <c r="P6687">
        <v>6.5049944441446499</v>
      </c>
      <c r="Q6687">
        <v>0.57753955296389203</v>
      </c>
      <c r="R6687">
        <v>1.57301337539668</v>
      </c>
      <c r="S6687">
        <v>144</v>
      </c>
      <c r="T6687">
        <v>21</v>
      </c>
      <c r="U6687">
        <v>340.967169478698</v>
      </c>
      <c r="V6687">
        <v>5.9271803556308197E-3</v>
      </c>
      <c r="W6687">
        <v>846352.54350604198</v>
      </c>
      <c r="X6687" t="s">
        <v>39</v>
      </c>
      <c r="Y6687">
        <f>1-252-222-7953</f>
        <v>-8426</v>
      </c>
    </row>
    <row r="6688" spans="1:25" x14ac:dyDescent="0.35">
      <c r="A6688">
        <v>37.129071817634099</v>
      </c>
      <c r="B6688">
        <v>-120.1259262258</v>
      </c>
      <c r="C6688" t="s">
        <v>34</v>
      </c>
      <c r="D6688">
        <v>17.1080848689245</v>
      </c>
      <c r="E6688">
        <v>3</v>
      </c>
      <c r="F6688">
        <v>3838</v>
      </c>
      <c r="G6688">
        <v>4</v>
      </c>
      <c r="H6688">
        <v>3</v>
      </c>
      <c r="I6688">
        <v>2011</v>
      </c>
      <c r="J6688">
        <v>1</v>
      </c>
      <c r="K6688">
        <v>0</v>
      </c>
      <c r="L6688">
        <v>1</v>
      </c>
      <c r="M6688">
        <v>7</v>
      </c>
      <c r="N6688" t="s">
        <v>26</v>
      </c>
      <c r="O6688" t="s">
        <v>27</v>
      </c>
      <c r="P6688">
        <v>2.01144853621433</v>
      </c>
      <c r="Q6688">
        <v>1.0558318443580601</v>
      </c>
      <c r="R6688">
        <v>1.5182499090863399</v>
      </c>
      <c r="S6688">
        <v>52</v>
      </c>
      <c r="T6688">
        <v>64</v>
      </c>
      <c r="U6688">
        <v>789.03176672523898</v>
      </c>
      <c r="V6688">
        <v>1.82386659718603E-3</v>
      </c>
      <c r="W6688">
        <v>3431974.8195179999</v>
      </c>
      <c r="X6688" t="s">
        <v>43</v>
      </c>
      <c r="Y6688">
        <f>1-578-747-3211</f>
        <v>-4535</v>
      </c>
    </row>
    <row r="6689" spans="1:25" x14ac:dyDescent="0.35">
      <c r="A6689">
        <v>33.3392035081202</v>
      </c>
      <c r="B6689">
        <v>-116.944231528817</v>
      </c>
      <c r="C6689" t="s">
        <v>34</v>
      </c>
      <c r="D6689">
        <v>13.5180911747916</v>
      </c>
      <c r="E6689">
        <v>1</v>
      </c>
      <c r="F6689">
        <v>2857</v>
      </c>
      <c r="G6689">
        <v>3</v>
      </c>
      <c r="H6689">
        <v>2</v>
      </c>
      <c r="I6689">
        <v>2019</v>
      </c>
      <c r="J6689">
        <v>0</v>
      </c>
      <c r="K6689">
        <v>1</v>
      </c>
      <c r="L6689">
        <v>0</v>
      </c>
      <c r="M6689">
        <v>4</v>
      </c>
      <c r="N6689" t="s">
        <v>26</v>
      </c>
      <c r="O6689" t="s">
        <v>27</v>
      </c>
      <c r="P6689">
        <v>6.4750585837348504</v>
      </c>
      <c r="Q6689">
        <v>1.54963051640133</v>
      </c>
      <c r="R6689">
        <v>0.64847182302267303</v>
      </c>
      <c r="S6689">
        <v>37</v>
      </c>
      <c r="T6689">
        <v>33</v>
      </c>
      <c r="U6689">
        <v>765.72927343952301</v>
      </c>
      <c r="V6689">
        <v>1.40007000350017E-3</v>
      </c>
      <c r="W6689">
        <v>2568403.4848762299</v>
      </c>
      <c r="X6689" t="s">
        <v>42</v>
      </c>
      <c r="Y6689">
        <f>1-486-791-7356</f>
        <v>-8632</v>
      </c>
    </row>
    <row r="6690" spans="1:25" x14ac:dyDescent="0.35">
      <c r="A6690">
        <v>36.029399911057602</v>
      </c>
      <c r="B6690">
        <v>-121.216066655714</v>
      </c>
      <c r="C6690" t="s">
        <v>25</v>
      </c>
      <c r="D6690">
        <v>47.577477623519897</v>
      </c>
      <c r="E6690">
        <v>5</v>
      </c>
      <c r="F6690">
        <v>2589</v>
      </c>
      <c r="G6690">
        <v>1</v>
      </c>
      <c r="H6690">
        <v>2</v>
      </c>
      <c r="I6690">
        <v>2004</v>
      </c>
      <c r="J6690">
        <v>0</v>
      </c>
      <c r="K6690">
        <v>0</v>
      </c>
      <c r="L6690">
        <v>1</v>
      </c>
      <c r="M6690">
        <v>7</v>
      </c>
      <c r="N6690" t="s">
        <v>41</v>
      </c>
      <c r="O6690" t="s">
        <v>32</v>
      </c>
      <c r="P6690">
        <v>13.3998765761568</v>
      </c>
      <c r="Q6690">
        <v>1.38518939240618</v>
      </c>
      <c r="R6690">
        <v>2.9204965414093298</v>
      </c>
      <c r="S6690">
        <v>27</v>
      </c>
      <c r="T6690">
        <v>33</v>
      </c>
      <c r="U6690">
        <v>229.18812552335601</v>
      </c>
      <c r="V6690">
        <v>2.7037466203167198E-3</v>
      </c>
      <c r="W6690">
        <v>761356.35289484297</v>
      </c>
      <c r="X6690" t="s">
        <v>40</v>
      </c>
      <c r="Y6690">
        <f>1-983-473-7181</f>
        <v>-8636</v>
      </c>
    </row>
    <row r="6691" spans="1:25" x14ac:dyDescent="0.35">
      <c r="A6691">
        <v>34.956885482717901</v>
      </c>
      <c r="B6691">
        <v>-115.546547561884</v>
      </c>
      <c r="C6691" t="s">
        <v>25</v>
      </c>
      <c r="D6691">
        <v>19.3557625042354</v>
      </c>
      <c r="E6691">
        <v>5</v>
      </c>
      <c r="F6691">
        <v>2154</v>
      </c>
      <c r="G6691">
        <v>2</v>
      </c>
      <c r="H6691">
        <v>2</v>
      </c>
      <c r="I6691">
        <v>1977</v>
      </c>
      <c r="J6691">
        <v>1</v>
      </c>
      <c r="K6691">
        <v>0</v>
      </c>
      <c r="L6691">
        <v>1</v>
      </c>
      <c r="M6691">
        <v>2</v>
      </c>
      <c r="N6691" t="s">
        <v>35</v>
      </c>
      <c r="O6691" t="s">
        <v>30</v>
      </c>
      <c r="P6691">
        <v>7.2969095460670497</v>
      </c>
      <c r="Q6691">
        <v>0.67465321924800603</v>
      </c>
      <c r="R6691">
        <v>1.8151655028631499</v>
      </c>
      <c r="S6691">
        <v>77</v>
      </c>
      <c r="T6691">
        <v>43</v>
      </c>
      <c r="U6691">
        <v>604.00096458475798</v>
      </c>
      <c r="V6691">
        <v>9.2850510677808696E-4</v>
      </c>
      <c r="W6691">
        <v>1533493.5925948899</v>
      </c>
      <c r="X6691" t="s">
        <v>28</v>
      </c>
      <c r="Y6691">
        <f>1-537-807-9135</f>
        <v>-10478</v>
      </c>
    </row>
    <row r="6692" spans="1:25" x14ac:dyDescent="0.35">
      <c r="A6692">
        <v>41.401077378457998</v>
      </c>
      <c r="B6692">
        <v>-122.454687939707</v>
      </c>
      <c r="C6692" t="s">
        <v>25</v>
      </c>
      <c r="D6692">
        <v>4.4311999134656102</v>
      </c>
      <c r="E6692">
        <v>6</v>
      </c>
      <c r="F6692">
        <v>3274</v>
      </c>
      <c r="G6692">
        <v>5</v>
      </c>
      <c r="H6692">
        <v>2</v>
      </c>
      <c r="I6692">
        <v>1981</v>
      </c>
      <c r="J6692">
        <v>1</v>
      </c>
      <c r="K6692">
        <v>1</v>
      </c>
      <c r="L6692">
        <v>0</v>
      </c>
      <c r="M6692">
        <v>9</v>
      </c>
      <c r="N6692" t="s">
        <v>35</v>
      </c>
      <c r="O6692" t="s">
        <v>32</v>
      </c>
      <c r="P6692">
        <v>6.4711242271380502</v>
      </c>
      <c r="Q6692">
        <v>0.60567399162159596</v>
      </c>
      <c r="R6692">
        <v>8.9289593688687408</v>
      </c>
      <c r="S6692">
        <v>40</v>
      </c>
      <c r="T6692">
        <v>53</v>
      </c>
      <c r="U6692">
        <v>542.38403584578998</v>
      </c>
      <c r="V6692">
        <v>2.74893097128894E-3</v>
      </c>
      <c r="W6692">
        <v>2179847.1621002299</v>
      </c>
      <c r="X6692" t="s">
        <v>33</v>
      </c>
      <c r="Y6692">
        <f>1-741-188-1099</f>
        <v>-2027</v>
      </c>
    </row>
    <row r="6693" spans="1:25" x14ac:dyDescent="0.35">
      <c r="A6693">
        <v>35.393059375197502</v>
      </c>
      <c r="B6693">
        <v>-119.35328940512601</v>
      </c>
      <c r="C6693" t="s">
        <v>25</v>
      </c>
      <c r="D6693">
        <v>2.23516306597829</v>
      </c>
      <c r="E6693">
        <v>6</v>
      </c>
      <c r="F6693">
        <v>1727</v>
      </c>
      <c r="G6693">
        <v>5</v>
      </c>
      <c r="H6693">
        <v>3</v>
      </c>
      <c r="I6693">
        <v>1999</v>
      </c>
      <c r="J6693">
        <v>1</v>
      </c>
      <c r="K6693">
        <v>0</v>
      </c>
      <c r="L6693">
        <v>0</v>
      </c>
      <c r="M6693">
        <v>5</v>
      </c>
      <c r="N6693" t="s">
        <v>35</v>
      </c>
      <c r="O6693" t="s">
        <v>27</v>
      </c>
      <c r="P6693">
        <v>13.551712736780299</v>
      </c>
      <c r="Q6693">
        <v>1.37285912844248</v>
      </c>
      <c r="R6693">
        <v>8.9875756177998802</v>
      </c>
      <c r="S6693">
        <v>137</v>
      </c>
      <c r="T6693">
        <v>69</v>
      </c>
      <c r="U6693">
        <v>220.023279108987</v>
      </c>
      <c r="V6693">
        <v>2.89519397799652E-3</v>
      </c>
      <c r="W6693">
        <v>811354.08613363304</v>
      </c>
      <c r="X6693" t="s">
        <v>36</v>
      </c>
      <c r="Y6693">
        <f>1-722-682-2590</f>
        <v>-3993</v>
      </c>
    </row>
    <row r="6694" spans="1:25" x14ac:dyDescent="0.35">
      <c r="A6694">
        <v>36.560507891402999</v>
      </c>
      <c r="B6694">
        <v>-115.47041486742</v>
      </c>
      <c r="C6694" t="s">
        <v>25</v>
      </c>
      <c r="D6694">
        <v>47.9855923598533</v>
      </c>
      <c r="E6694">
        <v>5</v>
      </c>
      <c r="F6694">
        <v>4634</v>
      </c>
      <c r="G6694">
        <v>4</v>
      </c>
      <c r="H6694">
        <v>3</v>
      </c>
      <c r="I6694">
        <v>1997</v>
      </c>
      <c r="J6694">
        <v>1</v>
      </c>
      <c r="K6694">
        <v>0</v>
      </c>
      <c r="L6694">
        <v>1</v>
      </c>
      <c r="M6694">
        <v>5</v>
      </c>
      <c r="N6694" t="s">
        <v>41</v>
      </c>
      <c r="O6694" t="s">
        <v>30</v>
      </c>
      <c r="P6694">
        <v>3.4111637157278101</v>
      </c>
      <c r="Q6694">
        <v>1.99223747842398</v>
      </c>
      <c r="R6694">
        <v>4.4079381339095098</v>
      </c>
      <c r="S6694">
        <v>108</v>
      </c>
      <c r="T6694">
        <v>20</v>
      </c>
      <c r="U6694">
        <v>797.70783935237603</v>
      </c>
      <c r="V6694">
        <v>1.0789814415192E-3</v>
      </c>
      <c r="W6694">
        <v>4019027.6897288598</v>
      </c>
      <c r="X6694" t="s">
        <v>28</v>
      </c>
      <c r="Y6694">
        <f>1-563-322-6562</f>
        <v>-7446</v>
      </c>
    </row>
    <row r="6695" spans="1:25" x14ac:dyDescent="0.35">
      <c r="A6695">
        <v>33.686418611632298</v>
      </c>
      <c r="B6695">
        <v>-121.403101417832</v>
      </c>
      <c r="C6695" t="s">
        <v>25</v>
      </c>
      <c r="D6695">
        <v>11.0913441616733</v>
      </c>
      <c r="E6695">
        <v>4</v>
      </c>
      <c r="F6695">
        <v>2481</v>
      </c>
      <c r="G6695">
        <v>5</v>
      </c>
      <c r="H6695">
        <v>3</v>
      </c>
      <c r="I6695">
        <v>1982</v>
      </c>
      <c r="J6695">
        <v>0</v>
      </c>
      <c r="K6695">
        <v>1</v>
      </c>
      <c r="L6695">
        <v>1</v>
      </c>
      <c r="M6695">
        <v>12</v>
      </c>
      <c r="N6695" t="s">
        <v>26</v>
      </c>
      <c r="O6695" t="s">
        <v>32</v>
      </c>
      <c r="P6695">
        <v>8.26075603877071</v>
      </c>
      <c r="Q6695">
        <v>1.0279456375112499</v>
      </c>
      <c r="R6695">
        <v>3.9292969593370399</v>
      </c>
      <c r="S6695">
        <v>186</v>
      </c>
      <c r="T6695">
        <v>77</v>
      </c>
      <c r="U6695">
        <v>949.94332633927502</v>
      </c>
      <c r="V6695">
        <v>4.8367593712212798E-3</v>
      </c>
      <c r="W6695">
        <v>2846218.8479287201</v>
      </c>
      <c r="X6695" t="s">
        <v>43</v>
      </c>
      <c r="Y6695">
        <f>1-567-506-7463</f>
        <v>-8535</v>
      </c>
    </row>
    <row r="6696" spans="1:25" x14ac:dyDescent="0.35">
      <c r="A6696">
        <v>41.562959880172897</v>
      </c>
      <c r="B6696">
        <v>-121.458005478804</v>
      </c>
      <c r="C6696" t="s">
        <v>29</v>
      </c>
      <c r="D6696">
        <v>20.957501701995401</v>
      </c>
      <c r="E6696">
        <v>5</v>
      </c>
      <c r="F6696">
        <v>4415</v>
      </c>
      <c r="G6696">
        <v>5</v>
      </c>
      <c r="H6696">
        <v>3</v>
      </c>
      <c r="I6696">
        <v>2002</v>
      </c>
      <c r="J6696">
        <v>0</v>
      </c>
      <c r="K6696">
        <v>0</v>
      </c>
      <c r="L6696">
        <v>0</v>
      </c>
      <c r="M6696">
        <v>8</v>
      </c>
      <c r="N6696" t="s">
        <v>26</v>
      </c>
      <c r="O6696" t="s">
        <v>30</v>
      </c>
      <c r="P6696">
        <v>14.145282792801799</v>
      </c>
      <c r="Q6696">
        <v>0.58817069746374195</v>
      </c>
      <c r="R6696">
        <v>5.3463562201595902</v>
      </c>
      <c r="S6696">
        <v>1</v>
      </c>
      <c r="T6696">
        <v>22</v>
      </c>
      <c r="U6696">
        <v>414.46589875660101</v>
      </c>
      <c r="V6696">
        <v>1.8120045300113201E-3</v>
      </c>
      <c r="W6696">
        <v>2261008.9667276298</v>
      </c>
      <c r="X6696" t="s">
        <v>44</v>
      </c>
      <c r="Y6696">
        <f>1-763-708-5767</f>
        <v>-7237</v>
      </c>
    </row>
    <row r="6697" spans="1:25" x14ac:dyDescent="0.35">
      <c r="A6697">
        <v>38.846084147750503</v>
      </c>
      <c r="B6697">
        <v>-116.653558758831</v>
      </c>
      <c r="C6697" t="s">
        <v>34</v>
      </c>
      <c r="D6697">
        <v>26.859837456594899</v>
      </c>
      <c r="E6697">
        <v>6</v>
      </c>
      <c r="F6697">
        <v>3105</v>
      </c>
      <c r="G6697">
        <v>1</v>
      </c>
      <c r="H6697">
        <v>2</v>
      </c>
      <c r="I6697">
        <v>2011</v>
      </c>
      <c r="J6697">
        <v>0</v>
      </c>
      <c r="K6697">
        <v>1</v>
      </c>
      <c r="L6697">
        <v>1</v>
      </c>
      <c r="M6697">
        <v>4</v>
      </c>
      <c r="N6697" t="s">
        <v>35</v>
      </c>
      <c r="O6697" t="s">
        <v>32</v>
      </c>
      <c r="P6697">
        <v>2.1986374835069298</v>
      </c>
      <c r="Q6697">
        <v>1.8086760548225</v>
      </c>
      <c r="R6697">
        <v>7.0892175949257599</v>
      </c>
      <c r="S6697">
        <v>130</v>
      </c>
      <c r="T6697">
        <v>38</v>
      </c>
      <c r="U6697">
        <v>648.92673093322401</v>
      </c>
      <c r="V6697">
        <v>1.28824476650563E-3</v>
      </c>
      <c r="W6697">
        <v>2157795.7376214601</v>
      </c>
      <c r="X6697" t="s">
        <v>42</v>
      </c>
      <c r="Y6697">
        <f>1-669-359-2877</f>
        <v>-3904</v>
      </c>
    </row>
    <row r="6698" spans="1:25" x14ac:dyDescent="0.35">
      <c r="A6698">
        <v>39.784799012941001</v>
      </c>
      <c r="B6698">
        <v>-114.04443841763199</v>
      </c>
      <c r="C6698" t="s">
        <v>29</v>
      </c>
      <c r="D6698">
        <v>27.144466992346199</v>
      </c>
      <c r="E6698">
        <v>5</v>
      </c>
      <c r="F6698">
        <v>2841</v>
      </c>
      <c r="G6698">
        <v>3</v>
      </c>
      <c r="H6698">
        <v>3</v>
      </c>
      <c r="I6698">
        <v>1994</v>
      </c>
      <c r="J6698">
        <v>1</v>
      </c>
      <c r="K6698">
        <v>1</v>
      </c>
      <c r="L6698">
        <v>0</v>
      </c>
      <c r="M6698">
        <v>7</v>
      </c>
      <c r="N6698" t="s">
        <v>37</v>
      </c>
      <c r="O6698" t="s">
        <v>27</v>
      </c>
      <c r="P6698">
        <v>7.3074023309893903</v>
      </c>
      <c r="Q6698">
        <v>2.1989524253957402</v>
      </c>
      <c r="R6698">
        <v>2.8162758729991002</v>
      </c>
      <c r="S6698">
        <v>138</v>
      </c>
      <c r="T6698">
        <v>60</v>
      </c>
      <c r="U6698">
        <v>661.43490103363604</v>
      </c>
      <c r="V6698">
        <v>2.4639211545230502E-3</v>
      </c>
      <c r="W6698">
        <v>2296704.2734508901</v>
      </c>
      <c r="X6698" t="s">
        <v>33</v>
      </c>
      <c r="Y6698">
        <f>1-873-814-1458</f>
        <v>-3144</v>
      </c>
    </row>
    <row r="6699" spans="1:25" x14ac:dyDescent="0.35">
      <c r="A6699">
        <v>40.168090707278701</v>
      </c>
      <c r="B6699">
        <v>-117.545885022947</v>
      </c>
      <c r="C6699" t="s">
        <v>29</v>
      </c>
      <c r="D6699">
        <v>13.3168849021905</v>
      </c>
      <c r="E6699">
        <v>4</v>
      </c>
      <c r="F6699">
        <v>2321</v>
      </c>
      <c r="G6699">
        <v>2</v>
      </c>
      <c r="H6699">
        <v>3</v>
      </c>
      <c r="I6699">
        <v>1989</v>
      </c>
      <c r="J6699">
        <v>1</v>
      </c>
      <c r="K6699">
        <v>0</v>
      </c>
      <c r="L6699">
        <v>1</v>
      </c>
      <c r="M6699">
        <v>3</v>
      </c>
      <c r="N6699" t="s">
        <v>41</v>
      </c>
      <c r="O6699" t="s">
        <v>32</v>
      </c>
      <c r="P6699">
        <v>2.4347750168965998</v>
      </c>
      <c r="Q6699">
        <v>1.8394833756996101</v>
      </c>
      <c r="R6699">
        <v>3.64769851350133</v>
      </c>
      <c r="S6699">
        <v>199</v>
      </c>
      <c r="T6699">
        <v>26</v>
      </c>
      <c r="U6699">
        <v>836.46006833776198</v>
      </c>
      <c r="V6699">
        <v>1.29254631624299E-3</v>
      </c>
      <c r="W6699">
        <v>2087759.0603026799</v>
      </c>
      <c r="X6699" t="s">
        <v>44</v>
      </c>
      <c r="Y6699">
        <f>1-736-489-4543</f>
        <v>-5767</v>
      </c>
    </row>
    <row r="6700" spans="1:25" x14ac:dyDescent="0.35">
      <c r="A6700">
        <v>39.763820556733897</v>
      </c>
      <c r="B6700">
        <v>-114.405175494085</v>
      </c>
      <c r="C6700" t="s">
        <v>34</v>
      </c>
      <c r="D6700">
        <v>16.625869196291799</v>
      </c>
      <c r="E6700">
        <v>0</v>
      </c>
      <c r="F6700">
        <v>1020</v>
      </c>
      <c r="G6700">
        <v>3</v>
      </c>
      <c r="H6700">
        <v>2</v>
      </c>
      <c r="I6700">
        <v>2021</v>
      </c>
      <c r="J6700">
        <v>0</v>
      </c>
      <c r="K6700">
        <v>0</v>
      </c>
      <c r="L6700">
        <v>0</v>
      </c>
      <c r="M6700">
        <v>5</v>
      </c>
      <c r="N6700" t="s">
        <v>37</v>
      </c>
      <c r="O6700" t="s">
        <v>32</v>
      </c>
      <c r="P6700">
        <v>4.06919110106515</v>
      </c>
      <c r="Q6700">
        <v>2.3948435398749601</v>
      </c>
      <c r="R6700">
        <v>7.8669683017543504</v>
      </c>
      <c r="S6700">
        <v>99</v>
      </c>
      <c r="T6700">
        <v>59</v>
      </c>
      <c r="U6700">
        <v>294.527416955322</v>
      </c>
      <c r="V6700">
        <v>4.9019607843137202E-3</v>
      </c>
      <c r="W6700">
        <v>445806.77771364199</v>
      </c>
      <c r="X6700" t="s">
        <v>31</v>
      </c>
      <c r="Y6700">
        <f>1-531-677-9189</f>
        <v>-10396</v>
      </c>
    </row>
    <row r="6701" spans="1:25" x14ac:dyDescent="0.35">
      <c r="A6701">
        <v>35.611427877024497</v>
      </c>
      <c r="B6701">
        <v>-124.112947997756</v>
      </c>
      <c r="C6701" t="s">
        <v>25</v>
      </c>
      <c r="D6701">
        <v>15.2687522628121</v>
      </c>
      <c r="E6701">
        <v>5</v>
      </c>
      <c r="F6701">
        <v>862</v>
      </c>
      <c r="G6701">
        <v>3</v>
      </c>
      <c r="H6701">
        <v>3</v>
      </c>
      <c r="I6701">
        <v>1976</v>
      </c>
      <c r="J6701">
        <v>0</v>
      </c>
      <c r="K6701">
        <v>0</v>
      </c>
      <c r="L6701">
        <v>0</v>
      </c>
      <c r="M6701">
        <v>3</v>
      </c>
      <c r="N6701" t="s">
        <v>26</v>
      </c>
      <c r="O6701" t="s">
        <v>30</v>
      </c>
      <c r="P6701">
        <v>10.560943577409599</v>
      </c>
      <c r="Q6701">
        <v>1.2241356613747201</v>
      </c>
      <c r="R6701">
        <v>8.2255855088853593</v>
      </c>
      <c r="S6701">
        <v>14</v>
      </c>
      <c r="T6701">
        <v>60</v>
      </c>
      <c r="U6701">
        <v>955.90274059823003</v>
      </c>
      <c r="V6701">
        <v>3.48027842227378E-3</v>
      </c>
      <c r="W6701">
        <v>996434.47625730396</v>
      </c>
      <c r="X6701" t="s">
        <v>44</v>
      </c>
      <c r="Y6701">
        <f>1-751-474-7163</f>
        <v>-8387</v>
      </c>
    </row>
    <row r="6702" spans="1:25" x14ac:dyDescent="0.35">
      <c r="A6702">
        <v>35.804363585675297</v>
      </c>
      <c r="B6702">
        <v>-124.46313315603901</v>
      </c>
      <c r="C6702" t="s">
        <v>25</v>
      </c>
      <c r="D6702">
        <v>16.064504523841201</v>
      </c>
      <c r="E6702">
        <v>4</v>
      </c>
      <c r="F6702">
        <v>741</v>
      </c>
      <c r="G6702">
        <v>3</v>
      </c>
      <c r="H6702">
        <v>3</v>
      </c>
      <c r="I6702">
        <v>1994</v>
      </c>
      <c r="J6702">
        <v>1</v>
      </c>
      <c r="K6702">
        <v>1</v>
      </c>
      <c r="L6702">
        <v>1</v>
      </c>
      <c r="M6702">
        <v>12</v>
      </c>
      <c r="N6702" t="s">
        <v>26</v>
      </c>
      <c r="O6702" t="s">
        <v>27</v>
      </c>
      <c r="P6702">
        <v>7.7795005752341702</v>
      </c>
      <c r="Q6702">
        <v>0.90879015984788603</v>
      </c>
      <c r="R6702">
        <v>9.5922287120232603</v>
      </c>
      <c r="S6702">
        <v>197</v>
      </c>
      <c r="T6702">
        <v>36</v>
      </c>
      <c r="U6702">
        <v>433.23548588321898</v>
      </c>
      <c r="V6702">
        <v>1.6194331983805599E-2</v>
      </c>
      <c r="W6702">
        <v>772298.50706725603</v>
      </c>
      <c r="X6702" t="s">
        <v>39</v>
      </c>
      <c r="Y6702">
        <f>1-667-858-6221</f>
        <v>-7745</v>
      </c>
    </row>
    <row r="6703" spans="1:25" x14ac:dyDescent="0.35">
      <c r="A6703">
        <v>41.391545542532697</v>
      </c>
      <c r="B6703">
        <v>-121.530470176614</v>
      </c>
      <c r="C6703" t="s">
        <v>29</v>
      </c>
      <c r="D6703">
        <v>14.377019083961001</v>
      </c>
      <c r="E6703">
        <v>1</v>
      </c>
      <c r="F6703">
        <v>3044</v>
      </c>
      <c r="G6703">
        <v>4</v>
      </c>
      <c r="H6703">
        <v>3</v>
      </c>
      <c r="I6703">
        <v>1995</v>
      </c>
      <c r="J6703">
        <v>1</v>
      </c>
      <c r="K6703">
        <v>1</v>
      </c>
      <c r="L6703">
        <v>1</v>
      </c>
      <c r="M6703">
        <v>2</v>
      </c>
      <c r="N6703" t="s">
        <v>35</v>
      </c>
      <c r="O6703" t="s">
        <v>32</v>
      </c>
      <c r="P6703">
        <v>7.1679350407975102</v>
      </c>
      <c r="Q6703">
        <v>1.86593631890662</v>
      </c>
      <c r="R6703">
        <v>6.4173105273395104</v>
      </c>
      <c r="S6703">
        <v>47</v>
      </c>
      <c r="T6703">
        <v>48</v>
      </c>
      <c r="U6703">
        <v>481.79032713781498</v>
      </c>
      <c r="V6703">
        <v>6.5703022339027597E-4</v>
      </c>
      <c r="W6703">
        <v>1955351.5422819301</v>
      </c>
      <c r="X6703" t="s">
        <v>40</v>
      </c>
      <c r="Y6703">
        <f>1-265-910-1974</f>
        <v>-3148</v>
      </c>
    </row>
    <row r="6704" spans="1:25" x14ac:dyDescent="0.35">
      <c r="A6704">
        <v>33.840235080834901</v>
      </c>
      <c r="B6704">
        <v>-114.415671717206</v>
      </c>
      <c r="C6704" t="s">
        <v>25</v>
      </c>
      <c r="D6704">
        <v>11.736201650717</v>
      </c>
      <c r="E6704">
        <v>4</v>
      </c>
      <c r="F6704">
        <v>3375</v>
      </c>
      <c r="G6704">
        <v>2</v>
      </c>
      <c r="H6704">
        <v>2</v>
      </c>
      <c r="I6704">
        <v>1957</v>
      </c>
      <c r="J6704">
        <v>0</v>
      </c>
      <c r="K6704">
        <v>0</v>
      </c>
      <c r="L6704">
        <v>0</v>
      </c>
      <c r="M6704">
        <v>13</v>
      </c>
      <c r="N6704" t="s">
        <v>37</v>
      </c>
      <c r="O6704" t="s">
        <v>27</v>
      </c>
      <c r="P6704">
        <v>14.0903728648167</v>
      </c>
      <c r="Q6704">
        <v>2.3561673109772401</v>
      </c>
      <c r="R6704">
        <v>4.7995344750594997</v>
      </c>
      <c r="S6704">
        <v>29</v>
      </c>
      <c r="T6704">
        <v>34</v>
      </c>
      <c r="U6704">
        <v>511.73483990022203</v>
      </c>
      <c r="V6704">
        <v>3.8518518518518498E-3</v>
      </c>
      <c r="W6704">
        <v>1847321.8757831999</v>
      </c>
      <c r="X6704" t="s">
        <v>28</v>
      </c>
      <c r="Y6704">
        <f>1-875-126-8129</f>
        <v>-9129</v>
      </c>
    </row>
    <row r="6705" spans="1:25" x14ac:dyDescent="0.35">
      <c r="A6705">
        <v>33.797928365618901</v>
      </c>
      <c r="B6705">
        <v>-121.507665335441</v>
      </c>
      <c r="C6705" t="s">
        <v>34</v>
      </c>
      <c r="D6705">
        <v>29.989450843723599</v>
      </c>
      <c r="E6705">
        <v>9</v>
      </c>
      <c r="F6705">
        <v>1197</v>
      </c>
      <c r="G6705">
        <v>3</v>
      </c>
      <c r="H6705">
        <v>3</v>
      </c>
      <c r="I6705">
        <v>1988</v>
      </c>
      <c r="J6705">
        <v>0</v>
      </c>
      <c r="K6705">
        <v>0</v>
      </c>
      <c r="L6705">
        <v>1</v>
      </c>
      <c r="M6705">
        <v>10</v>
      </c>
      <c r="N6705" t="s">
        <v>37</v>
      </c>
      <c r="O6705" t="s">
        <v>32</v>
      </c>
      <c r="P6705">
        <v>7.3286364992008197</v>
      </c>
      <c r="Q6705">
        <v>1.1574210991005101</v>
      </c>
      <c r="R6705">
        <v>7.7190576270650197</v>
      </c>
      <c r="S6705">
        <v>66</v>
      </c>
      <c r="T6705">
        <v>71</v>
      </c>
      <c r="U6705">
        <v>247.710672003198</v>
      </c>
      <c r="V6705">
        <v>8.3542188805346695E-3</v>
      </c>
      <c r="W6705">
        <v>422928.450896097</v>
      </c>
      <c r="X6705" t="s">
        <v>44</v>
      </c>
      <c r="Y6705">
        <f>1-698-234-3319</f>
        <v>-4250</v>
      </c>
    </row>
    <row r="6706" spans="1:25" x14ac:dyDescent="0.35">
      <c r="A6706">
        <v>36.038040459387297</v>
      </c>
      <c r="B6706">
        <v>-116.760471548559</v>
      </c>
      <c r="C6706" t="s">
        <v>34</v>
      </c>
      <c r="D6706">
        <v>48.101245555862597</v>
      </c>
      <c r="E6706">
        <v>8</v>
      </c>
      <c r="F6706">
        <v>4455</v>
      </c>
      <c r="G6706">
        <v>2</v>
      </c>
      <c r="H6706">
        <v>3</v>
      </c>
      <c r="I6706">
        <v>1988</v>
      </c>
      <c r="J6706">
        <v>0</v>
      </c>
      <c r="K6706">
        <v>1</v>
      </c>
      <c r="L6706">
        <v>0</v>
      </c>
      <c r="M6706">
        <v>5</v>
      </c>
      <c r="N6706" t="s">
        <v>37</v>
      </c>
      <c r="O6706" t="s">
        <v>30</v>
      </c>
      <c r="P6706">
        <v>5.0001974326051704</v>
      </c>
      <c r="Q6706">
        <v>1.7405056507864001</v>
      </c>
      <c r="R6706">
        <v>2.6031732009300499</v>
      </c>
      <c r="S6706">
        <v>129</v>
      </c>
      <c r="T6706">
        <v>25</v>
      </c>
      <c r="U6706">
        <v>989.526054593352</v>
      </c>
      <c r="V6706">
        <v>1.12233445566778E-3</v>
      </c>
      <c r="W6706">
        <v>4585419.83331542</v>
      </c>
      <c r="X6706" t="s">
        <v>40</v>
      </c>
      <c r="Y6706">
        <f>1-530-695-9853</f>
        <v>-11077</v>
      </c>
    </row>
    <row r="6707" spans="1:25" x14ac:dyDescent="0.35">
      <c r="A6707">
        <v>40.797610501233201</v>
      </c>
      <c r="B6707">
        <v>-116.53650025898099</v>
      </c>
      <c r="C6707" t="s">
        <v>29</v>
      </c>
      <c r="D6707">
        <v>5.2098305049467104</v>
      </c>
      <c r="E6707">
        <v>4</v>
      </c>
      <c r="F6707">
        <v>3995</v>
      </c>
      <c r="G6707">
        <v>4</v>
      </c>
      <c r="H6707">
        <v>1</v>
      </c>
      <c r="I6707">
        <v>1952</v>
      </c>
      <c r="J6707">
        <v>0</v>
      </c>
      <c r="K6707">
        <v>1</v>
      </c>
      <c r="L6707">
        <v>1</v>
      </c>
      <c r="M6707">
        <v>7</v>
      </c>
      <c r="N6707" t="s">
        <v>26</v>
      </c>
      <c r="O6707" t="s">
        <v>27</v>
      </c>
      <c r="P6707">
        <v>5.7925109626253501</v>
      </c>
      <c r="Q6707">
        <v>2.0482569467735501</v>
      </c>
      <c r="R6707">
        <v>3.36241829632253</v>
      </c>
      <c r="S6707">
        <v>79</v>
      </c>
      <c r="T6707">
        <v>78</v>
      </c>
      <c r="U6707">
        <v>739.30914772204198</v>
      </c>
      <c r="V6707">
        <v>1.7521902377972401E-3</v>
      </c>
      <c r="W6707">
        <v>3180119.3187194602</v>
      </c>
      <c r="X6707" t="s">
        <v>44</v>
      </c>
      <c r="Y6707">
        <f>1-299-547-6315</f>
        <v>-7160</v>
      </c>
    </row>
    <row r="6708" spans="1:25" x14ac:dyDescent="0.35">
      <c r="A6708">
        <v>33.560094238114203</v>
      </c>
      <c r="B6708">
        <v>-115.838232726749</v>
      </c>
      <c r="C6708" t="s">
        <v>25</v>
      </c>
      <c r="D6708">
        <v>38.224617655859198</v>
      </c>
      <c r="E6708">
        <v>7</v>
      </c>
      <c r="F6708">
        <v>1733</v>
      </c>
      <c r="G6708">
        <v>2</v>
      </c>
      <c r="H6708">
        <v>1</v>
      </c>
      <c r="I6708">
        <v>2004</v>
      </c>
      <c r="J6708">
        <v>1</v>
      </c>
      <c r="K6708">
        <v>0</v>
      </c>
      <c r="L6708">
        <v>1</v>
      </c>
      <c r="M6708">
        <v>11</v>
      </c>
      <c r="N6708" t="s">
        <v>26</v>
      </c>
      <c r="O6708" t="s">
        <v>27</v>
      </c>
      <c r="P6708">
        <v>13.4741018980608</v>
      </c>
      <c r="Q6708">
        <v>0.65446413900872802</v>
      </c>
      <c r="R6708">
        <v>0.98201685152945395</v>
      </c>
      <c r="S6708">
        <v>172</v>
      </c>
      <c r="T6708">
        <v>53</v>
      </c>
      <c r="U6708">
        <v>612.13854162106895</v>
      </c>
      <c r="V6708">
        <v>6.3473744950952099E-3</v>
      </c>
      <c r="W6708">
        <v>1331774.33667525</v>
      </c>
      <c r="X6708" t="s">
        <v>40</v>
      </c>
      <c r="Y6708">
        <f>1-708-540-2494</f>
        <v>-3741</v>
      </c>
    </row>
    <row r="6709" spans="1:25" x14ac:dyDescent="0.35">
      <c r="A6709">
        <v>39.579004054292298</v>
      </c>
      <c r="B6709">
        <v>-117.61473647940601</v>
      </c>
      <c r="C6709" t="s">
        <v>25</v>
      </c>
      <c r="D6709">
        <v>12.4800042824294</v>
      </c>
      <c r="E6709">
        <v>9</v>
      </c>
      <c r="F6709">
        <v>4849</v>
      </c>
      <c r="G6709">
        <v>4</v>
      </c>
      <c r="H6709">
        <v>1</v>
      </c>
      <c r="I6709">
        <v>1996</v>
      </c>
      <c r="J6709">
        <v>1</v>
      </c>
      <c r="K6709">
        <v>0</v>
      </c>
      <c r="L6709">
        <v>0</v>
      </c>
      <c r="M6709">
        <v>8</v>
      </c>
      <c r="N6709" t="s">
        <v>35</v>
      </c>
      <c r="O6709" t="s">
        <v>27</v>
      </c>
      <c r="P6709">
        <v>7.2261603652204904</v>
      </c>
      <c r="Q6709">
        <v>1.2864195214223</v>
      </c>
      <c r="R6709">
        <v>0.94401386351396499</v>
      </c>
      <c r="S6709">
        <v>114</v>
      </c>
      <c r="T6709">
        <v>31</v>
      </c>
      <c r="U6709">
        <v>589.18839819640505</v>
      </c>
      <c r="V6709">
        <v>1.6498247061249699E-3</v>
      </c>
      <c r="W6709">
        <v>3179481.7527088099</v>
      </c>
      <c r="X6709" t="s">
        <v>33</v>
      </c>
      <c r="Y6709">
        <f>1-411-566-1304</f>
        <v>-2280</v>
      </c>
    </row>
    <row r="6710" spans="1:25" x14ac:dyDescent="0.35">
      <c r="A6710">
        <v>37.6785610685235</v>
      </c>
      <c r="B6710">
        <v>-119.960716972379</v>
      </c>
      <c r="C6710" t="s">
        <v>34</v>
      </c>
      <c r="D6710">
        <v>39.484111688580803</v>
      </c>
      <c r="E6710">
        <v>7</v>
      </c>
      <c r="F6710">
        <v>2104</v>
      </c>
      <c r="G6710">
        <v>5</v>
      </c>
      <c r="H6710">
        <v>2</v>
      </c>
      <c r="I6710">
        <v>1959</v>
      </c>
      <c r="J6710">
        <v>1</v>
      </c>
      <c r="K6710">
        <v>0</v>
      </c>
      <c r="L6710">
        <v>1</v>
      </c>
      <c r="M6710">
        <v>9</v>
      </c>
      <c r="N6710" t="s">
        <v>37</v>
      </c>
      <c r="O6710" t="s">
        <v>30</v>
      </c>
      <c r="P6710">
        <v>3.9872396387167801</v>
      </c>
      <c r="Q6710">
        <v>1.2586376684398899</v>
      </c>
      <c r="R6710">
        <v>1.41866361564123</v>
      </c>
      <c r="S6710">
        <v>72</v>
      </c>
      <c r="T6710">
        <v>47</v>
      </c>
      <c r="U6710">
        <v>692.90345889694697</v>
      </c>
      <c r="V6710">
        <v>4.2775665399239502E-3</v>
      </c>
      <c r="W6710">
        <v>1714949.0062046601</v>
      </c>
      <c r="X6710" t="s">
        <v>38</v>
      </c>
      <c r="Y6710">
        <f>1-861-395-4107</f>
        <v>-5362</v>
      </c>
    </row>
    <row r="6711" spans="1:25" x14ac:dyDescent="0.35">
      <c r="A6711">
        <v>36.8852588075124</v>
      </c>
      <c r="B6711">
        <v>-124.021611828405</v>
      </c>
      <c r="C6711" t="s">
        <v>29</v>
      </c>
      <c r="D6711">
        <v>25.009886973806399</v>
      </c>
      <c r="E6711">
        <v>7</v>
      </c>
      <c r="F6711">
        <v>3701</v>
      </c>
      <c r="G6711">
        <v>2</v>
      </c>
      <c r="H6711">
        <v>3</v>
      </c>
      <c r="I6711">
        <v>2014</v>
      </c>
      <c r="J6711">
        <v>0</v>
      </c>
      <c r="K6711">
        <v>1</v>
      </c>
      <c r="L6711">
        <v>1</v>
      </c>
      <c r="M6711">
        <v>11</v>
      </c>
      <c r="N6711" t="s">
        <v>41</v>
      </c>
      <c r="O6711" t="s">
        <v>27</v>
      </c>
      <c r="P6711">
        <v>6.7764144985058303</v>
      </c>
      <c r="Q6711">
        <v>0.547493874428848</v>
      </c>
      <c r="R6711">
        <v>8.0402876623531903</v>
      </c>
      <c r="S6711">
        <v>1</v>
      </c>
      <c r="T6711">
        <v>76</v>
      </c>
      <c r="U6711">
        <v>782.92288675928705</v>
      </c>
      <c r="V6711">
        <v>2.9721696838692201E-3</v>
      </c>
      <c r="W6711">
        <v>3193081.26337469</v>
      </c>
      <c r="X6711" t="s">
        <v>40</v>
      </c>
      <c r="Y6711">
        <f>1-259-119-8297</f>
        <v>-8674</v>
      </c>
    </row>
    <row r="6712" spans="1:25" x14ac:dyDescent="0.35">
      <c r="A6712">
        <v>38.531076957885197</v>
      </c>
      <c r="B6712">
        <v>-115.518143082634</v>
      </c>
      <c r="C6712" t="s">
        <v>34</v>
      </c>
      <c r="D6712">
        <v>40.592449049656203</v>
      </c>
      <c r="E6712">
        <v>6</v>
      </c>
      <c r="F6712">
        <v>4429</v>
      </c>
      <c r="G6712">
        <v>4</v>
      </c>
      <c r="H6712">
        <v>1</v>
      </c>
      <c r="I6712">
        <v>1972</v>
      </c>
      <c r="J6712">
        <v>0</v>
      </c>
      <c r="K6712">
        <v>1</v>
      </c>
      <c r="L6712">
        <v>1</v>
      </c>
      <c r="M6712">
        <v>5</v>
      </c>
      <c r="N6712" t="s">
        <v>26</v>
      </c>
      <c r="O6712" t="s">
        <v>27</v>
      </c>
      <c r="P6712">
        <v>5.5343870880741202</v>
      </c>
      <c r="Q6712">
        <v>1.7576192891687801</v>
      </c>
      <c r="R6712">
        <v>7.7667485594202104</v>
      </c>
      <c r="S6712">
        <v>7</v>
      </c>
      <c r="T6712">
        <v>41</v>
      </c>
      <c r="U6712">
        <v>925.05487751037504</v>
      </c>
      <c r="V6712">
        <v>1.1289230074508899E-3</v>
      </c>
      <c r="W6712">
        <v>4435537.8113532402</v>
      </c>
      <c r="X6712" t="s">
        <v>36</v>
      </c>
      <c r="Y6712">
        <f>1-580-425-5203</f>
        <v>-6207</v>
      </c>
    </row>
    <row r="6713" spans="1:25" x14ac:dyDescent="0.35">
      <c r="A6713">
        <v>41.025096949096401</v>
      </c>
      <c r="B6713">
        <v>-114.737522717765</v>
      </c>
      <c r="C6713" t="s">
        <v>34</v>
      </c>
      <c r="D6713">
        <v>31.1898566739129</v>
      </c>
      <c r="E6713">
        <v>9</v>
      </c>
      <c r="F6713">
        <v>4361</v>
      </c>
      <c r="G6713">
        <v>5</v>
      </c>
      <c r="H6713">
        <v>1</v>
      </c>
      <c r="I6713">
        <v>1982</v>
      </c>
      <c r="J6713">
        <v>1</v>
      </c>
      <c r="K6713">
        <v>1</v>
      </c>
      <c r="L6713">
        <v>0</v>
      </c>
      <c r="M6713">
        <v>6</v>
      </c>
      <c r="N6713" t="s">
        <v>35</v>
      </c>
      <c r="O6713" t="s">
        <v>30</v>
      </c>
      <c r="P6713">
        <v>5.0907230782882298</v>
      </c>
      <c r="Q6713">
        <v>1.03701572544348</v>
      </c>
      <c r="R6713">
        <v>7.1621274118947298</v>
      </c>
      <c r="S6713">
        <v>41</v>
      </c>
      <c r="T6713">
        <v>53</v>
      </c>
      <c r="U6713">
        <v>450.16099107789501</v>
      </c>
      <c r="V6713">
        <v>1.3758312313689499E-3</v>
      </c>
      <c r="W6713">
        <v>2399307.5625432702</v>
      </c>
      <c r="X6713" t="s">
        <v>42</v>
      </c>
      <c r="Y6713">
        <f>1-211-284-5667</f>
        <v>-6161</v>
      </c>
    </row>
    <row r="6714" spans="1:25" x14ac:dyDescent="0.35">
      <c r="A6714">
        <v>41.961050754849197</v>
      </c>
      <c r="B6714">
        <v>-117.079434592723</v>
      </c>
      <c r="C6714" t="s">
        <v>25</v>
      </c>
      <c r="D6714">
        <v>9.8397082365771507</v>
      </c>
      <c r="E6714">
        <v>1</v>
      </c>
      <c r="F6714">
        <v>1943</v>
      </c>
      <c r="G6714">
        <v>4</v>
      </c>
      <c r="H6714">
        <v>3</v>
      </c>
      <c r="I6714">
        <v>1973</v>
      </c>
      <c r="J6714">
        <v>0</v>
      </c>
      <c r="K6714">
        <v>1</v>
      </c>
      <c r="L6714">
        <v>1</v>
      </c>
      <c r="M6714">
        <v>6</v>
      </c>
      <c r="N6714" t="s">
        <v>41</v>
      </c>
      <c r="O6714" t="s">
        <v>30</v>
      </c>
      <c r="P6714">
        <v>14.9783288486625</v>
      </c>
      <c r="Q6714">
        <v>0.84632704436842998</v>
      </c>
      <c r="R6714">
        <v>3.3846746845411699</v>
      </c>
      <c r="S6714">
        <v>141</v>
      </c>
      <c r="T6714">
        <v>51</v>
      </c>
      <c r="U6714">
        <v>907.39611199580304</v>
      </c>
      <c r="V6714">
        <v>3.0880082346886198E-3</v>
      </c>
      <c r="W6714">
        <v>2177698.5786250602</v>
      </c>
      <c r="X6714" t="s">
        <v>36</v>
      </c>
      <c r="Y6714">
        <f>1-934-408-9497</f>
        <v>-10838</v>
      </c>
    </row>
    <row r="6715" spans="1:25" x14ac:dyDescent="0.35">
      <c r="A6715">
        <v>40.971660729105103</v>
      </c>
      <c r="B6715">
        <v>-118.41063341428701</v>
      </c>
      <c r="C6715" t="s">
        <v>34</v>
      </c>
      <c r="D6715">
        <v>24.1533974425625</v>
      </c>
      <c r="E6715">
        <v>3</v>
      </c>
      <c r="F6715">
        <v>1078</v>
      </c>
      <c r="G6715">
        <v>1</v>
      </c>
      <c r="H6715">
        <v>1</v>
      </c>
      <c r="I6715">
        <v>2016</v>
      </c>
      <c r="J6715">
        <v>0</v>
      </c>
      <c r="K6715">
        <v>1</v>
      </c>
      <c r="L6715">
        <v>0</v>
      </c>
      <c r="M6715">
        <v>14</v>
      </c>
      <c r="N6715" t="s">
        <v>35</v>
      </c>
      <c r="O6715" t="s">
        <v>30</v>
      </c>
      <c r="P6715">
        <v>6.5047827219362402</v>
      </c>
      <c r="Q6715">
        <v>0.90700628637982705</v>
      </c>
      <c r="R6715">
        <v>8.8071201545581896</v>
      </c>
      <c r="S6715">
        <v>132</v>
      </c>
      <c r="T6715">
        <v>36</v>
      </c>
      <c r="U6715">
        <v>247.792336718965</v>
      </c>
      <c r="V6715">
        <v>1.2987012987012899E-2</v>
      </c>
      <c r="W6715">
        <v>442451.68759523402</v>
      </c>
      <c r="X6715" t="s">
        <v>39</v>
      </c>
      <c r="Y6715">
        <f>1-659-696-1392</f>
        <v>-2746</v>
      </c>
    </row>
    <row r="6716" spans="1:25" x14ac:dyDescent="0.35">
      <c r="A6716">
        <v>37.682520406955703</v>
      </c>
      <c r="B6716">
        <v>-124.410792607095</v>
      </c>
      <c r="C6716" t="s">
        <v>29</v>
      </c>
      <c r="D6716">
        <v>22.283917539768499</v>
      </c>
      <c r="E6716">
        <v>0</v>
      </c>
      <c r="F6716">
        <v>866</v>
      </c>
      <c r="G6716">
        <v>2</v>
      </c>
      <c r="H6716">
        <v>3</v>
      </c>
      <c r="I6716">
        <v>1963</v>
      </c>
      <c r="J6716">
        <v>1</v>
      </c>
      <c r="K6716">
        <v>1</v>
      </c>
      <c r="L6716">
        <v>0</v>
      </c>
      <c r="M6716">
        <v>10</v>
      </c>
      <c r="N6716" t="s">
        <v>35</v>
      </c>
      <c r="O6716" t="s">
        <v>30</v>
      </c>
      <c r="P6716">
        <v>9.2958322720142395</v>
      </c>
      <c r="Q6716">
        <v>1.90487964448197</v>
      </c>
      <c r="R6716">
        <v>6.4241281620609395E-2</v>
      </c>
      <c r="S6716">
        <v>111</v>
      </c>
      <c r="T6716">
        <v>73</v>
      </c>
      <c r="U6716">
        <v>340.89573636306602</v>
      </c>
      <c r="V6716">
        <v>1.15473441108545E-2</v>
      </c>
      <c r="W6716">
        <v>607180.59853096795</v>
      </c>
      <c r="X6716" t="s">
        <v>42</v>
      </c>
      <c r="Y6716">
        <f>1-242-757-8579</f>
        <v>-9577</v>
      </c>
    </row>
    <row r="6717" spans="1:25" x14ac:dyDescent="0.35">
      <c r="A6717">
        <v>37.941144614238098</v>
      </c>
      <c r="B6717">
        <v>-120.088171369362</v>
      </c>
      <c r="C6717" t="s">
        <v>25</v>
      </c>
      <c r="D6717">
        <v>39.733201856661502</v>
      </c>
      <c r="E6717">
        <v>5</v>
      </c>
      <c r="F6717">
        <v>4434</v>
      </c>
      <c r="G6717">
        <v>4</v>
      </c>
      <c r="H6717">
        <v>2</v>
      </c>
      <c r="I6717">
        <v>2014</v>
      </c>
      <c r="J6717">
        <v>1</v>
      </c>
      <c r="K6717">
        <v>1</v>
      </c>
      <c r="L6717">
        <v>1</v>
      </c>
      <c r="M6717">
        <v>12</v>
      </c>
      <c r="N6717" t="s">
        <v>35</v>
      </c>
      <c r="O6717" t="s">
        <v>30</v>
      </c>
      <c r="P6717">
        <v>11.155764402358701</v>
      </c>
      <c r="Q6717">
        <v>1.5406573014960101</v>
      </c>
      <c r="R6717">
        <v>7.2532444481602498</v>
      </c>
      <c r="S6717">
        <v>100</v>
      </c>
      <c r="T6717">
        <v>39</v>
      </c>
      <c r="U6717">
        <v>827.443631199008</v>
      </c>
      <c r="V6717">
        <v>2.7063599458728E-3</v>
      </c>
      <c r="W6717">
        <v>4131253.0206085402</v>
      </c>
      <c r="X6717" t="s">
        <v>40</v>
      </c>
      <c r="Y6717">
        <f>1-777-276-5782</f>
        <v>-6834</v>
      </c>
    </row>
    <row r="6718" spans="1:25" x14ac:dyDescent="0.35">
      <c r="A6718">
        <v>32.987070403578798</v>
      </c>
      <c r="B6718">
        <v>-117.964004650262</v>
      </c>
      <c r="C6718" t="s">
        <v>34</v>
      </c>
      <c r="D6718">
        <v>45.774474418667403</v>
      </c>
      <c r="E6718">
        <v>7</v>
      </c>
      <c r="F6718">
        <v>3002</v>
      </c>
      <c r="G6718">
        <v>4</v>
      </c>
      <c r="H6718">
        <v>2</v>
      </c>
      <c r="I6718">
        <v>1952</v>
      </c>
      <c r="J6718">
        <v>1</v>
      </c>
      <c r="K6718">
        <v>0</v>
      </c>
      <c r="L6718">
        <v>0</v>
      </c>
      <c r="M6718">
        <v>6</v>
      </c>
      <c r="N6718" t="s">
        <v>35</v>
      </c>
      <c r="O6718" t="s">
        <v>27</v>
      </c>
      <c r="P6718">
        <v>9.89129863517757</v>
      </c>
      <c r="Q6718">
        <v>1.6225693990364201</v>
      </c>
      <c r="R6718">
        <v>9.5584957261871999</v>
      </c>
      <c r="S6718">
        <v>26</v>
      </c>
      <c r="T6718">
        <v>74</v>
      </c>
      <c r="U6718">
        <v>401.12290728933402</v>
      </c>
      <c r="V6718">
        <v>1.99866755496335E-3</v>
      </c>
      <c r="W6718">
        <v>1527901.0710086001</v>
      </c>
      <c r="X6718" t="s">
        <v>33</v>
      </c>
      <c r="Y6718">
        <f>1-988-819-8015</f>
        <v>-9821</v>
      </c>
    </row>
    <row r="6719" spans="1:25" x14ac:dyDescent="0.35">
      <c r="A6719">
        <v>41.049259544701101</v>
      </c>
      <c r="B6719">
        <v>-115.12499546093299</v>
      </c>
      <c r="C6719" t="s">
        <v>25</v>
      </c>
      <c r="D6719">
        <v>17.850205154652102</v>
      </c>
      <c r="E6719">
        <v>3</v>
      </c>
      <c r="F6719">
        <v>1678</v>
      </c>
      <c r="G6719">
        <v>3</v>
      </c>
      <c r="H6719">
        <v>1</v>
      </c>
      <c r="I6719">
        <v>2008</v>
      </c>
      <c r="J6719">
        <v>1</v>
      </c>
      <c r="K6719">
        <v>1</v>
      </c>
      <c r="L6719">
        <v>0</v>
      </c>
      <c r="M6719">
        <v>7</v>
      </c>
      <c r="N6719" t="s">
        <v>26</v>
      </c>
      <c r="O6719" t="s">
        <v>32</v>
      </c>
      <c r="P6719">
        <v>8.0244332659363504</v>
      </c>
      <c r="Q6719">
        <v>1.5453968478887601</v>
      </c>
      <c r="R6719">
        <v>3.66308652036783</v>
      </c>
      <c r="S6719">
        <v>66</v>
      </c>
      <c r="T6719">
        <v>57</v>
      </c>
      <c r="U6719">
        <v>410.71177712955398</v>
      </c>
      <c r="V6719">
        <v>4.1716328963051202E-3</v>
      </c>
      <c r="W6719">
        <v>1065312.7170287799</v>
      </c>
      <c r="X6719" t="s">
        <v>43</v>
      </c>
      <c r="Y6719">
        <f>1-451-607-4613</f>
        <v>-5670</v>
      </c>
    </row>
    <row r="6720" spans="1:25" x14ac:dyDescent="0.35">
      <c r="A6720">
        <v>36.589130528096597</v>
      </c>
      <c r="B6720">
        <v>-118.65408592129801</v>
      </c>
      <c r="C6720" t="s">
        <v>25</v>
      </c>
      <c r="D6720">
        <v>4.4392156434948999</v>
      </c>
      <c r="E6720">
        <v>4</v>
      </c>
      <c r="F6720">
        <v>2025</v>
      </c>
      <c r="G6720">
        <v>1</v>
      </c>
      <c r="H6720">
        <v>2</v>
      </c>
      <c r="I6720">
        <v>1975</v>
      </c>
      <c r="J6720">
        <v>1</v>
      </c>
      <c r="K6720">
        <v>1</v>
      </c>
      <c r="L6720">
        <v>1</v>
      </c>
      <c r="M6720">
        <v>9</v>
      </c>
      <c r="N6720" t="s">
        <v>37</v>
      </c>
      <c r="O6720" t="s">
        <v>32</v>
      </c>
      <c r="P6720">
        <v>2.1885421913092502</v>
      </c>
      <c r="Q6720">
        <v>1.45951129512357</v>
      </c>
      <c r="R6720">
        <v>4.8566729412939997</v>
      </c>
      <c r="S6720">
        <v>23</v>
      </c>
      <c r="T6720">
        <v>60</v>
      </c>
      <c r="U6720">
        <v>503.12947966317199</v>
      </c>
      <c r="V6720">
        <v>4.4444444444444401E-3</v>
      </c>
      <c r="W6720">
        <v>1190759.3113514299</v>
      </c>
      <c r="X6720" t="s">
        <v>39</v>
      </c>
      <c r="Y6720">
        <f>1-293-244-3457</f>
        <v>-3993</v>
      </c>
    </row>
    <row r="6721" spans="1:25" x14ac:dyDescent="0.35">
      <c r="A6721">
        <v>32.771588241434401</v>
      </c>
      <c r="B6721">
        <v>-115.267552032781</v>
      </c>
      <c r="C6721" t="s">
        <v>25</v>
      </c>
      <c r="D6721">
        <v>47.0150508722731</v>
      </c>
      <c r="E6721">
        <v>3</v>
      </c>
      <c r="F6721">
        <v>588</v>
      </c>
      <c r="G6721">
        <v>1</v>
      </c>
      <c r="H6721">
        <v>2</v>
      </c>
      <c r="I6721">
        <v>1967</v>
      </c>
      <c r="J6721">
        <v>0</v>
      </c>
      <c r="K6721">
        <v>1</v>
      </c>
      <c r="L6721">
        <v>0</v>
      </c>
      <c r="M6721">
        <v>11</v>
      </c>
      <c r="N6721" t="s">
        <v>26</v>
      </c>
      <c r="O6721" t="s">
        <v>30</v>
      </c>
      <c r="P6721">
        <v>13.3704332760726</v>
      </c>
      <c r="Q6721">
        <v>2.0659426961628902</v>
      </c>
      <c r="R6721">
        <v>8.7843988469709906</v>
      </c>
      <c r="S6721">
        <v>12</v>
      </c>
      <c r="T6721">
        <v>22</v>
      </c>
      <c r="U6721">
        <v>470.10172678833499</v>
      </c>
      <c r="V6721">
        <v>1.8707482993197199E-2</v>
      </c>
      <c r="W6721">
        <v>466159.88263429201</v>
      </c>
      <c r="X6721" t="s">
        <v>40</v>
      </c>
      <c r="Y6721">
        <f>1-316-542-6941</f>
        <v>-7798</v>
      </c>
    </row>
    <row r="6722" spans="1:25" x14ac:dyDescent="0.35">
      <c r="A6722">
        <v>39.547455409267997</v>
      </c>
      <c r="B6722">
        <v>-116.16607489885099</v>
      </c>
      <c r="C6722" t="s">
        <v>34</v>
      </c>
      <c r="D6722">
        <v>19.980888129288999</v>
      </c>
      <c r="E6722">
        <v>9</v>
      </c>
      <c r="F6722">
        <v>1893</v>
      </c>
      <c r="G6722">
        <v>3</v>
      </c>
      <c r="H6722">
        <v>2</v>
      </c>
      <c r="I6722">
        <v>1971</v>
      </c>
      <c r="J6722">
        <v>0</v>
      </c>
      <c r="K6722">
        <v>0</v>
      </c>
      <c r="L6722">
        <v>1</v>
      </c>
      <c r="M6722">
        <v>12</v>
      </c>
      <c r="N6722" t="s">
        <v>37</v>
      </c>
      <c r="O6722" t="s">
        <v>30</v>
      </c>
      <c r="P6722">
        <v>2.1640809501254599</v>
      </c>
      <c r="Q6722">
        <v>0.61856639565075</v>
      </c>
      <c r="R6722">
        <v>7.94749628369095</v>
      </c>
      <c r="S6722">
        <v>14</v>
      </c>
      <c r="T6722">
        <v>60</v>
      </c>
      <c r="U6722">
        <v>483.216982418545</v>
      </c>
      <c r="V6722">
        <v>6.3391442155309001E-3</v>
      </c>
      <c r="W6722">
        <v>1092810.4039708499</v>
      </c>
      <c r="X6722" t="s">
        <v>43</v>
      </c>
      <c r="Y6722">
        <f>1-303-587-4841</f>
        <v>-5730</v>
      </c>
    </row>
    <row r="6723" spans="1:25" x14ac:dyDescent="0.35">
      <c r="A6723">
        <v>34.005416323647196</v>
      </c>
      <c r="B6723">
        <v>-119.190574624207</v>
      </c>
      <c r="C6723" t="s">
        <v>34</v>
      </c>
      <c r="D6723">
        <v>18.385554075475099</v>
      </c>
      <c r="E6723">
        <v>9</v>
      </c>
      <c r="F6723">
        <v>4051</v>
      </c>
      <c r="G6723">
        <v>3</v>
      </c>
      <c r="H6723">
        <v>2</v>
      </c>
      <c r="I6723">
        <v>1952</v>
      </c>
      <c r="J6723">
        <v>1</v>
      </c>
      <c r="K6723">
        <v>0</v>
      </c>
      <c r="L6723">
        <v>1</v>
      </c>
      <c r="M6723">
        <v>4</v>
      </c>
      <c r="N6723" t="s">
        <v>41</v>
      </c>
      <c r="O6723" t="s">
        <v>27</v>
      </c>
      <c r="P6723">
        <v>11.396259974749601</v>
      </c>
      <c r="Q6723">
        <v>0.55097278831157903</v>
      </c>
      <c r="R6723">
        <v>4.8259669403876702</v>
      </c>
      <c r="S6723">
        <v>169</v>
      </c>
      <c r="T6723">
        <v>34</v>
      </c>
      <c r="U6723">
        <v>549.76584111617399</v>
      </c>
      <c r="V6723">
        <v>9.8741051592199391E-4</v>
      </c>
      <c r="W6723">
        <v>2561393.7739332099</v>
      </c>
      <c r="X6723" t="s">
        <v>44</v>
      </c>
      <c r="Y6723">
        <f>1-675-901-1488</f>
        <v>-3063</v>
      </c>
    </row>
    <row r="6724" spans="1:25" x14ac:dyDescent="0.35">
      <c r="A6724">
        <v>34.252411850871397</v>
      </c>
      <c r="B6724">
        <v>-122.808237401901</v>
      </c>
      <c r="C6724" t="s">
        <v>25</v>
      </c>
      <c r="D6724">
        <v>49.404026410913197</v>
      </c>
      <c r="E6724">
        <v>6</v>
      </c>
      <c r="F6724">
        <v>1090</v>
      </c>
      <c r="G6724">
        <v>3</v>
      </c>
      <c r="H6724">
        <v>1</v>
      </c>
      <c r="I6724">
        <v>1993</v>
      </c>
      <c r="J6724">
        <v>1</v>
      </c>
      <c r="K6724">
        <v>0</v>
      </c>
      <c r="L6724">
        <v>1</v>
      </c>
      <c r="M6724">
        <v>9</v>
      </c>
      <c r="N6724" t="s">
        <v>37</v>
      </c>
      <c r="O6724" t="s">
        <v>30</v>
      </c>
      <c r="P6724">
        <v>8.2451732713015407</v>
      </c>
      <c r="Q6724">
        <v>2.1921306736517501</v>
      </c>
      <c r="R6724">
        <v>4.6839174174891198</v>
      </c>
      <c r="S6724">
        <v>57</v>
      </c>
      <c r="T6724">
        <v>70</v>
      </c>
      <c r="U6724">
        <v>887.16758562656298</v>
      </c>
      <c r="V6724">
        <v>8.2568807339449494E-3</v>
      </c>
      <c r="W6724">
        <v>1294611.9158665701</v>
      </c>
      <c r="X6724" t="s">
        <v>36</v>
      </c>
      <c r="Y6724">
        <f>1-527-468-3840</f>
        <v>-4834</v>
      </c>
    </row>
    <row r="6725" spans="1:25" x14ac:dyDescent="0.35">
      <c r="A6725">
        <v>39.4898819461784</v>
      </c>
      <c r="B6725">
        <v>-122.754565404099</v>
      </c>
      <c r="C6725" t="s">
        <v>29</v>
      </c>
      <c r="D6725">
        <v>3.73244349524207</v>
      </c>
      <c r="E6725">
        <v>6</v>
      </c>
      <c r="F6725">
        <v>1799</v>
      </c>
      <c r="G6725">
        <v>5</v>
      </c>
      <c r="H6725">
        <v>3</v>
      </c>
      <c r="I6725">
        <v>1956</v>
      </c>
      <c r="J6725">
        <v>0</v>
      </c>
      <c r="K6725">
        <v>0</v>
      </c>
      <c r="L6725">
        <v>0</v>
      </c>
      <c r="M6725">
        <v>7</v>
      </c>
      <c r="N6725" t="s">
        <v>41</v>
      </c>
      <c r="O6725" t="s">
        <v>30</v>
      </c>
      <c r="P6725">
        <v>9.5669743529887494</v>
      </c>
      <c r="Q6725">
        <v>2.28834475500586</v>
      </c>
      <c r="R6725">
        <v>4.8817288162091996</v>
      </c>
      <c r="S6725">
        <v>151</v>
      </c>
      <c r="T6725">
        <v>55</v>
      </c>
      <c r="U6725">
        <v>730.91071285129203</v>
      </c>
      <c r="V6725">
        <v>3.8910505836575798E-3</v>
      </c>
      <c r="W6725">
        <v>1610103.9899979101</v>
      </c>
      <c r="X6725" t="s">
        <v>33</v>
      </c>
      <c r="Y6725">
        <f>1-883-746-1749</f>
        <v>-3377</v>
      </c>
    </row>
    <row r="6726" spans="1:25" x14ac:dyDescent="0.35">
      <c r="A6726">
        <v>33.343081393140601</v>
      </c>
      <c r="B6726">
        <v>-122.63072064301601</v>
      </c>
      <c r="C6726" t="s">
        <v>29</v>
      </c>
      <c r="D6726">
        <v>25.227229387567299</v>
      </c>
      <c r="E6726">
        <v>4</v>
      </c>
      <c r="F6726">
        <v>3167</v>
      </c>
      <c r="G6726">
        <v>1</v>
      </c>
      <c r="H6726">
        <v>2</v>
      </c>
      <c r="I6726">
        <v>1987</v>
      </c>
      <c r="J6726">
        <v>1</v>
      </c>
      <c r="K6726">
        <v>0</v>
      </c>
      <c r="L6726">
        <v>1</v>
      </c>
      <c r="M6726">
        <v>3</v>
      </c>
      <c r="N6726" t="s">
        <v>35</v>
      </c>
      <c r="O6726" t="s">
        <v>30</v>
      </c>
      <c r="P6726">
        <v>7.5299397932140097</v>
      </c>
      <c r="Q6726">
        <v>1.52761888155442</v>
      </c>
      <c r="R6726">
        <v>6.59545969862788</v>
      </c>
      <c r="S6726">
        <v>186</v>
      </c>
      <c r="T6726">
        <v>33</v>
      </c>
      <c r="U6726">
        <v>881.82791432141005</v>
      </c>
      <c r="V6726">
        <v>9.4726870855699403E-4</v>
      </c>
      <c r="W6726">
        <v>2931462.2144301198</v>
      </c>
      <c r="X6726" t="s">
        <v>33</v>
      </c>
      <c r="Y6726">
        <f>1-943-167-1344</f>
        <v>-2453</v>
      </c>
    </row>
    <row r="6727" spans="1:25" x14ac:dyDescent="0.35">
      <c r="A6727">
        <v>41.881012572041001</v>
      </c>
      <c r="B6727">
        <v>-116.127091196503</v>
      </c>
      <c r="C6727" t="s">
        <v>34</v>
      </c>
      <c r="D6727">
        <v>22.480779756626099</v>
      </c>
      <c r="E6727">
        <v>1</v>
      </c>
      <c r="F6727">
        <v>4335</v>
      </c>
      <c r="G6727">
        <v>2</v>
      </c>
      <c r="H6727">
        <v>1</v>
      </c>
      <c r="I6727">
        <v>2015</v>
      </c>
      <c r="J6727">
        <v>0</v>
      </c>
      <c r="K6727">
        <v>1</v>
      </c>
      <c r="L6727">
        <v>0</v>
      </c>
      <c r="M6727">
        <v>8</v>
      </c>
      <c r="N6727" t="s">
        <v>37</v>
      </c>
      <c r="O6727" t="s">
        <v>27</v>
      </c>
      <c r="P6727">
        <v>8.0209244527823191</v>
      </c>
      <c r="Q6727">
        <v>1.4043525460531501</v>
      </c>
      <c r="R6727">
        <v>4.31730295088843</v>
      </c>
      <c r="S6727">
        <v>25</v>
      </c>
      <c r="T6727">
        <v>67</v>
      </c>
      <c r="U6727">
        <v>334.79816821646898</v>
      </c>
      <c r="V6727">
        <v>1.84544405997693E-3</v>
      </c>
      <c r="W6727">
        <v>1756220.2102033501</v>
      </c>
      <c r="X6727" t="s">
        <v>36</v>
      </c>
      <c r="Y6727">
        <f>1-972-975-5997</f>
        <v>-7943</v>
      </c>
    </row>
    <row r="6728" spans="1:25" x14ac:dyDescent="0.35">
      <c r="A6728">
        <v>36.356896268103903</v>
      </c>
      <c r="B6728">
        <v>-117.500963301906</v>
      </c>
      <c r="C6728" t="s">
        <v>25</v>
      </c>
      <c r="D6728">
        <v>5.2124064525889304</v>
      </c>
      <c r="E6728">
        <v>4</v>
      </c>
      <c r="F6728">
        <v>2338</v>
      </c>
      <c r="G6728">
        <v>5</v>
      </c>
      <c r="H6728">
        <v>2</v>
      </c>
      <c r="I6728">
        <v>1987</v>
      </c>
      <c r="J6728">
        <v>0</v>
      </c>
      <c r="K6728">
        <v>0</v>
      </c>
      <c r="L6728">
        <v>0</v>
      </c>
      <c r="M6728">
        <v>8</v>
      </c>
      <c r="N6728" t="s">
        <v>41</v>
      </c>
      <c r="O6728" t="s">
        <v>27</v>
      </c>
      <c r="P6728">
        <v>7.5478091927802096</v>
      </c>
      <c r="Q6728">
        <v>2.1947235082032899</v>
      </c>
      <c r="R6728">
        <v>1.02961681275925</v>
      </c>
      <c r="S6728">
        <v>99</v>
      </c>
      <c r="T6728">
        <v>72</v>
      </c>
      <c r="U6728">
        <v>233.99886613718701</v>
      </c>
      <c r="V6728">
        <v>3.42172797262617E-3</v>
      </c>
      <c r="W6728">
        <v>838430.48080899497</v>
      </c>
      <c r="X6728" t="s">
        <v>38</v>
      </c>
      <c r="Y6728">
        <f>1-746-166-4901</f>
        <v>-5812</v>
      </c>
    </row>
    <row r="6729" spans="1:25" x14ac:dyDescent="0.35">
      <c r="A6729">
        <v>35.287756779489101</v>
      </c>
      <c r="B6729">
        <v>-122.210010907439</v>
      </c>
      <c r="C6729" t="s">
        <v>29</v>
      </c>
      <c r="D6729">
        <v>24.169131969178199</v>
      </c>
      <c r="E6729">
        <v>1</v>
      </c>
      <c r="F6729">
        <v>2907</v>
      </c>
      <c r="G6729">
        <v>1</v>
      </c>
      <c r="H6729">
        <v>1</v>
      </c>
      <c r="I6729">
        <v>1984</v>
      </c>
      <c r="J6729">
        <v>1</v>
      </c>
      <c r="K6729">
        <v>1</v>
      </c>
      <c r="L6729">
        <v>0</v>
      </c>
      <c r="M6729">
        <v>10</v>
      </c>
      <c r="N6729" t="s">
        <v>41</v>
      </c>
      <c r="O6729" t="s">
        <v>30</v>
      </c>
      <c r="P6729">
        <v>12.614974579201901</v>
      </c>
      <c r="Q6729">
        <v>0.926920910832988</v>
      </c>
      <c r="R6729">
        <v>5.02544418346901</v>
      </c>
      <c r="S6729">
        <v>68</v>
      </c>
      <c r="T6729">
        <v>64</v>
      </c>
      <c r="U6729">
        <v>854.13430627981302</v>
      </c>
      <c r="V6729">
        <v>3.43997248022015E-3</v>
      </c>
      <c r="W6729">
        <v>2675918.39357753</v>
      </c>
      <c r="X6729" t="s">
        <v>43</v>
      </c>
      <c r="Y6729">
        <f>1-305-787-5414</f>
        <v>-6505</v>
      </c>
    </row>
    <row r="6730" spans="1:25" x14ac:dyDescent="0.35">
      <c r="A6730">
        <v>39.328185614985301</v>
      </c>
      <c r="B6730">
        <v>-120.104699267136</v>
      </c>
      <c r="C6730" t="s">
        <v>25</v>
      </c>
      <c r="D6730">
        <v>21.298824308851099</v>
      </c>
      <c r="E6730">
        <v>6</v>
      </c>
      <c r="F6730">
        <v>3686</v>
      </c>
      <c r="G6730">
        <v>2</v>
      </c>
      <c r="H6730">
        <v>2</v>
      </c>
      <c r="I6730">
        <v>1993</v>
      </c>
      <c r="J6730">
        <v>1</v>
      </c>
      <c r="K6730">
        <v>0</v>
      </c>
      <c r="L6730">
        <v>1</v>
      </c>
      <c r="M6730">
        <v>14</v>
      </c>
      <c r="N6730" t="s">
        <v>37</v>
      </c>
      <c r="O6730" t="s">
        <v>27</v>
      </c>
      <c r="P6730">
        <v>9.3371404549005703</v>
      </c>
      <c r="Q6730">
        <v>1.25520998875905</v>
      </c>
      <c r="R6730">
        <v>1.65545680422242</v>
      </c>
      <c r="S6730">
        <v>101</v>
      </c>
      <c r="T6730">
        <v>46</v>
      </c>
      <c r="U6730">
        <v>806.35841342429899</v>
      </c>
      <c r="V6730">
        <v>3.7981551817688501E-3</v>
      </c>
      <c r="W6730">
        <v>3203867.5228363499</v>
      </c>
      <c r="X6730" t="s">
        <v>36</v>
      </c>
      <c r="Y6730">
        <f>1-747-342-1802</f>
        <v>-2890</v>
      </c>
    </row>
    <row r="6731" spans="1:25" x14ac:dyDescent="0.35">
      <c r="A6731">
        <v>35.386672251391303</v>
      </c>
      <c r="B6731">
        <v>-119.030260277899</v>
      </c>
      <c r="C6731" t="s">
        <v>25</v>
      </c>
      <c r="D6731">
        <v>10.9524357072199</v>
      </c>
      <c r="E6731">
        <v>3</v>
      </c>
      <c r="F6731">
        <v>4975</v>
      </c>
      <c r="G6731">
        <v>5</v>
      </c>
      <c r="H6731">
        <v>2</v>
      </c>
      <c r="I6731">
        <v>1990</v>
      </c>
      <c r="J6731">
        <v>1</v>
      </c>
      <c r="K6731">
        <v>1</v>
      </c>
      <c r="L6731">
        <v>0</v>
      </c>
      <c r="M6731">
        <v>7</v>
      </c>
      <c r="N6731" t="s">
        <v>37</v>
      </c>
      <c r="O6731" t="s">
        <v>30</v>
      </c>
      <c r="P6731">
        <v>14.757021483903699</v>
      </c>
      <c r="Q6731">
        <v>2.3687288343285098</v>
      </c>
      <c r="R6731">
        <v>6.7108738784263204</v>
      </c>
      <c r="S6731">
        <v>150</v>
      </c>
      <c r="T6731">
        <v>35</v>
      </c>
      <c r="U6731">
        <v>208.98117305251401</v>
      </c>
      <c r="V6731">
        <v>1.4070351758793901E-3</v>
      </c>
      <c r="W6731">
        <v>1619308.0974960399</v>
      </c>
      <c r="X6731" t="s">
        <v>28</v>
      </c>
      <c r="Y6731">
        <f>1-786-461-6102</f>
        <v>-7348</v>
      </c>
    </row>
    <row r="6732" spans="1:25" x14ac:dyDescent="0.35">
      <c r="A6732">
        <v>37.791405975496801</v>
      </c>
      <c r="B6732">
        <v>-120.787524011833</v>
      </c>
      <c r="C6732" t="s">
        <v>29</v>
      </c>
      <c r="D6732">
        <v>1.90889529320069</v>
      </c>
      <c r="E6732">
        <v>1</v>
      </c>
      <c r="F6732">
        <v>4173</v>
      </c>
      <c r="G6732">
        <v>4</v>
      </c>
      <c r="H6732">
        <v>3</v>
      </c>
      <c r="I6732">
        <v>1972</v>
      </c>
      <c r="J6732">
        <v>1</v>
      </c>
      <c r="K6732">
        <v>1</v>
      </c>
      <c r="L6732">
        <v>1</v>
      </c>
      <c r="M6732">
        <v>10</v>
      </c>
      <c r="N6732" t="s">
        <v>26</v>
      </c>
      <c r="O6732" t="s">
        <v>27</v>
      </c>
      <c r="P6732">
        <v>2.6447562780733702</v>
      </c>
      <c r="Q6732">
        <v>0.51455440103378702</v>
      </c>
      <c r="R6732">
        <v>9.5900846619292093</v>
      </c>
      <c r="S6732">
        <v>58</v>
      </c>
      <c r="T6732">
        <v>77</v>
      </c>
      <c r="U6732">
        <v>692.34484783637697</v>
      </c>
      <c r="V6732">
        <v>2.3963575365444499E-3</v>
      </c>
      <c r="W6732">
        <v>3233493.0070067202</v>
      </c>
      <c r="X6732" t="s">
        <v>40</v>
      </c>
      <c r="Y6732">
        <f>1-289-211-3869</f>
        <v>-4368</v>
      </c>
    </row>
    <row r="6733" spans="1:25" x14ac:dyDescent="0.35">
      <c r="A6733">
        <v>32.694862784490098</v>
      </c>
      <c r="B6733">
        <v>-123.314720988991</v>
      </c>
      <c r="C6733" t="s">
        <v>29</v>
      </c>
      <c r="D6733">
        <v>2.5963086299729201</v>
      </c>
      <c r="E6733">
        <v>1</v>
      </c>
      <c r="F6733">
        <v>2495</v>
      </c>
      <c r="G6733">
        <v>2</v>
      </c>
      <c r="H6733">
        <v>3</v>
      </c>
      <c r="I6733">
        <v>2013</v>
      </c>
      <c r="J6733">
        <v>1</v>
      </c>
      <c r="K6733">
        <v>1</v>
      </c>
      <c r="L6733">
        <v>1</v>
      </c>
      <c r="M6733">
        <v>9</v>
      </c>
      <c r="N6733" t="s">
        <v>41</v>
      </c>
      <c r="O6733" t="s">
        <v>32</v>
      </c>
      <c r="P6733">
        <v>6.3802464219131396</v>
      </c>
      <c r="Q6733">
        <v>1.1307362707789901</v>
      </c>
      <c r="R6733">
        <v>6.0657110016311497</v>
      </c>
      <c r="S6733">
        <v>198</v>
      </c>
      <c r="T6733">
        <v>27</v>
      </c>
      <c r="U6733">
        <v>220.87266484349499</v>
      </c>
      <c r="V6733">
        <v>3.6072144288577098E-3</v>
      </c>
      <c r="W6733">
        <v>878561.18410314806</v>
      </c>
      <c r="X6733" t="s">
        <v>33</v>
      </c>
      <c r="Y6733">
        <f>1-849-414-8727</f>
        <v>-9989</v>
      </c>
    </row>
    <row r="6734" spans="1:25" x14ac:dyDescent="0.35">
      <c r="A6734">
        <v>34.039971051305798</v>
      </c>
      <c r="B6734">
        <v>-121.64189732283</v>
      </c>
      <c r="C6734" t="s">
        <v>29</v>
      </c>
      <c r="D6734">
        <v>31.9784678921026</v>
      </c>
      <c r="E6734">
        <v>7</v>
      </c>
      <c r="F6734">
        <v>676</v>
      </c>
      <c r="G6734">
        <v>1</v>
      </c>
      <c r="H6734">
        <v>3</v>
      </c>
      <c r="I6734">
        <v>1999</v>
      </c>
      <c r="J6734">
        <v>1</v>
      </c>
      <c r="K6734">
        <v>0</v>
      </c>
      <c r="L6734">
        <v>1</v>
      </c>
      <c r="M6734">
        <v>10</v>
      </c>
      <c r="N6734" t="s">
        <v>37</v>
      </c>
      <c r="O6734" t="s">
        <v>27</v>
      </c>
      <c r="P6734">
        <v>12.124231704789199</v>
      </c>
      <c r="Q6734">
        <v>1.7262792332268799</v>
      </c>
      <c r="R6734">
        <v>5.8266307082201401</v>
      </c>
      <c r="S6734">
        <v>157</v>
      </c>
      <c r="T6734">
        <v>25</v>
      </c>
      <c r="U6734">
        <v>467.92400219192598</v>
      </c>
      <c r="V6734">
        <v>1.4792899408284E-2</v>
      </c>
      <c r="W6734">
        <v>546478.19360189198</v>
      </c>
      <c r="X6734" t="s">
        <v>38</v>
      </c>
      <c r="Y6734">
        <f>1-277-725-6238</f>
        <v>-7239</v>
      </c>
    </row>
    <row r="6735" spans="1:25" x14ac:dyDescent="0.35">
      <c r="A6735">
        <v>41.760376788134103</v>
      </c>
      <c r="B6735">
        <v>-116.104061441037</v>
      </c>
      <c r="C6735" t="s">
        <v>34</v>
      </c>
      <c r="D6735">
        <v>7.02461336707933</v>
      </c>
      <c r="E6735">
        <v>7</v>
      </c>
      <c r="F6735">
        <v>3797</v>
      </c>
      <c r="G6735">
        <v>4</v>
      </c>
      <c r="H6735">
        <v>3</v>
      </c>
      <c r="I6735">
        <v>1959</v>
      </c>
      <c r="J6735">
        <v>1</v>
      </c>
      <c r="K6735">
        <v>0</v>
      </c>
      <c r="L6735">
        <v>1</v>
      </c>
      <c r="M6735">
        <v>3</v>
      </c>
      <c r="N6735" t="s">
        <v>41</v>
      </c>
      <c r="O6735" t="s">
        <v>27</v>
      </c>
      <c r="P6735">
        <v>2.9497219032714099</v>
      </c>
      <c r="Q6735">
        <v>1.0572091593222099</v>
      </c>
      <c r="R6735">
        <v>1.57070625728236</v>
      </c>
      <c r="S6735">
        <v>182</v>
      </c>
      <c r="T6735">
        <v>43</v>
      </c>
      <c r="U6735">
        <v>431.42559376671198</v>
      </c>
      <c r="V6735">
        <v>7.9009744535159297E-4</v>
      </c>
      <c r="W6735">
        <v>1955066.0668307701</v>
      </c>
      <c r="X6735" t="s">
        <v>42</v>
      </c>
      <c r="Y6735">
        <f>1-239-959-1958</f>
        <v>-3155</v>
      </c>
    </row>
    <row r="6736" spans="1:25" x14ac:dyDescent="0.35">
      <c r="A6736">
        <v>39.160793068279702</v>
      </c>
      <c r="B6736">
        <v>-118.87081587983999</v>
      </c>
      <c r="C6736" t="s">
        <v>29</v>
      </c>
      <c r="D6736">
        <v>34.909628009358698</v>
      </c>
      <c r="E6736">
        <v>3</v>
      </c>
      <c r="F6736">
        <v>2819</v>
      </c>
      <c r="G6736">
        <v>2</v>
      </c>
      <c r="H6736">
        <v>1</v>
      </c>
      <c r="I6736">
        <v>2008</v>
      </c>
      <c r="J6736">
        <v>0</v>
      </c>
      <c r="K6736">
        <v>0</v>
      </c>
      <c r="L6736">
        <v>1</v>
      </c>
      <c r="M6736">
        <v>6</v>
      </c>
      <c r="N6736" t="s">
        <v>37</v>
      </c>
      <c r="O6736" t="s">
        <v>30</v>
      </c>
      <c r="P6736">
        <v>6.4522078214943699</v>
      </c>
      <c r="Q6736">
        <v>2.4707997853122499</v>
      </c>
      <c r="R6736">
        <v>6.9221159255890496</v>
      </c>
      <c r="S6736">
        <v>150</v>
      </c>
      <c r="T6736">
        <v>41</v>
      </c>
      <c r="U6736">
        <v>719.94858549872504</v>
      </c>
      <c r="V6736">
        <v>2.1284143313231598E-3</v>
      </c>
      <c r="W6736">
        <v>2113839.6312189498</v>
      </c>
      <c r="X6736" t="s">
        <v>38</v>
      </c>
      <c r="Y6736">
        <f>1-562-596-6416</f>
        <v>-7573</v>
      </c>
    </row>
    <row r="6737" spans="1:25" x14ac:dyDescent="0.35">
      <c r="A6737">
        <v>35.121572237207197</v>
      </c>
      <c r="B6737">
        <v>-116.375007776838</v>
      </c>
      <c r="C6737" t="s">
        <v>25</v>
      </c>
      <c r="D6737">
        <v>11.204406906903801</v>
      </c>
      <c r="E6737">
        <v>5</v>
      </c>
      <c r="F6737">
        <v>2261</v>
      </c>
      <c r="G6737">
        <v>2</v>
      </c>
      <c r="H6737">
        <v>1</v>
      </c>
      <c r="I6737">
        <v>1958</v>
      </c>
      <c r="J6737">
        <v>1</v>
      </c>
      <c r="K6737">
        <v>1</v>
      </c>
      <c r="L6737">
        <v>0</v>
      </c>
      <c r="M6737">
        <v>13</v>
      </c>
      <c r="N6737" t="s">
        <v>41</v>
      </c>
      <c r="O6737" t="s">
        <v>27</v>
      </c>
      <c r="P6737">
        <v>14.876584352701499</v>
      </c>
      <c r="Q6737">
        <v>0.87007831713766504</v>
      </c>
      <c r="R6737">
        <v>8.9703633517153598</v>
      </c>
      <c r="S6737">
        <v>83</v>
      </c>
      <c r="T6737">
        <v>31</v>
      </c>
      <c r="U6737">
        <v>361.59471660534098</v>
      </c>
      <c r="V6737">
        <v>5.7496682883679696E-3</v>
      </c>
      <c r="W6737">
        <v>1104245.5502502101</v>
      </c>
      <c r="X6737" t="s">
        <v>31</v>
      </c>
      <c r="Y6737">
        <f>1-411-448-7585</f>
        <v>-8443</v>
      </c>
    </row>
    <row r="6738" spans="1:25" x14ac:dyDescent="0.35">
      <c r="A6738">
        <v>40.563156504278901</v>
      </c>
      <c r="B6738">
        <v>-124.208431695326</v>
      </c>
      <c r="C6738" t="s">
        <v>25</v>
      </c>
      <c r="D6738">
        <v>17.7423563834665</v>
      </c>
      <c r="E6738">
        <v>2</v>
      </c>
      <c r="F6738">
        <v>4872</v>
      </c>
      <c r="G6738">
        <v>3</v>
      </c>
      <c r="H6738">
        <v>3</v>
      </c>
      <c r="I6738">
        <v>2008</v>
      </c>
      <c r="J6738">
        <v>1</v>
      </c>
      <c r="K6738">
        <v>1</v>
      </c>
      <c r="L6738">
        <v>0</v>
      </c>
      <c r="M6738">
        <v>13</v>
      </c>
      <c r="N6738" t="s">
        <v>41</v>
      </c>
      <c r="O6738" t="s">
        <v>32</v>
      </c>
      <c r="P6738">
        <v>4.5667711512584797</v>
      </c>
      <c r="Q6738">
        <v>1.11962714532112</v>
      </c>
      <c r="R6738">
        <v>1.57522376677225</v>
      </c>
      <c r="S6738">
        <v>55</v>
      </c>
      <c r="T6738">
        <v>56</v>
      </c>
      <c r="U6738">
        <v>345.45325363165603</v>
      </c>
      <c r="V6738">
        <v>2.6683087027914599E-3</v>
      </c>
      <c r="W6738">
        <v>2072090.24674843</v>
      </c>
      <c r="X6738" t="s">
        <v>31</v>
      </c>
      <c r="Y6738">
        <f>1-247-369-5374</f>
        <v>-5989</v>
      </c>
    </row>
    <row r="6739" spans="1:25" x14ac:dyDescent="0.35">
      <c r="A6739">
        <v>35.140619851596298</v>
      </c>
      <c r="B6739">
        <v>-122.654453904071</v>
      </c>
      <c r="C6739" t="s">
        <v>29</v>
      </c>
      <c r="D6739">
        <v>11.7906250074384</v>
      </c>
      <c r="E6739">
        <v>2</v>
      </c>
      <c r="F6739">
        <v>1875</v>
      </c>
      <c r="G6739">
        <v>3</v>
      </c>
      <c r="H6739">
        <v>1</v>
      </c>
      <c r="I6739">
        <v>1973</v>
      </c>
      <c r="J6739">
        <v>0</v>
      </c>
      <c r="K6739">
        <v>0</v>
      </c>
      <c r="L6739">
        <v>1</v>
      </c>
      <c r="M6739">
        <v>11</v>
      </c>
      <c r="N6739" t="s">
        <v>41</v>
      </c>
      <c r="O6739" t="s">
        <v>30</v>
      </c>
      <c r="P6739">
        <v>3.6836145182835902</v>
      </c>
      <c r="Q6739">
        <v>1.55726384845628</v>
      </c>
      <c r="R6739">
        <v>8.5924708635156506</v>
      </c>
      <c r="S6739">
        <v>155</v>
      </c>
      <c r="T6739">
        <v>53</v>
      </c>
      <c r="U6739">
        <v>848.79065512689203</v>
      </c>
      <c r="V6739">
        <v>5.8666666666666598E-3</v>
      </c>
      <c r="W6739">
        <v>1689196.06880479</v>
      </c>
      <c r="X6739" t="s">
        <v>36</v>
      </c>
      <c r="Y6739">
        <f>1-934-947-5447</f>
        <v>-7327</v>
      </c>
    </row>
    <row r="6740" spans="1:25" x14ac:dyDescent="0.35">
      <c r="A6740">
        <v>37.3475038322253</v>
      </c>
      <c r="B6740">
        <v>-122.632243634624</v>
      </c>
      <c r="C6740" t="s">
        <v>25</v>
      </c>
      <c r="D6740">
        <v>16.3910783390759</v>
      </c>
      <c r="E6740">
        <v>7</v>
      </c>
      <c r="F6740">
        <v>4907</v>
      </c>
      <c r="G6740">
        <v>1</v>
      </c>
      <c r="H6740">
        <v>3</v>
      </c>
      <c r="I6740">
        <v>1975</v>
      </c>
      <c r="J6740">
        <v>0</v>
      </c>
      <c r="K6740">
        <v>0</v>
      </c>
      <c r="L6740">
        <v>0</v>
      </c>
      <c r="M6740">
        <v>7</v>
      </c>
      <c r="N6740" t="s">
        <v>35</v>
      </c>
      <c r="O6740" t="s">
        <v>32</v>
      </c>
      <c r="P6740">
        <v>9.4312450159762307</v>
      </c>
      <c r="Q6740">
        <v>0.516058266136456</v>
      </c>
      <c r="R6740">
        <v>8.9049812760112097</v>
      </c>
      <c r="S6740">
        <v>75</v>
      </c>
      <c r="T6740">
        <v>57</v>
      </c>
      <c r="U6740">
        <v>917.91686904534697</v>
      </c>
      <c r="V6740">
        <v>1.4265335235377999E-3</v>
      </c>
      <c r="W6740">
        <v>4602835.25918609</v>
      </c>
      <c r="X6740" t="s">
        <v>42</v>
      </c>
      <c r="Y6740">
        <f>1-590-770-7861</f>
        <v>-9220</v>
      </c>
    </row>
    <row r="6741" spans="1:25" x14ac:dyDescent="0.35">
      <c r="A6741">
        <v>36.896646487498998</v>
      </c>
      <c r="B6741">
        <v>-124.040597880947</v>
      </c>
      <c r="C6741" t="s">
        <v>25</v>
      </c>
      <c r="D6741">
        <v>41.178193284865898</v>
      </c>
      <c r="E6741">
        <v>1</v>
      </c>
      <c r="F6741">
        <v>4167</v>
      </c>
      <c r="G6741">
        <v>1</v>
      </c>
      <c r="H6741">
        <v>2</v>
      </c>
      <c r="I6741">
        <v>1975</v>
      </c>
      <c r="J6741">
        <v>1</v>
      </c>
      <c r="K6741">
        <v>0</v>
      </c>
      <c r="L6741">
        <v>0</v>
      </c>
      <c r="M6741">
        <v>5</v>
      </c>
      <c r="N6741" t="s">
        <v>37</v>
      </c>
      <c r="O6741" t="s">
        <v>27</v>
      </c>
      <c r="P6741">
        <v>5.37852856310655</v>
      </c>
      <c r="Q6741">
        <v>1.46618716378884</v>
      </c>
      <c r="R6741">
        <v>2.8261951132352001</v>
      </c>
      <c r="S6741">
        <v>131</v>
      </c>
      <c r="T6741">
        <v>50</v>
      </c>
      <c r="U6741">
        <v>489.72280475928699</v>
      </c>
      <c r="V6741">
        <v>1.19990400767938E-3</v>
      </c>
      <c r="W6741">
        <v>2182749.2550082998</v>
      </c>
      <c r="X6741" t="s">
        <v>40</v>
      </c>
      <c r="Y6741">
        <f>1-307-155-8448</f>
        <v>-8909</v>
      </c>
    </row>
    <row r="6742" spans="1:25" x14ac:dyDescent="0.35">
      <c r="A6742">
        <v>36.045755499262498</v>
      </c>
      <c r="B6742">
        <v>-121.964090486565</v>
      </c>
      <c r="C6742" t="s">
        <v>29</v>
      </c>
      <c r="D6742">
        <v>5.03605130954326</v>
      </c>
      <c r="E6742">
        <v>7</v>
      </c>
      <c r="F6742">
        <v>3825</v>
      </c>
      <c r="G6742">
        <v>5</v>
      </c>
      <c r="H6742">
        <v>1</v>
      </c>
      <c r="I6742">
        <v>1960</v>
      </c>
      <c r="J6742">
        <v>1</v>
      </c>
      <c r="K6742">
        <v>0</v>
      </c>
      <c r="L6742">
        <v>0</v>
      </c>
      <c r="M6742">
        <v>9</v>
      </c>
      <c r="N6742" t="s">
        <v>41</v>
      </c>
      <c r="O6742" t="s">
        <v>32</v>
      </c>
      <c r="P6742">
        <v>9.5202325111433392</v>
      </c>
      <c r="Q6742">
        <v>1.76075571828167</v>
      </c>
      <c r="R6742">
        <v>7.0690245512226699</v>
      </c>
      <c r="S6742">
        <v>156</v>
      </c>
      <c r="T6742">
        <v>65</v>
      </c>
      <c r="U6742">
        <v>380.27944451264102</v>
      </c>
      <c r="V6742">
        <v>2.3529411764705798E-3</v>
      </c>
      <c r="W6742">
        <v>1687099.9990964599</v>
      </c>
      <c r="X6742" t="s">
        <v>43</v>
      </c>
      <c r="Y6742">
        <f>1-866-601-6034</f>
        <v>-7500</v>
      </c>
    </row>
    <row r="6743" spans="1:25" x14ac:dyDescent="0.35">
      <c r="A6743">
        <v>35.496660936772201</v>
      </c>
      <c r="B6743">
        <v>-114.99823540581301</v>
      </c>
      <c r="C6743" t="s">
        <v>29</v>
      </c>
      <c r="D6743">
        <v>36.520986954827599</v>
      </c>
      <c r="E6743">
        <v>3</v>
      </c>
      <c r="F6743">
        <v>1282</v>
      </c>
      <c r="G6743">
        <v>2</v>
      </c>
      <c r="H6743">
        <v>2</v>
      </c>
      <c r="I6743">
        <v>1975</v>
      </c>
      <c r="J6743">
        <v>0</v>
      </c>
      <c r="K6743">
        <v>1</v>
      </c>
      <c r="L6743">
        <v>0</v>
      </c>
      <c r="M6743">
        <v>2</v>
      </c>
      <c r="N6743" t="s">
        <v>41</v>
      </c>
      <c r="O6743" t="s">
        <v>27</v>
      </c>
      <c r="P6743">
        <v>13.0210364470427</v>
      </c>
      <c r="Q6743">
        <v>2.29761532768585</v>
      </c>
      <c r="R6743">
        <v>2.2736755722988198</v>
      </c>
      <c r="S6743">
        <v>157</v>
      </c>
      <c r="T6743">
        <v>76</v>
      </c>
      <c r="U6743">
        <v>587.15552929015905</v>
      </c>
      <c r="V6743">
        <v>1.5600624024960999E-3</v>
      </c>
      <c r="W6743">
        <v>991340.12570717896</v>
      </c>
      <c r="X6743" t="s">
        <v>44</v>
      </c>
      <c r="Y6743">
        <f>1-696-592-2474</f>
        <v>-3761</v>
      </c>
    </row>
    <row r="6744" spans="1:25" x14ac:dyDescent="0.35">
      <c r="A6744">
        <v>40.224233554265297</v>
      </c>
      <c r="B6744">
        <v>-120.945537505666</v>
      </c>
      <c r="C6744" t="s">
        <v>34</v>
      </c>
      <c r="D6744">
        <v>38.824366215172901</v>
      </c>
      <c r="E6744">
        <v>9</v>
      </c>
      <c r="F6744">
        <v>3173</v>
      </c>
      <c r="G6744">
        <v>1</v>
      </c>
      <c r="H6744">
        <v>1</v>
      </c>
      <c r="I6744">
        <v>2005</v>
      </c>
      <c r="J6744">
        <v>0</v>
      </c>
      <c r="K6744">
        <v>1</v>
      </c>
      <c r="L6744">
        <v>0</v>
      </c>
      <c r="M6744">
        <v>12</v>
      </c>
      <c r="N6744" t="s">
        <v>26</v>
      </c>
      <c r="O6744" t="s">
        <v>32</v>
      </c>
      <c r="P6744">
        <v>14.9795387692927</v>
      </c>
      <c r="Q6744">
        <v>2.2056376385302099</v>
      </c>
      <c r="R6744">
        <v>8.4764549059417096</v>
      </c>
      <c r="S6744">
        <v>119</v>
      </c>
      <c r="T6744">
        <v>75</v>
      </c>
      <c r="U6744">
        <v>216.15809275567199</v>
      </c>
      <c r="V6744">
        <v>3.7819098644815601E-3</v>
      </c>
      <c r="W6744">
        <v>883506.96423303999</v>
      </c>
      <c r="X6744" t="s">
        <v>38</v>
      </c>
      <c r="Y6744">
        <f>1-227-445-4226</f>
        <v>-4897</v>
      </c>
    </row>
    <row r="6745" spans="1:25" x14ac:dyDescent="0.35">
      <c r="A6745">
        <v>39.666752513814899</v>
      </c>
      <c r="B6745">
        <v>-115.58123869625599</v>
      </c>
      <c r="C6745" t="s">
        <v>25</v>
      </c>
      <c r="D6745">
        <v>34.0025116469076</v>
      </c>
      <c r="E6745">
        <v>7</v>
      </c>
      <c r="F6745">
        <v>4664</v>
      </c>
      <c r="G6745">
        <v>2</v>
      </c>
      <c r="H6745">
        <v>3</v>
      </c>
      <c r="I6745">
        <v>1983</v>
      </c>
      <c r="J6745">
        <v>1</v>
      </c>
      <c r="K6745">
        <v>0</v>
      </c>
      <c r="L6745">
        <v>0</v>
      </c>
      <c r="M6745">
        <v>2</v>
      </c>
      <c r="N6745" t="s">
        <v>26</v>
      </c>
      <c r="O6745" t="s">
        <v>32</v>
      </c>
      <c r="P6745">
        <v>4.6648632944112496</v>
      </c>
      <c r="Q6745">
        <v>2.0779474216340499</v>
      </c>
      <c r="R6745">
        <v>0.55343606960320202</v>
      </c>
      <c r="S6745">
        <v>133</v>
      </c>
      <c r="T6745">
        <v>50</v>
      </c>
      <c r="U6745">
        <v>293.79219516308098</v>
      </c>
      <c r="V6745">
        <v>4.2881646655231501E-4</v>
      </c>
      <c r="W6745">
        <v>1634020.40054628</v>
      </c>
      <c r="X6745" t="s">
        <v>43</v>
      </c>
      <c r="Y6745">
        <f>1-601-244-6101</f>
        <v>-6945</v>
      </c>
    </row>
    <row r="6746" spans="1:25" x14ac:dyDescent="0.35">
      <c r="A6746">
        <v>33.211909819231899</v>
      </c>
      <c r="B6746">
        <v>-114.065388587283</v>
      </c>
      <c r="C6746" t="s">
        <v>34</v>
      </c>
      <c r="D6746">
        <v>23.299529692045699</v>
      </c>
      <c r="E6746">
        <v>1</v>
      </c>
      <c r="F6746">
        <v>4132</v>
      </c>
      <c r="G6746">
        <v>2</v>
      </c>
      <c r="H6746">
        <v>2</v>
      </c>
      <c r="I6746">
        <v>1955</v>
      </c>
      <c r="J6746">
        <v>0</v>
      </c>
      <c r="K6746">
        <v>1</v>
      </c>
      <c r="L6746">
        <v>0</v>
      </c>
      <c r="M6746">
        <v>7</v>
      </c>
      <c r="N6746" t="s">
        <v>35</v>
      </c>
      <c r="O6746" t="s">
        <v>27</v>
      </c>
      <c r="P6746">
        <v>2.0793696704362099</v>
      </c>
      <c r="Q6746">
        <v>1.4899432991739501</v>
      </c>
      <c r="R6746">
        <v>9.8012686500162101</v>
      </c>
      <c r="S6746">
        <v>134</v>
      </c>
      <c r="T6746">
        <v>76</v>
      </c>
      <c r="U6746">
        <v>407.65131741142699</v>
      </c>
      <c r="V6746">
        <v>1.6940948693126799E-3</v>
      </c>
      <c r="W6746">
        <v>1757586.72128838</v>
      </c>
      <c r="X6746" t="s">
        <v>36</v>
      </c>
      <c r="Y6746">
        <f>1-508-524-4083</f>
        <v>-5114</v>
      </c>
    </row>
    <row r="6747" spans="1:25" x14ac:dyDescent="0.35">
      <c r="A6747">
        <v>40.299400243206698</v>
      </c>
      <c r="B6747">
        <v>-116.65590199680599</v>
      </c>
      <c r="C6747" t="s">
        <v>29</v>
      </c>
      <c r="D6747">
        <v>29.547387784998701</v>
      </c>
      <c r="E6747">
        <v>9</v>
      </c>
      <c r="F6747">
        <v>3668</v>
      </c>
      <c r="G6747">
        <v>5</v>
      </c>
      <c r="H6747">
        <v>3</v>
      </c>
      <c r="I6747">
        <v>1985</v>
      </c>
      <c r="J6747">
        <v>1</v>
      </c>
      <c r="K6747">
        <v>0</v>
      </c>
      <c r="L6747">
        <v>1</v>
      </c>
      <c r="M6747">
        <v>12</v>
      </c>
      <c r="N6747" t="s">
        <v>41</v>
      </c>
      <c r="O6747" t="s">
        <v>27</v>
      </c>
      <c r="P6747">
        <v>6.77494026039657</v>
      </c>
      <c r="Q6747">
        <v>0.90969834534840699</v>
      </c>
      <c r="R6747">
        <v>3.5047808493833501</v>
      </c>
      <c r="S6747">
        <v>13</v>
      </c>
      <c r="T6747">
        <v>64</v>
      </c>
      <c r="U6747">
        <v>292.35437541330299</v>
      </c>
      <c r="V6747">
        <v>3.2715376226826599E-3</v>
      </c>
      <c r="W6747">
        <v>1448726.1985267601</v>
      </c>
      <c r="X6747" t="s">
        <v>39</v>
      </c>
      <c r="Y6747">
        <f>1-458-956-9496</f>
        <v>-10909</v>
      </c>
    </row>
    <row r="6748" spans="1:25" x14ac:dyDescent="0.35">
      <c r="A6748">
        <v>41.686927180738401</v>
      </c>
      <c r="B6748">
        <v>-121.845964436034</v>
      </c>
      <c r="C6748" t="s">
        <v>34</v>
      </c>
      <c r="D6748">
        <v>39.416107166244998</v>
      </c>
      <c r="E6748">
        <v>4</v>
      </c>
      <c r="F6748">
        <v>1001</v>
      </c>
      <c r="G6748">
        <v>3</v>
      </c>
      <c r="H6748">
        <v>2</v>
      </c>
      <c r="I6748">
        <v>1968</v>
      </c>
      <c r="J6748">
        <v>0</v>
      </c>
      <c r="K6748">
        <v>0</v>
      </c>
      <c r="L6748">
        <v>0</v>
      </c>
      <c r="M6748">
        <v>3</v>
      </c>
      <c r="N6748" t="s">
        <v>35</v>
      </c>
      <c r="O6748" t="s">
        <v>32</v>
      </c>
      <c r="P6748">
        <v>10.157627543402601</v>
      </c>
      <c r="Q6748">
        <v>1.21875340921624</v>
      </c>
      <c r="R6748">
        <v>4.8282672259916399</v>
      </c>
      <c r="S6748">
        <v>13</v>
      </c>
      <c r="T6748">
        <v>76</v>
      </c>
      <c r="U6748">
        <v>833.91247086738895</v>
      </c>
      <c r="V6748">
        <v>2.9970029970029901E-3</v>
      </c>
      <c r="W6748">
        <v>1074622.0779192599</v>
      </c>
      <c r="X6748" t="s">
        <v>28</v>
      </c>
      <c r="Y6748">
        <f>1-426-513-7002</f>
        <v>-7940</v>
      </c>
    </row>
    <row r="6749" spans="1:25" x14ac:dyDescent="0.35">
      <c r="A6749">
        <v>37.426912865627898</v>
      </c>
      <c r="B6749">
        <v>-120.770989326156</v>
      </c>
      <c r="C6749" t="s">
        <v>29</v>
      </c>
      <c r="D6749">
        <v>3.5915739015985402</v>
      </c>
      <c r="E6749">
        <v>3</v>
      </c>
      <c r="F6749">
        <v>1749</v>
      </c>
      <c r="G6749">
        <v>3</v>
      </c>
      <c r="H6749">
        <v>3</v>
      </c>
      <c r="I6749">
        <v>2020</v>
      </c>
      <c r="J6749">
        <v>1</v>
      </c>
      <c r="K6749">
        <v>1</v>
      </c>
      <c r="L6749">
        <v>0</v>
      </c>
      <c r="M6749">
        <v>3</v>
      </c>
      <c r="N6749" t="s">
        <v>37</v>
      </c>
      <c r="O6749" t="s">
        <v>32</v>
      </c>
      <c r="P6749">
        <v>13.7821698658319</v>
      </c>
      <c r="Q6749">
        <v>0.82841900228238496</v>
      </c>
      <c r="R6749">
        <v>3.8826279967902999</v>
      </c>
      <c r="S6749">
        <v>170</v>
      </c>
      <c r="T6749">
        <v>47</v>
      </c>
      <c r="U6749">
        <v>765.79929559460504</v>
      </c>
      <c r="V6749">
        <v>1.71526586620926E-3</v>
      </c>
      <c r="W6749">
        <v>1801752.28383767</v>
      </c>
      <c r="X6749" t="s">
        <v>36</v>
      </c>
      <c r="Y6749">
        <f>1-276-189-6705</f>
        <v>-7169</v>
      </c>
    </row>
    <row r="6750" spans="1:25" x14ac:dyDescent="0.35">
      <c r="A6750">
        <v>33.010754048624698</v>
      </c>
      <c r="B6750">
        <v>-120.71329988847801</v>
      </c>
      <c r="C6750" t="s">
        <v>34</v>
      </c>
      <c r="D6750">
        <v>13.2696870425752</v>
      </c>
      <c r="E6750">
        <v>1</v>
      </c>
      <c r="F6750">
        <v>2243</v>
      </c>
      <c r="G6750">
        <v>3</v>
      </c>
      <c r="H6750">
        <v>1</v>
      </c>
      <c r="I6750">
        <v>2017</v>
      </c>
      <c r="J6750">
        <v>0</v>
      </c>
      <c r="K6750">
        <v>0</v>
      </c>
      <c r="L6750">
        <v>0</v>
      </c>
      <c r="M6750">
        <v>11</v>
      </c>
      <c r="N6750" t="s">
        <v>26</v>
      </c>
      <c r="O6750" t="s">
        <v>27</v>
      </c>
      <c r="P6750">
        <v>6.7675291469030903</v>
      </c>
      <c r="Q6750">
        <v>1.1856457331727499</v>
      </c>
      <c r="R6750">
        <v>8.5392216744651392</v>
      </c>
      <c r="S6750">
        <v>78</v>
      </c>
      <c r="T6750">
        <v>42</v>
      </c>
      <c r="U6750">
        <v>420.50441174929801</v>
      </c>
      <c r="V6750">
        <v>4.90414623272403E-3</v>
      </c>
      <c r="W6750">
        <v>1153717.57898738</v>
      </c>
      <c r="X6750" t="s">
        <v>43</v>
      </c>
      <c r="Y6750">
        <f>1-292-113-6655</f>
        <v>-7059</v>
      </c>
    </row>
    <row r="6751" spans="1:25" x14ac:dyDescent="0.35">
      <c r="A6751">
        <v>41.227599458677901</v>
      </c>
      <c r="B6751">
        <v>-115.163347377185</v>
      </c>
      <c r="C6751" t="s">
        <v>25</v>
      </c>
      <c r="D6751">
        <v>20.811962350782199</v>
      </c>
      <c r="E6751">
        <v>2</v>
      </c>
      <c r="F6751">
        <v>3992</v>
      </c>
      <c r="G6751">
        <v>2</v>
      </c>
      <c r="H6751">
        <v>1</v>
      </c>
      <c r="I6751">
        <v>1960</v>
      </c>
      <c r="J6751">
        <v>0</v>
      </c>
      <c r="K6751">
        <v>0</v>
      </c>
      <c r="L6751">
        <v>0</v>
      </c>
      <c r="M6751">
        <v>3</v>
      </c>
      <c r="N6751" t="s">
        <v>26</v>
      </c>
      <c r="O6751" t="s">
        <v>30</v>
      </c>
      <c r="P6751">
        <v>3.3693884457838199</v>
      </c>
      <c r="Q6751">
        <v>0.91799970801440001</v>
      </c>
      <c r="R6751">
        <v>7.5215832888188299</v>
      </c>
      <c r="S6751">
        <v>1</v>
      </c>
      <c r="T6751">
        <v>43</v>
      </c>
      <c r="U6751">
        <v>870.64924956055302</v>
      </c>
      <c r="V6751">
        <v>7.5150300601202404E-4</v>
      </c>
      <c r="W6751">
        <v>3487497.8187214299</v>
      </c>
      <c r="X6751" t="s">
        <v>31</v>
      </c>
      <c r="Y6751">
        <f>1-677-827-6692</f>
        <v>-8195</v>
      </c>
    </row>
    <row r="6752" spans="1:25" x14ac:dyDescent="0.35">
      <c r="A6752">
        <v>34.176088749999899</v>
      </c>
      <c r="B6752">
        <v>-122.93980207959299</v>
      </c>
      <c r="C6752" t="s">
        <v>34</v>
      </c>
      <c r="D6752">
        <v>22.485109060894001</v>
      </c>
      <c r="E6752">
        <v>6</v>
      </c>
      <c r="F6752">
        <v>3958</v>
      </c>
      <c r="G6752">
        <v>5</v>
      </c>
      <c r="H6752">
        <v>3</v>
      </c>
      <c r="I6752">
        <v>1968</v>
      </c>
      <c r="J6752">
        <v>1</v>
      </c>
      <c r="K6752">
        <v>0</v>
      </c>
      <c r="L6752">
        <v>0</v>
      </c>
      <c r="M6752">
        <v>4</v>
      </c>
      <c r="N6752" t="s">
        <v>26</v>
      </c>
      <c r="O6752" t="s">
        <v>30</v>
      </c>
      <c r="P6752">
        <v>6.0030450499192902</v>
      </c>
      <c r="Q6752">
        <v>2.0629772041328698</v>
      </c>
      <c r="R6752">
        <v>9.7498054386343505</v>
      </c>
      <c r="S6752">
        <v>127</v>
      </c>
      <c r="T6752">
        <v>71</v>
      </c>
      <c r="U6752">
        <v>641.96846682992702</v>
      </c>
      <c r="V6752">
        <v>1.0106114199090401E-3</v>
      </c>
      <c r="W6752">
        <v>2781297.0145926801</v>
      </c>
      <c r="X6752" t="s">
        <v>43</v>
      </c>
      <c r="Y6752">
        <f>1-202-793-8859</f>
        <v>-9853</v>
      </c>
    </row>
    <row r="6753" spans="1:25" x14ac:dyDescent="0.35">
      <c r="A6753">
        <v>34.149961310429603</v>
      </c>
      <c r="B6753">
        <v>-122.689648553368</v>
      </c>
      <c r="C6753" t="s">
        <v>29</v>
      </c>
      <c r="D6753">
        <v>6.5174656582791002</v>
      </c>
      <c r="E6753">
        <v>1</v>
      </c>
      <c r="F6753">
        <v>4677</v>
      </c>
      <c r="G6753">
        <v>1</v>
      </c>
      <c r="H6753">
        <v>3</v>
      </c>
      <c r="I6753">
        <v>1990</v>
      </c>
      <c r="J6753">
        <v>1</v>
      </c>
      <c r="K6753">
        <v>0</v>
      </c>
      <c r="L6753">
        <v>0</v>
      </c>
      <c r="M6753">
        <v>12</v>
      </c>
      <c r="N6753" t="s">
        <v>41</v>
      </c>
      <c r="O6753" t="s">
        <v>32</v>
      </c>
      <c r="P6753">
        <v>7.9945663931403104</v>
      </c>
      <c r="Q6753">
        <v>0.69170334907868303</v>
      </c>
      <c r="R6753">
        <v>0.64904603699913999</v>
      </c>
      <c r="S6753">
        <v>115</v>
      </c>
      <c r="T6753">
        <v>23</v>
      </c>
      <c r="U6753">
        <v>549.57085445007499</v>
      </c>
      <c r="V6753">
        <v>2.56574727389352E-3</v>
      </c>
      <c r="W6753">
        <v>2796733.9970100201</v>
      </c>
      <c r="X6753" t="s">
        <v>36</v>
      </c>
      <c r="Y6753">
        <f>1-712-427-6150</f>
        <v>-7288</v>
      </c>
    </row>
    <row r="6754" spans="1:25" x14ac:dyDescent="0.35">
      <c r="A6754">
        <v>38.1878571008695</v>
      </c>
      <c r="B6754">
        <v>-123.687633526082</v>
      </c>
      <c r="C6754" t="s">
        <v>25</v>
      </c>
      <c r="D6754">
        <v>27.460502488896601</v>
      </c>
      <c r="E6754">
        <v>3</v>
      </c>
      <c r="F6754">
        <v>4148</v>
      </c>
      <c r="G6754">
        <v>1</v>
      </c>
      <c r="H6754">
        <v>2</v>
      </c>
      <c r="I6754">
        <v>1958</v>
      </c>
      <c r="J6754">
        <v>0</v>
      </c>
      <c r="K6754">
        <v>1</v>
      </c>
      <c r="L6754">
        <v>0</v>
      </c>
      <c r="M6754">
        <v>14</v>
      </c>
      <c r="N6754" t="s">
        <v>26</v>
      </c>
      <c r="O6754" t="s">
        <v>27</v>
      </c>
      <c r="P6754">
        <v>2.2039208594631701</v>
      </c>
      <c r="Q6754">
        <v>0.91128695436948304</v>
      </c>
      <c r="R6754">
        <v>3.3873565994665</v>
      </c>
      <c r="S6754">
        <v>195</v>
      </c>
      <c r="T6754">
        <v>66</v>
      </c>
      <c r="U6754">
        <v>606.079784076441</v>
      </c>
      <c r="V6754">
        <v>3.3751205400192798E-3</v>
      </c>
      <c r="W6754">
        <v>2607655.0424863002</v>
      </c>
      <c r="X6754" t="s">
        <v>36</v>
      </c>
      <c r="Y6754">
        <f>1-644-116-4858</f>
        <v>-5617</v>
      </c>
    </row>
    <row r="6755" spans="1:25" x14ac:dyDescent="0.35">
      <c r="A6755">
        <v>34.067564664284497</v>
      </c>
      <c r="B6755">
        <v>-116.500921526651</v>
      </c>
      <c r="C6755" t="s">
        <v>29</v>
      </c>
      <c r="D6755">
        <v>13.6972057221474</v>
      </c>
      <c r="E6755">
        <v>2</v>
      </c>
      <c r="F6755">
        <v>3839</v>
      </c>
      <c r="G6755">
        <v>4</v>
      </c>
      <c r="H6755">
        <v>1</v>
      </c>
      <c r="I6755">
        <v>1951</v>
      </c>
      <c r="J6755">
        <v>1</v>
      </c>
      <c r="K6755">
        <v>1</v>
      </c>
      <c r="L6755">
        <v>1</v>
      </c>
      <c r="M6755">
        <v>11</v>
      </c>
      <c r="N6755" t="s">
        <v>26</v>
      </c>
      <c r="O6755" t="s">
        <v>32</v>
      </c>
      <c r="P6755">
        <v>14.506797209807599</v>
      </c>
      <c r="Q6755">
        <v>1.1770867823131701</v>
      </c>
      <c r="R6755">
        <v>5.1764440714619004</v>
      </c>
      <c r="S6755">
        <v>41</v>
      </c>
      <c r="T6755">
        <v>65</v>
      </c>
      <c r="U6755">
        <v>609.85534358633902</v>
      </c>
      <c r="V6755">
        <v>2.8653295128939801E-3</v>
      </c>
      <c r="W6755">
        <v>2738686.6981343799</v>
      </c>
      <c r="X6755" t="s">
        <v>43</v>
      </c>
      <c r="Y6755">
        <f>1-589-870-7080</f>
        <v>-8538</v>
      </c>
    </row>
    <row r="6756" spans="1:25" x14ac:dyDescent="0.35">
      <c r="A6756">
        <v>35.594806166060998</v>
      </c>
      <c r="B6756">
        <v>-114.548845494768</v>
      </c>
      <c r="C6756" t="s">
        <v>29</v>
      </c>
      <c r="D6756">
        <v>15.1228512169873</v>
      </c>
      <c r="E6756">
        <v>3</v>
      </c>
      <c r="F6756">
        <v>638</v>
      </c>
      <c r="G6756">
        <v>2</v>
      </c>
      <c r="H6756">
        <v>2</v>
      </c>
      <c r="I6756">
        <v>1959</v>
      </c>
      <c r="J6756">
        <v>0</v>
      </c>
      <c r="K6756">
        <v>0</v>
      </c>
      <c r="L6756">
        <v>0</v>
      </c>
      <c r="M6756">
        <v>9</v>
      </c>
      <c r="N6756" t="s">
        <v>41</v>
      </c>
      <c r="O6756" t="s">
        <v>32</v>
      </c>
      <c r="P6756">
        <v>9.15212692892913</v>
      </c>
      <c r="Q6756">
        <v>0.80806701786851398</v>
      </c>
      <c r="R6756">
        <v>3.3404368475311998</v>
      </c>
      <c r="S6756">
        <v>44</v>
      </c>
      <c r="T6756">
        <v>31</v>
      </c>
      <c r="U6756">
        <v>840.19077715841297</v>
      </c>
      <c r="V6756">
        <v>1.41065830721003E-2</v>
      </c>
      <c r="W6756">
        <v>588598.97721547901</v>
      </c>
      <c r="X6756" t="s">
        <v>39</v>
      </c>
      <c r="Y6756">
        <f>1-642-988-5938</f>
        <v>-7567</v>
      </c>
    </row>
    <row r="6757" spans="1:25" x14ac:dyDescent="0.35">
      <c r="A6757">
        <v>40.758472721416297</v>
      </c>
      <c r="B6757">
        <v>-121.994898764205</v>
      </c>
      <c r="C6757" t="s">
        <v>34</v>
      </c>
      <c r="D6757">
        <v>10.3645816330018</v>
      </c>
      <c r="E6757">
        <v>0</v>
      </c>
      <c r="F6757">
        <v>3114</v>
      </c>
      <c r="G6757">
        <v>1</v>
      </c>
      <c r="H6757">
        <v>3</v>
      </c>
      <c r="I6757">
        <v>2012</v>
      </c>
      <c r="J6757">
        <v>0</v>
      </c>
      <c r="K6757">
        <v>0</v>
      </c>
      <c r="L6757">
        <v>0</v>
      </c>
      <c r="M6757">
        <v>9</v>
      </c>
      <c r="N6757" t="s">
        <v>37</v>
      </c>
      <c r="O6757" t="s">
        <v>30</v>
      </c>
      <c r="P6757">
        <v>2.9677770405701298</v>
      </c>
      <c r="Q6757">
        <v>1.8316342914252901</v>
      </c>
      <c r="R6757">
        <v>2.9174504045504901</v>
      </c>
      <c r="S6757">
        <v>85</v>
      </c>
      <c r="T6757">
        <v>66</v>
      </c>
      <c r="U6757">
        <v>366.809766339639</v>
      </c>
      <c r="V6757">
        <v>2.8901734104046198E-3</v>
      </c>
      <c r="W6757">
        <v>1277817.33184172</v>
      </c>
      <c r="X6757" t="s">
        <v>38</v>
      </c>
      <c r="Y6757">
        <f>1-428-701-7385</f>
        <v>-8513</v>
      </c>
    </row>
    <row r="6758" spans="1:25" x14ac:dyDescent="0.35">
      <c r="A6758">
        <v>34.108346012090799</v>
      </c>
      <c r="B6758">
        <v>-117.07963257062499</v>
      </c>
      <c r="C6758" t="s">
        <v>25</v>
      </c>
      <c r="D6758">
        <v>33.112117191580303</v>
      </c>
      <c r="E6758">
        <v>0</v>
      </c>
      <c r="F6758">
        <v>525</v>
      </c>
      <c r="G6758">
        <v>5</v>
      </c>
      <c r="H6758">
        <v>2</v>
      </c>
      <c r="I6758">
        <v>1991</v>
      </c>
      <c r="J6758">
        <v>1</v>
      </c>
      <c r="K6758">
        <v>0</v>
      </c>
      <c r="L6758">
        <v>1</v>
      </c>
      <c r="M6758">
        <v>2</v>
      </c>
      <c r="N6758" t="s">
        <v>37</v>
      </c>
      <c r="O6758" t="s">
        <v>30</v>
      </c>
      <c r="P6758">
        <v>10.814513561586301</v>
      </c>
      <c r="Q6758">
        <v>1.5067473416017401</v>
      </c>
      <c r="R6758">
        <v>1.2840143205197001</v>
      </c>
      <c r="S6758">
        <v>53</v>
      </c>
      <c r="T6758">
        <v>43</v>
      </c>
      <c r="U6758">
        <v>845.92550408765396</v>
      </c>
      <c r="V6758">
        <v>3.8095238095238E-3</v>
      </c>
      <c r="W6758">
        <v>827642.83610425098</v>
      </c>
      <c r="X6758" t="s">
        <v>33</v>
      </c>
      <c r="Y6758">
        <f>1-283-154-3851</f>
        <v>-4287</v>
      </c>
    </row>
    <row r="6759" spans="1:25" x14ac:dyDescent="0.35">
      <c r="A6759">
        <v>34.412886241960898</v>
      </c>
      <c r="B6759">
        <v>-115.78848706895801</v>
      </c>
      <c r="C6759" t="s">
        <v>34</v>
      </c>
      <c r="D6759">
        <v>29.260320983092399</v>
      </c>
      <c r="E6759">
        <v>3</v>
      </c>
      <c r="F6759">
        <v>983</v>
      </c>
      <c r="G6759">
        <v>3</v>
      </c>
      <c r="H6759">
        <v>3</v>
      </c>
      <c r="I6759">
        <v>1998</v>
      </c>
      <c r="J6759">
        <v>0</v>
      </c>
      <c r="K6759">
        <v>1</v>
      </c>
      <c r="L6759">
        <v>1</v>
      </c>
      <c r="M6759">
        <v>2</v>
      </c>
      <c r="N6759" t="s">
        <v>35</v>
      </c>
      <c r="O6759" t="s">
        <v>32</v>
      </c>
      <c r="P6759">
        <v>8.6109500346782006</v>
      </c>
      <c r="Q6759">
        <v>1.8893579005788399</v>
      </c>
      <c r="R6759">
        <v>8.4397184525282203</v>
      </c>
      <c r="S6759">
        <v>55</v>
      </c>
      <c r="T6759">
        <v>71</v>
      </c>
      <c r="U6759">
        <v>827.78153383207302</v>
      </c>
      <c r="V6759">
        <v>2.03458799593082E-3</v>
      </c>
      <c r="W6759">
        <v>1222171.5386640001</v>
      </c>
      <c r="X6759" t="s">
        <v>43</v>
      </c>
      <c r="Y6759">
        <f>1-760-786-6550</f>
        <v>-8095</v>
      </c>
    </row>
    <row r="6760" spans="1:25" x14ac:dyDescent="0.35">
      <c r="A6760">
        <v>38.1294265279341</v>
      </c>
      <c r="B6760">
        <v>-117.03512930433899</v>
      </c>
      <c r="C6760" t="s">
        <v>34</v>
      </c>
      <c r="D6760">
        <v>44.850133259914998</v>
      </c>
      <c r="E6760">
        <v>6</v>
      </c>
      <c r="F6760">
        <v>660</v>
      </c>
      <c r="G6760">
        <v>2</v>
      </c>
      <c r="H6760">
        <v>3</v>
      </c>
      <c r="I6760">
        <v>2010</v>
      </c>
      <c r="J6760">
        <v>0</v>
      </c>
      <c r="K6760">
        <v>1</v>
      </c>
      <c r="L6760">
        <v>1</v>
      </c>
      <c r="M6760">
        <v>4</v>
      </c>
      <c r="N6760" t="s">
        <v>35</v>
      </c>
      <c r="O6760" t="s">
        <v>30</v>
      </c>
      <c r="P6760">
        <v>6.8100102312726998</v>
      </c>
      <c r="Q6760">
        <v>1.9324701462559799</v>
      </c>
      <c r="R6760">
        <v>8.0436656589554101</v>
      </c>
      <c r="S6760">
        <v>124</v>
      </c>
      <c r="T6760">
        <v>50</v>
      </c>
      <c r="U6760">
        <v>688.48135530228205</v>
      </c>
      <c r="V6760">
        <v>6.0606060606060597E-3</v>
      </c>
      <c r="W6760">
        <v>747558.08976382203</v>
      </c>
      <c r="X6760" t="s">
        <v>38</v>
      </c>
      <c r="Y6760">
        <f>1-885-779-1939</f>
        <v>-3602</v>
      </c>
    </row>
    <row r="6761" spans="1:25" x14ac:dyDescent="0.35">
      <c r="A6761">
        <v>33.717707181605199</v>
      </c>
      <c r="B6761">
        <v>-121.110352310959</v>
      </c>
      <c r="C6761" t="s">
        <v>25</v>
      </c>
      <c r="D6761">
        <v>30.908192295314699</v>
      </c>
      <c r="E6761">
        <v>5</v>
      </c>
      <c r="F6761">
        <v>2443</v>
      </c>
      <c r="G6761">
        <v>2</v>
      </c>
      <c r="H6761">
        <v>2</v>
      </c>
      <c r="I6761">
        <v>1953</v>
      </c>
      <c r="J6761">
        <v>1</v>
      </c>
      <c r="K6761">
        <v>1</v>
      </c>
      <c r="L6761">
        <v>1</v>
      </c>
      <c r="M6761">
        <v>3</v>
      </c>
      <c r="N6761" t="s">
        <v>26</v>
      </c>
      <c r="O6761" t="s">
        <v>30</v>
      </c>
      <c r="P6761">
        <v>7.5187775567179003</v>
      </c>
      <c r="Q6761">
        <v>0.91411158586465402</v>
      </c>
      <c r="R6761">
        <v>6.1503590252348497</v>
      </c>
      <c r="S6761">
        <v>128</v>
      </c>
      <c r="T6761">
        <v>73</v>
      </c>
      <c r="U6761">
        <v>681.88247214268597</v>
      </c>
      <c r="V6761">
        <v>1.2279983626688399E-3</v>
      </c>
      <c r="W6761">
        <v>1860498.28719352</v>
      </c>
      <c r="X6761" t="s">
        <v>42</v>
      </c>
      <c r="Y6761">
        <f>1-277-347-4979</f>
        <v>-5602</v>
      </c>
    </row>
    <row r="6762" spans="1:25" x14ac:dyDescent="0.35">
      <c r="A6762">
        <v>37.781745919586001</v>
      </c>
      <c r="B6762">
        <v>-119.572303108677</v>
      </c>
      <c r="C6762" t="s">
        <v>25</v>
      </c>
      <c r="D6762">
        <v>9.2881468242162999</v>
      </c>
      <c r="E6762">
        <v>8</v>
      </c>
      <c r="F6762">
        <v>4637</v>
      </c>
      <c r="G6762">
        <v>1</v>
      </c>
      <c r="H6762">
        <v>1</v>
      </c>
      <c r="I6762">
        <v>2003</v>
      </c>
      <c r="J6762">
        <v>0</v>
      </c>
      <c r="K6762">
        <v>1</v>
      </c>
      <c r="L6762">
        <v>1</v>
      </c>
      <c r="M6762">
        <v>2</v>
      </c>
      <c r="N6762" t="s">
        <v>41</v>
      </c>
      <c r="O6762" t="s">
        <v>27</v>
      </c>
      <c r="P6762">
        <v>12.713462424929499</v>
      </c>
      <c r="Q6762">
        <v>1.7163794693918899</v>
      </c>
      <c r="R6762">
        <v>0.717708187169386</v>
      </c>
      <c r="S6762">
        <v>9</v>
      </c>
      <c r="T6762">
        <v>39</v>
      </c>
      <c r="U6762">
        <v>955.13340664975499</v>
      </c>
      <c r="V6762">
        <v>4.3131334914815598E-4</v>
      </c>
      <c r="W6762">
        <v>4769522.4221530296</v>
      </c>
      <c r="X6762" t="s">
        <v>43</v>
      </c>
      <c r="Y6762">
        <f>1-885-130-5390</f>
        <v>-6404</v>
      </c>
    </row>
    <row r="6763" spans="1:25" x14ac:dyDescent="0.35">
      <c r="A6763">
        <v>38.819851753554403</v>
      </c>
      <c r="B6763">
        <v>-120.461199462273</v>
      </c>
      <c r="C6763" t="s">
        <v>29</v>
      </c>
      <c r="D6763">
        <v>6.7039737449852899</v>
      </c>
      <c r="E6763">
        <v>0</v>
      </c>
      <c r="F6763">
        <v>2848</v>
      </c>
      <c r="G6763">
        <v>3</v>
      </c>
      <c r="H6763">
        <v>3</v>
      </c>
      <c r="I6763">
        <v>1954</v>
      </c>
      <c r="J6763">
        <v>0</v>
      </c>
      <c r="K6763">
        <v>1</v>
      </c>
      <c r="L6763">
        <v>0</v>
      </c>
      <c r="M6763">
        <v>5</v>
      </c>
      <c r="N6763" t="s">
        <v>35</v>
      </c>
      <c r="O6763" t="s">
        <v>30</v>
      </c>
      <c r="P6763">
        <v>9.7593371685404193</v>
      </c>
      <c r="Q6763">
        <v>2.3887463628661498</v>
      </c>
      <c r="R6763">
        <v>7.09036566405244</v>
      </c>
      <c r="S6763">
        <v>182</v>
      </c>
      <c r="T6763">
        <v>32</v>
      </c>
      <c r="U6763">
        <v>808.86251035606006</v>
      </c>
      <c r="V6763">
        <v>1.7556179775280801E-3</v>
      </c>
      <c r="W6763">
        <v>2626048.2067650398</v>
      </c>
      <c r="X6763" t="s">
        <v>40</v>
      </c>
      <c r="Y6763">
        <f>1-568-613-5484</f>
        <v>-6664</v>
      </c>
    </row>
    <row r="6764" spans="1:25" x14ac:dyDescent="0.35">
      <c r="A6764">
        <v>38.247153119290601</v>
      </c>
      <c r="B6764">
        <v>-116.813946072973</v>
      </c>
      <c r="C6764" t="s">
        <v>29</v>
      </c>
      <c r="D6764">
        <v>16.5342989837321</v>
      </c>
      <c r="E6764">
        <v>9</v>
      </c>
      <c r="F6764">
        <v>1690</v>
      </c>
      <c r="G6764">
        <v>3</v>
      </c>
      <c r="H6764">
        <v>1</v>
      </c>
      <c r="I6764">
        <v>1994</v>
      </c>
      <c r="J6764">
        <v>1</v>
      </c>
      <c r="K6764">
        <v>1</v>
      </c>
      <c r="L6764">
        <v>0</v>
      </c>
      <c r="M6764">
        <v>11</v>
      </c>
      <c r="N6764" t="s">
        <v>35</v>
      </c>
      <c r="O6764" t="s">
        <v>32</v>
      </c>
      <c r="P6764">
        <v>12.8811722233261</v>
      </c>
      <c r="Q6764">
        <v>0.87903493978427405</v>
      </c>
      <c r="R6764">
        <v>0.888942909010356</v>
      </c>
      <c r="S6764">
        <v>146</v>
      </c>
      <c r="T6764">
        <v>66</v>
      </c>
      <c r="U6764">
        <v>965.72218688665396</v>
      </c>
      <c r="V6764">
        <v>6.5088757396449702E-3</v>
      </c>
      <c r="W6764">
        <v>1898600.44140068</v>
      </c>
      <c r="X6764" t="s">
        <v>39</v>
      </c>
      <c r="Y6764">
        <f>1-280-573-3516</f>
        <v>-4368</v>
      </c>
    </row>
    <row r="6765" spans="1:25" x14ac:dyDescent="0.35">
      <c r="A6765">
        <v>38.913842760317898</v>
      </c>
      <c r="B6765">
        <v>-121.959545431246</v>
      </c>
      <c r="C6765" t="s">
        <v>25</v>
      </c>
      <c r="D6765">
        <v>39.171260502866602</v>
      </c>
      <c r="E6765">
        <v>0</v>
      </c>
      <c r="F6765">
        <v>1958</v>
      </c>
      <c r="G6765">
        <v>2</v>
      </c>
      <c r="H6765">
        <v>3</v>
      </c>
      <c r="I6765">
        <v>1986</v>
      </c>
      <c r="J6765">
        <v>1</v>
      </c>
      <c r="K6765">
        <v>0</v>
      </c>
      <c r="L6765">
        <v>1</v>
      </c>
      <c r="M6765">
        <v>11</v>
      </c>
      <c r="N6765" t="s">
        <v>37</v>
      </c>
      <c r="O6765" t="s">
        <v>30</v>
      </c>
      <c r="P6765">
        <v>7.4096732318522696</v>
      </c>
      <c r="Q6765">
        <v>1.47925184674058</v>
      </c>
      <c r="R6765">
        <v>1.20761863919431</v>
      </c>
      <c r="S6765">
        <v>140</v>
      </c>
      <c r="T6765">
        <v>78</v>
      </c>
      <c r="U6765">
        <v>870.80800943489601</v>
      </c>
      <c r="V6765">
        <v>5.6179775280898797E-3</v>
      </c>
      <c r="W6765">
        <v>1903868.54768091</v>
      </c>
      <c r="X6765" t="s">
        <v>39</v>
      </c>
      <c r="Y6765">
        <f>1-231-568-9404</f>
        <v>-10202</v>
      </c>
    </row>
    <row r="6766" spans="1:25" x14ac:dyDescent="0.35">
      <c r="A6766">
        <v>39.2262916391986</v>
      </c>
      <c r="B6766">
        <v>-117.157300948707</v>
      </c>
      <c r="C6766" t="s">
        <v>34</v>
      </c>
      <c r="D6766">
        <v>35.479579419590202</v>
      </c>
      <c r="E6766">
        <v>7</v>
      </c>
      <c r="F6766">
        <v>3423</v>
      </c>
      <c r="G6766">
        <v>4</v>
      </c>
      <c r="H6766">
        <v>1</v>
      </c>
      <c r="I6766">
        <v>1984</v>
      </c>
      <c r="J6766">
        <v>1</v>
      </c>
      <c r="K6766">
        <v>0</v>
      </c>
      <c r="L6766">
        <v>1</v>
      </c>
      <c r="M6766">
        <v>14</v>
      </c>
      <c r="N6766" t="s">
        <v>35</v>
      </c>
      <c r="O6766" t="s">
        <v>27</v>
      </c>
      <c r="P6766">
        <v>7.43534838620557</v>
      </c>
      <c r="Q6766">
        <v>0.55315234032078497</v>
      </c>
      <c r="R6766">
        <v>8.5351071388536592</v>
      </c>
      <c r="S6766">
        <v>66</v>
      </c>
      <c r="T6766">
        <v>46</v>
      </c>
      <c r="U6766">
        <v>476.45815526409501</v>
      </c>
      <c r="V6766">
        <v>4.0899795501022499E-3</v>
      </c>
      <c r="W6766">
        <v>1896564.64968039</v>
      </c>
      <c r="X6766" t="s">
        <v>36</v>
      </c>
      <c r="Y6766">
        <f>1-787-672-7041</f>
        <v>-8499</v>
      </c>
    </row>
    <row r="6767" spans="1:25" x14ac:dyDescent="0.35">
      <c r="A6767">
        <v>40.5924320907042</v>
      </c>
      <c r="B6767">
        <v>-122.29380630954201</v>
      </c>
      <c r="C6767" t="s">
        <v>25</v>
      </c>
      <c r="D6767">
        <v>12.638038841798901</v>
      </c>
      <c r="E6767">
        <v>6</v>
      </c>
      <c r="F6767">
        <v>1465</v>
      </c>
      <c r="G6767">
        <v>4</v>
      </c>
      <c r="H6767">
        <v>2</v>
      </c>
      <c r="I6767">
        <v>2014</v>
      </c>
      <c r="J6767">
        <v>1</v>
      </c>
      <c r="K6767">
        <v>1</v>
      </c>
      <c r="L6767">
        <v>0</v>
      </c>
      <c r="M6767">
        <v>8</v>
      </c>
      <c r="N6767" t="s">
        <v>41</v>
      </c>
      <c r="O6767" t="s">
        <v>27</v>
      </c>
      <c r="P6767">
        <v>3.5308421168055202</v>
      </c>
      <c r="Q6767">
        <v>0.71295112369973801</v>
      </c>
      <c r="R6767">
        <v>7.7328311321877301</v>
      </c>
      <c r="S6767">
        <v>25</v>
      </c>
      <c r="T6767">
        <v>45</v>
      </c>
      <c r="U6767">
        <v>903.39595501521001</v>
      </c>
      <c r="V6767">
        <v>5.46075085324232E-3</v>
      </c>
      <c r="W6767">
        <v>1792446.8484451401</v>
      </c>
      <c r="X6767" t="s">
        <v>43</v>
      </c>
      <c r="Y6767">
        <f>1-655-914-5939</f>
        <v>-7507</v>
      </c>
    </row>
    <row r="6768" spans="1:25" x14ac:dyDescent="0.35">
      <c r="A6768">
        <v>34.675983030802797</v>
      </c>
      <c r="B6768">
        <v>-116.11713512586201</v>
      </c>
      <c r="C6768" t="s">
        <v>25</v>
      </c>
      <c r="D6768">
        <v>5.9535547415173102</v>
      </c>
      <c r="E6768">
        <v>1</v>
      </c>
      <c r="F6768">
        <v>1873</v>
      </c>
      <c r="G6768">
        <v>3</v>
      </c>
      <c r="H6768">
        <v>1</v>
      </c>
      <c r="I6768">
        <v>2013</v>
      </c>
      <c r="J6768">
        <v>0</v>
      </c>
      <c r="K6768">
        <v>1</v>
      </c>
      <c r="L6768">
        <v>1</v>
      </c>
      <c r="M6768">
        <v>12</v>
      </c>
      <c r="N6768" t="s">
        <v>35</v>
      </c>
      <c r="O6768" t="s">
        <v>27</v>
      </c>
      <c r="P6768">
        <v>13.999975451698701</v>
      </c>
      <c r="Q6768">
        <v>1.3290887673937699</v>
      </c>
      <c r="R6768">
        <v>4.2845511757811803</v>
      </c>
      <c r="S6768">
        <v>145</v>
      </c>
      <c r="T6768">
        <v>57</v>
      </c>
      <c r="U6768">
        <v>884.46138356667097</v>
      </c>
      <c r="V6768">
        <v>6.4068339562199598E-3</v>
      </c>
      <c r="W6768">
        <v>1984394.1138776499</v>
      </c>
      <c r="X6768" t="s">
        <v>31</v>
      </c>
      <c r="Y6768">
        <f>1-347-919-6779</f>
        <v>-8044</v>
      </c>
    </row>
    <row r="6769" spans="1:25" x14ac:dyDescent="0.35">
      <c r="A6769">
        <v>39.021197611692997</v>
      </c>
      <c r="B6769">
        <v>-115.28176677064501</v>
      </c>
      <c r="C6769" t="s">
        <v>25</v>
      </c>
      <c r="D6769">
        <v>31.603251210700002</v>
      </c>
      <c r="E6769">
        <v>3</v>
      </c>
      <c r="F6769">
        <v>3482</v>
      </c>
      <c r="G6769">
        <v>5</v>
      </c>
      <c r="H6769">
        <v>2</v>
      </c>
      <c r="I6769">
        <v>1962</v>
      </c>
      <c r="J6769">
        <v>0</v>
      </c>
      <c r="K6769">
        <v>0</v>
      </c>
      <c r="L6769">
        <v>1</v>
      </c>
      <c r="M6769">
        <v>11</v>
      </c>
      <c r="N6769" t="s">
        <v>26</v>
      </c>
      <c r="O6769" t="s">
        <v>27</v>
      </c>
      <c r="P6769">
        <v>10.4828406262508</v>
      </c>
      <c r="Q6769">
        <v>1.5810384054259701</v>
      </c>
      <c r="R6769">
        <v>6.5978894800459802</v>
      </c>
      <c r="S6769">
        <v>162</v>
      </c>
      <c r="T6769">
        <v>20</v>
      </c>
      <c r="U6769">
        <v>411.05591425515303</v>
      </c>
      <c r="V6769">
        <v>3.1591039632395102E-3</v>
      </c>
      <c r="W6769">
        <v>1703836.17805973</v>
      </c>
      <c r="X6769" t="s">
        <v>42</v>
      </c>
      <c r="Y6769">
        <f>1-423-345-7175</f>
        <v>-7942</v>
      </c>
    </row>
    <row r="6770" spans="1:25" x14ac:dyDescent="0.35">
      <c r="A6770">
        <v>34.675279797102696</v>
      </c>
      <c r="B6770">
        <v>-117.112022410295</v>
      </c>
      <c r="C6770" t="s">
        <v>25</v>
      </c>
      <c r="D6770">
        <v>16.342788553732198</v>
      </c>
      <c r="E6770">
        <v>2</v>
      </c>
      <c r="F6770">
        <v>1784</v>
      </c>
      <c r="G6770">
        <v>1</v>
      </c>
      <c r="H6770">
        <v>3</v>
      </c>
      <c r="I6770">
        <v>2015</v>
      </c>
      <c r="J6770">
        <v>0</v>
      </c>
      <c r="K6770">
        <v>1</v>
      </c>
      <c r="L6770">
        <v>0</v>
      </c>
      <c r="M6770">
        <v>10</v>
      </c>
      <c r="N6770" t="s">
        <v>35</v>
      </c>
      <c r="O6770" t="s">
        <v>30</v>
      </c>
      <c r="P6770">
        <v>10.9981692420664</v>
      </c>
      <c r="Q6770">
        <v>1.8046507999827399</v>
      </c>
      <c r="R6770">
        <v>0.83780308386902602</v>
      </c>
      <c r="S6770">
        <v>197</v>
      </c>
      <c r="T6770">
        <v>45</v>
      </c>
      <c r="U6770">
        <v>569.15063053642598</v>
      </c>
      <c r="V6770">
        <v>5.6053811659192796E-3</v>
      </c>
      <c r="W6770">
        <v>1264050.09916979</v>
      </c>
      <c r="X6770" t="s">
        <v>28</v>
      </c>
      <c r="Y6770">
        <f>1-546-445-3601</f>
        <v>-4591</v>
      </c>
    </row>
    <row r="6771" spans="1:25" x14ac:dyDescent="0.35">
      <c r="A6771">
        <v>38.307579008018202</v>
      </c>
      <c r="B6771">
        <v>-114.198184050021</v>
      </c>
      <c r="C6771" t="s">
        <v>29</v>
      </c>
      <c r="D6771">
        <v>12.098346376320601</v>
      </c>
      <c r="E6771">
        <v>3</v>
      </c>
      <c r="F6771">
        <v>3329</v>
      </c>
      <c r="G6771">
        <v>3</v>
      </c>
      <c r="H6771">
        <v>2</v>
      </c>
      <c r="I6771">
        <v>1959</v>
      </c>
      <c r="J6771">
        <v>0</v>
      </c>
      <c r="K6771">
        <v>1</v>
      </c>
      <c r="L6771">
        <v>1</v>
      </c>
      <c r="M6771">
        <v>6</v>
      </c>
      <c r="N6771" t="s">
        <v>41</v>
      </c>
      <c r="O6771" t="s">
        <v>32</v>
      </c>
      <c r="P6771">
        <v>11.3971552519474</v>
      </c>
      <c r="Q6771">
        <v>1.53825765741059</v>
      </c>
      <c r="R6771">
        <v>7.2684936646019498</v>
      </c>
      <c r="S6771">
        <v>151</v>
      </c>
      <c r="T6771">
        <v>70</v>
      </c>
      <c r="U6771">
        <v>988.24390561743701</v>
      </c>
      <c r="V6771">
        <v>1.80234304595974E-3</v>
      </c>
      <c r="W6771">
        <v>3571303.4571376899</v>
      </c>
      <c r="X6771" t="s">
        <v>36</v>
      </c>
      <c r="Y6771">
        <f>1-932-928-7248</f>
        <v>-9107</v>
      </c>
    </row>
    <row r="6772" spans="1:25" x14ac:dyDescent="0.35">
      <c r="A6772">
        <v>32.717123926988698</v>
      </c>
      <c r="B6772">
        <v>-119.81121348345999</v>
      </c>
      <c r="C6772" t="s">
        <v>34</v>
      </c>
      <c r="D6772">
        <v>14.6526140324347</v>
      </c>
      <c r="E6772">
        <v>8</v>
      </c>
      <c r="F6772">
        <v>3075</v>
      </c>
      <c r="G6772">
        <v>3</v>
      </c>
      <c r="H6772">
        <v>3</v>
      </c>
      <c r="I6772">
        <v>2007</v>
      </c>
      <c r="J6772">
        <v>1</v>
      </c>
      <c r="K6772">
        <v>0</v>
      </c>
      <c r="L6772">
        <v>1</v>
      </c>
      <c r="M6772">
        <v>10</v>
      </c>
      <c r="N6772" t="s">
        <v>35</v>
      </c>
      <c r="O6772" t="s">
        <v>32</v>
      </c>
      <c r="P6772">
        <v>2.0286630055119201</v>
      </c>
      <c r="Q6772">
        <v>1.0531033768989999</v>
      </c>
      <c r="R6772">
        <v>8.2022207352629604</v>
      </c>
      <c r="S6772">
        <v>32</v>
      </c>
      <c r="T6772">
        <v>52</v>
      </c>
      <c r="U6772">
        <v>632.56337576299597</v>
      </c>
      <c r="V6772">
        <v>3.2520325203252002E-3</v>
      </c>
      <c r="W6772">
        <v>2246266.7242170498</v>
      </c>
      <c r="X6772" t="s">
        <v>42</v>
      </c>
      <c r="Y6772">
        <f>1-529-835-2394</f>
        <v>-3757</v>
      </c>
    </row>
    <row r="6773" spans="1:25" x14ac:dyDescent="0.35">
      <c r="A6773">
        <v>41.912680556869098</v>
      </c>
      <c r="B6773">
        <v>-114.82163219102</v>
      </c>
      <c r="C6773" t="s">
        <v>34</v>
      </c>
      <c r="D6773">
        <v>48.7807473656026</v>
      </c>
      <c r="E6773">
        <v>6</v>
      </c>
      <c r="F6773">
        <v>2616</v>
      </c>
      <c r="G6773">
        <v>3</v>
      </c>
      <c r="H6773">
        <v>1</v>
      </c>
      <c r="I6773">
        <v>1969</v>
      </c>
      <c r="J6773">
        <v>1</v>
      </c>
      <c r="K6773">
        <v>0</v>
      </c>
      <c r="L6773">
        <v>1</v>
      </c>
      <c r="M6773">
        <v>6</v>
      </c>
      <c r="N6773" t="s">
        <v>26</v>
      </c>
      <c r="O6773" t="s">
        <v>30</v>
      </c>
      <c r="P6773">
        <v>14.6316811318988</v>
      </c>
      <c r="Q6773">
        <v>1.3223947451303699</v>
      </c>
      <c r="R6773">
        <v>7.2550358656819896E-3</v>
      </c>
      <c r="S6773">
        <v>144</v>
      </c>
      <c r="T6773">
        <v>32</v>
      </c>
      <c r="U6773">
        <v>522.81750828528095</v>
      </c>
      <c r="V6773">
        <v>2.2935779816513702E-3</v>
      </c>
      <c r="W6773">
        <v>1654680.24538739</v>
      </c>
      <c r="X6773" t="s">
        <v>44</v>
      </c>
      <c r="Y6773">
        <f>1-803-623-2766</f>
        <v>-4191</v>
      </c>
    </row>
    <row r="6774" spans="1:25" x14ac:dyDescent="0.35">
      <c r="A6774">
        <v>33.366342759271703</v>
      </c>
      <c r="B6774">
        <v>-114.61792812803</v>
      </c>
      <c r="C6774" t="s">
        <v>34</v>
      </c>
      <c r="D6774">
        <v>1.1877668135863699</v>
      </c>
      <c r="E6774">
        <v>0</v>
      </c>
      <c r="F6774">
        <v>4072</v>
      </c>
      <c r="G6774">
        <v>1</v>
      </c>
      <c r="H6774">
        <v>2</v>
      </c>
      <c r="I6774">
        <v>1968</v>
      </c>
      <c r="J6774">
        <v>0</v>
      </c>
      <c r="K6774">
        <v>0</v>
      </c>
      <c r="L6774">
        <v>0</v>
      </c>
      <c r="M6774">
        <v>2</v>
      </c>
      <c r="N6774" t="s">
        <v>37</v>
      </c>
      <c r="O6774" t="s">
        <v>30</v>
      </c>
      <c r="P6774">
        <v>11.6949148481416</v>
      </c>
      <c r="Q6774">
        <v>2.00196138585724</v>
      </c>
      <c r="R6774">
        <v>8.40471241712428</v>
      </c>
      <c r="S6774">
        <v>133</v>
      </c>
      <c r="T6774">
        <v>22</v>
      </c>
      <c r="U6774">
        <v>537.10364888444997</v>
      </c>
      <c r="V6774">
        <v>4.9115913555992105E-4</v>
      </c>
      <c r="W6774">
        <v>2305948.53222562</v>
      </c>
      <c r="X6774" t="s">
        <v>40</v>
      </c>
      <c r="Y6774">
        <f>1-555-535-1928</f>
        <v>-3017</v>
      </c>
    </row>
    <row r="6775" spans="1:25" x14ac:dyDescent="0.35">
      <c r="A6775">
        <v>32.767553069651598</v>
      </c>
      <c r="B6775">
        <v>-119.068057636296</v>
      </c>
      <c r="C6775" t="s">
        <v>34</v>
      </c>
      <c r="D6775">
        <v>41.5795154905083</v>
      </c>
      <c r="E6775">
        <v>9</v>
      </c>
      <c r="F6775">
        <v>2823</v>
      </c>
      <c r="G6775">
        <v>1</v>
      </c>
      <c r="H6775">
        <v>3</v>
      </c>
      <c r="I6775">
        <v>2014</v>
      </c>
      <c r="J6775">
        <v>0</v>
      </c>
      <c r="K6775">
        <v>0</v>
      </c>
      <c r="L6775">
        <v>0</v>
      </c>
      <c r="M6775">
        <v>7</v>
      </c>
      <c r="N6775" t="s">
        <v>26</v>
      </c>
      <c r="O6775" t="s">
        <v>32</v>
      </c>
      <c r="P6775">
        <v>10.8414452332187</v>
      </c>
      <c r="Q6775">
        <v>1.20264448986821</v>
      </c>
      <c r="R6775">
        <v>1.7419292552447201</v>
      </c>
      <c r="S6775">
        <v>18</v>
      </c>
      <c r="T6775">
        <v>77</v>
      </c>
      <c r="U6775">
        <v>605.300637965482</v>
      </c>
      <c r="V6775">
        <v>2.47963159759121E-3</v>
      </c>
      <c r="W6775">
        <v>1841233.63843731</v>
      </c>
      <c r="X6775" t="s">
        <v>40</v>
      </c>
      <c r="Y6775">
        <f>1-891-773-4181</f>
        <v>-5844</v>
      </c>
    </row>
    <row r="6776" spans="1:25" x14ac:dyDescent="0.35">
      <c r="A6776">
        <v>36.117631049208498</v>
      </c>
      <c r="B6776">
        <v>-114.99754092812999</v>
      </c>
      <c r="C6776" t="s">
        <v>29</v>
      </c>
      <c r="D6776">
        <v>12.4673462341177</v>
      </c>
      <c r="E6776">
        <v>0</v>
      </c>
      <c r="F6776">
        <v>2455</v>
      </c>
      <c r="G6776">
        <v>1</v>
      </c>
      <c r="H6776">
        <v>3</v>
      </c>
      <c r="I6776">
        <v>1996</v>
      </c>
      <c r="J6776">
        <v>0</v>
      </c>
      <c r="K6776">
        <v>0</v>
      </c>
      <c r="L6776">
        <v>0</v>
      </c>
      <c r="M6776">
        <v>5</v>
      </c>
      <c r="N6776" t="s">
        <v>41</v>
      </c>
      <c r="O6776" t="s">
        <v>32</v>
      </c>
      <c r="P6776">
        <v>3.8083790537214601</v>
      </c>
      <c r="Q6776">
        <v>0.79982197616881801</v>
      </c>
      <c r="R6776">
        <v>3.6315120422762401</v>
      </c>
      <c r="S6776">
        <v>198</v>
      </c>
      <c r="T6776">
        <v>68</v>
      </c>
      <c r="U6776">
        <v>846.30436790400995</v>
      </c>
      <c r="V6776">
        <v>2.0366598778004002E-3</v>
      </c>
      <c r="W6776">
        <v>2161533.0376587599</v>
      </c>
      <c r="X6776" t="s">
        <v>36</v>
      </c>
      <c r="Y6776">
        <f>1-878-979-7577</f>
        <v>-9433</v>
      </c>
    </row>
    <row r="6777" spans="1:25" x14ac:dyDescent="0.35">
      <c r="A6777">
        <v>32.696571583149598</v>
      </c>
      <c r="B6777">
        <v>-123.496502857105</v>
      </c>
      <c r="C6777" t="s">
        <v>29</v>
      </c>
      <c r="D6777">
        <v>12.4577735570629</v>
      </c>
      <c r="E6777">
        <v>1</v>
      </c>
      <c r="F6777">
        <v>2600</v>
      </c>
      <c r="G6777">
        <v>2</v>
      </c>
      <c r="H6777">
        <v>3</v>
      </c>
      <c r="I6777">
        <v>2014</v>
      </c>
      <c r="J6777">
        <v>1</v>
      </c>
      <c r="K6777">
        <v>0</v>
      </c>
      <c r="L6777">
        <v>1</v>
      </c>
      <c r="M6777">
        <v>6</v>
      </c>
      <c r="N6777" t="s">
        <v>26</v>
      </c>
      <c r="O6777" t="s">
        <v>32</v>
      </c>
      <c r="P6777">
        <v>11.998829410047</v>
      </c>
      <c r="Q6777">
        <v>1.90292114006122</v>
      </c>
      <c r="R6777">
        <v>2.2516132348696698</v>
      </c>
      <c r="S6777">
        <v>159</v>
      </c>
      <c r="T6777">
        <v>24</v>
      </c>
      <c r="U6777">
        <v>489.59918384928602</v>
      </c>
      <c r="V6777">
        <v>2.3076923076923001E-3</v>
      </c>
      <c r="W6777">
        <v>1526671.8706692201</v>
      </c>
      <c r="X6777" t="s">
        <v>28</v>
      </c>
      <c r="Y6777">
        <f>1-781-320-8232</f>
        <v>-9332</v>
      </c>
    </row>
    <row r="6778" spans="1:25" x14ac:dyDescent="0.35">
      <c r="A6778">
        <v>33.9168993148309</v>
      </c>
      <c r="B6778">
        <v>-120.75555453131</v>
      </c>
      <c r="C6778" t="s">
        <v>29</v>
      </c>
      <c r="D6778">
        <v>16.2538893479948</v>
      </c>
      <c r="E6778">
        <v>6</v>
      </c>
      <c r="F6778">
        <v>2995</v>
      </c>
      <c r="G6778">
        <v>2</v>
      </c>
      <c r="H6778">
        <v>1</v>
      </c>
      <c r="I6778">
        <v>2011</v>
      </c>
      <c r="J6778">
        <v>0</v>
      </c>
      <c r="K6778">
        <v>1</v>
      </c>
      <c r="L6778">
        <v>0</v>
      </c>
      <c r="M6778">
        <v>9</v>
      </c>
      <c r="N6778" t="s">
        <v>37</v>
      </c>
      <c r="O6778" t="s">
        <v>30</v>
      </c>
      <c r="P6778">
        <v>8.9300972249326502</v>
      </c>
      <c r="Q6778">
        <v>1.39804204248772</v>
      </c>
      <c r="R6778">
        <v>1.2643665879049499</v>
      </c>
      <c r="S6778">
        <v>33</v>
      </c>
      <c r="T6778">
        <v>45</v>
      </c>
      <c r="U6778">
        <v>247.92698634451901</v>
      </c>
      <c r="V6778">
        <v>3.0050083472454E-3</v>
      </c>
      <c r="W6778">
        <v>983779.60313377995</v>
      </c>
      <c r="X6778" t="s">
        <v>28</v>
      </c>
      <c r="Y6778">
        <f>1-789-163-8357</f>
        <v>-9308</v>
      </c>
    </row>
    <row r="6779" spans="1:25" x14ac:dyDescent="0.35">
      <c r="A6779">
        <v>40.151582894192401</v>
      </c>
      <c r="B6779">
        <v>-117.377232426775</v>
      </c>
      <c r="C6779" t="s">
        <v>29</v>
      </c>
      <c r="D6779">
        <v>14.5906938052293</v>
      </c>
      <c r="E6779">
        <v>5</v>
      </c>
      <c r="F6779">
        <v>1272</v>
      </c>
      <c r="G6779">
        <v>1</v>
      </c>
      <c r="H6779">
        <v>1</v>
      </c>
      <c r="I6779">
        <v>1981</v>
      </c>
      <c r="J6779">
        <v>0</v>
      </c>
      <c r="K6779">
        <v>1</v>
      </c>
      <c r="L6779">
        <v>0</v>
      </c>
      <c r="M6779">
        <v>14</v>
      </c>
      <c r="N6779" t="s">
        <v>37</v>
      </c>
      <c r="O6779" t="s">
        <v>27</v>
      </c>
      <c r="P6779">
        <v>6.8933823519368103</v>
      </c>
      <c r="Q6779">
        <v>1.2250694987114701</v>
      </c>
      <c r="R6779">
        <v>2.2363665153139798</v>
      </c>
      <c r="S6779">
        <v>24</v>
      </c>
      <c r="T6779">
        <v>77</v>
      </c>
      <c r="U6779">
        <v>507.79541325011201</v>
      </c>
      <c r="V6779">
        <v>1.10062893081761E-2</v>
      </c>
      <c r="W6779">
        <v>782545.58144270501</v>
      </c>
      <c r="X6779" t="s">
        <v>28</v>
      </c>
      <c r="Y6779">
        <f>1-933-135-3031</f>
        <v>-4098</v>
      </c>
    </row>
    <row r="6780" spans="1:25" x14ac:dyDescent="0.35">
      <c r="A6780">
        <v>32.808948174933498</v>
      </c>
      <c r="B6780">
        <v>-120.565303189528</v>
      </c>
      <c r="C6780" t="s">
        <v>25</v>
      </c>
      <c r="D6780">
        <v>7.3506900198654499</v>
      </c>
      <c r="E6780">
        <v>2</v>
      </c>
      <c r="F6780">
        <v>4958</v>
      </c>
      <c r="G6780">
        <v>2</v>
      </c>
      <c r="H6780">
        <v>1</v>
      </c>
      <c r="I6780">
        <v>1989</v>
      </c>
      <c r="J6780">
        <v>0</v>
      </c>
      <c r="K6780">
        <v>0</v>
      </c>
      <c r="L6780">
        <v>0</v>
      </c>
      <c r="M6780">
        <v>13</v>
      </c>
      <c r="N6780" t="s">
        <v>37</v>
      </c>
      <c r="O6780" t="s">
        <v>32</v>
      </c>
      <c r="P6780">
        <v>3.9131334902276902</v>
      </c>
      <c r="Q6780">
        <v>0.82764195863773105</v>
      </c>
      <c r="R6780">
        <v>3.8323071192506801</v>
      </c>
      <c r="S6780">
        <v>53</v>
      </c>
      <c r="T6780">
        <v>57</v>
      </c>
      <c r="U6780">
        <v>623.75107523775705</v>
      </c>
      <c r="V6780">
        <v>2.62202501008471E-3</v>
      </c>
      <c r="W6780">
        <v>3188375.7712168298</v>
      </c>
      <c r="X6780" t="s">
        <v>43</v>
      </c>
      <c r="Y6780">
        <f>1-699-901-5506</f>
        <v>-7105</v>
      </c>
    </row>
    <row r="6781" spans="1:25" x14ac:dyDescent="0.35">
      <c r="A6781">
        <v>40.834284127245802</v>
      </c>
      <c r="B6781">
        <v>-121.81291802038599</v>
      </c>
      <c r="C6781" t="s">
        <v>25</v>
      </c>
      <c r="D6781">
        <v>36.179734462383898</v>
      </c>
      <c r="E6781">
        <v>8</v>
      </c>
      <c r="F6781">
        <v>2647</v>
      </c>
      <c r="G6781">
        <v>5</v>
      </c>
      <c r="H6781">
        <v>3</v>
      </c>
      <c r="I6781">
        <v>2014</v>
      </c>
      <c r="J6781">
        <v>0</v>
      </c>
      <c r="K6781">
        <v>0</v>
      </c>
      <c r="L6781">
        <v>1</v>
      </c>
      <c r="M6781">
        <v>9</v>
      </c>
      <c r="N6781" t="s">
        <v>41</v>
      </c>
      <c r="O6781" t="s">
        <v>27</v>
      </c>
      <c r="P6781">
        <v>7.9911599105570001</v>
      </c>
      <c r="Q6781">
        <v>0.55877631548443796</v>
      </c>
      <c r="R6781">
        <v>6.9368682358755001</v>
      </c>
      <c r="S6781">
        <v>138</v>
      </c>
      <c r="T6781">
        <v>28</v>
      </c>
      <c r="U6781">
        <v>442.93277961983603</v>
      </c>
      <c r="V6781">
        <v>3.4000755572345998E-3</v>
      </c>
      <c r="W6781">
        <v>1597427.10515165</v>
      </c>
      <c r="X6781" t="s">
        <v>38</v>
      </c>
      <c r="Y6781">
        <f>1-865-259-8102</f>
        <v>-9225</v>
      </c>
    </row>
    <row r="6782" spans="1:25" x14ac:dyDescent="0.35">
      <c r="A6782">
        <v>34.232586011629898</v>
      </c>
      <c r="B6782">
        <v>-116.969781370603</v>
      </c>
      <c r="C6782" t="s">
        <v>29</v>
      </c>
      <c r="D6782">
        <v>21.630395177023399</v>
      </c>
      <c r="E6782">
        <v>1</v>
      </c>
      <c r="F6782">
        <v>3921</v>
      </c>
      <c r="G6782">
        <v>4</v>
      </c>
      <c r="H6782">
        <v>1</v>
      </c>
      <c r="I6782">
        <v>2000</v>
      </c>
      <c r="J6782">
        <v>0</v>
      </c>
      <c r="K6782">
        <v>1</v>
      </c>
      <c r="L6782">
        <v>0</v>
      </c>
      <c r="M6782">
        <v>3</v>
      </c>
      <c r="N6782" t="s">
        <v>35</v>
      </c>
      <c r="O6782" t="s">
        <v>30</v>
      </c>
      <c r="P6782">
        <v>9.2936702715082795</v>
      </c>
      <c r="Q6782">
        <v>1.54790942010451</v>
      </c>
      <c r="R6782">
        <v>7.1620299583064098</v>
      </c>
      <c r="S6782">
        <v>37</v>
      </c>
      <c r="T6782">
        <v>45</v>
      </c>
      <c r="U6782">
        <v>998.37813112390302</v>
      </c>
      <c r="V6782">
        <v>7.6511094108645697E-4</v>
      </c>
      <c r="W6782">
        <v>4238178.7716672895</v>
      </c>
      <c r="X6782" t="s">
        <v>33</v>
      </c>
      <c r="Y6782">
        <f>1-643-706-4913</f>
        <v>-6261</v>
      </c>
    </row>
    <row r="6783" spans="1:25" x14ac:dyDescent="0.35">
      <c r="A6783">
        <v>39.995151577130997</v>
      </c>
      <c r="B6783">
        <v>-122.28042786229</v>
      </c>
      <c r="C6783" t="s">
        <v>34</v>
      </c>
      <c r="D6783">
        <v>33.841984625561899</v>
      </c>
      <c r="E6783">
        <v>2</v>
      </c>
      <c r="F6783">
        <v>4766</v>
      </c>
      <c r="G6783">
        <v>4</v>
      </c>
      <c r="H6783">
        <v>3</v>
      </c>
      <c r="I6783">
        <v>1968</v>
      </c>
      <c r="J6783">
        <v>0</v>
      </c>
      <c r="K6783">
        <v>1</v>
      </c>
      <c r="L6783">
        <v>1</v>
      </c>
      <c r="M6783">
        <v>4</v>
      </c>
      <c r="N6783" t="s">
        <v>35</v>
      </c>
      <c r="O6783" t="s">
        <v>32</v>
      </c>
      <c r="P6783">
        <v>10.4835518963607</v>
      </c>
      <c r="Q6783">
        <v>1.9578899751971099</v>
      </c>
      <c r="R6783">
        <v>0.42202063397941503</v>
      </c>
      <c r="S6783">
        <v>56</v>
      </c>
      <c r="T6783">
        <v>60</v>
      </c>
      <c r="U6783">
        <v>551.91075399311501</v>
      </c>
      <c r="V6783">
        <v>8.3927822073017204E-4</v>
      </c>
      <c r="W6783">
        <v>3101234.1840265398</v>
      </c>
      <c r="X6783" t="s">
        <v>38</v>
      </c>
      <c r="Y6783">
        <f>1-843-548-9968</f>
        <v>-11358</v>
      </c>
    </row>
    <row r="6784" spans="1:25" x14ac:dyDescent="0.35">
      <c r="A6784">
        <v>33.184689231738602</v>
      </c>
      <c r="B6784">
        <v>-118.963221133516</v>
      </c>
      <c r="C6784" t="s">
        <v>29</v>
      </c>
      <c r="D6784">
        <v>27.9661796488273</v>
      </c>
      <c r="E6784">
        <v>1</v>
      </c>
      <c r="F6784">
        <v>668</v>
      </c>
      <c r="G6784">
        <v>4</v>
      </c>
      <c r="H6784">
        <v>1</v>
      </c>
      <c r="I6784">
        <v>1961</v>
      </c>
      <c r="J6784">
        <v>0</v>
      </c>
      <c r="K6784">
        <v>0</v>
      </c>
      <c r="L6784">
        <v>0</v>
      </c>
      <c r="M6784">
        <v>10</v>
      </c>
      <c r="N6784" t="s">
        <v>37</v>
      </c>
      <c r="O6784" t="s">
        <v>32</v>
      </c>
      <c r="P6784">
        <v>6.7164474993686696</v>
      </c>
      <c r="Q6784">
        <v>0.99956900745060495</v>
      </c>
      <c r="R6784">
        <v>3.5306358582124302</v>
      </c>
      <c r="S6784">
        <v>33</v>
      </c>
      <c r="T6784">
        <v>59</v>
      </c>
      <c r="U6784">
        <v>319.879164341918</v>
      </c>
      <c r="V6784">
        <v>1.49700598802395E-2</v>
      </c>
      <c r="W6784">
        <v>419856.97951966099</v>
      </c>
      <c r="X6784" t="s">
        <v>33</v>
      </c>
      <c r="Y6784">
        <f>1-866-881-3532</f>
        <v>-5278</v>
      </c>
    </row>
    <row r="6785" spans="1:25" x14ac:dyDescent="0.35">
      <c r="A6785">
        <v>35.279565866538398</v>
      </c>
      <c r="B6785">
        <v>-116.245268318751</v>
      </c>
      <c r="C6785" t="s">
        <v>34</v>
      </c>
      <c r="D6785">
        <v>9.1275994978821799</v>
      </c>
      <c r="E6785">
        <v>6</v>
      </c>
      <c r="F6785">
        <v>1491</v>
      </c>
      <c r="G6785">
        <v>1</v>
      </c>
      <c r="H6785">
        <v>3</v>
      </c>
      <c r="I6785">
        <v>1978</v>
      </c>
      <c r="J6785">
        <v>0</v>
      </c>
      <c r="K6785">
        <v>0</v>
      </c>
      <c r="L6785">
        <v>1</v>
      </c>
      <c r="M6785">
        <v>12</v>
      </c>
      <c r="N6785" t="s">
        <v>41</v>
      </c>
      <c r="O6785" t="s">
        <v>27</v>
      </c>
      <c r="P6785">
        <v>9.4052674494925306</v>
      </c>
      <c r="Q6785">
        <v>1.4341232280125</v>
      </c>
      <c r="R6785">
        <v>7.9228147862723599</v>
      </c>
      <c r="S6785">
        <v>52</v>
      </c>
      <c r="T6785">
        <v>34</v>
      </c>
      <c r="U6785">
        <v>696.97274957913305</v>
      </c>
      <c r="V6785">
        <v>8.0482897384305807E-3</v>
      </c>
      <c r="W6785">
        <v>1180271.2533680401</v>
      </c>
      <c r="X6785" t="s">
        <v>40</v>
      </c>
      <c r="Y6785">
        <f>1-381-889-8565</f>
        <v>-9834</v>
      </c>
    </row>
    <row r="6786" spans="1:25" x14ac:dyDescent="0.35">
      <c r="A6786">
        <v>33.442063107754898</v>
      </c>
      <c r="B6786">
        <v>-115.31857489580599</v>
      </c>
      <c r="C6786" t="s">
        <v>29</v>
      </c>
      <c r="D6786">
        <v>23.662915470961</v>
      </c>
      <c r="E6786">
        <v>6</v>
      </c>
      <c r="F6786">
        <v>4530</v>
      </c>
      <c r="G6786">
        <v>5</v>
      </c>
      <c r="H6786">
        <v>2</v>
      </c>
      <c r="I6786">
        <v>1998</v>
      </c>
      <c r="J6786">
        <v>1</v>
      </c>
      <c r="K6786">
        <v>0</v>
      </c>
      <c r="L6786">
        <v>0</v>
      </c>
      <c r="M6786">
        <v>11</v>
      </c>
      <c r="N6786" t="s">
        <v>35</v>
      </c>
      <c r="O6786" t="s">
        <v>27</v>
      </c>
      <c r="P6786">
        <v>11.5691748955031</v>
      </c>
      <c r="Q6786">
        <v>2.4692071381596099</v>
      </c>
      <c r="R6786">
        <v>0.79443277194066697</v>
      </c>
      <c r="S6786">
        <v>10</v>
      </c>
      <c r="T6786">
        <v>67</v>
      </c>
      <c r="U6786">
        <v>939.79801340457698</v>
      </c>
      <c r="V6786">
        <v>2.4282560706401701E-3</v>
      </c>
      <c r="W6786">
        <v>4680462.1618237104</v>
      </c>
      <c r="X6786" t="s">
        <v>28</v>
      </c>
      <c r="Y6786">
        <f>1-759-977-6483</f>
        <v>-8218</v>
      </c>
    </row>
    <row r="6787" spans="1:25" x14ac:dyDescent="0.35">
      <c r="A6787">
        <v>33.999715789952901</v>
      </c>
      <c r="B6787">
        <v>-121.709177020428</v>
      </c>
      <c r="C6787" t="s">
        <v>25</v>
      </c>
      <c r="D6787">
        <v>15.4025761729064</v>
      </c>
      <c r="E6787">
        <v>3</v>
      </c>
      <c r="F6787">
        <v>4115</v>
      </c>
      <c r="G6787">
        <v>2</v>
      </c>
      <c r="H6787">
        <v>3</v>
      </c>
      <c r="I6787">
        <v>1983</v>
      </c>
      <c r="J6787">
        <v>1</v>
      </c>
      <c r="K6787">
        <v>0</v>
      </c>
      <c r="L6787">
        <v>1</v>
      </c>
      <c r="M6787">
        <v>13</v>
      </c>
      <c r="N6787" t="s">
        <v>37</v>
      </c>
      <c r="O6787" t="s">
        <v>32</v>
      </c>
      <c r="P6787">
        <v>2.8762540323482</v>
      </c>
      <c r="Q6787">
        <v>1.3872257959580001</v>
      </c>
      <c r="R6787">
        <v>5.4662499760928602</v>
      </c>
      <c r="S6787">
        <v>112</v>
      </c>
      <c r="T6787">
        <v>64</v>
      </c>
      <c r="U6787">
        <v>420.76580595043401</v>
      </c>
      <c r="V6787">
        <v>3.1591737545565001E-3</v>
      </c>
      <c r="W6787">
        <v>1900141.1977765199</v>
      </c>
      <c r="X6787" t="s">
        <v>31</v>
      </c>
      <c r="Y6787">
        <f>1-428-910-6837</f>
        <v>-8174</v>
      </c>
    </row>
    <row r="6788" spans="1:25" x14ac:dyDescent="0.35">
      <c r="A6788">
        <v>39.459135827992299</v>
      </c>
      <c r="B6788">
        <v>-117.758639480444</v>
      </c>
      <c r="C6788" t="s">
        <v>34</v>
      </c>
      <c r="D6788">
        <v>25.697100845543201</v>
      </c>
      <c r="E6788">
        <v>9</v>
      </c>
      <c r="F6788">
        <v>2297</v>
      </c>
      <c r="G6788">
        <v>2</v>
      </c>
      <c r="H6788">
        <v>2</v>
      </c>
      <c r="I6788">
        <v>1975</v>
      </c>
      <c r="J6788">
        <v>1</v>
      </c>
      <c r="K6788">
        <v>1</v>
      </c>
      <c r="L6788">
        <v>1</v>
      </c>
      <c r="M6788">
        <v>14</v>
      </c>
      <c r="N6788" t="s">
        <v>26</v>
      </c>
      <c r="O6788" t="s">
        <v>32</v>
      </c>
      <c r="P6788">
        <v>5.7234709856561503</v>
      </c>
      <c r="Q6788">
        <v>1.2938443133786599</v>
      </c>
      <c r="R6788">
        <v>9.6083057543198898</v>
      </c>
      <c r="S6788">
        <v>92</v>
      </c>
      <c r="T6788">
        <v>69</v>
      </c>
      <c r="U6788">
        <v>967.19741129986505</v>
      </c>
      <c r="V6788">
        <v>6.0949063996517099E-3</v>
      </c>
      <c r="W6788">
        <v>2580023.7959082602</v>
      </c>
      <c r="X6788" t="s">
        <v>28</v>
      </c>
      <c r="Y6788">
        <f>1-659-631-4484</f>
        <v>-5773</v>
      </c>
    </row>
    <row r="6789" spans="1:25" x14ac:dyDescent="0.35">
      <c r="A6789">
        <v>33.866304987952297</v>
      </c>
      <c r="B6789">
        <v>-121.254109849496</v>
      </c>
      <c r="C6789" t="s">
        <v>25</v>
      </c>
      <c r="D6789">
        <v>14.662136049219701</v>
      </c>
      <c r="E6789">
        <v>6</v>
      </c>
      <c r="F6789">
        <v>2765</v>
      </c>
      <c r="G6789">
        <v>3</v>
      </c>
      <c r="H6789">
        <v>3</v>
      </c>
      <c r="I6789">
        <v>1959</v>
      </c>
      <c r="J6789">
        <v>0</v>
      </c>
      <c r="K6789">
        <v>0</v>
      </c>
      <c r="L6789">
        <v>0</v>
      </c>
      <c r="M6789">
        <v>4</v>
      </c>
      <c r="N6789" t="s">
        <v>37</v>
      </c>
      <c r="O6789" t="s">
        <v>30</v>
      </c>
      <c r="P6789">
        <v>12.339079297145901</v>
      </c>
      <c r="Q6789">
        <v>2.3895809185666099</v>
      </c>
      <c r="R6789">
        <v>8.0405907971777903</v>
      </c>
      <c r="S6789">
        <v>156</v>
      </c>
      <c r="T6789">
        <v>36</v>
      </c>
      <c r="U6789">
        <v>426.73895729729202</v>
      </c>
      <c r="V6789">
        <v>1.44665461121157E-3</v>
      </c>
      <c r="W6789">
        <v>1390885.7654532499</v>
      </c>
      <c r="X6789" t="s">
        <v>31</v>
      </c>
      <c r="Y6789">
        <f>1-523-648-3935</f>
        <v>-5105</v>
      </c>
    </row>
    <row r="6790" spans="1:25" x14ac:dyDescent="0.35">
      <c r="A6790">
        <v>37.756009985680102</v>
      </c>
      <c r="B6790">
        <v>-115.393407657124</v>
      </c>
      <c r="C6790" t="s">
        <v>25</v>
      </c>
      <c r="D6790">
        <v>18.910984288568301</v>
      </c>
      <c r="E6790">
        <v>3</v>
      </c>
      <c r="F6790">
        <v>2045</v>
      </c>
      <c r="G6790">
        <v>4</v>
      </c>
      <c r="H6790">
        <v>3</v>
      </c>
      <c r="I6790">
        <v>1956</v>
      </c>
      <c r="J6790">
        <v>1</v>
      </c>
      <c r="K6790">
        <v>1</v>
      </c>
      <c r="L6790">
        <v>0</v>
      </c>
      <c r="M6790">
        <v>11</v>
      </c>
      <c r="N6790" t="s">
        <v>41</v>
      </c>
      <c r="O6790" t="s">
        <v>27</v>
      </c>
      <c r="P6790">
        <v>5.8345400782951504</v>
      </c>
      <c r="Q6790">
        <v>0.92582122179582105</v>
      </c>
      <c r="R6790">
        <v>7.2615894976463604</v>
      </c>
      <c r="S6790">
        <v>33</v>
      </c>
      <c r="T6790">
        <v>25</v>
      </c>
      <c r="U6790">
        <v>894.636816883351</v>
      </c>
      <c r="V6790">
        <v>5.3789731051344701E-3</v>
      </c>
      <c r="W6790">
        <v>2265901.12882839</v>
      </c>
      <c r="X6790" t="s">
        <v>36</v>
      </c>
      <c r="Y6790">
        <f>1-990-356-5335</f>
        <v>-6680</v>
      </c>
    </row>
    <row r="6791" spans="1:25" x14ac:dyDescent="0.35">
      <c r="A6791">
        <v>37.251797440423303</v>
      </c>
      <c r="B6791">
        <v>-120.407350964147</v>
      </c>
      <c r="C6791" t="s">
        <v>25</v>
      </c>
      <c r="D6791">
        <v>7.5065270597028402</v>
      </c>
      <c r="E6791">
        <v>3</v>
      </c>
      <c r="F6791">
        <v>3489</v>
      </c>
      <c r="G6791">
        <v>5</v>
      </c>
      <c r="H6791">
        <v>1</v>
      </c>
      <c r="I6791">
        <v>1954</v>
      </c>
      <c r="J6791">
        <v>1</v>
      </c>
      <c r="K6791">
        <v>0</v>
      </c>
      <c r="L6791">
        <v>0</v>
      </c>
      <c r="M6791">
        <v>2</v>
      </c>
      <c r="N6791" t="s">
        <v>41</v>
      </c>
      <c r="O6791" t="s">
        <v>32</v>
      </c>
      <c r="P6791">
        <v>14.1713073847651</v>
      </c>
      <c r="Q6791">
        <v>1.5081429111470901</v>
      </c>
      <c r="R6791">
        <v>1.51834661332374</v>
      </c>
      <c r="S6791">
        <v>177</v>
      </c>
      <c r="T6791">
        <v>36</v>
      </c>
      <c r="U6791">
        <v>788.67958759302701</v>
      </c>
      <c r="V6791">
        <v>5.7323015190599005E-4</v>
      </c>
      <c r="W6791">
        <v>3049750.1579344301</v>
      </c>
      <c r="X6791" t="s">
        <v>40</v>
      </c>
      <c r="Y6791">
        <f>1-741-820-3341</f>
        <v>-4901</v>
      </c>
    </row>
    <row r="6792" spans="1:25" x14ac:dyDescent="0.35">
      <c r="A6792">
        <v>33.872287531368301</v>
      </c>
      <c r="B6792">
        <v>-122.27841759323699</v>
      </c>
      <c r="C6792" t="s">
        <v>25</v>
      </c>
      <c r="D6792">
        <v>16.252548003835599</v>
      </c>
      <c r="E6792">
        <v>1</v>
      </c>
      <c r="F6792">
        <v>3461</v>
      </c>
      <c r="G6792">
        <v>5</v>
      </c>
      <c r="H6792">
        <v>2</v>
      </c>
      <c r="I6792">
        <v>2002</v>
      </c>
      <c r="J6792">
        <v>1</v>
      </c>
      <c r="K6792">
        <v>1</v>
      </c>
      <c r="L6792">
        <v>0</v>
      </c>
      <c r="M6792">
        <v>4</v>
      </c>
      <c r="N6792" t="s">
        <v>35</v>
      </c>
      <c r="O6792" t="s">
        <v>27</v>
      </c>
      <c r="P6792">
        <v>14.157766621873</v>
      </c>
      <c r="Q6792">
        <v>1.5524527286891301</v>
      </c>
      <c r="R6792">
        <v>3.1323856920191102</v>
      </c>
      <c r="S6792">
        <v>134</v>
      </c>
      <c r="T6792">
        <v>72</v>
      </c>
      <c r="U6792">
        <v>203.829430976342</v>
      </c>
      <c r="V6792">
        <v>1.1557353366079099E-3</v>
      </c>
      <c r="W6792">
        <v>1178204.90840705</v>
      </c>
      <c r="X6792" t="s">
        <v>44</v>
      </c>
      <c r="Y6792">
        <f>1-291-810-1019</f>
        <v>-2119</v>
      </c>
    </row>
    <row r="6793" spans="1:25" x14ac:dyDescent="0.35">
      <c r="A6793">
        <v>38.415841622777698</v>
      </c>
      <c r="B6793">
        <v>-115.46490276246899</v>
      </c>
      <c r="C6793" t="s">
        <v>29</v>
      </c>
      <c r="D6793">
        <v>4.4636191396209997</v>
      </c>
      <c r="E6793">
        <v>3</v>
      </c>
      <c r="F6793">
        <v>1986</v>
      </c>
      <c r="G6793">
        <v>5</v>
      </c>
      <c r="H6793">
        <v>1</v>
      </c>
      <c r="I6793">
        <v>1970</v>
      </c>
      <c r="J6793">
        <v>1</v>
      </c>
      <c r="K6793">
        <v>0</v>
      </c>
      <c r="L6793">
        <v>0</v>
      </c>
      <c r="M6793">
        <v>8</v>
      </c>
      <c r="N6793" t="s">
        <v>35</v>
      </c>
      <c r="O6793" t="s">
        <v>27</v>
      </c>
      <c r="P6793">
        <v>11.393934248826501</v>
      </c>
      <c r="Q6793">
        <v>1.80351721054964</v>
      </c>
      <c r="R6793">
        <v>2.0899213600620099</v>
      </c>
      <c r="S6793">
        <v>24</v>
      </c>
      <c r="T6793">
        <v>53</v>
      </c>
      <c r="U6793">
        <v>500.69146470736803</v>
      </c>
      <c r="V6793">
        <v>4.0281973816717002E-3</v>
      </c>
      <c r="W6793">
        <v>1212400.5196352201</v>
      </c>
      <c r="X6793" t="s">
        <v>43</v>
      </c>
      <c r="Y6793">
        <f>1-276-600-1060</f>
        <v>-1935</v>
      </c>
    </row>
    <row r="6794" spans="1:25" x14ac:dyDescent="0.35">
      <c r="A6794">
        <v>41.950312370246401</v>
      </c>
      <c r="B6794">
        <v>-124.36790555904101</v>
      </c>
      <c r="C6794" t="s">
        <v>34</v>
      </c>
      <c r="D6794">
        <v>37.482292907157898</v>
      </c>
      <c r="E6794">
        <v>3</v>
      </c>
      <c r="F6794">
        <v>2473</v>
      </c>
      <c r="G6794">
        <v>3</v>
      </c>
      <c r="H6794">
        <v>3</v>
      </c>
      <c r="I6794">
        <v>1980</v>
      </c>
      <c r="J6794">
        <v>0</v>
      </c>
      <c r="K6794">
        <v>0</v>
      </c>
      <c r="L6794">
        <v>0</v>
      </c>
      <c r="M6794">
        <v>4</v>
      </c>
      <c r="N6794" t="s">
        <v>26</v>
      </c>
      <c r="O6794" t="s">
        <v>30</v>
      </c>
      <c r="P6794">
        <v>5.23299167115412</v>
      </c>
      <c r="Q6794">
        <v>0.66425531308684704</v>
      </c>
      <c r="R6794">
        <v>4.6642297941429698</v>
      </c>
      <c r="S6794">
        <v>15</v>
      </c>
      <c r="T6794">
        <v>38</v>
      </c>
      <c r="U6794">
        <v>369.05113206044598</v>
      </c>
      <c r="V6794">
        <v>1.6174686615446801E-3</v>
      </c>
      <c r="W6794">
        <v>1052878.8878206599</v>
      </c>
      <c r="X6794" t="s">
        <v>44</v>
      </c>
      <c r="Y6794">
        <f>1-843-786-2336</f>
        <v>-3964</v>
      </c>
    </row>
    <row r="6795" spans="1:25" x14ac:dyDescent="0.35">
      <c r="A6795">
        <v>40.880325447044498</v>
      </c>
      <c r="B6795">
        <v>-119.760077949806</v>
      </c>
      <c r="C6795" t="s">
        <v>29</v>
      </c>
      <c r="D6795">
        <v>49.781711978992</v>
      </c>
      <c r="E6795">
        <v>1</v>
      </c>
      <c r="F6795">
        <v>2309</v>
      </c>
      <c r="G6795">
        <v>3</v>
      </c>
      <c r="H6795">
        <v>1</v>
      </c>
      <c r="I6795">
        <v>1973</v>
      </c>
      <c r="J6795">
        <v>1</v>
      </c>
      <c r="K6795">
        <v>1</v>
      </c>
      <c r="L6795">
        <v>1</v>
      </c>
      <c r="M6795">
        <v>3</v>
      </c>
      <c r="N6795" t="s">
        <v>41</v>
      </c>
      <c r="O6795" t="s">
        <v>32</v>
      </c>
      <c r="P6795">
        <v>8.8257653553046609</v>
      </c>
      <c r="Q6795">
        <v>2.4924727331102901</v>
      </c>
      <c r="R6795">
        <v>7.9512596955637704</v>
      </c>
      <c r="S6795">
        <v>185</v>
      </c>
      <c r="T6795">
        <v>63</v>
      </c>
      <c r="U6795">
        <v>977.97669643521795</v>
      </c>
      <c r="V6795">
        <v>1.2992637505413599E-3</v>
      </c>
      <c r="W6795">
        <v>2655441.7541656201</v>
      </c>
      <c r="X6795" t="s">
        <v>31</v>
      </c>
      <c r="Y6795">
        <f>1-473-756-4645</f>
        <v>-5873</v>
      </c>
    </row>
    <row r="6796" spans="1:25" x14ac:dyDescent="0.35">
      <c r="A6796">
        <v>36.559764375992799</v>
      </c>
      <c r="B6796">
        <v>-121.378059245232</v>
      </c>
      <c r="C6796" t="s">
        <v>34</v>
      </c>
      <c r="D6796">
        <v>4.4954604769987903</v>
      </c>
      <c r="E6796">
        <v>2</v>
      </c>
      <c r="F6796">
        <v>1064</v>
      </c>
      <c r="G6796">
        <v>3</v>
      </c>
      <c r="H6796">
        <v>2</v>
      </c>
      <c r="I6796">
        <v>1965</v>
      </c>
      <c r="J6796">
        <v>1</v>
      </c>
      <c r="K6796">
        <v>0</v>
      </c>
      <c r="L6796">
        <v>0</v>
      </c>
      <c r="M6796">
        <v>10</v>
      </c>
      <c r="N6796" t="s">
        <v>26</v>
      </c>
      <c r="O6796" t="s">
        <v>32</v>
      </c>
      <c r="P6796">
        <v>5.1201040855841802</v>
      </c>
      <c r="Q6796">
        <v>2.0179541874750999</v>
      </c>
      <c r="R6796">
        <v>4.7457010142454301</v>
      </c>
      <c r="S6796">
        <v>102</v>
      </c>
      <c r="T6796">
        <v>23</v>
      </c>
      <c r="U6796">
        <v>483.99189895930402</v>
      </c>
      <c r="V6796">
        <v>9.3984962406014998E-3</v>
      </c>
      <c r="W6796">
        <v>680037.264449768</v>
      </c>
      <c r="X6796" t="s">
        <v>44</v>
      </c>
      <c r="Y6796">
        <f>1-900-456-3154</f>
        <v>-4509</v>
      </c>
    </row>
    <row r="6797" spans="1:25" x14ac:dyDescent="0.35">
      <c r="A6797">
        <v>39.150613833712598</v>
      </c>
      <c r="B6797">
        <v>-118.666260574638</v>
      </c>
      <c r="C6797" t="s">
        <v>25</v>
      </c>
      <c r="D6797">
        <v>9.0863430619186598</v>
      </c>
      <c r="E6797">
        <v>5</v>
      </c>
      <c r="F6797">
        <v>1115</v>
      </c>
      <c r="G6797">
        <v>5</v>
      </c>
      <c r="H6797">
        <v>1</v>
      </c>
      <c r="I6797">
        <v>1963</v>
      </c>
      <c r="J6797">
        <v>0</v>
      </c>
      <c r="K6797">
        <v>1</v>
      </c>
      <c r="L6797">
        <v>1</v>
      </c>
      <c r="M6797">
        <v>14</v>
      </c>
      <c r="N6797" t="s">
        <v>37</v>
      </c>
      <c r="O6797" t="s">
        <v>27</v>
      </c>
      <c r="P6797">
        <v>4.7166742380664797</v>
      </c>
      <c r="Q6797">
        <v>1.5680433173903201</v>
      </c>
      <c r="R6797">
        <v>3.20762888690171</v>
      </c>
      <c r="S6797">
        <v>148</v>
      </c>
      <c r="T6797">
        <v>66</v>
      </c>
      <c r="U6797">
        <v>519.403826640734</v>
      </c>
      <c r="V6797">
        <v>1.25560538116591E-2</v>
      </c>
      <c r="W6797">
        <v>836775.89342664997</v>
      </c>
      <c r="X6797" t="s">
        <v>40</v>
      </c>
      <c r="Y6797">
        <f>1-520-376-7592</f>
        <v>-8487</v>
      </c>
    </row>
    <row r="6798" spans="1:25" x14ac:dyDescent="0.35">
      <c r="A6798">
        <v>37.841961684790199</v>
      </c>
      <c r="B6798">
        <v>-116.999186877336</v>
      </c>
      <c r="C6798" t="s">
        <v>34</v>
      </c>
      <c r="D6798">
        <v>47.609197400730899</v>
      </c>
      <c r="E6798">
        <v>6</v>
      </c>
      <c r="F6798">
        <v>4808</v>
      </c>
      <c r="G6798">
        <v>5</v>
      </c>
      <c r="H6798">
        <v>2</v>
      </c>
      <c r="I6798">
        <v>1959</v>
      </c>
      <c r="J6798">
        <v>0</v>
      </c>
      <c r="K6798">
        <v>0</v>
      </c>
      <c r="L6798">
        <v>1</v>
      </c>
      <c r="M6798">
        <v>5</v>
      </c>
      <c r="N6798" t="s">
        <v>35</v>
      </c>
      <c r="O6798" t="s">
        <v>32</v>
      </c>
      <c r="P6798">
        <v>10.0064416104708</v>
      </c>
      <c r="Q6798">
        <v>1.6979356344680401</v>
      </c>
      <c r="R6798">
        <v>7.9533984976603103</v>
      </c>
      <c r="S6798">
        <v>83</v>
      </c>
      <c r="T6798">
        <v>39</v>
      </c>
      <c r="U6798">
        <v>222.27518805587999</v>
      </c>
      <c r="V6798">
        <v>1.03993344425956E-3</v>
      </c>
      <c r="W6798">
        <v>1307617.52450627</v>
      </c>
      <c r="X6798" t="s">
        <v>33</v>
      </c>
      <c r="Y6798">
        <f>1-687-234-9618</f>
        <v>-10538</v>
      </c>
    </row>
    <row r="6799" spans="1:25" x14ac:dyDescent="0.35">
      <c r="A6799">
        <v>41.330560800163802</v>
      </c>
      <c r="B6799">
        <v>-123.365494038158</v>
      </c>
      <c r="C6799" t="s">
        <v>34</v>
      </c>
      <c r="D6799">
        <v>45.1686048705294</v>
      </c>
      <c r="E6799">
        <v>6</v>
      </c>
      <c r="F6799">
        <v>1384</v>
      </c>
      <c r="G6799">
        <v>5</v>
      </c>
      <c r="H6799">
        <v>2</v>
      </c>
      <c r="I6799">
        <v>1980</v>
      </c>
      <c r="J6799">
        <v>0</v>
      </c>
      <c r="K6799">
        <v>0</v>
      </c>
      <c r="L6799">
        <v>1</v>
      </c>
      <c r="M6799">
        <v>5</v>
      </c>
      <c r="N6799" t="s">
        <v>37</v>
      </c>
      <c r="O6799" t="s">
        <v>30</v>
      </c>
      <c r="P6799">
        <v>7.48766553773907</v>
      </c>
      <c r="Q6799">
        <v>0.70947803732510395</v>
      </c>
      <c r="R6799">
        <v>2.2020414692066002</v>
      </c>
      <c r="S6799">
        <v>146</v>
      </c>
      <c r="T6799">
        <v>25</v>
      </c>
      <c r="U6799">
        <v>680.96276749337596</v>
      </c>
      <c r="V6799">
        <v>3.6127167630057798E-3</v>
      </c>
      <c r="W6799">
        <v>1346867.1385256399</v>
      </c>
      <c r="X6799" t="s">
        <v>28</v>
      </c>
      <c r="Y6799">
        <f>1-936-989-3842</f>
        <v>-5766</v>
      </c>
    </row>
    <row r="6800" spans="1:25" x14ac:dyDescent="0.35">
      <c r="A6800">
        <v>38.743014534325702</v>
      </c>
      <c r="B6800">
        <v>-115.12536542445901</v>
      </c>
      <c r="C6800" t="s">
        <v>34</v>
      </c>
      <c r="D6800">
        <v>9.1117645285151596</v>
      </c>
      <c r="E6800">
        <v>9</v>
      </c>
      <c r="F6800">
        <v>1970</v>
      </c>
      <c r="G6800">
        <v>1</v>
      </c>
      <c r="H6800">
        <v>3</v>
      </c>
      <c r="I6800">
        <v>1962</v>
      </c>
      <c r="J6800">
        <v>1</v>
      </c>
      <c r="K6800">
        <v>0</v>
      </c>
      <c r="L6800">
        <v>0</v>
      </c>
      <c r="M6800">
        <v>4</v>
      </c>
      <c r="N6800" t="s">
        <v>35</v>
      </c>
      <c r="O6800" t="s">
        <v>27</v>
      </c>
      <c r="P6800">
        <v>3.3670192716154599</v>
      </c>
      <c r="Q6800">
        <v>1.3673263543224401</v>
      </c>
      <c r="R6800">
        <v>4.8007811639533102</v>
      </c>
      <c r="S6800">
        <v>20</v>
      </c>
      <c r="T6800">
        <v>68</v>
      </c>
      <c r="U6800">
        <v>660.54289850636997</v>
      </c>
      <c r="V6800">
        <v>2.03045685279187E-3</v>
      </c>
      <c r="W6800">
        <v>1448740.2982252201</v>
      </c>
      <c r="X6800" t="s">
        <v>39</v>
      </c>
      <c r="Y6800">
        <f>1-852-305-5452</f>
        <v>-6608</v>
      </c>
    </row>
    <row r="6801" spans="1:25" x14ac:dyDescent="0.35">
      <c r="A6801">
        <v>37.545630451037297</v>
      </c>
      <c r="B6801">
        <v>-121.089539446351</v>
      </c>
      <c r="C6801" t="s">
        <v>29</v>
      </c>
      <c r="D6801">
        <v>41.146098738582303</v>
      </c>
      <c r="E6801">
        <v>1</v>
      </c>
      <c r="F6801">
        <v>589</v>
      </c>
      <c r="G6801">
        <v>4</v>
      </c>
      <c r="H6801">
        <v>2</v>
      </c>
      <c r="I6801">
        <v>2015</v>
      </c>
      <c r="J6801">
        <v>1</v>
      </c>
      <c r="K6801">
        <v>1</v>
      </c>
      <c r="L6801">
        <v>0</v>
      </c>
      <c r="M6801">
        <v>10</v>
      </c>
      <c r="N6801" t="s">
        <v>35</v>
      </c>
      <c r="O6801" t="s">
        <v>32</v>
      </c>
      <c r="P6801">
        <v>3.6422866324351602</v>
      </c>
      <c r="Q6801">
        <v>1.3587281164459499</v>
      </c>
      <c r="R6801">
        <v>3.02502893886192</v>
      </c>
      <c r="S6801">
        <v>175</v>
      </c>
      <c r="T6801">
        <v>20</v>
      </c>
      <c r="U6801">
        <v>415.46223460322102</v>
      </c>
      <c r="V6801">
        <v>1.6977928692699401E-2</v>
      </c>
      <c r="W6801">
        <v>641615.91914550099</v>
      </c>
      <c r="X6801" t="s">
        <v>36</v>
      </c>
      <c r="Y6801">
        <f>1-374-554-6706</f>
        <v>-7633</v>
      </c>
    </row>
    <row r="6802" spans="1:25" x14ac:dyDescent="0.35">
      <c r="A6802">
        <v>35.491866580828997</v>
      </c>
      <c r="B6802">
        <v>-117.02760906840901</v>
      </c>
      <c r="C6802" t="s">
        <v>34</v>
      </c>
      <c r="D6802">
        <v>22.8003585035637</v>
      </c>
      <c r="E6802">
        <v>1</v>
      </c>
      <c r="F6802">
        <v>2290</v>
      </c>
      <c r="G6802">
        <v>1</v>
      </c>
      <c r="H6802">
        <v>2</v>
      </c>
      <c r="I6802">
        <v>1954</v>
      </c>
      <c r="J6802">
        <v>0</v>
      </c>
      <c r="K6802">
        <v>1</v>
      </c>
      <c r="L6802">
        <v>1</v>
      </c>
      <c r="M6802">
        <v>6</v>
      </c>
      <c r="N6802" t="s">
        <v>37</v>
      </c>
      <c r="O6802" t="s">
        <v>27</v>
      </c>
      <c r="P6802">
        <v>2.2926957255047702</v>
      </c>
      <c r="Q6802">
        <v>1.90540390515227</v>
      </c>
      <c r="R6802">
        <v>7.8661082309075097</v>
      </c>
      <c r="S6802">
        <v>85</v>
      </c>
      <c r="T6802">
        <v>21</v>
      </c>
      <c r="U6802">
        <v>402.34674103223699</v>
      </c>
      <c r="V6802">
        <v>2.6200873362445401E-3</v>
      </c>
      <c r="W6802">
        <v>993441.28309563699</v>
      </c>
      <c r="X6802" t="s">
        <v>44</v>
      </c>
      <c r="Y6802">
        <f>1-541-728-7669</f>
        <v>-8937</v>
      </c>
    </row>
    <row r="6803" spans="1:25" x14ac:dyDescent="0.35">
      <c r="A6803">
        <v>34.2627490978333</v>
      </c>
      <c r="B6803">
        <v>-120.729993653257</v>
      </c>
      <c r="C6803" t="s">
        <v>29</v>
      </c>
      <c r="D6803">
        <v>35.261459119140099</v>
      </c>
      <c r="E6803">
        <v>7</v>
      </c>
      <c r="F6803">
        <v>4185</v>
      </c>
      <c r="G6803">
        <v>3</v>
      </c>
      <c r="H6803">
        <v>2</v>
      </c>
      <c r="I6803">
        <v>1990</v>
      </c>
      <c r="J6803">
        <v>1</v>
      </c>
      <c r="K6803">
        <v>1</v>
      </c>
      <c r="L6803">
        <v>1</v>
      </c>
      <c r="M6803">
        <v>7</v>
      </c>
      <c r="N6803" t="s">
        <v>37</v>
      </c>
      <c r="O6803" t="s">
        <v>30</v>
      </c>
      <c r="P6803">
        <v>2.5097953769319798</v>
      </c>
      <c r="Q6803">
        <v>1.7853190020291001</v>
      </c>
      <c r="R6803">
        <v>5.2404455117499502</v>
      </c>
      <c r="S6803">
        <v>165</v>
      </c>
      <c r="T6803">
        <v>29</v>
      </c>
      <c r="U6803">
        <v>863.34864252739897</v>
      </c>
      <c r="V6803">
        <v>1.6726403823178E-3</v>
      </c>
      <c r="W6803">
        <v>4036561.0040282798</v>
      </c>
      <c r="X6803" t="s">
        <v>43</v>
      </c>
      <c r="Y6803">
        <f>1-818-333-9679</f>
        <v>-10829</v>
      </c>
    </row>
    <row r="6804" spans="1:25" x14ac:dyDescent="0.35">
      <c r="A6804">
        <v>37.701979962499401</v>
      </c>
      <c r="B6804">
        <v>-115.011293890836</v>
      </c>
      <c r="C6804" t="s">
        <v>29</v>
      </c>
      <c r="D6804">
        <v>21.680039646290901</v>
      </c>
      <c r="E6804">
        <v>2</v>
      </c>
      <c r="F6804">
        <v>3020</v>
      </c>
      <c r="G6804">
        <v>2</v>
      </c>
      <c r="H6804">
        <v>3</v>
      </c>
      <c r="I6804">
        <v>1992</v>
      </c>
      <c r="J6804">
        <v>0</v>
      </c>
      <c r="K6804">
        <v>0</v>
      </c>
      <c r="L6804">
        <v>1</v>
      </c>
      <c r="M6804">
        <v>14</v>
      </c>
      <c r="N6804" t="s">
        <v>41</v>
      </c>
      <c r="O6804" t="s">
        <v>27</v>
      </c>
      <c r="P6804">
        <v>7.0645072183368898</v>
      </c>
      <c r="Q6804">
        <v>2.3111202653721099</v>
      </c>
      <c r="R6804">
        <v>5.3926167177522801</v>
      </c>
      <c r="S6804">
        <v>88</v>
      </c>
      <c r="T6804">
        <v>78</v>
      </c>
      <c r="U6804">
        <v>605.12523345524096</v>
      </c>
      <c r="V6804">
        <v>4.6357615894039696E-3</v>
      </c>
      <c r="W6804">
        <v>2054387.0793717301</v>
      </c>
      <c r="X6804" t="s">
        <v>44</v>
      </c>
      <c r="Y6804">
        <f>1-542-113-4171</f>
        <v>-4825</v>
      </c>
    </row>
    <row r="6805" spans="1:25" x14ac:dyDescent="0.35">
      <c r="A6805">
        <v>35.3878754516466</v>
      </c>
      <c r="B6805">
        <v>-115.89413785720301</v>
      </c>
      <c r="C6805" t="s">
        <v>25</v>
      </c>
      <c r="D6805">
        <v>37.191951171457497</v>
      </c>
      <c r="E6805">
        <v>8</v>
      </c>
      <c r="F6805">
        <v>4875</v>
      </c>
      <c r="G6805">
        <v>5</v>
      </c>
      <c r="H6805">
        <v>3</v>
      </c>
      <c r="I6805">
        <v>2003</v>
      </c>
      <c r="J6805">
        <v>1</v>
      </c>
      <c r="K6805">
        <v>0</v>
      </c>
      <c r="L6805">
        <v>0</v>
      </c>
      <c r="M6805">
        <v>2</v>
      </c>
      <c r="N6805" t="s">
        <v>35</v>
      </c>
      <c r="O6805" t="s">
        <v>30</v>
      </c>
      <c r="P6805">
        <v>12.1639287244983</v>
      </c>
      <c r="Q6805">
        <v>1.9017200629778701</v>
      </c>
      <c r="R6805">
        <v>7.1431512162281701</v>
      </c>
      <c r="S6805">
        <v>130</v>
      </c>
      <c r="T6805">
        <v>71</v>
      </c>
      <c r="U6805">
        <v>821.48150447796297</v>
      </c>
      <c r="V6805">
        <v>4.1025641025641002E-4</v>
      </c>
      <c r="W6805">
        <v>4364148.4727999102</v>
      </c>
      <c r="X6805" t="s">
        <v>36</v>
      </c>
      <c r="Y6805">
        <f>1-448-986-3618</f>
        <v>-5051</v>
      </c>
    </row>
    <row r="6806" spans="1:25" x14ac:dyDescent="0.35">
      <c r="A6806">
        <v>35.048119644634198</v>
      </c>
      <c r="B6806">
        <v>-120.608222678801</v>
      </c>
      <c r="C6806" t="s">
        <v>25</v>
      </c>
      <c r="D6806">
        <v>10.5185573052525</v>
      </c>
      <c r="E6806">
        <v>3</v>
      </c>
      <c r="F6806">
        <v>2090</v>
      </c>
      <c r="G6806">
        <v>1</v>
      </c>
      <c r="H6806">
        <v>1</v>
      </c>
      <c r="I6806">
        <v>2014</v>
      </c>
      <c r="J6806">
        <v>0</v>
      </c>
      <c r="K6806">
        <v>0</v>
      </c>
      <c r="L6806">
        <v>1</v>
      </c>
      <c r="M6806">
        <v>5</v>
      </c>
      <c r="N6806" t="s">
        <v>26</v>
      </c>
      <c r="O6806" t="s">
        <v>30</v>
      </c>
      <c r="P6806">
        <v>7.6721000403188704</v>
      </c>
      <c r="Q6806">
        <v>1.44569444658323</v>
      </c>
      <c r="R6806">
        <v>1.6014482728567001</v>
      </c>
      <c r="S6806">
        <v>163</v>
      </c>
      <c r="T6806">
        <v>54</v>
      </c>
      <c r="U6806">
        <v>791.67008294202003</v>
      </c>
      <c r="V6806">
        <v>2.3923444976076502E-3</v>
      </c>
      <c r="W6806">
        <v>1684196.1834183601</v>
      </c>
      <c r="X6806" t="s">
        <v>38</v>
      </c>
      <c r="Y6806">
        <f>1-325-499-7370</f>
        <v>-8193</v>
      </c>
    </row>
    <row r="6807" spans="1:25" x14ac:dyDescent="0.35">
      <c r="A6807">
        <v>37.059199164776402</v>
      </c>
      <c r="B6807">
        <v>-115.273792415645</v>
      </c>
      <c r="C6807" t="s">
        <v>25</v>
      </c>
      <c r="D6807">
        <v>31.1751881587676</v>
      </c>
      <c r="E6807">
        <v>6</v>
      </c>
      <c r="F6807">
        <v>2427</v>
      </c>
      <c r="G6807">
        <v>2</v>
      </c>
      <c r="H6807">
        <v>3</v>
      </c>
      <c r="I6807">
        <v>1993</v>
      </c>
      <c r="J6807">
        <v>0</v>
      </c>
      <c r="K6807">
        <v>0</v>
      </c>
      <c r="L6807">
        <v>0</v>
      </c>
      <c r="M6807">
        <v>9</v>
      </c>
      <c r="N6807" t="s">
        <v>37</v>
      </c>
      <c r="O6807" t="s">
        <v>30</v>
      </c>
      <c r="P6807">
        <v>3.1516629976625299</v>
      </c>
      <c r="Q6807">
        <v>2.4605241610730202</v>
      </c>
      <c r="R6807">
        <v>2.77908733490231</v>
      </c>
      <c r="S6807">
        <v>137</v>
      </c>
      <c r="T6807">
        <v>24</v>
      </c>
      <c r="U6807">
        <v>344.35733334537099</v>
      </c>
      <c r="V6807">
        <v>3.7082818294190299E-3</v>
      </c>
      <c r="W6807">
        <v>989843.13167674805</v>
      </c>
      <c r="X6807" t="s">
        <v>42</v>
      </c>
      <c r="Y6807">
        <f>1-315-821-6690</f>
        <v>-7825</v>
      </c>
    </row>
    <row r="6808" spans="1:25" x14ac:dyDescent="0.35">
      <c r="A6808">
        <v>34.562453910576899</v>
      </c>
      <c r="B6808">
        <v>-120.454911877054</v>
      </c>
      <c r="C6808" t="s">
        <v>34</v>
      </c>
      <c r="D6808">
        <v>41.781914165987999</v>
      </c>
      <c r="E6808">
        <v>3</v>
      </c>
      <c r="F6808">
        <v>908</v>
      </c>
      <c r="G6808">
        <v>1</v>
      </c>
      <c r="H6808">
        <v>3</v>
      </c>
      <c r="I6808">
        <v>2007</v>
      </c>
      <c r="J6808">
        <v>0</v>
      </c>
      <c r="K6808">
        <v>0</v>
      </c>
      <c r="L6808">
        <v>1</v>
      </c>
      <c r="M6808">
        <v>6</v>
      </c>
      <c r="N6808" t="s">
        <v>35</v>
      </c>
      <c r="O6808" t="s">
        <v>32</v>
      </c>
      <c r="P6808">
        <v>10.438132126335701</v>
      </c>
      <c r="Q6808">
        <v>2.3651855837554598</v>
      </c>
      <c r="R6808">
        <v>8.0258489826177097</v>
      </c>
      <c r="S6808">
        <v>159</v>
      </c>
      <c r="T6808">
        <v>56</v>
      </c>
      <c r="U6808">
        <v>645.88470362868497</v>
      </c>
      <c r="V6808">
        <v>6.6079295154184998E-3</v>
      </c>
      <c r="W6808">
        <v>841892.93677469704</v>
      </c>
      <c r="X6808" t="s">
        <v>31</v>
      </c>
      <c r="Y6808">
        <f>1-656-513-5298</f>
        <v>-6466</v>
      </c>
    </row>
    <row r="6809" spans="1:25" x14ac:dyDescent="0.35">
      <c r="A6809">
        <v>41.262694954968303</v>
      </c>
      <c r="B6809">
        <v>-114.42340370849401</v>
      </c>
      <c r="C6809" t="s">
        <v>34</v>
      </c>
      <c r="D6809">
        <v>22.281250043260901</v>
      </c>
      <c r="E6809">
        <v>9</v>
      </c>
      <c r="F6809">
        <v>4787</v>
      </c>
      <c r="G6809">
        <v>2</v>
      </c>
      <c r="H6809">
        <v>2</v>
      </c>
      <c r="I6809">
        <v>1972</v>
      </c>
      <c r="J6809">
        <v>0</v>
      </c>
      <c r="K6809">
        <v>0</v>
      </c>
      <c r="L6809">
        <v>1</v>
      </c>
      <c r="M6809">
        <v>12</v>
      </c>
      <c r="N6809" t="s">
        <v>37</v>
      </c>
      <c r="O6809" t="s">
        <v>32</v>
      </c>
      <c r="P6809">
        <v>8.7469829947076505</v>
      </c>
      <c r="Q6809">
        <v>0.63840032710866201</v>
      </c>
      <c r="R6809">
        <v>1.8511685441910499</v>
      </c>
      <c r="S6809">
        <v>183</v>
      </c>
      <c r="T6809">
        <v>22</v>
      </c>
      <c r="U6809">
        <v>975.63434113211497</v>
      </c>
      <c r="V6809">
        <v>2.5067892208063499E-3</v>
      </c>
      <c r="W6809">
        <v>4725049.9974008901</v>
      </c>
      <c r="X6809" t="s">
        <v>40</v>
      </c>
      <c r="Y6809">
        <f>1-618-623-7999</f>
        <v>-9239</v>
      </c>
    </row>
    <row r="6810" spans="1:25" x14ac:dyDescent="0.35">
      <c r="A6810">
        <v>33.023632142411103</v>
      </c>
      <c r="B6810">
        <v>-118.918995994334</v>
      </c>
      <c r="C6810" t="s">
        <v>29</v>
      </c>
      <c r="D6810">
        <v>18.517011584956499</v>
      </c>
      <c r="E6810">
        <v>5</v>
      </c>
      <c r="F6810">
        <v>2202</v>
      </c>
      <c r="G6810">
        <v>5</v>
      </c>
      <c r="H6810">
        <v>1</v>
      </c>
      <c r="I6810">
        <v>1994</v>
      </c>
      <c r="J6810">
        <v>0</v>
      </c>
      <c r="K6810">
        <v>1</v>
      </c>
      <c r="L6810">
        <v>0</v>
      </c>
      <c r="M6810">
        <v>12</v>
      </c>
      <c r="N6810" t="s">
        <v>37</v>
      </c>
      <c r="O6810" t="s">
        <v>32</v>
      </c>
      <c r="P6810">
        <v>4.2546714911406198</v>
      </c>
      <c r="Q6810">
        <v>1.80917843038144</v>
      </c>
      <c r="R6810">
        <v>9.1453192843445805</v>
      </c>
      <c r="S6810">
        <v>174</v>
      </c>
      <c r="T6810">
        <v>46</v>
      </c>
      <c r="U6810">
        <v>304.27780417305797</v>
      </c>
      <c r="V6810">
        <v>5.4495912806539499E-3</v>
      </c>
      <c r="W6810">
        <v>981046.71700021403</v>
      </c>
      <c r="X6810" t="s">
        <v>33</v>
      </c>
      <c r="Y6810">
        <f>1-206-322-7681</f>
        <v>-8208</v>
      </c>
    </row>
    <row r="6811" spans="1:25" x14ac:dyDescent="0.35">
      <c r="A6811">
        <v>38.029263706730603</v>
      </c>
      <c r="B6811">
        <v>-114.810220331922</v>
      </c>
      <c r="C6811" t="s">
        <v>34</v>
      </c>
      <c r="D6811">
        <v>24.491912211044301</v>
      </c>
      <c r="E6811">
        <v>0</v>
      </c>
      <c r="F6811">
        <v>3773</v>
      </c>
      <c r="G6811">
        <v>5</v>
      </c>
      <c r="H6811">
        <v>2</v>
      </c>
      <c r="I6811">
        <v>1969</v>
      </c>
      <c r="J6811">
        <v>0</v>
      </c>
      <c r="K6811">
        <v>1</v>
      </c>
      <c r="L6811">
        <v>0</v>
      </c>
      <c r="M6811">
        <v>6</v>
      </c>
      <c r="N6811" t="s">
        <v>41</v>
      </c>
      <c r="O6811" t="s">
        <v>27</v>
      </c>
      <c r="P6811">
        <v>10.225742933601801</v>
      </c>
      <c r="Q6811">
        <v>1.27584393665622</v>
      </c>
      <c r="R6811">
        <v>6.3846195237366903</v>
      </c>
      <c r="S6811">
        <v>39</v>
      </c>
      <c r="T6811">
        <v>53</v>
      </c>
      <c r="U6811">
        <v>684.577315568421</v>
      </c>
      <c r="V6811">
        <v>1.5902464882056699E-3</v>
      </c>
      <c r="W6811">
        <v>2832777.34162727</v>
      </c>
      <c r="X6811" t="s">
        <v>44</v>
      </c>
      <c r="Y6811">
        <f>1-262-640-6454</f>
        <v>-7355</v>
      </c>
    </row>
    <row r="6812" spans="1:25" x14ac:dyDescent="0.35">
      <c r="A6812">
        <v>37.035310248962801</v>
      </c>
      <c r="B6812">
        <v>-114.86577613228199</v>
      </c>
      <c r="C6812" t="s">
        <v>34</v>
      </c>
      <c r="D6812">
        <v>35.820226998738697</v>
      </c>
      <c r="E6812">
        <v>8</v>
      </c>
      <c r="F6812">
        <v>2978</v>
      </c>
      <c r="G6812">
        <v>5</v>
      </c>
      <c r="H6812">
        <v>2</v>
      </c>
      <c r="I6812">
        <v>1964</v>
      </c>
      <c r="J6812">
        <v>0</v>
      </c>
      <c r="K6812">
        <v>0</v>
      </c>
      <c r="L6812">
        <v>1</v>
      </c>
      <c r="M6812">
        <v>6</v>
      </c>
      <c r="N6812" t="s">
        <v>41</v>
      </c>
      <c r="O6812" t="s">
        <v>32</v>
      </c>
      <c r="P6812">
        <v>5.2839425099598696</v>
      </c>
      <c r="Q6812">
        <v>0.69593068357999099</v>
      </c>
      <c r="R6812">
        <v>4.5793065391753496</v>
      </c>
      <c r="S6812">
        <v>115</v>
      </c>
      <c r="T6812">
        <v>27</v>
      </c>
      <c r="U6812">
        <v>410.356311435306</v>
      </c>
      <c r="V6812">
        <v>2.0147750167897899E-3</v>
      </c>
      <c r="W6812">
        <v>1436098.51496609</v>
      </c>
      <c r="X6812" t="s">
        <v>33</v>
      </c>
      <c r="Y6812">
        <f>1-807-280-7572</f>
        <v>-8658</v>
      </c>
    </row>
    <row r="6813" spans="1:25" x14ac:dyDescent="0.35">
      <c r="A6813">
        <v>35.955773365139599</v>
      </c>
      <c r="B6813">
        <v>-123.522721158146</v>
      </c>
      <c r="C6813" t="s">
        <v>25</v>
      </c>
      <c r="D6813">
        <v>19.9860880943185</v>
      </c>
      <c r="E6813">
        <v>3</v>
      </c>
      <c r="F6813">
        <v>3626</v>
      </c>
      <c r="G6813">
        <v>1</v>
      </c>
      <c r="H6813">
        <v>2</v>
      </c>
      <c r="I6813">
        <v>1989</v>
      </c>
      <c r="J6813">
        <v>1</v>
      </c>
      <c r="K6813">
        <v>0</v>
      </c>
      <c r="L6813">
        <v>1</v>
      </c>
      <c r="M6813">
        <v>4</v>
      </c>
      <c r="N6813" t="s">
        <v>35</v>
      </c>
      <c r="O6813" t="s">
        <v>32</v>
      </c>
      <c r="P6813">
        <v>4.92551826739132</v>
      </c>
      <c r="Q6813">
        <v>1.69358720382044</v>
      </c>
      <c r="R6813">
        <v>7.2851999595190398</v>
      </c>
      <c r="S6813">
        <v>185</v>
      </c>
      <c r="T6813">
        <v>64</v>
      </c>
      <c r="U6813">
        <v>721.65287289206901</v>
      </c>
      <c r="V6813">
        <v>1.1031439602868099E-3</v>
      </c>
      <c r="W6813">
        <v>2753174.8958019302</v>
      </c>
      <c r="X6813" t="s">
        <v>39</v>
      </c>
      <c r="Y6813">
        <f>1-475-556-9425</f>
        <v>-10455</v>
      </c>
    </row>
    <row r="6814" spans="1:25" x14ac:dyDescent="0.35">
      <c r="A6814">
        <v>38.291008180074897</v>
      </c>
      <c r="B6814">
        <v>-114.23269109937399</v>
      </c>
      <c r="C6814" t="s">
        <v>29</v>
      </c>
      <c r="D6814">
        <v>16.292943593285301</v>
      </c>
      <c r="E6814">
        <v>8</v>
      </c>
      <c r="F6814">
        <v>1200</v>
      </c>
      <c r="G6814">
        <v>2</v>
      </c>
      <c r="H6814">
        <v>1</v>
      </c>
      <c r="I6814">
        <v>1982</v>
      </c>
      <c r="J6814">
        <v>0</v>
      </c>
      <c r="K6814">
        <v>1</v>
      </c>
      <c r="L6814">
        <v>0</v>
      </c>
      <c r="M6814">
        <v>3</v>
      </c>
      <c r="N6814" t="s">
        <v>35</v>
      </c>
      <c r="O6814" t="s">
        <v>32</v>
      </c>
      <c r="P6814">
        <v>14.5018413560556</v>
      </c>
      <c r="Q6814">
        <v>1.2096908613874999</v>
      </c>
      <c r="R6814">
        <v>2.1475244058002301</v>
      </c>
      <c r="S6814">
        <v>180</v>
      </c>
      <c r="T6814">
        <v>45</v>
      </c>
      <c r="U6814">
        <v>524.93553913224696</v>
      </c>
      <c r="V6814">
        <v>2.5000000000000001E-3</v>
      </c>
      <c r="W6814">
        <v>935848.345342724</v>
      </c>
      <c r="X6814" t="s">
        <v>40</v>
      </c>
      <c r="Y6814">
        <f>1-871-367-5508</f>
        <v>-6745</v>
      </c>
    </row>
    <row r="6815" spans="1:25" x14ac:dyDescent="0.35">
      <c r="A6815">
        <v>38.629714524736798</v>
      </c>
      <c r="B6815">
        <v>-117.297454343349</v>
      </c>
      <c r="C6815" t="s">
        <v>25</v>
      </c>
      <c r="D6815">
        <v>18.8160693745168</v>
      </c>
      <c r="E6815">
        <v>5</v>
      </c>
      <c r="F6815">
        <v>2197</v>
      </c>
      <c r="G6815">
        <v>1</v>
      </c>
      <c r="H6815">
        <v>2</v>
      </c>
      <c r="I6815">
        <v>2018</v>
      </c>
      <c r="J6815">
        <v>0</v>
      </c>
      <c r="K6815">
        <v>1</v>
      </c>
      <c r="L6815">
        <v>1</v>
      </c>
      <c r="M6815">
        <v>6</v>
      </c>
      <c r="N6815" t="s">
        <v>41</v>
      </c>
      <c r="O6815" t="s">
        <v>30</v>
      </c>
      <c r="P6815">
        <v>2.99663979162588</v>
      </c>
      <c r="Q6815">
        <v>0.869854301580267</v>
      </c>
      <c r="R6815">
        <v>6.6968448272286496</v>
      </c>
      <c r="S6815">
        <v>132</v>
      </c>
      <c r="T6815">
        <v>33</v>
      </c>
      <c r="U6815">
        <v>970.26072441176302</v>
      </c>
      <c r="V6815">
        <v>2.7309968138370501E-3</v>
      </c>
      <c r="W6815">
        <v>2342337.5309778899</v>
      </c>
      <c r="X6815" t="s">
        <v>43</v>
      </c>
      <c r="Y6815">
        <f>1-730-868-9270</f>
        <v>-10867</v>
      </c>
    </row>
    <row r="6816" spans="1:25" x14ac:dyDescent="0.35">
      <c r="A6816">
        <v>41.2348927220565</v>
      </c>
      <c r="B6816">
        <v>-121.04516144707</v>
      </c>
      <c r="C6816" t="s">
        <v>29</v>
      </c>
      <c r="D6816">
        <v>33.776053027154397</v>
      </c>
      <c r="E6816">
        <v>9</v>
      </c>
      <c r="F6816">
        <v>3958</v>
      </c>
      <c r="G6816">
        <v>1</v>
      </c>
      <c r="H6816">
        <v>1</v>
      </c>
      <c r="I6816">
        <v>1953</v>
      </c>
      <c r="J6816">
        <v>1</v>
      </c>
      <c r="K6816">
        <v>1</v>
      </c>
      <c r="L6816">
        <v>0</v>
      </c>
      <c r="M6816">
        <v>12</v>
      </c>
      <c r="N6816" t="s">
        <v>26</v>
      </c>
      <c r="O6816" t="s">
        <v>27</v>
      </c>
      <c r="P6816">
        <v>2.32537078106043</v>
      </c>
      <c r="Q6816">
        <v>2.2757468084978898</v>
      </c>
      <c r="R6816">
        <v>5.2743841048214799</v>
      </c>
      <c r="S6816">
        <v>61</v>
      </c>
      <c r="T6816">
        <v>26</v>
      </c>
      <c r="U6816">
        <v>821.71530652003503</v>
      </c>
      <c r="V6816">
        <v>3.0318342597271302E-3</v>
      </c>
      <c r="W6816">
        <v>3456576.3224868402</v>
      </c>
      <c r="X6816" t="s">
        <v>33</v>
      </c>
      <c r="Y6816">
        <f>1-467-695-1377</f>
        <v>-2538</v>
      </c>
    </row>
    <row r="6817" spans="1:25" x14ac:dyDescent="0.35">
      <c r="A6817">
        <v>34.046486733250099</v>
      </c>
      <c r="B6817">
        <v>-119.45282418705099</v>
      </c>
      <c r="C6817" t="s">
        <v>34</v>
      </c>
      <c r="D6817">
        <v>34.935997750791898</v>
      </c>
      <c r="E6817">
        <v>9</v>
      </c>
      <c r="F6817">
        <v>2666</v>
      </c>
      <c r="G6817">
        <v>2</v>
      </c>
      <c r="H6817">
        <v>3</v>
      </c>
      <c r="I6817">
        <v>2003</v>
      </c>
      <c r="J6817">
        <v>0</v>
      </c>
      <c r="K6817">
        <v>1</v>
      </c>
      <c r="L6817">
        <v>0</v>
      </c>
      <c r="M6817">
        <v>7</v>
      </c>
      <c r="N6817" t="s">
        <v>26</v>
      </c>
      <c r="O6817" t="s">
        <v>32</v>
      </c>
      <c r="P6817">
        <v>12.188387691044399</v>
      </c>
      <c r="Q6817">
        <v>1.90585519376401</v>
      </c>
      <c r="R6817">
        <v>1.6026756079563</v>
      </c>
      <c r="S6817">
        <v>149</v>
      </c>
      <c r="T6817">
        <v>27</v>
      </c>
      <c r="U6817">
        <v>583.39342333700699</v>
      </c>
      <c r="V6817">
        <v>2.6256564141035198E-3</v>
      </c>
      <c r="W6817">
        <v>1877377.0673509899</v>
      </c>
      <c r="X6817" t="s">
        <v>43</v>
      </c>
      <c r="Y6817">
        <f>1-287-339-9594</f>
        <v>-10219</v>
      </c>
    </row>
    <row r="6818" spans="1:25" x14ac:dyDescent="0.35">
      <c r="A6818">
        <v>34.611721977424097</v>
      </c>
      <c r="B6818">
        <v>-115.769900709094</v>
      </c>
      <c r="C6818" t="s">
        <v>25</v>
      </c>
      <c r="D6818">
        <v>42.412494073825897</v>
      </c>
      <c r="E6818">
        <v>0</v>
      </c>
      <c r="F6818">
        <v>2305</v>
      </c>
      <c r="G6818">
        <v>2</v>
      </c>
      <c r="H6818">
        <v>1</v>
      </c>
      <c r="I6818">
        <v>1999</v>
      </c>
      <c r="J6818">
        <v>1</v>
      </c>
      <c r="K6818">
        <v>0</v>
      </c>
      <c r="L6818">
        <v>0</v>
      </c>
      <c r="M6818">
        <v>2</v>
      </c>
      <c r="N6818" t="s">
        <v>35</v>
      </c>
      <c r="O6818" t="s">
        <v>27</v>
      </c>
      <c r="P6818">
        <v>4.2662653620379301</v>
      </c>
      <c r="Q6818">
        <v>1.9104242777832401</v>
      </c>
      <c r="R6818">
        <v>1.08849489151655</v>
      </c>
      <c r="S6818">
        <v>188</v>
      </c>
      <c r="T6818">
        <v>45</v>
      </c>
      <c r="U6818">
        <v>501.24820577143498</v>
      </c>
      <c r="V6818">
        <v>8.6767895878524898E-4</v>
      </c>
      <c r="W6818">
        <v>1280170.4031992401</v>
      </c>
      <c r="X6818" t="s">
        <v>38</v>
      </c>
      <c r="Y6818">
        <f>1-962-398-5797</f>
        <v>-7156</v>
      </c>
    </row>
    <row r="6819" spans="1:25" x14ac:dyDescent="0.35">
      <c r="A6819">
        <v>41.543757189173398</v>
      </c>
      <c r="B6819">
        <v>-118.454357766405</v>
      </c>
      <c r="C6819" t="s">
        <v>34</v>
      </c>
      <c r="D6819">
        <v>14.064992907241701</v>
      </c>
      <c r="E6819">
        <v>0</v>
      </c>
      <c r="F6819">
        <v>4941</v>
      </c>
      <c r="G6819">
        <v>1</v>
      </c>
      <c r="H6819">
        <v>1</v>
      </c>
      <c r="I6819">
        <v>1987</v>
      </c>
      <c r="J6819">
        <v>1</v>
      </c>
      <c r="K6819">
        <v>1</v>
      </c>
      <c r="L6819">
        <v>0</v>
      </c>
      <c r="M6819">
        <v>2</v>
      </c>
      <c r="N6819" t="s">
        <v>35</v>
      </c>
      <c r="O6819" t="s">
        <v>30</v>
      </c>
      <c r="P6819">
        <v>9.3105903131176806</v>
      </c>
      <c r="Q6819">
        <v>1.91820795426321</v>
      </c>
      <c r="R6819">
        <v>2.2867017996043</v>
      </c>
      <c r="S6819">
        <v>68</v>
      </c>
      <c r="T6819">
        <v>40</v>
      </c>
      <c r="U6819">
        <v>228.836472545509</v>
      </c>
      <c r="V6819">
        <v>4.0477636106051398E-4</v>
      </c>
      <c r="W6819">
        <v>1390719.08938817</v>
      </c>
      <c r="X6819" t="s">
        <v>38</v>
      </c>
      <c r="Y6819">
        <f>1-749-820-1230</f>
        <v>-2798</v>
      </c>
    </row>
    <row r="6820" spans="1:25" x14ac:dyDescent="0.35">
      <c r="A6820">
        <v>36.1884900603714</v>
      </c>
      <c r="B6820">
        <v>-120.58785595542901</v>
      </c>
      <c r="C6820" t="s">
        <v>34</v>
      </c>
      <c r="D6820">
        <v>30.744581740920399</v>
      </c>
      <c r="E6820">
        <v>0</v>
      </c>
      <c r="F6820">
        <v>2471</v>
      </c>
      <c r="G6820">
        <v>1</v>
      </c>
      <c r="H6820">
        <v>1</v>
      </c>
      <c r="I6820">
        <v>1951</v>
      </c>
      <c r="J6820">
        <v>0</v>
      </c>
      <c r="K6820">
        <v>0</v>
      </c>
      <c r="L6820">
        <v>1</v>
      </c>
      <c r="M6820">
        <v>11</v>
      </c>
      <c r="N6820" t="s">
        <v>26</v>
      </c>
      <c r="O6820" t="s">
        <v>30</v>
      </c>
      <c r="P6820">
        <v>10.1607603047027</v>
      </c>
      <c r="Q6820">
        <v>1.79071252734912</v>
      </c>
      <c r="R6820">
        <v>9.9572573772111301</v>
      </c>
      <c r="S6820">
        <v>184</v>
      </c>
      <c r="T6820">
        <v>63</v>
      </c>
      <c r="U6820">
        <v>925.73434830311999</v>
      </c>
      <c r="V6820">
        <v>4.4516390125455196E-3</v>
      </c>
      <c r="W6820">
        <v>2354773.1621363899</v>
      </c>
      <c r="X6820" t="s">
        <v>38</v>
      </c>
      <c r="Y6820">
        <f>1-878-763-5198</f>
        <v>-6838</v>
      </c>
    </row>
    <row r="6821" spans="1:25" x14ac:dyDescent="0.35">
      <c r="A6821">
        <v>36.752846566775602</v>
      </c>
      <c r="B6821">
        <v>-116.386648252071</v>
      </c>
      <c r="C6821" t="s">
        <v>29</v>
      </c>
      <c r="D6821">
        <v>2.6348163840833299</v>
      </c>
      <c r="E6821">
        <v>2</v>
      </c>
      <c r="F6821">
        <v>2854</v>
      </c>
      <c r="G6821">
        <v>5</v>
      </c>
      <c r="H6821">
        <v>1</v>
      </c>
      <c r="I6821">
        <v>2005</v>
      </c>
      <c r="J6821">
        <v>1</v>
      </c>
      <c r="K6821">
        <v>0</v>
      </c>
      <c r="L6821">
        <v>0</v>
      </c>
      <c r="M6821">
        <v>13</v>
      </c>
      <c r="N6821" t="s">
        <v>37</v>
      </c>
      <c r="O6821" t="s">
        <v>27</v>
      </c>
      <c r="P6821">
        <v>3.7150650908109801</v>
      </c>
      <c r="Q6821">
        <v>2.2850037533116399</v>
      </c>
      <c r="R6821">
        <v>6.6170902772055697</v>
      </c>
      <c r="S6821">
        <v>90</v>
      </c>
      <c r="T6821">
        <v>66</v>
      </c>
      <c r="U6821">
        <v>322.55626083875399</v>
      </c>
      <c r="V6821">
        <v>4.5550105115627097E-3</v>
      </c>
      <c r="W6821">
        <v>1146810.8358400201</v>
      </c>
      <c r="X6821" t="s">
        <v>33</v>
      </c>
      <c r="Y6821">
        <f>1-615-597-7668</f>
        <v>-8879</v>
      </c>
    </row>
    <row r="6822" spans="1:25" x14ac:dyDescent="0.35">
      <c r="A6822">
        <v>34.962894547679703</v>
      </c>
      <c r="B6822">
        <v>-117.560540630871</v>
      </c>
      <c r="C6822" t="s">
        <v>25</v>
      </c>
      <c r="D6822">
        <v>10.8579944319549</v>
      </c>
      <c r="E6822">
        <v>2</v>
      </c>
      <c r="F6822">
        <v>4067</v>
      </c>
      <c r="G6822">
        <v>3</v>
      </c>
      <c r="H6822">
        <v>2</v>
      </c>
      <c r="I6822">
        <v>2008</v>
      </c>
      <c r="J6822">
        <v>1</v>
      </c>
      <c r="K6822">
        <v>0</v>
      </c>
      <c r="L6822">
        <v>1</v>
      </c>
      <c r="M6822">
        <v>5</v>
      </c>
      <c r="N6822" t="s">
        <v>35</v>
      </c>
      <c r="O6822" t="s">
        <v>32</v>
      </c>
      <c r="P6822">
        <v>5.4792119914680804</v>
      </c>
      <c r="Q6822">
        <v>1.38385926214592</v>
      </c>
      <c r="R6822">
        <v>4.5226908919214104</v>
      </c>
      <c r="S6822">
        <v>129</v>
      </c>
      <c r="T6822">
        <v>37</v>
      </c>
      <c r="U6822">
        <v>284.24097285765902</v>
      </c>
      <c r="V6822">
        <v>1.22940742562085E-3</v>
      </c>
      <c r="W6822">
        <v>1344501.1561432399</v>
      </c>
      <c r="X6822" t="s">
        <v>44</v>
      </c>
      <c r="Y6822">
        <f>1-500-265-6135</f>
        <v>-6899</v>
      </c>
    </row>
    <row r="6823" spans="1:25" x14ac:dyDescent="0.35">
      <c r="A6823">
        <v>37.202994876767399</v>
      </c>
      <c r="B6823">
        <v>-114.811981322764</v>
      </c>
      <c r="C6823" t="s">
        <v>25</v>
      </c>
      <c r="D6823">
        <v>10.2044208630602</v>
      </c>
      <c r="E6823">
        <v>7</v>
      </c>
      <c r="F6823">
        <v>856</v>
      </c>
      <c r="G6823">
        <v>3</v>
      </c>
      <c r="H6823">
        <v>2</v>
      </c>
      <c r="I6823">
        <v>2008</v>
      </c>
      <c r="J6823">
        <v>0</v>
      </c>
      <c r="K6823">
        <v>0</v>
      </c>
      <c r="L6823">
        <v>1</v>
      </c>
      <c r="M6823">
        <v>10</v>
      </c>
      <c r="N6823" t="s">
        <v>35</v>
      </c>
      <c r="O6823" t="s">
        <v>32</v>
      </c>
      <c r="P6823">
        <v>8.5174820618450493</v>
      </c>
      <c r="Q6823">
        <v>1.03632970047918</v>
      </c>
      <c r="R6823">
        <v>1.5818109996329199</v>
      </c>
      <c r="S6823">
        <v>66</v>
      </c>
      <c r="T6823">
        <v>59</v>
      </c>
      <c r="U6823">
        <v>739.20531106647604</v>
      </c>
      <c r="V6823">
        <v>1.16822429906542E-2</v>
      </c>
      <c r="W6823">
        <v>904451.454841014</v>
      </c>
      <c r="X6823" t="s">
        <v>38</v>
      </c>
      <c r="Y6823">
        <f>1-284-382-9215</f>
        <v>-9880</v>
      </c>
    </row>
    <row r="6824" spans="1:25" x14ac:dyDescent="0.35">
      <c r="A6824">
        <v>32.521726070432301</v>
      </c>
      <c r="B6824">
        <v>-122.45826607945</v>
      </c>
      <c r="C6824" t="s">
        <v>29</v>
      </c>
      <c r="D6824">
        <v>49.768286619936497</v>
      </c>
      <c r="E6824">
        <v>7</v>
      </c>
      <c r="F6824">
        <v>4169</v>
      </c>
      <c r="G6824">
        <v>5</v>
      </c>
      <c r="H6824">
        <v>3</v>
      </c>
      <c r="I6824">
        <v>1971</v>
      </c>
      <c r="J6824">
        <v>0</v>
      </c>
      <c r="K6824">
        <v>1</v>
      </c>
      <c r="L6824">
        <v>0</v>
      </c>
      <c r="M6824">
        <v>10</v>
      </c>
      <c r="N6824" t="s">
        <v>37</v>
      </c>
      <c r="O6824" t="s">
        <v>32</v>
      </c>
      <c r="P6824">
        <v>8.5727163532979596</v>
      </c>
      <c r="Q6824">
        <v>0.73037743717472803</v>
      </c>
      <c r="R6824">
        <v>0.43130073900835803</v>
      </c>
      <c r="S6824">
        <v>70</v>
      </c>
      <c r="T6824">
        <v>43</v>
      </c>
      <c r="U6824">
        <v>924.53421731753701</v>
      </c>
      <c r="V6824">
        <v>2.3986567522187498E-3</v>
      </c>
      <c r="W6824">
        <v>4229458.2803499997</v>
      </c>
      <c r="X6824" t="s">
        <v>39</v>
      </c>
      <c r="Y6824">
        <f>1-783-880-3974</f>
        <v>-5636</v>
      </c>
    </row>
    <row r="6825" spans="1:25" x14ac:dyDescent="0.35">
      <c r="A6825">
        <v>38.901175234376197</v>
      </c>
      <c r="B6825">
        <v>-118.046859191455</v>
      </c>
      <c r="C6825" t="s">
        <v>29</v>
      </c>
      <c r="D6825">
        <v>8.6511209744677409</v>
      </c>
      <c r="E6825">
        <v>7</v>
      </c>
      <c r="F6825">
        <v>3329</v>
      </c>
      <c r="G6825">
        <v>4</v>
      </c>
      <c r="H6825">
        <v>1</v>
      </c>
      <c r="I6825">
        <v>1983</v>
      </c>
      <c r="J6825">
        <v>1</v>
      </c>
      <c r="K6825">
        <v>1</v>
      </c>
      <c r="L6825">
        <v>0</v>
      </c>
      <c r="M6825">
        <v>3</v>
      </c>
      <c r="N6825" t="s">
        <v>37</v>
      </c>
      <c r="O6825" t="s">
        <v>27</v>
      </c>
      <c r="P6825">
        <v>4.5930895284089397</v>
      </c>
      <c r="Q6825">
        <v>0.81448746757013202</v>
      </c>
      <c r="R6825">
        <v>1.9742886956358601</v>
      </c>
      <c r="S6825">
        <v>181</v>
      </c>
      <c r="T6825">
        <v>71</v>
      </c>
      <c r="U6825">
        <v>726.99605250401896</v>
      </c>
      <c r="V6825">
        <v>9.0117152297987304E-4</v>
      </c>
      <c r="W6825">
        <v>2645176.0906565799</v>
      </c>
      <c r="X6825" t="s">
        <v>44</v>
      </c>
      <c r="Y6825">
        <f>1-267-774-8019</f>
        <v>-9059</v>
      </c>
    </row>
    <row r="6826" spans="1:25" x14ac:dyDescent="0.35">
      <c r="A6826">
        <v>40.454342179998399</v>
      </c>
      <c r="B6826">
        <v>-114.748111973875</v>
      </c>
      <c r="C6826" t="s">
        <v>34</v>
      </c>
      <c r="D6826">
        <v>9.0510432527163207</v>
      </c>
      <c r="E6826">
        <v>7</v>
      </c>
      <c r="F6826">
        <v>746</v>
      </c>
      <c r="G6826">
        <v>4</v>
      </c>
      <c r="H6826">
        <v>3</v>
      </c>
      <c r="I6826">
        <v>1959</v>
      </c>
      <c r="J6826">
        <v>0</v>
      </c>
      <c r="K6826">
        <v>1</v>
      </c>
      <c r="L6826">
        <v>0</v>
      </c>
      <c r="M6826">
        <v>5</v>
      </c>
      <c r="N6826" t="s">
        <v>37</v>
      </c>
      <c r="O6826" t="s">
        <v>32</v>
      </c>
      <c r="P6826">
        <v>3.4264817610773899</v>
      </c>
      <c r="Q6826">
        <v>2.0992854735342101</v>
      </c>
      <c r="R6826">
        <v>5.8951795135924296</v>
      </c>
      <c r="S6826">
        <v>141</v>
      </c>
      <c r="T6826">
        <v>53</v>
      </c>
      <c r="U6826">
        <v>773.60309548962096</v>
      </c>
      <c r="V6826">
        <v>6.7024128686327001E-3</v>
      </c>
      <c r="W6826">
        <v>902598.09112626105</v>
      </c>
      <c r="X6826" t="s">
        <v>38</v>
      </c>
      <c r="Y6826">
        <f>1-921-127-8934</f>
        <v>-9981</v>
      </c>
    </row>
    <row r="6827" spans="1:25" x14ac:dyDescent="0.35">
      <c r="A6827">
        <v>38.704250574053901</v>
      </c>
      <c r="B6827">
        <v>-116.08243750966</v>
      </c>
      <c r="C6827" t="s">
        <v>25</v>
      </c>
      <c r="D6827">
        <v>7.3329041055744701</v>
      </c>
      <c r="E6827">
        <v>2</v>
      </c>
      <c r="F6827">
        <v>2985</v>
      </c>
      <c r="G6827">
        <v>5</v>
      </c>
      <c r="H6827">
        <v>3</v>
      </c>
      <c r="I6827">
        <v>2010</v>
      </c>
      <c r="J6827">
        <v>0</v>
      </c>
      <c r="K6827">
        <v>0</v>
      </c>
      <c r="L6827">
        <v>1</v>
      </c>
      <c r="M6827">
        <v>5</v>
      </c>
      <c r="N6827" t="s">
        <v>41</v>
      </c>
      <c r="O6827" t="s">
        <v>32</v>
      </c>
      <c r="P6827">
        <v>5.9472033643208597</v>
      </c>
      <c r="Q6827">
        <v>0.80745013982983305</v>
      </c>
      <c r="R6827">
        <v>4.9355650112290501</v>
      </c>
      <c r="S6827">
        <v>69</v>
      </c>
      <c r="T6827">
        <v>78</v>
      </c>
      <c r="U6827">
        <v>456.94283327221302</v>
      </c>
      <c r="V6827">
        <v>1.6750418760468999E-3</v>
      </c>
      <c r="W6827">
        <v>1715258.31358845</v>
      </c>
      <c r="X6827" t="s">
        <v>33</v>
      </c>
      <c r="Y6827">
        <f>1-871-265-3621</f>
        <v>-4756</v>
      </c>
    </row>
    <row r="6828" spans="1:25" x14ac:dyDescent="0.35">
      <c r="A6828">
        <v>35.480312409643503</v>
      </c>
      <c r="B6828">
        <v>-117.32791129518699</v>
      </c>
      <c r="C6828" t="s">
        <v>34</v>
      </c>
      <c r="D6828">
        <v>44.121452206313201</v>
      </c>
      <c r="E6828">
        <v>4</v>
      </c>
      <c r="F6828">
        <v>3677</v>
      </c>
      <c r="G6828">
        <v>4</v>
      </c>
      <c r="H6828">
        <v>2</v>
      </c>
      <c r="I6828">
        <v>2018</v>
      </c>
      <c r="J6828">
        <v>1</v>
      </c>
      <c r="K6828">
        <v>1</v>
      </c>
      <c r="L6828">
        <v>0</v>
      </c>
      <c r="M6828">
        <v>9</v>
      </c>
      <c r="N6828" t="s">
        <v>37</v>
      </c>
      <c r="O6828" t="s">
        <v>30</v>
      </c>
      <c r="P6828">
        <v>9.0410181145026591</v>
      </c>
      <c r="Q6828">
        <v>2.2132602271925701</v>
      </c>
      <c r="R6828">
        <v>5.4080728202009301</v>
      </c>
      <c r="S6828">
        <v>117</v>
      </c>
      <c r="T6828">
        <v>61</v>
      </c>
      <c r="U6828">
        <v>652.71175220619102</v>
      </c>
      <c r="V6828">
        <v>2.4476475387544099E-3</v>
      </c>
      <c r="W6828">
        <v>2888611.95022592</v>
      </c>
      <c r="X6828" t="s">
        <v>40</v>
      </c>
      <c r="Y6828">
        <f>1-309-231-3223</f>
        <v>-3762</v>
      </c>
    </row>
    <row r="6829" spans="1:25" x14ac:dyDescent="0.35">
      <c r="A6829">
        <v>35.521591881632702</v>
      </c>
      <c r="B6829">
        <v>-116.652466081008</v>
      </c>
      <c r="C6829" t="s">
        <v>34</v>
      </c>
      <c r="D6829">
        <v>43.589168260000399</v>
      </c>
      <c r="E6829">
        <v>8</v>
      </c>
      <c r="F6829">
        <v>4305</v>
      </c>
      <c r="G6829">
        <v>1</v>
      </c>
      <c r="H6829">
        <v>3</v>
      </c>
      <c r="I6829">
        <v>1981</v>
      </c>
      <c r="J6829">
        <v>0</v>
      </c>
      <c r="K6829">
        <v>0</v>
      </c>
      <c r="L6829">
        <v>0</v>
      </c>
      <c r="M6829">
        <v>13</v>
      </c>
      <c r="N6829" t="s">
        <v>26</v>
      </c>
      <c r="O6829" t="s">
        <v>32</v>
      </c>
      <c r="P6829">
        <v>5.2283787863575197</v>
      </c>
      <c r="Q6829">
        <v>1.36456090022516</v>
      </c>
      <c r="R6829">
        <v>6.3492017299200896</v>
      </c>
      <c r="S6829">
        <v>41</v>
      </c>
      <c r="T6829">
        <v>34</v>
      </c>
      <c r="U6829">
        <v>291.36609117224498</v>
      </c>
      <c r="V6829">
        <v>3.0197444831591099E-3</v>
      </c>
      <c r="W6829">
        <v>1234196.3450738899</v>
      </c>
      <c r="X6829" t="s">
        <v>44</v>
      </c>
      <c r="Y6829">
        <f>1-910-266-1713</f>
        <v>-2888</v>
      </c>
    </row>
    <row r="6830" spans="1:25" x14ac:dyDescent="0.35">
      <c r="A6830">
        <v>35.475889378359099</v>
      </c>
      <c r="B6830">
        <v>-118.63866180331399</v>
      </c>
      <c r="C6830" t="s">
        <v>34</v>
      </c>
      <c r="D6830">
        <v>19.941104673978899</v>
      </c>
      <c r="E6830">
        <v>5</v>
      </c>
      <c r="F6830">
        <v>4005</v>
      </c>
      <c r="G6830">
        <v>4</v>
      </c>
      <c r="H6830">
        <v>1</v>
      </c>
      <c r="I6830">
        <v>2001</v>
      </c>
      <c r="J6830">
        <v>1</v>
      </c>
      <c r="K6830">
        <v>0</v>
      </c>
      <c r="L6830">
        <v>1</v>
      </c>
      <c r="M6830">
        <v>10</v>
      </c>
      <c r="N6830" t="s">
        <v>41</v>
      </c>
      <c r="O6830" t="s">
        <v>32</v>
      </c>
      <c r="P6830">
        <v>9.8273908947022601</v>
      </c>
      <c r="Q6830">
        <v>2.2413456770542202</v>
      </c>
      <c r="R6830">
        <v>8.9209061429118108</v>
      </c>
      <c r="S6830">
        <v>83</v>
      </c>
      <c r="T6830">
        <v>69</v>
      </c>
      <c r="U6830">
        <v>945.69933112449598</v>
      </c>
      <c r="V6830">
        <v>2.49687890137328E-3</v>
      </c>
      <c r="W6830">
        <v>4093281.8754777601</v>
      </c>
      <c r="X6830" t="s">
        <v>42</v>
      </c>
      <c r="Y6830">
        <f>1-870-175-3636</f>
        <v>-4680</v>
      </c>
    </row>
    <row r="6831" spans="1:25" x14ac:dyDescent="0.35">
      <c r="A6831">
        <v>34.7582821617927</v>
      </c>
      <c r="B6831">
        <v>-122.49475341921701</v>
      </c>
      <c r="C6831" t="s">
        <v>29</v>
      </c>
      <c r="D6831">
        <v>36.322249988061401</v>
      </c>
      <c r="E6831">
        <v>0</v>
      </c>
      <c r="F6831">
        <v>3816</v>
      </c>
      <c r="G6831">
        <v>5</v>
      </c>
      <c r="H6831">
        <v>2</v>
      </c>
      <c r="I6831">
        <v>1987</v>
      </c>
      <c r="J6831">
        <v>0</v>
      </c>
      <c r="K6831">
        <v>1</v>
      </c>
      <c r="L6831">
        <v>1</v>
      </c>
      <c r="M6831">
        <v>7</v>
      </c>
      <c r="N6831" t="s">
        <v>26</v>
      </c>
      <c r="O6831" t="s">
        <v>30</v>
      </c>
      <c r="P6831">
        <v>8.9104887271165705</v>
      </c>
      <c r="Q6831">
        <v>0.92030491146689997</v>
      </c>
      <c r="R6831">
        <v>6.93577232130359</v>
      </c>
      <c r="S6831">
        <v>38</v>
      </c>
      <c r="T6831">
        <v>38</v>
      </c>
      <c r="U6831">
        <v>914.40898435223198</v>
      </c>
      <c r="V6831">
        <v>1.8343815513626801E-3</v>
      </c>
      <c r="W6831">
        <v>3901330.1446306999</v>
      </c>
      <c r="X6831" t="s">
        <v>43</v>
      </c>
      <c r="Y6831">
        <f>1-460-155-3078</f>
        <v>-3692</v>
      </c>
    </row>
    <row r="6832" spans="1:25" x14ac:dyDescent="0.35">
      <c r="A6832">
        <v>39.837313051170398</v>
      </c>
      <c r="B6832">
        <v>-119.306212895814</v>
      </c>
      <c r="C6832" t="s">
        <v>25</v>
      </c>
      <c r="D6832">
        <v>28.1250476460879</v>
      </c>
      <c r="E6832">
        <v>9</v>
      </c>
      <c r="F6832">
        <v>4218</v>
      </c>
      <c r="G6832">
        <v>5</v>
      </c>
      <c r="H6832">
        <v>1</v>
      </c>
      <c r="I6832">
        <v>2005</v>
      </c>
      <c r="J6832">
        <v>1</v>
      </c>
      <c r="K6832">
        <v>1</v>
      </c>
      <c r="L6832">
        <v>1</v>
      </c>
      <c r="M6832">
        <v>11</v>
      </c>
      <c r="N6832" t="s">
        <v>35</v>
      </c>
      <c r="O6832" t="s">
        <v>30</v>
      </c>
      <c r="P6832">
        <v>4.8857925325679101</v>
      </c>
      <c r="Q6832">
        <v>2.0583230977189202</v>
      </c>
      <c r="R6832">
        <v>4.4486280570538703</v>
      </c>
      <c r="S6832">
        <v>179</v>
      </c>
      <c r="T6832">
        <v>20</v>
      </c>
      <c r="U6832">
        <v>855.63037756569395</v>
      </c>
      <c r="V6832">
        <v>2.6078710289236598E-3</v>
      </c>
      <c r="W6832">
        <v>4067280.6480501299</v>
      </c>
      <c r="X6832" t="s">
        <v>28</v>
      </c>
      <c r="Y6832">
        <f>1-392-135-6100</f>
        <v>-6626</v>
      </c>
    </row>
    <row r="6833" spans="1:25" x14ac:dyDescent="0.35">
      <c r="A6833">
        <v>39.733399463318001</v>
      </c>
      <c r="B6833">
        <v>-116.05885662075799</v>
      </c>
      <c r="C6833" t="s">
        <v>29</v>
      </c>
      <c r="D6833">
        <v>1.02740822266956</v>
      </c>
      <c r="E6833">
        <v>2</v>
      </c>
      <c r="F6833">
        <v>3629</v>
      </c>
      <c r="G6833">
        <v>5</v>
      </c>
      <c r="H6833">
        <v>1</v>
      </c>
      <c r="I6833">
        <v>2021</v>
      </c>
      <c r="J6833">
        <v>1</v>
      </c>
      <c r="K6833">
        <v>1</v>
      </c>
      <c r="L6833">
        <v>0</v>
      </c>
      <c r="M6833">
        <v>12</v>
      </c>
      <c r="N6833" t="s">
        <v>26</v>
      </c>
      <c r="O6833" t="s">
        <v>27</v>
      </c>
      <c r="P6833">
        <v>12.5867119164831</v>
      </c>
      <c r="Q6833">
        <v>1.6380936381215501</v>
      </c>
      <c r="R6833">
        <v>3.7429727666043799</v>
      </c>
      <c r="S6833">
        <v>169</v>
      </c>
      <c r="T6833">
        <v>74</v>
      </c>
      <c r="U6833">
        <v>604.030696465593</v>
      </c>
      <c r="V6833">
        <v>3.3066960595205201E-3</v>
      </c>
      <c r="W6833">
        <v>2639120.42608167</v>
      </c>
      <c r="X6833" t="s">
        <v>43</v>
      </c>
      <c r="Y6833">
        <f>1-809-836-6510</f>
        <v>-8154</v>
      </c>
    </row>
    <row r="6834" spans="1:25" x14ac:dyDescent="0.35">
      <c r="A6834">
        <v>40.589489494942697</v>
      </c>
      <c r="B6834">
        <v>-122.282699931312</v>
      </c>
      <c r="C6834" t="s">
        <v>25</v>
      </c>
      <c r="D6834">
        <v>16.745090513799099</v>
      </c>
      <c r="E6834">
        <v>8</v>
      </c>
      <c r="F6834">
        <v>3878</v>
      </c>
      <c r="G6834">
        <v>1</v>
      </c>
      <c r="H6834">
        <v>3</v>
      </c>
      <c r="I6834">
        <v>1956</v>
      </c>
      <c r="J6834">
        <v>1</v>
      </c>
      <c r="K6834">
        <v>0</v>
      </c>
      <c r="L6834">
        <v>1</v>
      </c>
      <c r="M6834">
        <v>13</v>
      </c>
      <c r="N6834" t="s">
        <v>41</v>
      </c>
      <c r="O6834" t="s">
        <v>30</v>
      </c>
      <c r="P6834">
        <v>11.7001884142552</v>
      </c>
      <c r="Q6834">
        <v>0.67678231057494198</v>
      </c>
      <c r="R6834">
        <v>6.0288627281323999</v>
      </c>
      <c r="S6834">
        <v>47</v>
      </c>
      <c r="T6834">
        <v>73</v>
      </c>
      <c r="U6834">
        <v>605.89574880703901</v>
      </c>
      <c r="V6834">
        <v>3.3522434244455902E-3</v>
      </c>
      <c r="W6834">
        <v>2545171.3707110598</v>
      </c>
      <c r="X6834" t="s">
        <v>36</v>
      </c>
      <c r="Y6834">
        <f>1-632-473-5346</f>
        <v>-6450</v>
      </c>
    </row>
    <row r="6835" spans="1:25" x14ac:dyDescent="0.35">
      <c r="A6835">
        <v>33.256074790266702</v>
      </c>
      <c r="B6835">
        <v>-120.830146023712</v>
      </c>
      <c r="C6835" t="s">
        <v>34</v>
      </c>
      <c r="D6835">
        <v>33.030404316175002</v>
      </c>
      <c r="E6835">
        <v>5</v>
      </c>
      <c r="F6835">
        <v>2153</v>
      </c>
      <c r="G6835">
        <v>3</v>
      </c>
      <c r="H6835">
        <v>3</v>
      </c>
      <c r="I6835">
        <v>1987</v>
      </c>
      <c r="J6835">
        <v>1</v>
      </c>
      <c r="K6835">
        <v>0</v>
      </c>
      <c r="L6835">
        <v>1</v>
      </c>
      <c r="M6835">
        <v>14</v>
      </c>
      <c r="N6835" t="s">
        <v>37</v>
      </c>
      <c r="O6835" t="s">
        <v>27</v>
      </c>
      <c r="P6835">
        <v>12.6880712360209</v>
      </c>
      <c r="Q6835">
        <v>0.86868046953022304</v>
      </c>
      <c r="R6835">
        <v>3.9734082118964298</v>
      </c>
      <c r="S6835">
        <v>35</v>
      </c>
      <c r="T6835">
        <v>30</v>
      </c>
      <c r="U6835">
        <v>957.48727861065504</v>
      </c>
      <c r="V6835">
        <v>6.5025545750116102E-3</v>
      </c>
      <c r="W6835">
        <v>2466306.5482923998</v>
      </c>
      <c r="X6835" t="s">
        <v>33</v>
      </c>
      <c r="Y6835">
        <f>1-694-317-7327</f>
        <v>-8337</v>
      </c>
    </row>
    <row r="6836" spans="1:25" x14ac:dyDescent="0.35">
      <c r="A6836">
        <v>33.3111687593399</v>
      </c>
      <c r="B6836">
        <v>-116.180201847474</v>
      </c>
      <c r="C6836" t="s">
        <v>25</v>
      </c>
      <c r="D6836">
        <v>25.5772434410942</v>
      </c>
      <c r="E6836">
        <v>0</v>
      </c>
      <c r="F6836">
        <v>1426</v>
      </c>
      <c r="G6836">
        <v>1</v>
      </c>
      <c r="H6836">
        <v>3</v>
      </c>
      <c r="I6836">
        <v>1986</v>
      </c>
      <c r="J6836">
        <v>1</v>
      </c>
      <c r="K6836">
        <v>0</v>
      </c>
      <c r="L6836">
        <v>0</v>
      </c>
      <c r="M6836">
        <v>12</v>
      </c>
      <c r="N6836" t="s">
        <v>37</v>
      </c>
      <c r="O6836" t="s">
        <v>32</v>
      </c>
      <c r="P6836">
        <v>9.7032816560588007</v>
      </c>
      <c r="Q6836">
        <v>2.0814419000247302</v>
      </c>
      <c r="R6836">
        <v>5.6200726658251998</v>
      </c>
      <c r="S6836">
        <v>83</v>
      </c>
      <c r="T6836">
        <v>55</v>
      </c>
      <c r="U6836">
        <v>649.32689229356595</v>
      </c>
      <c r="V6836">
        <v>8.4151472650771299E-3</v>
      </c>
      <c r="W6836">
        <v>1051128.0607735501</v>
      </c>
      <c r="X6836" t="s">
        <v>33</v>
      </c>
      <c r="Y6836">
        <f>1-824-466-2224</f>
        <v>-3513</v>
      </c>
    </row>
    <row r="6837" spans="1:25" x14ac:dyDescent="0.35">
      <c r="A6837">
        <v>37.808975752657702</v>
      </c>
      <c r="B6837">
        <v>-117.968219011964</v>
      </c>
      <c r="C6837" t="s">
        <v>34</v>
      </c>
      <c r="D6837">
        <v>4.9749472469374902</v>
      </c>
      <c r="E6837">
        <v>3</v>
      </c>
      <c r="F6837">
        <v>523</v>
      </c>
      <c r="G6837">
        <v>5</v>
      </c>
      <c r="H6837">
        <v>1</v>
      </c>
      <c r="I6837">
        <v>1985</v>
      </c>
      <c r="J6837">
        <v>0</v>
      </c>
      <c r="K6837">
        <v>0</v>
      </c>
      <c r="L6837">
        <v>0</v>
      </c>
      <c r="M6837">
        <v>3</v>
      </c>
      <c r="N6837" t="s">
        <v>35</v>
      </c>
      <c r="O6837" t="s">
        <v>27</v>
      </c>
      <c r="P6837">
        <v>2.3927708652764399</v>
      </c>
      <c r="Q6837">
        <v>0.59519829145760195</v>
      </c>
      <c r="R6837">
        <v>8.3931593507507394</v>
      </c>
      <c r="S6837">
        <v>12</v>
      </c>
      <c r="T6837">
        <v>30</v>
      </c>
      <c r="U6837">
        <v>372.95975677878903</v>
      </c>
      <c r="V6837">
        <v>5.7361376673040103E-3</v>
      </c>
      <c r="W6837">
        <v>326729.50778259698</v>
      </c>
      <c r="X6837" t="s">
        <v>36</v>
      </c>
      <c r="Y6837">
        <f>1-619-416-6431</f>
        <v>-7465</v>
      </c>
    </row>
    <row r="6838" spans="1:25" x14ac:dyDescent="0.35">
      <c r="A6838">
        <v>36.093344354385401</v>
      </c>
      <c r="B6838">
        <v>-115.36321214096</v>
      </c>
      <c r="C6838" t="s">
        <v>29</v>
      </c>
      <c r="D6838">
        <v>16.162980773135398</v>
      </c>
      <c r="E6838">
        <v>6</v>
      </c>
      <c r="F6838">
        <v>3144</v>
      </c>
      <c r="G6838">
        <v>3</v>
      </c>
      <c r="H6838">
        <v>1</v>
      </c>
      <c r="I6838">
        <v>1980</v>
      </c>
      <c r="J6838">
        <v>1</v>
      </c>
      <c r="K6838">
        <v>1</v>
      </c>
      <c r="L6838">
        <v>0</v>
      </c>
      <c r="M6838">
        <v>6</v>
      </c>
      <c r="N6838" t="s">
        <v>37</v>
      </c>
      <c r="O6838" t="s">
        <v>32</v>
      </c>
      <c r="P6838">
        <v>12.286588436762701</v>
      </c>
      <c r="Q6838">
        <v>1.6237496337734201</v>
      </c>
      <c r="R6838">
        <v>5.1789271098656897</v>
      </c>
      <c r="S6838">
        <v>65</v>
      </c>
      <c r="T6838">
        <v>64</v>
      </c>
      <c r="U6838">
        <v>487.27303097501101</v>
      </c>
      <c r="V6838">
        <v>1.90839694656488E-3</v>
      </c>
      <c r="W6838">
        <v>1790650.1702644101</v>
      </c>
      <c r="X6838" t="s">
        <v>39</v>
      </c>
      <c r="Y6838">
        <f>1-647-793-1119</f>
        <v>-2558</v>
      </c>
    </row>
    <row r="6839" spans="1:25" x14ac:dyDescent="0.35">
      <c r="A6839">
        <v>35.313330747906399</v>
      </c>
      <c r="B6839">
        <v>-116.73965966735599</v>
      </c>
      <c r="C6839" t="s">
        <v>29</v>
      </c>
      <c r="D6839">
        <v>11.5123973591437</v>
      </c>
      <c r="E6839">
        <v>8</v>
      </c>
      <c r="F6839">
        <v>3320</v>
      </c>
      <c r="G6839">
        <v>4</v>
      </c>
      <c r="H6839">
        <v>3</v>
      </c>
      <c r="I6839">
        <v>1974</v>
      </c>
      <c r="J6839">
        <v>1</v>
      </c>
      <c r="K6839">
        <v>1</v>
      </c>
      <c r="L6839">
        <v>1</v>
      </c>
      <c r="M6839">
        <v>11</v>
      </c>
      <c r="N6839" t="s">
        <v>26</v>
      </c>
      <c r="O6839" t="s">
        <v>32</v>
      </c>
      <c r="P6839">
        <v>3.0942389193655</v>
      </c>
      <c r="Q6839">
        <v>0.57008009818716998</v>
      </c>
      <c r="R6839">
        <v>9.6620891689314394</v>
      </c>
      <c r="S6839">
        <v>35</v>
      </c>
      <c r="T6839">
        <v>27</v>
      </c>
      <c r="U6839">
        <v>818.13225248418996</v>
      </c>
      <c r="V6839">
        <v>3.3132530120481901E-3</v>
      </c>
      <c r="W6839">
        <v>3020238.5700949901</v>
      </c>
      <c r="X6839" t="s">
        <v>40</v>
      </c>
      <c r="Y6839">
        <f>1-395-341-8972</f>
        <v>-9707</v>
      </c>
    </row>
    <row r="6840" spans="1:25" x14ac:dyDescent="0.35">
      <c r="A6840">
        <v>36.560663900684197</v>
      </c>
      <c r="B6840">
        <v>-118.917744256479</v>
      </c>
      <c r="C6840" t="s">
        <v>34</v>
      </c>
      <c r="D6840">
        <v>25.150020448953001</v>
      </c>
      <c r="E6840">
        <v>6</v>
      </c>
      <c r="F6840">
        <v>2135</v>
      </c>
      <c r="G6840">
        <v>1</v>
      </c>
      <c r="H6840">
        <v>3</v>
      </c>
      <c r="I6840">
        <v>1958</v>
      </c>
      <c r="J6840">
        <v>1</v>
      </c>
      <c r="K6840">
        <v>0</v>
      </c>
      <c r="L6840">
        <v>0</v>
      </c>
      <c r="M6840">
        <v>8</v>
      </c>
      <c r="N6840" t="s">
        <v>41</v>
      </c>
      <c r="O6840" t="s">
        <v>27</v>
      </c>
      <c r="P6840">
        <v>10.1936999781735</v>
      </c>
      <c r="Q6840">
        <v>0.64725069253230205</v>
      </c>
      <c r="R6840">
        <v>8.2304903977846795</v>
      </c>
      <c r="S6840">
        <v>182</v>
      </c>
      <c r="T6840">
        <v>22</v>
      </c>
      <c r="U6840">
        <v>875.35352674283502</v>
      </c>
      <c r="V6840">
        <v>3.7470725995316099E-3</v>
      </c>
      <c r="W6840">
        <v>1948983.0714809599</v>
      </c>
      <c r="X6840" t="s">
        <v>44</v>
      </c>
      <c r="Y6840">
        <f>1-981-696-5472</f>
        <v>-7148</v>
      </c>
    </row>
    <row r="6841" spans="1:25" x14ac:dyDescent="0.35">
      <c r="A6841">
        <v>33.2039573631887</v>
      </c>
      <c r="B6841">
        <v>-115.026172803481</v>
      </c>
      <c r="C6841" t="s">
        <v>29</v>
      </c>
      <c r="D6841">
        <v>43.843986924867302</v>
      </c>
      <c r="E6841">
        <v>4</v>
      </c>
      <c r="F6841">
        <v>4739</v>
      </c>
      <c r="G6841">
        <v>3</v>
      </c>
      <c r="H6841">
        <v>2</v>
      </c>
      <c r="I6841">
        <v>2005</v>
      </c>
      <c r="J6841">
        <v>0</v>
      </c>
      <c r="K6841">
        <v>0</v>
      </c>
      <c r="L6841">
        <v>0</v>
      </c>
      <c r="M6841">
        <v>6</v>
      </c>
      <c r="N6841" t="s">
        <v>37</v>
      </c>
      <c r="O6841" t="s">
        <v>32</v>
      </c>
      <c r="P6841">
        <v>4.4181393526111901</v>
      </c>
      <c r="Q6841">
        <v>2.4237903309107902</v>
      </c>
      <c r="R6841">
        <v>5.4393250760622101</v>
      </c>
      <c r="S6841">
        <v>104</v>
      </c>
      <c r="T6841">
        <v>32</v>
      </c>
      <c r="U6841">
        <v>569.54701473044099</v>
      </c>
      <c r="V6841">
        <v>1.2660898923823501E-3</v>
      </c>
      <c r="W6841">
        <v>2870012.2599316598</v>
      </c>
      <c r="X6841" t="s">
        <v>33</v>
      </c>
      <c r="Y6841">
        <f>1-918-565-5348</f>
        <v>-6830</v>
      </c>
    </row>
    <row r="6842" spans="1:25" x14ac:dyDescent="0.35">
      <c r="A6842">
        <v>40.863838425134297</v>
      </c>
      <c r="B6842">
        <v>-119.873836426173</v>
      </c>
      <c r="C6842" t="s">
        <v>29</v>
      </c>
      <c r="D6842">
        <v>40.611920297302397</v>
      </c>
      <c r="E6842">
        <v>7</v>
      </c>
      <c r="F6842">
        <v>1793</v>
      </c>
      <c r="G6842">
        <v>5</v>
      </c>
      <c r="H6842">
        <v>1</v>
      </c>
      <c r="I6842">
        <v>1991</v>
      </c>
      <c r="J6842">
        <v>1</v>
      </c>
      <c r="K6842">
        <v>1</v>
      </c>
      <c r="L6842">
        <v>1</v>
      </c>
      <c r="M6842">
        <v>13</v>
      </c>
      <c r="N6842" t="s">
        <v>37</v>
      </c>
      <c r="O6842" t="s">
        <v>27</v>
      </c>
      <c r="P6842">
        <v>4.03556542924448</v>
      </c>
      <c r="Q6842">
        <v>1.76737879831887</v>
      </c>
      <c r="R6842">
        <v>6.4412890422419702</v>
      </c>
      <c r="S6842">
        <v>187</v>
      </c>
      <c r="T6842">
        <v>40</v>
      </c>
      <c r="U6842">
        <v>710.69258829697196</v>
      </c>
      <c r="V6842">
        <v>7.2504182933630697E-3</v>
      </c>
      <c r="W6842">
        <v>1694723.15497907</v>
      </c>
      <c r="X6842" t="s">
        <v>33</v>
      </c>
      <c r="Y6842">
        <f>1-837-608-2310</f>
        <v>-3754</v>
      </c>
    </row>
    <row r="6843" spans="1:25" x14ac:dyDescent="0.35">
      <c r="A6843">
        <v>38.151320849457399</v>
      </c>
      <c r="B6843">
        <v>-116.982195298702</v>
      </c>
      <c r="C6843" t="s">
        <v>25</v>
      </c>
      <c r="D6843">
        <v>27.8324786410424</v>
      </c>
      <c r="E6843">
        <v>9</v>
      </c>
      <c r="F6843">
        <v>1961</v>
      </c>
      <c r="G6843">
        <v>4</v>
      </c>
      <c r="H6843">
        <v>2</v>
      </c>
      <c r="I6843">
        <v>1973</v>
      </c>
      <c r="J6843">
        <v>0</v>
      </c>
      <c r="K6843">
        <v>1</v>
      </c>
      <c r="L6843">
        <v>0</v>
      </c>
      <c r="M6843">
        <v>12</v>
      </c>
      <c r="N6843" t="s">
        <v>41</v>
      </c>
      <c r="O6843" t="s">
        <v>27</v>
      </c>
      <c r="P6843">
        <v>4.8654540786041203</v>
      </c>
      <c r="Q6843">
        <v>2.2828297852836501</v>
      </c>
      <c r="R6843">
        <v>9.0120277387482304</v>
      </c>
      <c r="S6843">
        <v>155</v>
      </c>
      <c r="T6843">
        <v>55</v>
      </c>
      <c r="U6843">
        <v>292.10120996103598</v>
      </c>
      <c r="V6843">
        <v>6.1193268740438499E-3</v>
      </c>
      <c r="W6843">
        <v>862838.65158826998</v>
      </c>
      <c r="X6843" t="s">
        <v>42</v>
      </c>
      <c r="Y6843">
        <f>1-308-854-7049</f>
        <v>-8210</v>
      </c>
    </row>
    <row r="6844" spans="1:25" x14ac:dyDescent="0.35">
      <c r="A6844">
        <v>37.4217455419098</v>
      </c>
      <c r="B6844">
        <v>-123.752299964264</v>
      </c>
      <c r="C6844" t="s">
        <v>34</v>
      </c>
      <c r="D6844">
        <v>30.868451344915499</v>
      </c>
      <c r="E6844">
        <v>8</v>
      </c>
      <c r="F6844">
        <v>4804</v>
      </c>
      <c r="G6844">
        <v>2</v>
      </c>
      <c r="H6844">
        <v>1</v>
      </c>
      <c r="I6844">
        <v>2010</v>
      </c>
      <c r="J6844">
        <v>0</v>
      </c>
      <c r="K6844">
        <v>0</v>
      </c>
      <c r="L6844">
        <v>1</v>
      </c>
      <c r="M6844">
        <v>6</v>
      </c>
      <c r="N6844" t="s">
        <v>41</v>
      </c>
      <c r="O6844" t="s">
        <v>27</v>
      </c>
      <c r="P6844">
        <v>10.2395732032293</v>
      </c>
      <c r="Q6844">
        <v>1.0941657830259399</v>
      </c>
      <c r="R6844">
        <v>6.2075350087949799</v>
      </c>
      <c r="S6844">
        <v>80</v>
      </c>
      <c r="T6844">
        <v>58</v>
      </c>
      <c r="U6844">
        <v>705.59154122736004</v>
      </c>
      <c r="V6844">
        <v>1.24895920066611E-3</v>
      </c>
      <c r="W6844">
        <v>3600169.2995826099</v>
      </c>
      <c r="X6844" t="s">
        <v>38</v>
      </c>
      <c r="Y6844">
        <f>1-498-554-1075</f>
        <v>-2126</v>
      </c>
    </row>
    <row r="6845" spans="1:25" x14ac:dyDescent="0.35">
      <c r="A6845">
        <v>33.036227144937698</v>
      </c>
      <c r="B6845">
        <v>-119.14898224184</v>
      </c>
      <c r="C6845" t="s">
        <v>25</v>
      </c>
      <c r="D6845">
        <v>14.1292575881148</v>
      </c>
      <c r="E6845">
        <v>9</v>
      </c>
      <c r="F6845">
        <v>2372</v>
      </c>
      <c r="G6845">
        <v>5</v>
      </c>
      <c r="H6845">
        <v>2</v>
      </c>
      <c r="I6845">
        <v>1999</v>
      </c>
      <c r="J6845">
        <v>1</v>
      </c>
      <c r="K6845">
        <v>0</v>
      </c>
      <c r="L6845">
        <v>1</v>
      </c>
      <c r="M6845">
        <v>11</v>
      </c>
      <c r="N6845" t="s">
        <v>37</v>
      </c>
      <c r="O6845" t="s">
        <v>32</v>
      </c>
      <c r="P6845">
        <v>3.7509267446399699</v>
      </c>
      <c r="Q6845">
        <v>1.7971886242111601</v>
      </c>
      <c r="R6845">
        <v>7.74497914583681</v>
      </c>
      <c r="S6845">
        <v>150</v>
      </c>
      <c r="T6845">
        <v>54</v>
      </c>
      <c r="U6845">
        <v>647.20187917154794</v>
      </c>
      <c r="V6845">
        <v>4.6374367622259698E-3</v>
      </c>
      <c r="W6845">
        <v>1863152.4833567899</v>
      </c>
      <c r="X6845" t="s">
        <v>40</v>
      </c>
      <c r="Y6845">
        <f>1-405-475-1590</f>
        <v>-2469</v>
      </c>
    </row>
    <row r="6846" spans="1:25" x14ac:dyDescent="0.35">
      <c r="A6846">
        <v>33.500155005056897</v>
      </c>
      <c r="B6846">
        <v>-123.325308104987</v>
      </c>
      <c r="C6846" t="s">
        <v>34</v>
      </c>
      <c r="D6846">
        <v>36.822683681340401</v>
      </c>
      <c r="E6846">
        <v>2</v>
      </c>
      <c r="F6846">
        <v>2857</v>
      </c>
      <c r="G6846">
        <v>5</v>
      </c>
      <c r="H6846">
        <v>3</v>
      </c>
      <c r="I6846">
        <v>2019</v>
      </c>
      <c r="J6846">
        <v>1</v>
      </c>
      <c r="K6846">
        <v>1</v>
      </c>
      <c r="L6846">
        <v>0</v>
      </c>
      <c r="M6846">
        <v>2</v>
      </c>
      <c r="N6846" t="s">
        <v>26</v>
      </c>
      <c r="O6846" t="s">
        <v>32</v>
      </c>
      <c r="P6846">
        <v>10.6105221671415</v>
      </c>
      <c r="Q6846">
        <v>0.69327841937798895</v>
      </c>
      <c r="R6846">
        <v>0.59403786392909697</v>
      </c>
      <c r="S6846">
        <v>180</v>
      </c>
      <c r="T6846">
        <v>51</v>
      </c>
      <c r="U6846">
        <v>333.20428343037298</v>
      </c>
      <c r="V6846">
        <v>7.0003500175008695E-4</v>
      </c>
      <c r="W6846">
        <v>1614028.3973816601</v>
      </c>
      <c r="X6846" t="s">
        <v>28</v>
      </c>
      <c r="Y6846">
        <f>1-632-139-2117</f>
        <v>-2887</v>
      </c>
    </row>
    <row r="6847" spans="1:25" x14ac:dyDescent="0.35">
      <c r="A6847">
        <v>34.048369149088302</v>
      </c>
      <c r="B6847">
        <v>-121.14950125076901</v>
      </c>
      <c r="C6847" t="s">
        <v>29</v>
      </c>
      <c r="D6847">
        <v>20.507489200440499</v>
      </c>
      <c r="E6847">
        <v>3</v>
      </c>
      <c r="F6847">
        <v>4041</v>
      </c>
      <c r="G6847">
        <v>2</v>
      </c>
      <c r="H6847">
        <v>2</v>
      </c>
      <c r="I6847">
        <v>1978</v>
      </c>
      <c r="J6847">
        <v>1</v>
      </c>
      <c r="K6847">
        <v>1</v>
      </c>
      <c r="L6847">
        <v>1</v>
      </c>
      <c r="M6847">
        <v>8</v>
      </c>
      <c r="N6847" t="s">
        <v>35</v>
      </c>
      <c r="O6847" t="s">
        <v>27</v>
      </c>
      <c r="P6847">
        <v>13.131831527219701</v>
      </c>
      <c r="Q6847">
        <v>0.53932247639013497</v>
      </c>
      <c r="R6847">
        <v>1.61706802045063</v>
      </c>
      <c r="S6847">
        <v>39</v>
      </c>
      <c r="T6847">
        <v>26</v>
      </c>
      <c r="U6847">
        <v>795.81328933318605</v>
      </c>
      <c r="V6847">
        <v>1.9797079930710202E-3</v>
      </c>
      <c r="W6847">
        <v>3553405.8113451698</v>
      </c>
      <c r="X6847" t="s">
        <v>31</v>
      </c>
      <c r="Y6847">
        <f>1-605-440-9988</f>
        <v>-11032</v>
      </c>
    </row>
    <row r="6848" spans="1:25" x14ac:dyDescent="0.35">
      <c r="A6848">
        <v>37.033302673623297</v>
      </c>
      <c r="B6848">
        <v>-122.00642842272801</v>
      </c>
      <c r="C6848" t="s">
        <v>25</v>
      </c>
      <c r="D6848">
        <v>44.4095112410103</v>
      </c>
      <c r="E6848">
        <v>7</v>
      </c>
      <c r="F6848">
        <v>2570</v>
      </c>
      <c r="G6848">
        <v>1</v>
      </c>
      <c r="H6848">
        <v>1</v>
      </c>
      <c r="I6848">
        <v>1976</v>
      </c>
      <c r="J6848">
        <v>1</v>
      </c>
      <c r="K6848">
        <v>1</v>
      </c>
      <c r="L6848">
        <v>0</v>
      </c>
      <c r="M6848">
        <v>2</v>
      </c>
      <c r="N6848" t="s">
        <v>26</v>
      </c>
      <c r="O6848" t="s">
        <v>32</v>
      </c>
      <c r="P6848">
        <v>13.733582679769899</v>
      </c>
      <c r="Q6848">
        <v>0.80871495863450804</v>
      </c>
      <c r="R6848">
        <v>9.9125060545800601</v>
      </c>
      <c r="S6848">
        <v>93</v>
      </c>
      <c r="T6848">
        <v>27</v>
      </c>
      <c r="U6848">
        <v>818.27568654026095</v>
      </c>
      <c r="V6848">
        <v>7.7821011673151702E-4</v>
      </c>
      <c r="W6848">
        <v>2365954.4220343102</v>
      </c>
      <c r="X6848" t="s">
        <v>43</v>
      </c>
      <c r="Y6848">
        <f>1-781-155-4166</f>
        <v>-5101</v>
      </c>
    </row>
    <row r="6849" spans="1:25" x14ac:dyDescent="0.35">
      <c r="A6849">
        <v>35.383564717350502</v>
      </c>
      <c r="B6849">
        <v>-123.748606071911</v>
      </c>
      <c r="C6849" t="s">
        <v>34</v>
      </c>
      <c r="D6849">
        <v>22.133289097958802</v>
      </c>
      <c r="E6849">
        <v>9</v>
      </c>
      <c r="F6849">
        <v>2680</v>
      </c>
      <c r="G6849">
        <v>5</v>
      </c>
      <c r="H6849">
        <v>2</v>
      </c>
      <c r="I6849">
        <v>1955</v>
      </c>
      <c r="J6849">
        <v>0</v>
      </c>
      <c r="K6849">
        <v>1</v>
      </c>
      <c r="L6849">
        <v>0</v>
      </c>
      <c r="M6849">
        <v>3</v>
      </c>
      <c r="N6849" t="s">
        <v>37</v>
      </c>
      <c r="O6849" t="s">
        <v>27</v>
      </c>
      <c r="P6849">
        <v>2.7992879419183501</v>
      </c>
      <c r="Q6849">
        <v>0.98337369836956801</v>
      </c>
      <c r="R6849">
        <v>0.35247597981916001</v>
      </c>
      <c r="S6849">
        <v>45</v>
      </c>
      <c r="T6849">
        <v>62</v>
      </c>
      <c r="U6849">
        <v>560.21293944526201</v>
      </c>
      <c r="V6849">
        <v>1.11940298507462E-3</v>
      </c>
      <c r="W6849">
        <v>1719708.54061395</v>
      </c>
      <c r="X6849" t="s">
        <v>31</v>
      </c>
      <c r="Y6849">
        <f>1-827-401-1313</f>
        <v>-2540</v>
      </c>
    </row>
    <row r="6850" spans="1:25" x14ac:dyDescent="0.35">
      <c r="A6850">
        <v>36.888188313720001</v>
      </c>
      <c r="B6850">
        <v>-115.222331752681</v>
      </c>
      <c r="C6850" t="s">
        <v>34</v>
      </c>
      <c r="D6850">
        <v>48.190896971702301</v>
      </c>
      <c r="E6850">
        <v>8</v>
      </c>
      <c r="F6850">
        <v>933</v>
      </c>
      <c r="G6850">
        <v>4</v>
      </c>
      <c r="H6850">
        <v>3</v>
      </c>
      <c r="I6850">
        <v>2010</v>
      </c>
      <c r="J6850">
        <v>1</v>
      </c>
      <c r="K6850">
        <v>0</v>
      </c>
      <c r="L6850">
        <v>1</v>
      </c>
      <c r="M6850">
        <v>9</v>
      </c>
      <c r="N6850" t="s">
        <v>41</v>
      </c>
      <c r="O6850" t="s">
        <v>27</v>
      </c>
      <c r="P6850">
        <v>9.2293598603220008</v>
      </c>
      <c r="Q6850">
        <v>1.3153115468357699</v>
      </c>
      <c r="R6850">
        <v>0.66901892627034198</v>
      </c>
      <c r="S6850">
        <v>79</v>
      </c>
      <c r="T6850">
        <v>20</v>
      </c>
      <c r="U6850">
        <v>403.56159997801598</v>
      </c>
      <c r="V6850">
        <v>9.6463022508038593E-3</v>
      </c>
      <c r="W6850">
        <v>735837.16731455305</v>
      </c>
      <c r="X6850" t="s">
        <v>43</v>
      </c>
      <c r="Y6850">
        <f>1-579-395-1597</f>
        <v>-2570</v>
      </c>
    </row>
    <row r="6851" spans="1:25" x14ac:dyDescent="0.35">
      <c r="A6851">
        <v>41.432410148036901</v>
      </c>
      <c r="B6851">
        <v>-118.568084873187</v>
      </c>
      <c r="C6851" t="s">
        <v>29</v>
      </c>
      <c r="D6851">
        <v>29.2343675954417</v>
      </c>
      <c r="E6851">
        <v>5</v>
      </c>
      <c r="F6851">
        <v>608</v>
      </c>
      <c r="G6851">
        <v>2</v>
      </c>
      <c r="H6851">
        <v>1</v>
      </c>
      <c r="I6851">
        <v>1966</v>
      </c>
      <c r="J6851">
        <v>0</v>
      </c>
      <c r="K6851">
        <v>1</v>
      </c>
      <c r="L6851">
        <v>1</v>
      </c>
      <c r="M6851">
        <v>2</v>
      </c>
      <c r="N6851" t="s">
        <v>37</v>
      </c>
      <c r="O6851" t="s">
        <v>32</v>
      </c>
      <c r="P6851">
        <v>10.8065389134531</v>
      </c>
      <c r="Q6851">
        <v>1.42660309312836</v>
      </c>
      <c r="R6851">
        <v>5.4096265432545501</v>
      </c>
      <c r="S6851">
        <v>34</v>
      </c>
      <c r="T6851">
        <v>23</v>
      </c>
      <c r="U6851">
        <v>883.37693313080797</v>
      </c>
      <c r="V6851">
        <v>3.2894736842105201E-3</v>
      </c>
      <c r="W6851">
        <v>871739.023656643</v>
      </c>
      <c r="X6851" t="s">
        <v>28</v>
      </c>
      <c r="Y6851">
        <f>1-828-292-1371</f>
        <v>-2490</v>
      </c>
    </row>
    <row r="6852" spans="1:25" x14ac:dyDescent="0.35">
      <c r="A6852">
        <v>37.647878723198097</v>
      </c>
      <c r="B6852">
        <v>-120.193839727962</v>
      </c>
      <c r="C6852" t="s">
        <v>25</v>
      </c>
      <c r="D6852">
        <v>15.679649925891299</v>
      </c>
      <c r="E6852">
        <v>9</v>
      </c>
      <c r="F6852">
        <v>1608</v>
      </c>
      <c r="G6852">
        <v>1</v>
      </c>
      <c r="H6852">
        <v>3</v>
      </c>
      <c r="I6852">
        <v>2007</v>
      </c>
      <c r="J6852">
        <v>1</v>
      </c>
      <c r="K6852">
        <v>0</v>
      </c>
      <c r="L6852">
        <v>0</v>
      </c>
      <c r="M6852">
        <v>5</v>
      </c>
      <c r="N6852" t="s">
        <v>37</v>
      </c>
      <c r="O6852" t="s">
        <v>30</v>
      </c>
      <c r="P6852">
        <v>13.201153330715499</v>
      </c>
      <c r="Q6852">
        <v>2.2340798331408598</v>
      </c>
      <c r="R6852">
        <v>4.4865640563848403</v>
      </c>
      <c r="S6852">
        <v>55</v>
      </c>
      <c r="T6852">
        <v>71</v>
      </c>
      <c r="U6852">
        <v>585.23886698537603</v>
      </c>
      <c r="V6852">
        <v>3.1094527363183999E-3</v>
      </c>
      <c r="W6852">
        <v>1130004.9217861099</v>
      </c>
      <c r="X6852" t="s">
        <v>28</v>
      </c>
      <c r="Y6852">
        <f>1-310-936-9550</f>
        <v>-10795</v>
      </c>
    </row>
    <row r="6853" spans="1:25" x14ac:dyDescent="0.35">
      <c r="A6853">
        <v>33.278117608958603</v>
      </c>
      <c r="B6853">
        <v>-115.672168381234</v>
      </c>
      <c r="C6853" t="s">
        <v>25</v>
      </c>
      <c r="D6853">
        <v>45.304429381588797</v>
      </c>
      <c r="E6853">
        <v>5</v>
      </c>
      <c r="F6853">
        <v>2689</v>
      </c>
      <c r="G6853">
        <v>5</v>
      </c>
      <c r="H6853">
        <v>2</v>
      </c>
      <c r="I6853">
        <v>1957</v>
      </c>
      <c r="J6853">
        <v>1</v>
      </c>
      <c r="K6853">
        <v>0</v>
      </c>
      <c r="L6853">
        <v>0</v>
      </c>
      <c r="M6853">
        <v>8</v>
      </c>
      <c r="N6853" t="s">
        <v>26</v>
      </c>
      <c r="O6853" t="s">
        <v>27</v>
      </c>
      <c r="P6853">
        <v>5.4218542598589803</v>
      </c>
      <c r="Q6853">
        <v>1.0280506924958399</v>
      </c>
      <c r="R6853">
        <v>5.4581942554579603</v>
      </c>
      <c r="S6853">
        <v>81</v>
      </c>
      <c r="T6853">
        <v>44</v>
      </c>
      <c r="U6853">
        <v>745.21907686208306</v>
      </c>
      <c r="V6853">
        <v>2.9750836742283302E-3</v>
      </c>
      <c r="W6853">
        <v>2213783.4823447298</v>
      </c>
      <c r="X6853" t="s">
        <v>43</v>
      </c>
      <c r="Y6853">
        <f>1-300-379-7297</f>
        <v>-7975</v>
      </c>
    </row>
    <row r="6854" spans="1:25" x14ac:dyDescent="0.35">
      <c r="A6854">
        <v>37.549346792858898</v>
      </c>
      <c r="B6854">
        <v>-121.96081054162001</v>
      </c>
      <c r="C6854" t="s">
        <v>34</v>
      </c>
      <c r="D6854">
        <v>39.1536033222485</v>
      </c>
      <c r="E6854">
        <v>2</v>
      </c>
      <c r="F6854">
        <v>1297</v>
      </c>
      <c r="G6854">
        <v>2</v>
      </c>
      <c r="H6854">
        <v>3</v>
      </c>
      <c r="I6854">
        <v>2007</v>
      </c>
      <c r="J6854">
        <v>1</v>
      </c>
      <c r="K6854">
        <v>1</v>
      </c>
      <c r="L6854">
        <v>0</v>
      </c>
      <c r="M6854">
        <v>11</v>
      </c>
      <c r="N6854" t="s">
        <v>35</v>
      </c>
      <c r="O6854" t="s">
        <v>30</v>
      </c>
      <c r="P6854">
        <v>5.1615765033505703</v>
      </c>
      <c r="Q6854">
        <v>0.93398350142013298</v>
      </c>
      <c r="R6854">
        <v>0.81481623617474896</v>
      </c>
      <c r="S6854">
        <v>148</v>
      </c>
      <c r="T6854">
        <v>46</v>
      </c>
      <c r="U6854">
        <v>323.56825376331199</v>
      </c>
      <c r="V6854">
        <v>8.4811102544333009E-3</v>
      </c>
      <c r="W6854">
        <v>701896.11330464098</v>
      </c>
      <c r="X6854" t="s">
        <v>43</v>
      </c>
      <c r="Y6854">
        <f>1-805-362-1764</f>
        <v>-2930</v>
      </c>
    </row>
    <row r="6855" spans="1:25" x14ac:dyDescent="0.35">
      <c r="A6855">
        <v>39.1053296097881</v>
      </c>
      <c r="B6855">
        <v>-123.826444457533</v>
      </c>
      <c r="C6855" t="s">
        <v>34</v>
      </c>
      <c r="D6855">
        <v>13.7969206198119</v>
      </c>
      <c r="E6855">
        <v>2</v>
      </c>
      <c r="F6855">
        <v>3901</v>
      </c>
      <c r="G6855">
        <v>4</v>
      </c>
      <c r="H6855">
        <v>2</v>
      </c>
      <c r="I6855">
        <v>1971</v>
      </c>
      <c r="J6855">
        <v>0</v>
      </c>
      <c r="K6855">
        <v>1</v>
      </c>
      <c r="L6855">
        <v>1</v>
      </c>
      <c r="M6855">
        <v>13</v>
      </c>
      <c r="N6855" t="s">
        <v>35</v>
      </c>
      <c r="O6855" t="s">
        <v>27</v>
      </c>
      <c r="P6855">
        <v>8.9723884281376503</v>
      </c>
      <c r="Q6855">
        <v>0.99065389999005904</v>
      </c>
      <c r="R6855">
        <v>5.2882237632913398</v>
      </c>
      <c r="S6855">
        <v>24</v>
      </c>
      <c r="T6855">
        <v>31</v>
      </c>
      <c r="U6855">
        <v>944.94826729243596</v>
      </c>
      <c r="V6855">
        <v>3.3324788515765101E-3</v>
      </c>
      <c r="W6855">
        <v>4039185.4757531402</v>
      </c>
      <c r="X6855" t="s">
        <v>38</v>
      </c>
      <c r="Y6855">
        <f>1-774-987-1995</f>
        <v>-3755</v>
      </c>
    </row>
    <row r="6856" spans="1:25" x14ac:dyDescent="0.35">
      <c r="A6856">
        <v>34.736503789049898</v>
      </c>
      <c r="B6856">
        <v>-121.030349748465</v>
      </c>
      <c r="C6856" t="s">
        <v>25</v>
      </c>
      <c r="D6856">
        <v>37.0527916701366</v>
      </c>
      <c r="E6856">
        <v>5</v>
      </c>
      <c r="F6856">
        <v>4366</v>
      </c>
      <c r="G6856">
        <v>1</v>
      </c>
      <c r="H6856">
        <v>1</v>
      </c>
      <c r="I6856">
        <v>1998</v>
      </c>
      <c r="J6856">
        <v>0</v>
      </c>
      <c r="K6856">
        <v>0</v>
      </c>
      <c r="L6856">
        <v>1</v>
      </c>
      <c r="M6856">
        <v>6</v>
      </c>
      <c r="N6856" t="s">
        <v>41</v>
      </c>
      <c r="O6856" t="s">
        <v>32</v>
      </c>
      <c r="P6856">
        <v>3.9591535202521202</v>
      </c>
      <c r="Q6856">
        <v>1.64494077065212</v>
      </c>
      <c r="R6856">
        <v>5.7239282843810297</v>
      </c>
      <c r="S6856">
        <v>193</v>
      </c>
      <c r="T6856">
        <v>31</v>
      </c>
      <c r="U6856">
        <v>279.96932678648699</v>
      </c>
      <c r="V6856">
        <v>1.3742556115437399E-3</v>
      </c>
      <c r="W6856">
        <v>1314412.1607310399</v>
      </c>
      <c r="X6856" t="s">
        <v>40</v>
      </c>
      <c r="Y6856">
        <f>1-763-591-8694</f>
        <v>-10047</v>
      </c>
    </row>
    <row r="6857" spans="1:25" x14ac:dyDescent="0.35">
      <c r="A6857">
        <v>38.029858541466901</v>
      </c>
      <c r="B6857">
        <v>-121.025823815742</v>
      </c>
      <c r="C6857" t="s">
        <v>29</v>
      </c>
      <c r="D6857">
        <v>35.195976380002897</v>
      </c>
      <c r="E6857">
        <v>3</v>
      </c>
      <c r="F6857">
        <v>3143</v>
      </c>
      <c r="G6857">
        <v>1</v>
      </c>
      <c r="H6857">
        <v>3</v>
      </c>
      <c r="I6857">
        <v>1976</v>
      </c>
      <c r="J6857">
        <v>0</v>
      </c>
      <c r="K6857">
        <v>1</v>
      </c>
      <c r="L6857">
        <v>0</v>
      </c>
      <c r="M6857">
        <v>6</v>
      </c>
      <c r="N6857" t="s">
        <v>41</v>
      </c>
      <c r="O6857" t="s">
        <v>27</v>
      </c>
      <c r="P6857">
        <v>14.9125248269845</v>
      </c>
      <c r="Q6857">
        <v>0.66651450780598198</v>
      </c>
      <c r="R6857">
        <v>5.3331409581636597</v>
      </c>
      <c r="S6857">
        <v>117</v>
      </c>
      <c r="T6857">
        <v>47</v>
      </c>
      <c r="U6857">
        <v>468.262328396312</v>
      </c>
      <c r="V6857">
        <v>1.90900413617562E-3</v>
      </c>
      <c r="W6857">
        <v>1717199.29469642</v>
      </c>
      <c r="X6857" t="s">
        <v>36</v>
      </c>
      <c r="Y6857">
        <f>1-625-228-7788</f>
        <v>-8640</v>
      </c>
    </row>
    <row r="6858" spans="1:25" x14ac:dyDescent="0.35">
      <c r="A6858">
        <v>39.168787463690002</v>
      </c>
      <c r="B6858">
        <v>-116.083650159117</v>
      </c>
      <c r="C6858" t="s">
        <v>34</v>
      </c>
      <c r="D6858">
        <v>34.687177955256701</v>
      </c>
      <c r="E6858">
        <v>0</v>
      </c>
      <c r="F6858">
        <v>2925</v>
      </c>
      <c r="G6858">
        <v>5</v>
      </c>
      <c r="H6858">
        <v>3</v>
      </c>
      <c r="I6858">
        <v>1996</v>
      </c>
      <c r="J6858">
        <v>1</v>
      </c>
      <c r="K6858">
        <v>1</v>
      </c>
      <c r="L6858">
        <v>1</v>
      </c>
      <c r="M6858">
        <v>8</v>
      </c>
      <c r="N6858" t="s">
        <v>26</v>
      </c>
      <c r="O6858" t="s">
        <v>32</v>
      </c>
      <c r="P6858">
        <v>9.4834374552855802</v>
      </c>
      <c r="Q6858">
        <v>1.83254961795981</v>
      </c>
      <c r="R6858">
        <v>1.85938673676761</v>
      </c>
      <c r="S6858">
        <v>176</v>
      </c>
      <c r="T6858">
        <v>43</v>
      </c>
      <c r="U6858">
        <v>382.20561710316201</v>
      </c>
      <c r="V6858">
        <v>2.7350427350427298E-3</v>
      </c>
      <c r="W6858">
        <v>1653306.13147825</v>
      </c>
      <c r="X6858" t="s">
        <v>43</v>
      </c>
      <c r="Y6858">
        <f>1-615-173-2552</f>
        <v>-3339</v>
      </c>
    </row>
    <row r="6859" spans="1:25" x14ac:dyDescent="0.35">
      <c r="A6859">
        <v>38.034959674700502</v>
      </c>
      <c r="B6859">
        <v>-116.46781075177</v>
      </c>
      <c r="C6859" t="s">
        <v>29</v>
      </c>
      <c r="D6859">
        <v>14.6516962900776</v>
      </c>
      <c r="E6859">
        <v>8</v>
      </c>
      <c r="F6859">
        <v>1907</v>
      </c>
      <c r="G6859">
        <v>3</v>
      </c>
      <c r="H6859">
        <v>2</v>
      </c>
      <c r="I6859">
        <v>1977</v>
      </c>
      <c r="J6859">
        <v>0</v>
      </c>
      <c r="K6859">
        <v>0</v>
      </c>
      <c r="L6859">
        <v>1</v>
      </c>
      <c r="M6859">
        <v>13</v>
      </c>
      <c r="N6859" t="s">
        <v>37</v>
      </c>
      <c r="O6859" t="s">
        <v>27</v>
      </c>
      <c r="P6859">
        <v>10.5061859450424</v>
      </c>
      <c r="Q6859">
        <v>2.10609192046189</v>
      </c>
      <c r="R6859">
        <v>1.3126269486017299</v>
      </c>
      <c r="S6859">
        <v>43</v>
      </c>
      <c r="T6859">
        <v>64</v>
      </c>
      <c r="U6859">
        <v>514.30882677290799</v>
      </c>
      <c r="V6859">
        <v>6.81699003670686E-3</v>
      </c>
      <c r="W6859">
        <v>1269294.36435764</v>
      </c>
      <c r="X6859" t="s">
        <v>39</v>
      </c>
      <c r="Y6859">
        <f>1-933-134-7835</f>
        <v>-8901</v>
      </c>
    </row>
    <row r="6860" spans="1:25" x14ac:dyDescent="0.35">
      <c r="A6860">
        <v>35.406851905046601</v>
      </c>
      <c r="B6860">
        <v>-124.058283510259</v>
      </c>
      <c r="C6860" t="s">
        <v>25</v>
      </c>
      <c r="D6860">
        <v>8.3472674368548407</v>
      </c>
      <c r="E6860">
        <v>8</v>
      </c>
      <c r="F6860">
        <v>3881</v>
      </c>
      <c r="G6860">
        <v>2</v>
      </c>
      <c r="H6860">
        <v>2</v>
      </c>
      <c r="I6860">
        <v>2019</v>
      </c>
      <c r="J6860">
        <v>1</v>
      </c>
      <c r="K6860">
        <v>0</v>
      </c>
      <c r="L6860">
        <v>1</v>
      </c>
      <c r="M6860">
        <v>12</v>
      </c>
      <c r="N6860" t="s">
        <v>41</v>
      </c>
      <c r="O6860" t="s">
        <v>30</v>
      </c>
      <c r="P6860">
        <v>11.2003371196774</v>
      </c>
      <c r="Q6860">
        <v>1.21128477998294</v>
      </c>
      <c r="R6860">
        <v>2.92230901126206</v>
      </c>
      <c r="S6860">
        <v>157</v>
      </c>
      <c r="T6860">
        <v>48</v>
      </c>
      <c r="U6860">
        <v>276.48792248243501</v>
      </c>
      <c r="V6860">
        <v>3.0919866013913899E-3</v>
      </c>
      <c r="W6860">
        <v>1441241.9231138399</v>
      </c>
      <c r="X6860" t="s">
        <v>42</v>
      </c>
      <c r="Y6860">
        <f>1-313-524-4701</f>
        <v>-5537</v>
      </c>
    </row>
    <row r="6861" spans="1:25" x14ac:dyDescent="0.35">
      <c r="A6861">
        <v>33.503715559255099</v>
      </c>
      <c r="B6861">
        <v>-122.541161296482</v>
      </c>
      <c r="C6861" t="s">
        <v>34</v>
      </c>
      <c r="D6861">
        <v>21.987971229398401</v>
      </c>
      <c r="E6861">
        <v>6</v>
      </c>
      <c r="F6861">
        <v>3491</v>
      </c>
      <c r="G6861">
        <v>4</v>
      </c>
      <c r="H6861">
        <v>2</v>
      </c>
      <c r="I6861">
        <v>1983</v>
      </c>
      <c r="J6861">
        <v>1</v>
      </c>
      <c r="K6861">
        <v>1</v>
      </c>
      <c r="L6861">
        <v>1</v>
      </c>
      <c r="M6861">
        <v>3</v>
      </c>
      <c r="N6861" t="s">
        <v>41</v>
      </c>
      <c r="O6861" t="s">
        <v>30</v>
      </c>
      <c r="P6861">
        <v>4.5748509257006003</v>
      </c>
      <c r="Q6861">
        <v>1.74790043489917</v>
      </c>
      <c r="R6861">
        <v>0.30098599954615601</v>
      </c>
      <c r="S6861">
        <v>12</v>
      </c>
      <c r="T6861">
        <v>68</v>
      </c>
      <c r="U6861">
        <v>576.92257308699004</v>
      </c>
      <c r="V6861">
        <v>8.5935262102549402E-4</v>
      </c>
      <c r="W6861">
        <v>2462404.9742073002</v>
      </c>
      <c r="X6861" t="s">
        <v>28</v>
      </c>
      <c r="Y6861">
        <f>1-822-582-2714</f>
        <v>-4117</v>
      </c>
    </row>
    <row r="6862" spans="1:25" x14ac:dyDescent="0.35">
      <c r="A6862">
        <v>39.699477205470998</v>
      </c>
      <c r="B6862">
        <v>-118.073665710897</v>
      </c>
      <c r="C6862" t="s">
        <v>29</v>
      </c>
      <c r="D6862">
        <v>46.158933876262203</v>
      </c>
      <c r="E6862">
        <v>8</v>
      </c>
      <c r="F6862">
        <v>1179</v>
      </c>
      <c r="G6862">
        <v>2</v>
      </c>
      <c r="H6862">
        <v>3</v>
      </c>
      <c r="I6862">
        <v>1957</v>
      </c>
      <c r="J6862">
        <v>0</v>
      </c>
      <c r="K6862">
        <v>0</v>
      </c>
      <c r="L6862">
        <v>0</v>
      </c>
      <c r="M6862">
        <v>10</v>
      </c>
      <c r="N6862" t="s">
        <v>26</v>
      </c>
      <c r="O6862" t="s">
        <v>32</v>
      </c>
      <c r="P6862">
        <v>6.1700674622613096</v>
      </c>
      <c r="Q6862">
        <v>2.4078166427114001</v>
      </c>
      <c r="R6862">
        <v>2.3662561045986101</v>
      </c>
      <c r="S6862">
        <v>110</v>
      </c>
      <c r="T6862">
        <v>51</v>
      </c>
      <c r="U6862">
        <v>635.790823658916</v>
      </c>
      <c r="V6862">
        <v>8.4817642069550392E-3</v>
      </c>
      <c r="W6862">
        <v>905405.74417185294</v>
      </c>
      <c r="X6862" t="s">
        <v>44</v>
      </c>
      <c r="Y6862">
        <f>1-489-636-1408</f>
        <v>-2532</v>
      </c>
    </row>
    <row r="6863" spans="1:25" x14ac:dyDescent="0.35">
      <c r="A6863">
        <v>36.994055540668498</v>
      </c>
      <c r="B6863">
        <v>-121.11163297055499</v>
      </c>
      <c r="C6863" t="s">
        <v>25</v>
      </c>
      <c r="D6863">
        <v>39.181526803462503</v>
      </c>
      <c r="E6863">
        <v>2</v>
      </c>
      <c r="F6863">
        <v>777</v>
      </c>
      <c r="G6863">
        <v>5</v>
      </c>
      <c r="H6863">
        <v>2</v>
      </c>
      <c r="I6863">
        <v>1954</v>
      </c>
      <c r="J6863">
        <v>0</v>
      </c>
      <c r="K6863">
        <v>0</v>
      </c>
      <c r="L6863">
        <v>0</v>
      </c>
      <c r="M6863">
        <v>8</v>
      </c>
      <c r="N6863" t="s">
        <v>41</v>
      </c>
      <c r="O6863" t="s">
        <v>30</v>
      </c>
      <c r="P6863">
        <v>3.8622887884286201</v>
      </c>
      <c r="Q6863">
        <v>2.0549372116651501</v>
      </c>
      <c r="R6863">
        <v>6.3147184397221201</v>
      </c>
      <c r="S6863">
        <v>69</v>
      </c>
      <c r="T6863">
        <v>41</v>
      </c>
      <c r="U6863">
        <v>838.78362040415402</v>
      </c>
      <c r="V6863">
        <v>1.02960102960102E-2</v>
      </c>
      <c r="W6863">
        <v>934457.05102056195</v>
      </c>
      <c r="X6863" t="s">
        <v>39</v>
      </c>
      <c r="Y6863">
        <f>1-952-899-3093</f>
        <v>-4943</v>
      </c>
    </row>
    <row r="6864" spans="1:25" x14ac:dyDescent="0.35">
      <c r="A6864">
        <v>33.505764070180597</v>
      </c>
      <c r="B6864">
        <v>-123.54338776541501</v>
      </c>
      <c r="C6864" t="s">
        <v>29</v>
      </c>
      <c r="D6864">
        <v>39.128315896559599</v>
      </c>
      <c r="E6864">
        <v>2</v>
      </c>
      <c r="F6864">
        <v>3627</v>
      </c>
      <c r="G6864">
        <v>1</v>
      </c>
      <c r="H6864">
        <v>3</v>
      </c>
      <c r="I6864">
        <v>2012</v>
      </c>
      <c r="J6864">
        <v>1</v>
      </c>
      <c r="K6864">
        <v>1</v>
      </c>
      <c r="L6864">
        <v>1</v>
      </c>
      <c r="M6864">
        <v>4</v>
      </c>
      <c r="N6864" t="s">
        <v>37</v>
      </c>
      <c r="O6864" t="s">
        <v>30</v>
      </c>
      <c r="P6864">
        <v>5.33594684013124</v>
      </c>
      <c r="Q6864">
        <v>1.60313905847336</v>
      </c>
      <c r="R6864">
        <v>5.7934276654940096</v>
      </c>
      <c r="S6864">
        <v>135</v>
      </c>
      <c r="T6864">
        <v>28</v>
      </c>
      <c r="U6864">
        <v>751.98806228532703</v>
      </c>
      <c r="V6864">
        <v>1.1028398125172299E-3</v>
      </c>
      <c r="W6864">
        <v>2933528.2180584399</v>
      </c>
      <c r="X6864" t="s">
        <v>40</v>
      </c>
      <c r="Y6864">
        <f>1-441-445-3847</f>
        <v>-4732</v>
      </c>
    </row>
    <row r="6865" spans="1:25" x14ac:dyDescent="0.35">
      <c r="A6865">
        <v>38.574970972071398</v>
      </c>
      <c r="B6865">
        <v>-121.40056902900299</v>
      </c>
      <c r="C6865" t="s">
        <v>29</v>
      </c>
      <c r="D6865">
        <v>2.8512575184728002</v>
      </c>
      <c r="E6865">
        <v>2</v>
      </c>
      <c r="F6865">
        <v>4513</v>
      </c>
      <c r="G6865">
        <v>3</v>
      </c>
      <c r="H6865">
        <v>3</v>
      </c>
      <c r="I6865">
        <v>2016</v>
      </c>
      <c r="J6865">
        <v>0</v>
      </c>
      <c r="K6865">
        <v>0</v>
      </c>
      <c r="L6865">
        <v>1</v>
      </c>
      <c r="M6865">
        <v>6</v>
      </c>
      <c r="N6865" t="s">
        <v>37</v>
      </c>
      <c r="O6865" t="s">
        <v>27</v>
      </c>
      <c r="P6865">
        <v>9.5106218182649709</v>
      </c>
      <c r="Q6865">
        <v>1.7104073463643501</v>
      </c>
      <c r="R6865">
        <v>6.5954672579511904</v>
      </c>
      <c r="S6865">
        <v>50</v>
      </c>
      <c r="T6865">
        <v>64</v>
      </c>
      <c r="U6865">
        <v>497.54779493685601</v>
      </c>
      <c r="V6865">
        <v>1.3294925769997701E-3</v>
      </c>
      <c r="W6865">
        <v>2475519.1909944802</v>
      </c>
      <c r="X6865" t="s">
        <v>33</v>
      </c>
      <c r="Y6865">
        <f>1-498-875-2874</f>
        <v>-4246</v>
      </c>
    </row>
    <row r="6866" spans="1:25" x14ac:dyDescent="0.35">
      <c r="A6866">
        <v>40.074018024896603</v>
      </c>
      <c r="B6866">
        <v>-123.119247343041</v>
      </c>
      <c r="C6866" t="s">
        <v>29</v>
      </c>
      <c r="D6866">
        <v>33.458078691361102</v>
      </c>
      <c r="E6866">
        <v>2</v>
      </c>
      <c r="F6866">
        <v>1777</v>
      </c>
      <c r="G6866">
        <v>1</v>
      </c>
      <c r="H6866">
        <v>2</v>
      </c>
      <c r="I6866">
        <v>1993</v>
      </c>
      <c r="J6866">
        <v>0</v>
      </c>
      <c r="K6866">
        <v>0</v>
      </c>
      <c r="L6866">
        <v>1</v>
      </c>
      <c r="M6866">
        <v>14</v>
      </c>
      <c r="N6866" t="s">
        <v>37</v>
      </c>
      <c r="O6866" t="s">
        <v>30</v>
      </c>
      <c r="P6866">
        <v>6.8442990489606199</v>
      </c>
      <c r="Q6866">
        <v>0.52866252868514496</v>
      </c>
      <c r="R6866">
        <v>2.5121127765593498</v>
      </c>
      <c r="S6866">
        <v>81</v>
      </c>
      <c r="T6866">
        <v>40</v>
      </c>
      <c r="U6866">
        <v>950.72988331310296</v>
      </c>
      <c r="V6866">
        <v>7.8784468204839593E-3</v>
      </c>
      <c r="W6866">
        <v>1734871.0463694001</v>
      </c>
      <c r="X6866" t="s">
        <v>39</v>
      </c>
      <c r="Y6866">
        <f>1-364-791-2743</f>
        <v>-3897</v>
      </c>
    </row>
    <row r="6867" spans="1:25" x14ac:dyDescent="0.35">
      <c r="A6867">
        <v>41.057502705411601</v>
      </c>
      <c r="B6867">
        <v>-123.619073112161</v>
      </c>
      <c r="C6867" t="s">
        <v>34</v>
      </c>
      <c r="D6867">
        <v>22.2139880018631</v>
      </c>
      <c r="E6867">
        <v>3</v>
      </c>
      <c r="F6867">
        <v>4276</v>
      </c>
      <c r="G6867">
        <v>1</v>
      </c>
      <c r="H6867">
        <v>3</v>
      </c>
      <c r="I6867">
        <v>1990</v>
      </c>
      <c r="J6867">
        <v>0</v>
      </c>
      <c r="K6867">
        <v>1</v>
      </c>
      <c r="L6867">
        <v>1</v>
      </c>
      <c r="M6867">
        <v>3</v>
      </c>
      <c r="N6867" t="s">
        <v>35</v>
      </c>
      <c r="O6867" t="s">
        <v>32</v>
      </c>
      <c r="P6867">
        <v>9.1602632619556896</v>
      </c>
      <c r="Q6867">
        <v>1.6252500880913401</v>
      </c>
      <c r="R6867">
        <v>1.9699198217478999</v>
      </c>
      <c r="S6867">
        <v>45</v>
      </c>
      <c r="T6867">
        <v>48</v>
      </c>
      <c r="U6867">
        <v>309.29395572591602</v>
      </c>
      <c r="V6867">
        <v>7.0159027128157097E-4</v>
      </c>
      <c r="W6867">
        <v>1624088.9567150399</v>
      </c>
      <c r="X6867" t="s">
        <v>36</v>
      </c>
      <c r="Y6867">
        <f>1-636-324-2503</f>
        <v>-3462</v>
      </c>
    </row>
    <row r="6868" spans="1:25" x14ac:dyDescent="0.35">
      <c r="A6868">
        <v>36.109322211109102</v>
      </c>
      <c r="B6868">
        <v>-116.119662967754</v>
      </c>
      <c r="C6868" t="s">
        <v>29</v>
      </c>
      <c r="D6868">
        <v>6.49091867426222</v>
      </c>
      <c r="E6868">
        <v>9</v>
      </c>
      <c r="F6868">
        <v>2604</v>
      </c>
      <c r="G6868">
        <v>1</v>
      </c>
      <c r="H6868">
        <v>1</v>
      </c>
      <c r="I6868">
        <v>1957</v>
      </c>
      <c r="J6868">
        <v>0</v>
      </c>
      <c r="K6868">
        <v>0</v>
      </c>
      <c r="L6868">
        <v>1</v>
      </c>
      <c r="M6868">
        <v>10</v>
      </c>
      <c r="N6868" t="s">
        <v>26</v>
      </c>
      <c r="O6868" t="s">
        <v>32</v>
      </c>
      <c r="P6868">
        <v>4.9625687764606896</v>
      </c>
      <c r="Q6868">
        <v>2.36847794167595</v>
      </c>
      <c r="R6868">
        <v>0.73829780016381696</v>
      </c>
      <c r="S6868">
        <v>131</v>
      </c>
      <c r="T6868">
        <v>74</v>
      </c>
      <c r="U6868">
        <v>249.34456807190301</v>
      </c>
      <c r="V6868">
        <v>3.8402457757296402E-3</v>
      </c>
      <c r="W6868">
        <v>579731.81751700398</v>
      </c>
      <c r="X6868" t="s">
        <v>39</v>
      </c>
      <c r="Y6868">
        <f>1-679-217-8322</f>
        <v>-9217</v>
      </c>
    </row>
    <row r="6869" spans="1:25" x14ac:dyDescent="0.35">
      <c r="A6869">
        <v>37.488798678903898</v>
      </c>
      <c r="B6869">
        <v>-123.352670120277</v>
      </c>
      <c r="C6869" t="s">
        <v>25</v>
      </c>
      <c r="D6869">
        <v>32.465464064141202</v>
      </c>
      <c r="E6869">
        <v>2</v>
      </c>
      <c r="F6869">
        <v>3156</v>
      </c>
      <c r="G6869">
        <v>3</v>
      </c>
      <c r="H6869">
        <v>2</v>
      </c>
      <c r="I6869">
        <v>2019</v>
      </c>
      <c r="J6869">
        <v>1</v>
      </c>
      <c r="K6869">
        <v>0</v>
      </c>
      <c r="L6869">
        <v>1</v>
      </c>
      <c r="M6869">
        <v>5</v>
      </c>
      <c r="N6869" t="s">
        <v>37</v>
      </c>
      <c r="O6869" t="s">
        <v>27</v>
      </c>
      <c r="P6869">
        <v>12.7471335756683</v>
      </c>
      <c r="Q6869">
        <v>2.15738531128352</v>
      </c>
      <c r="R6869">
        <v>3.2653794506534699</v>
      </c>
      <c r="S6869">
        <v>71</v>
      </c>
      <c r="T6869">
        <v>56</v>
      </c>
      <c r="U6869">
        <v>686.41660829105797</v>
      </c>
      <c r="V6869">
        <v>1.5842839036755299E-3</v>
      </c>
      <c r="W6869">
        <v>2533387.90224854</v>
      </c>
      <c r="X6869" t="s">
        <v>42</v>
      </c>
      <c r="Y6869">
        <f>1-792-293-7433</f>
        <v>-8517</v>
      </c>
    </row>
    <row r="6870" spans="1:25" x14ac:dyDescent="0.35">
      <c r="A6870">
        <v>39.027937370113101</v>
      </c>
      <c r="B6870">
        <v>-116.67672902443699</v>
      </c>
      <c r="C6870" t="s">
        <v>34</v>
      </c>
      <c r="D6870">
        <v>28.264412657168201</v>
      </c>
      <c r="E6870">
        <v>5</v>
      </c>
      <c r="F6870">
        <v>3959</v>
      </c>
      <c r="G6870">
        <v>4</v>
      </c>
      <c r="H6870">
        <v>3</v>
      </c>
      <c r="I6870">
        <v>1956</v>
      </c>
      <c r="J6870">
        <v>0</v>
      </c>
      <c r="K6870">
        <v>1</v>
      </c>
      <c r="L6870">
        <v>1</v>
      </c>
      <c r="M6870">
        <v>2</v>
      </c>
      <c r="N6870" t="s">
        <v>37</v>
      </c>
      <c r="O6870" t="s">
        <v>27</v>
      </c>
      <c r="P6870">
        <v>4.2143609726531697</v>
      </c>
      <c r="Q6870">
        <v>1.3931934644616699</v>
      </c>
      <c r="R6870">
        <v>3.76394483408327</v>
      </c>
      <c r="S6870">
        <v>174</v>
      </c>
      <c r="T6870">
        <v>47</v>
      </c>
      <c r="U6870">
        <v>384.38016245649999</v>
      </c>
      <c r="V6870">
        <v>5.0517807527153305E-4</v>
      </c>
      <c r="W6870">
        <v>1873997.4009991901</v>
      </c>
      <c r="X6870" t="s">
        <v>38</v>
      </c>
      <c r="Y6870">
        <f>1-821-126-1150</f>
        <v>-2096</v>
      </c>
    </row>
    <row r="6871" spans="1:25" x14ac:dyDescent="0.35">
      <c r="A6871">
        <v>37.553550638414002</v>
      </c>
      <c r="B6871">
        <v>-124.33423677888599</v>
      </c>
      <c r="C6871" t="s">
        <v>34</v>
      </c>
      <c r="D6871">
        <v>6.0575098252215902</v>
      </c>
      <c r="E6871">
        <v>0</v>
      </c>
      <c r="F6871">
        <v>1713</v>
      </c>
      <c r="G6871">
        <v>2</v>
      </c>
      <c r="H6871">
        <v>3</v>
      </c>
      <c r="I6871">
        <v>2016</v>
      </c>
      <c r="J6871">
        <v>1</v>
      </c>
      <c r="K6871">
        <v>1</v>
      </c>
      <c r="L6871">
        <v>1</v>
      </c>
      <c r="M6871">
        <v>3</v>
      </c>
      <c r="N6871" t="s">
        <v>37</v>
      </c>
      <c r="O6871" t="s">
        <v>32</v>
      </c>
      <c r="P6871">
        <v>5.5854130565357503</v>
      </c>
      <c r="Q6871">
        <v>0.59848661815556004</v>
      </c>
      <c r="R6871">
        <v>3.66338710546803</v>
      </c>
      <c r="S6871">
        <v>20</v>
      </c>
      <c r="T6871">
        <v>62</v>
      </c>
      <c r="U6871">
        <v>839.07980095178004</v>
      </c>
      <c r="V6871">
        <v>1.75131348511383E-3</v>
      </c>
      <c r="W6871">
        <v>1842884.66842513</v>
      </c>
      <c r="X6871" t="s">
        <v>40</v>
      </c>
      <c r="Y6871">
        <f>1-577-228-6042</f>
        <v>-6846</v>
      </c>
    </row>
    <row r="6872" spans="1:25" x14ac:dyDescent="0.35">
      <c r="A6872">
        <v>37.013186679789797</v>
      </c>
      <c r="B6872">
        <v>-120.559753389985</v>
      </c>
      <c r="C6872" t="s">
        <v>29</v>
      </c>
      <c r="D6872">
        <v>38.592919473396499</v>
      </c>
      <c r="E6872">
        <v>0</v>
      </c>
      <c r="F6872">
        <v>2992</v>
      </c>
      <c r="G6872">
        <v>4</v>
      </c>
      <c r="H6872">
        <v>2</v>
      </c>
      <c r="I6872">
        <v>2003</v>
      </c>
      <c r="J6872">
        <v>0</v>
      </c>
      <c r="K6872">
        <v>0</v>
      </c>
      <c r="L6872">
        <v>1</v>
      </c>
      <c r="M6872">
        <v>12</v>
      </c>
      <c r="N6872" t="s">
        <v>37</v>
      </c>
      <c r="O6872" t="s">
        <v>32</v>
      </c>
      <c r="P6872">
        <v>8.0680520073362096</v>
      </c>
      <c r="Q6872">
        <v>0.65600046490374297</v>
      </c>
      <c r="R6872">
        <v>8.4330517897132307</v>
      </c>
      <c r="S6872">
        <v>150</v>
      </c>
      <c r="T6872">
        <v>46</v>
      </c>
      <c r="U6872">
        <v>279.39866702476797</v>
      </c>
      <c r="V6872">
        <v>4.0106951871657697E-3</v>
      </c>
      <c r="W6872">
        <v>1163590.66463792</v>
      </c>
      <c r="X6872" t="s">
        <v>39</v>
      </c>
      <c r="Y6872">
        <f>1-469-569-2492</f>
        <v>-3529</v>
      </c>
    </row>
    <row r="6873" spans="1:25" x14ac:dyDescent="0.35">
      <c r="A6873">
        <v>38.098594709511403</v>
      </c>
      <c r="B6873">
        <v>-119.88034398993599</v>
      </c>
      <c r="C6873" t="s">
        <v>29</v>
      </c>
      <c r="D6873">
        <v>38.5680989955261</v>
      </c>
      <c r="E6873">
        <v>4</v>
      </c>
      <c r="F6873">
        <v>4922</v>
      </c>
      <c r="G6873">
        <v>4</v>
      </c>
      <c r="H6873">
        <v>1</v>
      </c>
      <c r="I6873">
        <v>1997</v>
      </c>
      <c r="J6873">
        <v>0</v>
      </c>
      <c r="K6873">
        <v>1</v>
      </c>
      <c r="L6873">
        <v>1</v>
      </c>
      <c r="M6873">
        <v>11</v>
      </c>
      <c r="N6873" t="s">
        <v>35</v>
      </c>
      <c r="O6873" t="s">
        <v>27</v>
      </c>
      <c r="P6873">
        <v>4.5318319101217597</v>
      </c>
      <c r="Q6873">
        <v>1.60837309826219</v>
      </c>
      <c r="R6873">
        <v>1.0053160304889599</v>
      </c>
      <c r="S6873">
        <v>28</v>
      </c>
      <c r="T6873">
        <v>38</v>
      </c>
      <c r="U6873">
        <v>228.783493988103</v>
      </c>
      <c r="V6873">
        <v>2.2348638764729698E-3</v>
      </c>
      <c r="W6873">
        <v>1519283.44244367</v>
      </c>
      <c r="X6873" t="s">
        <v>43</v>
      </c>
      <c r="Y6873">
        <f>1-804-539-9580</f>
        <v>-10922</v>
      </c>
    </row>
    <row r="6874" spans="1:25" x14ac:dyDescent="0.35">
      <c r="A6874">
        <v>33.724129908892401</v>
      </c>
      <c r="B6874">
        <v>-122.65991574235601</v>
      </c>
      <c r="C6874" t="s">
        <v>25</v>
      </c>
      <c r="D6874">
        <v>41.352078414658301</v>
      </c>
      <c r="E6874">
        <v>4</v>
      </c>
      <c r="F6874">
        <v>3445</v>
      </c>
      <c r="G6874">
        <v>2</v>
      </c>
      <c r="H6874">
        <v>1</v>
      </c>
      <c r="I6874">
        <v>1987</v>
      </c>
      <c r="J6874">
        <v>1</v>
      </c>
      <c r="K6874">
        <v>1</v>
      </c>
      <c r="L6874">
        <v>0</v>
      </c>
      <c r="M6874">
        <v>3</v>
      </c>
      <c r="N6874" t="s">
        <v>37</v>
      </c>
      <c r="O6874" t="s">
        <v>30</v>
      </c>
      <c r="P6874">
        <v>8.6748549306538596</v>
      </c>
      <c r="Q6874">
        <v>2.1270795340006101</v>
      </c>
      <c r="R6874">
        <v>4.5225147936352297</v>
      </c>
      <c r="S6874">
        <v>25</v>
      </c>
      <c r="T6874">
        <v>21</v>
      </c>
      <c r="U6874">
        <v>798.12549526901296</v>
      </c>
      <c r="V6874">
        <v>8.7082728592162504E-4</v>
      </c>
      <c r="W6874">
        <v>2974655.7772524799</v>
      </c>
      <c r="X6874" t="s">
        <v>31</v>
      </c>
      <c r="Y6874">
        <f>1-775-873-2912</f>
        <v>-4559</v>
      </c>
    </row>
    <row r="6875" spans="1:25" x14ac:dyDescent="0.35">
      <c r="A6875">
        <v>40.6094275256185</v>
      </c>
      <c r="B6875">
        <v>-121.174846013268</v>
      </c>
      <c r="C6875" t="s">
        <v>25</v>
      </c>
      <c r="D6875">
        <v>34.500077561885398</v>
      </c>
      <c r="E6875">
        <v>5</v>
      </c>
      <c r="F6875">
        <v>1726</v>
      </c>
      <c r="G6875">
        <v>5</v>
      </c>
      <c r="H6875">
        <v>2</v>
      </c>
      <c r="I6875">
        <v>1988</v>
      </c>
      <c r="J6875">
        <v>0</v>
      </c>
      <c r="K6875">
        <v>1</v>
      </c>
      <c r="L6875">
        <v>0</v>
      </c>
      <c r="M6875">
        <v>11</v>
      </c>
      <c r="N6875" t="s">
        <v>35</v>
      </c>
      <c r="O6875" t="s">
        <v>30</v>
      </c>
      <c r="P6875">
        <v>2.0152542830645501</v>
      </c>
      <c r="Q6875">
        <v>1.35450928883841</v>
      </c>
      <c r="R6875">
        <v>8.5141938532289405</v>
      </c>
      <c r="S6875">
        <v>184</v>
      </c>
      <c r="T6875">
        <v>64</v>
      </c>
      <c r="U6875">
        <v>629.85152771116702</v>
      </c>
      <c r="V6875">
        <v>6.3731170336036999E-3</v>
      </c>
      <c r="W6875">
        <v>1412420.48445167</v>
      </c>
      <c r="X6875" t="s">
        <v>33</v>
      </c>
      <c r="Y6875">
        <f>1-241-255-8221</f>
        <v>-8716</v>
      </c>
    </row>
    <row r="6876" spans="1:25" x14ac:dyDescent="0.35">
      <c r="A6876">
        <v>39.298443611755502</v>
      </c>
      <c r="B6876">
        <v>-121.44920997387</v>
      </c>
      <c r="C6876" t="s">
        <v>34</v>
      </c>
      <c r="D6876">
        <v>1.63237136613731</v>
      </c>
      <c r="E6876">
        <v>7</v>
      </c>
      <c r="F6876">
        <v>1084</v>
      </c>
      <c r="G6876">
        <v>4</v>
      </c>
      <c r="H6876">
        <v>1</v>
      </c>
      <c r="I6876">
        <v>2015</v>
      </c>
      <c r="J6876">
        <v>0</v>
      </c>
      <c r="K6876">
        <v>1</v>
      </c>
      <c r="L6876">
        <v>1</v>
      </c>
      <c r="M6876">
        <v>5</v>
      </c>
      <c r="N6876" t="s">
        <v>26</v>
      </c>
      <c r="O6876" t="s">
        <v>30</v>
      </c>
      <c r="P6876">
        <v>4.3931810004314302</v>
      </c>
      <c r="Q6876">
        <v>1.11849053722916</v>
      </c>
      <c r="R6876">
        <v>8.5652434561306006</v>
      </c>
      <c r="S6876">
        <v>181</v>
      </c>
      <c r="T6876">
        <v>67</v>
      </c>
      <c r="U6876">
        <v>599.25595776602199</v>
      </c>
      <c r="V6876">
        <v>4.6125461254612503E-3</v>
      </c>
      <c r="W6876">
        <v>1086151.79362446</v>
      </c>
      <c r="X6876" t="s">
        <v>40</v>
      </c>
      <c r="Y6876">
        <f>1-964-473-5384</f>
        <v>-6820</v>
      </c>
    </row>
    <row r="6877" spans="1:25" x14ac:dyDescent="0.35">
      <c r="A6877">
        <v>38.656427406277999</v>
      </c>
      <c r="B6877">
        <v>-121.539347583159</v>
      </c>
      <c r="C6877" t="s">
        <v>29</v>
      </c>
      <c r="D6877">
        <v>17.229120340179001</v>
      </c>
      <c r="E6877">
        <v>9</v>
      </c>
      <c r="F6877">
        <v>1311</v>
      </c>
      <c r="G6877">
        <v>4</v>
      </c>
      <c r="H6877">
        <v>1</v>
      </c>
      <c r="I6877">
        <v>1979</v>
      </c>
      <c r="J6877">
        <v>1</v>
      </c>
      <c r="K6877">
        <v>1</v>
      </c>
      <c r="L6877">
        <v>0</v>
      </c>
      <c r="M6877">
        <v>7</v>
      </c>
      <c r="N6877" t="s">
        <v>41</v>
      </c>
      <c r="O6877" t="s">
        <v>32</v>
      </c>
      <c r="P6877">
        <v>2.8522782559176298</v>
      </c>
      <c r="Q6877">
        <v>1.72321029169477</v>
      </c>
      <c r="R6877">
        <v>6.5413501162703396</v>
      </c>
      <c r="S6877">
        <v>106</v>
      </c>
      <c r="T6877">
        <v>68</v>
      </c>
      <c r="U6877">
        <v>690.84278560215205</v>
      </c>
      <c r="V6877">
        <v>5.3394355453851997E-3</v>
      </c>
      <c r="W6877">
        <v>1143158.6213751701</v>
      </c>
      <c r="X6877" t="s">
        <v>38</v>
      </c>
      <c r="Y6877">
        <f>1-472-975-5007</f>
        <v>-6453</v>
      </c>
    </row>
    <row r="6878" spans="1:25" x14ac:dyDescent="0.35">
      <c r="A6878">
        <v>39.518745676671898</v>
      </c>
      <c r="B6878">
        <v>-116.149117699787</v>
      </c>
      <c r="C6878" t="s">
        <v>34</v>
      </c>
      <c r="D6878">
        <v>44.641532638727803</v>
      </c>
      <c r="E6878">
        <v>9</v>
      </c>
      <c r="F6878">
        <v>3633</v>
      </c>
      <c r="G6878">
        <v>5</v>
      </c>
      <c r="H6878">
        <v>1</v>
      </c>
      <c r="I6878">
        <v>2003</v>
      </c>
      <c r="J6878">
        <v>1</v>
      </c>
      <c r="K6878">
        <v>0</v>
      </c>
      <c r="L6878">
        <v>0</v>
      </c>
      <c r="M6878">
        <v>7</v>
      </c>
      <c r="N6878" t="s">
        <v>37</v>
      </c>
      <c r="O6878" t="s">
        <v>30</v>
      </c>
      <c r="P6878">
        <v>10.7024366259774</v>
      </c>
      <c r="Q6878">
        <v>0.97530881773197697</v>
      </c>
      <c r="R6878">
        <v>5.1878353049936896</v>
      </c>
      <c r="S6878">
        <v>163</v>
      </c>
      <c r="T6878">
        <v>30</v>
      </c>
      <c r="U6878">
        <v>732.68414775528902</v>
      </c>
      <c r="V6878">
        <v>1.92678227360308E-3</v>
      </c>
      <c r="W6878">
        <v>2973885.7317283</v>
      </c>
      <c r="X6878" t="s">
        <v>28</v>
      </c>
      <c r="Y6878">
        <f>1-773-170-5809</f>
        <v>-6751</v>
      </c>
    </row>
    <row r="6879" spans="1:25" x14ac:dyDescent="0.35">
      <c r="A6879">
        <v>35.729890487132998</v>
      </c>
      <c r="B6879">
        <v>-116.486451132719</v>
      </c>
      <c r="C6879" t="s">
        <v>34</v>
      </c>
      <c r="D6879">
        <v>43.098391863030102</v>
      </c>
      <c r="E6879">
        <v>7</v>
      </c>
      <c r="F6879">
        <v>3334</v>
      </c>
      <c r="G6879">
        <v>3</v>
      </c>
      <c r="H6879">
        <v>2</v>
      </c>
      <c r="I6879">
        <v>2016</v>
      </c>
      <c r="J6879">
        <v>0</v>
      </c>
      <c r="K6879">
        <v>0</v>
      </c>
      <c r="L6879">
        <v>1</v>
      </c>
      <c r="M6879">
        <v>14</v>
      </c>
      <c r="N6879" t="s">
        <v>35</v>
      </c>
      <c r="O6879" t="s">
        <v>30</v>
      </c>
      <c r="P6879">
        <v>12.62711334211</v>
      </c>
      <c r="Q6879">
        <v>0.73294730233396399</v>
      </c>
      <c r="R6879">
        <v>4.2916648508600002</v>
      </c>
      <c r="S6879">
        <v>52</v>
      </c>
      <c r="T6879">
        <v>58</v>
      </c>
      <c r="U6879">
        <v>333.374592562256</v>
      </c>
      <c r="V6879">
        <v>4.1991601679663999E-3</v>
      </c>
      <c r="W6879">
        <v>1418530.4029466701</v>
      </c>
      <c r="X6879" t="s">
        <v>36</v>
      </c>
      <c r="Y6879">
        <f>1-493-386-1986</f>
        <v>-2864</v>
      </c>
    </row>
    <row r="6880" spans="1:25" x14ac:dyDescent="0.35">
      <c r="A6880">
        <v>41.6502778816632</v>
      </c>
      <c r="B6880">
        <v>-120.03441880715199</v>
      </c>
      <c r="C6880" t="s">
        <v>34</v>
      </c>
      <c r="D6880">
        <v>14.981133829485699</v>
      </c>
      <c r="E6880">
        <v>7</v>
      </c>
      <c r="F6880">
        <v>4500</v>
      </c>
      <c r="G6880">
        <v>5</v>
      </c>
      <c r="H6880">
        <v>1</v>
      </c>
      <c r="I6880">
        <v>1985</v>
      </c>
      <c r="J6880">
        <v>0</v>
      </c>
      <c r="K6880">
        <v>1</v>
      </c>
      <c r="L6880">
        <v>1</v>
      </c>
      <c r="M6880">
        <v>11</v>
      </c>
      <c r="N6880" t="s">
        <v>37</v>
      </c>
      <c r="O6880" t="s">
        <v>30</v>
      </c>
      <c r="P6880">
        <v>8.85183349017586</v>
      </c>
      <c r="Q6880">
        <v>2.09737140678395</v>
      </c>
      <c r="R6880">
        <v>9.6698962294091295</v>
      </c>
      <c r="S6880">
        <v>127</v>
      </c>
      <c r="T6880">
        <v>51</v>
      </c>
      <c r="U6880">
        <v>627.29935635081904</v>
      </c>
      <c r="V6880">
        <v>2.4444444444444401E-3</v>
      </c>
      <c r="W6880">
        <v>3191628.2147601098</v>
      </c>
      <c r="X6880" t="s">
        <v>43</v>
      </c>
      <c r="Y6880">
        <f>1-464-423-4178</f>
        <v>-5064</v>
      </c>
    </row>
    <row r="6881" spans="1:25" x14ac:dyDescent="0.35">
      <c r="A6881">
        <v>39.3671043423819</v>
      </c>
      <c r="B6881">
        <v>-119.50296957707501</v>
      </c>
      <c r="C6881" t="s">
        <v>25</v>
      </c>
      <c r="D6881">
        <v>44.5307234739413</v>
      </c>
      <c r="E6881">
        <v>1</v>
      </c>
      <c r="F6881">
        <v>2737</v>
      </c>
      <c r="G6881">
        <v>5</v>
      </c>
      <c r="H6881">
        <v>3</v>
      </c>
      <c r="I6881">
        <v>1958</v>
      </c>
      <c r="J6881">
        <v>1</v>
      </c>
      <c r="K6881">
        <v>0</v>
      </c>
      <c r="L6881">
        <v>1</v>
      </c>
      <c r="M6881">
        <v>11</v>
      </c>
      <c r="N6881" t="s">
        <v>26</v>
      </c>
      <c r="O6881" t="s">
        <v>30</v>
      </c>
      <c r="P6881">
        <v>12.425241105284</v>
      </c>
      <c r="Q6881">
        <v>0.96737799054125095</v>
      </c>
      <c r="R6881">
        <v>8.1546813159680696</v>
      </c>
      <c r="S6881">
        <v>197</v>
      </c>
      <c r="T6881">
        <v>61</v>
      </c>
      <c r="U6881">
        <v>366.05822640832599</v>
      </c>
      <c r="V6881">
        <v>4.0189989039093902E-3</v>
      </c>
      <c r="W6881">
        <v>1350038.4587475799</v>
      </c>
      <c r="X6881" t="s">
        <v>28</v>
      </c>
      <c r="Y6881">
        <f>1-594-763-6284</f>
        <v>-7640</v>
      </c>
    </row>
    <row r="6882" spans="1:25" x14ac:dyDescent="0.35">
      <c r="A6882">
        <v>39.180800611663201</v>
      </c>
      <c r="B6882">
        <v>-114.377825549332</v>
      </c>
      <c r="C6882" t="s">
        <v>25</v>
      </c>
      <c r="D6882">
        <v>8.8114106721544001</v>
      </c>
      <c r="E6882">
        <v>5</v>
      </c>
      <c r="F6882">
        <v>2363</v>
      </c>
      <c r="G6882">
        <v>1</v>
      </c>
      <c r="H6882">
        <v>2</v>
      </c>
      <c r="I6882">
        <v>1996</v>
      </c>
      <c r="J6882">
        <v>1</v>
      </c>
      <c r="K6882">
        <v>0</v>
      </c>
      <c r="L6882">
        <v>0</v>
      </c>
      <c r="M6882">
        <v>10</v>
      </c>
      <c r="N6882" t="s">
        <v>35</v>
      </c>
      <c r="O6882" t="s">
        <v>32</v>
      </c>
      <c r="P6882">
        <v>6.3852773986585802</v>
      </c>
      <c r="Q6882">
        <v>0.77485885619947703</v>
      </c>
      <c r="R6882">
        <v>2.2319433737394498</v>
      </c>
      <c r="S6882">
        <v>110</v>
      </c>
      <c r="T6882">
        <v>39</v>
      </c>
      <c r="U6882">
        <v>356.61642530095003</v>
      </c>
      <c r="V6882">
        <v>4.2319085907744297E-3</v>
      </c>
      <c r="W6882">
        <v>914691.23707823304</v>
      </c>
      <c r="X6882" t="s">
        <v>43</v>
      </c>
      <c r="Y6882">
        <f>1-793-945-8674</f>
        <v>-10411</v>
      </c>
    </row>
    <row r="6883" spans="1:25" x14ac:dyDescent="0.35">
      <c r="A6883">
        <v>37.217317673384201</v>
      </c>
      <c r="B6883">
        <v>-123.5979554553</v>
      </c>
      <c r="C6883" t="s">
        <v>25</v>
      </c>
      <c r="D6883">
        <v>13.751456323977701</v>
      </c>
      <c r="E6883">
        <v>7</v>
      </c>
      <c r="F6883">
        <v>1517</v>
      </c>
      <c r="G6883">
        <v>1</v>
      </c>
      <c r="H6883">
        <v>2</v>
      </c>
      <c r="I6883">
        <v>2000</v>
      </c>
      <c r="J6883">
        <v>1</v>
      </c>
      <c r="K6883">
        <v>1</v>
      </c>
      <c r="L6883">
        <v>0</v>
      </c>
      <c r="M6883">
        <v>5</v>
      </c>
      <c r="N6883" t="s">
        <v>37</v>
      </c>
      <c r="O6883" t="s">
        <v>30</v>
      </c>
      <c r="P6883">
        <v>7.7055135275755102</v>
      </c>
      <c r="Q6883">
        <v>0.703064651082842</v>
      </c>
      <c r="R6883">
        <v>0.80048306525725699</v>
      </c>
      <c r="S6883">
        <v>159</v>
      </c>
      <c r="T6883">
        <v>43</v>
      </c>
      <c r="U6883">
        <v>232.36689225156701</v>
      </c>
      <c r="V6883">
        <v>3.2959789057350002E-3</v>
      </c>
      <c r="W6883">
        <v>622976.76795052504</v>
      </c>
      <c r="X6883" t="s">
        <v>28</v>
      </c>
      <c r="Y6883">
        <f>1-294-475-9982</f>
        <v>-10750</v>
      </c>
    </row>
    <row r="6884" spans="1:25" x14ac:dyDescent="0.35">
      <c r="A6884">
        <v>39.384963140890598</v>
      </c>
      <c r="B6884">
        <v>-122.80637174820799</v>
      </c>
      <c r="C6884" t="s">
        <v>25</v>
      </c>
      <c r="D6884">
        <v>40.911565183940901</v>
      </c>
      <c r="E6884">
        <v>1</v>
      </c>
      <c r="F6884">
        <v>3939</v>
      </c>
      <c r="G6884">
        <v>2</v>
      </c>
      <c r="H6884">
        <v>1</v>
      </c>
      <c r="I6884">
        <v>2015</v>
      </c>
      <c r="J6884">
        <v>0</v>
      </c>
      <c r="K6884">
        <v>0</v>
      </c>
      <c r="L6884">
        <v>0</v>
      </c>
      <c r="M6884">
        <v>4</v>
      </c>
      <c r="N6884" t="s">
        <v>37</v>
      </c>
      <c r="O6884" t="s">
        <v>30</v>
      </c>
      <c r="P6884">
        <v>14.4590088079407</v>
      </c>
      <c r="Q6884">
        <v>0.674477569710356</v>
      </c>
      <c r="R6884">
        <v>6.60499202386832</v>
      </c>
      <c r="S6884">
        <v>156</v>
      </c>
      <c r="T6884">
        <v>21</v>
      </c>
      <c r="U6884">
        <v>380.845296782194</v>
      </c>
      <c r="V6884">
        <v>1.0154861640010099E-3</v>
      </c>
      <c r="W6884">
        <v>1729731.2707151701</v>
      </c>
      <c r="X6884" t="s">
        <v>38</v>
      </c>
      <c r="Y6884">
        <f>1-905-279-7968</f>
        <v>-9151</v>
      </c>
    </row>
    <row r="6885" spans="1:25" x14ac:dyDescent="0.35">
      <c r="A6885">
        <v>41.5488660471947</v>
      </c>
      <c r="B6885">
        <v>-124.16126115712299</v>
      </c>
      <c r="C6885" t="s">
        <v>29</v>
      </c>
      <c r="D6885">
        <v>20.4367283497633</v>
      </c>
      <c r="E6885">
        <v>5</v>
      </c>
      <c r="F6885">
        <v>3726</v>
      </c>
      <c r="G6885">
        <v>5</v>
      </c>
      <c r="H6885">
        <v>1</v>
      </c>
      <c r="I6885">
        <v>2018</v>
      </c>
      <c r="J6885">
        <v>1</v>
      </c>
      <c r="K6885">
        <v>1</v>
      </c>
      <c r="L6885">
        <v>0</v>
      </c>
      <c r="M6885">
        <v>3</v>
      </c>
      <c r="N6885" t="s">
        <v>41</v>
      </c>
      <c r="O6885" t="s">
        <v>32</v>
      </c>
      <c r="P6885">
        <v>11.305303262556</v>
      </c>
      <c r="Q6885">
        <v>1.7809184169549701</v>
      </c>
      <c r="R6885">
        <v>8.8946719617906993</v>
      </c>
      <c r="S6885">
        <v>83</v>
      </c>
      <c r="T6885">
        <v>20</v>
      </c>
      <c r="U6885">
        <v>696.61070165910598</v>
      </c>
      <c r="V6885">
        <v>8.05152979066022E-4</v>
      </c>
      <c r="W6885">
        <v>3030586.9288316201</v>
      </c>
      <c r="X6885" t="s">
        <v>36</v>
      </c>
      <c r="Y6885">
        <f>1-397-634-5152</f>
        <v>-6182</v>
      </c>
    </row>
    <row r="6886" spans="1:25" x14ac:dyDescent="0.35">
      <c r="A6886">
        <v>34.817788390453003</v>
      </c>
      <c r="B6886">
        <v>-117.16787046700701</v>
      </c>
      <c r="C6886" t="s">
        <v>29</v>
      </c>
      <c r="D6886">
        <v>38.038323058304897</v>
      </c>
      <c r="E6886">
        <v>6</v>
      </c>
      <c r="F6886">
        <v>4221</v>
      </c>
      <c r="G6886">
        <v>2</v>
      </c>
      <c r="H6886">
        <v>1</v>
      </c>
      <c r="I6886">
        <v>1960</v>
      </c>
      <c r="J6886">
        <v>1</v>
      </c>
      <c r="K6886">
        <v>1</v>
      </c>
      <c r="L6886">
        <v>1</v>
      </c>
      <c r="M6886">
        <v>11</v>
      </c>
      <c r="N6886" t="s">
        <v>35</v>
      </c>
      <c r="O6886" t="s">
        <v>32</v>
      </c>
      <c r="P6886">
        <v>8.5604139309673304</v>
      </c>
      <c r="Q6886">
        <v>0.59312906561350398</v>
      </c>
      <c r="R6886">
        <v>4.8083843570628702</v>
      </c>
      <c r="S6886">
        <v>46</v>
      </c>
      <c r="T6886">
        <v>70</v>
      </c>
      <c r="U6886">
        <v>894.200286627428</v>
      </c>
      <c r="V6886">
        <v>2.6060175313906602E-3</v>
      </c>
      <c r="W6886">
        <v>4161517.6483596498</v>
      </c>
      <c r="X6886" t="s">
        <v>44</v>
      </c>
      <c r="Y6886">
        <f>1-918-792-4291</f>
        <v>-6000</v>
      </c>
    </row>
    <row r="6887" spans="1:25" x14ac:dyDescent="0.35">
      <c r="A6887">
        <v>34.224014126081201</v>
      </c>
      <c r="B6887">
        <v>-118.448494924541</v>
      </c>
      <c r="C6887" t="s">
        <v>25</v>
      </c>
      <c r="D6887">
        <v>22.623491674758299</v>
      </c>
      <c r="E6887">
        <v>6</v>
      </c>
      <c r="F6887">
        <v>2106</v>
      </c>
      <c r="G6887">
        <v>1</v>
      </c>
      <c r="H6887">
        <v>3</v>
      </c>
      <c r="I6887">
        <v>1987</v>
      </c>
      <c r="J6887">
        <v>1</v>
      </c>
      <c r="K6887">
        <v>0</v>
      </c>
      <c r="L6887">
        <v>1</v>
      </c>
      <c r="M6887">
        <v>5</v>
      </c>
      <c r="N6887" t="s">
        <v>37</v>
      </c>
      <c r="O6887" t="s">
        <v>32</v>
      </c>
      <c r="P6887">
        <v>9.4880885302574303</v>
      </c>
      <c r="Q6887">
        <v>0.81857368091359695</v>
      </c>
      <c r="R6887">
        <v>4.9269260994847297</v>
      </c>
      <c r="S6887">
        <v>180</v>
      </c>
      <c r="T6887">
        <v>44</v>
      </c>
      <c r="U6887">
        <v>213.56348296573</v>
      </c>
      <c r="V6887">
        <v>2.3741690408357E-3</v>
      </c>
      <c r="W6887">
        <v>652399.51283178199</v>
      </c>
      <c r="X6887" t="s">
        <v>36</v>
      </c>
      <c r="Y6887">
        <f>1-756-847-8022</f>
        <v>-9624</v>
      </c>
    </row>
    <row r="6888" spans="1:25" x14ac:dyDescent="0.35">
      <c r="A6888">
        <v>33.014890731765497</v>
      </c>
      <c r="B6888">
        <v>-116.968187194294</v>
      </c>
      <c r="C6888" t="s">
        <v>34</v>
      </c>
      <c r="D6888">
        <v>9.3743141790993896</v>
      </c>
      <c r="E6888">
        <v>1</v>
      </c>
      <c r="F6888">
        <v>1699</v>
      </c>
      <c r="G6888">
        <v>1</v>
      </c>
      <c r="H6888">
        <v>1</v>
      </c>
      <c r="I6888">
        <v>2002</v>
      </c>
      <c r="J6888">
        <v>0</v>
      </c>
      <c r="K6888">
        <v>0</v>
      </c>
      <c r="L6888">
        <v>0</v>
      </c>
      <c r="M6888">
        <v>8</v>
      </c>
      <c r="N6888" t="s">
        <v>26</v>
      </c>
      <c r="O6888" t="s">
        <v>30</v>
      </c>
      <c r="P6888">
        <v>9.8077354450021392</v>
      </c>
      <c r="Q6888">
        <v>2.3538715420689198</v>
      </c>
      <c r="R6888">
        <v>8.9257534812584698</v>
      </c>
      <c r="S6888">
        <v>163</v>
      </c>
      <c r="T6888">
        <v>56</v>
      </c>
      <c r="U6888">
        <v>941.37222213768098</v>
      </c>
      <c r="V6888">
        <v>4.7086521483225398E-3</v>
      </c>
      <c r="W6888">
        <v>1776252.9105575201</v>
      </c>
      <c r="X6888" t="s">
        <v>33</v>
      </c>
      <c r="Y6888">
        <f>1-392-541-5785</f>
        <v>-6717</v>
      </c>
    </row>
    <row r="6889" spans="1:25" x14ac:dyDescent="0.35">
      <c r="A6889">
        <v>38.560085972761399</v>
      </c>
      <c r="B6889">
        <v>-118.03474482746</v>
      </c>
      <c r="C6889" t="s">
        <v>29</v>
      </c>
      <c r="D6889">
        <v>15.826915350210101</v>
      </c>
      <c r="E6889">
        <v>0</v>
      </c>
      <c r="F6889">
        <v>4918</v>
      </c>
      <c r="G6889">
        <v>1</v>
      </c>
      <c r="H6889">
        <v>3</v>
      </c>
      <c r="I6889">
        <v>1968</v>
      </c>
      <c r="J6889">
        <v>0</v>
      </c>
      <c r="K6889">
        <v>0</v>
      </c>
      <c r="L6889">
        <v>1</v>
      </c>
      <c r="M6889">
        <v>11</v>
      </c>
      <c r="N6889" t="s">
        <v>41</v>
      </c>
      <c r="O6889" t="s">
        <v>32</v>
      </c>
      <c r="P6889">
        <v>10.900255032232501</v>
      </c>
      <c r="Q6889">
        <v>1.5911112396720799</v>
      </c>
      <c r="R6889">
        <v>8.5495824560110307</v>
      </c>
      <c r="S6889">
        <v>15</v>
      </c>
      <c r="T6889">
        <v>39</v>
      </c>
      <c r="U6889">
        <v>523.07357367962902</v>
      </c>
      <c r="V6889">
        <v>2.23668157787718E-3</v>
      </c>
      <c r="W6889">
        <v>2863815.0835413099</v>
      </c>
      <c r="X6889" t="s">
        <v>42</v>
      </c>
      <c r="Y6889">
        <f>1-402-755-3615</f>
        <v>-4771</v>
      </c>
    </row>
    <row r="6890" spans="1:25" x14ac:dyDescent="0.35">
      <c r="A6890">
        <v>41.406027122639102</v>
      </c>
      <c r="B6890">
        <v>-121.02115772354399</v>
      </c>
      <c r="C6890" t="s">
        <v>34</v>
      </c>
      <c r="D6890">
        <v>42.485710862241397</v>
      </c>
      <c r="E6890">
        <v>4</v>
      </c>
      <c r="F6890">
        <v>697</v>
      </c>
      <c r="G6890">
        <v>4</v>
      </c>
      <c r="H6890">
        <v>2</v>
      </c>
      <c r="I6890">
        <v>1964</v>
      </c>
      <c r="J6890">
        <v>1</v>
      </c>
      <c r="K6890">
        <v>0</v>
      </c>
      <c r="L6890">
        <v>0</v>
      </c>
      <c r="M6890">
        <v>11</v>
      </c>
      <c r="N6890" t="s">
        <v>35</v>
      </c>
      <c r="O6890" t="s">
        <v>30</v>
      </c>
      <c r="P6890">
        <v>3.1788002770941599</v>
      </c>
      <c r="Q6890">
        <v>1.2354457248167701</v>
      </c>
      <c r="R6890">
        <v>2.8667897115766898</v>
      </c>
      <c r="S6890">
        <v>78</v>
      </c>
      <c r="T6890">
        <v>36</v>
      </c>
      <c r="U6890">
        <v>321.49637468746698</v>
      </c>
      <c r="V6890">
        <v>1.57819225251076E-2</v>
      </c>
      <c r="W6890">
        <v>437340.51620913303</v>
      </c>
      <c r="X6890" t="s">
        <v>44</v>
      </c>
      <c r="Y6890">
        <f>1-228-898-2208</f>
        <v>-3333</v>
      </c>
    </row>
    <row r="6891" spans="1:25" x14ac:dyDescent="0.35">
      <c r="A6891">
        <v>41.453705912913698</v>
      </c>
      <c r="B6891">
        <v>-116.625482615865</v>
      </c>
      <c r="C6891" t="s">
        <v>29</v>
      </c>
      <c r="D6891">
        <v>3.44984875600524</v>
      </c>
      <c r="E6891">
        <v>3</v>
      </c>
      <c r="F6891">
        <v>1763</v>
      </c>
      <c r="G6891">
        <v>3</v>
      </c>
      <c r="H6891">
        <v>3</v>
      </c>
      <c r="I6891">
        <v>2015</v>
      </c>
      <c r="J6891">
        <v>0</v>
      </c>
      <c r="K6891">
        <v>1</v>
      </c>
      <c r="L6891">
        <v>1</v>
      </c>
      <c r="M6891">
        <v>4</v>
      </c>
      <c r="N6891" t="s">
        <v>41</v>
      </c>
      <c r="O6891" t="s">
        <v>30</v>
      </c>
      <c r="P6891">
        <v>11.684781760048899</v>
      </c>
      <c r="Q6891">
        <v>1.1638945288267999</v>
      </c>
      <c r="R6891">
        <v>3.03430985848573</v>
      </c>
      <c r="S6891">
        <v>134</v>
      </c>
      <c r="T6891">
        <v>50</v>
      </c>
      <c r="U6891">
        <v>308.41193165123701</v>
      </c>
      <c r="V6891">
        <v>2.2688598979013E-3</v>
      </c>
      <c r="W6891">
        <v>990749.54939524003</v>
      </c>
      <c r="X6891" t="s">
        <v>38</v>
      </c>
      <c r="Y6891">
        <f>1-683-828-5517</f>
        <v>-7027</v>
      </c>
    </row>
    <row r="6892" spans="1:25" x14ac:dyDescent="0.35">
      <c r="A6892">
        <v>39.622416318704303</v>
      </c>
      <c r="B6892">
        <v>-116.89169735490999</v>
      </c>
      <c r="C6892" t="s">
        <v>34</v>
      </c>
      <c r="D6892">
        <v>47.331747000946102</v>
      </c>
      <c r="E6892">
        <v>7</v>
      </c>
      <c r="F6892">
        <v>2268</v>
      </c>
      <c r="G6892">
        <v>2</v>
      </c>
      <c r="H6892">
        <v>1</v>
      </c>
      <c r="I6892">
        <v>2018</v>
      </c>
      <c r="J6892">
        <v>1</v>
      </c>
      <c r="K6892">
        <v>1</v>
      </c>
      <c r="L6892">
        <v>1</v>
      </c>
      <c r="M6892">
        <v>6</v>
      </c>
      <c r="N6892" t="s">
        <v>37</v>
      </c>
      <c r="O6892" t="s">
        <v>30</v>
      </c>
      <c r="P6892">
        <v>9.7105885659703706</v>
      </c>
      <c r="Q6892">
        <v>0.55143864616652905</v>
      </c>
      <c r="R6892">
        <v>4.3897777410330203</v>
      </c>
      <c r="S6892">
        <v>162</v>
      </c>
      <c r="T6892">
        <v>55</v>
      </c>
      <c r="U6892">
        <v>453.13394113804401</v>
      </c>
      <c r="V6892">
        <v>2.6455026455026402E-3</v>
      </c>
      <c r="W6892">
        <v>1400170.1665389501</v>
      </c>
      <c r="X6892" t="s">
        <v>38</v>
      </c>
      <c r="Y6892">
        <f>1-238-292-2232</f>
        <v>-2761</v>
      </c>
    </row>
    <row r="6893" spans="1:25" x14ac:dyDescent="0.35">
      <c r="A6893">
        <v>32.942059808334797</v>
      </c>
      <c r="B6893">
        <v>-120.87827531725399</v>
      </c>
      <c r="C6893" t="s">
        <v>34</v>
      </c>
      <c r="D6893">
        <v>40.056080358279097</v>
      </c>
      <c r="E6893">
        <v>6</v>
      </c>
      <c r="F6893">
        <v>3179</v>
      </c>
      <c r="G6893">
        <v>4</v>
      </c>
      <c r="H6893">
        <v>3</v>
      </c>
      <c r="I6893">
        <v>1958</v>
      </c>
      <c r="J6893">
        <v>0</v>
      </c>
      <c r="K6893">
        <v>1</v>
      </c>
      <c r="L6893">
        <v>1</v>
      </c>
      <c r="M6893">
        <v>10</v>
      </c>
      <c r="N6893" t="s">
        <v>35</v>
      </c>
      <c r="O6893" t="s">
        <v>30</v>
      </c>
      <c r="P6893">
        <v>6.7001357914142297</v>
      </c>
      <c r="Q6893">
        <v>0.83626528260853705</v>
      </c>
      <c r="R6893">
        <v>9.0134676016798494</v>
      </c>
      <c r="S6893">
        <v>190</v>
      </c>
      <c r="T6893">
        <v>50</v>
      </c>
      <c r="U6893">
        <v>869.35579062765601</v>
      </c>
      <c r="V6893">
        <v>3.1456432840515801E-3</v>
      </c>
      <c r="W6893">
        <v>3109589.34623359</v>
      </c>
      <c r="X6893" t="s">
        <v>39</v>
      </c>
      <c r="Y6893">
        <f>1-793-290-5078</f>
        <v>-6160</v>
      </c>
    </row>
    <row r="6894" spans="1:25" x14ac:dyDescent="0.35">
      <c r="A6894">
        <v>36.733039517830697</v>
      </c>
      <c r="B6894">
        <v>-117.33988662270001</v>
      </c>
      <c r="C6894" t="s">
        <v>34</v>
      </c>
      <c r="D6894">
        <v>42.982369750189797</v>
      </c>
      <c r="E6894">
        <v>9</v>
      </c>
      <c r="F6894">
        <v>678</v>
      </c>
      <c r="G6894">
        <v>2</v>
      </c>
      <c r="H6894">
        <v>1</v>
      </c>
      <c r="I6894">
        <v>1982</v>
      </c>
      <c r="J6894">
        <v>0</v>
      </c>
      <c r="K6894">
        <v>1</v>
      </c>
      <c r="L6894">
        <v>1</v>
      </c>
      <c r="M6894">
        <v>13</v>
      </c>
      <c r="N6894" t="s">
        <v>26</v>
      </c>
      <c r="O6894" t="s">
        <v>27</v>
      </c>
      <c r="P6894">
        <v>8.4654712089100901</v>
      </c>
      <c r="Q6894">
        <v>2.0617874597828201</v>
      </c>
      <c r="R6894">
        <v>2.18308745839883</v>
      </c>
      <c r="S6894">
        <v>69</v>
      </c>
      <c r="T6894">
        <v>35</v>
      </c>
      <c r="U6894">
        <v>961.04494243420902</v>
      </c>
      <c r="V6894">
        <v>1.91740412979351E-2</v>
      </c>
      <c r="W6894">
        <v>839248.29755093204</v>
      </c>
      <c r="X6894" t="s">
        <v>44</v>
      </c>
      <c r="Y6894">
        <f>1-815-557-9313</f>
        <v>-10684</v>
      </c>
    </row>
    <row r="6895" spans="1:25" x14ac:dyDescent="0.35">
      <c r="A6895">
        <v>38.604940641525403</v>
      </c>
      <c r="B6895">
        <v>-120.45432629671301</v>
      </c>
      <c r="C6895" t="s">
        <v>25</v>
      </c>
      <c r="D6895">
        <v>46.7927015615493</v>
      </c>
      <c r="E6895">
        <v>7</v>
      </c>
      <c r="F6895">
        <v>4944</v>
      </c>
      <c r="G6895">
        <v>1</v>
      </c>
      <c r="H6895">
        <v>1</v>
      </c>
      <c r="I6895">
        <v>1953</v>
      </c>
      <c r="J6895">
        <v>0</v>
      </c>
      <c r="K6895">
        <v>0</v>
      </c>
      <c r="L6895">
        <v>1</v>
      </c>
      <c r="M6895">
        <v>10</v>
      </c>
      <c r="N6895" t="s">
        <v>41</v>
      </c>
      <c r="O6895" t="s">
        <v>32</v>
      </c>
      <c r="P6895">
        <v>13.8827950723909</v>
      </c>
      <c r="Q6895">
        <v>1.74790092244666</v>
      </c>
      <c r="R6895">
        <v>6.5207593238158497</v>
      </c>
      <c r="S6895">
        <v>37</v>
      </c>
      <c r="T6895">
        <v>65</v>
      </c>
      <c r="U6895">
        <v>581.33361504880804</v>
      </c>
      <c r="V6895">
        <v>2.0226537216828399E-3</v>
      </c>
      <c r="W6895">
        <v>3024208.5425957199</v>
      </c>
      <c r="X6895" t="s">
        <v>28</v>
      </c>
      <c r="Y6895">
        <f>1-621-720-6772</f>
        <v>-8112</v>
      </c>
    </row>
    <row r="6896" spans="1:25" x14ac:dyDescent="0.35">
      <c r="A6896">
        <v>35.148240676658901</v>
      </c>
      <c r="B6896">
        <v>-117.083675348588</v>
      </c>
      <c r="C6896" t="s">
        <v>25</v>
      </c>
      <c r="D6896">
        <v>31.964029783161301</v>
      </c>
      <c r="E6896">
        <v>7</v>
      </c>
      <c r="F6896">
        <v>4780</v>
      </c>
      <c r="G6896">
        <v>5</v>
      </c>
      <c r="H6896">
        <v>1</v>
      </c>
      <c r="I6896">
        <v>1988</v>
      </c>
      <c r="J6896">
        <v>1</v>
      </c>
      <c r="K6896">
        <v>0</v>
      </c>
      <c r="L6896">
        <v>0</v>
      </c>
      <c r="M6896">
        <v>4</v>
      </c>
      <c r="N6896" t="s">
        <v>35</v>
      </c>
      <c r="O6896" t="s">
        <v>30</v>
      </c>
      <c r="P6896">
        <v>12.684210975005501</v>
      </c>
      <c r="Q6896">
        <v>0.81959993605881398</v>
      </c>
      <c r="R6896">
        <v>2.2192480524648301</v>
      </c>
      <c r="S6896">
        <v>17</v>
      </c>
      <c r="T6896">
        <v>55</v>
      </c>
      <c r="U6896">
        <v>457.06412833764699</v>
      </c>
      <c r="V6896">
        <v>8.3682008368200799E-4</v>
      </c>
      <c r="W6896">
        <v>2519221.7549932902</v>
      </c>
      <c r="X6896" t="s">
        <v>40</v>
      </c>
      <c r="Y6896">
        <f>1-708-778-6542</f>
        <v>-8027</v>
      </c>
    </row>
    <row r="6897" spans="1:25" x14ac:dyDescent="0.35">
      <c r="A6897">
        <v>37.372508519453703</v>
      </c>
      <c r="B6897">
        <v>-114.531421914625</v>
      </c>
      <c r="C6897" t="s">
        <v>25</v>
      </c>
      <c r="D6897">
        <v>42.445604666193901</v>
      </c>
      <c r="E6897">
        <v>4</v>
      </c>
      <c r="F6897">
        <v>3957</v>
      </c>
      <c r="G6897">
        <v>2</v>
      </c>
      <c r="H6897">
        <v>2</v>
      </c>
      <c r="I6897">
        <v>1975</v>
      </c>
      <c r="J6897">
        <v>1</v>
      </c>
      <c r="K6897">
        <v>1</v>
      </c>
      <c r="L6897">
        <v>0</v>
      </c>
      <c r="M6897">
        <v>7</v>
      </c>
      <c r="N6897" t="s">
        <v>37</v>
      </c>
      <c r="O6897" t="s">
        <v>30</v>
      </c>
      <c r="P6897">
        <v>14.3824123489924</v>
      </c>
      <c r="Q6897">
        <v>0.69716641112448796</v>
      </c>
      <c r="R6897">
        <v>3.4178209193301199</v>
      </c>
      <c r="S6897">
        <v>157</v>
      </c>
      <c r="T6897">
        <v>58</v>
      </c>
      <c r="U6897">
        <v>702.558056481054</v>
      </c>
      <c r="V6897">
        <v>1.7690169320192001E-3</v>
      </c>
      <c r="W6897">
        <v>3100036.45964074</v>
      </c>
      <c r="X6897" t="s">
        <v>42</v>
      </c>
      <c r="Y6897">
        <f>1-739-329-7220</f>
        <v>-8287</v>
      </c>
    </row>
    <row r="6898" spans="1:25" x14ac:dyDescent="0.35">
      <c r="A6898">
        <v>34.3763225061575</v>
      </c>
      <c r="B6898">
        <v>-119.662365298289</v>
      </c>
      <c r="C6898" t="s">
        <v>29</v>
      </c>
      <c r="D6898">
        <v>41.999995868697702</v>
      </c>
      <c r="E6898">
        <v>1</v>
      </c>
      <c r="F6898">
        <v>3308</v>
      </c>
      <c r="G6898">
        <v>4</v>
      </c>
      <c r="H6898">
        <v>3</v>
      </c>
      <c r="I6898">
        <v>1966</v>
      </c>
      <c r="J6898">
        <v>1</v>
      </c>
      <c r="K6898">
        <v>1</v>
      </c>
      <c r="L6898">
        <v>1</v>
      </c>
      <c r="M6898">
        <v>8</v>
      </c>
      <c r="N6898" t="s">
        <v>41</v>
      </c>
      <c r="O6898" t="s">
        <v>27</v>
      </c>
      <c r="P6898">
        <v>14.295625398362001</v>
      </c>
      <c r="Q6898">
        <v>2.2959601774870499</v>
      </c>
      <c r="R6898">
        <v>2.71958460371747</v>
      </c>
      <c r="S6898">
        <v>128</v>
      </c>
      <c r="T6898">
        <v>47</v>
      </c>
      <c r="U6898">
        <v>333.88462181948103</v>
      </c>
      <c r="V6898">
        <v>2.4183796856106399E-3</v>
      </c>
      <c r="W6898">
        <v>1557633.4139481001</v>
      </c>
      <c r="X6898" t="s">
        <v>36</v>
      </c>
      <c r="Y6898">
        <f>1-301-635-3685</f>
        <v>-4620</v>
      </c>
    </row>
    <row r="6899" spans="1:25" x14ac:dyDescent="0.35">
      <c r="A6899">
        <v>33.131438566126398</v>
      </c>
      <c r="B6899">
        <v>-119.61344903476</v>
      </c>
      <c r="C6899" t="s">
        <v>34</v>
      </c>
      <c r="D6899">
        <v>4.62966592422032</v>
      </c>
      <c r="E6899">
        <v>8</v>
      </c>
      <c r="F6899">
        <v>1433</v>
      </c>
      <c r="G6899">
        <v>5</v>
      </c>
      <c r="H6899">
        <v>1</v>
      </c>
      <c r="I6899">
        <v>1996</v>
      </c>
      <c r="J6899">
        <v>1</v>
      </c>
      <c r="K6899">
        <v>0</v>
      </c>
      <c r="L6899">
        <v>1</v>
      </c>
      <c r="M6899">
        <v>6</v>
      </c>
      <c r="N6899" t="s">
        <v>41</v>
      </c>
      <c r="O6899" t="s">
        <v>30</v>
      </c>
      <c r="P6899">
        <v>13.456253027091501</v>
      </c>
      <c r="Q6899">
        <v>1.83149220565785</v>
      </c>
      <c r="R6899">
        <v>3.9243168966001001</v>
      </c>
      <c r="S6899">
        <v>76</v>
      </c>
      <c r="T6899">
        <v>75</v>
      </c>
      <c r="U6899">
        <v>424.40985746945</v>
      </c>
      <c r="V6899">
        <v>4.1870202372644803E-3</v>
      </c>
      <c r="W6899">
        <v>1027483.4907909801</v>
      </c>
      <c r="X6899" t="s">
        <v>43</v>
      </c>
      <c r="Y6899">
        <f>1-748-956-6185</f>
        <v>-7888</v>
      </c>
    </row>
    <row r="6900" spans="1:25" x14ac:dyDescent="0.35">
      <c r="A6900">
        <v>33.576026484967699</v>
      </c>
      <c r="B6900">
        <v>-121.264400219935</v>
      </c>
      <c r="C6900" t="s">
        <v>29</v>
      </c>
      <c r="D6900">
        <v>49.785909947483901</v>
      </c>
      <c r="E6900">
        <v>4</v>
      </c>
      <c r="F6900">
        <v>4666</v>
      </c>
      <c r="G6900">
        <v>3</v>
      </c>
      <c r="H6900">
        <v>3</v>
      </c>
      <c r="I6900">
        <v>2006</v>
      </c>
      <c r="J6900">
        <v>1</v>
      </c>
      <c r="K6900">
        <v>1</v>
      </c>
      <c r="L6900">
        <v>0</v>
      </c>
      <c r="M6900">
        <v>12</v>
      </c>
      <c r="N6900" t="s">
        <v>26</v>
      </c>
      <c r="O6900" t="s">
        <v>32</v>
      </c>
      <c r="P6900">
        <v>11.5548850317651</v>
      </c>
      <c r="Q6900">
        <v>2.4728092870150502</v>
      </c>
      <c r="R6900">
        <v>0.20387449535820201</v>
      </c>
      <c r="S6900">
        <v>124</v>
      </c>
      <c r="T6900">
        <v>73</v>
      </c>
      <c r="U6900">
        <v>692.18944336281197</v>
      </c>
      <c r="V6900">
        <v>2.57179597085297E-3</v>
      </c>
      <c r="W6900">
        <v>3708217.3977762102</v>
      </c>
      <c r="X6900" t="s">
        <v>33</v>
      </c>
      <c r="Y6900">
        <f>1-881-728-6197</f>
        <v>-7805</v>
      </c>
    </row>
    <row r="6901" spans="1:25" x14ac:dyDescent="0.35">
      <c r="A6901">
        <v>32.805950707725799</v>
      </c>
      <c r="B6901">
        <v>-117.641991108808</v>
      </c>
      <c r="C6901" t="s">
        <v>29</v>
      </c>
      <c r="D6901">
        <v>2.4174712143736699</v>
      </c>
      <c r="E6901">
        <v>3</v>
      </c>
      <c r="F6901">
        <v>3711</v>
      </c>
      <c r="G6901">
        <v>1</v>
      </c>
      <c r="H6901">
        <v>3</v>
      </c>
      <c r="I6901">
        <v>2012</v>
      </c>
      <c r="J6901">
        <v>0</v>
      </c>
      <c r="K6901">
        <v>1</v>
      </c>
      <c r="L6901">
        <v>0</v>
      </c>
      <c r="M6901">
        <v>8</v>
      </c>
      <c r="N6901" t="s">
        <v>41</v>
      </c>
      <c r="O6901" t="s">
        <v>32</v>
      </c>
      <c r="P6901">
        <v>11.693276189964299</v>
      </c>
      <c r="Q6901">
        <v>2.1893968655051799</v>
      </c>
      <c r="R6901">
        <v>5.7561492317667504</v>
      </c>
      <c r="S6901">
        <v>119</v>
      </c>
      <c r="T6901">
        <v>69</v>
      </c>
      <c r="U6901">
        <v>953.45269048166404</v>
      </c>
      <c r="V6901">
        <v>2.1557531662624598E-3</v>
      </c>
      <c r="W6901">
        <v>3873026.2643812099</v>
      </c>
      <c r="X6901" t="s">
        <v>40</v>
      </c>
      <c r="Y6901">
        <f>1-561-703-4456</f>
        <v>-5719</v>
      </c>
    </row>
    <row r="6902" spans="1:25" x14ac:dyDescent="0.35">
      <c r="A6902">
        <v>41.592572922191202</v>
      </c>
      <c r="B6902">
        <v>-118.989031196403</v>
      </c>
      <c r="C6902" t="s">
        <v>34</v>
      </c>
      <c r="D6902">
        <v>21.101298462300701</v>
      </c>
      <c r="E6902">
        <v>9</v>
      </c>
      <c r="F6902">
        <v>4973</v>
      </c>
      <c r="G6902">
        <v>3</v>
      </c>
      <c r="H6902">
        <v>1</v>
      </c>
      <c r="I6902">
        <v>1974</v>
      </c>
      <c r="J6902">
        <v>1</v>
      </c>
      <c r="K6902">
        <v>1</v>
      </c>
      <c r="L6902">
        <v>1</v>
      </c>
      <c r="M6902">
        <v>14</v>
      </c>
      <c r="N6902" t="s">
        <v>35</v>
      </c>
      <c r="O6902" t="s">
        <v>27</v>
      </c>
      <c r="P6902">
        <v>3.1180813743488098</v>
      </c>
      <c r="Q6902">
        <v>0.85119433809426703</v>
      </c>
      <c r="R6902">
        <v>4.7426549831489204</v>
      </c>
      <c r="S6902">
        <v>136</v>
      </c>
      <c r="T6902">
        <v>39</v>
      </c>
      <c r="U6902">
        <v>253.552567456042</v>
      </c>
      <c r="V6902">
        <v>2.8152020912929798E-3</v>
      </c>
      <c r="W6902">
        <v>1464100.4631636001</v>
      </c>
      <c r="X6902" t="s">
        <v>28</v>
      </c>
      <c r="Y6902">
        <f>1-553-371-3382</f>
        <v>-4305</v>
      </c>
    </row>
    <row r="6903" spans="1:25" x14ac:dyDescent="0.35">
      <c r="A6903">
        <v>36.427176860584702</v>
      </c>
      <c r="B6903">
        <v>-118.03572678895399</v>
      </c>
      <c r="C6903" t="s">
        <v>29</v>
      </c>
      <c r="D6903">
        <v>22.5566841845766</v>
      </c>
      <c r="E6903">
        <v>8</v>
      </c>
      <c r="F6903">
        <v>1067</v>
      </c>
      <c r="G6903">
        <v>5</v>
      </c>
      <c r="H6903">
        <v>3</v>
      </c>
      <c r="I6903">
        <v>1990</v>
      </c>
      <c r="J6903">
        <v>0</v>
      </c>
      <c r="K6903">
        <v>1</v>
      </c>
      <c r="L6903">
        <v>0</v>
      </c>
      <c r="M6903">
        <v>13</v>
      </c>
      <c r="N6903" t="s">
        <v>37</v>
      </c>
      <c r="O6903" t="s">
        <v>27</v>
      </c>
      <c r="P6903">
        <v>12.747021920403499</v>
      </c>
      <c r="Q6903">
        <v>2.0663279567786299</v>
      </c>
      <c r="R6903">
        <v>4.7122327107949502</v>
      </c>
      <c r="S6903">
        <v>16</v>
      </c>
      <c r="T6903">
        <v>70</v>
      </c>
      <c r="U6903">
        <v>369.13296906853401</v>
      </c>
      <c r="V6903">
        <v>1.21836925960637E-2</v>
      </c>
      <c r="W6903">
        <v>839441.24013592105</v>
      </c>
      <c r="X6903" t="s">
        <v>42</v>
      </c>
      <c r="Y6903">
        <f>1-359-550-9403</f>
        <v>-10311</v>
      </c>
    </row>
    <row r="6904" spans="1:25" x14ac:dyDescent="0.35">
      <c r="A6904">
        <v>33.429055760604697</v>
      </c>
      <c r="B6904">
        <v>-115.880460980637</v>
      </c>
      <c r="C6904" t="s">
        <v>29</v>
      </c>
      <c r="D6904">
        <v>47.496684714260297</v>
      </c>
      <c r="E6904">
        <v>8</v>
      </c>
      <c r="F6904">
        <v>4472</v>
      </c>
      <c r="G6904">
        <v>5</v>
      </c>
      <c r="H6904">
        <v>1</v>
      </c>
      <c r="I6904">
        <v>1960</v>
      </c>
      <c r="J6904">
        <v>0</v>
      </c>
      <c r="K6904">
        <v>1</v>
      </c>
      <c r="L6904">
        <v>1</v>
      </c>
      <c r="M6904">
        <v>7</v>
      </c>
      <c r="N6904" t="s">
        <v>41</v>
      </c>
      <c r="O6904" t="s">
        <v>32</v>
      </c>
      <c r="P6904">
        <v>3.9353102330673999</v>
      </c>
      <c r="Q6904">
        <v>1.9081895235834001</v>
      </c>
      <c r="R6904">
        <v>7.9166431436540696</v>
      </c>
      <c r="S6904">
        <v>44</v>
      </c>
      <c r="T6904">
        <v>70</v>
      </c>
      <c r="U6904">
        <v>625.93653768334195</v>
      </c>
      <c r="V6904">
        <v>1.56529516994633E-3</v>
      </c>
      <c r="W6904">
        <v>3041233.83329973</v>
      </c>
      <c r="X6904" t="s">
        <v>40</v>
      </c>
      <c r="Y6904">
        <f>1-316-616-6950</f>
        <v>-7881</v>
      </c>
    </row>
    <row r="6905" spans="1:25" x14ac:dyDescent="0.35">
      <c r="A6905">
        <v>36.034541785854898</v>
      </c>
      <c r="B6905">
        <v>-120.63850998322199</v>
      </c>
      <c r="C6905" t="s">
        <v>25</v>
      </c>
      <c r="D6905">
        <v>8.0109883506034798</v>
      </c>
      <c r="E6905">
        <v>6</v>
      </c>
      <c r="F6905">
        <v>1004</v>
      </c>
      <c r="G6905">
        <v>2</v>
      </c>
      <c r="H6905">
        <v>3</v>
      </c>
      <c r="I6905">
        <v>1959</v>
      </c>
      <c r="J6905">
        <v>0</v>
      </c>
      <c r="K6905">
        <v>1</v>
      </c>
      <c r="L6905">
        <v>1</v>
      </c>
      <c r="M6905">
        <v>13</v>
      </c>
      <c r="N6905" t="s">
        <v>26</v>
      </c>
      <c r="O6905" t="s">
        <v>32</v>
      </c>
      <c r="P6905">
        <v>10.784775238346</v>
      </c>
      <c r="Q6905">
        <v>1.0708893880033501</v>
      </c>
      <c r="R6905">
        <v>7.1512440782359201</v>
      </c>
      <c r="S6905">
        <v>8</v>
      </c>
      <c r="T6905">
        <v>54</v>
      </c>
      <c r="U6905">
        <v>960.24987162611797</v>
      </c>
      <c r="V6905">
        <v>1.29482071713147E-2</v>
      </c>
      <c r="W6905">
        <v>1260753.4108020801</v>
      </c>
      <c r="X6905" t="s">
        <v>33</v>
      </c>
      <c r="Y6905">
        <f>1-209-885-2503</f>
        <v>-3596</v>
      </c>
    </row>
    <row r="6906" spans="1:25" x14ac:dyDescent="0.35">
      <c r="A6906">
        <v>39.188978670629503</v>
      </c>
      <c r="B6906">
        <v>-114.358342642727</v>
      </c>
      <c r="C6906" t="s">
        <v>34</v>
      </c>
      <c r="D6906">
        <v>2.8118002470081498</v>
      </c>
      <c r="E6906">
        <v>6</v>
      </c>
      <c r="F6906">
        <v>3428</v>
      </c>
      <c r="G6906">
        <v>3</v>
      </c>
      <c r="H6906">
        <v>1</v>
      </c>
      <c r="I6906">
        <v>2019</v>
      </c>
      <c r="J6906">
        <v>1</v>
      </c>
      <c r="K6906">
        <v>0</v>
      </c>
      <c r="L6906">
        <v>1</v>
      </c>
      <c r="M6906">
        <v>4</v>
      </c>
      <c r="N6906" t="s">
        <v>37</v>
      </c>
      <c r="O6906" t="s">
        <v>27</v>
      </c>
      <c r="P6906">
        <v>7.4183275069415204</v>
      </c>
      <c r="Q6906">
        <v>0.82749931329276305</v>
      </c>
      <c r="R6906">
        <v>9.9180922397078302</v>
      </c>
      <c r="S6906">
        <v>89</v>
      </c>
      <c r="T6906">
        <v>21</v>
      </c>
      <c r="U6906">
        <v>261.40123205760898</v>
      </c>
      <c r="V6906">
        <v>1.1668611435239199E-3</v>
      </c>
      <c r="W6906">
        <v>1177002.45069428</v>
      </c>
      <c r="X6906" t="s">
        <v>28</v>
      </c>
      <c r="Y6906">
        <f>1-319-988-8205</f>
        <v>-9511</v>
      </c>
    </row>
    <row r="6907" spans="1:25" x14ac:dyDescent="0.35">
      <c r="A6907">
        <v>39.339305578825297</v>
      </c>
      <c r="B6907">
        <v>-115.871410187758</v>
      </c>
      <c r="C6907" t="s">
        <v>25</v>
      </c>
      <c r="D6907">
        <v>47.922214766332097</v>
      </c>
      <c r="E6907">
        <v>5</v>
      </c>
      <c r="F6907">
        <v>4200</v>
      </c>
      <c r="G6907">
        <v>3</v>
      </c>
      <c r="H6907">
        <v>2</v>
      </c>
      <c r="I6907">
        <v>2005</v>
      </c>
      <c r="J6907">
        <v>1</v>
      </c>
      <c r="K6907">
        <v>0</v>
      </c>
      <c r="L6907">
        <v>1</v>
      </c>
      <c r="M6907">
        <v>2</v>
      </c>
      <c r="N6907" t="s">
        <v>26</v>
      </c>
      <c r="O6907" t="s">
        <v>32</v>
      </c>
      <c r="P6907">
        <v>7.8399373859125401</v>
      </c>
      <c r="Q6907">
        <v>1.7410554005879599</v>
      </c>
      <c r="R6907">
        <v>9.5568797622428505</v>
      </c>
      <c r="S6907">
        <v>46</v>
      </c>
      <c r="T6907">
        <v>69</v>
      </c>
      <c r="U6907">
        <v>515.67897116135896</v>
      </c>
      <c r="V6907">
        <v>4.7619047619047597E-4</v>
      </c>
      <c r="W6907">
        <v>2475385.7258325098</v>
      </c>
      <c r="X6907" t="s">
        <v>31</v>
      </c>
      <c r="Y6907">
        <f>1-348-852-6007</f>
        <v>-7206</v>
      </c>
    </row>
    <row r="6908" spans="1:25" x14ac:dyDescent="0.35">
      <c r="A6908">
        <v>34.897148735034399</v>
      </c>
      <c r="B6908">
        <v>-114.066357219095</v>
      </c>
      <c r="C6908" t="s">
        <v>34</v>
      </c>
      <c r="D6908">
        <v>3.6308541199709201</v>
      </c>
      <c r="E6908">
        <v>4</v>
      </c>
      <c r="F6908">
        <v>1492</v>
      </c>
      <c r="G6908">
        <v>1</v>
      </c>
      <c r="H6908">
        <v>1</v>
      </c>
      <c r="I6908">
        <v>2002</v>
      </c>
      <c r="J6908">
        <v>1</v>
      </c>
      <c r="K6908">
        <v>1</v>
      </c>
      <c r="L6908">
        <v>0</v>
      </c>
      <c r="M6908">
        <v>4</v>
      </c>
      <c r="N6908" t="s">
        <v>41</v>
      </c>
      <c r="O6908" t="s">
        <v>32</v>
      </c>
      <c r="P6908">
        <v>4.9768232337360896</v>
      </c>
      <c r="Q6908">
        <v>0.87356590500242104</v>
      </c>
      <c r="R6908">
        <v>7.95677043890867</v>
      </c>
      <c r="S6908">
        <v>1</v>
      </c>
      <c r="T6908">
        <v>24</v>
      </c>
      <c r="U6908">
        <v>491.97731309136901</v>
      </c>
      <c r="V6908">
        <v>2.6809651474530801E-3</v>
      </c>
      <c r="W6908">
        <v>890466.25388581201</v>
      </c>
      <c r="X6908" t="s">
        <v>28</v>
      </c>
      <c r="Y6908">
        <f>1-309-139-7035</f>
        <v>-7482</v>
      </c>
    </row>
    <row r="6909" spans="1:25" x14ac:dyDescent="0.35">
      <c r="A6909">
        <v>40.5761858813636</v>
      </c>
      <c r="B6909">
        <v>-122.65901801093599</v>
      </c>
      <c r="C6909" t="s">
        <v>29</v>
      </c>
      <c r="D6909">
        <v>27.6396807424012</v>
      </c>
      <c r="E6909">
        <v>2</v>
      </c>
      <c r="F6909">
        <v>2211</v>
      </c>
      <c r="G6909">
        <v>2</v>
      </c>
      <c r="H6909">
        <v>3</v>
      </c>
      <c r="I6909">
        <v>2001</v>
      </c>
      <c r="J6909">
        <v>0</v>
      </c>
      <c r="K6909">
        <v>0</v>
      </c>
      <c r="L6909">
        <v>1</v>
      </c>
      <c r="M6909">
        <v>14</v>
      </c>
      <c r="N6909" t="s">
        <v>35</v>
      </c>
      <c r="O6909" t="s">
        <v>27</v>
      </c>
      <c r="P6909">
        <v>11.7332653806174</v>
      </c>
      <c r="Q6909">
        <v>1.53647832249897</v>
      </c>
      <c r="R6909">
        <v>3.8492699093641498</v>
      </c>
      <c r="S6909">
        <v>175</v>
      </c>
      <c r="T6909">
        <v>68</v>
      </c>
      <c r="U6909">
        <v>391.97103496837099</v>
      </c>
      <c r="V6909">
        <v>6.3319764812302098E-3</v>
      </c>
      <c r="W6909">
        <v>1087488.9488673799</v>
      </c>
      <c r="X6909" t="s">
        <v>38</v>
      </c>
      <c r="Y6909">
        <f>1-795-591-8688</f>
        <v>-10073</v>
      </c>
    </row>
    <row r="6910" spans="1:25" x14ac:dyDescent="0.35">
      <c r="A6910">
        <v>37.007637576363301</v>
      </c>
      <c r="B6910">
        <v>-122.09503199551401</v>
      </c>
      <c r="C6910" t="s">
        <v>34</v>
      </c>
      <c r="D6910">
        <v>27.948582656610501</v>
      </c>
      <c r="E6910">
        <v>7</v>
      </c>
      <c r="F6910">
        <v>4128</v>
      </c>
      <c r="G6910">
        <v>4</v>
      </c>
      <c r="H6910">
        <v>2</v>
      </c>
      <c r="I6910">
        <v>1960</v>
      </c>
      <c r="J6910">
        <v>0</v>
      </c>
      <c r="K6910">
        <v>0</v>
      </c>
      <c r="L6910">
        <v>0</v>
      </c>
      <c r="M6910">
        <v>2</v>
      </c>
      <c r="N6910" t="s">
        <v>35</v>
      </c>
      <c r="O6910" t="s">
        <v>27</v>
      </c>
      <c r="P6910">
        <v>6.6873539610403796</v>
      </c>
      <c r="Q6910">
        <v>2.4113287146978499</v>
      </c>
      <c r="R6910">
        <v>4.5835942963012499</v>
      </c>
      <c r="S6910">
        <v>36</v>
      </c>
      <c r="T6910">
        <v>72</v>
      </c>
      <c r="U6910">
        <v>449.86710415677999</v>
      </c>
      <c r="V6910">
        <v>4.8449612403100699E-4</v>
      </c>
      <c r="W6910">
        <v>2016952.5028481099</v>
      </c>
      <c r="X6910" t="s">
        <v>44</v>
      </c>
      <c r="Y6910">
        <f>1-872-981-2372</f>
        <v>-4224</v>
      </c>
    </row>
    <row r="6911" spans="1:25" x14ac:dyDescent="0.35">
      <c r="A6911">
        <v>36.848375806139302</v>
      </c>
      <c r="B6911">
        <v>-114.17550545383</v>
      </c>
      <c r="C6911" t="s">
        <v>34</v>
      </c>
      <c r="D6911">
        <v>36.854095717621099</v>
      </c>
      <c r="E6911">
        <v>1</v>
      </c>
      <c r="F6911">
        <v>607</v>
      </c>
      <c r="G6911">
        <v>1</v>
      </c>
      <c r="H6911">
        <v>2</v>
      </c>
      <c r="I6911">
        <v>2011</v>
      </c>
      <c r="J6911">
        <v>0</v>
      </c>
      <c r="K6911">
        <v>1</v>
      </c>
      <c r="L6911">
        <v>1</v>
      </c>
      <c r="M6911">
        <v>14</v>
      </c>
      <c r="N6911" t="s">
        <v>37</v>
      </c>
      <c r="O6911" t="s">
        <v>32</v>
      </c>
      <c r="P6911">
        <v>2.3872852901609201</v>
      </c>
      <c r="Q6911">
        <v>1.7991429782144099</v>
      </c>
      <c r="R6911">
        <v>1.14290804767448</v>
      </c>
      <c r="S6911">
        <v>69</v>
      </c>
      <c r="T6911">
        <v>42</v>
      </c>
      <c r="U6911">
        <v>381.72367042623102</v>
      </c>
      <c r="V6911">
        <v>2.3064250411861598E-2</v>
      </c>
      <c r="W6911">
        <v>453104.98027972202</v>
      </c>
      <c r="X6911" t="s">
        <v>43</v>
      </c>
      <c r="Y6911">
        <f>1-424-282-4478</f>
        <v>-5183</v>
      </c>
    </row>
    <row r="6912" spans="1:25" x14ac:dyDescent="0.35">
      <c r="A6912">
        <v>33.407589838896499</v>
      </c>
      <c r="B6912">
        <v>-124.475071402124</v>
      </c>
      <c r="C6912" t="s">
        <v>34</v>
      </c>
      <c r="D6912">
        <v>21.909635930655401</v>
      </c>
      <c r="E6912">
        <v>1</v>
      </c>
      <c r="F6912">
        <v>2561</v>
      </c>
      <c r="G6912">
        <v>5</v>
      </c>
      <c r="H6912">
        <v>3</v>
      </c>
      <c r="I6912">
        <v>1991</v>
      </c>
      <c r="J6912">
        <v>0</v>
      </c>
      <c r="K6912">
        <v>1</v>
      </c>
      <c r="L6912">
        <v>1</v>
      </c>
      <c r="M6912">
        <v>8</v>
      </c>
      <c r="N6912" t="s">
        <v>26</v>
      </c>
      <c r="O6912" t="s">
        <v>27</v>
      </c>
      <c r="P6912">
        <v>11.6903557051101</v>
      </c>
      <c r="Q6912">
        <v>1.96202651323988</v>
      </c>
      <c r="R6912">
        <v>0.43189290938354302</v>
      </c>
      <c r="S6912">
        <v>103</v>
      </c>
      <c r="T6912">
        <v>68</v>
      </c>
      <c r="U6912">
        <v>433.32052410223201</v>
      </c>
      <c r="V6912">
        <v>3.12377977352596E-3</v>
      </c>
      <c r="W6912">
        <v>1632146.6892927601</v>
      </c>
      <c r="X6912" t="s">
        <v>28</v>
      </c>
      <c r="Y6912">
        <f>1-790-847-9744</f>
        <v>-11380</v>
      </c>
    </row>
    <row r="6913" spans="1:25" x14ac:dyDescent="0.35">
      <c r="A6913">
        <v>37.014283899297503</v>
      </c>
      <c r="B6913">
        <v>-122.717854425398</v>
      </c>
      <c r="C6913" t="s">
        <v>34</v>
      </c>
      <c r="D6913">
        <v>22.333367288716399</v>
      </c>
      <c r="E6913">
        <v>8</v>
      </c>
      <c r="F6913">
        <v>4615</v>
      </c>
      <c r="G6913">
        <v>3</v>
      </c>
      <c r="H6913">
        <v>2</v>
      </c>
      <c r="I6913">
        <v>1983</v>
      </c>
      <c r="J6913">
        <v>1</v>
      </c>
      <c r="K6913">
        <v>0</v>
      </c>
      <c r="L6913">
        <v>1</v>
      </c>
      <c r="M6913">
        <v>9</v>
      </c>
      <c r="N6913" t="s">
        <v>41</v>
      </c>
      <c r="O6913" t="s">
        <v>30</v>
      </c>
      <c r="P6913">
        <v>8.1104870144793395</v>
      </c>
      <c r="Q6913">
        <v>2.3914825728146898</v>
      </c>
      <c r="R6913">
        <v>6.30277971366705</v>
      </c>
      <c r="S6913">
        <v>141</v>
      </c>
      <c r="T6913">
        <v>74</v>
      </c>
      <c r="U6913">
        <v>616.00361412380403</v>
      </c>
      <c r="V6913">
        <v>1.95016251354279E-3</v>
      </c>
      <c r="W6913">
        <v>3025543.4628638998</v>
      </c>
      <c r="X6913" t="s">
        <v>38</v>
      </c>
      <c r="Y6913">
        <f>1-649-887-2707</f>
        <v>-4242</v>
      </c>
    </row>
    <row r="6914" spans="1:25" x14ac:dyDescent="0.35">
      <c r="A6914">
        <v>38.800103165294601</v>
      </c>
      <c r="B6914">
        <v>-120.646946970665</v>
      </c>
      <c r="C6914" t="s">
        <v>29</v>
      </c>
      <c r="D6914">
        <v>7.5363154583921403</v>
      </c>
      <c r="E6914">
        <v>1</v>
      </c>
      <c r="F6914">
        <v>4665</v>
      </c>
      <c r="G6914">
        <v>2</v>
      </c>
      <c r="H6914">
        <v>2</v>
      </c>
      <c r="I6914">
        <v>1961</v>
      </c>
      <c r="J6914">
        <v>1</v>
      </c>
      <c r="K6914">
        <v>1</v>
      </c>
      <c r="L6914">
        <v>1</v>
      </c>
      <c r="M6914">
        <v>5</v>
      </c>
      <c r="N6914" t="s">
        <v>37</v>
      </c>
      <c r="O6914" t="s">
        <v>27</v>
      </c>
      <c r="P6914">
        <v>11.752780624559501</v>
      </c>
      <c r="Q6914">
        <v>1.3433950371296199</v>
      </c>
      <c r="R6914">
        <v>0.25406010882015101</v>
      </c>
      <c r="S6914">
        <v>12</v>
      </c>
      <c r="T6914">
        <v>39</v>
      </c>
      <c r="U6914">
        <v>659.24671768057306</v>
      </c>
      <c r="V6914">
        <v>1.07181136120042E-3</v>
      </c>
      <c r="W6914">
        <v>3431612.1179492199</v>
      </c>
      <c r="X6914" t="s">
        <v>42</v>
      </c>
      <c r="Y6914">
        <f>1-823-100-1981</f>
        <v>-2903</v>
      </c>
    </row>
    <row r="6915" spans="1:25" x14ac:dyDescent="0.35">
      <c r="A6915">
        <v>37.298045751078497</v>
      </c>
      <c r="B6915">
        <v>-120.963499784915</v>
      </c>
      <c r="C6915" t="s">
        <v>29</v>
      </c>
      <c r="D6915">
        <v>18.028930104883202</v>
      </c>
      <c r="E6915">
        <v>2</v>
      </c>
      <c r="F6915">
        <v>2078</v>
      </c>
      <c r="G6915">
        <v>3</v>
      </c>
      <c r="H6915">
        <v>2</v>
      </c>
      <c r="I6915">
        <v>1997</v>
      </c>
      <c r="J6915">
        <v>0</v>
      </c>
      <c r="K6915">
        <v>0</v>
      </c>
      <c r="L6915">
        <v>1</v>
      </c>
      <c r="M6915">
        <v>11</v>
      </c>
      <c r="N6915" t="s">
        <v>26</v>
      </c>
      <c r="O6915" t="s">
        <v>30</v>
      </c>
      <c r="P6915">
        <v>11.7549337984919</v>
      </c>
      <c r="Q6915">
        <v>2.0716251424032399</v>
      </c>
      <c r="R6915">
        <v>8.7227467296851202</v>
      </c>
      <c r="S6915">
        <v>151</v>
      </c>
      <c r="T6915">
        <v>76</v>
      </c>
      <c r="U6915">
        <v>940.33629847538998</v>
      </c>
      <c r="V6915">
        <v>5.2935514918190504E-3</v>
      </c>
      <c r="W6915">
        <v>2205478.79384998</v>
      </c>
      <c r="X6915" t="s">
        <v>40</v>
      </c>
      <c r="Y6915">
        <f>1-942-998-5165</f>
        <v>-7104</v>
      </c>
    </row>
    <row r="6916" spans="1:25" x14ac:dyDescent="0.35">
      <c r="A6916">
        <v>33.693177323978098</v>
      </c>
      <c r="B6916">
        <v>-118.52959173507701</v>
      </c>
      <c r="C6916" t="s">
        <v>34</v>
      </c>
      <c r="D6916">
        <v>26.0949115547355</v>
      </c>
      <c r="E6916">
        <v>9</v>
      </c>
      <c r="F6916">
        <v>921</v>
      </c>
      <c r="G6916">
        <v>5</v>
      </c>
      <c r="H6916">
        <v>3</v>
      </c>
      <c r="I6916">
        <v>1995</v>
      </c>
      <c r="J6916">
        <v>0</v>
      </c>
      <c r="K6916">
        <v>1</v>
      </c>
      <c r="L6916">
        <v>1</v>
      </c>
      <c r="M6916">
        <v>9</v>
      </c>
      <c r="N6916" t="s">
        <v>37</v>
      </c>
      <c r="O6916" t="s">
        <v>30</v>
      </c>
      <c r="P6916">
        <v>6.23399348304984</v>
      </c>
      <c r="Q6916">
        <v>1.9201668372160099</v>
      </c>
      <c r="R6916">
        <v>4.0317460464387898</v>
      </c>
      <c r="S6916">
        <v>52</v>
      </c>
      <c r="T6916">
        <v>56</v>
      </c>
      <c r="U6916">
        <v>271.28483057747002</v>
      </c>
      <c r="V6916">
        <v>9.7719869706840295E-3</v>
      </c>
      <c r="W6916">
        <v>795303.30752303998</v>
      </c>
      <c r="X6916" t="s">
        <v>33</v>
      </c>
      <c r="Y6916">
        <f>1-826-105-5019</f>
        <v>-5949</v>
      </c>
    </row>
    <row r="6917" spans="1:25" x14ac:dyDescent="0.35">
      <c r="A6917">
        <v>33.251466145446003</v>
      </c>
      <c r="B6917">
        <v>-122.39057401394101</v>
      </c>
      <c r="C6917" t="s">
        <v>34</v>
      </c>
      <c r="D6917">
        <v>1.02631614554368</v>
      </c>
      <c r="E6917">
        <v>8</v>
      </c>
      <c r="F6917">
        <v>1585</v>
      </c>
      <c r="G6917">
        <v>3</v>
      </c>
      <c r="H6917">
        <v>2</v>
      </c>
      <c r="I6917">
        <v>1998</v>
      </c>
      <c r="J6917">
        <v>0</v>
      </c>
      <c r="K6917">
        <v>1</v>
      </c>
      <c r="L6917">
        <v>1</v>
      </c>
      <c r="M6917">
        <v>14</v>
      </c>
      <c r="N6917" t="s">
        <v>41</v>
      </c>
      <c r="O6917" t="s">
        <v>30</v>
      </c>
      <c r="P6917">
        <v>2.6953955438933201</v>
      </c>
      <c r="Q6917">
        <v>1.64981487785826</v>
      </c>
      <c r="R6917">
        <v>8.1108747520360902E-2</v>
      </c>
      <c r="S6917">
        <v>170</v>
      </c>
      <c r="T6917">
        <v>79</v>
      </c>
      <c r="U6917">
        <v>368.31011782475298</v>
      </c>
      <c r="V6917">
        <v>8.8328075709779106E-3</v>
      </c>
      <c r="W6917">
        <v>863895.53423169104</v>
      </c>
      <c r="X6917" t="s">
        <v>42</v>
      </c>
      <c r="Y6917">
        <f>1-201-729-8620</f>
        <v>-9549</v>
      </c>
    </row>
    <row r="6918" spans="1:25" x14ac:dyDescent="0.35">
      <c r="A6918">
        <v>32.5140814397677</v>
      </c>
      <c r="B6918">
        <v>-124.271373041678</v>
      </c>
      <c r="C6918" t="s">
        <v>29</v>
      </c>
      <c r="D6918">
        <v>4.7788653349291499</v>
      </c>
      <c r="E6918">
        <v>3</v>
      </c>
      <c r="F6918">
        <v>2465</v>
      </c>
      <c r="G6918">
        <v>5</v>
      </c>
      <c r="H6918">
        <v>2</v>
      </c>
      <c r="I6918">
        <v>2007</v>
      </c>
      <c r="J6918">
        <v>0</v>
      </c>
      <c r="K6918">
        <v>1</v>
      </c>
      <c r="L6918">
        <v>0</v>
      </c>
      <c r="M6918">
        <v>10</v>
      </c>
      <c r="N6918" t="s">
        <v>37</v>
      </c>
      <c r="O6918" t="s">
        <v>30</v>
      </c>
      <c r="P6918">
        <v>7.1809379427972502</v>
      </c>
      <c r="Q6918">
        <v>1.9770647827675201</v>
      </c>
      <c r="R6918">
        <v>3.2299730624207998</v>
      </c>
      <c r="S6918">
        <v>122</v>
      </c>
      <c r="T6918">
        <v>34</v>
      </c>
      <c r="U6918">
        <v>332.80137904089497</v>
      </c>
      <c r="V6918">
        <v>4.05679513184584E-3</v>
      </c>
      <c r="W6918">
        <v>1239521.18096473</v>
      </c>
      <c r="X6918" t="s">
        <v>39</v>
      </c>
      <c r="Y6918">
        <f>1-976-129-7997</f>
        <v>-9101</v>
      </c>
    </row>
    <row r="6919" spans="1:25" x14ac:dyDescent="0.35">
      <c r="A6919">
        <v>38.383874447213898</v>
      </c>
      <c r="B6919">
        <v>-119.596819937044</v>
      </c>
      <c r="C6919" t="s">
        <v>29</v>
      </c>
      <c r="D6919">
        <v>14.2830816381656</v>
      </c>
      <c r="E6919">
        <v>2</v>
      </c>
      <c r="F6919">
        <v>1455</v>
      </c>
      <c r="G6919">
        <v>5</v>
      </c>
      <c r="H6919">
        <v>3</v>
      </c>
      <c r="I6919">
        <v>1960</v>
      </c>
      <c r="J6919">
        <v>0</v>
      </c>
      <c r="K6919">
        <v>0</v>
      </c>
      <c r="L6919">
        <v>1</v>
      </c>
      <c r="M6919">
        <v>12</v>
      </c>
      <c r="N6919" t="s">
        <v>35</v>
      </c>
      <c r="O6919" t="s">
        <v>32</v>
      </c>
      <c r="P6919">
        <v>4.85973271275176</v>
      </c>
      <c r="Q6919">
        <v>2.1892685979628101</v>
      </c>
      <c r="R6919">
        <v>3.2239849450128402</v>
      </c>
      <c r="S6919">
        <v>72</v>
      </c>
      <c r="T6919">
        <v>43</v>
      </c>
      <c r="U6919">
        <v>416.36182513403799</v>
      </c>
      <c r="V6919">
        <v>8.2474226804123696E-3</v>
      </c>
      <c r="W6919">
        <v>917759.84737252898</v>
      </c>
      <c r="X6919" t="s">
        <v>44</v>
      </c>
      <c r="Y6919">
        <f>1-669-809-2130</f>
        <v>-3607</v>
      </c>
    </row>
    <row r="6920" spans="1:25" x14ac:dyDescent="0.35">
      <c r="A6920">
        <v>41.7277041438333</v>
      </c>
      <c r="B6920">
        <v>-121.914644408404</v>
      </c>
      <c r="C6920" t="s">
        <v>25</v>
      </c>
      <c r="D6920">
        <v>7.3809952970092096</v>
      </c>
      <c r="E6920">
        <v>7</v>
      </c>
      <c r="F6920">
        <v>1691</v>
      </c>
      <c r="G6920">
        <v>3</v>
      </c>
      <c r="H6920">
        <v>2</v>
      </c>
      <c r="I6920">
        <v>1969</v>
      </c>
      <c r="J6920">
        <v>0</v>
      </c>
      <c r="K6920">
        <v>1</v>
      </c>
      <c r="L6920">
        <v>0</v>
      </c>
      <c r="M6920">
        <v>6</v>
      </c>
      <c r="N6920" t="s">
        <v>37</v>
      </c>
      <c r="O6920" t="s">
        <v>32</v>
      </c>
      <c r="P6920">
        <v>11.931854456829599</v>
      </c>
      <c r="Q6920">
        <v>1.76742472961487</v>
      </c>
      <c r="R6920">
        <v>5.0350870437704396</v>
      </c>
      <c r="S6920">
        <v>189</v>
      </c>
      <c r="T6920">
        <v>29</v>
      </c>
      <c r="U6920">
        <v>400.39246198788101</v>
      </c>
      <c r="V6920">
        <v>3.5481963335304502E-3</v>
      </c>
      <c r="W6920">
        <v>1003907.13752852</v>
      </c>
      <c r="X6920" t="s">
        <v>33</v>
      </c>
      <c r="Y6920">
        <f>1-480-904-4765</f>
        <v>-6148</v>
      </c>
    </row>
    <row r="6921" spans="1:25" x14ac:dyDescent="0.35">
      <c r="A6921">
        <v>38.414283223356897</v>
      </c>
      <c r="B6921">
        <v>-116.949162738296</v>
      </c>
      <c r="C6921" t="s">
        <v>25</v>
      </c>
      <c r="D6921">
        <v>18.141105159243899</v>
      </c>
      <c r="E6921">
        <v>3</v>
      </c>
      <c r="F6921">
        <v>4233</v>
      </c>
      <c r="G6921">
        <v>5</v>
      </c>
      <c r="H6921">
        <v>1</v>
      </c>
      <c r="I6921">
        <v>2014</v>
      </c>
      <c r="J6921">
        <v>1</v>
      </c>
      <c r="K6921">
        <v>0</v>
      </c>
      <c r="L6921">
        <v>0</v>
      </c>
      <c r="M6921">
        <v>10</v>
      </c>
      <c r="N6921" t="s">
        <v>26</v>
      </c>
      <c r="O6921" t="s">
        <v>30</v>
      </c>
      <c r="P6921">
        <v>9.0905316905507405</v>
      </c>
      <c r="Q6921">
        <v>1.3957259180889501</v>
      </c>
      <c r="R6921">
        <v>8.0056131305714207</v>
      </c>
      <c r="S6921">
        <v>176</v>
      </c>
      <c r="T6921">
        <v>41</v>
      </c>
      <c r="U6921">
        <v>841.99196788496704</v>
      </c>
      <c r="V6921">
        <v>2.3623907394283001E-3</v>
      </c>
      <c r="W6921">
        <v>3897968.78206407</v>
      </c>
      <c r="X6921" t="s">
        <v>38</v>
      </c>
      <c r="Y6921">
        <f>1-493-825-8470</f>
        <v>-9787</v>
      </c>
    </row>
    <row r="6922" spans="1:25" x14ac:dyDescent="0.35">
      <c r="A6922">
        <v>33.852769241441003</v>
      </c>
      <c r="B6922">
        <v>-120.628627032241</v>
      </c>
      <c r="C6922" t="s">
        <v>34</v>
      </c>
      <c r="D6922">
        <v>30.038267948605199</v>
      </c>
      <c r="E6922">
        <v>2</v>
      </c>
      <c r="F6922">
        <v>2180</v>
      </c>
      <c r="G6922">
        <v>2</v>
      </c>
      <c r="H6922">
        <v>1</v>
      </c>
      <c r="I6922">
        <v>1988</v>
      </c>
      <c r="J6922">
        <v>1</v>
      </c>
      <c r="K6922">
        <v>1</v>
      </c>
      <c r="L6922">
        <v>0</v>
      </c>
      <c r="M6922">
        <v>8</v>
      </c>
      <c r="N6922" t="s">
        <v>26</v>
      </c>
      <c r="O6922" t="s">
        <v>27</v>
      </c>
      <c r="P6922">
        <v>2.1935070166354902</v>
      </c>
      <c r="Q6922">
        <v>1.59594567965606</v>
      </c>
      <c r="R6922">
        <v>7.7177986869008501</v>
      </c>
      <c r="S6922">
        <v>145</v>
      </c>
      <c r="T6922">
        <v>69</v>
      </c>
      <c r="U6922">
        <v>908.43211912366098</v>
      </c>
      <c r="V6922">
        <v>3.6697247706421999E-3</v>
      </c>
      <c r="W6922">
        <v>2184041.3607694702</v>
      </c>
      <c r="X6922" t="s">
        <v>38</v>
      </c>
      <c r="Y6922">
        <f>1-515-949-1490</f>
        <v>-2953</v>
      </c>
    </row>
    <row r="6923" spans="1:25" x14ac:dyDescent="0.35">
      <c r="A6923">
        <v>40.180820763274703</v>
      </c>
      <c r="B6923">
        <v>-114.18507373846801</v>
      </c>
      <c r="C6923" t="s">
        <v>25</v>
      </c>
      <c r="D6923">
        <v>45.529930897356699</v>
      </c>
      <c r="E6923">
        <v>4</v>
      </c>
      <c r="F6923">
        <v>3095</v>
      </c>
      <c r="G6923">
        <v>2</v>
      </c>
      <c r="H6923">
        <v>3</v>
      </c>
      <c r="I6923">
        <v>1988</v>
      </c>
      <c r="J6923">
        <v>1</v>
      </c>
      <c r="K6923">
        <v>1</v>
      </c>
      <c r="L6923">
        <v>0</v>
      </c>
      <c r="M6923">
        <v>3</v>
      </c>
      <c r="N6923" t="s">
        <v>35</v>
      </c>
      <c r="O6923" t="s">
        <v>30</v>
      </c>
      <c r="P6923">
        <v>12.1659768727054</v>
      </c>
      <c r="Q6923">
        <v>1.7269900525327699</v>
      </c>
      <c r="R6923">
        <v>5.1580392097539498</v>
      </c>
      <c r="S6923">
        <v>18</v>
      </c>
      <c r="T6923">
        <v>38</v>
      </c>
      <c r="U6923">
        <v>995.72016349078399</v>
      </c>
      <c r="V6923">
        <v>9.69305331179321E-4</v>
      </c>
      <c r="W6923">
        <v>3479772.4541883599</v>
      </c>
      <c r="X6923" t="s">
        <v>44</v>
      </c>
      <c r="Y6923">
        <f>1-215-517-6968</f>
        <v>-7699</v>
      </c>
    </row>
    <row r="6924" spans="1:25" x14ac:dyDescent="0.35">
      <c r="A6924">
        <v>37.568224818722598</v>
      </c>
      <c r="B6924">
        <v>-120.634583535624</v>
      </c>
      <c r="C6924" t="s">
        <v>25</v>
      </c>
      <c r="D6924">
        <v>21.390411155023301</v>
      </c>
      <c r="E6924">
        <v>6</v>
      </c>
      <c r="F6924">
        <v>722</v>
      </c>
      <c r="G6924">
        <v>3</v>
      </c>
      <c r="H6924">
        <v>1</v>
      </c>
      <c r="I6924">
        <v>1982</v>
      </c>
      <c r="J6924">
        <v>0</v>
      </c>
      <c r="K6924">
        <v>0</v>
      </c>
      <c r="L6924">
        <v>0</v>
      </c>
      <c r="M6924">
        <v>14</v>
      </c>
      <c r="N6924" t="s">
        <v>35</v>
      </c>
      <c r="O6924" t="s">
        <v>27</v>
      </c>
      <c r="P6924">
        <v>13.9916538163629</v>
      </c>
      <c r="Q6924">
        <v>1.74193704926913</v>
      </c>
      <c r="R6924">
        <v>2.3337588111857501</v>
      </c>
      <c r="S6924">
        <v>44</v>
      </c>
      <c r="T6924">
        <v>76</v>
      </c>
      <c r="U6924">
        <v>912.25733560587003</v>
      </c>
      <c r="V6924">
        <v>1.9390581717451501E-2</v>
      </c>
      <c r="W6924">
        <v>895490.74866629497</v>
      </c>
      <c r="X6924" t="s">
        <v>39</v>
      </c>
      <c r="Y6924">
        <f>1-940-208-1972</f>
        <v>-3119</v>
      </c>
    </row>
    <row r="6925" spans="1:25" x14ac:dyDescent="0.35">
      <c r="A6925">
        <v>35.350108493506703</v>
      </c>
      <c r="B6925">
        <v>-114.931997403895</v>
      </c>
      <c r="C6925" t="s">
        <v>25</v>
      </c>
      <c r="D6925">
        <v>32.467527087091703</v>
      </c>
      <c r="E6925">
        <v>3</v>
      </c>
      <c r="F6925">
        <v>926</v>
      </c>
      <c r="G6925">
        <v>5</v>
      </c>
      <c r="H6925">
        <v>3</v>
      </c>
      <c r="I6925">
        <v>1968</v>
      </c>
      <c r="J6925">
        <v>0</v>
      </c>
      <c r="K6925">
        <v>1</v>
      </c>
      <c r="L6925">
        <v>1</v>
      </c>
      <c r="M6925">
        <v>7</v>
      </c>
      <c r="N6925" t="s">
        <v>37</v>
      </c>
      <c r="O6925" t="s">
        <v>32</v>
      </c>
      <c r="P6925">
        <v>11.8461794756139</v>
      </c>
      <c r="Q6925">
        <v>1.77262259019516</v>
      </c>
      <c r="R6925">
        <v>2.4395084445074602</v>
      </c>
      <c r="S6925">
        <v>148</v>
      </c>
      <c r="T6925">
        <v>76</v>
      </c>
      <c r="U6925">
        <v>800.86832519495499</v>
      </c>
      <c r="V6925">
        <v>7.5593952483801298E-3</v>
      </c>
      <c r="W6925">
        <v>1214049.1574249801</v>
      </c>
      <c r="X6925" t="s">
        <v>36</v>
      </c>
      <c r="Y6925">
        <f>1-488-401-1771</f>
        <v>-2659</v>
      </c>
    </row>
    <row r="6926" spans="1:25" x14ac:dyDescent="0.35">
      <c r="A6926">
        <v>35.668142975615503</v>
      </c>
      <c r="B6926">
        <v>-117.19801449214999</v>
      </c>
      <c r="C6926" t="s">
        <v>34</v>
      </c>
      <c r="D6926">
        <v>41.967505895065003</v>
      </c>
      <c r="E6926">
        <v>9</v>
      </c>
      <c r="F6926">
        <v>4586</v>
      </c>
      <c r="G6926">
        <v>4</v>
      </c>
      <c r="H6926">
        <v>1</v>
      </c>
      <c r="I6926">
        <v>1972</v>
      </c>
      <c r="J6926">
        <v>1</v>
      </c>
      <c r="K6926">
        <v>1</v>
      </c>
      <c r="L6926">
        <v>0</v>
      </c>
      <c r="M6926">
        <v>8</v>
      </c>
      <c r="N6926" t="s">
        <v>41</v>
      </c>
      <c r="O6926" t="s">
        <v>27</v>
      </c>
      <c r="P6926">
        <v>11.752316687456499</v>
      </c>
      <c r="Q6926">
        <v>0.68361972402338</v>
      </c>
      <c r="R6926">
        <v>3.2117294564661298</v>
      </c>
      <c r="S6926">
        <v>167</v>
      </c>
      <c r="T6926">
        <v>76</v>
      </c>
      <c r="U6926">
        <v>710.29020637110898</v>
      </c>
      <c r="V6926">
        <v>1.7444395987788899E-3</v>
      </c>
      <c r="W6926">
        <v>3594299.3288886901</v>
      </c>
      <c r="X6926" t="s">
        <v>31</v>
      </c>
      <c r="Y6926">
        <f>1-328-293-1131</f>
        <v>-1751</v>
      </c>
    </row>
    <row r="6927" spans="1:25" x14ac:dyDescent="0.35">
      <c r="A6927">
        <v>38.194132200858597</v>
      </c>
      <c r="B6927">
        <v>-118.368979499039</v>
      </c>
      <c r="C6927" t="s">
        <v>34</v>
      </c>
      <c r="D6927">
        <v>2.3832732768820799</v>
      </c>
      <c r="E6927">
        <v>4</v>
      </c>
      <c r="F6927">
        <v>4055</v>
      </c>
      <c r="G6927">
        <v>4</v>
      </c>
      <c r="H6927">
        <v>3</v>
      </c>
      <c r="I6927">
        <v>1959</v>
      </c>
      <c r="J6927">
        <v>0</v>
      </c>
      <c r="K6927">
        <v>0</v>
      </c>
      <c r="L6927">
        <v>1</v>
      </c>
      <c r="M6927">
        <v>11</v>
      </c>
      <c r="N6927" t="s">
        <v>26</v>
      </c>
      <c r="O6927" t="s">
        <v>30</v>
      </c>
      <c r="P6927">
        <v>9.2458847969327191</v>
      </c>
      <c r="Q6927">
        <v>0.79638746644502301</v>
      </c>
      <c r="R6927">
        <v>7.40074251264104</v>
      </c>
      <c r="S6927">
        <v>110</v>
      </c>
      <c r="T6927">
        <v>56</v>
      </c>
      <c r="U6927">
        <v>724.08313864608999</v>
      </c>
      <c r="V6927">
        <v>2.7127003699136802E-3</v>
      </c>
      <c r="W6927">
        <v>3163719.9052786301</v>
      </c>
      <c r="X6927" t="s">
        <v>43</v>
      </c>
      <c r="Y6927">
        <f>1-252-744-2085</f>
        <v>-3080</v>
      </c>
    </row>
    <row r="6928" spans="1:25" x14ac:dyDescent="0.35">
      <c r="A6928">
        <v>36.7438898433197</v>
      </c>
      <c r="B6928">
        <v>-118.30878303884499</v>
      </c>
      <c r="C6928" t="s">
        <v>29</v>
      </c>
      <c r="D6928">
        <v>34.930122575233099</v>
      </c>
      <c r="E6928">
        <v>0</v>
      </c>
      <c r="F6928">
        <v>3734</v>
      </c>
      <c r="G6928">
        <v>3</v>
      </c>
      <c r="H6928">
        <v>2</v>
      </c>
      <c r="I6928">
        <v>2007</v>
      </c>
      <c r="J6928">
        <v>0</v>
      </c>
      <c r="K6928">
        <v>0</v>
      </c>
      <c r="L6928">
        <v>1</v>
      </c>
      <c r="M6928">
        <v>11</v>
      </c>
      <c r="N6928" t="s">
        <v>41</v>
      </c>
      <c r="O6928" t="s">
        <v>30</v>
      </c>
      <c r="P6928">
        <v>14.1968283877133</v>
      </c>
      <c r="Q6928">
        <v>1.9414239008974401</v>
      </c>
      <c r="R6928">
        <v>5.6949465569594304</v>
      </c>
      <c r="S6928">
        <v>179</v>
      </c>
      <c r="T6928">
        <v>26</v>
      </c>
      <c r="U6928">
        <v>658.54180633916098</v>
      </c>
      <c r="V6928">
        <v>2.9459025174076001E-3</v>
      </c>
      <c r="W6928">
        <v>2728083.2762262202</v>
      </c>
      <c r="X6928" t="s">
        <v>39</v>
      </c>
      <c r="Y6928">
        <f>1-608-525-4585</f>
        <v>-5717</v>
      </c>
    </row>
    <row r="6929" spans="1:25" x14ac:dyDescent="0.35">
      <c r="A6929">
        <v>33.937111460032298</v>
      </c>
      <c r="B6929">
        <v>-122.846248888866</v>
      </c>
      <c r="C6929" t="s">
        <v>29</v>
      </c>
      <c r="D6929">
        <v>16.621531776679699</v>
      </c>
      <c r="E6929">
        <v>0</v>
      </c>
      <c r="F6929">
        <v>4655</v>
      </c>
      <c r="G6929">
        <v>5</v>
      </c>
      <c r="H6929">
        <v>2</v>
      </c>
      <c r="I6929">
        <v>1962</v>
      </c>
      <c r="J6929">
        <v>0</v>
      </c>
      <c r="K6929">
        <v>0</v>
      </c>
      <c r="L6929">
        <v>1</v>
      </c>
      <c r="M6929">
        <v>13</v>
      </c>
      <c r="N6929" t="s">
        <v>41</v>
      </c>
      <c r="O6929" t="s">
        <v>30</v>
      </c>
      <c r="P6929">
        <v>12.712553568115601</v>
      </c>
      <c r="Q6929">
        <v>1.6520042132546899</v>
      </c>
      <c r="R6929">
        <v>7.7480760558577098</v>
      </c>
      <c r="S6929">
        <v>18</v>
      </c>
      <c r="T6929">
        <v>33</v>
      </c>
      <c r="U6929">
        <v>845.14728658969398</v>
      </c>
      <c r="V6929">
        <v>2.7926960257787302E-3</v>
      </c>
      <c r="W6929">
        <v>4288284.8830114398</v>
      </c>
      <c r="X6929" t="s">
        <v>31</v>
      </c>
      <c r="Y6929">
        <f>1-819-675-5684</f>
        <v>-7177</v>
      </c>
    </row>
    <row r="6930" spans="1:25" x14ac:dyDescent="0.35">
      <c r="A6930">
        <v>33.261381134922701</v>
      </c>
      <c r="B6930">
        <v>-114.092408197225</v>
      </c>
      <c r="C6930" t="s">
        <v>25</v>
      </c>
      <c r="D6930">
        <v>39.042304490801797</v>
      </c>
      <c r="E6930">
        <v>1</v>
      </c>
      <c r="F6930">
        <v>4077</v>
      </c>
      <c r="G6930">
        <v>3</v>
      </c>
      <c r="H6930">
        <v>1</v>
      </c>
      <c r="I6930">
        <v>1968</v>
      </c>
      <c r="J6930">
        <v>1</v>
      </c>
      <c r="K6930">
        <v>1</v>
      </c>
      <c r="L6930">
        <v>0</v>
      </c>
      <c r="M6930">
        <v>10</v>
      </c>
      <c r="N6930" t="s">
        <v>35</v>
      </c>
      <c r="O6930" t="s">
        <v>32</v>
      </c>
      <c r="P6930">
        <v>3.5244638089384099</v>
      </c>
      <c r="Q6930">
        <v>0.68944210846475695</v>
      </c>
      <c r="R6930">
        <v>7.5450485364044697</v>
      </c>
      <c r="S6930">
        <v>18</v>
      </c>
      <c r="T6930">
        <v>65</v>
      </c>
      <c r="U6930">
        <v>212.12906050897399</v>
      </c>
      <c r="V6930">
        <v>2.4527839097375501E-3</v>
      </c>
      <c r="W6930">
        <v>1219794.9433444301</v>
      </c>
      <c r="X6930" t="s">
        <v>28</v>
      </c>
      <c r="Y6930">
        <f>1-867-486-2806</f>
        <v>-4158</v>
      </c>
    </row>
    <row r="6931" spans="1:25" x14ac:dyDescent="0.35">
      <c r="A6931">
        <v>39.946039802798303</v>
      </c>
      <c r="B6931">
        <v>-119.85846454077</v>
      </c>
      <c r="C6931" t="s">
        <v>25</v>
      </c>
      <c r="D6931">
        <v>8.8456650859972896</v>
      </c>
      <c r="E6931">
        <v>3</v>
      </c>
      <c r="F6931">
        <v>2595</v>
      </c>
      <c r="G6931">
        <v>2</v>
      </c>
      <c r="H6931">
        <v>2</v>
      </c>
      <c r="I6931">
        <v>1968</v>
      </c>
      <c r="J6931">
        <v>0</v>
      </c>
      <c r="K6931">
        <v>1</v>
      </c>
      <c r="L6931">
        <v>1</v>
      </c>
      <c r="M6931">
        <v>12</v>
      </c>
      <c r="N6931" t="s">
        <v>26</v>
      </c>
      <c r="O6931" t="s">
        <v>30</v>
      </c>
      <c r="P6931">
        <v>6.0388410095204401</v>
      </c>
      <c r="Q6931">
        <v>2.11609357249367</v>
      </c>
      <c r="R6931">
        <v>5.3718943556677203</v>
      </c>
      <c r="S6931">
        <v>112</v>
      </c>
      <c r="T6931">
        <v>73</v>
      </c>
      <c r="U6931">
        <v>935.76278282574106</v>
      </c>
      <c r="V6931">
        <v>4.6242774566473896E-3</v>
      </c>
      <c r="W6931">
        <v>2596488.2919461098</v>
      </c>
      <c r="X6931" t="s">
        <v>39</v>
      </c>
      <c r="Y6931">
        <f>1-968-361-6056</f>
        <v>-7384</v>
      </c>
    </row>
    <row r="6932" spans="1:25" x14ac:dyDescent="0.35">
      <c r="A6932">
        <v>33.943818751330703</v>
      </c>
      <c r="B6932">
        <v>-119.99971814652</v>
      </c>
      <c r="C6932" t="s">
        <v>34</v>
      </c>
      <c r="D6932">
        <v>40.324013676761403</v>
      </c>
      <c r="E6932">
        <v>4</v>
      </c>
      <c r="F6932">
        <v>3519</v>
      </c>
      <c r="G6932">
        <v>3</v>
      </c>
      <c r="H6932">
        <v>2</v>
      </c>
      <c r="I6932">
        <v>2017</v>
      </c>
      <c r="J6932">
        <v>0</v>
      </c>
      <c r="K6932">
        <v>0</v>
      </c>
      <c r="L6932">
        <v>0</v>
      </c>
      <c r="M6932">
        <v>3</v>
      </c>
      <c r="N6932" t="s">
        <v>37</v>
      </c>
      <c r="O6932" t="s">
        <v>30</v>
      </c>
      <c r="P6932">
        <v>4.8472503824212003</v>
      </c>
      <c r="Q6932">
        <v>0.67640369913577203</v>
      </c>
      <c r="R6932">
        <v>7.6593030434291496</v>
      </c>
      <c r="S6932">
        <v>85</v>
      </c>
      <c r="T6932">
        <v>32</v>
      </c>
      <c r="U6932">
        <v>424.97012010439897</v>
      </c>
      <c r="V6932">
        <v>8.5251491901108204E-4</v>
      </c>
      <c r="W6932">
        <v>1691978.6027629899</v>
      </c>
      <c r="X6932" t="s">
        <v>40</v>
      </c>
      <c r="Y6932">
        <f>1-390-719-4363</f>
        <v>-5471</v>
      </c>
    </row>
    <row r="6933" spans="1:25" x14ac:dyDescent="0.35">
      <c r="A6933">
        <v>34.053137177953801</v>
      </c>
      <c r="B6933">
        <v>-123.847834152218</v>
      </c>
      <c r="C6933" t="s">
        <v>29</v>
      </c>
      <c r="D6933">
        <v>17.0867018988769</v>
      </c>
      <c r="E6933">
        <v>7</v>
      </c>
      <c r="F6933">
        <v>1473</v>
      </c>
      <c r="G6933">
        <v>4</v>
      </c>
      <c r="H6933">
        <v>1</v>
      </c>
      <c r="I6933">
        <v>1997</v>
      </c>
      <c r="J6933">
        <v>0</v>
      </c>
      <c r="K6933">
        <v>0</v>
      </c>
      <c r="L6933">
        <v>1</v>
      </c>
      <c r="M6933">
        <v>14</v>
      </c>
      <c r="N6933" t="s">
        <v>37</v>
      </c>
      <c r="O6933" t="s">
        <v>32</v>
      </c>
      <c r="P6933">
        <v>11.628379869173701</v>
      </c>
      <c r="Q6933">
        <v>1.98590957256503</v>
      </c>
      <c r="R6933">
        <v>6.4862142926124298</v>
      </c>
      <c r="S6933">
        <v>165</v>
      </c>
      <c r="T6933">
        <v>67</v>
      </c>
      <c r="U6933">
        <v>371.07148905866399</v>
      </c>
      <c r="V6933">
        <v>9.50441276306856E-3</v>
      </c>
      <c r="W6933">
        <v>775206.21355299198</v>
      </c>
      <c r="X6933" t="s">
        <v>40</v>
      </c>
      <c r="Y6933">
        <f>1-857-586-4316</f>
        <v>-5758</v>
      </c>
    </row>
    <row r="6934" spans="1:25" x14ac:dyDescent="0.35">
      <c r="A6934">
        <v>33.3941993095454</v>
      </c>
      <c r="B6934">
        <v>-123.784793801796</v>
      </c>
      <c r="C6934" t="s">
        <v>25</v>
      </c>
      <c r="D6934">
        <v>11.8754456556396</v>
      </c>
      <c r="E6934">
        <v>5</v>
      </c>
      <c r="F6934">
        <v>4872</v>
      </c>
      <c r="G6934">
        <v>1</v>
      </c>
      <c r="H6934">
        <v>3</v>
      </c>
      <c r="I6934">
        <v>1950</v>
      </c>
      <c r="J6934">
        <v>0</v>
      </c>
      <c r="K6934">
        <v>1</v>
      </c>
      <c r="L6934">
        <v>0</v>
      </c>
      <c r="M6934">
        <v>7</v>
      </c>
      <c r="N6934" t="s">
        <v>35</v>
      </c>
      <c r="O6934" t="s">
        <v>32</v>
      </c>
      <c r="P6934">
        <v>14.2418642672417</v>
      </c>
      <c r="Q6934">
        <v>2.4592406772406101</v>
      </c>
      <c r="R6934">
        <v>6.98776563044441</v>
      </c>
      <c r="S6934">
        <v>39</v>
      </c>
      <c r="T6934">
        <v>39</v>
      </c>
      <c r="U6934">
        <v>826.31755155621704</v>
      </c>
      <c r="V6934">
        <v>1.4367816091953999E-3</v>
      </c>
      <c r="W6934">
        <v>4208696.9420025703</v>
      </c>
      <c r="X6934" t="s">
        <v>44</v>
      </c>
      <c r="Y6934">
        <f>1-662-646-7275</f>
        <v>-8582</v>
      </c>
    </row>
    <row r="6935" spans="1:25" x14ac:dyDescent="0.35">
      <c r="A6935">
        <v>34.455923179318297</v>
      </c>
      <c r="B6935">
        <v>-116.061667888692</v>
      </c>
      <c r="C6935" t="s">
        <v>34</v>
      </c>
      <c r="D6935">
        <v>17.161625791957199</v>
      </c>
      <c r="E6935">
        <v>7</v>
      </c>
      <c r="F6935">
        <v>1836</v>
      </c>
      <c r="G6935">
        <v>1</v>
      </c>
      <c r="H6935">
        <v>3</v>
      </c>
      <c r="I6935">
        <v>1957</v>
      </c>
      <c r="J6935">
        <v>0</v>
      </c>
      <c r="K6935">
        <v>1</v>
      </c>
      <c r="L6935">
        <v>0</v>
      </c>
      <c r="M6935">
        <v>14</v>
      </c>
      <c r="N6935" t="s">
        <v>35</v>
      </c>
      <c r="O6935" t="s">
        <v>32</v>
      </c>
      <c r="P6935">
        <v>12.657212664345501</v>
      </c>
      <c r="Q6935">
        <v>1.0170933477156501</v>
      </c>
      <c r="R6935">
        <v>0.49622799817385599</v>
      </c>
      <c r="S6935">
        <v>152</v>
      </c>
      <c r="T6935">
        <v>62</v>
      </c>
      <c r="U6935">
        <v>769.51806833108799</v>
      </c>
      <c r="V6935">
        <v>7.6252723311546798E-3</v>
      </c>
      <c r="W6935">
        <v>1665112.5441839099</v>
      </c>
      <c r="X6935" t="s">
        <v>38</v>
      </c>
      <c r="Y6935">
        <f>1-772-194-5437</f>
        <v>-6402</v>
      </c>
    </row>
    <row r="6936" spans="1:25" x14ac:dyDescent="0.35">
      <c r="A6936">
        <v>32.975438239266602</v>
      </c>
      <c r="B6936">
        <v>-116.299723598489</v>
      </c>
      <c r="C6936" t="s">
        <v>29</v>
      </c>
      <c r="D6936">
        <v>28.4966098075591</v>
      </c>
      <c r="E6936">
        <v>0</v>
      </c>
      <c r="F6936">
        <v>2057</v>
      </c>
      <c r="G6936">
        <v>4</v>
      </c>
      <c r="H6936">
        <v>3</v>
      </c>
      <c r="I6936">
        <v>1969</v>
      </c>
      <c r="J6936">
        <v>0</v>
      </c>
      <c r="K6936">
        <v>0</v>
      </c>
      <c r="L6936">
        <v>0</v>
      </c>
      <c r="M6936">
        <v>9</v>
      </c>
      <c r="N6936" t="s">
        <v>37</v>
      </c>
      <c r="O6936" t="s">
        <v>32</v>
      </c>
      <c r="P6936">
        <v>3.2968999009080102</v>
      </c>
      <c r="Q6936">
        <v>2.3912596498349901</v>
      </c>
      <c r="R6936">
        <v>2.4194812444446301</v>
      </c>
      <c r="S6936">
        <v>163</v>
      </c>
      <c r="T6936">
        <v>44</v>
      </c>
      <c r="U6936">
        <v>792.69707772346499</v>
      </c>
      <c r="V6936">
        <v>4.37530384054448E-3</v>
      </c>
      <c r="W6936">
        <v>1886993.29231822</v>
      </c>
      <c r="X6936" t="s">
        <v>33</v>
      </c>
      <c r="Y6936">
        <f>1-796-948-4094</f>
        <v>-5837</v>
      </c>
    </row>
    <row r="6937" spans="1:25" x14ac:dyDescent="0.35">
      <c r="A6937">
        <v>32.588999007924997</v>
      </c>
      <c r="B6937">
        <v>-124.094802817662</v>
      </c>
      <c r="C6937" t="s">
        <v>34</v>
      </c>
      <c r="D6937">
        <v>19.345208305739099</v>
      </c>
      <c r="E6937">
        <v>5</v>
      </c>
      <c r="F6937">
        <v>1491</v>
      </c>
      <c r="G6937">
        <v>3</v>
      </c>
      <c r="H6937">
        <v>1</v>
      </c>
      <c r="I6937">
        <v>1970</v>
      </c>
      <c r="J6937">
        <v>1</v>
      </c>
      <c r="K6937">
        <v>0</v>
      </c>
      <c r="L6937">
        <v>1</v>
      </c>
      <c r="M6937">
        <v>5</v>
      </c>
      <c r="N6937" t="s">
        <v>26</v>
      </c>
      <c r="O6937" t="s">
        <v>30</v>
      </c>
      <c r="P6937">
        <v>14.313463751153799</v>
      </c>
      <c r="Q6937">
        <v>2.49936726728775</v>
      </c>
      <c r="R6937">
        <v>8.1194785803867706</v>
      </c>
      <c r="S6937">
        <v>151</v>
      </c>
      <c r="T6937">
        <v>63</v>
      </c>
      <c r="U6937">
        <v>252.473882077528</v>
      </c>
      <c r="V6937">
        <v>3.3534540576794099E-3</v>
      </c>
      <c r="W6937">
        <v>556390.99014338804</v>
      </c>
      <c r="X6937" t="s">
        <v>33</v>
      </c>
      <c r="Y6937">
        <f>1-608-961-4918</f>
        <v>-6486</v>
      </c>
    </row>
    <row r="6938" spans="1:25" x14ac:dyDescent="0.35">
      <c r="A6938">
        <v>36.409401989548499</v>
      </c>
      <c r="B6938">
        <v>-120.19271218702001</v>
      </c>
      <c r="C6938" t="s">
        <v>25</v>
      </c>
      <c r="D6938">
        <v>40.620897760844102</v>
      </c>
      <c r="E6938">
        <v>0</v>
      </c>
      <c r="F6938">
        <v>1242</v>
      </c>
      <c r="G6938">
        <v>4</v>
      </c>
      <c r="H6938">
        <v>1</v>
      </c>
      <c r="I6938">
        <v>1983</v>
      </c>
      <c r="J6938">
        <v>0</v>
      </c>
      <c r="K6938">
        <v>1</v>
      </c>
      <c r="L6938">
        <v>1</v>
      </c>
      <c r="M6938">
        <v>7</v>
      </c>
      <c r="N6938" t="s">
        <v>37</v>
      </c>
      <c r="O6938" t="s">
        <v>30</v>
      </c>
      <c r="P6938">
        <v>5.2769878943565303</v>
      </c>
      <c r="Q6938">
        <v>2.47567907802298</v>
      </c>
      <c r="R6938">
        <v>4.1995811837388803</v>
      </c>
      <c r="S6938">
        <v>97</v>
      </c>
      <c r="T6938">
        <v>26</v>
      </c>
      <c r="U6938">
        <v>220.11545597560399</v>
      </c>
      <c r="V6938">
        <v>5.6360708534621499E-3</v>
      </c>
      <c r="W6938">
        <v>481351.60085410601</v>
      </c>
      <c r="X6938" t="s">
        <v>38</v>
      </c>
      <c r="Y6938">
        <f>1-820-333-6313</f>
        <v>-7465</v>
      </c>
    </row>
    <row r="6939" spans="1:25" x14ac:dyDescent="0.35">
      <c r="A6939">
        <v>40.724416492614601</v>
      </c>
      <c r="B6939">
        <v>-123.109071213817</v>
      </c>
      <c r="C6939" t="s">
        <v>34</v>
      </c>
      <c r="D6939">
        <v>21.3923504461583</v>
      </c>
      <c r="E6939">
        <v>5</v>
      </c>
      <c r="F6939">
        <v>3382</v>
      </c>
      <c r="G6939">
        <v>1</v>
      </c>
      <c r="H6939">
        <v>3</v>
      </c>
      <c r="I6939">
        <v>2009</v>
      </c>
      <c r="J6939">
        <v>0</v>
      </c>
      <c r="K6939">
        <v>0</v>
      </c>
      <c r="L6939">
        <v>0</v>
      </c>
      <c r="M6939">
        <v>5</v>
      </c>
      <c r="N6939" t="s">
        <v>41</v>
      </c>
      <c r="O6939" t="s">
        <v>27</v>
      </c>
      <c r="P6939">
        <v>10.5971897362737</v>
      </c>
      <c r="Q6939">
        <v>2.0508666944287999</v>
      </c>
      <c r="R6939">
        <v>8.3247121416098508</v>
      </c>
      <c r="S6939">
        <v>123</v>
      </c>
      <c r="T6939">
        <v>53</v>
      </c>
      <c r="U6939">
        <v>667.77527853062202</v>
      </c>
      <c r="V6939">
        <v>1.4784151389710201E-3</v>
      </c>
      <c r="W6939">
        <v>2489755.0674097599</v>
      </c>
      <c r="X6939" t="s">
        <v>39</v>
      </c>
      <c r="Y6939">
        <f>1-640-273-9360</f>
        <v>-10272</v>
      </c>
    </row>
    <row r="6940" spans="1:25" x14ac:dyDescent="0.35">
      <c r="A6940">
        <v>33.618099843603702</v>
      </c>
      <c r="B6940">
        <v>-115.652950363557</v>
      </c>
      <c r="C6940" t="s">
        <v>25</v>
      </c>
      <c r="D6940">
        <v>40.244100037622999</v>
      </c>
      <c r="E6940">
        <v>9</v>
      </c>
      <c r="F6940">
        <v>3713</v>
      </c>
      <c r="G6940">
        <v>4</v>
      </c>
      <c r="H6940">
        <v>2</v>
      </c>
      <c r="I6940">
        <v>1990</v>
      </c>
      <c r="J6940">
        <v>0</v>
      </c>
      <c r="K6940">
        <v>0</v>
      </c>
      <c r="L6940">
        <v>1</v>
      </c>
      <c r="M6940">
        <v>9</v>
      </c>
      <c r="N6940" t="s">
        <v>41</v>
      </c>
      <c r="O6940" t="s">
        <v>32</v>
      </c>
      <c r="P6940">
        <v>3.8135855328452801</v>
      </c>
      <c r="Q6940">
        <v>0.63267999484463999</v>
      </c>
      <c r="R6940">
        <v>0.868484312955493</v>
      </c>
      <c r="S6940">
        <v>11</v>
      </c>
      <c r="T6940">
        <v>42</v>
      </c>
      <c r="U6940">
        <v>698.55217326457296</v>
      </c>
      <c r="V6940">
        <v>2.4239159709130002E-3</v>
      </c>
      <c r="W6940">
        <v>2843119.2781736501</v>
      </c>
      <c r="X6940" t="s">
        <v>42</v>
      </c>
      <c r="Y6940">
        <f>1-434-638-7003</f>
        <v>-8074</v>
      </c>
    </row>
    <row r="6941" spans="1:25" x14ac:dyDescent="0.35">
      <c r="A6941">
        <v>40.928943626362901</v>
      </c>
      <c r="B6941">
        <v>-119.38215525072199</v>
      </c>
      <c r="C6941" t="s">
        <v>29</v>
      </c>
      <c r="D6941">
        <v>26.050598524285601</v>
      </c>
      <c r="E6941">
        <v>7</v>
      </c>
      <c r="F6941">
        <v>3911</v>
      </c>
      <c r="G6941">
        <v>3</v>
      </c>
      <c r="H6941">
        <v>3</v>
      </c>
      <c r="I6941">
        <v>2008</v>
      </c>
      <c r="J6941">
        <v>1</v>
      </c>
      <c r="K6941">
        <v>0</v>
      </c>
      <c r="L6941">
        <v>0</v>
      </c>
      <c r="M6941">
        <v>10</v>
      </c>
      <c r="N6941" t="s">
        <v>37</v>
      </c>
      <c r="O6941" t="s">
        <v>30</v>
      </c>
      <c r="P6941">
        <v>4.5719993698879398</v>
      </c>
      <c r="Q6941">
        <v>2.0417530409761602</v>
      </c>
      <c r="R6941">
        <v>5.4963209403567204</v>
      </c>
      <c r="S6941">
        <v>3</v>
      </c>
      <c r="T6941">
        <v>33</v>
      </c>
      <c r="U6941">
        <v>217.953501173939</v>
      </c>
      <c r="V6941">
        <v>2.5568908207619502E-3</v>
      </c>
      <c r="W6941">
        <v>1080447.78758158</v>
      </c>
      <c r="X6941" t="s">
        <v>42</v>
      </c>
      <c r="Y6941">
        <f>1-698-547-1106</f>
        <v>-2350</v>
      </c>
    </row>
    <row r="6942" spans="1:25" x14ac:dyDescent="0.35">
      <c r="A6942">
        <v>33.549773651791597</v>
      </c>
      <c r="B6942">
        <v>-123.759077497237</v>
      </c>
      <c r="C6942" t="s">
        <v>29</v>
      </c>
      <c r="D6942">
        <v>26.356672157165001</v>
      </c>
      <c r="E6942">
        <v>5</v>
      </c>
      <c r="F6942">
        <v>2216</v>
      </c>
      <c r="G6942">
        <v>4</v>
      </c>
      <c r="H6942">
        <v>3</v>
      </c>
      <c r="I6942">
        <v>2015</v>
      </c>
      <c r="J6942">
        <v>1</v>
      </c>
      <c r="K6942">
        <v>1</v>
      </c>
      <c r="L6942">
        <v>0</v>
      </c>
      <c r="M6942">
        <v>10</v>
      </c>
      <c r="N6942" t="s">
        <v>35</v>
      </c>
      <c r="O6942" t="s">
        <v>27</v>
      </c>
      <c r="P6942">
        <v>3.6955207473176599</v>
      </c>
      <c r="Q6942">
        <v>1.45069760494331</v>
      </c>
      <c r="R6942">
        <v>5.35797038173218</v>
      </c>
      <c r="S6942">
        <v>97</v>
      </c>
      <c r="T6942">
        <v>79</v>
      </c>
      <c r="U6942">
        <v>366.40445010531698</v>
      </c>
      <c r="V6942">
        <v>4.5126353790613701E-3</v>
      </c>
      <c r="W6942">
        <v>1332396.2268078399</v>
      </c>
      <c r="X6942" t="s">
        <v>36</v>
      </c>
      <c r="Y6942">
        <f>1-591-232-5134</f>
        <v>-5956</v>
      </c>
    </row>
    <row r="6943" spans="1:25" x14ac:dyDescent="0.35">
      <c r="A6943">
        <v>41.854774515285399</v>
      </c>
      <c r="B6943">
        <v>-120.38908535851</v>
      </c>
      <c r="C6943" t="s">
        <v>29</v>
      </c>
      <c r="D6943">
        <v>17.370034123650001</v>
      </c>
      <c r="E6943">
        <v>0</v>
      </c>
      <c r="F6943">
        <v>4370</v>
      </c>
      <c r="G6943">
        <v>2</v>
      </c>
      <c r="H6943">
        <v>3</v>
      </c>
      <c r="I6943">
        <v>1957</v>
      </c>
      <c r="J6943">
        <v>1</v>
      </c>
      <c r="K6943">
        <v>0</v>
      </c>
      <c r="L6943">
        <v>0</v>
      </c>
      <c r="M6943">
        <v>3</v>
      </c>
      <c r="N6943" t="s">
        <v>37</v>
      </c>
      <c r="O6943" t="s">
        <v>27</v>
      </c>
      <c r="P6943">
        <v>4.7767708742373198</v>
      </c>
      <c r="Q6943">
        <v>0.94196759235636895</v>
      </c>
      <c r="R6943">
        <v>9.5558179497769604</v>
      </c>
      <c r="S6943">
        <v>188</v>
      </c>
      <c r="T6943">
        <v>33</v>
      </c>
      <c r="U6943">
        <v>222.68563377527599</v>
      </c>
      <c r="V6943">
        <v>6.8649885583524004E-4</v>
      </c>
      <c r="W6943">
        <v>1083068.65237831</v>
      </c>
      <c r="X6943" t="s">
        <v>39</v>
      </c>
      <c r="Y6943">
        <f>1-542-427-5513</f>
        <v>-6481</v>
      </c>
    </row>
    <row r="6944" spans="1:25" x14ac:dyDescent="0.35">
      <c r="A6944">
        <v>38.084187694556597</v>
      </c>
      <c r="B6944">
        <v>-116.22163325882801</v>
      </c>
      <c r="C6944" t="s">
        <v>34</v>
      </c>
      <c r="D6944">
        <v>12.4326395015297</v>
      </c>
      <c r="E6944">
        <v>2</v>
      </c>
      <c r="F6944">
        <v>1312</v>
      </c>
      <c r="G6944">
        <v>4</v>
      </c>
      <c r="H6944">
        <v>2</v>
      </c>
      <c r="I6944">
        <v>2021</v>
      </c>
      <c r="J6944">
        <v>1</v>
      </c>
      <c r="K6944">
        <v>0</v>
      </c>
      <c r="L6944">
        <v>0</v>
      </c>
      <c r="M6944">
        <v>4</v>
      </c>
      <c r="N6944" t="s">
        <v>26</v>
      </c>
      <c r="O6944" t="s">
        <v>32</v>
      </c>
      <c r="P6944">
        <v>2.0733865460886198</v>
      </c>
      <c r="Q6944">
        <v>0.65769225799174202</v>
      </c>
      <c r="R6944">
        <v>8.0368185748894199</v>
      </c>
      <c r="S6944">
        <v>155</v>
      </c>
      <c r="T6944">
        <v>44</v>
      </c>
      <c r="U6944">
        <v>841.35593543702498</v>
      </c>
      <c r="V6944">
        <v>3.0487804878048699E-3</v>
      </c>
      <c r="W6944">
        <v>1362695.51741947</v>
      </c>
      <c r="X6944" t="s">
        <v>42</v>
      </c>
      <c r="Y6944">
        <f>1-621-409-8521</f>
        <v>-9550</v>
      </c>
    </row>
    <row r="6945" spans="1:25" x14ac:dyDescent="0.35">
      <c r="A6945">
        <v>39.4417214205939</v>
      </c>
      <c r="B6945">
        <v>-118.949430310297</v>
      </c>
      <c r="C6945" t="s">
        <v>29</v>
      </c>
      <c r="D6945">
        <v>10.551877561815701</v>
      </c>
      <c r="E6945">
        <v>1</v>
      </c>
      <c r="F6945">
        <v>1585</v>
      </c>
      <c r="G6945">
        <v>3</v>
      </c>
      <c r="H6945">
        <v>1</v>
      </c>
      <c r="I6945">
        <v>1952</v>
      </c>
      <c r="J6945">
        <v>0</v>
      </c>
      <c r="K6945">
        <v>0</v>
      </c>
      <c r="L6945">
        <v>0</v>
      </c>
      <c r="M6945">
        <v>4</v>
      </c>
      <c r="N6945" t="s">
        <v>26</v>
      </c>
      <c r="O6945" t="s">
        <v>32</v>
      </c>
      <c r="P6945">
        <v>7.8423461640596104</v>
      </c>
      <c r="Q6945">
        <v>2.4321473163937002</v>
      </c>
      <c r="R6945">
        <v>6.7625371216921701</v>
      </c>
      <c r="S6945">
        <v>173</v>
      </c>
      <c r="T6945">
        <v>51</v>
      </c>
      <c r="U6945">
        <v>795.25785935477904</v>
      </c>
      <c r="V6945">
        <v>2.5236593059936902E-3</v>
      </c>
      <c r="W6945">
        <v>1421854.19350337</v>
      </c>
      <c r="X6945" t="s">
        <v>42</v>
      </c>
      <c r="Y6945">
        <f>1-316-573-7777</f>
        <v>-8665</v>
      </c>
    </row>
    <row r="6946" spans="1:25" x14ac:dyDescent="0.35">
      <c r="A6946">
        <v>34.5994602723678</v>
      </c>
      <c r="B6946">
        <v>-123.64853206287999</v>
      </c>
      <c r="C6946" t="s">
        <v>29</v>
      </c>
      <c r="D6946">
        <v>47.245459050013302</v>
      </c>
      <c r="E6946">
        <v>2</v>
      </c>
      <c r="F6946">
        <v>2815</v>
      </c>
      <c r="G6946">
        <v>4</v>
      </c>
      <c r="H6946">
        <v>1</v>
      </c>
      <c r="I6946">
        <v>1965</v>
      </c>
      <c r="J6946">
        <v>0</v>
      </c>
      <c r="K6946">
        <v>0</v>
      </c>
      <c r="L6946">
        <v>1</v>
      </c>
      <c r="M6946">
        <v>6</v>
      </c>
      <c r="N6946" t="s">
        <v>26</v>
      </c>
      <c r="O6946" t="s">
        <v>32</v>
      </c>
      <c r="P6946">
        <v>3.8791257433775601</v>
      </c>
      <c r="Q6946">
        <v>1.6269429445769501</v>
      </c>
      <c r="R6946">
        <v>4.70321855216896</v>
      </c>
      <c r="S6946">
        <v>180</v>
      </c>
      <c r="T6946">
        <v>79</v>
      </c>
      <c r="U6946">
        <v>417.29338486319898</v>
      </c>
      <c r="V6946">
        <v>2.1314387211367599E-3</v>
      </c>
      <c r="W6946">
        <v>1316067.5258052601</v>
      </c>
      <c r="X6946" t="s">
        <v>43</v>
      </c>
      <c r="Y6946">
        <f>1-396-318-7703</f>
        <v>-8416</v>
      </c>
    </row>
    <row r="6947" spans="1:25" x14ac:dyDescent="0.35">
      <c r="A6947">
        <v>37.247374142967097</v>
      </c>
      <c r="B6947">
        <v>-122.871855000987</v>
      </c>
      <c r="C6947" t="s">
        <v>29</v>
      </c>
      <c r="D6947">
        <v>25.384484080642299</v>
      </c>
      <c r="E6947">
        <v>3</v>
      </c>
      <c r="F6947">
        <v>1293</v>
      </c>
      <c r="G6947">
        <v>2</v>
      </c>
      <c r="H6947">
        <v>2</v>
      </c>
      <c r="I6947">
        <v>1971</v>
      </c>
      <c r="J6947">
        <v>1</v>
      </c>
      <c r="K6947">
        <v>0</v>
      </c>
      <c r="L6947">
        <v>0</v>
      </c>
      <c r="M6947">
        <v>14</v>
      </c>
      <c r="N6947" t="s">
        <v>37</v>
      </c>
      <c r="O6947" t="s">
        <v>32</v>
      </c>
      <c r="P6947">
        <v>4.7811364187174297</v>
      </c>
      <c r="Q6947">
        <v>1.8154290417210099</v>
      </c>
      <c r="R6947">
        <v>4.8872426365014796</v>
      </c>
      <c r="S6947">
        <v>150</v>
      </c>
      <c r="T6947">
        <v>67</v>
      </c>
      <c r="U6947">
        <v>629.95351475496705</v>
      </c>
      <c r="V6947">
        <v>1.08275328692962E-2</v>
      </c>
      <c r="W6947">
        <v>896001.425609514</v>
      </c>
      <c r="X6947" t="s">
        <v>28</v>
      </c>
      <c r="Y6947">
        <f>1-452-835-6661</f>
        <v>-7947</v>
      </c>
    </row>
    <row r="6948" spans="1:25" x14ac:dyDescent="0.35">
      <c r="A6948">
        <v>32.538241499565601</v>
      </c>
      <c r="B6948">
        <v>-121.84150509549499</v>
      </c>
      <c r="C6948" t="s">
        <v>25</v>
      </c>
      <c r="D6948">
        <v>40.074903253935801</v>
      </c>
      <c r="E6948">
        <v>5</v>
      </c>
      <c r="F6948">
        <v>767</v>
      </c>
      <c r="G6948">
        <v>4</v>
      </c>
      <c r="H6948">
        <v>2</v>
      </c>
      <c r="I6948">
        <v>1998</v>
      </c>
      <c r="J6948">
        <v>0</v>
      </c>
      <c r="K6948">
        <v>0</v>
      </c>
      <c r="L6948">
        <v>1</v>
      </c>
      <c r="M6948">
        <v>8</v>
      </c>
      <c r="N6948" t="s">
        <v>26</v>
      </c>
      <c r="O6948" t="s">
        <v>30</v>
      </c>
      <c r="P6948">
        <v>11.9174450186178</v>
      </c>
      <c r="Q6948">
        <v>1.3544086488792799</v>
      </c>
      <c r="R6948">
        <v>6.1050366019532802</v>
      </c>
      <c r="S6948">
        <v>173</v>
      </c>
      <c r="T6948">
        <v>54</v>
      </c>
      <c r="U6948">
        <v>524.65255562340803</v>
      </c>
      <c r="V6948">
        <v>1.0430247718383299E-2</v>
      </c>
      <c r="W6948">
        <v>724468.86468763195</v>
      </c>
      <c r="X6948" t="s">
        <v>31</v>
      </c>
      <c r="Y6948">
        <f>1-428-913-1941</f>
        <v>-3281</v>
      </c>
    </row>
    <row r="6949" spans="1:25" x14ac:dyDescent="0.35">
      <c r="A6949">
        <v>37.107823481589698</v>
      </c>
      <c r="B6949">
        <v>-114.404265554017</v>
      </c>
      <c r="C6949" t="s">
        <v>29</v>
      </c>
      <c r="D6949">
        <v>19.474374977935099</v>
      </c>
      <c r="E6949">
        <v>7</v>
      </c>
      <c r="F6949">
        <v>1885</v>
      </c>
      <c r="G6949">
        <v>4</v>
      </c>
      <c r="H6949">
        <v>1</v>
      </c>
      <c r="I6949">
        <v>1981</v>
      </c>
      <c r="J6949">
        <v>1</v>
      </c>
      <c r="K6949">
        <v>0</v>
      </c>
      <c r="L6949">
        <v>1</v>
      </c>
      <c r="M6949">
        <v>6</v>
      </c>
      <c r="N6949" t="s">
        <v>41</v>
      </c>
      <c r="O6949" t="s">
        <v>30</v>
      </c>
      <c r="P6949">
        <v>13.2120436149777</v>
      </c>
      <c r="Q6949">
        <v>2.4893165873515</v>
      </c>
      <c r="R6949">
        <v>3.5198337594145999</v>
      </c>
      <c r="S6949">
        <v>45</v>
      </c>
      <c r="T6949">
        <v>32</v>
      </c>
      <c r="U6949">
        <v>998.50034618529799</v>
      </c>
      <c r="V6949">
        <v>3.1830238726790398E-3</v>
      </c>
      <c r="W6949">
        <v>2250257.5484745498</v>
      </c>
      <c r="X6949" t="s">
        <v>33</v>
      </c>
      <c r="Y6949">
        <f>1-327-798-5268</f>
        <v>-6392</v>
      </c>
    </row>
    <row r="6950" spans="1:25" x14ac:dyDescent="0.35">
      <c r="A6950">
        <v>33.036403810213102</v>
      </c>
      <c r="B6950">
        <v>-117.42505214533</v>
      </c>
      <c r="C6950" t="s">
        <v>34</v>
      </c>
      <c r="D6950">
        <v>28.0481776653208</v>
      </c>
      <c r="E6950">
        <v>6</v>
      </c>
      <c r="F6950">
        <v>1660</v>
      </c>
      <c r="G6950">
        <v>3</v>
      </c>
      <c r="H6950">
        <v>2</v>
      </c>
      <c r="I6950">
        <v>1963</v>
      </c>
      <c r="J6950">
        <v>0</v>
      </c>
      <c r="K6950">
        <v>1</v>
      </c>
      <c r="L6950">
        <v>0</v>
      </c>
      <c r="M6950">
        <v>10</v>
      </c>
      <c r="N6950" t="s">
        <v>35</v>
      </c>
      <c r="O6950" t="s">
        <v>27</v>
      </c>
      <c r="P6950">
        <v>12.4767039022144</v>
      </c>
      <c r="Q6950">
        <v>1.05514315947893</v>
      </c>
      <c r="R6950">
        <v>5.8997140079699504</v>
      </c>
      <c r="S6950">
        <v>103</v>
      </c>
      <c r="T6950">
        <v>47</v>
      </c>
      <c r="U6950">
        <v>826.65662504913701</v>
      </c>
      <c r="V6950">
        <v>6.0240963855421603E-3</v>
      </c>
      <c r="W6950">
        <v>1713147.14414975</v>
      </c>
      <c r="X6950" t="s">
        <v>33</v>
      </c>
      <c r="Y6950">
        <f>1-403-588-8253</f>
        <v>-9243</v>
      </c>
    </row>
    <row r="6951" spans="1:25" x14ac:dyDescent="0.35">
      <c r="A6951">
        <v>41.796650738151897</v>
      </c>
      <c r="B6951">
        <v>-123.68131032823401</v>
      </c>
      <c r="C6951" t="s">
        <v>25</v>
      </c>
      <c r="D6951">
        <v>11.762091623668001</v>
      </c>
      <c r="E6951">
        <v>9</v>
      </c>
      <c r="F6951">
        <v>4546</v>
      </c>
      <c r="G6951">
        <v>1</v>
      </c>
      <c r="H6951">
        <v>1</v>
      </c>
      <c r="I6951">
        <v>1975</v>
      </c>
      <c r="J6951">
        <v>1</v>
      </c>
      <c r="K6951">
        <v>1</v>
      </c>
      <c r="L6951">
        <v>1</v>
      </c>
      <c r="M6951">
        <v>5</v>
      </c>
      <c r="N6951" t="s">
        <v>37</v>
      </c>
      <c r="O6951" t="s">
        <v>32</v>
      </c>
      <c r="P6951">
        <v>5.1283696453406797</v>
      </c>
      <c r="Q6951">
        <v>1.0534308440809299</v>
      </c>
      <c r="R6951">
        <v>5.3857826629765002</v>
      </c>
      <c r="S6951">
        <v>141</v>
      </c>
      <c r="T6951">
        <v>32</v>
      </c>
      <c r="U6951">
        <v>212.394056340427</v>
      </c>
      <c r="V6951">
        <v>1.0998680158380899E-3</v>
      </c>
      <c r="W6951">
        <v>1129259.7049543201</v>
      </c>
      <c r="X6951" t="s">
        <v>33</v>
      </c>
      <c r="Y6951">
        <f>1-455-863-5480</f>
        <v>-6797</v>
      </c>
    </row>
    <row r="6952" spans="1:25" x14ac:dyDescent="0.35">
      <c r="A6952">
        <v>36.541504085454903</v>
      </c>
      <c r="B6952">
        <v>-117.165898471359</v>
      </c>
      <c r="C6952" t="s">
        <v>34</v>
      </c>
      <c r="D6952">
        <v>2.5586201954271899</v>
      </c>
      <c r="E6952">
        <v>9</v>
      </c>
      <c r="F6952">
        <v>2985</v>
      </c>
      <c r="G6952">
        <v>3</v>
      </c>
      <c r="H6952">
        <v>2</v>
      </c>
      <c r="I6952">
        <v>1977</v>
      </c>
      <c r="J6952">
        <v>1</v>
      </c>
      <c r="K6952">
        <v>0</v>
      </c>
      <c r="L6952">
        <v>1</v>
      </c>
      <c r="M6952">
        <v>2</v>
      </c>
      <c r="N6952" t="s">
        <v>37</v>
      </c>
      <c r="O6952" t="s">
        <v>27</v>
      </c>
      <c r="P6952">
        <v>5.2663812557018401</v>
      </c>
      <c r="Q6952">
        <v>1.0394588188943701</v>
      </c>
      <c r="R6952">
        <v>2.36564940085107</v>
      </c>
      <c r="S6952">
        <v>198</v>
      </c>
      <c r="T6952">
        <v>77</v>
      </c>
      <c r="U6952">
        <v>304.83303856923197</v>
      </c>
      <c r="V6952">
        <v>6.7001675041875996E-4</v>
      </c>
      <c r="W6952">
        <v>1165641.7381249201</v>
      </c>
      <c r="X6952" t="s">
        <v>28</v>
      </c>
      <c r="Y6952">
        <f>1-343-211-1269</f>
        <v>-1822</v>
      </c>
    </row>
    <row r="6953" spans="1:25" x14ac:dyDescent="0.35">
      <c r="A6953">
        <v>33.675142899503903</v>
      </c>
      <c r="B6953">
        <v>-114.720477241453</v>
      </c>
      <c r="C6953" t="s">
        <v>25</v>
      </c>
      <c r="D6953">
        <v>29.350417500319502</v>
      </c>
      <c r="E6953">
        <v>6</v>
      </c>
      <c r="F6953">
        <v>4277</v>
      </c>
      <c r="G6953">
        <v>5</v>
      </c>
      <c r="H6953">
        <v>3</v>
      </c>
      <c r="I6953">
        <v>2010</v>
      </c>
      <c r="J6953">
        <v>0</v>
      </c>
      <c r="K6953">
        <v>1</v>
      </c>
      <c r="L6953">
        <v>0</v>
      </c>
      <c r="M6953">
        <v>4</v>
      </c>
      <c r="N6953" t="s">
        <v>35</v>
      </c>
      <c r="O6953" t="s">
        <v>32</v>
      </c>
      <c r="P6953">
        <v>9.7042286893031502</v>
      </c>
      <c r="Q6953">
        <v>1.93712001417808</v>
      </c>
      <c r="R6953">
        <v>9.0333304534246199</v>
      </c>
      <c r="S6953">
        <v>164</v>
      </c>
      <c r="T6953">
        <v>38</v>
      </c>
      <c r="U6953">
        <v>281.33078165040399</v>
      </c>
      <c r="V6953">
        <v>9.3523497778816897E-4</v>
      </c>
      <c r="W6953">
        <v>1535236.5631710801</v>
      </c>
      <c r="X6953" t="s">
        <v>44</v>
      </c>
      <c r="Y6953">
        <f>1-312-565-2158</f>
        <v>-3034</v>
      </c>
    </row>
    <row r="6954" spans="1:25" x14ac:dyDescent="0.35">
      <c r="A6954">
        <v>39.177201446539499</v>
      </c>
      <c r="B6954">
        <v>-119.942076132683</v>
      </c>
      <c r="C6954" t="s">
        <v>25</v>
      </c>
      <c r="D6954">
        <v>49.319637297714301</v>
      </c>
      <c r="E6954">
        <v>3</v>
      </c>
      <c r="F6954">
        <v>1553</v>
      </c>
      <c r="G6954">
        <v>1</v>
      </c>
      <c r="H6954">
        <v>1</v>
      </c>
      <c r="I6954">
        <v>2011</v>
      </c>
      <c r="J6954">
        <v>1</v>
      </c>
      <c r="K6954">
        <v>1</v>
      </c>
      <c r="L6954">
        <v>0</v>
      </c>
      <c r="M6954">
        <v>10</v>
      </c>
      <c r="N6954" t="s">
        <v>35</v>
      </c>
      <c r="O6954" t="s">
        <v>27</v>
      </c>
      <c r="P6954">
        <v>4.1760478422607399</v>
      </c>
      <c r="Q6954">
        <v>1.39378427458002</v>
      </c>
      <c r="R6954">
        <v>4.4253107996720802</v>
      </c>
      <c r="S6954">
        <v>172</v>
      </c>
      <c r="T6954">
        <v>33</v>
      </c>
      <c r="U6954">
        <v>670.77083343858601</v>
      </c>
      <c r="V6954">
        <v>6.4391500321957498E-3</v>
      </c>
      <c r="W6954">
        <v>1257920.0732565499</v>
      </c>
      <c r="X6954" t="s">
        <v>28</v>
      </c>
      <c r="Y6954">
        <f>1-774-777-6718</f>
        <v>-8268</v>
      </c>
    </row>
    <row r="6955" spans="1:25" x14ac:dyDescent="0.35">
      <c r="A6955">
        <v>33.833644326840997</v>
      </c>
      <c r="B6955">
        <v>-114.47152746067</v>
      </c>
      <c r="C6955" t="s">
        <v>25</v>
      </c>
      <c r="D6955">
        <v>47.7630492223755</v>
      </c>
      <c r="E6955">
        <v>1</v>
      </c>
      <c r="F6955">
        <v>1846</v>
      </c>
      <c r="G6955">
        <v>5</v>
      </c>
      <c r="H6955">
        <v>2</v>
      </c>
      <c r="I6955">
        <v>1959</v>
      </c>
      <c r="J6955">
        <v>1</v>
      </c>
      <c r="K6955">
        <v>1</v>
      </c>
      <c r="L6955">
        <v>1</v>
      </c>
      <c r="M6955">
        <v>4</v>
      </c>
      <c r="N6955" t="s">
        <v>26</v>
      </c>
      <c r="O6955" t="s">
        <v>30</v>
      </c>
      <c r="P6955">
        <v>8.1210837425516207</v>
      </c>
      <c r="Q6955">
        <v>1.5878789546879499</v>
      </c>
      <c r="R6955">
        <v>7.91033838937369</v>
      </c>
      <c r="S6955">
        <v>149</v>
      </c>
      <c r="T6955">
        <v>63</v>
      </c>
      <c r="U6955">
        <v>754.56462305999298</v>
      </c>
      <c r="V6955">
        <v>2.1668472372697702E-3</v>
      </c>
      <c r="W6955">
        <v>1821601.15601117</v>
      </c>
      <c r="X6955" t="s">
        <v>43</v>
      </c>
      <c r="Y6955">
        <f>1-313-641-5844</f>
        <v>-6797</v>
      </c>
    </row>
    <row r="6956" spans="1:25" x14ac:dyDescent="0.35">
      <c r="A6956">
        <v>37.587364998390797</v>
      </c>
      <c r="B6956">
        <v>-121.777340030812</v>
      </c>
      <c r="C6956" t="s">
        <v>34</v>
      </c>
      <c r="D6956">
        <v>1.0509738571256799</v>
      </c>
      <c r="E6956">
        <v>1</v>
      </c>
      <c r="F6956">
        <v>2128</v>
      </c>
      <c r="G6956">
        <v>4</v>
      </c>
      <c r="H6956">
        <v>2</v>
      </c>
      <c r="I6956">
        <v>1973</v>
      </c>
      <c r="J6956">
        <v>1</v>
      </c>
      <c r="K6956">
        <v>0</v>
      </c>
      <c r="L6956">
        <v>1</v>
      </c>
      <c r="M6956">
        <v>4</v>
      </c>
      <c r="N6956" t="s">
        <v>37</v>
      </c>
      <c r="O6956" t="s">
        <v>32</v>
      </c>
      <c r="P6956">
        <v>13.932436700759</v>
      </c>
      <c r="Q6956">
        <v>0.95780610506224695</v>
      </c>
      <c r="R6956">
        <v>5.6300355055081797</v>
      </c>
      <c r="S6956">
        <v>23</v>
      </c>
      <c r="T6956">
        <v>62</v>
      </c>
      <c r="U6956">
        <v>528.97383554736598</v>
      </c>
      <c r="V6956">
        <v>1.8796992481203E-3</v>
      </c>
      <c r="W6956">
        <v>1547683.89628396</v>
      </c>
      <c r="X6956" t="s">
        <v>31</v>
      </c>
      <c r="Y6956">
        <f>1-466-268-2055</f>
        <v>-2788</v>
      </c>
    </row>
    <row r="6957" spans="1:25" x14ac:dyDescent="0.35">
      <c r="A6957">
        <v>35.733629774576698</v>
      </c>
      <c r="B6957">
        <v>-115.532282216101</v>
      </c>
      <c r="C6957" t="s">
        <v>29</v>
      </c>
      <c r="D6957">
        <v>31.907467747738501</v>
      </c>
      <c r="E6957">
        <v>8</v>
      </c>
      <c r="F6957">
        <v>3108</v>
      </c>
      <c r="G6957">
        <v>1</v>
      </c>
      <c r="H6957">
        <v>2</v>
      </c>
      <c r="I6957">
        <v>2002</v>
      </c>
      <c r="J6957">
        <v>0</v>
      </c>
      <c r="K6957">
        <v>0</v>
      </c>
      <c r="L6957">
        <v>0</v>
      </c>
      <c r="M6957">
        <v>8</v>
      </c>
      <c r="N6957" t="s">
        <v>35</v>
      </c>
      <c r="O6957" t="s">
        <v>27</v>
      </c>
      <c r="P6957">
        <v>4.6372666366367898</v>
      </c>
      <c r="Q6957">
        <v>0.97269334528104701</v>
      </c>
      <c r="R6957">
        <v>2.3233339865926301</v>
      </c>
      <c r="S6957">
        <v>55</v>
      </c>
      <c r="T6957">
        <v>48</v>
      </c>
      <c r="U6957">
        <v>225.48687148770301</v>
      </c>
      <c r="V6957">
        <v>2.57400257400257E-3</v>
      </c>
      <c r="W6957">
        <v>845633.65172483702</v>
      </c>
      <c r="X6957" t="s">
        <v>39</v>
      </c>
      <c r="Y6957">
        <f>1-413-864-9829</f>
        <v>-11105</v>
      </c>
    </row>
    <row r="6958" spans="1:25" x14ac:dyDescent="0.35">
      <c r="A6958">
        <v>34.0805288362113</v>
      </c>
      <c r="B6958">
        <v>-114.338043934667</v>
      </c>
      <c r="C6958" t="s">
        <v>34</v>
      </c>
      <c r="D6958">
        <v>43.766966576031798</v>
      </c>
      <c r="E6958">
        <v>4</v>
      </c>
      <c r="F6958">
        <v>4427</v>
      </c>
      <c r="G6958">
        <v>3</v>
      </c>
      <c r="H6958">
        <v>1</v>
      </c>
      <c r="I6958">
        <v>1989</v>
      </c>
      <c r="J6958">
        <v>0</v>
      </c>
      <c r="K6958">
        <v>1</v>
      </c>
      <c r="L6958">
        <v>0</v>
      </c>
      <c r="M6958">
        <v>7</v>
      </c>
      <c r="N6958" t="s">
        <v>37</v>
      </c>
      <c r="O6958" t="s">
        <v>30</v>
      </c>
      <c r="P6958">
        <v>5.7637928151948801</v>
      </c>
      <c r="Q6958">
        <v>0.72923794246010099</v>
      </c>
      <c r="R6958">
        <v>9.3670079193001907</v>
      </c>
      <c r="S6958">
        <v>85</v>
      </c>
      <c r="T6958">
        <v>74</v>
      </c>
      <c r="U6958">
        <v>764.10959151453403</v>
      </c>
      <c r="V6958">
        <v>1.5812062344702899E-3</v>
      </c>
      <c r="W6958">
        <v>3522418.0831921101</v>
      </c>
      <c r="X6958" t="s">
        <v>31</v>
      </c>
      <c r="Y6958">
        <f>1-913-923-8496</f>
        <v>-10331</v>
      </c>
    </row>
    <row r="6959" spans="1:25" x14ac:dyDescent="0.35">
      <c r="A6959">
        <v>34.979552628009102</v>
      </c>
      <c r="B6959">
        <v>-121.678372009147</v>
      </c>
      <c r="C6959" t="s">
        <v>29</v>
      </c>
      <c r="D6959">
        <v>4.9339680411544498</v>
      </c>
      <c r="E6959">
        <v>1</v>
      </c>
      <c r="F6959">
        <v>4866</v>
      </c>
      <c r="G6959">
        <v>4</v>
      </c>
      <c r="H6959">
        <v>2</v>
      </c>
      <c r="I6959">
        <v>1973</v>
      </c>
      <c r="J6959">
        <v>0</v>
      </c>
      <c r="K6959">
        <v>1</v>
      </c>
      <c r="L6959">
        <v>1</v>
      </c>
      <c r="M6959">
        <v>14</v>
      </c>
      <c r="N6959" t="s">
        <v>26</v>
      </c>
      <c r="O6959" t="s">
        <v>32</v>
      </c>
      <c r="P6959">
        <v>5.2152147084125504</v>
      </c>
      <c r="Q6959">
        <v>0.72037994609349298</v>
      </c>
      <c r="R6959">
        <v>0.148996941058152</v>
      </c>
      <c r="S6959">
        <v>33</v>
      </c>
      <c r="T6959">
        <v>35</v>
      </c>
      <c r="U6959">
        <v>871.99548721117503</v>
      </c>
      <c r="V6959">
        <v>2.8771064529387498E-3</v>
      </c>
      <c r="W6959">
        <v>4653203.06240879</v>
      </c>
      <c r="X6959" t="s">
        <v>28</v>
      </c>
      <c r="Y6959">
        <f>1-749-504-9152</f>
        <v>-10404</v>
      </c>
    </row>
    <row r="6960" spans="1:25" x14ac:dyDescent="0.35">
      <c r="A6960">
        <v>34.2671449584074</v>
      </c>
      <c r="B6960">
        <v>-120.016472327049</v>
      </c>
      <c r="C6960" t="s">
        <v>25</v>
      </c>
      <c r="D6960">
        <v>6.0223332460885404</v>
      </c>
      <c r="E6960">
        <v>4</v>
      </c>
      <c r="F6960">
        <v>1945</v>
      </c>
      <c r="G6960">
        <v>5</v>
      </c>
      <c r="H6960">
        <v>2</v>
      </c>
      <c r="I6960">
        <v>1993</v>
      </c>
      <c r="J6960">
        <v>0</v>
      </c>
      <c r="K6960">
        <v>0</v>
      </c>
      <c r="L6960">
        <v>1</v>
      </c>
      <c r="M6960">
        <v>11</v>
      </c>
      <c r="N6960" t="s">
        <v>41</v>
      </c>
      <c r="O6960" t="s">
        <v>27</v>
      </c>
      <c r="P6960">
        <v>14.181443163659299</v>
      </c>
      <c r="Q6960">
        <v>1.21281232392017</v>
      </c>
      <c r="R6960">
        <v>1.7722704463216901</v>
      </c>
      <c r="S6960">
        <v>11</v>
      </c>
      <c r="T6960">
        <v>26</v>
      </c>
      <c r="U6960">
        <v>203.09342114185</v>
      </c>
      <c r="V6960">
        <v>5.65552699228791E-3</v>
      </c>
      <c r="W6960">
        <v>744188.33626744302</v>
      </c>
      <c r="X6960" t="s">
        <v>40</v>
      </c>
      <c r="Y6960">
        <f>1-794-303-2207</f>
        <v>-3303</v>
      </c>
    </row>
    <row r="6961" spans="1:25" x14ac:dyDescent="0.35">
      <c r="A6961">
        <v>34.229312009984497</v>
      </c>
      <c r="B6961">
        <v>-118.488170364475</v>
      </c>
      <c r="C6961" t="s">
        <v>34</v>
      </c>
      <c r="D6961">
        <v>11.739400804858199</v>
      </c>
      <c r="E6961">
        <v>4</v>
      </c>
      <c r="F6961">
        <v>583</v>
      </c>
      <c r="G6961">
        <v>4</v>
      </c>
      <c r="H6961">
        <v>3</v>
      </c>
      <c r="I6961">
        <v>1986</v>
      </c>
      <c r="J6961">
        <v>0</v>
      </c>
      <c r="K6961">
        <v>1</v>
      </c>
      <c r="L6961">
        <v>1</v>
      </c>
      <c r="M6961">
        <v>8</v>
      </c>
      <c r="N6961" t="s">
        <v>41</v>
      </c>
      <c r="O6961" t="s">
        <v>27</v>
      </c>
      <c r="P6961">
        <v>6.2137946561783899</v>
      </c>
      <c r="Q6961">
        <v>0.66203359700790498</v>
      </c>
      <c r="R6961">
        <v>5.11005436970229</v>
      </c>
      <c r="S6961">
        <v>198</v>
      </c>
      <c r="T6961">
        <v>29</v>
      </c>
      <c r="U6961">
        <v>287.98987540484001</v>
      </c>
      <c r="V6961">
        <v>1.3722126929674099E-2</v>
      </c>
      <c r="W6961">
        <v>521144.25299031101</v>
      </c>
      <c r="X6961" t="s">
        <v>33</v>
      </c>
      <c r="Y6961">
        <f>1-314-400-3335</f>
        <v>-4048</v>
      </c>
    </row>
    <row r="6962" spans="1:25" x14ac:dyDescent="0.35">
      <c r="A6962">
        <v>36.530197582387103</v>
      </c>
      <c r="B6962">
        <v>-118.273503736188</v>
      </c>
      <c r="C6962" t="s">
        <v>25</v>
      </c>
      <c r="D6962">
        <v>3.7608349780671202</v>
      </c>
      <c r="E6962">
        <v>6</v>
      </c>
      <c r="F6962">
        <v>4859</v>
      </c>
      <c r="G6962">
        <v>1</v>
      </c>
      <c r="H6962">
        <v>3</v>
      </c>
      <c r="I6962">
        <v>1957</v>
      </c>
      <c r="J6962">
        <v>1</v>
      </c>
      <c r="K6962">
        <v>1</v>
      </c>
      <c r="L6962">
        <v>1</v>
      </c>
      <c r="M6962">
        <v>14</v>
      </c>
      <c r="N6962" t="s">
        <v>41</v>
      </c>
      <c r="O6962" t="s">
        <v>32</v>
      </c>
      <c r="P6962">
        <v>4.4234171254510599</v>
      </c>
      <c r="Q6962">
        <v>0.71451898241923095</v>
      </c>
      <c r="R6962">
        <v>6.1794571681456203</v>
      </c>
      <c r="S6962">
        <v>67</v>
      </c>
      <c r="T6962">
        <v>66</v>
      </c>
      <c r="U6962">
        <v>594.30957348137895</v>
      </c>
      <c r="V6962">
        <v>2.88125128627289E-3</v>
      </c>
      <c r="W6962">
        <v>3167527.39134626</v>
      </c>
      <c r="X6962" t="s">
        <v>31</v>
      </c>
      <c r="Y6962">
        <f>1-425-730-8845</f>
        <v>-9999</v>
      </c>
    </row>
    <row r="6963" spans="1:25" x14ac:dyDescent="0.35">
      <c r="A6963">
        <v>35.505064893270699</v>
      </c>
      <c r="B6963">
        <v>-123.09712876578</v>
      </c>
      <c r="C6963" t="s">
        <v>25</v>
      </c>
      <c r="D6963">
        <v>39.8588739670436</v>
      </c>
      <c r="E6963">
        <v>4</v>
      </c>
      <c r="F6963">
        <v>4091</v>
      </c>
      <c r="G6963">
        <v>5</v>
      </c>
      <c r="H6963">
        <v>3</v>
      </c>
      <c r="I6963">
        <v>1982</v>
      </c>
      <c r="J6963">
        <v>0</v>
      </c>
      <c r="K6963">
        <v>0</v>
      </c>
      <c r="L6963">
        <v>0</v>
      </c>
      <c r="M6963">
        <v>13</v>
      </c>
      <c r="N6963" t="s">
        <v>26</v>
      </c>
      <c r="O6963" t="s">
        <v>27</v>
      </c>
      <c r="P6963">
        <v>2.1682496242151799</v>
      </c>
      <c r="Q6963">
        <v>1.5881461273078299</v>
      </c>
      <c r="R6963">
        <v>1.83067765351338</v>
      </c>
      <c r="S6963">
        <v>129</v>
      </c>
      <c r="T6963">
        <v>24</v>
      </c>
      <c r="U6963">
        <v>228.482923128073</v>
      </c>
      <c r="V6963">
        <v>3.1777071620630601E-3</v>
      </c>
      <c r="W6963">
        <v>1207110.0706440301</v>
      </c>
      <c r="X6963" t="s">
        <v>39</v>
      </c>
      <c r="Y6963">
        <f>1-695-559-2794</f>
        <v>-4047</v>
      </c>
    </row>
    <row r="6964" spans="1:25" x14ac:dyDescent="0.35">
      <c r="A6964">
        <v>35.238421994770398</v>
      </c>
      <c r="B6964">
        <v>-115.53754742900701</v>
      </c>
      <c r="C6964" t="s">
        <v>34</v>
      </c>
      <c r="D6964">
        <v>19.7443039125796</v>
      </c>
      <c r="E6964">
        <v>4</v>
      </c>
      <c r="F6964">
        <v>1542</v>
      </c>
      <c r="G6964">
        <v>3</v>
      </c>
      <c r="H6964">
        <v>3</v>
      </c>
      <c r="I6964">
        <v>1966</v>
      </c>
      <c r="J6964">
        <v>0</v>
      </c>
      <c r="K6964">
        <v>0</v>
      </c>
      <c r="L6964">
        <v>0</v>
      </c>
      <c r="M6964">
        <v>10</v>
      </c>
      <c r="N6964" t="s">
        <v>26</v>
      </c>
      <c r="O6964" t="s">
        <v>32</v>
      </c>
      <c r="P6964">
        <v>8.2115733174898704</v>
      </c>
      <c r="Q6964">
        <v>1.77523357032664</v>
      </c>
      <c r="R6964">
        <v>4.2076470617087898</v>
      </c>
      <c r="S6964">
        <v>104</v>
      </c>
      <c r="T6964">
        <v>51</v>
      </c>
      <c r="U6964">
        <v>996.98128898243999</v>
      </c>
      <c r="V6964">
        <v>6.4850843060959796E-3</v>
      </c>
      <c r="W6964">
        <v>1792133.3501898099</v>
      </c>
      <c r="X6964" t="s">
        <v>42</v>
      </c>
      <c r="Y6964">
        <f>1-925-976-1661</f>
        <v>-3561</v>
      </c>
    </row>
    <row r="6965" spans="1:25" x14ac:dyDescent="0.35">
      <c r="A6965">
        <v>41.711092823516204</v>
      </c>
      <c r="B6965">
        <v>-115.893332211375</v>
      </c>
      <c r="C6965" t="s">
        <v>29</v>
      </c>
      <c r="D6965">
        <v>28.2532251373134</v>
      </c>
      <c r="E6965">
        <v>7</v>
      </c>
      <c r="F6965">
        <v>3493</v>
      </c>
      <c r="G6965">
        <v>3</v>
      </c>
      <c r="H6965">
        <v>2</v>
      </c>
      <c r="I6965">
        <v>1963</v>
      </c>
      <c r="J6965">
        <v>0</v>
      </c>
      <c r="K6965">
        <v>0</v>
      </c>
      <c r="L6965">
        <v>1</v>
      </c>
      <c r="M6965">
        <v>2</v>
      </c>
      <c r="N6965" t="s">
        <v>37</v>
      </c>
      <c r="O6965" t="s">
        <v>32</v>
      </c>
      <c r="P6965">
        <v>7.2579337440365297</v>
      </c>
      <c r="Q6965">
        <v>1.10506245262712</v>
      </c>
      <c r="R6965">
        <v>5.6260463789523598</v>
      </c>
      <c r="S6965">
        <v>90</v>
      </c>
      <c r="T6965">
        <v>22</v>
      </c>
      <c r="U6965">
        <v>272.88339087428199</v>
      </c>
      <c r="V6965">
        <v>5.7257371886630399E-4</v>
      </c>
      <c r="W6965">
        <v>1074044.44014409</v>
      </c>
      <c r="X6965" t="s">
        <v>38</v>
      </c>
      <c r="Y6965">
        <f>1-429-884-3328</f>
        <v>-4640</v>
      </c>
    </row>
    <row r="6966" spans="1:25" x14ac:dyDescent="0.35">
      <c r="A6966">
        <v>38.924742591688201</v>
      </c>
      <c r="B6966">
        <v>-124.11059038709899</v>
      </c>
      <c r="C6966" t="s">
        <v>29</v>
      </c>
      <c r="D6966">
        <v>10.1404335195835</v>
      </c>
      <c r="E6966">
        <v>7</v>
      </c>
      <c r="F6966">
        <v>4715</v>
      </c>
      <c r="G6966">
        <v>4</v>
      </c>
      <c r="H6966">
        <v>2</v>
      </c>
      <c r="I6966">
        <v>1968</v>
      </c>
      <c r="J6966">
        <v>1</v>
      </c>
      <c r="K6966">
        <v>0</v>
      </c>
      <c r="L6966">
        <v>1</v>
      </c>
      <c r="M6966">
        <v>11</v>
      </c>
      <c r="N6966" t="s">
        <v>37</v>
      </c>
      <c r="O6966" t="s">
        <v>32</v>
      </c>
      <c r="P6966">
        <v>8.0367144009662308</v>
      </c>
      <c r="Q6966">
        <v>1.3181899246369</v>
      </c>
      <c r="R6966">
        <v>3.87894236168085</v>
      </c>
      <c r="S6966">
        <v>8</v>
      </c>
      <c r="T6966">
        <v>25</v>
      </c>
      <c r="U6966">
        <v>942.44620680772005</v>
      </c>
      <c r="V6966">
        <v>2.3329798515376401E-3</v>
      </c>
      <c r="W6966">
        <v>4774570.6914881598</v>
      </c>
      <c r="X6966" t="s">
        <v>38</v>
      </c>
      <c r="Y6966">
        <f>1-521-566-5354</f>
        <v>-6440</v>
      </c>
    </row>
    <row r="6967" spans="1:25" x14ac:dyDescent="0.35">
      <c r="A6967">
        <v>40.240052735916301</v>
      </c>
      <c r="B6967">
        <v>-117.870654287484</v>
      </c>
      <c r="C6967" t="s">
        <v>34</v>
      </c>
      <c r="D6967">
        <v>44.389904935406101</v>
      </c>
      <c r="E6967">
        <v>1</v>
      </c>
      <c r="F6967">
        <v>507</v>
      </c>
      <c r="G6967">
        <v>5</v>
      </c>
      <c r="H6967">
        <v>3</v>
      </c>
      <c r="I6967">
        <v>2015</v>
      </c>
      <c r="J6967">
        <v>1</v>
      </c>
      <c r="K6967">
        <v>1</v>
      </c>
      <c r="L6967">
        <v>0</v>
      </c>
      <c r="M6967">
        <v>5</v>
      </c>
      <c r="N6967" t="s">
        <v>35</v>
      </c>
      <c r="O6967" t="s">
        <v>32</v>
      </c>
      <c r="P6967">
        <v>5.1274934461808099</v>
      </c>
      <c r="Q6967">
        <v>2.0146156635423602</v>
      </c>
      <c r="R6967">
        <v>7.0174917625803399</v>
      </c>
      <c r="S6967">
        <v>141</v>
      </c>
      <c r="T6967">
        <v>33</v>
      </c>
      <c r="U6967">
        <v>508.50938504604801</v>
      </c>
      <c r="V6967">
        <v>9.8619329388560106E-3</v>
      </c>
      <c r="W6967">
        <v>779994.83613081498</v>
      </c>
      <c r="X6967" t="s">
        <v>39</v>
      </c>
      <c r="Y6967">
        <f>1-635-797-2982</f>
        <v>-4413</v>
      </c>
    </row>
    <row r="6968" spans="1:25" x14ac:dyDescent="0.35">
      <c r="A6968">
        <v>38.180950844730603</v>
      </c>
      <c r="B6968">
        <v>-117.24507412585</v>
      </c>
      <c r="C6968" t="s">
        <v>29</v>
      </c>
      <c r="D6968">
        <v>29.1278995515001</v>
      </c>
      <c r="E6968">
        <v>1</v>
      </c>
      <c r="F6968">
        <v>2543</v>
      </c>
      <c r="G6968">
        <v>3</v>
      </c>
      <c r="H6968">
        <v>3</v>
      </c>
      <c r="I6968">
        <v>1978</v>
      </c>
      <c r="J6968">
        <v>0</v>
      </c>
      <c r="K6968">
        <v>1</v>
      </c>
      <c r="L6968">
        <v>0</v>
      </c>
      <c r="M6968">
        <v>14</v>
      </c>
      <c r="N6968" t="s">
        <v>37</v>
      </c>
      <c r="O6968" t="s">
        <v>30</v>
      </c>
      <c r="P6968">
        <v>6.2977810018375902</v>
      </c>
      <c r="Q6968">
        <v>2.4628048747996001</v>
      </c>
      <c r="R6968">
        <v>3.9960427914393701</v>
      </c>
      <c r="S6968">
        <v>71</v>
      </c>
      <c r="T6968">
        <v>48</v>
      </c>
      <c r="U6968">
        <v>975.167434036381</v>
      </c>
      <c r="V6968">
        <v>5.5053086905230003E-3</v>
      </c>
      <c r="W6968">
        <v>2806203.8409706</v>
      </c>
      <c r="X6968" t="s">
        <v>44</v>
      </c>
      <c r="Y6968">
        <f>1-590-323-1498</f>
        <v>-2410</v>
      </c>
    </row>
    <row r="6969" spans="1:25" x14ac:dyDescent="0.35">
      <c r="A6969">
        <v>39.347408900091402</v>
      </c>
      <c r="B6969">
        <v>-120.105529357054</v>
      </c>
      <c r="C6969" t="s">
        <v>29</v>
      </c>
      <c r="D6969">
        <v>4.2514814196144597</v>
      </c>
      <c r="E6969">
        <v>5</v>
      </c>
      <c r="F6969">
        <v>1129</v>
      </c>
      <c r="G6969">
        <v>1</v>
      </c>
      <c r="H6969">
        <v>2</v>
      </c>
      <c r="I6969">
        <v>1989</v>
      </c>
      <c r="J6969">
        <v>1</v>
      </c>
      <c r="K6969">
        <v>1</v>
      </c>
      <c r="L6969">
        <v>0</v>
      </c>
      <c r="M6969">
        <v>4</v>
      </c>
      <c r="N6969" t="s">
        <v>26</v>
      </c>
      <c r="O6969" t="s">
        <v>30</v>
      </c>
      <c r="P6969">
        <v>2.5455195931330699</v>
      </c>
      <c r="Q6969">
        <v>1.45821159258516</v>
      </c>
      <c r="R6969">
        <v>8.3107483091927996</v>
      </c>
      <c r="S6969">
        <v>15</v>
      </c>
      <c r="T6969">
        <v>63</v>
      </c>
      <c r="U6969">
        <v>535.278193361494</v>
      </c>
      <c r="V6969">
        <v>3.5429583702391498E-3</v>
      </c>
      <c r="W6969">
        <v>779862.96204361401</v>
      </c>
      <c r="X6969" t="s">
        <v>44</v>
      </c>
      <c r="Y6969">
        <f>1-347-683-5568</f>
        <v>-6597</v>
      </c>
    </row>
    <row r="6970" spans="1:25" x14ac:dyDescent="0.35">
      <c r="A6970">
        <v>40.735331631275301</v>
      </c>
      <c r="B6970">
        <v>-114.02770703686799</v>
      </c>
      <c r="C6970" t="s">
        <v>34</v>
      </c>
      <c r="D6970">
        <v>9.5783687296634792</v>
      </c>
      <c r="E6970">
        <v>9</v>
      </c>
      <c r="F6970">
        <v>874</v>
      </c>
      <c r="G6970">
        <v>4</v>
      </c>
      <c r="H6970">
        <v>1</v>
      </c>
      <c r="I6970">
        <v>1997</v>
      </c>
      <c r="J6970">
        <v>0</v>
      </c>
      <c r="K6970">
        <v>1</v>
      </c>
      <c r="L6970">
        <v>1</v>
      </c>
      <c r="M6970">
        <v>9</v>
      </c>
      <c r="N6970" t="s">
        <v>26</v>
      </c>
      <c r="O6970" t="s">
        <v>27</v>
      </c>
      <c r="P6970">
        <v>4.3919664574637398</v>
      </c>
      <c r="Q6970">
        <v>0.76384478188359495</v>
      </c>
      <c r="R6970">
        <v>7.2544961969928696</v>
      </c>
      <c r="S6970">
        <v>24</v>
      </c>
      <c r="T6970">
        <v>49</v>
      </c>
      <c r="U6970">
        <v>828.42983641435296</v>
      </c>
      <c r="V6970">
        <v>1.02974828375286E-2</v>
      </c>
      <c r="W6970">
        <v>1010878.78933784</v>
      </c>
      <c r="X6970" t="s">
        <v>33</v>
      </c>
      <c r="Y6970">
        <f>1-686-398-2387</f>
        <v>-3470</v>
      </c>
    </row>
    <row r="6971" spans="1:25" x14ac:dyDescent="0.35">
      <c r="A6971">
        <v>34.8991693304189</v>
      </c>
      <c r="B6971">
        <v>-123.085698958024</v>
      </c>
      <c r="C6971" t="s">
        <v>34</v>
      </c>
      <c r="D6971">
        <v>21.576902739769501</v>
      </c>
      <c r="E6971">
        <v>6</v>
      </c>
      <c r="F6971">
        <v>3373</v>
      </c>
      <c r="G6971">
        <v>3</v>
      </c>
      <c r="H6971">
        <v>2</v>
      </c>
      <c r="I6971">
        <v>1966</v>
      </c>
      <c r="J6971">
        <v>0</v>
      </c>
      <c r="K6971">
        <v>0</v>
      </c>
      <c r="L6971">
        <v>1</v>
      </c>
      <c r="M6971">
        <v>10</v>
      </c>
      <c r="N6971" t="s">
        <v>26</v>
      </c>
      <c r="O6971" t="s">
        <v>27</v>
      </c>
      <c r="P6971">
        <v>5.5530795294994402</v>
      </c>
      <c r="Q6971">
        <v>2.3272777049248501</v>
      </c>
      <c r="R6971">
        <v>2.71828001064751</v>
      </c>
      <c r="S6971">
        <v>72</v>
      </c>
      <c r="T6971">
        <v>69</v>
      </c>
      <c r="U6971">
        <v>744.98379504694503</v>
      </c>
      <c r="V6971">
        <v>2.96471983397568E-3</v>
      </c>
      <c r="W6971">
        <v>2662093.6276048101</v>
      </c>
      <c r="X6971" t="s">
        <v>28</v>
      </c>
      <c r="Y6971">
        <f>1-686-388-3657</f>
        <v>-4730</v>
      </c>
    </row>
    <row r="6972" spans="1:25" x14ac:dyDescent="0.35">
      <c r="A6972">
        <v>37.490468475409401</v>
      </c>
      <c r="B6972">
        <v>-114.15793927583</v>
      </c>
      <c r="C6972" t="s">
        <v>29</v>
      </c>
      <c r="D6972">
        <v>7.8371780480621798</v>
      </c>
      <c r="E6972">
        <v>9</v>
      </c>
      <c r="F6972">
        <v>2230</v>
      </c>
      <c r="G6972">
        <v>2</v>
      </c>
      <c r="H6972">
        <v>3</v>
      </c>
      <c r="I6972">
        <v>1970</v>
      </c>
      <c r="J6972">
        <v>1</v>
      </c>
      <c r="K6972">
        <v>0</v>
      </c>
      <c r="L6972">
        <v>1</v>
      </c>
      <c r="M6972">
        <v>2</v>
      </c>
      <c r="N6972" t="s">
        <v>37</v>
      </c>
      <c r="O6972" t="s">
        <v>27</v>
      </c>
      <c r="P6972">
        <v>6.4868598016645196</v>
      </c>
      <c r="Q6972">
        <v>1.33803966765489</v>
      </c>
      <c r="R6972">
        <v>7.2619317535538404</v>
      </c>
      <c r="S6972">
        <v>49</v>
      </c>
      <c r="T6972">
        <v>46</v>
      </c>
      <c r="U6972">
        <v>721.073975162755</v>
      </c>
      <c r="V6972">
        <v>8.9686098654708499E-4</v>
      </c>
      <c r="W6972">
        <v>1826440.8719683499</v>
      </c>
      <c r="X6972" t="s">
        <v>43</v>
      </c>
      <c r="Y6972">
        <f>1-484-817-6487</f>
        <v>-7787</v>
      </c>
    </row>
    <row r="6973" spans="1:25" x14ac:dyDescent="0.35">
      <c r="A6973">
        <v>37.769073557723999</v>
      </c>
      <c r="B6973">
        <v>-121.97504259241001</v>
      </c>
      <c r="C6973" t="s">
        <v>29</v>
      </c>
      <c r="D6973">
        <v>41.965493727623198</v>
      </c>
      <c r="E6973">
        <v>5</v>
      </c>
      <c r="F6973">
        <v>3242</v>
      </c>
      <c r="G6973">
        <v>3</v>
      </c>
      <c r="H6973">
        <v>1</v>
      </c>
      <c r="I6973">
        <v>1952</v>
      </c>
      <c r="J6973">
        <v>0</v>
      </c>
      <c r="K6973">
        <v>0</v>
      </c>
      <c r="L6973">
        <v>0</v>
      </c>
      <c r="M6973">
        <v>10</v>
      </c>
      <c r="N6973" t="s">
        <v>26</v>
      </c>
      <c r="O6973" t="s">
        <v>30</v>
      </c>
      <c r="P6973">
        <v>8.9883080058574798</v>
      </c>
      <c r="Q6973">
        <v>1.1547625738449201</v>
      </c>
      <c r="R6973">
        <v>7.2898318842026599</v>
      </c>
      <c r="S6973">
        <v>143</v>
      </c>
      <c r="T6973">
        <v>49</v>
      </c>
      <c r="U6973">
        <v>438.04732472061499</v>
      </c>
      <c r="V6973">
        <v>3.0845157310302202E-3</v>
      </c>
      <c r="W6973">
        <v>1524062.8052596301</v>
      </c>
      <c r="X6973" t="s">
        <v>39</v>
      </c>
      <c r="Y6973">
        <f>1-792-319-3727</f>
        <v>-4837</v>
      </c>
    </row>
    <row r="6974" spans="1:25" x14ac:dyDescent="0.35">
      <c r="A6974">
        <v>35.910779224251399</v>
      </c>
      <c r="B6974">
        <v>-121.435128273828</v>
      </c>
      <c r="C6974" t="s">
        <v>25</v>
      </c>
      <c r="D6974">
        <v>32.583552089368197</v>
      </c>
      <c r="E6974">
        <v>2</v>
      </c>
      <c r="F6974">
        <v>2260</v>
      </c>
      <c r="G6974">
        <v>2</v>
      </c>
      <c r="H6974">
        <v>1</v>
      </c>
      <c r="I6974">
        <v>1963</v>
      </c>
      <c r="J6974">
        <v>1</v>
      </c>
      <c r="K6974">
        <v>0</v>
      </c>
      <c r="L6974">
        <v>0</v>
      </c>
      <c r="M6974">
        <v>13</v>
      </c>
      <c r="N6974" t="s">
        <v>35</v>
      </c>
      <c r="O6974" t="s">
        <v>27</v>
      </c>
      <c r="P6974">
        <v>11.222245183726301</v>
      </c>
      <c r="Q6974">
        <v>1.0418107843773401</v>
      </c>
      <c r="R6974">
        <v>6.2487065293974897</v>
      </c>
      <c r="S6974">
        <v>13</v>
      </c>
      <c r="T6974">
        <v>78</v>
      </c>
      <c r="U6974">
        <v>638.305844325257</v>
      </c>
      <c r="V6974">
        <v>5.75221238938053E-3</v>
      </c>
      <c r="W6974">
        <v>1624943.55721717</v>
      </c>
      <c r="X6974" t="s">
        <v>43</v>
      </c>
      <c r="Y6974">
        <f>1-653-123-9919</f>
        <v>-10694</v>
      </c>
    </row>
    <row r="6975" spans="1:25" x14ac:dyDescent="0.35">
      <c r="A6975">
        <v>41.181204162253401</v>
      </c>
      <c r="B6975">
        <v>-115.555626687114</v>
      </c>
      <c r="C6975" t="s">
        <v>25</v>
      </c>
      <c r="D6975">
        <v>48.4643812314564</v>
      </c>
      <c r="E6975">
        <v>8</v>
      </c>
      <c r="F6975">
        <v>3621</v>
      </c>
      <c r="G6975">
        <v>1</v>
      </c>
      <c r="H6975">
        <v>1</v>
      </c>
      <c r="I6975">
        <v>1969</v>
      </c>
      <c r="J6975">
        <v>0</v>
      </c>
      <c r="K6975">
        <v>0</v>
      </c>
      <c r="L6975">
        <v>0</v>
      </c>
      <c r="M6975">
        <v>14</v>
      </c>
      <c r="N6975" t="s">
        <v>26</v>
      </c>
      <c r="O6975" t="s">
        <v>30</v>
      </c>
      <c r="P6975">
        <v>8.8700400912120596</v>
      </c>
      <c r="Q6975">
        <v>0.84871904801256404</v>
      </c>
      <c r="R6975">
        <v>2.1698932910528201</v>
      </c>
      <c r="S6975">
        <v>108</v>
      </c>
      <c r="T6975">
        <v>20</v>
      </c>
      <c r="U6975">
        <v>960.15317425219098</v>
      </c>
      <c r="V6975">
        <v>3.86633526650096E-3</v>
      </c>
      <c r="W6975">
        <v>3526461.8223929699</v>
      </c>
      <c r="X6975" t="s">
        <v>44</v>
      </c>
      <c r="Y6975">
        <f>1-651-846-4567</f>
        <v>-6063</v>
      </c>
    </row>
    <row r="6976" spans="1:25" x14ac:dyDescent="0.35">
      <c r="A6976">
        <v>32.939374721721698</v>
      </c>
      <c r="B6976">
        <v>-120.442293056715</v>
      </c>
      <c r="C6976" t="s">
        <v>29</v>
      </c>
      <c r="D6976">
        <v>42.737177241552601</v>
      </c>
      <c r="E6976">
        <v>2</v>
      </c>
      <c r="F6976">
        <v>4881</v>
      </c>
      <c r="G6976">
        <v>1</v>
      </c>
      <c r="H6976">
        <v>2</v>
      </c>
      <c r="I6976">
        <v>1976</v>
      </c>
      <c r="J6976">
        <v>1</v>
      </c>
      <c r="K6976">
        <v>1</v>
      </c>
      <c r="L6976">
        <v>1</v>
      </c>
      <c r="M6976">
        <v>3</v>
      </c>
      <c r="N6976" t="s">
        <v>35</v>
      </c>
      <c r="O6976" t="s">
        <v>30</v>
      </c>
      <c r="P6976">
        <v>13.591154587408999</v>
      </c>
      <c r="Q6976">
        <v>1.82816718350137</v>
      </c>
      <c r="R6976">
        <v>1.3130681020542301</v>
      </c>
      <c r="S6976">
        <v>12</v>
      </c>
      <c r="T6976">
        <v>58</v>
      </c>
      <c r="U6976">
        <v>924.52948506650102</v>
      </c>
      <c r="V6976">
        <v>6.14628149969268E-4</v>
      </c>
      <c r="W6976">
        <v>4888573.9909325996</v>
      </c>
      <c r="X6976" t="s">
        <v>42</v>
      </c>
      <c r="Y6976">
        <f>1-418-956-1238</f>
        <v>-2611</v>
      </c>
    </row>
    <row r="6977" spans="1:25" x14ac:dyDescent="0.35">
      <c r="A6977">
        <v>34.655390068588403</v>
      </c>
      <c r="B6977">
        <v>-120.527702479881</v>
      </c>
      <c r="C6977" t="s">
        <v>29</v>
      </c>
      <c r="D6977">
        <v>16.837565046594499</v>
      </c>
      <c r="E6977">
        <v>6</v>
      </c>
      <c r="F6977">
        <v>3413</v>
      </c>
      <c r="G6977">
        <v>5</v>
      </c>
      <c r="H6977">
        <v>2</v>
      </c>
      <c r="I6977">
        <v>2004</v>
      </c>
      <c r="J6977">
        <v>1</v>
      </c>
      <c r="K6977">
        <v>0</v>
      </c>
      <c r="L6977">
        <v>1</v>
      </c>
      <c r="M6977">
        <v>2</v>
      </c>
      <c r="N6977" t="s">
        <v>37</v>
      </c>
      <c r="O6977" t="s">
        <v>32</v>
      </c>
      <c r="P6977">
        <v>12.392328417875</v>
      </c>
      <c r="Q6977">
        <v>1.45900919732936</v>
      </c>
      <c r="R6977">
        <v>3.3957051710414099</v>
      </c>
      <c r="S6977">
        <v>70</v>
      </c>
      <c r="T6977">
        <v>30</v>
      </c>
      <c r="U6977">
        <v>386.74909494831797</v>
      </c>
      <c r="V6977">
        <v>5.8599472604746504E-4</v>
      </c>
      <c r="W6977">
        <v>1752554.7933300701</v>
      </c>
      <c r="X6977" t="s">
        <v>36</v>
      </c>
      <c r="Y6977">
        <f>1-368-694-4814</f>
        <v>-5875</v>
      </c>
    </row>
    <row r="6978" spans="1:25" x14ac:dyDescent="0.35">
      <c r="A6978">
        <v>33.386217444274102</v>
      </c>
      <c r="B6978">
        <v>-118.643179212943</v>
      </c>
      <c r="C6978" t="s">
        <v>34</v>
      </c>
      <c r="D6978">
        <v>35.034004726268897</v>
      </c>
      <c r="E6978">
        <v>0</v>
      </c>
      <c r="F6978">
        <v>1370</v>
      </c>
      <c r="G6978">
        <v>4</v>
      </c>
      <c r="H6978">
        <v>2</v>
      </c>
      <c r="I6978">
        <v>1995</v>
      </c>
      <c r="J6978">
        <v>1</v>
      </c>
      <c r="K6978">
        <v>0</v>
      </c>
      <c r="L6978">
        <v>1</v>
      </c>
      <c r="M6978">
        <v>13</v>
      </c>
      <c r="N6978" t="s">
        <v>35</v>
      </c>
      <c r="O6978" t="s">
        <v>27</v>
      </c>
      <c r="P6978">
        <v>4.3161958685442396</v>
      </c>
      <c r="Q6978">
        <v>0.92946633224322495</v>
      </c>
      <c r="R6978">
        <v>8.2097494709336392</v>
      </c>
      <c r="S6978">
        <v>89</v>
      </c>
      <c r="T6978">
        <v>62</v>
      </c>
      <c r="U6978">
        <v>780.08304742931796</v>
      </c>
      <c r="V6978">
        <v>9.4890510948905105E-3</v>
      </c>
      <c r="W6978">
        <v>1509328.2105374599</v>
      </c>
      <c r="X6978" t="s">
        <v>39</v>
      </c>
      <c r="Y6978">
        <f>1-247-933-3605</f>
        <v>-4784</v>
      </c>
    </row>
    <row r="6979" spans="1:25" x14ac:dyDescent="0.35">
      <c r="A6979">
        <v>34.285485629762597</v>
      </c>
      <c r="B6979">
        <v>-120.39132096069601</v>
      </c>
      <c r="C6979" t="s">
        <v>25</v>
      </c>
      <c r="D6979">
        <v>19.888507304548501</v>
      </c>
      <c r="E6979">
        <v>0</v>
      </c>
      <c r="F6979">
        <v>2595</v>
      </c>
      <c r="G6979">
        <v>1</v>
      </c>
      <c r="H6979">
        <v>1</v>
      </c>
      <c r="I6979">
        <v>1973</v>
      </c>
      <c r="J6979">
        <v>1</v>
      </c>
      <c r="K6979">
        <v>1</v>
      </c>
      <c r="L6979">
        <v>1</v>
      </c>
      <c r="M6979">
        <v>10</v>
      </c>
      <c r="N6979" t="s">
        <v>37</v>
      </c>
      <c r="O6979" t="s">
        <v>30</v>
      </c>
      <c r="P6979">
        <v>14.646826429619701</v>
      </c>
      <c r="Q6979">
        <v>2.3110178999695599</v>
      </c>
      <c r="R6979">
        <v>2.1831769680446498</v>
      </c>
      <c r="S6979">
        <v>181</v>
      </c>
      <c r="T6979">
        <v>75</v>
      </c>
      <c r="U6979">
        <v>585.33376108827304</v>
      </c>
      <c r="V6979">
        <v>3.85356454720616E-3</v>
      </c>
      <c r="W6979">
        <v>1847095.5527956099</v>
      </c>
      <c r="X6979" t="s">
        <v>39</v>
      </c>
      <c r="Y6979">
        <f>1-844-416-2815</f>
        <v>-4074</v>
      </c>
    </row>
    <row r="6980" spans="1:25" x14ac:dyDescent="0.35">
      <c r="A6980">
        <v>34.727517773978001</v>
      </c>
      <c r="B6980">
        <v>-119.010096154104</v>
      </c>
      <c r="C6980" t="s">
        <v>25</v>
      </c>
      <c r="D6980">
        <v>27.9527587154621</v>
      </c>
      <c r="E6980">
        <v>9</v>
      </c>
      <c r="F6980">
        <v>2997</v>
      </c>
      <c r="G6980">
        <v>2</v>
      </c>
      <c r="H6980">
        <v>3</v>
      </c>
      <c r="I6980">
        <v>2004</v>
      </c>
      <c r="J6980">
        <v>0</v>
      </c>
      <c r="K6980">
        <v>0</v>
      </c>
      <c r="L6980">
        <v>1</v>
      </c>
      <c r="M6980">
        <v>2</v>
      </c>
      <c r="N6980" t="s">
        <v>26</v>
      </c>
      <c r="O6980" t="s">
        <v>27</v>
      </c>
      <c r="P6980">
        <v>6.6287413432092404</v>
      </c>
      <c r="Q6980">
        <v>1.78304483987287</v>
      </c>
      <c r="R6980">
        <v>5.6322668979099797</v>
      </c>
      <c r="S6980">
        <v>35</v>
      </c>
      <c r="T6980">
        <v>74</v>
      </c>
      <c r="U6980">
        <v>493.88804511584698</v>
      </c>
      <c r="V6980">
        <v>6.6733400066733403E-4</v>
      </c>
      <c r="W6980">
        <v>1702824.0736142001</v>
      </c>
      <c r="X6980" t="s">
        <v>38</v>
      </c>
      <c r="Y6980">
        <f>1-841-298-5899</f>
        <v>-7037</v>
      </c>
    </row>
    <row r="6981" spans="1:25" x14ac:dyDescent="0.35">
      <c r="A6981">
        <v>34.251984924006202</v>
      </c>
      <c r="B6981">
        <v>-121.361157796424</v>
      </c>
      <c r="C6981" t="s">
        <v>25</v>
      </c>
      <c r="D6981">
        <v>11.0921528276068</v>
      </c>
      <c r="E6981">
        <v>8</v>
      </c>
      <c r="F6981">
        <v>4648</v>
      </c>
      <c r="G6981">
        <v>1</v>
      </c>
      <c r="H6981">
        <v>3</v>
      </c>
      <c r="I6981">
        <v>2017</v>
      </c>
      <c r="J6981">
        <v>1</v>
      </c>
      <c r="K6981">
        <v>1</v>
      </c>
      <c r="L6981">
        <v>0</v>
      </c>
      <c r="M6981">
        <v>3</v>
      </c>
      <c r="N6981" t="s">
        <v>41</v>
      </c>
      <c r="O6981" t="s">
        <v>32</v>
      </c>
      <c r="P6981">
        <v>7.7666347196893604</v>
      </c>
      <c r="Q6981">
        <v>0.64889010933101399</v>
      </c>
      <c r="R6981">
        <v>9.9125224049862393</v>
      </c>
      <c r="S6981">
        <v>137</v>
      </c>
      <c r="T6981">
        <v>57</v>
      </c>
      <c r="U6981">
        <v>437.07362857345697</v>
      </c>
      <c r="V6981">
        <v>6.4543889845094604E-4</v>
      </c>
      <c r="W6981">
        <v>2322921.5649545598</v>
      </c>
      <c r="X6981" t="s">
        <v>40</v>
      </c>
      <c r="Y6981">
        <f>1-269-260-2392</f>
        <v>-2920</v>
      </c>
    </row>
    <row r="6982" spans="1:25" x14ac:dyDescent="0.35">
      <c r="A6982">
        <v>41.680201857329102</v>
      </c>
      <c r="B6982">
        <v>-117.35925449697</v>
      </c>
      <c r="C6982" t="s">
        <v>29</v>
      </c>
      <c r="D6982">
        <v>24.634560439844101</v>
      </c>
      <c r="E6982">
        <v>5</v>
      </c>
      <c r="F6982">
        <v>1344</v>
      </c>
      <c r="G6982">
        <v>4</v>
      </c>
      <c r="H6982">
        <v>2</v>
      </c>
      <c r="I6982">
        <v>2016</v>
      </c>
      <c r="J6982">
        <v>0</v>
      </c>
      <c r="K6982">
        <v>0</v>
      </c>
      <c r="L6982">
        <v>1</v>
      </c>
      <c r="M6982">
        <v>3</v>
      </c>
      <c r="N6982" t="s">
        <v>35</v>
      </c>
      <c r="O6982" t="s">
        <v>30</v>
      </c>
      <c r="P6982">
        <v>2.15996996193187</v>
      </c>
      <c r="Q6982">
        <v>2.17849134029291</v>
      </c>
      <c r="R6982">
        <v>5.58877193355071</v>
      </c>
      <c r="S6982">
        <v>156</v>
      </c>
      <c r="T6982">
        <v>33</v>
      </c>
      <c r="U6982">
        <v>677.88736189244503</v>
      </c>
      <c r="V6982">
        <v>2.2321428571428501E-3</v>
      </c>
      <c r="W6982">
        <v>1172638.1440593801</v>
      </c>
      <c r="X6982" t="s">
        <v>43</v>
      </c>
      <c r="Y6982">
        <f>1-920-446-1746</f>
        <v>-3111</v>
      </c>
    </row>
    <row r="6983" spans="1:25" x14ac:dyDescent="0.35">
      <c r="A6983">
        <v>41.701108197461402</v>
      </c>
      <c r="B6983">
        <v>-120.753691700774</v>
      </c>
      <c r="C6983" t="s">
        <v>25</v>
      </c>
      <c r="D6983">
        <v>21.9510936789945</v>
      </c>
      <c r="E6983">
        <v>3</v>
      </c>
      <c r="F6983">
        <v>1691</v>
      </c>
      <c r="G6983">
        <v>2</v>
      </c>
      <c r="H6983">
        <v>1</v>
      </c>
      <c r="I6983">
        <v>1954</v>
      </c>
      <c r="J6983">
        <v>0</v>
      </c>
      <c r="K6983">
        <v>0</v>
      </c>
      <c r="L6983">
        <v>1</v>
      </c>
      <c r="M6983">
        <v>4</v>
      </c>
      <c r="N6983" t="s">
        <v>41</v>
      </c>
      <c r="O6983" t="s">
        <v>30</v>
      </c>
      <c r="P6983">
        <v>12.3918362345901</v>
      </c>
      <c r="Q6983">
        <v>1.1640634536129799</v>
      </c>
      <c r="R6983">
        <v>5.9942002409822797</v>
      </c>
      <c r="S6983">
        <v>99</v>
      </c>
      <c r="T6983">
        <v>67</v>
      </c>
      <c r="U6983">
        <v>418.72884229955599</v>
      </c>
      <c r="V6983">
        <v>2.3654642223536301E-3</v>
      </c>
      <c r="W6983">
        <v>747760.13911861496</v>
      </c>
      <c r="X6983" t="s">
        <v>38</v>
      </c>
      <c r="Y6983">
        <f>1-790-195-9383</f>
        <v>-10367</v>
      </c>
    </row>
    <row r="6984" spans="1:25" x14ac:dyDescent="0.35">
      <c r="A6984">
        <v>41.766871112623299</v>
      </c>
      <c r="B6984">
        <v>-118.432098276353</v>
      </c>
      <c r="C6984" t="s">
        <v>29</v>
      </c>
      <c r="D6984">
        <v>10.1599959699431</v>
      </c>
      <c r="E6984">
        <v>2</v>
      </c>
      <c r="F6984">
        <v>1166</v>
      </c>
      <c r="G6984">
        <v>5</v>
      </c>
      <c r="H6984">
        <v>2</v>
      </c>
      <c r="I6984">
        <v>1986</v>
      </c>
      <c r="J6984">
        <v>1</v>
      </c>
      <c r="K6984">
        <v>0</v>
      </c>
      <c r="L6984">
        <v>0</v>
      </c>
      <c r="M6984">
        <v>5</v>
      </c>
      <c r="N6984" t="s">
        <v>35</v>
      </c>
      <c r="O6984" t="s">
        <v>32</v>
      </c>
      <c r="P6984">
        <v>13.1326213573091</v>
      </c>
      <c r="Q6984">
        <v>2.1572920323809002</v>
      </c>
      <c r="R6984">
        <v>5.0460778477943498</v>
      </c>
      <c r="S6984">
        <v>109</v>
      </c>
      <c r="T6984">
        <v>52</v>
      </c>
      <c r="U6984">
        <v>710.22242133691304</v>
      </c>
      <c r="V6984">
        <v>4.2881646655231502E-3</v>
      </c>
      <c r="W6984">
        <v>1347231.0027677901</v>
      </c>
      <c r="X6984" t="s">
        <v>43</v>
      </c>
      <c r="Y6984">
        <f>1-502-794-9346</f>
        <v>-10641</v>
      </c>
    </row>
    <row r="6985" spans="1:25" x14ac:dyDescent="0.35">
      <c r="A6985">
        <v>39.158518159863398</v>
      </c>
      <c r="B6985">
        <v>-118.85817545710999</v>
      </c>
      <c r="C6985" t="s">
        <v>29</v>
      </c>
      <c r="D6985">
        <v>25.3260804686387</v>
      </c>
      <c r="E6985">
        <v>4</v>
      </c>
      <c r="F6985">
        <v>1941</v>
      </c>
      <c r="G6985">
        <v>4</v>
      </c>
      <c r="H6985">
        <v>1</v>
      </c>
      <c r="I6985">
        <v>1954</v>
      </c>
      <c r="J6985">
        <v>0</v>
      </c>
      <c r="K6985">
        <v>1</v>
      </c>
      <c r="L6985">
        <v>0</v>
      </c>
      <c r="M6985">
        <v>5</v>
      </c>
      <c r="N6985" t="s">
        <v>37</v>
      </c>
      <c r="O6985" t="s">
        <v>27</v>
      </c>
      <c r="P6985">
        <v>5.2683281844492402</v>
      </c>
      <c r="Q6985">
        <v>2.27641439344726</v>
      </c>
      <c r="R6985">
        <v>0.64579338193242297</v>
      </c>
      <c r="S6985">
        <v>32</v>
      </c>
      <c r="T6985">
        <v>57</v>
      </c>
      <c r="U6985">
        <v>970.67661491220099</v>
      </c>
      <c r="V6985">
        <v>2.5759917568263699E-3</v>
      </c>
      <c r="W6985">
        <v>2123016.1128522898</v>
      </c>
      <c r="X6985" t="s">
        <v>44</v>
      </c>
      <c r="Y6985">
        <f>1-518-657-8664</f>
        <v>-9838</v>
      </c>
    </row>
    <row r="6986" spans="1:25" x14ac:dyDescent="0.35">
      <c r="A6986">
        <v>34.322911974814403</v>
      </c>
      <c r="B6986">
        <v>-123.113543642191</v>
      </c>
      <c r="C6986" t="s">
        <v>34</v>
      </c>
      <c r="D6986">
        <v>19.940151122193001</v>
      </c>
      <c r="E6986">
        <v>5</v>
      </c>
      <c r="F6986">
        <v>2598</v>
      </c>
      <c r="G6986">
        <v>5</v>
      </c>
      <c r="H6986">
        <v>1</v>
      </c>
      <c r="I6986">
        <v>1958</v>
      </c>
      <c r="J6986">
        <v>0</v>
      </c>
      <c r="K6986">
        <v>0</v>
      </c>
      <c r="L6986">
        <v>1</v>
      </c>
      <c r="M6986">
        <v>12</v>
      </c>
      <c r="N6986" t="s">
        <v>37</v>
      </c>
      <c r="O6986" t="s">
        <v>27</v>
      </c>
      <c r="P6986">
        <v>3.78489443103379</v>
      </c>
      <c r="Q6986">
        <v>2.19291612987357</v>
      </c>
      <c r="R6986">
        <v>2.3458495430123198</v>
      </c>
      <c r="S6986">
        <v>158</v>
      </c>
      <c r="T6986">
        <v>51</v>
      </c>
      <c r="U6986">
        <v>914.50127775988904</v>
      </c>
      <c r="V6986">
        <v>4.6189376443417996E-3</v>
      </c>
      <c r="W6986">
        <v>2683659.5203480301</v>
      </c>
      <c r="X6986" t="s">
        <v>39</v>
      </c>
      <c r="Y6986">
        <f>1-511-388-5629</f>
        <v>-6527</v>
      </c>
    </row>
    <row r="6987" spans="1:25" x14ac:dyDescent="0.35">
      <c r="A6987">
        <v>33.935929118006797</v>
      </c>
      <c r="B6987">
        <v>-117.15288946190999</v>
      </c>
      <c r="C6987" t="s">
        <v>34</v>
      </c>
      <c r="D6987">
        <v>35.081336385314302</v>
      </c>
      <c r="E6987">
        <v>9</v>
      </c>
      <c r="F6987">
        <v>4261</v>
      </c>
      <c r="G6987">
        <v>2</v>
      </c>
      <c r="H6987">
        <v>3</v>
      </c>
      <c r="I6987">
        <v>1973</v>
      </c>
      <c r="J6987">
        <v>0</v>
      </c>
      <c r="K6987">
        <v>0</v>
      </c>
      <c r="L6987">
        <v>1</v>
      </c>
      <c r="M6987">
        <v>2</v>
      </c>
      <c r="N6987" t="s">
        <v>26</v>
      </c>
      <c r="O6987" t="s">
        <v>27</v>
      </c>
      <c r="P6987">
        <v>13.743781115182401</v>
      </c>
      <c r="Q6987">
        <v>1.05315104593363</v>
      </c>
      <c r="R6987">
        <v>7.4897196534662704</v>
      </c>
      <c r="S6987">
        <v>130</v>
      </c>
      <c r="T6987">
        <v>77</v>
      </c>
      <c r="U6987">
        <v>990.62730145069304</v>
      </c>
      <c r="V6987">
        <v>4.6937338652898301E-4</v>
      </c>
      <c r="W6987">
        <v>4461151.3968039099</v>
      </c>
      <c r="X6987" t="s">
        <v>42</v>
      </c>
      <c r="Y6987">
        <f>1-842-388-3284</f>
        <v>-4513</v>
      </c>
    </row>
    <row r="6988" spans="1:25" x14ac:dyDescent="0.35">
      <c r="A6988">
        <v>40.547669596451797</v>
      </c>
      <c r="B6988">
        <v>-122.39248169162499</v>
      </c>
      <c r="C6988" t="s">
        <v>34</v>
      </c>
      <c r="D6988">
        <v>13.169704289038799</v>
      </c>
      <c r="E6988">
        <v>3</v>
      </c>
      <c r="F6988">
        <v>2321</v>
      </c>
      <c r="G6988">
        <v>1</v>
      </c>
      <c r="H6988">
        <v>1</v>
      </c>
      <c r="I6988">
        <v>2002</v>
      </c>
      <c r="J6988">
        <v>1</v>
      </c>
      <c r="K6988">
        <v>0</v>
      </c>
      <c r="L6988">
        <v>1</v>
      </c>
      <c r="M6988">
        <v>4</v>
      </c>
      <c r="N6988" t="s">
        <v>26</v>
      </c>
      <c r="O6988" t="s">
        <v>27</v>
      </c>
      <c r="P6988">
        <v>11.2250689118142</v>
      </c>
      <c r="Q6988">
        <v>1.4925099912042601</v>
      </c>
      <c r="R6988">
        <v>7.74306579597358</v>
      </c>
      <c r="S6988">
        <v>124</v>
      </c>
      <c r="T6988">
        <v>53</v>
      </c>
      <c r="U6988">
        <v>927.41756787981797</v>
      </c>
      <c r="V6988">
        <v>1.72339508832399E-3</v>
      </c>
      <c r="W6988">
        <v>2359768.1394868898</v>
      </c>
      <c r="X6988" t="s">
        <v>44</v>
      </c>
      <c r="Y6988">
        <f>1-660-465-1014</f>
        <v>-2138</v>
      </c>
    </row>
    <row r="6989" spans="1:25" x14ac:dyDescent="0.35">
      <c r="A6989">
        <v>34.489686712671897</v>
      </c>
      <c r="B6989">
        <v>-118.933996011746</v>
      </c>
      <c r="C6989" t="s">
        <v>25</v>
      </c>
      <c r="D6989">
        <v>23.508874962238099</v>
      </c>
      <c r="E6989">
        <v>3</v>
      </c>
      <c r="F6989">
        <v>3285</v>
      </c>
      <c r="G6989">
        <v>2</v>
      </c>
      <c r="H6989">
        <v>1</v>
      </c>
      <c r="I6989">
        <v>1954</v>
      </c>
      <c r="J6989">
        <v>1</v>
      </c>
      <c r="K6989">
        <v>1</v>
      </c>
      <c r="L6989">
        <v>0</v>
      </c>
      <c r="M6989">
        <v>7</v>
      </c>
      <c r="N6989" t="s">
        <v>35</v>
      </c>
      <c r="O6989" t="s">
        <v>27</v>
      </c>
      <c r="P6989">
        <v>2.49617350400385</v>
      </c>
      <c r="Q6989">
        <v>0.99611067208598403</v>
      </c>
      <c r="R6989">
        <v>0.50779771347827596</v>
      </c>
      <c r="S6989">
        <v>27</v>
      </c>
      <c r="T6989">
        <v>75</v>
      </c>
      <c r="U6989">
        <v>728.84660132504496</v>
      </c>
      <c r="V6989">
        <v>2.1308980213089802E-3</v>
      </c>
      <c r="W6989">
        <v>2620753.0880843601</v>
      </c>
      <c r="X6989" t="s">
        <v>28</v>
      </c>
      <c r="Y6989">
        <f>1-512-429-9424</f>
        <v>-10364</v>
      </c>
    </row>
    <row r="6990" spans="1:25" x14ac:dyDescent="0.35">
      <c r="A6990">
        <v>33.649936651385701</v>
      </c>
      <c r="B6990">
        <v>-116.083858486661</v>
      </c>
      <c r="C6990" t="s">
        <v>34</v>
      </c>
      <c r="D6990">
        <v>9.9032940306760704</v>
      </c>
      <c r="E6990">
        <v>8</v>
      </c>
      <c r="F6990">
        <v>2900</v>
      </c>
      <c r="G6990">
        <v>2</v>
      </c>
      <c r="H6990">
        <v>2</v>
      </c>
      <c r="I6990">
        <v>2016</v>
      </c>
      <c r="J6990">
        <v>1</v>
      </c>
      <c r="K6990">
        <v>0</v>
      </c>
      <c r="L6990">
        <v>1</v>
      </c>
      <c r="M6990">
        <v>2</v>
      </c>
      <c r="N6990" t="s">
        <v>35</v>
      </c>
      <c r="O6990" t="s">
        <v>32</v>
      </c>
      <c r="P6990">
        <v>8.3021787875161603</v>
      </c>
      <c r="Q6990">
        <v>0.96698575570617096</v>
      </c>
      <c r="R6990">
        <v>7.0338220174771102</v>
      </c>
      <c r="S6990">
        <v>124</v>
      </c>
      <c r="T6990">
        <v>58</v>
      </c>
      <c r="U6990">
        <v>564.67977491854003</v>
      </c>
      <c r="V6990">
        <v>6.8965517241379305E-4</v>
      </c>
      <c r="W6990">
        <v>1982858.0811751899</v>
      </c>
      <c r="X6990" t="s">
        <v>42</v>
      </c>
      <c r="Y6990">
        <f>1-327-670-3606</f>
        <v>-4602</v>
      </c>
    </row>
    <row r="6991" spans="1:25" x14ac:dyDescent="0.35">
      <c r="A6991">
        <v>39.880376683677</v>
      </c>
      <c r="B6991">
        <v>-120.429202128227</v>
      </c>
      <c r="C6991" t="s">
        <v>29</v>
      </c>
      <c r="D6991">
        <v>28.841962478009599</v>
      </c>
      <c r="E6991">
        <v>3</v>
      </c>
      <c r="F6991">
        <v>2438</v>
      </c>
      <c r="G6991">
        <v>2</v>
      </c>
      <c r="H6991">
        <v>1</v>
      </c>
      <c r="I6991">
        <v>1984</v>
      </c>
      <c r="J6991">
        <v>1</v>
      </c>
      <c r="K6991">
        <v>0</v>
      </c>
      <c r="L6991">
        <v>0</v>
      </c>
      <c r="M6991">
        <v>14</v>
      </c>
      <c r="N6991" t="s">
        <v>26</v>
      </c>
      <c r="O6991" t="s">
        <v>30</v>
      </c>
      <c r="P6991">
        <v>11.327596462144699</v>
      </c>
      <c r="Q6991">
        <v>0.75931716575658603</v>
      </c>
      <c r="R6991">
        <v>5.8271249611135003</v>
      </c>
      <c r="S6991">
        <v>126</v>
      </c>
      <c r="T6991">
        <v>43</v>
      </c>
      <c r="U6991">
        <v>677.00871419625003</v>
      </c>
      <c r="V6991">
        <v>5.7424118129614397E-3</v>
      </c>
      <c r="W6991">
        <v>1864193.9038137801</v>
      </c>
      <c r="X6991" t="s">
        <v>38</v>
      </c>
      <c r="Y6991">
        <f>1-435-255-2743</f>
        <v>-3432</v>
      </c>
    </row>
    <row r="6992" spans="1:25" x14ac:dyDescent="0.35">
      <c r="A6992">
        <v>38.369845266309099</v>
      </c>
      <c r="B6992">
        <v>-118.923675294898</v>
      </c>
      <c r="C6992" t="s">
        <v>25</v>
      </c>
      <c r="D6992">
        <v>22.879921755751301</v>
      </c>
      <c r="E6992">
        <v>9</v>
      </c>
      <c r="F6992">
        <v>3963</v>
      </c>
      <c r="G6992">
        <v>5</v>
      </c>
      <c r="H6992">
        <v>1</v>
      </c>
      <c r="I6992">
        <v>1952</v>
      </c>
      <c r="J6992">
        <v>0</v>
      </c>
      <c r="K6992">
        <v>0</v>
      </c>
      <c r="L6992">
        <v>0</v>
      </c>
      <c r="M6992">
        <v>7</v>
      </c>
      <c r="N6992" t="s">
        <v>41</v>
      </c>
      <c r="O6992" t="s">
        <v>30</v>
      </c>
      <c r="P6992">
        <v>2.6527101337191001</v>
      </c>
      <c r="Q6992">
        <v>2.0207598742883599</v>
      </c>
      <c r="R6992">
        <v>1.5003688772328401</v>
      </c>
      <c r="S6992">
        <v>137</v>
      </c>
      <c r="T6992">
        <v>30</v>
      </c>
      <c r="U6992">
        <v>972.26352178291302</v>
      </c>
      <c r="V6992">
        <v>1.7663386323492299E-3</v>
      </c>
      <c r="W6992">
        <v>4069906.7534979698</v>
      </c>
      <c r="X6992" t="s">
        <v>36</v>
      </c>
      <c r="Y6992">
        <f>1-225-646-3760</f>
        <v>-4630</v>
      </c>
    </row>
    <row r="6993" spans="1:25" x14ac:dyDescent="0.35">
      <c r="A6993">
        <v>36.662582955846702</v>
      </c>
      <c r="B6993">
        <v>-116.247445831265</v>
      </c>
      <c r="C6993" t="s">
        <v>25</v>
      </c>
      <c r="D6993">
        <v>13.033882152328699</v>
      </c>
      <c r="E6993">
        <v>2</v>
      </c>
      <c r="F6993">
        <v>3669</v>
      </c>
      <c r="G6993">
        <v>2</v>
      </c>
      <c r="H6993">
        <v>3</v>
      </c>
      <c r="I6993">
        <v>1986</v>
      </c>
      <c r="J6993">
        <v>0</v>
      </c>
      <c r="K6993">
        <v>1</v>
      </c>
      <c r="L6993">
        <v>0</v>
      </c>
      <c r="M6993">
        <v>3</v>
      </c>
      <c r="N6993" t="s">
        <v>26</v>
      </c>
      <c r="O6993" t="s">
        <v>27</v>
      </c>
      <c r="P6993">
        <v>5.0703036261010199</v>
      </c>
      <c r="Q6993">
        <v>1.75204607890043</v>
      </c>
      <c r="R6993">
        <v>6.2154351507529402</v>
      </c>
      <c r="S6993">
        <v>193</v>
      </c>
      <c r="T6993">
        <v>23</v>
      </c>
      <c r="U6993">
        <v>843.91333571461996</v>
      </c>
      <c r="V6993">
        <v>8.1766148814390802E-4</v>
      </c>
      <c r="W6993">
        <v>3377481.1571373199</v>
      </c>
      <c r="X6993" t="s">
        <v>33</v>
      </c>
      <c r="Y6993">
        <f>1-272-567-7240</f>
        <v>-8078</v>
      </c>
    </row>
    <row r="6994" spans="1:25" x14ac:dyDescent="0.35">
      <c r="A6994">
        <v>36.164279076166999</v>
      </c>
      <c r="B6994">
        <v>-120.623498931716</v>
      </c>
      <c r="C6994" t="s">
        <v>29</v>
      </c>
      <c r="D6994">
        <v>12.8341619434999</v>
      </c>
      <c r="E6994">
        <v>9</v>
      </c>
      <c r="F6994">
        <v>1050</v>
      </c>
      <c r="G6994">
        <v>1</v>
      </c>
      <c r="H6994">
        <v>2</v>
      </c>
      <c r="I6994">
        <v>1978</v>
      </c>
      <c r="J6994">
        <v>0</v>
      </c>
      <c r="K6994">
        <v>0</v>
      </c>
      <c r="L6994">
        <v>1</v>
      </c>
      <c r="M6994">
        <v>7</v>
      </c>
      <c r="N6994" t="s">
        <v>37</v>
      </c>
      <c r="O6994" t="s">
        <v>32</v>
      </c>
      <c r="P6994">
        <v>14.335574372255</v>
      </c>
      <c r="Q6994">
        <v>2.1952189797750301</v>
      </c>
      <c r="R6994">
        <v>6.1103479805812597</v>
      </c>
      <c r="S6994">
        <v>180</v>
      </c>
      <c r="T6994">
        <v>30</v>
      </c>
      <c r="U6994">
        <v>314.75223264035998</v>
      </c>
      <c r="V6994">
        <v>6.6666666666666602E-3</v>
      </c>
      <c r="W6994">
        <v>512631.93352105201</v>
      </c>
      <c r="X6994" t="s">
        <v>39</v>
      </c>
      <c r="Y6994">
        <f>1-674-406-7864</f>
        <v>-8943</v>
      </c>
    </row>
    <row r="6995" spans="1:25" x14ac:dyDescent="0.35">
      <c r="A6995">
        <v>38.7488630361605</v>
      </c>
      <c r="B6995">
        <v>-114.770205645364</v>
      </c>
      <c r="C6995" t="s">
        <v>25</v>
      </c>
      <c r="D6995">
        <v>1.9452287200513301</v>
      </c>
      <c r="E6995">
        <v>1</v>
      </c>
      <c r="F6995">
        <v>815</v>
      </c>
      <c r="G6995">
        <v>3</v>
      </c>
      <c r="H6995">
        <v>1</v>
      </c>
      <c r="I6995">
        <v>1999</v>
      </c>
      <c r="J6995">
        <v>0</v>
      </c>
      <c r="K6995">
        <v>1</v>
      </c>
      <c r="L6995">
        <v>0</v>
      </c>
      <c r="M6995">
        <v>14</v>
      </c>
      <c r="N6995" t="s">
        <v>37</v>
      </c>
      <c r="O6995" t="s">
        <v>27</v>
      </c>
      <c r="P6995">
        <v>14.4938163540112</v>
      </c>
      <c r="Q6995">
        <v>2.12088652016332</v>
      </c>
      <c r="R6995">
        <v>6.7528970863493498</v>
      </c>
      <c r="S6995">
        <v>24</v>
      </c>
      <c r="T6995">
        <v>35</v>
      </c>
      <c r="U6995">
        <v>431.30924739272899</v>
      </c>
      <c r="V6995">
        <v>1.7177914110429401E-2</v>
      </c>
      <c r="W6995">
        <v>689880.58853286004</v>
      </c>
      <c r="X6995" t="s">
        <v>31</v>
      </c>
      <c r="Y6995">
        <f>1-785-823-8755</f>
        <v>-10362</v>
      </c>
    </row>
    <row r="6996" spans="1:25" x14ac:dyDescent="0.35">
      <c r="A6996">
        <v>36.479366860538597</v>
      </c>
      <c r="B6996">
        <v>-118.702571499928</v>
      </c>
      <c r="C6996" t="s">
        <v>34</v>
      </c>
      <c r="D6996">
        <v>34.581827938784997</v>
      </c>
      <c r="E6996">
        <v>2</v>
      </c>
      <c r="F6996">
        <v>2450</v>
      </c>
      <c r="G6996">
        <v>5</v>
      </c>
      <c r="H6996">
        <v>1</v>
      </c>
      <c r="I6996">
        <v>2002</v>
      </c>
      <c r="J6996">
        <v>0</v>
      </c>
      <c r="K6996">
        <v>1</v>
      </c>
      <c r="L6996">
        <v>1</v>
      </c>
      <c r="M6996">
        <v>11</v>
      </c>
      <c r="N6996" t="s">
        <v>26</v>
      </c>
      <c r="O6996" t="s">
        <v>30</v>
      </c>
      <c r="P6996">
        <v>2.93469066848583</v>
      </c>
      <c r="Q6996">
        <v>1.38732211654448</v>
      </c>
      <c r="R6996">
        <v>9.3583268294879094</v>
      </c>
      <c r="S6996">
        <v>175</v>
      </c>
      <c r="T6996">
        <v>31</v>
      </c>
      <c r="U6996">
        <v>898.32388585683202</v>
      </c>
      <c r="V6996">
        <v>4.4897959183673401E-3</v>
      </c>
      <c r="W6996">
        <v>2499239.8815586301</v>
      </c>
      <c r="X6996" t="s">
        <v>40</v>
      </c>
      <c r="Y6996">
        <f>1-511-475-5576</f>
        <v>-6561</v>
      </c>
    </row>
    <row r="6997" spans="1:25" x14ac:dyDescent="0.35">
      <c r="A6997">
        <v>41.235145082136498</v>
      </c>
      <c r="B6997">
        <v>-123.21083394113001</v>
      </c>
      <c r="C6997" t="s">
        <v>34</v>
      </c>
      <c r="D6997">
        <v>32.8541109461557</v>
      </c>
      <c r="E6997">
        <v>9</v>
      </c>
      <c r="F6997">
        <v>2542</v>
      </c>
      <c r="G6997">
        <v>2</v>
      </c>
      <c r="H6997">
        <v>3</v>
      </c>
      <c r="I6997">
        <v>2008</v>
      </c>
      <c r="J6997">
        <v>0</v>
      </c>
      <c r="K6997">
        <v>0</v>
      </c>
      <c r="L6997">
        <v>1</v>
      </c>
      <c r="M6997">
        <v>9</v>
      </c>
      <c r="N6997" t="s">
        <v>41</v>
      </c>
      <c r="O6997" t="s">
        <v>30</v>
      </c>
      <c r="P6997">
        <v>13.585690623387601</v>
      </c>
      <c r="Q6997">
        <v>1.1364598466254801</v>
      </c>
      <c r="R6997">
        <v>3.3791095570404202</v>
      </c>
      <c r="S6997">
        <v>163</v>
      </c>
      <c r="T6997">
        <v>43</v>
      </c>
      <c r="U6997">
        <v>266.69544020296303</v>
      </c>
      <c r="V6997">
        <v>3.5405192761605001E-3</v>
      </c>
      <c r="W6997">
        <v>964783.11124552495</v>
      </c>
      <c r="X6997" t="s">
        <v>31</v>
      </c>
      <c r="Y6997">
        <f>1-915-526-7412</f>
        <v>-8852</v>
      </c>
    </row>
    <row r="6998" spans="1:25" x14ac:dyDescent="0.35">
      <c r="A6998">
        <v>33.890426924134701</v>
      </c>
      <c r="B6998">
        <v>-114.658626940517</v>
      </c>
      <c r="C6998" t="s">
        <v>34</v>
      </c>
      <c r="D6998">
        <v>45.1044310383975</v>
      </c>
      <c r="E6998">
        <v>8</v>
      </c>
      <c r="F6998">
        <v>1312</v>
      </c>
      <c r="G6998">
        <v>3</v>
      </c>
      <c r="H6998">
        <v>3</v>
      </c>
      <c r="I6998">
        <v>1963</v>
      </c>
      <c r="J6998">
        <v>0</v>
      </c>
      <c r="K6998">
        <v>1</v>
      </c>
      <c r="L6998">
        <v>0</v>
      </c>
      <c r="M6998">
        <v>4</v>
      </c>
      <c r="N6998" t="s">
        <v>41</v>
      </c>
      <c r="O6998" t="s">
        <v>32</v>
      </c>
      <c r="P6998">
        <v>9.0819410943907606</v>
      </c>
      <c r="Q6998">
        <v>1.7957214534138799</v>
      </c>
      <c r="R6998">
        <v>3.1158754101529298</v>
      </c>
      <c r="S6998">
        <v>26</v>
      </c>
      <c r="T6998">
        <v>62</v>
      </c>
      <c r="U6998">
        <v>480.021669577973</v>
      </c>
      <c r="V6998">
        <v>3.0487804878048699E-3</v>
      </c>
      <c r="W6998">
        <v>878720.33990436199</v>
      </c>
      <c r="X6998" t="s">
        <v>42</v>
      </c>
      <c r="Y6998">
        <f>1-427-892-5602</f>
        <v>-6920</v>
      </c>
    </row>
    <row r="6999" spans="1:25" x14ac:dyDescent="0.35">
      <c r="A6999">
        <v>38.841018697260701</v>
      </c>
      <c r="B6999">
        <v>-114.76998701114</v>
      </c>
      <c r="C6999" t="s">
        <v>29</v>
      </c>
      <c r="D6999">
        <v>18.595007324895999</v>
      </c>
      <c r="E6999">
        <v>0</v>
      </c>
      <c r="F6999">
        <v>1712</v>
      </c>
      <c r="G6999">
        <v>1</v>
      </c>
      <c r="H6999">
        <v>2</v>
      </c>
      <c r="I6999">
        <v>2002</v>
      </c>
      <c r="J6999">
        <v>0</v>
      </c>
      <c r="K6999">
        <v>1</v>
      </c>
      <c r="L6999">
        <v>0</v>
      </c>
      <c r="M6999">
        <v>8</v>
      </c>
      <c r="N6999" t="s">
        <v>35</v>
      </c>
      <c r="O6999" t="s">
        <v>30</v>
      </c>
      <c r="P6999">
        <v>11.185850300410401</v>
      </c>
      <c r="Q6999">
        <v>1.05198134253918</v>
      </c>
      <c r="R6999">
        <v>7.4493344408933204</v>
      </c>
      <c r="S6999">
        <v>28</v>
      </c>
      <c r="T6999">
        <v>69</v>
      </c>
      <c r="U6999">
        <v>282.99858094767097</v>
      </c>
      <c r="V6999">
        <v>4.6728971962616802E-3</v>
      </c>
      <c r="W6999">
        <v>645320.48723879398</v>
      </c>
      <c r="X6999" t="s">
        <v>44</v>
      </c>
      <c r="Y6999">
        <f>1-210-805-3385</f>
        <v>-4399</v>
      </c>
    </row>
    <row r="7000" spans="1:25" x14ac:dyDescent="0.35">
      <c r="A7000">
        <v>33.237668521090498</v>
      </c>
      <c r="B7000">
        <v>-119.421505657651</v>
      </c>
      <c r="C7000" t="s">
        <v>25</v>
      </c>
      <c r="D7000">
        <v>31.734778354147998</v>
      </c>
      <c r="E7000">
        <v>0</v>
      </c>
      <c r="F7000">
        <v>1688</v>
      </c>
      <c r="G7000">
        <v>1</v>
      </c>
      <c r="H7000">
        <v>2</v>
      </c>
      <c r="I7000">
        <v>2017</v>
      </c>
      <c r="J7000">
        <v>0</v>
      </c>
      <c r="K7000">
        <v>0</v>
      </c>
      <c r="L7000">
        <v>1</v>
      </c>
      <c r="M7000">
        <v>9</v>
      </c>
      <c r="N7000" t="s">
        <v>41</v>
      </c>
      <c r="O7000" t="s">
        <v>32</v>
      </c>
      <c r="P7000">
        <v>13.495471577738</v>
      </c>
      <c r="Q7000">
        <v>0.82878898529189804</v>
      </c>
      <c r="R7000">
        <v>2.20283616177568</v>
      </c>
      <c r="S7000">
        <v>117</v>
      </c>
      <c r="T7000">
        <v>38</v>
      </c>
      <c r="U7000">
        <v>850.48265226813396</v>
      </c>
      <c r="V7000">
        <v>5.3317535545023701E-3</v>
      </c>
      <c r="W7000">
        <v>1676920.30445618</v>
      </c>
      <c r="X7000" t="s">
        <v>39</v>
      </c>
      <c r="Y7000">
        <f>1-404-415-4355</f>
        <v>-5173</v>
      </c>
    </row>
    <row r="7001" spans="1:25" x14ac:dyDescent="0.35">
      <c r="A7001">
        <v>33.898893308960197</v>
      </c>
      <c r="B7001">
        <v>-118.29013972301701</v>
      </c>
      <c r="C7001" t="s">
        <v>29</v>
      </c>
      <c r="D7001">
        <v>3.2368787769479299</v>
      </c>
      <c r="E7001">
        <v>9</v>
      </c>
      <c r="F7001">
        <v>3724</v>
      </c>
      <c r="G7001">
        <v>4</v>
      </c>
      <c r="H7001">
        <v>3</v>
      </c>
      <c r="I7001">
        <v>1964</v>
      </c>
      <c r="J7001">
        <v>1</v>
      </c>
      <c r="K7001">
        <v>0</v>
      </c>
      <c r="L7001">
        <v>1</v>
      </c>
      <c r="M7001">
        <v>9</v>
      </c>
      <c r="N7001" t="s">
        <v>41</v>
      </c>
      <c r="O7001" t="s">
        <v>32</v>
      </c>
      <c r="P7001">
        <v>12.628108491663401</v>
      </c>
      <c r="Q7001">
        <v>1.67290370985354</v>
      </c>
      <c r="R7001">
        <v>8.60151467272998</v>
      </c>
      <c r="S7001">
        <v>143</v>
      </c>
      <c r="T7001">
        <v>66</v>
      </c>
      <c r="U7001">
        <v>626.18470875905598</v>
      </c>
      <c r="V7001">
        <v>2.4167561761546702E-3</v>
      </c>
      <c r="W7001">
        <v>2687680.23058721</v>
      </c>
      <c r="X7001" t="s">
        <v>38</v>
      </c>
      <c r="Y7001">
        <f>1-431-844-1334</f>
        <v>-2608</v>
      </c>
    </row>
    <row r="7002" spans="1:25" x14ac:dyDescent="0.35">
      <c r="A7002">
        <v>35.222720306030602</v>
      </c>
      <c r="B7002">
        <v>-124.020571094663</v>
      </c>
      <c r="C7002" t="s">
        <v>25</v>
      </c>
      <c r="D7002">
        <v>38.248019587322297</v>
      </c>
      <c r="E7002">
        <v>2</v>
      </c>
      <c r="F7002">
        <v>4299</v>
      </c>
      <c r="G7002">
        <v>1</v>
      </c>
      <c r="H7002">
        <v>2</v>
      </c>
      <c r="I7002">
        <v>2009</v>
      </c>
      <c r="J7002">
        <v>0</v>
      </c>
      <c r="K7002">
        <v>0</v>
      </c>
      <c r="L7002">
        <v>1</v>
      </c>
      <c r="M7002">
        <v>5</v>
      </c>
      <c r="N7002" t="s">
        <v>35</v>
      </c>
      <c r="O7002" t="s">
        <v>27</v>
      </c>
      <c r="P7002">
        <v>2.7932119699136502</v>
      </c>
      <c r="Q7002">
        <v>0.55658997287787604</v>
      </c>
      <c r="R7002">
        <v>7.5773935352267801</v>
      </c>
      <c r="S7002">
        <v>161</v>
      </c>
      <c r="T7002">
        <v>40</v>
      </c>
      <c r="U7002">
        <v>833.21977895521604</v>
      </c>
      <c r="V7002">
        <v>1.1630611770179101E-3</v>
      </c>
      <c r="W7002">
        <v>3590914.7391089099</v>
      </c>
      <c r="X7002" t="s">
        <v>38</v>
      </c>
      <c r="Y7002">
        <f>1-886-433-9668</f>
        <v>-10986</v>
      </c>
    </row>
    <row r="7003" spans="1:25" x14ac:dyDescent="0.35">
      <c r="A7003">
        <v>35.759585761478398</v>
      </c>
      <c r="B7003">
        <v>-123.35906084397701</v>
      </c>
      <c r="C7003" t="s">
        <v>25</v>
      </c>
      <c r="D7003">
        <v>36.483344695289396</v>
      </c>
      <c r="E7003">
        <v>5</v>
      </c>
      <c r="F7003">
        <v>1490</v>
      </c>
      <c r="G7003">
        <v>3</v>
      </c>
      <c r="H7003">
        <v>2</v>
      </c>
      <c r="I7003">
        <v>1976</v>
      </c>
      <c r="J7003">
        <v>1</v>
      </c>
      <c r="K7003">
        <v>0</v>
      </c>
      <c r="L7003">
        <v>0</v>
      </c>
      <c r="M7003">
        <v>7</v>
      </c>
      <c r="N7003" t="s">
        <v>26</v>
      </c>
      <c r="O7003" t="s">
        <v>32</v>
      </c>
      <c r="P7003">
        <v>12.9481079259431</v>
      </c>
      <c r="Q7003">
        <v>1.9108343974796</v>
      </c>
      <c r="R7003">
        <v>3.7873006402954998</v>
      </c>
      <c r="S7003">
        <v>189</v>
      </c>
      <c r="T7003">
        <v>24</v>
      </c>
      <c r="U7003">
        <v>758.24805627472404</v>
      </c>
      <c r="V7003">
        <v>4.6979865771811999E-3</v>
      </c>
      <c r="W7003">
        <v>1376880.52993541</v>
      </c>
      <c r="X7003" t="s">
        <v>33</v>
      </c>
      <c r="Y7003">
        <f>1-262-558-6941</f>
        <v>-7760</v>
      </c>
    </row>
    <row r="7004" spans="1:25" x14ac:dyDescent="0.35">
      <c r="A7004">
        <v>33.204831468086603</v>
      </c>
      <c r="B7004">
        <v>-117.280297069745</v>
      </c>
      <c r="C7004" t="s">
        <v>29</v>
      </c>
      <c r="D7004">
        <v>35.792028168218501</v>
      </c>
      <c r="E7004">
        <v>8</v>
      </c>
      <c r="F7004">
        <v>3365</v>
      </c>
      <c r="G7004">
        <v>5</v>
      </c>
      <c r="H7004">
        <v>2</v>
      </c>
      <c r="I7004">
        <v>1998</v>
      </c>
      <c r="J7004">
        <v>0</v>
      </c>
      <c r="K7004">
        <v>1</v>
      </c>
      <c r="L7004">
        <v>1</v>
      </c>
      <c r="M7004">
        <v>14</v>
      </c>
      <c r="N7004" t="s">
        <v>26</v>
      </c>
      <c r="O7004" t="s">
        <v>32</v>
      </c>
      <c r="P7004">
        <v>2.9854771765028598</v>
      </c>
      <c r="Q7004">
        <v>2.45472271843422</v>
      </c>
      <c r="R7004">
        <v>2.9338028893393</v>
      </c>
      <c r="S7004">
        <v>26</v>
      </c>
      <c r="T7004">
        <v>63</v>
      </c>
      <c r="U7004">
        <v>318.391072933396</v>
      </c>
      <c r="V7004">
        <v>4.1604754829123302E-3</v>
      </c>
      <c r="W7004">
        <v>1527130.3621793</v>
      </c>
      <c r="X7004" t="s">
        <v>28</v>
      </c>
      <c r="Y7004">
        <f>1-223-294-2150</f>
        <v>-2666</v>
      </c>
    </row>
    <row r="7005" spans="1:25" x14ac:dyDescent="0.35">
      <c r="A7005">
        <v>35.107116572025703</v>
      </c>
      <c r="B7005">
        <v>-122.591384050402</v>
      </c>
      <c r="C7005" t="s">
        <v>25</v>
      </c>
      <c r="D7005">
        <v>35.721862617406899</v>
      </c>
      <c r="E7005">
        <v>6</v>
      </c>
      <c r="F7005">
        <v>1251</v>
      </c>
      <c r="G7005">
        <v>5</v>
      </c>
      <c r="H7005">
        <v>3</v>
      </c>
      <c r="I7005">
        <v>1981</v>
      </c>
      <c r="J7005">
        <v>0</v>
      </c>
      <c r="K7005">
        <v>0</v>
      </c>
      <c r="L7005">
        <v>0</v>
      </c>
      <c r="M7005">
        <v>13</v>
      </c>
      <c r="N7005" t="s">
        <v>35</v>
      </c>
      <c r="O7005" t="s">
        <v>32</v>
      </c>
      <c r="P7005">
        <v>13.446645032836001</v>
      </c>
      <c r="Q7005">
        <v>1.6619997773831101</v>
      </c>
      <c r="R7005">
        <v>0.15615541019808099</v>
      </c>
      <c r="S7005">
        <v>155</v>
      </c>
      <c r="T7005">
        <v>59</v>
      </c>
      <c r="U7005">
        <v>895.58513393207102</v>
      </c>
      <c r="V7005">
        <v>1.03916866506794E-2</v>
      </c>
      <c r="W7005">
        <v>1486343.5398635799</v>
      </c>
      <c r="X7005" t="s">
        <v>31</v>
      </c>
      <c r="Y7005">
        <f>1-398-721-8263</f>
        <v>-9381</v>
      </c>
    </row>
    <row r="7006" spans="1:25" x14ac:dyDescent="0.35">
      <c r="A7006">
        <v>39.174904990392697</v>
      </c>
      <c r="B7006">
        <v>-119.003428712336</v>
      </c>
      <c r="C7006" t="s">
        <v>29</v>
      </c>
      <c r="D7006">
        <v>12.9969827535196</v>
      </c>
      <c r="E7006">
        <v>3</v>
      </c>
      <c r="F7006">
        <v>2083</v>
      </c>
      <c r="G7006">
        <v>3</v>
      </c>
      <c r="H7006">
        <v>2</v>
      </c>
      <c r="I7006">
        <v>1965</v>
      </c>
      <c r="J7006">
        <v>1</v>
      </c>
      <c r="K7006">
        <v>1</v>
      </c>
      <c r="L7006">
        <v>0</v>
      </c>
      <c r="M7006">
        <v>13</v>
      </c>
      <c r="N7006" t="s">
        <v>37</v>
      </c>
      <c r="O7006" t="s">
        <v>32</v>
      </c>
      <c r="P7006">
        <v>6.0747355037736197</v>
      </c>
      <c r="Q7006">
        <v>1.4829274904444201</v>
      </c>
      <c r="R7006">
        <v>5.8530401815944604</v>
      </c>
      <c r="S7006">
        <v>82</v>
      </c>
      <c r="T7006">
        <v>78</v>
      </c>
      <c r="U7006">
        <v>285.54743521747099</v>
      </c>
      <c r="V7006">
        <v>6.2409985597695599E-3</v>
      </c>
      <c r="W7006">
        <v>909863.31782476301</v>
      </c>
      <c r="X7006" t="s">
        <v>36</v>
      </c>
      <c r="Y7006">
        <f>1-262-921-4438</f>
        <v>-5620</v>
      </c>
    </row>
    <row r="7007" spans="1:25" x14ac:dyDescent="0.35">
      <c r="A7007">
        <v>35.9193395414474</v>
      </c>
      <c r="B7007">
        <v>-121.162769500282</v>
      </c>
      <c r="C7007" t="s">
        <v>25</v>
      </c>
      <c r="D7007">
        <v>3.2206250883822301</v>
      </c>
      <c r="E7007">
        <v>7</v>
      </c>
      <c r="F7007">
        <v>651</v>
      </c>
      <c r="G7007">
        <v>5</v>
      </c>
      <c r="H7007">
        <v>2</v>
      </c>
      <c r="I7007">
        <v>1993</v>
      </c>
      <c r="J7007">
        <v>0</v>
      </c>
      <c r="K7007">
        <v>1</v>
      </c>
      <c r="L7007">
        <v>1</v>
      </c>
      <c r="M7007">
        <v>9</v>
      </c>
      <c r="N7007" t="s">
        <v>41</v>
      </c>
      <c r="O7007" t="s">
        <v>27</v>
      </c>
      <c r="P7007">
        <v>7.1475907963261696</v>
      </c>
      <c r="Q7007">
        <v>1.1365927992693701</v>
      </c>
      <c r="R7007">
        <v>5.5757274385322404</v>
      </c>
      <c r="S7007">
        <v>60</v>
      </c>
      <c r="T7007">
        <v>77</v>
      </c>
      <c r="U7007">
        <v>672.02780131797203</v>
      </c>
      <c r="V7007">
        <v>1.3824884792626699E-2</v>
      </c>
      <c r="W7007">
        <v>821198.83789811702</v>
      </c>
      <c r="X7007" t="s">
        <v>43</v>
      </c>
      <c r="Y7007">
        <f>1-838-770-9996</f>
        <v>-11603</v>
      </c>
    </row>
    <row r="7008" spans="1:25" x14ac:dyDescent="0.35">
      <c r="A7008">
        <v>37.175648391028197</v>
      </c>
      <c r="B7008">
        <v>-114.931649925957</v>
      </c>
      <c r="C7008" t="s">
        <v>34</v>
      </c>
      <c r="D7008">
        <v>41.297806575532199</v>
      </c>
      <c r="E7008">
        <v>6</v>
      </c>
      <c r="F7008">
        <v>673</v>
      </c>
      <c r="G7008">
        <v>4</v>
      </c>
      <c r="H7008">
        <v>2</v>
      </c>
      <c r="I7008">
        <v>1968</v>
      </c>
      <c r="J7008">
        <v>1</v>
      </c>
      <c r="K7008">
        <v>1</v>
      </c>
      <c r="L7008">
        <v>0</v>
      </c>
      <c r="M7008">
        <v>10</v>
      </c>
      <c r="N7008" t="s">
        <v>26</v>
      </c>
      <c r="O7008" t="s">
        <v>32</v>
      </c>
      <c r="P7008">
        <v>7.9011529235902902</v>
      </c>
      <c r="Q7008">
        <v>0.73925485463016904</v>
      </c>
      <c r="R7008">
        <v>6.5145397371608498</v>
      </c>
      <c r="S7008">
        <v>190</v>
      </c>
      <c r="T7008">
        <v>48</v>
      </c>
      <c r="U7008">
        <v>799.90859213478097</v>
      </c>
      <c r="V7008">
        <v>1.4858841010401099E-2</v>
      </c>
      <c r="W7008">
        <v>846202.00059313502</v>
      </c>
      <c r="X7008" t="s">
        <v>28</v>
      </c>
      <c r="Y7008">
        <f>1-791-325-3866</f>
        <v>-4981</v>
      </c>
    </row>
    <row r="7009" spans="1:25" x14ac:dyDescent="0.35">
      <c r="A7009">
        <v>40.848779143763899</v>
      </c>
      <c r="B7009">
        <v>-122.756975225052</v>
      </c>
      <c r="C7009" t="s">
        <v>25</v>
      </c>
      <c r="D7009">
        <v>41.032510553887001</v>
      </c>
      <c r="E7009">
        <v>3</v>
      </c>
      <c r="F7009">
        <v>3277</v>
      </c>
      <c r="G7009">
        <v>5</v>
      </c>
      <c r="H7009">
        <v>2</v>
      </c>
      <c r="I7009">
        <v>1983</v>
      </c>
      <c r="J7009">
        <v>0</v>
      </c>
      <c r="K7009">
        <v>1</v>
      </c>
      <c r="L7009">
        <v>1</v>
      </c>
      <c r="M7009">
        <v>4</v>
      </c>
      <c r="N7009" t="s">
        <v>41</v>
      </c>
      <c r="O7009" t="s">
        <v>27</v>
      </c>
      <c r="P7009">
        <v>6.5392890936651096</v>
      </c>
      <c r="Q7009">
        <v>1.0265501438823901</v>
      </c>
      <c r="R7009">
        <v>4.4733626988616901</v>
      </c>
      <c r="S7009">
        <v>19</v>
      </c>
      <c r="T7009">
        <v>20</v>
      </c>
      <c r="U7009">
        <v>278.233845905142</v>
      </c>
      <c r="V7009">
        <v>1.22062862374122E-3</v>
      </c>
      <c r="W7009">
        <v>1319834.5492143</v>
      </c>
      <c r="X7009" t="s">
        <v>28</v>
      </c>
      <c r="Y7009">
        <f>1-851-987-8684</f>
        <v>-10521</v>
      </c>
    </row>
    <row r="7010" spans="1:25" x14ac:dyDescent="0.35">
      <c r="A7010">
        <v>37.943846546266698</v>
      </c>
      <c r="B7010">
        <v>-119.562556937648</v>
      </c>
      <c r="C7010" t="s">
        <v>34</v>
      </c>
      <c r="D7010">
        <v>28.245079279782001</v>
      </c>
      <c r="E7010">
        <v>0</v>
      </c>
      <c r="F7010">
        <v>1979</v>
      </c>
      <c r="G7010">
        <v>4</v>
      </c>
      <c r="H7010">
        <v>2</v>
      </c>
      <c r="I7010">
        <v>1989</v>
      </c>
      <c r="J7010">
        <v>0</v>
      </c>
      <c r="K7010">
        <v>1</v>
      </c>
      <c r="L7010">
        <v>1</v>
      </c>
      <c r="M7010">
        <v>14</v>
      </c>
      <c r="N7010" t="s">
        <v>37</v>
      </c>
      <c r="O7010" t="s">
        <v>27</v>
      </c>
      <c r="P7010">
        <v>7.79776369872845</v>
      </c>
      <c r="Q7010">
        <v>1.8617963916923399</v>
      </c>
      <c r="R7010">
        <v>5.4399505692716499</v>
      </c>
      <c r="S7010">
        <v>179</v>
      </c>
      <c r="T7010">
        <v>56</v>
      </c>
      <c r="U7010">
        <v>218.80730026302601</v>
      </c>
      <c r="V7010">
        <v>7.0742799393633104E-3</v>
      </c>
      <c r="W7010">
        <v>790351.92353181494</v>
      </c>
      <c r="X7010" t="s">
        <v>39</v>
      </c>
      <c r="Y7010">
        <f>1-320-675-5174</f>
        <v>-6168</v>
      </c>
    </row>
    <row r="7011" spans="1:25" x14ac:dyDescent="0.35">
      <c r="A7011">
        <v>40.594705522905102</v>
      </c>
      <c r="B7011">
        <v>-123.251044144418</v>
      </c>
      <c r="C7011" t="s">
        <v>34</v>
      </c>
      <c r="D7011">
        <v>16.815248282132298</v>
      </c>
      <c r="E7011">
        <v>2</v>
      </c>
      <c r="F7011">
        <v>3104</v>
      </c>
      <c r="G7011">
        <v>3</v>
      </c>
      <c r="H7011">
        <v>1</v>
      </c>
      <c r="I7011">
        <v>1995</v>
      </c>
      <c r="J7011">
        <v>0</v>
      </c>
      <c r="K7011">
        <v>1</v>
      </c>
      <c r="L7011">
        <v>0</v>
      </c>
      <c r="M7011">
        <v>4</v>
      </c>
      <c r="N7011" t="s">
        <v>41</v>
      </c>
      <c r="O7011" t="s">
        <v>27</v>
      </c>
      <c r="P7011">
        <v>13.002648728749501</v>
      </c>
      <c r="Q7011">
        <v>2.34943394353609</v>
      </c>
      <c r="R7011">
        <v>3.9845608736272999</v>
      </c>
      <c r="S7011">
        <v>20</v>
      </c>
      <c r="T7011">
        <v>52</v>
      </c>
      <c r="U7011">
        <v>577.72783540948899</v>
      </c>
      <c r="V7011">
        <v>1.2886597938144299E-3</v>
      </c>
      <c r="W7011">
        <v>2062162.2163167801</v>
      </c>
      <c r="X7011" t="s">
        <v>31</v>
      </c>
      <c r="Y7011">
        <f>1-801-835-1307</f>
        <v>-2942</v>
      </c>
    </row>
    <row r="7012" spans="1:25" x14ac:dyDescent="0.35">
      <c r="A7012">
        <v>37.3639148284675</v>
      </c>
      <c r="B7012">
        <v>-121.96651660803499</v>
      </c>
      <c r="C7012" t="s">
        <v>29</v>
      </c>
      <c r="D7012">
        <v>26.540354919512499</v>
      </c>
      <c r="E7012">
        <v>8</v>
      </c>
      <c r="F7012">
        <v>3376</v>
      </c>
      <c r="G7012">
        <v>4</v>
      </c>
      <c r="H7012">
        <v>1</v>
      </c>
      <c r="I7012">
        <v>1966</v>
      </c>
      <c r="J7012">
        <v>0</v>
      </c>
      <c r="K7012">
        <v>1</v>
      </c>
      <c r="L7012">
        <v>0</v>
      </c>
      <c r="M7012">
        <v>9</v>
      </c>
      <c r="N7012" t="s">
        <v>35</v>
      </c>
      <c r="O7012" t="s">
        <v>32</v>
      </c>
      <c r="P7012">
        <v>10.7747634902419</v>
      </c>
      <c r="Q7012">
        <v>0.61353598903045403</v>
      </c>
      <c r="R7012">
        <v>4.5534255492567297</v>
      </c>
      <c r="S7012">
        <v>136</v>
      </c>
      <c r="T7012">
        <v>70</v>
      </c>
      <c r="U7012">
        <v>451.83898523702402</v>
      </c>
      <c r="V7012">
        <v>2.6658767772511798E-3</v>
      </c>
      <c r="W7012">
        <v>1895808.0952472501</v>
      </c>
      <c r="X7012" t="s">
        <v>43</v>
      </c>
      <c r="Y7012">
        <f>1-258-590-5023</f>
        <v>-5870</v>
      </c>
    </row>
    <row r="7013" spans="1:25" x14ac:dyDescent="0.35">
      <c r="A7013">
        <v>35.9203720048056</v>
      </c>
      <c r="B7013">
        <v>-118.75619112203201</v>
      </c>
      <c r="C7013" t="s">
        <v>34</v>
      </c>
      <c r="D7013">
        <v>23.976020646083999</v>
      </c>
      <c r="E7013">
        <v>4</v>
      </c>
      <c r="F7013">
        <v>3254</v>
      </c>
      <c r="G7013">
        <v>4</v>
      </c>
      <c r="H7013">
        <v>1</v>
      </c>
      <c r="I7013">
        <v>1980</v>
      </c>
      <c r="J7013">
        <v>1</v>
      </c>
      <c r="K7013">
        <v>0</v>
      </c>
      <c r="L7013">
        <v>0</v>
      </c>
      <c r="M7013">
        <v>5</v>
      </c>
      <c r="N7013" t="s">
        <v>35</v>
      </c>
      <c r="O7013" t="s">
        <v>32</v>
      </c>
      <c r="P7013">
        <v>3.57497458156449</v>
      </c>
      <c r="Q7013">
        <v>1.51394695149539</v>
      </c>
      <c r="R7013">
        <v>8.75422729005642</v>
      </c>
      <c r="S7013">
        <v>108</v>
      </c>
      <c r="T7013">
        <v>27</v>
      </c>
      <c r="U7013">
        <v>204.77778728786501</v>
      </c>
      <c r="V7013">
        <v>1.5365703749231701E-3</v>
      </c>
      <c r="W7013">
        <v>838536.38684336399</v>
      </c>
      <c r="X7013" t="s">
        <v>43</v>
      </c>
      <c r="Y7013">
        <f>1-876-698-5590</f>
        <v>-7163</v>
      </c>
    </row>
    <row r="7014" spans="1:25" x14ac:dyDescent="0.35">
      <c r="A7014">
        <v>37.301462727910398</v>
      </c>
      <c r="B7014">
        <v>-118.763521398969</v>
      </c>
      <c r="C7014" t="s">
        <v>29</v>
      </c>
      <c r="D7014">
        <v>9.6779539402669208</v>
      </c>
      <c r="E7014">
        <v>3</v>
      </c>
      <c r="F7014">
        <v>4114</v>
      </c>
      <c r="G7014">
        <v>5</v>
      </c>
      <c r="H7014">
        <v>2</v>
      </c>
      <c r="I7014">
        <v>1978</v>
      </c>
      <c r="J7014">
        <v>1</v>
      </c>
      <c r="K7014">
        <v>1</v>
      </c>
      <c r="L7014">
        <v>0</v>
      </c>
      <c r="M7014">
        <v>12</v>
      </c>
      <c r="N7014" t="s">
        <v>37</v>
      </c>
      <c r="O7014" t="s">
        <v>32</v>
      </c>
      <c r="P7014">
        <v>3.1156076320849202</v>
      </c>
      <c r="Q7014">
        <v>0.65130799512462301</v>
      </c>
      <c r="R7014">
        <v>8.5215340237446693</v>
      </c>
      <c r="S7014">
        <v>157</v>
      </c>
      <c r="T7014">
        <v>65</v>
      </c>
      <c r="U7014">
        <v>560.04608242043696</v>
      </c>
      <c r="V7014">
        <v>2.9168692270296502E-3</v>
      </c>
      <c r="W7014">
        <v>2658064.2192272302</v>
      </c>
      <c r="X7014" t="s">
        <v>42</v>
      </c>
      <c r="Y7014">
        <f>1-215-624-9631</f>
        <v>-10469</v>
      </c>
    </row>
    <row r="7015" spans="1:25" x14ac:dyDescent="0.35">
      <c r="A7015">
        <v>37.140367633795897</v>
      </c>
      <c r="B7015">
        <v>-118.641111373878</v>
      </c>
      <c r="C7015" t="s">
        <v>34</v>
      </c>
      <c r="D7015">
        <v>9.6428667284271796</v>
      </c>
      <c r="E7015">
        <v>1</v>
      </c>
      <c r="F7015">
        <v>2761</v>
      </c>
      <c r="G7015">
        <v>5</v>
      </c>
      <c r="H7015">
        <v>3</v>
      </c>
      <c r="I7015">
        <v>1957</v>
      </c>
      <c r="J7015">
        <v>1</v>
      </c>
      <c r="K7015">
        <v>1</v>
      </c>
      <c r="L7015">
        <v>1</v>
      </c>
      <c r="M7015">
        <v>12</v>
      </c>
      <c r="N7015" t="s">
        <v>41</v>
      </c>
      <c r="O7015" t="s">
        <v>30</v>
      </c>
      <c r="P7015">
        <v>10.0207865055854</v>
      </c>
      <c r="Q7015">
        <v>0.54921262879783095</v>
      </c>
      <c r="R7015">
        <v>2.7748440491605999</v>
      </c>
      <c r="S7015">
        <v>145</v>
      </c>
      <c r="T7015">
        <v>31</v>
      </c>
      <c r="U7015">
        <v>996.77753102714905</v>
      </c>
      <c r="V7015">
        <v>4.3462513582035404E-3</v>
      </c>
      <c r="W7015">
        <v>3227585.7843543999</v>
      </c>
      <c r="X7015" t="s">
        <v>42</v>
      </c>
      <c r="Y7015">
        <f>1-363-943-2261</f>
        <v>-3566</v>
      </c>
    </row>
    <row r="7016" spans="1:25" x14ac:dyDescent="0.35">
      <c r="A7016">
        <v>40.581741306995298</v>
      </c>
      <c r="B7016">
        <v>-121.96503984058801</v>
      </c>
      <c r="C7016" t="s">
        <v>25</v>
      </c>
      <c r="D7016">
        <v>13.3708261843912</v>
      </c>
      <c r="E7016">
        <v>2</v>
      </c>
      <c r="F7016">
        <v>3000</v>
      </c>
      <c r="G7016">
        <v>5</v>
      </c>
      <c r="H7016">
        <v>2</v>
      </c>
      <c r="I7016">
        <v>1960</v>
      </c>
      <c r="J7016">
        <v>0</v>
      </c>
      <c r="K7016">
        <v>1</v>
      </c>
      <c r="L7016">
        <v>0</v>
      </c>
      <c r="M7016">
        <v>12</v>
      </c>
      <c r="N7016" t="s">
        <v>35</v>
      </c>
      <c r="O7016" t="s">
        <v>32</v>
      </c>
      <c r="P7016">
        <v>6.06968644660639</v>
      </c>
      <c r="Q7016">
        <v>0.64270392693569101</v>
      </c>
      <c r="R7016">
        <v>9.9129591853695107</v>
      </c>
      <c r="S7016">
        <v>134</v>
      </c>
      <c r="T7016">
        <v>28</v>
      </c>
      <c r="U7016">
        <v>294.97179644179897</v>
      </c>
      <c r="V7016">
        <v>4.0000000000000001E-3</v>
      </c>
      <c r="W7016">
        <v>1281430.7126998799</v>
      </c>
      <c r="X7016" t="s">
        <v>38</v>
      </c>
      <c r="Y7016">
        <f>1-617-616-2723</f>
        <v>-3955</v>
      </c>
    </row>
    <row r="7017" spans="1:25" x14ac:dyDescent="0.35">
      <c r="A7017">
        <v>33.049764294704197</v>
      </c>
      <c r="B7017">
        <v>-120.05730078411899</v>
      </c>
      <c r="C7017" t="s">
        <v>34</v>
      </c>
      <c r="D7017">
        <v>4.3669010353334201</v>
      </c>
      <c r="E7017">
        <v>9</v>
      </c>
      <c r="F7017">
        <v>2490</v>
      </c>
      <c r="G7017">
        <v>4</v>
      </c>
      <c r="H7017">
        <v>2</v>
      </c>
      <c r="I7017">
        <v>1978</v>
      </c>
      <c r="J7017">
        <v>1</v>
      </c>
      <c r="K7017">
        <v>1</v>
      </c>
      <c r="L7017">
        <v>0</v>
      </c>
      <c r="M7017">
        <v>13</v>
      </c>
      <c r="N7017" t="s">
        <v>35</v>
      </c>
      <c r="O7017" t="s">
        <v>30</v>
      </c>
      <c r="P7017">
        <v>10.0469285965811</v>
      </c>
      <c r="Q7017">
        <v>1.15392721033889</v>
      </c>
      <c r="R7017">
        <v>2.0780811602833502</v>
      </c>
      <c r="S7017">
        <v>129</v>
      </c>
      <c r="T7017">
        <v>70</v>
      </c>
      <c r="U7017">
        <v>974.72875079104801</v>
      </c>
      <c r="V7017">
        <v>5.2208835341365396E-3</v>
      </c>
      <c r="W7017">
        <v>2860812.5846569599</v>
      </c>
      <c r="X7017" t="s">
        <v>36</v>
      </c>
      <c r="Y7017">
        <f>1-554-449-8931</f>
        <v>-9933</v>
      </c>
    </row>
    <row r="7018" spans="1:25" x14ac:dyDescent="0.35">
      <c r="A7018">
        <v>34.999001904820602</v>
      </c>
      <c r="B7018">
        <v>-123.698204253188</v>
      </c>
      <c r="C7018" t="s">
        <v>25</v>
      </c>
      <c r="D7018">
        <v>8.7681509998161307</v>
      </c>
      <c r="E7018">
        <v>1</v>
      </c>
      <c r="F7018">
        <v>3526</v>
      </c>
      <c r="G7018">
        <v>4</v>
      </c>
      <c r="H7018">
        <v>1</v>
      </c>
      <c r="I7018">
        <v>2009</v>
      </c>
      <c r="J7018">
        <v>1</v>
      </c>
      <c r="K7018">
        <v>0</v>
      </c>
      <c r="L7018">
        <v>0</v>
      </c>
      <c r="M7018">
        <v>11</v>
      </c>
      <c r="N7018" t="s">
        <v>37</v>
      </c>
      <c r="O7018" t="s">
        <v>30</v>
      </c>
      <c r="P7018">
        <v>3.8655383309397102</v>
      </c>
      <c r="Q7018">
        <v>1.00078575193876</v>
      </c>
      <c r="R7018">
        <v>3.30301999730227</v>
      </c>
      <c r="S7018">
        <v>15</v>
      </c>
      <c r="T7018">
        <v>26</v>
      </c>
      <c r="U7018">
        <v>253.28689473654799</v>
      </c>
      <c r="V7018">
        <v>3.1196823596142901E-3</v>
      </c>
      <c r="W7018">
        <v>1091143.79950477</v>
      </c>
      <c r="X7018" t="s">
        <v>40</v>
      </c>
      <c r="Y7018">
        <f>1-881-799-1441</f>
        <v>-3120</v>
      </c>
    </row>
    <row r="7019" spans="1:25" x14ac:dyDescent="0.35">
      <c r="A7019">
        <v>32.751363696920599</v>
      </c>
      <c r="B7019">
        <v>-119.28421399520199</v>
      </c>
      <c r="C7019" t="s">
        <v>29</v>
      </c>
      <c r="D7019">
        <v>29.539245352384299</v>
      </c>
      <c r="E7019">
        <v>1</v>
      </c>
      <c r="F7019">
        <v>3635</v>
      </c>
      <c r="G7019">
        <v>3</v>
      </c>
      <c r="H7019">
        <v>1</v>
      </c>
      <c r="I7019">
        <v>1955</v>
      </c>
      <c r="J7019">
        <v>0</v>
      </c>
      <c r="K7019">
        <v>0</v>
      </c>
      <c r="L7019">
        <v>1</v>
      </c>
      <c r="M7019">
        <v>10</v>
      </c>
      <c r="N7019" t="s">
        <v>41</v>
      </c>
      <c r="O7019" t="s">
        <v>27</v>
      </c>
      <c r="P7019">
        <v>12.3428344915528</v>
      </c>
      <c r="Q7019">
        <v>1.84359889577779</v>
      </c>
      <c r="R7019">
        <v>9.0998681699080102</v>
      </c>
      <c r="S7019">
        <v>63</v>
      </c>
      <c r="T7019">
        <v>76</v>
      </c>
      <c r="U7019">
        <v>721.71369063065902</v>
      </c>
      <c r="V7019">
        <v>2.7510316368638201E-3</v>
      </c>
      <c r="W7019">
        <v>2851377.1645553801</v>
      </c>
      <c r="X7019" t="s">
        <v>38</v>
      </c>
      <c r="Y7019">
        <f>1-508-443-7590</f>
        <v>-8540</v>
      </c>
    </row>
    <row r="7020" spans="1:25" x14ac:dyDescent="0.35">
      <c r="A7020">
        <v>37.304487195118703</v>
      </c>
      <c r="B7020">
        <v>-121.60726710311</v>
      </c>
      <c r="C7020" t="s">
        <v>25</v>
      </c>
      <c r="D7020">
        <v>26.291525081031502</v>
      </c>
      <c r="E7020">
        <v>1</v>
      </c>
      <c r="F7020">
        <v>4959</v>
      </c>
      <c r="G7020">
        <v>5</v>
      </c>
      <c r="H7020">
        <v>3</v>
      </c>
      <c r="I7020">
        <v>2012</v>
      </c>
      <c r="J7020">
        <v>0</v>
      </c>
      <c r="K7020">
        <v>1</v>
      </c>
      <c r="L7020">
        <v>0</v>
      </c>
      <c r="M7020">
        <v>14</v>
      </c>
      <c r="N7020" t="s">
        <v>35</v>
      </c>
      <c r="O7020" t="s">
        <v>30</v>
      </c>
      <c r="P7020">
        <v>9.1533541429160206</v>
      </c>
      <c r="Q7020">
        <v>1.1422750211792401</v>
      </c>
      <c r="R7020">
        <v>7.4897032027577604</v>
      </c>
      <c r="S7020">
        <v>146</v>
      </c>
      <c r="T7020">
        <v>38</v>
      </c>
      <c r="U7020">
        <v>517.298238789415</v>
      </c>
      <c r="V7020">
        <v>2.82314982859447E-3</v>
      </c>
      <c r="W7020">
        <v>3028858.4733234802</v>
      </c>
      <c r="X7020" t="s">
        <v>39</v>
      </c>
      <c r="Y7020">
        <f>1-262-620-7257</f>
        <v>-8138</v>
      </c>
    </row>
    <row r="7021" spans="1:25" x14ac:dyDescent="0.35">
      <c r="A7021">
        <v>38.458316469554198</v>
      </c>
      <c r="B7021">
        <v>-124.13947482043901</v>
      </c>
      <c r="C7021" t="s">
        <v>29</v>
      </c>
      <c r="D7021">
        <v>25.5360993961189</v>
      </c>
      <c r="E7021">
        <v>7</v>
      </c>
      <c r="F7021">
        <v>3419</v>
      </c>
      <c r="G7021">
        <v>2</v>
      </c>
      <c r="H7021">
        <v>2</v>
      </c>
      <c r="I7021">
        <v>1977</v>
      </c>
      <c r="J7021">
        <v>0</v>
      </c>
      <c r="K7021">
        <v>1</v>
      </c>
      <c r="L7021">
        <v>1</v>
      </c>
      <c r="M7021">
        <v>8</v>
      </c>
      <c r="N7021" t="s">
        <v>26</v>
      </c>
      <c r="O7021" t="s">
        <v>27</v>
      </c>
      <c r="P7021">
        <v>12.762037188327501</v>
      </c>
      <c r="Q7021">
        <v>1.4410522853487699</v>
      </c>
      <c r="R7021">
        <v>4.5974418382584998</v>
      </c>
      <c r="S7021">
        <v>123</v>
      </c>
      <c r="T7021">
        <v>59</v>
      </c>
      <c r="U7021">
        <v>401.52601496638903</v>
      </c>
      <c r="V7021">
        <v>2.3398654577361801E-3</v>
      </c>
      <c r="W7021">
        <v>1681221.70403303</v>
      </c>
      <c r="X7021" t="s">
        <v>39</v>
      </c>
      <c r="Y7021">
        <f>1-256-347-6935</f>
        <v>-7537</v>
      </c>
    </row>
    <row r="7022" spans="1:25" x14ac:dyDescent="0.35">
      <c r="A7022">
        <v>41.1177424697864</v>
      </c>
      <c r="B7022">
        <v>-124.16498029952299</v>
      </c>
      <c r="C7022" t="s">
        <v>29</v>
      </c>
      <c r="D7022">
        <v>28.823109138364099</v>
      </c>
      <c r="E7022">
        <v>4</v>
      </c>
      <c r="F7022">
        <v>3007</v>
      </c>
      <c r="G7022">
        <v>3</v>
      </c>
      <c r="H7022">
        <v>3</v>
      </c>
      <c r="I7022">
        <v>1993</v>
      </c>
      <c r="J7022">
        <v>0</v>
      </c>
      <c r="K7022">
        <v>1</v>
      </c>
      <c r="L7022">
        <v>0</v>
      </c>
      <c r="M7022">
        <v>14</v>
      </c>
      <c r="N7022" t="s">
        <v>26</v>
      </c>
      <c r="O7022" t="s">
        <v>27</v>
      </c>
      <c r="P7022">
        <v>12.4146442801714</v>
      </c>
      <c r="Q7022">
        <v>1.62400598887059</v>
      </c>
      <c r="R7022">
        <v>5.0103769148089103</v>
      </c>
      <c r="S7022">
        <v>121</v>
      </c>
      <c r="T7022">
        <v>45</v>
      </c>
      <c r="U7022">
        <v>577.86838792707101</v>
      </c>
      <c r="V7022">
        <v>4.6558031260392398E-3</v>
      </c>
      <c r="W7022">
        <v>2122999.73023286</v>
      </c>
      <c r="X7022" t="s">
        <v>40</v>
      </c>
      <c r="Y7022">
        <f>1-357-555-6293</f>
        <v>-7204</v>
      </c>
    </row>
    <row r="7023" spans="1:25" x14ac:dyDescent="0.35">
      <c r="A7023">
        <v>34.632609482184897</v>
      </c>
      <c r="B7023">
        <v>-119.599620799222</v>
      </c>
      <c r="C7023" t="s">
        <v>25</v>
      </c>
      <c r="D7023">
        <v>33.398542699942901</v>
      </c>
      <c r="E7023">
        <v>8</v>
      </c>
      <c r="F7023">
        <v>2282</v>
      </c>
      <c r="G7023">
        <v>1</v>
      </c>
      <c r="H7023">
        <v>3</v>
      </c>
      <c r="I7023">
        <v>2018</v>
      </c>
      <c r="J7023">
        <v>0</v>
      </c>
      <c r="K7023">
        <v>0</v>
      </c>
      <c r="L7023">
        <v>1</v>
      </c>
      <c r="M7023">
        <v>13</v>
      </c>
      <c r="N7023" t="s">
        <v>26</v>
      </c>
      <c r="O7023" t="s">
        <v>32</v>
      </c>
      <c r="P7023">
        <v>9.2081822664538002</v>
      </c>
      <c r="Q7023">
        <v>2.2872556585007802</v>
      </c>
      <c r="R7023">
        <v>6.8361585628622397</v>
      </c>
      <c r="S7023">
        <v>187</v>
      </c>
      <c r="T7023">
        <v>77</v>
      </c>
      <c r="U7023">
        <v>958.777097176236</v>
      </c>
      <c r="V7023">
        <v>5.6967572304995598E-3</v>
      </c>
      <c r="W7023">
        <v>2349061.3667800799</v>
      </c>
      <c r="X7023" t="s">
        <v>38</v>
      </c>
      <c r="Y7023">
        <f>1-575-327-5764</f>
        <v>-6665</v>
      </c>
    </row>
    <row r="7024" spans="1:25" x14ac:dyDescent="0.35">
      <c r="A7024">
        <v>36.2452404612416</v>
      </c>
      <c r="B7024">
        <v>-121.43433393568699</v>
      </c>
      <c r="C7024" t="s">
        <v>25</v>
      </c>
      <c r="D7024">
        <v>41.156353826783402</v>
      </c>
      <c r="E7024">
        <v>8</v>
      </c>
      <c r="F7024">
        <v>3596</v>
      </c>
      <c r="G7024">
        <v>3</v>
      </c>
      <c r="H7024">
        <v>3</v>
      </c>
      <c r="I7024">
        <v>1969</v>
      </c>
      <c r="J7024">
        <v>0</v>
      </c>
      <c r="K7024">
        <v>0</v>
      </c>
      <c r="L7024">
        <v>0</v>
      </c>
      <c r="M7024">
        <v>14</v>
      </c>
      <c r="N7024" t="s">
        <v>35</v>
      </c>
      <c r="O7024" t="s">
        <v>27</v>
      </c>
      <c r="P7024">
        <v>10.683818545236001</v>
      </c>
      <c r="Q7024">
        <v>1.8868767909269299</v>
      </c>
      <c r="R7024">
        <v>0.69404547540014006</v>
      </c>
      <c r="S7024">
        <v>91</v>
      </c>
      <c r="T7024">
        <v>57</v>
      </c>
      <c r="U7024">
        <v>450.78111074203599</v>
      </c>
      <c r="V7024">
        <v>3.89321468298109E-3</v>
      </c>
      <c r="W7024">
        <v>1911332.6389683201</v>
      </c>
      <c r="X7024" t="s">
        <v>28</v>
      </c>
      <c r="Y7024">
        <f>1-397-212-4319</f>
        <v>-4927</v>
      </c>
    </row>
    <row r="7025" spans="1:25" x14ac:dyDescent="0.35">
      <c r="A7025">
        <v>34.032527743224897</v>
      </c>
      <c r="B7025">
        <v>-115.742494698179</v>
      </c>
      <c r="C7025" t="s">
        <v>29</v>
      </c>
      <c r="D7025">
        <v>40.4909680144684</v>
      </c>
      <c r="E7025">
        <v>0</v>
      </c>
      <c r="F7025">
        <v>723</v>
      </c>
      <c r="G7025">
        <v>4</v>
      </c>
      <c r="H7025">
        <v>1</v>
      </c>
      <c r="I7025">
        <v>1999</v>
      </c>
      <c r="J7025">
        <v>1</v>
      </c>
      <c r="K7025">
        <v>0</v>
      </c>
      <c r="L7025">
        <v>1</v>
      </c>
      <c r="M7025">
        <v>13</v>
      </c>
      <c r="N7025" t="s">
        <v>26</v>
      </c>
      <c r="O7025" t="s">
        <v>32</v>
      </c>
      <c r="P7025">
        <v>11.983233038133299</v>
      </c>
      <c r="Q7025">
        <v>2.2107986550536798</v>
      </c>
      <c r="R7025">
        <v>4.4848909032572797</v>
      </c>
      <c r="S7025">
        <v>152</v>
      </c>
      <c r="T7025">
        <v>60</v>
      </c>
      <c r="U7025">
        <v>983.57418262047099</v>
      </c>
      <c r="V7025">
        <v>1.7980636237897599E-2</v>
      </c>
      <c r="W7025">
        <v>1154214.5622576</v>
      </c>
      <c r="X7025" t="s">
        <v>38</v>
      </c>
      <c r="Y7025">
        <f>1-608-702-1389</f>
        <v>-2698</v>
      </c>
    </row>
    <row r="7026" spans="1:25" x14ac:dyDescent="0.35">
      <c r="A7026">
        <v>40.773505812001602</v>
      </c>
      <c r="B7026">
        <v>-116.624198824963</v>
      </c>
      <c r="C7026" t="s">
        <v>25</v>
      </c>
      <c r="D7026">
        <v>14.517833906630701</v>
      </c>
      <c r="E7026">
        <v>7</v>
      </c>
      <c r="F7026">
        <v>4218</v>
      </c>
      <c r="G7026">
        <v>4</v>
      </c>
      <c r="H7026">
        <v>2</v>
      </c>
      <c r="I7026">
        <v>1954</v>
      </c>
      <c r="J7026">
        <v>0</v>
      </c>
      <c r="K7026">
        <v>0</v>
      </c>
      <c r="L7026">
        <v>1</v>
      </c>
      <c r="M7026">
        <v>12</v>
      </c>
      <c r="N7026" t="s">
        <v>35</v>
      </c>
      <c r="O7026" t="s">
        <v>32</v>
      </c>
      <c r="P7026">
        <v>3.14838806300431</v>
      </c>
      <c r="Q7026">
        <v>2.4680155686607899</v>
      </c>
      <c r="R7026">
        <v>6.4297933395155997</v>
      </c>
      <c r="S7026">
        <v>115</v>
      </c>
      <c r="T7026">
        <v>74</v>
      </c>
      <c r="U7026">
        <v>461.16212694145202</v>
      </c>
      <c r="V7026">
        <v>2.8449502133712601E-3</v>
      </c>
      <c r="W7026">
        <v>2080226.1284022301</v>
      </c>
      <c r="X7026" t="s">
        <v>44</v>
      </c>
      <c r="Y7026">
        <f>1-935-925-2299</f>
        <v>-4158</v>
      </c>
    </row>
    <row r="7027" spans="1:25" x14ac:dyDescent="0.35">
      <c r="A7027">
        <v>41.229668129445699</v>
      </c>
      <c r="B7027">
        <v>-116.081884167296</v>
      </c>
      <c r="C7027" t="s">
        <v>29</v>
      </c>
      <c r="D7027">
        <v>42.192800656391903</v>
      </c>
      <c r="E7027">
        <v>9</v>
      </c>
      <c r="F7027">
        <v>4291</v>
      </c>
      <c r="G7027">
        <v>4</v>
      </c>
      <c r="H7027">
        <v>1</v>
      </c>
      <c r="I7027">
        <v>1970</v>
      </c>
      <c r="J7027">
        <v>1</v>
      </c>
      <c r="K7027">
        <v>0</v>
      </c>
      <c r="L7027">
        <v>1</v>
      </c>
      <c r="M7027">
        <v>4</v>
      </c>
      <c r="N7027" t="s">
        <v>26</v>
      </c>
      <c r="O7027" t="s">
        <v>30</v>
      </c>
      <c r="P7027">
        <v>12.0033555662497</v>
      </c>
      <c r="Q7027">
        <v>1.6439014731733901</v>
      </c>
      <c r="R7027">
        <v>8.2292594143489897</v>
      </c>
      <c r="S7027">
        <v>199</v>
      </c>
      <c r="T7027">
        <v>59</v>
      </c>
      <c r="U7027">
        <v>204.29335594221101</v>
      </c>
      <c r="V7027">
        <v>9.3218364017711396E-4</v>
      </c>
      <c r="W7027">
        <v>1180353.8184943199</v>
      </c>
      <c r="X7027" t="s">
        <v>36</v>
      </c>
      <c r="Y7027">
        <f>1-704-659-8703</f>
        <v>-10065</v>
      </c>
    </row>
    <row r="7028" spans="1:25" x14ac:dyDescent="0.35">
      <c r="A7028">
        <v>38.200755378727798</v>
      </c>
      <c r="B7028">
        <v>-115.147525788899</v>
      </c>
      <c r="C7028" t="s">
        <v>29</v>
      </c>
      <c r="D7028">
        <v>30.757102397069499</v>
      </c>
      <c r="E7028">
        <v>2</v>
      </c>
      <c r="F7028">
        <v>842</v>
      </c>
      <c r="G7028">
        <v>3</v>
      </c>
      <c r="H7028">
        <v>3</v>
      </c>
      <c r="I7028">
        <v>1975</v>
      </c>
      <c r="J7028">
        <v>1</v>
      </c>
      <c r="K7028">
        <v>1</v>
      </c>
      <c r="L7028">
        <v>1</v>
      </c>
      <c r="M7028">
        <v>14</v>
      </c>
      <c r="N7028" t="s">
        <v>41</v>
      </c>
      <c r="O7028" t="s">
        <v>27</v>
      </c>
      <c r="P7028">
        <v>12.828577324296701</v>
      </c>
      <c r="Q7028">
        <v>0.87625328855292395</v>
      </c>
      <c r="R7028">
        <v>9.1192602019953597</v>
      </c>
      <c r="S7028">
        <v>128</v>
      </c>
      <c r="T7028">
        <v>28</v>
      </c>
      <c r="U7028">
        <v>518.22592950514104</v>
      </c>
      <c r="V7028">
        <v>1.66270783847981E-2</v>
      </c>
      <c r="W7028">
        <v>805922.914485035</v>
      </c>
      <c r="X7028" t="s">
        <v>44</v>
      </c>
      <c r="Y7028">
        <f>1-775-111-9153</f>
        <v>-10038</v>
      </c>
    </row>
    <row r="7029" spans="1:25" x14ac:dyDescent="0.35">
      <c r="A7029">
        <v>32.590910677975998</v>
      </c>
      <c r="B7029">
        <v>-114.560516396504</v>
      </c>
      <c r="C7029" t="s">
        <v>29</v>
      </c>
      <c r="D7029">
        <v>19.4206631488135</v>
      </c>
      <c r="E7029">
        <v>4</v>
      </c>
      <c r="F7029">
        <v>4078</v>
      </c>
      <c r="G7029">
        <v>4</v>
      </c>
      <c r="H7029">
        <v>2</v>
      </c>
      <c r="I7029">
        <v>1976</v>
      </c>
      <c r="J7029">
        <v>1</v>
      </c>
      <c r="K7029">
        <v>0</v>
      </c>
      <c r="L7029">
        <v>0</v>
      </c>
      <c r="M7029">
        <v>5</v>
      </c>
      <c r="N7029" t="s">
        <v>41</v>
      </c>
      <c r="O7029" t="s">
        <v>30</v>
      </c>
      <c r="P7029">
        <v>14.2979728608854</v>
      </c>
      <c r="Q7029">
        <v>0.85791594503565505</v>
      </c>
      <c r="R7029">
        <v>4.6490161224738502</v>
      </c>
      <c r="S7029">
        <v>55</v>
      </c>
      <c r="T7029">
        <v>26</v>
      </c>
      <c r="U7029">
        <v>376.75336965705299</v>
      </c>
      <c r="V7029">
        <v>1.22609122118685E-3</v>
      </c>
      <c r="W7029">
        <v>1882841.91966704</v>
      </c>
      <c r="X7029" t="s">
        <v>42</v>
      </c>
      <c r="Y7029">
        <f>1-782-862-6833</f>
        <v>-8476</v>
      </c>
    </row>
    <row r="7030" spans="1:25" x14ac:dyDescent="0.35">
      <c r="A7030">
        <v>33.596079570342802</v>
      </c>
      <c r="B7030">
        <v>-115.68531864329699</v>
      </c>
      <c r="C7030" t="s">
        <v>34</v>
      </c>
      <c r="D7030">
        <v>34.842833615311498</v>
      </c>
      <c r="E7030">
        <v>6</v>
      </c>
      <c r="F7030">
        <v>2526</v>
      </c>
      <c r="G7030">
        <v>1</v>
      </c>
      <c r="H7030">
        <v>3</v>
      </c>
      <c r="I7030">
        <v>1966</v>
      </c>
      <c r="J7030">
        <v>0</v>
      </c>
      <c r="K7030">
        <v>0</v>
      </c>
      <c r="L7030">
        <v>1</v>
      </c>
      <c r="M7030">
        <v>7</v>
      </c>
      <c r="N7030" t="s">
        <v>37</v>
      </c>
      <c r="O7030" t="s">
        <v>30</v>
      </c>
      <c r="P7030">
        <v>11.959709047330801</v>
      </c>
      <c r="Q7030">
        <v>1.79674731328674</v>
      </c>
      <c r="R7030">
        <v>7.0122793767157603</v>
      </c>
      <c r="S7030">
        <v>88</v>
      </c>
      <c r="T7030">
        <v>32</v>
      </c>
      <c r="U7030">
        <v>818.844076403082</v>
      </c>
      <c r="V7030">
        <v>2.7711797307996798E-3</v>
      </c>
      <c r="W7030">
        <v>2209489.3311068499</v>
      </c>
      <c r="X7030" t="s">
        <v>38</v>
      </c>
      <c r="Y7030">
        <f>1-471-965-5947</f>
        <v>-7382</v>
      </c>
    </row>
    <row r="7031" spans="1:25" x14ac:dyDescent="0.35">
      <c r="A7031">
        <v>34.615709203441497</v>
      </c>
      <c r="B7031">
        <v>-120.090421610485</v>
      </c>
      <c r="C7031" t="s">
        <v>25</v>
      </c>
      <c r="D7031">
        <v>22.991220742301198</v>
      </c>
      <c r="E7031">
        <v>1</v>
      </c>
      <c r="F7031">
        <v>1941</v>
      </c>
      <c r="G7031">
        <v>1</v>
      </c>
      <c r="H7031">
        <v>1</v>
      </c>
      <c r="I7031">
        <v>2022</v>
      </c>
      <c r="J7031">
        <v>1</v>
      </c>
      <c r="K7031">
        <v>1</v>
      </c>
      <c r="L7031">
        <v>0</v>
      </c>
      <c r="M7031">
        <v>4</v>
      </c>
      <c r="N7031" t="s">
        <v>37</v>
      </c>
      <c r="O7031" t="s">
        <v>27</v>
      </c>
      <c r="P7031">
        <v>6.5830262266672603</v>
      </c>
      <c r="Q7031">
        <v>2.1142576200088401</v>
      </c>
      <c r="R7031">
        <v>9.6855808265994892</v>
      </c>
      <c r="S7031">
        <v>100</v>
      </c>
      <c r="T7031">
        <v>31</v>
      </c>
      <c r="U7031">
        <v>463.77740494347398</v>
      </c>
      <c r="V7031">
        <v>2.0607934054611E-3</v>
      </c>
      <c r="W7031">
        <v>1231021.88958198</v>
      </c>
      <c r="X7031" t="s">
        <v>31</v>
      </c>
      <c r="Y7031">
        <f>1-837-846-9317</f>
        <v>-10999</v>
      </c>
    </row>
    <row r="7032" spans="1:25" x14ac:dyDescent="0.35">
      <c r="A7032">
        <v>40.878360662359803</v>
      </c>
      <c r="B7032">
        <v>-120.53637452221599</v>
      </c>
      <c r="C7032" t="s">
        <v>34</v>
      </c>
      <c r="D7032">
        <v>21.181605114599801</v>
      </c>
      <c r="E7032">
        <v>9</v>
      </c>
      <c r="F7032">
        <v>1946</v>
      </c>
      <c r="G7032">
        <v>1</v>
      </c>
      <c r="H7032">
        <v>3</v>
      </c>
      <c r="I7032">
        <v>2010</v>
      </c>
      <c r="J7032">
        <v>0</v>
      </c>
      <c r="K7032">
        <v>0</v>
      </c>
      <c r="L7032">
        <v>0</v>
      </c>
      <c r="M7032">
        <v>5</v>
      </c>
      <c r="N7032" t="s">
        <v>37</v>
      </c>
      <c r="O7032" t="s">
        <v>27</v>
      </c>
      <c r="P7032">
        <v>13.367862674544501</v>
      </c>
      <c r="Q7032">
        <v>1.07002706256543</v>
      </c>
      <c r="R7032">
        <v>0.52277633370472798</v>
      </c>
      <c r="S7032">
        <v>115</v>
      </c>
      <c r="T7032">
        <v>23</v>
      </c>
      <c r="U7032">
        <v>726.406094599212</v>
      </c>
      <c r="V7032">
        <v>2.56937307297019E-3</v>
      </c>
      <c r="W7032">
        <v>1608436.2311645399</v>
      </c>
      <c r="X7032" t="s">
        <v>42</v>
      </c>
      <c r="Y7032">
        <f>1-625-576-2290</f>
        <v>-3490</v>
      </c>
    </row>
    <row r="7033" spans="1:25" x14ac:dyDescent="0.35">
      <c r="A7033">
        <v>36.1489457922588</v>
      </c>
      <c r="B7033">
        <v>-122.46644035968001</v>
      </c>
      <c r="C7033" t="s">
        <v>25</v>
      </c>
      <c r="D7033">
        <v>49.6843791721126</v>
      </c>
      <c r="E7033">
        <v>9</v>
      </c>
      <c r="F7033">
        <v>4005</v>
      </c>
      <c r="G7033">
        <v>5</v>
      </c>
      <c r="H7033">
        <v>3</v>
      </c>
      <c r="I7033">
        <v>1950</v>
      </c>
      <c r="J7033">
        <v>0</v>
      </c>
      <c r="K7033">
        <v>0</v>
      </c>
      <c r="L7033">
        <v>1</v>
      </c>
      <c r="M7033">
        <v>13</v>
      </c>
      <c r="N7033" t="s">
        <v>35</v>
      </c>
      <c r="O7033" t="s">
        <v>32</v>
      </c>
      <c r="P7033">
        <v>14.211838669784701</v>
      </c>
      <c r="Q7033">
        <v>1.58971142827556</v>
      </c>
      <c r="R7033">
        <v>2.1725660874093302</v>
      </c>
      <c r="S7033">
        <v>166</v>
      </c>
      <c r="T7033">
        <v>51</v>
      </c>
      <c r="U7033">
        <v>982.83002746170098</v>
      </c>
      <c r="V7033">
        <v>3.2459425717852601E-3</v>
      </c>
      <c r="W7033">
        <v>4262785.1347720604</v>
      </c>
      <c r="X7033" t="s">
        <v>38</v>
      </c>
      <c r="Y7033">
        <f>1-589-850-5633</f>
        <v>-7071</v>
      </c>
    </row>
    <row r="7034" spans="1:25" x14ac:dyDescent="0.35">
      <c r="A7034">
        <v>38.5205363146586</v>
      </c>
      <c r="B7034">
        <v>-119.753028333706</v>
      </c>
      <c r="C7034" t="s">
        <v>29</v>
      </c>
      <c r="D7034">
        <v>26.503771665202098</v>
      </c>
      <c r="E7034">
        <v>7</v>
      </c>
      <c r="F7034">
        <v>1381</v>
      </c>
      <c r="G7034">
        <v>5</v>
      </c>
      <c r="H7034">
        <v>1</v>
      </c>
      <c r="I7034">
        <v>1978</v>
      </c>
      <c r="J7034">
        <v>0</v>
      </c>
      <c r="K7034">
        <v>0</v>
      </c>
      <c r="L7034">
        <v>1</v>
      </c>
      <c r="M7034">
        <v>3</v>
      </c>
      <c r="N7034" t="s">
        <v>26</v>
      </c>
      <c r="O7034" t="s">
        <v>27</v>
      </c>
      <c r="P7034">
        <v>12.892232346056501</v>
      </c>
      <c r="Q7034">
        <v>1.50227205453542</v>
      </c>
      <c r="R7034">
        <v>7.2323150326601802</v>
      </c>
      <c r="S7034">
        <v>22</v>
      </c>
      <c r="T7034">
        <v>34</v>
      </c>
      <c r="U7034">
        <v>326.18006420694797</v>
      </c>
      <c r="V7034">
        <v>2.1723388848660301E-3</v>
      </c>
      <c r="W7034">
        <v>750395.09051286802</v>
      </c>
      <c r="X7034" t="s">
        <v>39</v>
      </c>
      <c r="Y7034">
        <f>1-637-292-7615</f>
        <v>-8543</v>
      </c>
    </row>
    <row r="7035" spans="1:25" x14ac:dyDescent="0.35">
      <c r="A7035">
        <v>36.969096026992197</v>
      </c>
      <c r="B7035">
        <v>-118.550717524932</v>
      </c>
      <c r="C7035" t="s">
        <v>34</v>
      </c>
      <c r="D7035">
        <v>47.6338684833215</v>
      </c>
      <c r="E7035">
        <v>1</v>
      </c>
      <c r="F7035">
        <v>1916</v>
      </c>
      <c r="G7035">
        <v>2</v>
      </c>
      <c r="H7035">
        <v>1</v>
      </c>
      <c r="I7035">
        <v>1963</v>
      </c>
      <c r="J7035">
        <v>1</v>
      </c>
      <c r="K7035">
        <v>1</v>
      </c>
      <c r="L7035">
        <v>1</v>
      </c>
      <c r="M7035">
        <v>6</v>
      </c>
      <c r="N7035" t="s">
        <v>26</v>
      </c>
      <c r="O7035" t="s">
        <v>32</v>
      </c>
      <c r="P7035">
        <v>4.7905405472895399</v>
      </c>
      <c r="Q7035">
        <v>1.7517392742954601</v>
      </c>
      <c r="R7035">
        <v>1.0532289535058701</v>
      </c>
      <c r="S7035">
        <v>5</v>
      </c>
      <c r="T7035">
        <v>41</v>
      </c>
      <c r="U7035">
        <v>353.64845845448298</v>
      </c>
      <c r="V7035">
        <v>3.1315240083507299E-3</v>
      </c>
      <c r="W7035">
        <v>917872.73024564399</v>
      </c>
      <c r="X7035" t="s">
        <v>44</v>
      </c>
      <c r="Y7035">
        <f>1-429-438-8380</f>
        <v>-9246</v>
      </c>
    </row>
    <row r="7036" spans="1:25" x14ac:dyDescent="0.35">
      <c r="A7036">
        <v>34.0756897736008</v>
      </c>
      <c r="B7036">
        <v>-117.735258850997</v>
      </c>
      <c r="C7036" t="s">
        <v>25</v>
      </c>
      <c r="D7036">
        <v>16.576675842777501</v>
      </c>
      <c r="E7036">
        <v>7</v>
      </c>
      <c r="F7036">
        <v>2618</v>
      </c>
      <c r="G7036">
        <v>2</v>
      </c>
      <c r="H7036">
        <v>1</v>
      </c>
      <c r="I7036">
        <v>1955</v>
      </c>
      <c r="J7036">
        <v>1</v>
      </c>
      <c r="K7036">
        <v>1</v>
      </c>
      <c r="L7036">
        <v>1</v>
      </c>
      <c r="M7036">
        <v>5</v>
      </c>
      <c r="N7036" t="s">
        <v>26</v>
      </c>
      <c r="O7036" t="s">
        <v>32</v>
      </c>
      <c r="P7036">
        <v>14.3340869324033</v>
      </c>
      <c r="Q7036">
        <v>0.55188834777478502</v>
      </c>
      <c r="R7036">
        <v>6.7125783350298596</v>
      </c>
      <c r="S7036">
        <v>170</v>
      </c>
      <c r="T7036">
        <v>78</v>
      </c>
      <c r="U7036">
        <v>771.38778497942099</v>
      </c>
      <c r="V7036">
        <v>1.90985485103132E-3</v>
      </c>
      <c r="W7036">
        <v>2322669.31233569</v>
      </c>
      <c r="X7036" t="s">
        <v>33</v>
      </c>
      <c r="Y7036">
        <f>1-386-319-1694</f>
        <v>-2398</v>
      </c>
    </row>
    <row r="7037" spans="1:25" x14ac:dyDescent="0.35">
      <c r="A7037">
        <v>34.902583090519201</v>
      </c>
      <c r="B7037">
        <v>-118.59672766818601</v>
      </c>
      <c r="C7037" t="s">
        <v>34</v>
      </c>
      <c r="D7037">
        <v>31.557295371435199</v>
      </c>
      <c r="E7037">
        <v>3</v>
      </c>
      <c r="F7037">
        <v>2963</v>
      </c>
      <c r="G7037">
        <v>3</v>
      </c>
      <c r="H7037">
        <v>3</v>
      </c>
      <c r="I7037">
        <v>2006</v>
      </c>
      <c r="J7037">
        <v>0</v>
      </c>
      <c r="K7037">
        <v>1</v>
      </c>
      <c r="L7037">
        <v>0</v>
      </c>
      <c r="M7037">
        <v>5</v>
      </c>
      <c r="N7037" t="s">
        <v>41</v>
      </c>
      <c r="O7037" t="s">
        <v>30</v>
      </c>
      <c r="P7037">
        <v>11.526117662535</v>
      </c>
      <c r="Q7037">
        <v>1.69156116155181</v>
      </c>
      <c r="R7037">
        <v>9.1456206764563692</v>
      </c>
      <c r="S7037">
        <v>38</v>
      </c>
      <c r="T7037">
        <v>45</v>
      </c>
      <c r="U7037">
        <v>873.79138147068898</v>
      </c>
      <c r="V7037">
        <v>1.68747890651366E-3</v>
      </c>
      <c r="W7037">
        <v>2987389.8842771999</v>
      </c>
      <c r="X7037" t="s">
        <v>39</v>
      </c>
      <c r="Y7037">
        <f>1-494-793-4659</f>
        <v>-5945</v>
      </c>
    </row>
    <row r="7038" spans="1:25" x14ac:dyDescent="0.35">
      <c r="A7038">
        <v>34.563148527867199</v>
      </c>
      <c r="B7038">
        <v>-124.075078460231</v>
      </c>
      <c r="C7038" t="s">
        <v>34</v>
      </c>
      <c r="D7038">
        <v>37.973414076977903</v>
      </c>
      <c r="E7038">
        <v>6</v>
      </c>
      <c r="F7038">
        <v>3726</v>
      </c>
      <c r="G7038">
        <v>5</v>
      </c>
      <c r="H7038">
        <v>2</v>
      </c>
      <c r="I7038">
        <v>1953</v>
      </c>
      <c r="J7038">
        <v>1</v>
      </c>
      <c r="K7038">
        <v>0</v>
      </c>
      <c r="L7038">
        <v>1</v>
      </c>
      <c r="M7038">
        <v>10</v>
      </c>
      <c r="N7038" t="s">
        <v>35</v>
      </c>
      <c r="O7038" t="s">
        <v>27</v>
      </c>
      <c r="P7038">
        <v>4.9250236473562401</v>
      </c>
      <c r="Q7038">
        <v>1.07475991346953</v>
      </c>
      <c r="R7038">
        <v>3.3425376438365499</v>
      </c>
      <c r="S7038">
        <v>22</v>
      </c>
      <c r="T7038">
        <v>67</v>
      </c>
      <c r="U7038">
        <v>826.03185797045501</v>
      </c>
      <c r="V7038">
        <v>2.6838432635534E-3</v>
      </c>
      <c r="W7038">
        <v>3479315.3511224901</v>
      </c>
      <c r="X7038" t="s">
        <v>40</v>
      </c>
      <c r="Y7038">
        <f>1-269-748-8629</f>
        <v>-9645</v>
      </c>
    </row>
    <row r="7039" spans="1:25" x14ac:dyDescent="0.35">
      <c r="A7039">
        <v>32.760843613735098</v>
      </c>
      <c r="B7039">
        <v>-116.033815768567</v>
      </c>
      <c r="C7039" t="s">
        <v>29</v>
      </c>
      <c r="D7039">
        <v>14.5867452115125</v>
      </c>
      <c r="E7039">
        <v>6</v>
      </c>
      <c r="F7039">
        <v>3075</v>
      </c>
      <c r="G7039">
        <v>1</v>
      </c>
      <c r="H7039">
        <v>2</v>
      </c>
      <c r="I7039">
        <v>2012</v>
      </c>
      <c r="J7039">
        <v>1</v>
      </c>
      <c r="K7039">
        <v>0</v>
      </c>
      <c r="L7039">
        <v>1</v>
      </c>
      <c r="M7039">
        <v>4</v>
      </c>
      <c r="N7039" t="s">
        <v>35</v>
      </c>
      <c r="O7039" t="s">
        <v>32</v>
      </c>
      <c r="P7039">
        <v>8.7815359164178801</v>
      </c>
      <c r="Q7039">
        <v>1.3709582343745099</v>
      </c>
      <c r="R7039">
        <v>7.7081054529169304</v>
      </c>
      <c r="S7039">
        <v>126</v>
      </c>
      <c r="T7039">
        <v>72</v>
      </c>
      <c r="U7039">
        <v>900.40268058512004</v>
      </c>
      <c r="V7039">
        <v>1.30081300813008E-3</v>
      </c>
      <c r="W7039">
        <v>2998330.56049436</v>
      </c>
      <c r="X7039" t="s">
        <v>44</v>
      </c>
      <c r="Y7039">
        <f>1-858-882-3166</f>
        <v>-4905</v>
      </c>
    </row>
    <row r="7040" spans="1:25" x14ac:dyDescent="0.35">
      <c r="A7040">
        <v>38.259386227660201</v>
      </c>
      <c r="B7040">
        <v>-120.83142043420099</v>
      </c>
      <c r="C7040" t="s">
        <v>29</v>
      </c>
      <c r="D7040">
        <v>19.286830201631101</v>
      </c>
      <c r="E7040">
        <v>1</v>
      </c>
      <c r="F7040">
        <v>4245</v>
      </c>
      <c r="G7040">
        <v>3</v>
      </c>
      <c r="H7040">
        <v>2</v>
      </c>
      <c r="I7040">
        <v>1953</v>
      </c>
      <c r="J7040">
        <v>1</v>
      </c>
      <c r="K7040">
        <v>1</v>
      </c>
      <c r="L7040">
        <v>1</v>
      </c>
      <c r="M7040">
        <v>14</v>
      </c>
      <c r="N7040" t="s">
        <v>37</v>
      </c>
      <c r="O7040" t="s">
        <v>27</v>
      </c>
      <c r="P7040">
        <v>14.5497553454714</v>
      </c>
      <c r="Q7040">
        <v>1.7873806864436099</v>
      </c>
      <c r="R7040">
        <v>2.2402635842774998</v>
      </c>
      <c r="S7040">
        <v>76</v>
      </c>
      <c r="T7040">
        <v>34</v>
      </c>
      <c r="U7040">
        <v>646.57476264025797</v>
      </c>
      <c r="V7040">
        <v>3.2979976442873899E-3</v>
      </c>
      <c r="W7040">
        <v>3141823.6440878599</v>
      </c>
      <c r="X7040" t="s">
        <v>42</v>
      </c>
      <c r="Y7040">
        <f>1-268-509-3578</f>
        <v>-4354</v>
      </c>
    </row>
    <row r="7041" spans="1:25" x14ac:dyDescent="0.35">
      <c r="A7041">
        <v>33.934698126397201</v>
      </c>
      <c r="B7041">
        <v>-120.91173198998</v>
      </c>
      <c r="C7041" t="s">
        <v>34</v>
      </c>
      <c r="D7041">
        <v>44.5380158270126</v>
      </c>
      <c r="E7041">
        <v>0</v>
      </c>
      <c r="F7041">
        <v>2105</v>
      </c>
      <c r="G7041">
        <v>5</v>
      </c>
      <c r="H7041">
        <v>3</v>
      </c>
      <c r="I7041">
        <v>1979</v>
      </c>
      <c r="J7041">
        <v>1</v>
      </c>
      <c r="K7041">
        <v>0</v>
      </c>
      <c r="L7041">
        <v>1</v>
      </c>
      <c r="M7041">
        <v>3</v>
      </c>
      <c r="N7041" t="s">
        <v>35</v>
      </c>
      <c r="O7041" t="s">
        <v>27</v>
      </c>
      <c r="P7041">
        <v>8.5830840097130299</v>
      </c>
      <c r="Q7041">
        <v>1.6289170184677899</v>
      </c>
      <c r="R7041">
        <v>5.9351270820350299</v>
      </c>
      <c r="S7041">
        <v>124</v>
      </c>
      <c r="T7041">
        <v>67</v>
      </c>
      <c r="U7041">
        <v>398.74176513415301</v>
      </c>
      <c r="V7041">
        <v>1.4251781472684E-3</v>
      </c>
      <c r="W7041">
        <v>1187441.40245685</v>
      </c>
      <c r="X7041" t="s">
        <v>28</v>
      </c>
      <c r="Y7041">
        <f>1-734-195-8150</f>
        <v>-9078</v>
      </c>
    </row>
    <row r="7042" spans="1:25" x14ac:dyDescent="0.35">
      <c r="A7042">
        <v>36.481357906318301</v>
      </c>
      <c r="B7042">
        <v>-121.336489876779</v>
      </c>
      <c r="C7042" t="s">
        <v>29</v>
      </c>
      <c r="D7042">
        <v>23.7680533230075</v>
      </c>
      <c r="E7042">
        <v>0</v>
      </c>
      <c r="F7042">
        <v>2652</v>
      </c>
      <c r="G7042">
        <v>1</v>
      </c>
      <c r="H7042">
        <v>1</v>
      </c>
      <c r="I7042">
        <v>2017</v>
      </c>
      <c r="J7042">
        <v>1</v>
      </c>
      <c r="K7042">
        <v>0</v>
      </c>
      <c r="L7042">
        <v>0</v>
      </c>
      <c r="M7042">
        <v>9</v>
      </c>
      <c r="N7042" t="s">
        <v>41</v>
      </c>
      <c r="O7042" t="s">
        <v>32</v>
      </c>
      <c r="P7042">
        <v>9.6551091285887995</v>
      </c>
      <c r="Q7042">
        <v>1.3109336213584399</v>
      </c>
      <c r="R7042">
        <v>3.8002561450558598</v>
      </c>
      <c r="S7042">
        <v>175</v>
      </c>
      <c r="T7042">
        <v>32</v>
      </c>
      <c r="U7042">
        <v>348.32390925079102</v>
      </c>
      <c r="V7042">
        <v>3.3936651583710399E-3</v>
      </c>
      <c r="W7042">
        <v>1088791.66656534</v>
      </c>
      <c r="X7042" t="s">
        <v>36</v>
      </c>
      <c r="Y7042">
        <f>1-819-223-1438</f>
        <v>-2479</v>
      </c>
    </row>
    <row r="7043" spans="1:25" x14ac:dyDescent="0.35">
      <c r="A7043">
        <v>38.602416503843003</v>
      </c>
      <c r="B7043">
        <v>-121.654043271155</v>
      </c>
      <c r="C7043" t="s">
        <v>29</v>
      </c>
      <c r="D7043">
        <v>24.754441281014099</v>
      </c>
      <c r="E7043">
        <v>5</v>
      </c>
      <c r="F7043">
        <v>2572</v>
      </c>
      <c r="G7043">
        <v>1</v>
      </c>
      <c r="H7043">
        <v>2</v>
      </c>
      <c r="I7043">
        <v>1964</v>
      </c>
      <c r="J7043">
        <v>1</v>
      </c>
      <c r="K7043">
        <v>1</v>
      </c>
      <c r="L7043">
        <v>1</v>
      </c>
      <c r="M7043">
        <v>9</v>
      </c>
      <c r="N7043" t="s">
        <v>26</v>
      </c>
      <c r="O7043" t="s">
        <v>27</v>
      </c>
      <c r="P7043">
        <v>10.7989389824165</v>
      </c>
      <c r="Q7043">
        <v>1.86531956457082</v>
      </c>
      <c r="R7043">
        <v>9.5055204710259407</v>
      </c>
      <c r="S7043">
        <v>99</v>
      </c>
      <c r="T7043">
        <v>57</v>
      </c>
      <c r="U7043">
        <v>418.54837710151298</v>
      </c>
      <c r="V7043">
        <v>3.4992223950233198E-3</v>
      </c>
      <c r="W7043">
        <v>1334156.7866794099</v>
      </c>
      <c r="X7043" t="s">
        <v>33</v>
      </c>
      <c r="Y7043">
        <f>1-850-965-7419</f>
        <v>-9233</v>
      </c>
    </row>
    <row r="7044" spans="1:25" x14ac:dyDescent="0.35">
      <c r="A7044">
        <v>34.335848578530999</v>
      </c>
      <c r="B7044">
        <v>-123.48243137939799</v>
      </c>
      <c r="C7044" t="s">
        <v>25</v>
      </c>
      <c r="D7044">
        <v>22.008174118190698</v>
      </c>
      <c r="E7044">
        <v>4</v>
      </c>
      <c r="F7044">
        <v>3322</v>
      </c>
      <c r="G7044">
        <v>1</v>
      </c>
      <c r="H7044">
        <v>3</v>
      </c>
      <c r="I7044">
        <v>1976</v>
      </c>
      <c r="J7044">
        <v>1</v>
      </c>
      <c r="K7044">
        <v>0</v>
      </c>
      <c r="L7044">
        <v>0</v>
      </c>
      <c r="M7044">
        <v>3</v>
      </c>
      <c r="N7044" t="s">
        <v>35</v>
      </c>
      <c r="O7044" t="s">
        <v>27</v>
      </c>
      <c r="P7044">
        <v>5.8899240142025002</v>
      </c>
      <c r="Q7044">
        <v>1.18481443940021</v>
      </c>
      <c r="R7044">
        <v>1.6056761527740899</v>
      </c>
      <c r="S7044">
        <v>184</v>
      </c>
      <c r="T7044">
        <v>64</v>
      </c>
      <c r="U7044">
        <v>827.35950760745698</v>
      </c>
      <c r="V7044">
        <v>9.0307043949428001E-4</v>
      </c>
      <c r="W7044">
        <v>2903819.0051993201</v>
      </c>
      <c r="X7044" t="s">
        <v>40</v>
      </c>
      <c r="Y7044">
        <f>1-242-624-9457</f>
        <v>-10322</v>
      </c>
    </row>
    <row r="7045" spans="1:25" x14ac:dyDescent="0.35">
      <c r="A7045">
        <v>36.253122788913203</v>
      </c>
      <c r="B7045">
        <v>-119.536751482613</v>
      </c>
      <c r="C7045" t="s">
        <v>25</v>
      </c>
      <c r="D7045">
        <v>2.65303486033726</v>
      </c>
      <c r="E7045">
        <v>8</v>
      </c>
      <c r="F7045">
        <v>3154</v>
      </c>
      <c r="G7045">
        <v>5</v>
      </c>
      <c r="H7045">
        <v>2</v>
      </c>
      <c r="I7045">
        <v>1970</v>
      </c>
      <c r="J7045">
        <v>1</v>
      </c>
      <c r="K7045">
        <v>0</v>
      </c>
      <c r="L7045">
        <v>1</v>
      </c>
      <c r="M7045">
        <v>11</v>
      </c>
      <c r="N7045" t="s">
        <v>35</v>
      </c>
      <c r="O7045" t="s">
        <v>27</v>
      </c>
      <c r="P7045">
        <v>14.638798015941999</v>
      </c>
      <c r="Q7045">
        <v>1.4859474162344799</v>
      </c>
      <c r="R7045">
        <v>5.1470969592762801</v>
      </c>
      <c r="S7045">
        <v>96</v>
      </c>
      <c r="T7045">
        <v>77</v>
      </c>
      <c r="U7045">
        <v>702.92225122391005</v>
      </c>
      <c r="V7045">
        <v>3.4876347495244099E-3</v>
      </c>
      <c r="W7045">
        <v>2675698.1817031601</v>
      </c>
      <c r="X7045" t="s">
        <v>40</v>
      </c>
      <c r="Y7045">
        <f>1-763-871-4943</f>
        <v>-6576</v>
      </c>
    </row>
    <row r="7046" spans="1:25" x14ac:dyDescent="0.35">
      <c r="A7046">
        <v>39.051159351521598</v>
      </c>
      <c r="B7046">
        <v>-119.998167141466</v>
      </c>
      <c r="C7046" t="s">
        <v>25</v>
      </c>
      <c r="D7046">
        <v>37.693481034783701</v>
      </c>
      <c r="E7046">
        <v>9</v>
      </c>
      <c r="F7046">
        <v>1604</v>
      </c>
      <c r="G7046">
        <v>4</v>
      </c>
      <c r="H7046">
        <v>2</v>
      </c>
      <c r="I7046">
        <v>1965</v>
      </c>
      <c r="J7046">
        <v>1</v>
      </c>
      <c r="K7046">
        <v>1</v>
      </c>
      <c r="L7046">
        <v>0</v>
      </c>
      <c r="M7046">
        <v>6</v>
      </c>
      <c r="N7046" t="s">
        <v>41</v>
      </c>
      <c r="O7046" t="s">
        <v>30</v>
      </c>
      <c r="P7046">
        <v>8.9491621543774098</v>
      </c>
      <c r="Q7046">
        <v>2.1388044523951102</v>
      </c>
      <c r="R7046">
        <v>6.7889379786591899</v>
      </c>
      <c r="S7046">
        <v>55</v>
      </c>
      <c r="T7046">
        <v>30</v>
      </c>
      <c r="U7046">
        <v>240.8052553201</v>
      </c>
      <c r="V7046">
        <v>3.7406483790523599E-3</v>
      </c>
      <c r="W7046">
        <v>651832.19345422299</v>
      </c>
      <c r="X7046" t="s">
        <v>31</v>
      </c>
      <c r="Y7046">
        <f>1-735-734-9402</f>
        <v>-10870</v>
      </c>
    </row>
    <row r="7047" spans="1:25" x14ac:dyDescent="0.35">
      <c r="A7047">
        <v>33.782970797158697</v>
      </c>
      <c r="B7047">
        <v>-121.83717689904501</v>
      </c>
      <c r="C7047" t="s">
        <v>25</v>
      </c>
      <c r="D7047">
        <v>19.8273917145283</v>
      </c>
      <c r="E7047">
        <v>8</v>
      </c>
      <c r="F7047">
        <v>997</v>
      </c>
      <c r="G7047">
        <v>2</v>
      </c>
      <c r="H7047">
        <v>1</v>
      </c>
      <c r="I7047">
        <v>1984</v>
      </c>
      <c r="J7047">
        <v>0</v>
      </c>
      <c r="K7047">
        <v>1</v>
      </c>
      <c r="L7047">
        <v>1</v>
      </c>
      <c r="M7047">
        <v>3</v>
      </c>
      <c r="N7047" t="s">
        <v>26</v>
      </c>
      <c r="O7047" t="s">
        <v>30</v>
      </c>
      <c r="P7047">
        <v>2.9237041555897401</v>
      </c>
      <c r="Q7047">
        <v>1.46561052003342</v>
      </c>
      <c r="R7047">
        <v>6.59131742390624</v>
      </c>
      <c r="S7047">
        <v>176</v>
      </c>
      <c r="T7047">
        <v>20</v>
      </c>
      <c r="U7047">
        <v>587.24675342559499</v>
      </c>
      <c r="V7047">
        <v>3.0090270812437301E-3</v>
      </c>
      <c r="W7047">
        <v>709512.30077854497</v>
      </c>
      <c r="X7047" t="s">
        <v>44</v>
      </c>
      <c r="Y7047">
        <f>1-494-386-5297</f>
        <v>-6176</v>
      </c>
    </row>
    <row r="7048" spans="1:25" x14ac:dyDescent="0.35">
      <c r="A7048">
        <v>40.135388797098102</v>
      </c>
      <c r="B7048">
        <v>-116.033036784198</v>
      </c>
      <c r="C7048" t="s">
        <v>25</v>
      </c>
      <c r="D7048">
        <v>27.7099011516062</v>
      </c>
      <c r="E7048">
        <v>7</v>
      </c>
      <c r="F7048">
        <v>3056</v>
      </c>
      <c r="G7048">
        <v>2</v>
      </c>
      <c r="H7048">
        <v>1</v>
      </c>
      <c r="I7048">
        <v>1962</v>
      </c>
      <c r="J7048">
        <v>0</v>
      </c>
      <c r="K7048">
        <v>1</v>
      </c>
      <c r="L7048">
        <v>0</v>
      </c>
      <c r="M7048">
        <v>10</v>
      </c>
      <c r="N7048" t="s">
        <v>26</v>
      </c>
      <c r="O7048" t="s">
        <v>27</v>
      </c>
      <c r="P7048">
        <v>11.737503191555801</v>
      </c>
      <c r="Q7048">
        <v>0.94586051676794602</v>
      </c>
      <c r="R7048">
        <v>5.9719278751246296</v>
      </c>
      <c r="S7048">
        <v>78</v>
      </c>
      <c r="T7048">
        <v>24</v>
      </c>
      <c r="U7048">
        <v>867.855286494089</v>
      </c>
      <c r="V7048">
        <v>3.2722513089005201E-3</v>
      </c>
      <c r="W7048">
        <v>2858163.90118497</v>
      </c>
      <c r="X7048" t="s">
        <v>28</v>
      </c>
      <c r="Y7048">
        <f>1-691-708-9506</f>
        <v>-10904</v>
      </c>
    </row>
    <row r="7049" spans="1:25" x14ac:dyDescent="0.35">
      <c r="A7049">
        <v>39.409576941644701</v>
      </c>
      <c r="B7049">
        <v>-116.528575128068</v>
      </c>
      <c r="C7049" t="s">
        <v>34</v>
      </c>
      <c r="D7049">
        <v>3.4646152599757598</v>
      </c>
      <c r="E7049">
        <v>1</v>
      </c>
      <c r="F7049">
        <v>3204</v>
      </c>
      <c r="G7049">
        <v>2</v>
      </c>
      <c r="H7049">
        <v>3</v>
      </c>
      <c r="I7049">
        <v>2007</v>
      </c>
      <c r="J7049">
        <v>1</v>
      </c>
      <c r="K7049">
        <v>1</v>
      </c>
      <c r="L7049">
        <v>0</v>
      </c>
      <c r="M7049">
        <v>2</v>
      </c>
      <c r="N7049" t="s">
        <v>37</v>
      </c>
      <c r="O7049" t="s">
        <v>30</v>
      </c>
      <c r="P7049">
        <v>7.51454062317194</v>
      </c>
      <c r="Q7049">
        <v>0.883785195662111</v>
      </c>
      <c r="R7049">
        <v>5.1025421928717503</v>
      </c>
      <c r="S7049">
        <v>164</v>
      </c>
      <c r="T7049">
        <v>74</v>
      </c>
      <c r="U7049">
        <v>288.77316324147102</v>
      </c>
      <c r="V7049">
        <v>6.2421972534331999E-4</v>
      </c>
      <c r="W7049">
        <v>1253789.48943965</v>
      </c>
      <c r="X7049" t="s">
        <v>33</v>
      </c>
      <c r="Y7049">
        <f>1-251-933-3059</f>
        <v>-4242</v>
      </c>
    </row>
    <row r="7050" spans="1:25" x14ac:dyDescent="0.35">
      <c r="A7050">
        <v>34.222294507110398</v>
      </c>
      <c r="B7050">
        <v>-117.572793489986</v>
      </c>
      <c r="C7050" t="s">
        <v>34</v>
      </c>
      <c r="D7050">
        <v>18.6829500091612</v>
      </c>
      <c r="E7050">
        <v>7</v>
      </c>
      <c r="F7050">
        <v>2200</v>
      </c>
      <c r="G7050">
        <v>5</v>
      </c>
      <c r="H7050">
        <v>3</v>
      </c>
      <c r="I7050">
        <v>1955</v>
      </c>
      <c r="J7050">
        <v>1</v>
      </c>
      <c r="K7050">
        <v>1</v>
      </c>
      <c r="L7050">
        <v>1</v>
      </c>
      <c r="M7050">
        <v>13</v>
      </c>
      <c r="N7050" t="s">
        <v>37</v>
      </c>
      <c r="O7050" t="s">
        <v>32</v>
      </c>
      <c r="P7050">
        <v>9.1525273977644996</v>
      </c>
      <c r="Q7050">
        <v>0.83583489094363295</v>
      </c>
      <c r="R7050">
        <v>6.4462658473420698</v>
      </c>
      <c r="S7050">
        <v>63</v>
      </c>
      <c r="T7050">
        <v>69</v>
      </c>
      <c r="U7050">
        <v>858.06281771607496</v>
      </c>
      <c r="V7050">
        <v>5.9090909090909003E-3</v>
      </c>
      <c r="W7050">
        <v>2469278.1404447998</v>
      </c>
      <c r="X7050" t="s">
        <v>40</v>
      </c>
      <c r="Y7050">
        <f>1-226-980-8005</f>
        <v>-9210</v>
      </c>
    </row>
    <row r="7051" spans="1:25" x14ac:dyDescent="0.35">
      <c r="A7051">
        <v>41.099845042287399</v>
      </c>
      <c r="B7051">
        <v>-121.624714768514</v>
      </c>
      <c r="C7051" t="s">
        <v>25</v>
      </c>
      <c r="D7051">
        <v>36.502375841225202</v>
      </c>
      <c r="E7051">
        <v>0</v>
      </c>
      <c r="F7051">
        <v>2556</v>
      </c>
      <c r="G7051">
        <v>4</v>
      </c>
      <c r="H7051">
        <v>3</v>
      </c>
      <c r="I7051">
        <v>1977</v>
      </c>
      <c r="J7051">
        <v>1</v>
      </c>
      <c r="K7051">
        <v>1</v>
      </c>
      <c r="L7051">
        <v>1</v>
      </c>
      <c r="M7051">
        <v>7</v>
      </c>
      <c r="N7051" t="s">
        <v>37</v>
      </c>
      <c r="O7051" t="s">
        <v>27</v>
      </c>
      <c r="P7051">
        <v>12.746852833908299</v>
      </c>
      <c r="Q7051">
        <v>1.1838327659387999</v>
      </c>
      <c r="R7051">
        <v>1.6062209205554201</v>
      </c>
      <c r="S7051">
        <v>165</v>
      </c>
      <c r="T7051">
        <v>50</v>
      </c>
      <c r="U7051">
        <v>348.54412906515802</v>
      </c>
      <c r="V7051">
        <v>2.7386541471048501E-3</v>
      </c>
      <c r="W7051">
        <v>1403201.10111227</v>
      </c>
      <c r="X7051" t="s">
        <v>39</v>
      </c>
      <c r="Y7051">
        <f>1-369-307-9185</f>
        <v>-9860</v>
      </c>
    </row>
    <row r="7052" spans="1:25" x14ac:dyDescent="0.35">
      <c r="A7052">
        <v>33.210062494864097</v>
      </c>
      <c r="B7052">
        <v>-122.327348566193</v>
      </c>
      <c r="C7052" t="s">
        <v>25</v>
      </c>
      <c r="D7052">
        <v>41.715737674034102</v>
      </c>
      <c r="E7052">
        <v>8</v>
      </c>
      <c r="F7052">
        <v>2207</v>
      </c>
      <c r="G7052">
        <v>3</v>
      </c>
      <c r="H7052">
        <v>1</v>
      </c>
      <c r="I7052">
        <v>2018</v>
      </c>
      <c r="J7052">
        <v>1</v>
      </c>
      <c r="K7052">
        <v>0</v>
      </c>
      <c r="L7052">
        <v>1</v>
      </c>
      <c r="M7052">
        <v>3</v>
      </c>
      <c r="N7052" t="s">
        <v>37</v>
      </c>
      <c r="O7052" t="s">
        <v>32</v>
      </c>
      <c r="P7052">
        <v>12.179049065241401</v>
      </c>
      <c r="Q7052">
        <v>1.7697835220981799</v>
      </c>
      <c r="R7052">
        <v>4.2139228896018901</v>
      </c>
      <c r="S7052">
        <v>192</v>
      </c>
      <c r="T7052">
        <v>20</v>
      </c>
      <c r="U7052">
        <v>863.08622164743804</v>
      </c>
      <c r="V7052">
        <v>1.35931128228364E-3</v>
      </c>
      <c r="W7052">
        <v>2173150.2232310502</v>
      </c>
      <c r="X7052" t="s">
        <v>28</v>
      </c>
      <c r="Y7052">
        <f>1-853-355-5323</f>
        <v>-6530</v>
      </c>
    </row>
    <row r="7053" spans="1:25" x14ac:dyDescent="0.35">
      <c r="A7053">
        <v>32.739822793310303</v>
      </c>
      <c r="B7053">
        <v>-121.760076405414</v>
      </c>
      <c r="C7053" t="s">
        <v>25</v>
      </c>
      <c r="D7053">
        <v>23.189519028667</v>
      </c>
      <c r="E7053">
        <v>8</v>
      </c>
      <c r="F7053">
        <v>2796</v>
      </c>
      <c r="G7053">
        <v>1</v>
      </c>
      <c r="H7053">
        <v>3</v>
      </c>
      <c r="I7053">
        <v>1973</v>
      </c>
      <c r="J7053">
        <v>1</v>
      </c>
      <c r="K7053">
        <v>1</v>
      </c>
      <c r="L7053">
        <v>0</v>
      </c>
      <c r="M7053">
        <v>14</v>
      </c>
      <c r="N7053" t="s">
        <v>41</v>
      </c>
      <c r="O7053" t="s">
        <v>30</v>
      </c>
      <c r="P7053">
        <v>13.8890608979333</v>
      </c>
      <c r="Q7053">
        <v>1.32891053716366</v>
      </c>
      <c r="R7053">
        <v>3.3898685442405498</v>
      </c>
      <c r="S7053">
        <v>32</v>
      </c>
      <c r="T7053">
        <v>50</v>
      </c>
      <c r="U7053">
        <v>248.74527254551799</v>
      </c>
      <c r="V7053">
        <v>5.0071530758226002E-3</v>
      </c>
      <c r="W7053">
        <v>988814.12189806497</v>
      </c>
      <c r="X7053" t="s">
        <v>28</v>
      </c>
      <c r="Y7053">
        <f>1-293-856-2484</f>
        <v>-3632</v>
      </c>
    </row>
    <row r="7054" spans="1:25" x14ac:dyDescent="0.35">
      <c r="A7054">
        <v>34.858531759087597</v>
      </c>
      <c r="B7054">
        <v>-114.72231956762499</v>
      </c>
      <c r="C7054" t="s">
        <v>29</v>
      </c>
      <c r="D7054">
        <v>11.881992417457599</v>
      </c>
      <c r="E7054">
        <v>2</v>
      </c>
      <c r="F7054">
        <v>1959</v>
      </c>
      <c r="G7054">
        <v>4</v>
      </c>
      <c r="H7054">
        <v>1</v>
      </c>
      <c r="I7054">
        <v>1985</v>
      </c>
      <c r="J7054">
        <v>0</v>
      </c>
      <c r="K7054">
        <v>1</v>
      </c>
      <c r="L7054">
        <v>0</v>
      </c>
      <c r="M7054">
        <v>13</v>
      </c>
      <c r="N7054" t="s">
        <v>37</v>
      </c>
      <c r="O7054" t="s">
        <v>27</v>
      </c>
      <c r="P7054">
        <v>8.1225501128012301</v>
      </c>
      <c r="Q7054">
        <v>2.1311037043182099</v>
      </c>
      <c r="R7054">
        <v>7.2176128816656302</v>
      </c>
      <c r="S7054">
        <v>46</v>
      </c>
      <c r="T7054">
        <v>45</v>
      </c>
      <c r="U7054">
        <v>389.56542522577001</v>
      </c>
      <c r="V7054">
        <v>6.6360387953037199E-3</v>
      </c>
      <c r="W7054">
        <v>997557.86728587805</v>
      </c>
      <c r="X7054" t="s">
        <v>39</v>
      </c>
      <c r="Y7054">
        <f>1-646-830-3716</f>
        <v>-5191</v>
      </c>
    </row>
    <row r="7055" spans="1:25" x14ac:dyDescent="0.35">
      <c r="A7055">
        <v>33.203958258808598</v>
      </c>
      <c r="B7055">
        <v>-117.979914083243</v>
      </c>
      <c r="C7055" t="s">
        <v>25</v>
      </c>
      <c r="D7055">
        <v>31.735927923076499</v>
      </c>
      <c r="E7055">
        <v>9</v>
      </c>
      <c r="F7055">
        <v>3395</v>
      </c>
      <c r="G7055">
        <v>2</v>
      </c>
      <c r="H7055">
        <v>3</v>
      </c>
      <c r="I7055">
        <v>1979</v>
      </c>
      <c r="J7055">
        <v>1</v>
      </c>
      <c r="K7055">
        <v>0</v>
      </c>
      <c r="L7055">
        <v>0</v>
      </c>
      <c r="M7055">
        <v>7</v>
      </c>
      <c r="N7055" t="s">
        <v>37</v>
      </c>
      <c r="O7055" t="s">
        <v>32</v>
      </c>
      <c r="P7055">
        <v>6.8793696358019503</v>
      </c>
      <c r="Q7055">
        <v>1.60300073812662</v>
      </c>
      <c r="R7055">
        <v>8.3610814456279599</v>
      </c>
      <c r="S7055">
        <v>188</v>
      </c>
      <c r="T7055">
        <v>55</v>
      </c>
      <c r="U7055">
        <v>391.56747211190702</v>
      </c>
      <c r="V7055">
        <v>2.0618556701030898E-3</v>
      </c>
      <c r="W7055">
        <v>1476670.5226709601</v>
      </c>
      <c r="X7055" t="s">
        <v>43</v>
      </c>
      <c r="Y7055">
        <f>1-356-899-5555</f>
        <v>-6809</v>
      </c>
    </row>
    <row r="7056" spans="1:25" x14ac:dyDescent="0.35">
      <c r="A7056">
        <v>34.848314958348404</v>
      </c>
      <c r="B7056">
        <v>-120.92861739905</v>
      </c>
      <c r="C7056" t="s">
        <v>25</v>
      </c>
      <c r="D7056">
        <v>39.359772437081297</v>
      </c>
      <c r="E7056">
        <v>7</v>
      </c>
      <c r="F7056">
        <v>2930</v>
      </c>
      <c r="G7056">
        <v>3</v>
      </c>
      <c r="H7056">
        <v>3</v>
      </c>
      <c r="I7056">
        <v>1954</v>
      </c>
      <c r="J7056">
        <v>1</v>
      </c>
      <c r="K7056">
        <v>0</v>
      </c>
      <c r="L7056">
        <v>1</v>
      </c>
      <c r="M7056">
        <v>12</v>
      </c>
      <c r="N7056" t="s">
        <v>41</v>
      </c>
      <c r="O7056" t="s">
        <v>27</v>
      </c>
      <c r="P7056">
        <v>6.1561476590136603</v>
      </c>
      <c r="Q7056">
        <v>0.82344953808329402</v>
      </c>
      <c r="R7056">
        <v>8.0003552746685198</v>
      </c>
      <c r="S7056">
        <v>109</v>
      </c>
      <c r="T7056">
        <v>37</v>
      </c>
      <c r="U7056">
        <v>323.20999499922402</v>
      </c>
      <c r="V7056">
        <v>4.0955631399317398E-3</v>
      </c>
      <c r="W7056">
        <v>1167506.7166401199</v>
      </c>
      <c r="X7056" t="s">
        <v>33</v>
      </c>
      <c r="Y7056">
        <f>1-581-426-1598</f>
        <v>-2604</v>
      </c>
    </row>
    <row r="7057" spans="1:25" x14ac:dyDescent="0.35">
      <c r="A7057">
        <v>34.626113010528002</v>
      </c>
      <c r="B7057">
        <v>-117.876333786465</v>
      </c>
      <c r="C7057" t="s">
        <v>29</v>
      </c>
      <c r="D7057">
        <v>19.3928955128628</v>
      </c>
      <c r="E7057">
        <v>0</v>
      </c>
      <c r="F7057">
        <v>664</v>
      </c>
      <c r="G7057">
        <v>3</v>
      </c>
      <c r="H7057">
        <v>3</v>
      </c>
      <c r="I7057">
        <v>2014</v>
      </c>
      <c r="J7057">
        <v>1</v>
      </c>
      <c r="K7057">
        <v>1</v>
      </c>
      <c r="L7057">
        <v>1</v>
      </c>
      <c r="M7057">
        <v>11</v>
      </c>
      <c r="N7057" t="s">
        <v>41</v>
      </c>
      <c r="O7057" t="s">
        <v>30</v>
      </c>
      <c r="P7057">
        <v>12.677745330739899</v>
      </c>
      <c r="Q7057">
        <v>2.3929738059727699</v>
      </c>
      <c r="R7057">
        <v>6.8880257578212802</v>
      </c>
      <c r="S7057">
        <v>80</v>
      </c>
      <c r="T7057">
        <v>69</v>
      </c>
      <c r="U7057">
        <v>456.01601756006801</v>
      </c>
      <c r="V7057">
        <v>1.6566265060240899E-2</v>
      </c>
      <c r="W7057">
        <v>726673.68917980604</v>
      </c>
      <c r="X7057" t="s">
        <v>42</v>
      </c>
      <c r="Y7057">
        <f>1-221-883-3045</f>
        <v>-4148</v>
      </c>
    </row>
    <row r="7058" spans="1:25" x14ac:dyDescent="0.35">
      <c r="A7058">
        <v>37.958451304276799</v>
      </c>
      <c r="B7058">
        <v>-120.530056013804</v>
      </c>
      <c r="C7058" t="s">
        <v>25</v>
      </c>
      <c r="D7058">
        <v>47.622702584700001</v>
      </c>
      <c r="E7058">
        <v>5</v>
      </c>
      <c r="F7058">
        <v>2735</v>
      </c>
      <c r="G7058">
        <v>2</v>
      </c>
      <c r="H7058">
        <v>2</v>
      </c>
      <c r="I7058">
        <v>1978</v>
      </c>
      <c r="J7058">
        <v>0</v>
      </c>
      <c r="K7058">
        <v>1</v>
      </c>
      <c r="L7058">
        <v>1</v>
      </c>
      <c r="M7058">
        <v>11</v>
      </c>
      <c r="N7058" t="s">
        <v>35</v>
      </c>
      <c r="O7058" t="s">
        <v>30</v>
      </c>
      <c r="P7058">
        <v>11.808784445326699</v>
      </c>
      <c r="Q7058">
        <v>1.3757051469375601</v>
      </c>
      <c r="R7058">
        <v>9.1494448294568809</v>
      </c>
      <c r="S7058">
        <v>195</v>
      </c>
      <c r="T7058">
        <v>69</v>
      </c>
      <c r="U7058">
        <v>741.63830785915195</v>
      </c>
      <c r="V7058">
        <v>4.0219378427787901E-3</v>
      </c>
      <c r="W7058">
        <v>2393985.0805907999</v>
      </c>
      <c r="X7058" t="s">
        <v>38</v>
      </c>
      <c r="Y7058">
        <f>1-300-294-8580</f>
        <v>-9173</v>
      </c>
    </row>
    <row r="7059" spans="1:25" x14ac:dyDescent="0.35">
      <c r="A7059">
        <v>41.413139007935499</v>
      </c>
      <c r="B7059">
        <v>-119.66253030831901</v>
      </c>
      <c r="C7059" t="s">
        <v>25</v>
      </c>
      <c r="D7059">
        <v>8.5618346664410492</v>
      </c>
      <c r="E7059">
        <v>2</v>
      </c>
      <c r="F7059">
        <v>2989</v>
      </c>
      <c r="G7059">
        <v>5</v>
      </c>
      <c r="H7059">
        <v>3</v>
      </c>
      <c r="I7059">
        <v>1977</v>
      </c>
      <c r="J7059">
        <v>1</v>
      </c>
      <c r="K7059">
        <v>1</v>
      </c>
      <c r="L7059">
        <v>1</v>
      </c>
      <c r="M7059">
        <v>3</v>
      </c>
      <c r="N7059" t="s">
        <v>41</v>
      </c>
      <c r="O7059" t="s">
        <v>27</v>
      </c>
      <c r="P7059">
        <v>14.557474458392401</v>
      </c>
      <c r="Q7059">
        <v>1.4655011637962501</v>
      </c>
      <c r="R7059">
        <v>2.7782990114511299</v>
      </c>
      <c r="S7059">
        <v>43</v>
      </c>
      <c r="T7059">
        <v>49</v>
      </c>
      <c r="U7059">
        <v>446.86718087202001</v>
      </c>
      <c r="V7059">
        <v>1.0036801605888201E-3</v>
      </c>
      <c r="W7059">
        <v>1908276.99404432</v>
      </c>
      <c r="X7059" t="s">
        <v>43</v>
      </c>
      <c r="Y7059">
        <f>1-531-684-8628</f>
        <v>-9842</v>
      </c>
    </row>
    <row r="7060" spans="1:25" x14ac:dyDescent="0.35">
      <c r="A7060">
        <v>33.7192142289</v>
      </c>
      <c r="B7060">
        <v>-119.567495278785</v>
      </c>
      <c r="C7060" t="s">
        <v>34</v>
      </c>
      <c r="D7060">
        <v>17.632300691146199</v>
      </c>
      <c r="E7060">
        <v>4</v>
      </c>
      <c r="F7060">
        <v>2836</v>
      </c>
      <c r="G7060">
        <v>4</v>
      </c>
      <c r="H7060">
        <v>3</v>
      </c>
      <c r="I7060">
        <v>1957</v>
      </c>
      <c r="J7060">
        <v>0</v>
      </c>
      <c r="K7060">
        <v>0</v>
      </c>
      <c r="L7060">
        <v>1</v>
      </c>
      <c r="M7060">
        <v>5</v>
      </c>
      <c r="N7060" t="s">
        <v>26</v>
      </c>
      <c r="O7060" t="s">
        <v>32</v>
      </c>
      <c r="P7060">
        <v>5.2002026913762203</v>
      </c>
      <c r="Q7060">
        <v>0.59055370699506204</v>
      </c>
      <c r="R7060">
        <v>6.4823157649907701</v>
      </c>
      <c r="S7060">
        <v>167</v>
      </c>
      <c r="T7060">
        <v>70</v>
      </c>
      <c r="U7060">
        <v>933.12278374498203</v>
      </c>
      <c r="V7060">
        <v>1.76304654442877E-3</v>
      </c>
      <c r="W7060">
        <v>2815925.5847473401</v>
      </c>
      <c r="X7060" t="s">
        <v>39</v>
      </c>
      <c r="Y7060">
        <f>1-514-187-9315</f>
        <v>-10015</v>
      </c>
    </row>
    <row r="7061" spans="1:25" x14ac:dyDescent="0.35">
      <c r="A7061">
        <v>37.285526453896303</v>
      </c>
      <c r="B7061">
        <v>-115.07826128272499</v>
      </c>
      <c r="C7061" t="s">
        <v>34</v>
      </c>
      <c r="D7061">
        <v>48.855581890505</v>
      </c>
      <c r="E7061">
        <v>4</v>
      </c>
      <c r="F7061">
        <v>1136</v>
      </c>
      <c r="G7061">
        <v>4</v>
      </c>
      <c r="H7061">
        <v>2</v>
      </c>
      <c r="I7061">
        <v>1979</v>
      </c>
      <c r="J7061">
        <v>0</v>
      </c>
      <c r="K7061">
        <v>1</v>
      </c>
      <c r="L7061">
        <v>1</v>
      </c>
      <c r="M7061">
        <v>12</v>
      </c>
      <c r="N7061" t="s">
        <v>41</v>
      </c>
      <c r="O7061" t="s">
        <v>32</v>
      </c>
      <c r="P7061">
        <v>11.835736751954499</v>
      </c>
      <c r="Q7061">
        <v>0.92454301510956105</v>
      </c>
      <c r="R7061">
        <v>9.3364760879585091</v>
      </c>
      <c r="S7061">
        <v>2</v>
      </c>
      <c r="T7061">
        <v>30</v>
      </c>
      <c r="U7061">
        <v>399.76788559206898</v>
      </c>
      <c r="V7061">
        <v>1.0563380281690101E-2</v>
      </c>
      <c r="W7061">
        <v>859482.22669006698</v>
      </c>
      <c r="X7061" t="s">
        <v>33</v>
      </c>
      <c r="Y7061">
        <f>1-581-803-8457</f>
        <v>-9840</v>
      </c>
    </row>
    <row r="7062" spans="1:25" x14ac:dyDescent="0.35">
      <c r="A7062">
        <v>35.304296691188704</v>
      </c>
      <c r="B7062">
        <v>-122.830607695618</v>
      </c>
      <c r="C7062" t="s">
        <v>34</v>
      </c>
      <c r="D7062">
        <v>18.2014887814811</v>
      </c>
      <c r="E7062">
        <v>3</v>
      </c>
      <c r="F7062">
        <v>1126</v>
      </c>
      <c r="G7062">
        <v>2</v>
      </c>
      <c r="H7062">
        <v>3</v>
      </c>
      <c r="I7062">
        <v>1989</v>
      </c>
      <c r="J7062">
        <v>0</v>
      </c>
      <c r="K7062">
        <v>0</v>
      </c>
      <c r="L7062">
        <v>1</v>
      </c>
      <c r="M7062">
        <v>6</v>
      </c>
      <c r="N7062" t="s">
        <v>35</v>
      </c>
      <c r="O7062" t="s">
        <v>30</v>
      </c>
      <c r="P7062">
        <v>11.5131354660056</v>
      </c>
      <c r="Q7062">
        <v>1.0604139042596801</v>
      </c>
      <c r="R7062">
        <v>1.5515965786913599</v>
      </c>
      <c r="S7062">
        <v>183</v>
      </c>
      <c r="T7062">
        <v>43</v>
      </c>
      <c r="U7062">
        <v>615.08523319621497</v>
      </c>
      <c r="V7062">
        <v>5.3285968028419098E-3</v>
      </c>
      <c r="W7062">
        <v>918762.84487705596</v>
      </c>
      <c r="X7062" t="s">
        <v>38</v>
      </c>
      <c r="Y7062">
        <f>1-653-619-3949</f>
        <v>-5220</v>
      </c>
    </row>
    <row r="7063" spans="1:25" x14ac:dyDescent="0.35">
      <c r="A7063">
        <v>36.616991421956698</v>
      </c>
      <c r="B7063">
        <v>-121.45466632807501</v>
      </c>
      <c r="C7063" t="s">
        <v>34</v>
      </c>
      <c r="D7063">
        <v>18.507894816621398</v>
      </c>
      <c r="E7063">
        <v>1</v>
      </c>
      <c r="F7063">
        <v>2807</v>
      </c>
      <c r="G7063">
        <v>1</v>
      </c>
      <c r="H7063">
        <v>2</v>
      </c>
      <c r="I7063">
        <v>1999</v>
      </c>
      <c r="J7063">
        <v>0</v>
      </c>
      <c r="K7063">
        <v>0</v>
      </c>
      <c r="L7063">
        <v>1</v>
      </c>
      <c r="M7063">
        <v>8</v>
      </c>
      <c r="N7063" t="s">
        <v>37</v>
      </c>
      <c r="O7063" t="s">
        <v>30</v>
      </c>
      <c r="P7063">
        <v>13.877414035906</v>
      </c>
      <c r="Q7063">
        <v>2.2728377204845298</v>
      </c>
      <c r="R7063">
        <v>2.2883661758691698</v>
      </c>
      <c r="S7063">
        <v>165</v>
      </c>
      <c r="T7063">
        <v>52</v>
      </c>
      <c r="U7063">
        <v>726.16896678384398</v>
      </c>
      <c r="V7063">
        <v>2.8500178126113201E-3</v>
      </c>
      <c r="W7063">
        <v>2185331.56479281</v>
      </c>
      <c r="X7063" t="s">
        <v>39</v>
      </c>
      <c r="Y7063">
        <f>1-521-855-8478</f>
        <v>-9853</v>
      </c>
    </row>
    <row r="7064" spans="1:25" x14ac:dyDescent="0.35">
      <c r="A7064">
        <v>37.272972617326701</v>
      </c>
      <c r="B7064">
        <v>-116.799072640842</v>
      </c>
      <c r="C7064" t="s">
        <v>29</v>
      </c>
      <c r="D7064">
        <v>32.995748817052799</v>
      </c>
      <c r="E7064">
        <v>1</v>
      </c>
      <c r="F7064">
        <v>801</v>
      </c>
      <c r="G7064">
        <v>1</v>
      </c>
      <c r="H7064">
        <v>2</v>
      </c>
      <c r="I7064">
        <v>1965</v>
      </c>
      <c r="J7064">
        <v>0</v>
      </c>
      <c r="K7064">
        <v>1</v>
      </c>
      <c r="L7064">
        <v>1</v>
      </c>
      <c r="M7064">
        <v>7</v>
      </c>
      <c r="N7064" t="s">
        <v>35</v>
      </c>
      <c r="O7064" t="s">
        <v>32</v>
      </c>
      <c r="P7064">
        <v>9.9939898195552708</v>
      </c>
      <c r="Q7064">
        <v>1.0388300944398701</v>
      </c>
      <c r="R7064">
        <v>4.2173244684620199</v>
      </c>
      <c r="S7064">
        <v>146</v>
      </c>
      <c r="T7064">
        <v>51</v>
      </c>
      <c r="U7064">
        <v>936.98550438489599</v>
      </c>
      <c r="V7064">
        <v>8.7390761548064907E-3</v>
      </c>
      <c r="W7064">
        <v>900411.42631320097</v>
      </c>
      <c r="X7064" t="s">
        <v>38</v>
      </c>
      <c r="Y7064">
        <f>1-933-967-5245</f>
        <v>-7144</v>
      </c>
    </row>
    <row r="7065" spans="1:25" x14ac:dyDescent="0.35">
      <c r="A7065">
        <v>35.412384432224201</v>
      </c>
      <c r="B7065">
        <v>-124.062659941166</v>
      </c>
      <c r="C7065" t="s">
        <v>25</v>
      </c>
      <c r="D7065">
        <v>44.289311366187199</v>
      </c>
      <c r="E7065">
        <v>6</v>
      </c>
      <c r="F7065">
        <v>3583</v>
      </c>
      <c r="G7065">
        <v>1</v>
      </c>
      <c r="H7065">
        <v>1</v>
      </c>
      <c r="I7065">
        <v>2008</v>
      </c>
      <c r="J7065">
        <v>1</v>
      </c>
      <c r="K7065">
        <v>1</v>
      </c>
      <c r="L7065">
        <v>1</v>
      </c>
      <c r="M7065">
        <v>3</v>
      </c>
      <c r="N7065" t="s">
        <v>41</v>
      </c>
      <c r="O7065" t="s">
        <v>32</v>
      </c>
      <c r="P7065">
        <v>4.0322512156543597</v>
      </c>
      <c r="Q7065">
        <v>2.12327624326957</v>
      </c>
      <c r="R7065">
        <v>3.8859533826004902</v>
      </c>
      <c r="S7065">
        <v>198</v>
      </c>
      <c r="T7065">
        <v>61</v>
      </c>
      <c r="U7065">
        <v>883.87991044430601</v>
      </c>
      <c r="V7065">
        <v>8.3728718950600001E-4</v>
      </c>
      <c r="W7065">
        <v>3380899.9520172798</v>
      </c>
      <c r="X7065" t="s">
        <v>39</v>
      </c>
      <c r="Y7065">
        <f>1-619-403-9387</f>
        <v>-10408</v>
      </c>
    </row>
    <row r="7066" spans="1:25" x14ac:dyDescent="0.35">
      <c r="A7066">
        <v>38.8803602635818</v>
      </c>
      <c r="B7066">
        <v>-123.276072186457</v>
      </c>
      <c r="C7066" t="s">
        <v>29</v>
      </c>
      <c r="D7066">
        <v>3.1816824290183798</v>
      </c>
      <c r="E7066">
        <v>0</v>
      </c>
      <c r="F7066">
        <v>2997</v>
      </c>
      <c r="G7066">
        <v>3</v>
      </c>
      <c r="H7066">
        <v>1</v>
      </c>
      <c r="I7066">
        <v>1985</v>
      </c>
      <c r="J7066">
        <v>1</v>
      </c>
      <c r="K7066">
        <v>1</v>
      </c>
      <c r="L7066">
        <v>1</v>
      </c>
      <c r="M7066">
        <v>11</v>
      </c>
      <c r="N7066" t="s">
        <v>26</v>
      </c>
      <c r="O7066" t="s">
        <v>27</v>
      </c>
      <c r="P7066">
        <v>6.9412218311574696</v>
      </c>
      <c r="Q7066">
        <v>0.59922166451570402</v>
      </c>
      <c r="R7066">
        <v>6.7053554650290303</v>
      </c>
      <c r="S7066">
        <v>79</v>
      </c>
      <c r="T7066">
        <v>20</v>
      </c>
      <c r="U7066">
        <v>324.66163388130502</v>
      </c>
      <c r="V7066">
        <v>3.6703370036703302E-3</v>
      </c>
      <c r="W7066">
        <v>1285647.86377145</v>
      </c>
      <c r="X7066" t="s">
        <v>43</v>
      </c>
      <c r="Y7066">
        <f>1-452-513-4569</f>
        <v>-5533</v>
      </c>
    </row>
    <row r="7067" spans="1:25" x14ac:dyDescent="0.35">
      <c r="A7067">
        <v>41.6321236552971</v>
      </c>
      <c r="B7067">
        <v>-116.17376400259199</v>
      </c>
      <c r="C7067" t="s">
        <v>34</v>
      </c>
      <c r="D7067">
        <v>45.0286383396313</v>
      </c>
      <c r="E7067">
        <v>3</v>
      </c>
      <c r="F7067">
        <v>3053</v>
      </c>
      <c r="G7067">
        <v>2</v>
      </c>
      <c r="H7067">
        <v>1</v>
      </c>
      <c r="I7067">
        <v>2011</v>
      </c>
      <c r="J7067">
        <v>0</v>
      </c>
      <c r="K7067">
        <v>1</v>
      </c>
      <c r="L7067">
        <v>1</v>
      </c>
      <c r="M7067">
        <v>6</v>
      </c>
      <c r="N7067" t="s">
        <v>35</v>
      </c>
      <c r="O7067" t="s">
        <v>32</v>
      </c>
      <c r="P7067">
        <v>11.9913304480371</v>
      </c>
      <c r="Q7067">
        <v>1.10929613428151</v>
      </c>
      <c r="R7067">
        <v>7.8270194079853797</v>
      </c>
      <c r="S7067">
        <v>169</v>
      </c>
      <c r="T7067">
        <v>30</v>
      </c>
      <c r="U7067">
        <v>460.06466825433802</v>
      </c>
      <c r="V7067">
        <v>1.9652800524074601E-3</v>
      </c>
      <c r="W7067">
        <v>1754640.2106242301</v>
      </c>
      <c r="X7067" t="s">
        <v>31</v>
      </c>
      <c r="Y7067">
        <f>1-612-530-1752</f>
        <v>-2893</v>
      </c>
    </row>
    <row r="7068" spans="1:25" x14ac:dyDescent="0.35">
      <c r="A7068">
        <v>34.521300830113503</v>
      </c>
      <c r="B7068">
        <v>-119.171887165634</v>
      </c>
      <c r="C7068" t="s">
        <v>25</v>
      </c>
      <c r="D7068">
        <v>24.227005307908701</v>
      </c>
      <c r="E7068">
        <v>1</v>
      </c>
      <c r="F7068">
        <v>3516</v>
      </c>
      <c r="G7068">
        <v>4</v>
      </c>
      <c r="H7068">
        <v>1</v>
      </c>
      <c r="I7068">
        <v>1988</v>
      </c>
      <c r="J7068">
        <v>1</v>
      </c>
      <c r="K7068">
        <v>0</v>
      </c>
      <c r="L7068">
        <v>0</v>
      </c>
      <c r="M7068">
        <v>3</v>
      </c>
      <c r="N7068" t="s">
        <v>37</v>
      </c>
      <c r="O7068" t="s">
        <v>27</v>
      </c>
      <c r="P7068">
        <v>6.5037971590258596</v>
      </c>
      <c r="Q7068">
        <v>1.1578292689521801</v>
      </c>
      <c r="R7068">
        <v>1.0830858092814899</v>
      </c>
      <c r="S7068">
        <v>45</v>
      </c>
      <c r="T7068">
        <v>60</v>
      </c>
      <c r="U7068">
        <v>209.32981298209799</v>
      </c>
      <c r="V7068">
        <v>8.5324232081911199E-4</v>
      </c>
      <c r="W7068">
        <v>986479.927467303</v>
      </c>
      <c r="X7068" t="s">
        <v>36</v>
      </c>
      <c r="Y7068">
        <f>1-568-982-5661</f>
        <v>-7210</v>
      </c>
    </row>
    <row r="7069" spans="1:25" x14ac:dyDescent="0.35">
      <c r="A7069">
        <v>32.577735952846297</v>
      </c>
      <c r="B7069">
        <v>-124.216012245434</v>
      </c>
      <c r="C7069" t="s">
        <v>25</v>
      </c>
      <c r="D7069">
        <v>11.850896712066</v>
      </c>
      <c r="E7069">
        <v>7</v>
      </c>
      <c r="F7069">
        <v>3741</v>
      </c>
      <c r="G7069">
        <v>1</v>
      </c>
      <c r="H7069">
        <v>1</v>
      </c>
      <c r="I7069">
        <v>2013</v>
      </c>
      <c r="J7069">
        <v>0</v>
      </c>
      <c r="K7069">
        <v>0</v>
      </c>
      <c r="L7069">
        <v>1</v>
      </c>
      <c r="M7069">
        <v>14</v>
      </c>
      <c r="N7069" t="s">
        <v>35</v>
      </c>
      <c r="O7069" t="s">
        <v>27</v>
      </c>
      <c r="P7069">
        <v>12.8540636035574</v>
      </c>
      <c r="Q7069">
        <v>0.65797220927793998</v>
      </c>
      <c r="R7069">
        <v>6.2552812989594901</v>
      </c>
      <c r="S7069">
        <v>109</v>
      </c>
      <c r="T7069">
        <v>34</v>
      </c>
      <c r="U7069">
        <v>678.39091094969899</v>
      </c>
      <c r="V7069">
        <v>3.74231488906709E-3</v>
      </c>
      <c r="W7069">
        <v>2825208.93385563</v>
      </c>
      <c r="X7069" t="s">
        <v>28</v>
      </c>
      <c r="Y7069">
        <f>1-915-459-1652</f>
        <v>-3025</v>
      </c>
    </row>
    <row r="7070" spans="1:25" x14ac:dyDescent="0.35">
      <c r="A7070">
        <v>39.547635801391102</v>
      </c>
      <c r="B7070">
        <v>-121.622320366167</v>
      </c>
      <c r="C7070" t="s">
        <v>34</v>
      </c>
      <c r="D7070">
        <v>35.0924645972691</v>
      </c>
      <c r="E7070">
        <v>6</v>
      </c>
      <c r="F7070">
        <v>4550</v>
      </c>
      <c r="G7070">
        <v>4</v>
      </c>
      <c r="H7070">
        <v>1</v>
      </c>
      <c r="I7070">
        <v>1991</v>
      </c>
      <c r="J7070">
        <v>1</v>
      </c>
      <c r="K7070">
        <v>0</v>
      </c>
      <c r="L7070">
        <v>1</v>
      </c>
      <c r="M7070">
        <v>8</v>
      </c>
      <c r="N7070" t="s">
        <v>35</v>
      </c>
      <c r="O7070" t="s">
        <v>30</v>
      </c>
      <c r="P7070">
        <v>8.1830123757667792</v>
      </c>
      <c r="Q7070">
        <v>2.3982417839449801</v>
      </c>
      <c r="R7070">
        <v>6.5798082090405599</v>
      </c>
      <c r="S7070">
        <v>55</v>
      </c>
      <c r="T7070">
        <v>66</v>
      </c>
      <c r="U7070">
        <v>545.02675826189204</v>
      </c>
      <c r="V7070">
        <v>1.75824175824175E-3</v>
      </c>
      <c r="W7070">
        <v>2802017.0677060401</v>
      </c>
      <c r="X7070" t="s">
        <v>44</v>
      </c>
      <c r="Y7070">
        <f>1-488-286-7041</f>
        <v>-7814</v>
      </c>
    </row>
    <row r="7071" spans="1:25" x14ac:dyDescent="0.35">
      <c r="A7071">
        <v>32.928645405352903</v>
      </c>
      <c r="B7071">
        <v>-119.65205661455499</v>
      </c>
      <c r="C7071" t="s">
        <v>34</v>
      </c>
      <c r="D7071">
        <v>3.3548169637791601</v>
      </c>
      <c r="E7071">
        <v>8</v>
      </c>
      <c r="F7071">
        <v>2126</v>
      </c>
      <c r="G7071">
        <v>5</v>
      </c>
      <c r="H7071">
        <v>2</v>
      </c>
      <c r="I7071">
        <v>1960</v>
      </c>
      <c r="J7071">
        <v>0</v>
      </c>
      <c r="K7071">
        <v>0</v>
      </c>
      <c r="L7071">
        <v>0</v>
      </c>
      <c r="M7071">
        <v>13</v>
      </c>
      <c r="N7071" t="s">
        <v>37</v>
      </c>
      <c r="O7071" t="s">
        <v>30</v>
      </c>
      <c r="P7071">
        <v>2.1486992777652998</v>
      </c>
      <c r="Q7071">
        <v>1.9416647816355099</v>
      </c>
      <c r="R7071">
        <v>5.6353652783549002</v>
      </c>
      <c r="S7071">
        <v>18</v>
      </c>
      <c r="T7071">
        <v>29</v>
      </c>
      <c r="U7071">
        <v>470.40416479062498</v>
      </c>
      <c r="V7071">
        <v>6.1147695202257704E-3</v>
      </c>
      <c r="W7071">
        <v>1224199.93255337</v>
      </c>
      <c r="X7071" t="s">
        <v>43</v>
      </c>
      <c r="Y7071">
        <f>1-585-439-7209</f>
        <v>-8232</v>
      </c>
    </row>
    <row r="7072" spans="1:25" x14ac:dyDescent="0.35">
      <c r="A7072">
        <v>39.542811042461103</v>
      </c>
      <c r="B7072">
        <v>-121.46504835591099</v>
      </c>
      <c r="C7072" t="s">
        <v>25</v>
      </c>
      <c r="D7072">
        <v>32.719074175600099</v>
      </c>
      <c r="E7072">
        <v>7</v>
      </c>
      <c r="F7072">
        <v>3943</v>
      </c>
      <c r="G7072">
        <v>1</v>
      </c>
      <c r="H7072">
        <v>1</v>
      </c>
      <c r="I7072">
        <v>1975</v>
      </c>
      <c r="J7072">
        <v>0</v>
      </c>
      <c r="K7072">
        <v>0</v>
      </c>
      <c r="L7072">
        <v>0</v>
      </c>
      <c r="M7072">
        <v>6</v>
      </c>
      <c r="N7072" t="s">
        <v>26</v>
      </c>
      <c r="O7072" t="s">
        <v>30</v>
      </c>
      <c r="P7072">
        <v>13.2442698635158</v>
      </c>
      <c r="Q7072">
        <v>0.67786565149380296</v>
      </c>
      <c r="R7072">
        <v>1.41614291047785</v>
      </c>
      <c r="S7072">
        <v>30</v>
      </c>
      <c r="T7072">
        <v>75</v>
      </c>
      <c r="U7072">
        <v>647.842653612817</v>
      </c>
      <c r="V7072">
        <v>1.5216839969566299E-3</v>
      </c>
      <c r="W7072">
        <v>2729757.5834690798</v>
      </c>
      <c r="X7072" t="s">
        <v>44</v>
      </c>
      <c r="Y7072">
        <f>1-271-322-2183</f>
        <v>-2775</v>
      </c>
    </row>
    <row r="7073" spans="1:25" x14ac:dyDescent="0.35">
      <c r="A7073">
        <v>33.480841579533497</v>
      </c>
      <c r="B7073">
        <v>-117.81623763786899</v>
      </c>
      <c r="C7073" t="s">
        <v>29</v>
      </c>
      <c r="D7073">
        <v>5.7022452354912803</v>
      </c>
      <c r="E7073">
        <v>1</v>
      </c>
      <c r="F7073">
        <v>3691</v>
      </c>
      <c r="G7073">
        <v>5</v>
      </c>
      <c r="H7073">
        <v>3</v>
      </c>
      <c r="I7073">
        <v>1966</v>
      </c>
      <c r="J7073">
        <v>0</v>
      </c>
      <c r="K7073">
        <v>1</v>
      </c>
      <c r="L7073">
        <v>1</v>
      </c>
      <c r="M7073">
        <v>12</v>
      </c>
      <c r="N7073" t="s">
        <v>26</v>
      </c>
      <c r="O7073" t="s">
        <v>27</v>
      </c>
      <c r="P7073">
        <v>11.3068778713564</v>
      </c>
      <c r="Q7073">
        <v>0.96575484065335604</v>
      </c>
      <c r="R7073">
        <v>9.6349677037508599</v>
      </c>
      <c r="S7073">
        <v>122</v>
      </c>
      <c r="T7073">
        <v>20</v>
      </c>
      <c r="U7073">
        <v>988.12691462448299</v>
      </c>
      <c r="V7073">
        <v>3.2511514494716798E-3</v>
      </c>
      <c r="W7073">
        <v>4101423.4810847002</v>
      </c>
      <c r="X7073" t="s">
        <v>40</v>
      </c>
      <c r="Y7073">
        <f>1-801-657-1647</f>
        <v>-3104</v>
      </c>
    </row>
    <row r="7074" spans="1:25" x14ac:dyDescent="0.35">
      <c r="A7074">
        <v>33.6211415853194</v>
      </c>
      <c r="B7074">
        <v>-119.282409623756</v>
      </c>
      <c r="C7074" t="s">
        <v>29</v>
      </c>
      <c r="D7074">
        <v>28.2014711548875</v>
      </c>
      <c r="E7074">
        <v>2</v>
      </c>
      <c r="F7074">
        <v>1477</v>
      </c>
      <c r="G7074">
        <v>2</v>
      </c>
      <c r="H7074">
        <v>1</v>
      </c>
      <c r="I7074">
        <v>1985</v>
      </c>
      <c r="J7074">
        <v>0</v>
      </c>
      <c r="K7074">
        <v>0</v>
      </c>
      <c r="L7074">
        <v>1</v>
      </c>
      <c r="M7074">
        <v>5</v>
      </c>
      <c r="N7074" t="s">
        <v>41</v>
      </c>
      <c r="O7074" t="s">
        <v>27</v>
      </c>
      <c r="P7074">
        <v>2.9116774817677502</v>
      </c>
      <c r="Q7074">
        <v>2.2356610667144801</v>
      </c>
      <c r="R7074">
        <v>3.2431812162840701</v>
      </c>
      <c r="S7074">
        <v>21</v>
      </c>
      <c r="T7074">
        <v>38</v>
      </c>
      <c r="U7074">
        <v>620.53820945345694</v>
      </c>
      <c r="V7074">
        <v>3.3852403520649899E-3</v>
      </c>
      <c r="W7074">
        <v>1050371.7327787899</v>
      </c>
      <c r="X7074" t="s">
        <v>38</v>
      </c>
      <c r="Y7074">
        <f>1-701-954-3702</f>
        <v>-5356</v>
      </c>
    </row>
    <row r="7075" spans="1:25" x14ac:dyDescent="0.35">
      <c r="A7075">
        <v>41.5356822172999</v>
      </c>
      <c r="B7075">
        <v>-122.94464037785301</v>
      </c>
      <c r="C7075" t="s">
        <v>34</v>
      </c>
      <c r="D7075">
        <v>38.654255914843503</v>
      </c>
      <c r="E7075">
        <v>2</v>
      </c>
      <c r="F7075">
        <v>1029</v>
      </c>
      <c r="G7075">
        <v>2</v>
      </c>
      <c r="H7075">
        <v>3</v>
      </c>
      <c r="I7075">
        <v>1980</v>
      </c>
      <c r="J7075">
        <v>1</v>
      </c>
      <c r="K7075">
        <v>1</v>
      </c>
      <c r="L7075">
        <v>1</v>
      </c>
      <c r="M7075">
        <v>10</v>
      </c>
      <c r="N7075" t="s">
        <v>26</v>
      </c>
      <c r="O7075" t="s">
        <v>32</v>
      </c>
      <c r="P7075">
        <v>4.1452027264756701</v>
      </c>
      <c r="Q7075">
        <v>1.46735949436243</v>
      </c>
      <c r="R7075">
        <v>8.7265489462014898</v>
      </c>
      <c r="S7075">
        <v>104</v>
      </c>
      <c r="T7075">
        <v>58</v>
      </c>
      <c r="U7075">
        <v>785.78587019005602</v>
      </c>
      <c r="V7075">
        <v>9.7181729834791009E-3</v>
      </c>
      <c r="W7075">
        <v>1128431.8591964799</v>
      </c>
      <c r="X7075" t="s">
        <v>36</v>
      </c>
      <c r="Y7075">
        <f>1-393-942-4823</f>
        <v>-6157</v>
      </c>
    </row>
    <row r="7076" spans="1:25" x14ac:dyDescent="0.35">
      <c r="A7076">
        <v>40.283792995052302</v>
      </c>
      <c r="B7076">
        <v>-114.719045401664</v>
      </c>
      <c r="C7076" t="s">
        <v>25</v>
      </c>
      <c r="D7076">
        <v>18.384949010715999</v>
      </c>
      <c r="E7076">
        <v>7</v>
      </c>
      <c r="F7076">
        <v>1512</v>
      </c>
      <c r="G7076">
        <v>1</v>
      </c>
      <c r="H7076">
        <v>2</v>
      </c>
      <c r="I7076">
        <v>1984</v>
      </c>
      <c r="J7076">
        <v>1</v>
      </c>
      <c r="K7076">
        <v>0</v>
      </c>
      <c r="L7076">
        <v>1</v>
      </c>
      <c r="M7076">
        <v>3</v>
      </c>
      <c r="N7076" t="s">
        <v>41</v>
      </c>
      <c r="O7076" t="s">
        <v>32</v>
      </c>
      <c r="P7076">
        <v>3.7992315047284499</v>
      </c>
      <c r="Q7076">
        <v>1.8403040959591801</v>
      </c>
      <c r="R7076">
        <v>1.6829418981584201</v>
      </c>
      <c r="S7076">
        <v>124</v>
      </c>
      <c r="T7076">
        <v>65</v>
      </c>
      <c r="U7076">
        <v>341.88918415868199</v>
      </c>
      <c r="V7076">
        <v>1.9841269841269801E-3</v>
      </c>
      <c r="W7076">
        <v>735392.16291922797</v>
      </c>
      <c r="X7076" t="s">
        <v>38</v>
      </c>
      <c r="Y7076">
        <f>1-499-986-2981</f>
        <v>-4465</v>
      </c>
    </row>
    <row r="7077" spans="1:25" x14ac:dyDescent="0.35">
      <c r="A7077">
        <v>41.6766317296753</v>
      </c>
      <c r="B7077">
        <v>-123.61455564655201</v>
      </c>
      <c r="C7077" t="s">
        <v>25</v>
      </c>
      <c r="D7077">
        <v>25.759773470214601</v>
      </c>
      <c r="E7077">
        <v>7</v>
      </c>
      <c r="F7077">
        <v>1627</v>
      </c>
      <c r="G7077">
        <v>1</v>
      </c>
      <c r="H7077">
        <v>2</v>
      </c>
      <c r="I7077">
        <v>2017</v>
      </c>
      <c r="J7077">
        <v>1</v>
      </c>
      <c r="K7077">
        <v>1</v>
      </c>
      <c r="L7077">
        <v>0</v>
      </c>
      <c r="M7077">
        <v>14</v>
      </c>
      <c r="N7077" t="s">
        <v>41</v>
      </c>
      <c r="O7077" t="s">
        <v>32</v>
      </c>
      <c r="P7077">
        <v>14.3640671245532</v>
      </c>
      <c r="Q7077">
        <v>2.1550015292017202</v>
      </c>
      <c r="R7077">
        <v>9.4928314305156007</v>
      </c>
      <c r="S7077">
        <v>36</v>
      </c>
      <c r="T7077">
        <v>62</v>
      </c>
      <c r="U7077">
        <v>686.800975074642</v>
      </c>
      <c r="V7077">
        <v>8.6047940995697594E-3</v>
      </c>
      <c r="W7077">
        <v>1524852.3619685301</v>
      </c>
      <c r="X7077" t="s">
        <v>40</v>
      </c>
      <c r="Y7077">
        <f>1-832-800-7806</f>
        <v>-9437</v>
      </c>
    </row>
    <row r="7078" spans="1:25" x14ac:dyDescent="0.35">
      <c r="A7078">
        <v>38.7196284279539</v>
      </c>
      <c r="B7078">
        <v>-119.088756196318</v>
      </c>
      <c r="C7078" t="s">
        <v>34</v>
      </c>
      <c r="D7078">
        <v>26.992943486115401</v>
      </c>
      <c r="E7078">
        <v>2</v>
      </c>
      <c r="F7078">
        <v>4523</v>
      </c>
      <c r="G7078">
        <v>2</v>
      </c>
      <c r="H7078">
        <v>2</v>
      </c>
      <c r="I7078">
        <v>1975</v>
      </c>
      <c r="J7078">
        <v>1</v>
      </c>
      <c r="K7078">
        <v>1</v>
      </c>
      <c r="L7078">
        <v>1</v>
      </c>
      <c r="M7078">
        <v>13</v>
      </c>
      <c r="N7078" t="s">
        <v>26</v>
      </c>
      <c r="O7078" t="s">
        <v>30</v>
      </c>
      <c r="P7078">
        <v>7.5907927934678501</v>
      </c>
      <c r="Q7078">
        <v>1.5481366926723701</v>
      </c>
      <c r="R7078">
        <v>2.74000489108378</v>
      </c>
      <c r="S7078">
        <v>3</v>
      </c>
      <c r="T7078">
        <v>34</v>
      </c>
      <c r="U7078">
        <v>442.345584207824</v>
      </c>
      <c r="V7078">
        <v>2.8741985407915102E-3</v>
      </c>
      <c r="W7078">
        <v>2288139.73756132</v>
      </c>
      <c r="X7078" t="s">
        <v>33</v>
      </c>
      <c r="Y7078">
        <f>1-497-937-2425</f>
        <v>-3858</v>
      </c>
    </row>
    <row r="7079" spans="1:25" x14ac:dyDescent="0.35">
      <c r="A7079">
        <v>36.178934431282499</v>
      </c>
      <c r="B7079">
        <v>-119.062803819614</v>
      </c>
      <c r="C7079" t="s">
        <v>34</v>
      </c>
      <c r="D7079">
        <v>4.0699335340960303</v>
      </c>
      <c r="E7079">
        <v>2</v>
      </c>
      <c r="F7079">
        <v>4579</v>
      </c>
      <c r="G7079">
        <v>2</v>
      </c>
      <c r="H7079">
        <v>2</v>
      </c>
      <c r="I7079">
        <v>1966</v>
      </c>
      <c r="J7079">
        <v>0</v>
      </c>
      <c r="K7079">
        <v>1</v>
      </c>
      <c r="L7079">
        <v>1</v>
      </c>
      <c r="M7079">
        <v>4</v>
      </c>
      <c r="N7079" t="s">
        <v>26</v>
      </c>
      <c r="O7079" t="s">
        <v>30</v>
      </c>
      <c r="P7079">
        <v>4.15321936137404</v>
      </c>
      <c r="Q7079">
        <v>1.0843739268485499</v>
      </c>
      <c r="R7079">
        <v>5.9804224921616598</v>
      </c>
      <c r="S7079">
        <v>95</v>
      </c>
      <c r="T7079">
        <v>49</v>
      </c>
      <c r="U7079">
        <v>443.72343493380203</v>
      </c>
      <c r="V7079">
        <v>8.7355317754968297E-4</v>
      </c>
      <c r="W7079">
        <v>2247504.0179709699</v>
      </c>
      <c r="X7079" t="s">
        <v>44</v>
      </c>
      <c r="Y7079">
        <f>1-598-617-9439</f>
        <v>-10653</v>
      </c>
    </row>
    <row r="7080" spans="1:25" x14ac:dyDescent="0.35">
      <c r="A7080">
        <v>39.189123491661</v>
      </c>
      <c r="B7080">
        <v>-114.35850107761701</v>
      </c>
      <c r="C7080" t="s">
        <v>34</v>
      </c>
      <c r="D7080">
        <v>45.495182009112497</v>
      </c>
      <c r="E7080">
        <v>4</v>
      </c>
      <c r="F7080">
        <v>2188</v>
      </c>
      <c r="G7080">
        <v>5</v>
      </c>
      <c r="H7080">
        <v>2</v>
      </c>
      <c r="I7080">
        <v>2017</v>
      </c>
      <c r="J7080">
        <v>1</v>
      </c>
      <c r="K7080">
        <v>1</v>
      </c>
      <c r="L7080">
        <v>0</v>
      </c>
      <c r="M7080">
        <v>2</v>
      </c>
      <c r="N7080" t="s">
        <v>37</v>
      </c>
      <c r="O7080" t="s">
        <v>32</v>
      </c>
      <c r="P7080">
        <v>9.0692061505216799</v>
      </c>
      <c r="Q7080">
        <v>1.46619886169355</v>
      </c>
      <c r="R7080">
        <v>7.6816921172160297</v>
      </c>
      <c r="S7080">
        <v>25</v>
      </c>
      <c r="T7080">
        <v>36</v>
      </c>
      <c r="U7080">
        <v>354.58503821203902</v>
      </c>
      <c r="V7080">
        <v>9.1407678244972502E-4</v>
      </c>
      <c r="W7080">
        <v>1180788.7690735401</v>
      </c>
      <c r="X7080" t="s">
        <v>31</v>
      </c>
      <c r="Y7080">
        <f>1-702-850-8541</f>
        <v>-10092</v>
      </c>
    </row>
    <row r="7081" spans="1:25" x14ac:dyDescent="0.35">
      <c r="A7081">
        <v>36.053036268714102</v>
      </c>
      <c r="B7081">
        <v>-115.954904088254</v>
      </c>
      <c r="C7081" t="s">
        <v>25</v>
      </c>
      <c r="D7081">
        <v>17.4973979526902</v>
      </c>
      <c r="E7081">
        <v>5</v>
      </c>
      <c r="F7081">
        <v>3374</v>
      </c>
      <c r="G7081">
        <v>4</v>
      </c>
      <c r="H7081">
        <v>3</v>
      </c>
      <c r="I7081">
        <v>2005</v>
      </c>
      <c r="J7081">
        <v>1</v>
      </c>
      <c r="K7081">
        <v>0</v>
      </c>
      <c r="L7081">
        <v>0</v>
      </c>
      <c r="M7081">
        <v>7</v>
      </c>
      <c r="N7081" t="s">
        <v>37</v>
      </c>
      <c r="O7081" t="s">
        <v>30</v>
      </c>
      <c r="P7081">
        <v>2.1459722672247898</v>
      </c>
      <c r="Q7081">
        <v>1.9326096785676099</v>
      </c>
      <c r="R7081">
        <v>8.9118679364884308</v>
      </c>
      <c r="S7081">
        <v>108</v>
      </c>
      <c r="T7081">
        <v>34</v>
      </c>
      <c r="U7081">
        <v>963.55635748915904</v>
      </c>
      <c r="V7081">
        <v>2.0746887966804901E-3</v>
      </c>
      <c r="W7081">
        <v>3564117.6919716098</v>
      </c>
      <c r="X7081" t="s">
        <v>28</v>
      </c>
      <c r="Y7081">
        <f>1-378-943-7792</f>
        <v>-9112</v>
      </c>
    </row>
    <row r="7082" spans="1:25" x14ac:dyDescent="0.35">
      <c r="A7082">
        <v>32.787530356618397</v>
      </c>
      <c r="B7082">
        <v>-115.56764634276399</v>
      </c>
      <c r="C7082" t="s">
        <v>34</v>
      </c>
      <c r="D7082">
        <v>39.7534622814077</v>
      </c>
      <c r="E7082">
        <v>2</v>
      </c>
      <c r="F7082">
        <v>4943</v>
      </c>
      <c r="G7082">
        <v>4</v>
      </c>
      <c r="H7082">
        <v>3</v>
      </c>
      <c r="I7082">
        <v>2007</v>
      </c>
      <c r="J7082">
        <v>0</v>
      </c>
      <c r="K7082">
        <v>1</v>
      </c>
      <c r="L7082">
        <v>1</v>
      </c>
      <c r="M7082">
        <v>11</v>
      </c>
      <c r="N7082" t="s">
        <v>35</v>
      </c>
      <c r="O7082" t="s">
        <v>27</v>
      </c>
      <c r="P7082">
        <v>5.2318175218174998</v>
      </c>
      <c r="Q7082">
        <v>0.90420364544455101</v>
      </c>
      <c r="R7082">
        <v>3.3615230683776498</v>
      </c>
      <c r="S7082">
        <v>161</v>
      </c>
      <c r="T7082">
        <v>56</v>
      </c>
      <c r="U7082">
        <v>364.93095302293801</v>
      </c>
      <c r="V7082">
        <v>2.22536920898239E-3</v>
      </c>
      <c r="W7082">
        <v>2174849.3648118302</v>
      </c>
      <c r="X7082" t="s">
        <v>33</v>
      </c>
      <c r="Y7082">
        <f>1-894-920-5561</f>
        <v>-7374</v>
      </c>
    </row>
    <row r="7083" spans="1:25" x14ac:dyDescent="0.35">
      <c r="A7083">
        <v>41.172457246458599</v>
      </c>
      <c r="B7083">
        <v>-123.99694014094401</v>
      </c>
      <c r="C7083" t="s">
        <v>25</v>
      </c>
      <c r="D7083">
        <v>24.775618914510702</v>
      </c>
      <c r="E7083">
        <v>2</v>
      </c>
      <c r="F7083">
        <v>2330</v>
      </c>
      <c r="G7083">
        <v>3</v>
      </c>
      <c r="H7083">
        <v>3</v>
      </c>
      <c r="I7083">
        <v>1984</v>
      </c>
      <c r="J7083">
        <v>1</v>
      </c>
      <c r="K7083">
        <v>0</v>
      </c>
      <c r="L7083">
        <v>0</v>
      </c>
      <c r="M7083">
        <v>8</v>
      </c>
      <c r="N7083" t="s">
        <v>26</v>
      </c>
      <c r="O7083" t="s">
        <v>32</v>
      </c>
      <c r="P7083">
        <v>9.2982424059263895</v>
      </c>
      <c r="Q7083">
        <v>2.2567203299295899</v>
      </c>
      <c r="R7083">
        <v>7.5788983411463997</v>
      </c>
      <c r="S7083">
        <v>144</v>
      </c>
      <c r="T7083">
        <v>48</v>
      </c>
      <c r="U7083">
        <v>626.65058621073103</v>
      </c>
      <c r="V7083">
        <v>3.43347639484978E-3</v>
      </c>
      <c r="W7083">
        <v>1814674.9579311099</v>
      </c>
      <c r="X7083" t="s">
        <v>40</v>
      </c>
      <c r="Y7083">
        <f>1-912-564-2160</f>
        <v>-3635</v>
      </c>
    </row>
    <row r="7084" spans="1:25" x14ac:dyDescent="0.35">
      <c r="A7084">
        <v>40.551507422816002</v>
      </c>
      <c r="B7084">
        <v>-122.621050979174</v>
      </c>
      <c r="C7084" t="s">
        <v>25</v>
      </c>
      <c r="D7084">
        <v>41.235518531897398</v>
      </c>
      <c r="E7084">
        <v>4</v>
      </c>
      <c r="F7084">
        <v>1796</v>
      </c>
      <c r="G7084">
        <v>5</v>
      </c>
      <c r="H7084">
        <v>2</v>
      </c>
      <c r="I7084">
        <v>1950</v>
      </c>
      <c r="J7084">
        <v>1</v>
      </c>
      <c r="K7084">
        <v>1</v>
      </c>
      <c r="L7084">
        <v>1</v>
      </c>
      <c r="M7084">
        <v>10</v>
      </c>
      <c r="N7084" t="s">
        <v>26</v>
      </c>
      <c r="O7084" t="s">
        <v>30</v>
      </c>
      <c r="P7084">
        <v>4.5674937484188396</v>
      </c>
      <c r="Q7084">
        <v>1.59044560886505</v>
      </c>
      <c r="R7084">
        <v>9.5736223625341896</v>
      </c>
      <c r="S7084">
        <v>135</v>
      </c>
      <c r="T7084">
        <v>20</v>
      </c>
      <c r="U7084">
        <v>307.86448278238299</v>
      </c>
      <c r="V7084">
        <v>5.5679287305122399E-3</v>
      </c>
      <c r="W7084">
        <v>889461.65346236306</v>
      </c>
      <c r="X7084" t="s">
        <v>31</v>
      </c>
      <c r="Y7084">
        <f>1-511-666-5748</f>
        <v>-6924</v>
      </c>
    </row>
    <row r="7085" spans="1:25" x14ac:dyDescent="0.35">
      <c r="A7085">
        <v>33.666164122817399</v>
      </c>
      <c r="B7085">
        <v>-116.654844648867</v>
      </c>
      <c r="C7085" t="s">
        <v>34</v>
      </c>
      <c r="D7085">
        <v>3.4086488818589</v>
      </c>
      <c r="E7085">
        <v>8</v>
      </c>
      <c r="F7085">
        <v>3416</v>
      </c>
      <c r="G7085">
        <v>2</v>
      </c>
      <c r="H7085">
        <v>3</v>
      </c>
      <c r="I7085">
        <v>2011</v>
      </c>
      <c r="J7085">
        <v>1</v>
      </c>
      <c r="K7085">
        <v>0</v>
      </c>
      <c r="L7085">
        <v>0</v>
      </c>
      <c r="M7085">
        <v>5</v>
      </c>
      <c r="N7085" t="s">
        <v>35</v>
      </c>
      <c r="O7085" t="s">
        <v>27</v>
      </c>
      <c r="P7085">
        <v>6.04725359936318</v>
      </c>
      <c r="Q7085">
        <v>1.0947409621247299</v>
      </c>
      <c r="R7085">
        <v>7.6777301045163604</v>
      </c>
      <c r="S7085">
        <v>183</v>
      </c>
      <c r="T7085">
        <v>23</v>
      </c>
      <c r="U7085">
        <v>836.66701989057299</v>
      </c>
      <c r="V7085">
        <v>1.46370023419203E-3</v>
      </c>
      <c r="W7085">
        <v>3109382.3171772999</v>
      </c>
      <c r="X7085" t="s">
        <v>38</v>
      </c>
      <c r="Y7085">
        <f>1-440-687-3268</f>
        <v>-4394</v>
      </c>
    </row>
    <row r="7086" spans="1:25" x14ac:dyDescent="0.35">
      <c r="A7086">
        <v>36.288632201172</v>
      </c>
      <c r="B7086">
        <v>-115.351933823338</v>
      </c>
      <c r="C7086" t="s">
        <v>29</v>
      </c>
      <c r="D7086">
        <v>28.157831813971999</v>
      </c>
      <c r="E7086">
        <v>4</v>
      </c>
      <c r="F7086">
        <v>3434</v>
      </c>
      <c r="G7086">
        <v>5</v>
      </c>
      <c r="H7086">
        <v>1</v>
      </c>
      <c r="I7086">
        <v>1957</v>
      </c>
      <c r="J7086">
        <v>1</v>
      </c>
      <c r="K7086">
        <v>0</v>
      </c>
      <c r="L7086">
        <v>0</v>
      </c>
      <c r="M7086">
        <v>12</v>
      </c>
      <c r="N7086" t="s">
        <v>41</v>
      </c>
      <c r="O7086" t="s">
        <v>27</v>
      </c>
      <c r="P7086">
        <v>12.8645982588585</v>
      </c>
      <c r="Q7086">
        <v>1.2312688952923101</v>
      </c>
      <c r="R7086">
        <v>2.0681701316471099</v>
      </c>
      <c r="S7086">
        <v>66</v>
      </c>
      <c r="T7086">
        <v>23</v>
      </c>
      <c r="U7086">
        <v>482.90509260041199</v>
      </c>
      <c r="V7086">
        <v>3.4944670937682E-3</v>
      </c>
      <c r="W7086">
        <v>1998694.3413436499</v>
      </c>
      <c r="X7086" t="s">
        <v>36</v>
      </c>
      <c r="Y7086">
        <f>1-496-447-6450</f>
        <v>-7392</v>
      </c>
    </row>
    <row r="7087" spans="1:25" x14ac:dyDescent="0.35">
      <c r="A7087">
        <v>38.766526398371397</v>
      </c>
      <c r="B7087">
        <v>-122.329415845019</v>
      </c>
      <c r="C7087" t="s">
        <v>34</v>
      </c>
      <c r="D7087">
        <v>13.982802199558</v>
      </c>
      <c r="E7087">
        <v>3</v>
      </c>
      <c r="F7087">
        <v>1621</v>
      </c>
      <c r="G7087">
        <v>1</v>
      </c>
      <c r="H7087">
        <v>1</v>
      </c>
      <c r="I7087">
        <v>1963</v>
      </c>
      <c r="J7087">
        <v>0</v>
      </c>
      <c r="K7087">
        <v>0</v>
      </c>
      <c r="L7087">
        <v>0</v>
      </c>
      <c r="M7087">
        <v>13</v>
      </c>
      <c r="N7087" t="s">
        <v>41</v>
      </c>
      <c r="O7087" t="s">
        <v>27</v>
      </c>
      <c r="P7087">
        <v>9.5893845662008896</v>
      </c>
      <c r="Q7087">
        <v>2.18727863679679</v>
      </c>
      <c r="R7087">
        <v>2.9908943466872699</v>
      </c>
      <c r="S7087">
        <v>130</v>
      </c>
      <c r="T7087">
        <v>42</v>
      </c>
      <c r="U7087">
        <v>664.38335050805597</v>
      </c>
      <c r="V7087">
        <v>8.0197409006785899E-3</v>
      </c>
      <c r="W7087">
        <v>1063270.6961072099</v>
      </c>
      <c r="X7087" t="s">
        <v>31</v>
      </c>
      <c r="Y7087">
        <f>1-978-159-2010</f>
        <v>-3146</v>
      </c>
    </row>
    <row r="7088" spans="1:25" x14ac:dyDescent="0.35">
      <c r="A7088">
        <v>34.039663789711</v>
      </c>
      <c r="B7088">
        <v>-118.98638480651501</v>
      </c>
      <c r="C7088" t="s">
        <v>34</v>
      </c>
      <c r="D7088">
        <v>33.336385450598002</v>
      </c>
      <c r="E7088">
        <v>6</v>
      </c>
      <c r="F7088">
        <v>2861</v>
      </c>
      <c r="G7088">
        <v>5</v>
      </c>
      <c r="H7088">
        <v>3</v>
      </c>
      <c r="I7088">
        <v>1982</v>
      </c>
      <c r="J7088">
        <v>0</v>
      </c>
      <c r="K7088">
        <v>0</v>
      </c>
      <c r="L7088">
        <v>1</v>
      </c>
      <c r="M7088">
        <v>2</v>
      </c>
      <c r="N7088" t="s">
        <v>35</v>
      </c>
      <c r="O7088" t="s">
        <v>30</v>
      </c>
      <c r="P7088">
        <v>6.74945145657487</v>
      </c>
      <c r="Q7088">
        <v>0.85962118826775602</v>
      </c>
      <c r="R7088">
        <v>4.9105240647946298</v>
      </c>
      <c r="S7088">
        <v>150</v>
      </c>
      <c r="T7088">
        <v>77</v>
      </c>
      <c r="U7088">
        <v>647.04208092001602</v>
      </c>
      <c r="V7088">
        <v>6.9905627403005904E-4</v>
      </c>
      <c r="W7088">
        <v>2207788.4118702202</v>
      </c>
      <c r="X7088" t="s">
        <v>42</v>
      </c>
      <c r="Y7088">
        <f>1-370-680-1419</f>
        <v>-2468</v>
      </c>
    </row>
    <row r="7089" spans="1:25" x14ac:dyDescent="0.35">
      <c r="A7089">
        <v>34.674093371713298</v>
      </c>
      <c r="B7089">
        <v>-121.11744390220601</v>
      </c>
      <c r="C7089" t="s">
        <v>29</v>
      </c>
      <c r="D7089">
        <v>19.728011061717101</v>
      </c>
      <c r="E7089">
        <v>1</v>
      </c>
      <c r="F7089">
        <v>1997</v>
      </c>
      <c r="G7089">
        <v>3</v>
      </c>
      <c r="H7089">
        <v>1</v>
      </c>
      <c r="I7089">
        <v>1954</v>
      </c>
      <c r="J7089">
        <v>1</v>
      </c>
      <c r="K7089">
        <v>0</v>
      </c>
      <c r="L7089">
        <v>1</v>
      </c>
      <c r="M7089">
        <v>7</v>
      </c>
      <c r="N7089" t="s">
        <v>26</v>
      </c>
      <c r="O7089" t="s">
        <v>30</v>
      </c>
      <c r="P7089">
        <v>10.340570303396399</v>
      </c>
      <c r="Q7089">
        <v>1.6419987301419601</v>
      </c>
      <c r="R7089">
        <v>9.0337088301599806</v>
      </c>
      <c r="S7089">
        <v>46</v>
      </c>
      <c r="T7089">
        <v>33</v>
      </c>
      <c r="U7089">
        <v>303.43031137503499</v>
      </c>
      <c r="V7089">
        <v>3.5052578868302398E-3</v>
      </c>
      <c r="W7089">
        <v>767803.16143805406</v>
      </c>
      <c r="X7089" t="s">
        <v>31</v>
      </c>
      <c r="Y7089">
        <f>1-600-578-3762</f>
        <v>-4939</v>
      </c>
    </row>
    <row r="7090" spans="1:25" x14ac:dyDescent="0.35">
      <c r="A7090">
        <v>33.3952487893757</v>
      </c>
      <c r="B7090">
        <v>-117.284959484512</v>
      </c>
      <c r="C7090" t="s">
        <v>25</v>
      </c>
      <c r="D7090">
        <v>5.9908824648687897</v>
      </c>
      <c r="E7090">
        <v>6</v>
      </c>
      <c r="F7090">
        <v>4968</v>
      </c>
      <c r="G7090">
        <v>5</v>
      </c>
      <c r="H7090">
        <v>1</v>
      </c>
      <c r="I7090">
        <v>1962</v>
      </c>
      <c r="J7090">
        <v>0</v>
      </c>
      <c r="K7090">
        <v>0</v>
      </c>
      <c r="L7090">
        <v>1</v>
      </c>
      <c r="M7090">
        <v>5</v>
      </c>
      <c r="N7090" t="s">
        <v>35</v>
      </c>
      <c r="O7090" t="s">
        <v>32</v>
      </c>
      <c r="P7090">
        <v>4.4120402474434997</v>
      </c>
      <c r="Q7090">
        <v>0.58065426885864002</v>
      </c>
      <c r="R7090">
        <v>9.1037473485085201</v>
      </c>
      <c r="S7090">
        <v>20</v>
      </c>
      <c r="T7090">
        <v>60</v>
      </c>
      <c r="U7090">
        <v>400.83465438243502</v>
      </c>
      <c r="V7090">
        <v>1.0064412238325201E-3</v>
      </c>
      <c r="W7090">
        <v>2178018.0149306399</v>
      </c>
      <c r="X7090" t="s">
        <v>39</v>
      </c>
      <c r="Y7090">
        <f>1-384-792-7724</f>
        <v>-8899</v>
      </c>
    </row>
    <row r="7091" spans="1:25" x14ac:dyDescent="0.35">
      <c r="A7091">
        <v>32.5116624987091</v>
      </c>
      <c r="B7091">
        <v>-118.102010457593</v>
      </c>
      <c r="C7091" t="s">
        <v>29</v>
      </c>
      <c r="D7091">
        <v>47.176745232509298</v>
      </c>
      <c r="E7091">
        <v>2</v>
      </c>
      <c r="F7091">
        <v>3636</v>
      </c>
      <c r="G7091">
        <v>2</v>
      </c>
      <c r="H7091">
        <v>3</v>
      </c>
      <c r="I7091">
        <v>1964</v>
      </c>
      <c r="J7091">
        <v>0</v>
      </c>
      <c r="K7091">
        <v>0</v>
      </c>
      <c r="L7091">
        <v>1</v>
      </c>
      <c r="M7091">
        <v>12</v>
      </c>
      <c r="N7091" t="s">
        <v>41</v>
      </c>
      <c r="O7091" t="s">
        <v>30</v>
      </c>
      <c r="P7091">
        <v>5.52295456215698</v>
      </c>
      <c r="Q7091">
        <v>1.8236632615711501</v>
      </c>
      <c r="R7091">
        <v>0.46975607761521299</v>
      </c>
      <c r="S7091">
        <v>172</v>
      </c>
      <c r="T7091">
        <v>43</v>
      </c>
      <c r="U7091">
        <v>987.33172104423204</v>
      </c>
      <c r="V7091">
        <v>3.3003300330032999E-3</v>
      </c>
      <c r="W7091">
        <v>3763729.5600375999</v>
      </c>
      <c r="X7091" t="s">
        <v>40</v>
      </c>
      <c r="Y7091">
        <f>1-748-245-8814</f>
        <v>-9806</v>
      </c>
    </row>
    <row r="7092" spans="1:25" x14ac:dyDescent="0.35">
      <c r="A7092">
        <v>36.743336809867799</v>
      </c>
      <c r="B7092">
        <v>-116.4972373243</v>
      </c>
      <c r="C7092" t="s">
        <v>25</v>
      </c>
      <c r="D7092">
        <v>31.6187747213161</v>
      </c>
      <c r="E7092">
        <v>7</v>
      </c>
      <c r="F7092">
        <v>4008</v>
      </c>
      <c r="G7092">
        <v>3</v>
      </c>
      <c r="H7092">
        <v>2</v>
      </c>
      <c r="I7092">
        <v>1958</v>
      </c>
      <c r="J7092">
        <v>0</v>
      </c>
      <c r="K7092">
        <v>1</v>
      </c>
      <c r="L7092">
        <v>0</v>
      </c>
      <c r="M7092">
        <v>12</v>
      </c>
      <c r="N7092" t="s">
        <v>37</v>
      </c>
      <c r="O7092" t="s">
        <v>32</v>
      </c>
      <c r="P7092">
        <v>3.4734076620146199</v>
      </c>
      <c r="Q7092">
        <v>0.63467156249779799</v>
      </c>
      <c r="R7092">
        <v>7.3032603030169199</v>
      </c>
      <c r="S7092">
        <v>135</v>
      </c>
      <c r="T7092">
        <v>33</v>
      </c>
      <c r="U7092">
        <v>711.04783258424095</v>
      </c>
      <c r="V7092">
        <v>2.9940119760479E-3</v>
      </c>
      <c r="W7092">
        <v>3055621.3721207399</v>
      </c>
      <c r="X7092" t="s">
        <v>38</v>
      </c>
      <c r="Y7092">
        <f>1-898-586-3103</f>
        <v>-4586</v>
      </c>
    </row>
    <row r="7093" spans="1:25" x14ac:dyDescent="0.35">
      <c r="A7093">
        <v>37.466103692382703</v>
      </c>
      <c r="B7093">
        <v>-121.43739032006999</v>
      </c>
      <c r="C7093" t="s">
        <v>25</v>
      </c>
      <c r="D7093">
        <v>41.5170135070708</v>
      </c>
      <c r="E7093">
        <v>1</v>
      </c>
      <c r="F7093">
        <v>744</v>
      </c>
      <c r="G7093">
        <v>2</v>
      </c>
      <c r="H7093">
        <v>3</v>
      </c>
      <c r="I7093">
        <v>2019</v>
      </c>
      <c r="J7093">
        <v>1</v>
      </c>
      <c r="K7093">
        <v>1</v>
      </c>
      <c r="L7093">
        <v>0</v>
      </c>
      <c r="M7093">
        <v>6</v>
      </c>
      <c r="N7093" t="s">
        <v>41</v>
      </c>
      <c r="O7093" t="s">
        <v>30</v>
      </c>
      <c r="P7093">
        <v>8.43881868977099</v>
      </c>
      <c r="Q7093">
        <v>1.6620896335950901</v>
      </c>
      <c r="R7093">
        <v>7.8683228492158204</v>
      </c>
      <c r="S7093">
        <v>182</v>
      </c>
      <c r="T7093">
        <v>26</v>
      </c>
      <c r="U7093">
        <v>342.13658770182099</v>
      </c>
      <c r="V7093">
        <v>8.0645161290322492E-3</v>
      </c>
      <c r="W7093">
        <v>564828.07183608203</v>
      </c>
      <c r="X7093" t="s">
        <v>44</v>
      </c>
      <c r="Y7093">
        <f>1-420-698-8850</f>
        <v>-9967</v>
      </c>
    </row>
    <row r="7094" spans="1:25" x14ac:dyDescent="0.35">
      <c r="A7094">
        <v>35.379571815164901</v>
      </c>
      <c r="B7094">
        <v>-117.849187594648</v>
      </c>
      <c r="C7094" t="s">
        <v>34</v>
      </c>
      <c r="D7094">
        <v>47.608276968952602</v>
      </c>
      <c r="E7094">
        <v>4</v>
      </c>
      <c r="F7094">
        <v>795</v>
      </c>
      <c r="G7094">
        <v>3</v>
      </c>
      <c r="H7094">
        <v>3</v>
      </c>
      <c r="I7094">
        <v>1977</v>
      </c>
      <c r="J7094">
        <v>0</v>
      </c>
      <c r="K7094">
        <v>0</v>
      </c>
      <c r="L7094">
        <v>0</v>
      </c>
      <c r="M7094">
        <v>14</v>
      </c>
      <c r="N7094" t="s">
        <v>37</v>
      </c>
      <c r="O7094" t="s">
        <v>27</v>
      </c>
      <c r="P7094">
        <v>5.8406160720155196</v>
      </c>
      <c r="Q7094">
        <v>1.49236642702121</v>
      </c>
      <c r="R7094">
        <v>9.8195693874505299</v>
      </c>
      <c r="S7094">
        <v>198</v>
      </c>
      <c r="T7094">
        <v>61</v>
      </c>
      <c r="U7094">
        <v>273.01766057888801</v>
      </c>
      <c r="V7094">
        <v>1.7610062893081702E-2</v>
      </c>
      <c r="W7094">
        <v>322823.50724287197</v>
      </c>
      <c r="X7094" t="s">
        <v>40</v>
      </c>
      <c r="Y7094">
        <f>1-425-333-9922</f>
        <v>-10679</v>
      </c>
    </row>
    <row r="7095" spans="1:25" x14ac:dyDescent="0.35">
      <c r="A7095">
        <v>33.207086359497097</v>
      </c>
      <c r="B7095">
        <v>-123.995965621588</v>
      </c>
      <c r="C7095" t="s">
        <v>25</v>
      </c>
      <c r="D7095">
        <v>45.035560124813301</v>
      </c>
      <c r="E7095">
        <v>9</v>
      </c>
      <c r="F7095">
        <v>1080</v>
      </c>
      <c r="G7095">
        <v>1</v>
      </c>
      <c r="H7095">
        <v>1</v>
      </c>
      <c r="I7095">
        <v>1955</v>
      </c>
      <c r="J7095">
        <v>1</v>
      </c>
      <c r="K7095">
        <v>1</v>
      </c>
      <c r="L7095">
        <v>1</v>
      </c>
      <c r="M7095">
        <v>4</v>
      </c>
      <c r="N7095" t="s">
        <v>35</v>
      </c>
      <c r="O7095" t="s">
        <v>30</v>
      </c>
      <c r="P7095">
        <v>10.5956559103487</v>
      </c>
      <c r="Q7095">
        <v>1.73442654214759</v>
      </c>
      <c r="R7095">
        <v>6.1311174195831804</v>
      </c>
      <c r="S7095">
        <v>196</v>
      </c>
      <c r="T7095">
        <v>54</v>
      </c>
      <c r="U7095">
        <v>985.33834746390505</v>
      </c>
      <c r="V7095">
        <v>3.7037037037036999E-3</v>
      </c>
      <c r="W7095">
        <v>1275139.5490643999</v>
      </c>
      <c r="X7095" t="s">
        <v>38</v>
      </c>
      <c r="Y7095">
        <f>1-903-705-5771</f>
        <v>-7378</v>
      </c>
    </row>
    <row r="7096" spans="1:25" x14ac:dyDescent="0.35">
      <c r="A7096">
        <v>40.897622604828499</v>
      </c>
      <c r="B7096">
        <v>-120.74574116737099</v>
      </c>
      <c r="C7096" t="s">
        <v>34</v>
      </c>
      <c r="D7096">
        <v>23.872282192420599</v>
      </c>
      <c r="E7096">
        <v>1</v>
      </c>
      <c r="F7096">
        <v>549</v>
      </c>
      <c r="G7096">
        <v>3</v>
      </c>
      <c r="H7096">
        <v>1</v>
      </c>
      <c r="I7096">
        <v>2003</v>
      </c>
      <c r="J7096">
        <v>0</v>
      </c>
      <c r="K7096">
        <v>0</v>
      </c>
      <c r="L7096">
        <v>1</v>
      </c>
      <c r="M7096">
        <v>12</v>
      </c>
      <c r="N7096" t="s">
        <v>37</v>
      </c>
      <c r="O7096" t="s">
        <v>27</v>
      </c>
      <c r="P7096">
        <v>6.8239031483987196</v>
      </c>
      <c r="Q7096">
        <v>0.75403080596139005</v>
      </c>
      <c r="R7096">
        <v>0.103179422321307</v>
      </c>
      <c r="S7096">
        <v>1</v>
      </c>
      <c r="T7096">
        <v>57</v>
      </c>
      <c r="U7096">
        <v>820.83552618721001</v>
      </c>
      <c r="V7096">
        <v>2.1857923497267701E-2</v>
      </c>
      <c r="W7096">
        <v>673609.34077311098</v>
      </c>
      <c r="X7096" t="s">
        <v>44</v>
      </c>
      <c r="Y7096">
        <f>1-371-911-6374</f>
        <v>-7655</v>
      </c>
    </row>
    <row r="7097" spans="1:25" x14ac:dyDescent="0.35">
      <c r="A7097">
        <v>36.377982552696203</v>
      </c>
      <c r="B7097">
        <v>-116.843506692261</v>
      </c>
      <c r="C7097" t="s">
        <v>25</v>
      </c>
      <c r="D7097">
        <v>32.021227483127397</v>
      </c>
      <c r="E7097">
        <v>5</v>
      </c>
      <c r="F7097">
        <v>2910</v>
      </c>
      <c r="G7097">
        <v>1</v>
      </c>
      <c r="H7097">
        <v>1</v>
      </c>
      <c r="I7097">
        <v>2000</v>
      </c>
      <c r="J7097">
        <v>1</v>
      </c>
      <c r="K7097">
        <v>1</v>
      </c>
      <c r="L7097">
        <v>0</v>
      </c>
      <c r="M7097">
        <v>2</v>
      </c>
      <c r="N7097" t="s">
        <v>41</v>
      </c>
      <c r="O7097" t="s">
        <v>30</v>
      </c>
      <c r="P7097">
        <v>6.3211783748633099</v>
      </c>
      <c r="Q7097">
        <v>1.4556314011124301</v>
      </c>
      <c r="R7097">
        <v>9.9910560611262191</v>
      </c>
      <c r="S7097">
        <v>162</v>
      </c>
      <c r="T7097">
        <v>42</v>
      </c>
      <c r="U7097">
        <v>542.34946106915504</v>
      </c>
      <c r="V7097">
        <v>6.87285223367697E-4</v>
      </c>
      <c r="W7097">
        <v>1765979.5136179</v>
      </c>
      <c r="X7097" t="s">
        <v>28</v>
      </c>
      <c r="Y7097">
        <f>1-514-410-5422</f>
        <v>-6345</v>
      </c>
    </row>
    <row r="7098" spans="1:25" x14ac:dyDescent="0.35">
      <c r="A7098">
        <v>41.188380609777496</v>
      </c>
      <c r="B7098">
        <v>-115.412820972169</v>
      </c>
      <c r="C7098" t="s">
        <v>29</v>
      </c>
      <c r="D7098">
        <v>27.108949142451699</v>
      </c>
      <c r="E7098">
        <v>6</v>
      </c>
      <c r="F7098">
        <v>2461</v>
      </c>
      <c r="G7098">
        <v>4</v>
      </c>
      <c r="H7098">
        <v>2</v>
      </c>
      <c r="I7098">
        <v>2002</v>
      </c>
      <c r="J7098">
        <v>1</v>
      </c>
      <c r="K7098">
        <v>1</v>
      </c>
      <c r="L7098">
        <v>1</v>
      </c>
      <c r="M7098">
        <v>13</v>
      </c>
      <c r="N7098" t="s">
        <v>35</v>
      </c>
      <c r="O7098" t="s">
        <v>32</v>
      </c>
      <c r="P7098">
        <v>8.0477839950646306</v>
      </c>
      <c r="Q7098">
        <v>1.96014139465349</v>
      </c>
      <c r="R7098">
        <v>6.45213066552407</v>
      </c>
      <c r="S7098">
        <v>20</v>
      </c>
      <c r="T7098">
        <v>36</v>
      </c>
      <c r="U7098">
        <v>339.32062998081102</v>
      </c>
      <c r="V7098">
        <v>5.2824055262088504E-3</v>
      </c>
      <c r="W7098">
        <v>1321595.32959737</v>
      </c>
      <c r="X7098" t="s">
        <v>40</v>
      </c>
      <c r="Y7098">
        <f>1-745-119-9524</f>
        <v>-10387</v>
      </c>
    </row>
    <row r="7099" spans="1:25" x14ac:dyDescent="0.35">
      <c r="A7099">
        <v>37.8197157971316</v>
      </c>
      <c r="B7099">
        <v>-116.676987688881</v>
      </c>
      <c r="C7099" t="s">
        <v>25</v>
      </c>
      <c r="D7099">
        <v>11.0562848172848</v>
      </c>
      <c r="E7099">
        <v>7</v>
      </c>
      <c r="F7099">
        <v>4605</v>
      </c>
      <c r="G7099">
        <v>2</v>
      </c>
      <c r="H7099">
        <v>3</v>
      </c>
      <c r="I7099">
        <v>1991</v>
      </c>
      <c r="J7099">
        <v>0</v>
      </c>
      <c r="K7099">
        <v>1</v>
      </c>
      <c r="L7099">
        <v>0</v>
      </c>
      <c r="M7099">
        <v>5</v>
      </c>
      <c r="N7099" t="s">
        <v>41</v>
      </c>
      <c r="O7099" t="s">
        <v>27</v>
      </c>
      <c r="P7099">
        <v>10.5598129334569</v>
      </c>
      <c r="Q7099">
        <v>1.0345594164051699</v>
      </c>
      <c r="R7099">
        <v>2.14054790582506</v>
      </c>
      <c r="S7099">
        <v>54</v>
      </c>
      <c r="T7099">
        <v>43</v>
      </c>
      <c r="U7099">
        <v>801.00744317036902</v>
      </c>
      <c r="V7099">
        <v>1.0857763300760001E-3</v>
      </c>
      <c r="W7099">
        <v>4064918.1559604499</v>
      </c>
      <c r="X7099" t="s">
        <v>39</v>
      </c>
      <c r="Y7099">
        <f>1-554-523-8895</f>
        <v>-9971</v>
      </c>
    </row>
    <row r="7100" spans="1:25" x14ac:dyDescent="0.35">
      <c r="A7100">
        <v>33.751261860495703</v>
      </c>
      <c r="B7100">
        <v>-118.342502455749</v>
      </c>
      <c r="C7100" t="s">
        <v>25</v>
      </c>
      <c r="D7100">
        <v>45.9807196574966</v>
      </c>
      <c r="E7100">
        <v>9</v>
      </c>
      <c r="F7100">
        <v>2894</v>
      </c>
      <c r="G7100">
        <v>1</v>
      </c>
      <c r="H7100">
        <v>2</v>
      </c>
      <c r="I7100">
        <v>1964</v>
      </c>
      <c r="J7100">
        <v>0</v>
      </c>
      <c r="K7100">
        <v>0</v>
      </c>
      <c r="L7100">
        <v>0</v>
      </c>
      <c r="M7100">
        <v>11</v>
      </c>
      <c r="N7100" t="s">
        <v>35</v>
      </c>
      <c r="O7100" t="s">
        <v>30</v>
      </c>
      <c r="P7100">
        <v>3.8936761973832299</v>
      </c>
      <c r="Q7100">
        <v>2.2939642919741101</v>
      </c>
      <c r="R7100">
        <v>7.36511758669924</v>
      </c>
      <c r="S7100">
        <v>29</v>
      </c>
      <c r="T7100">
        <v>44</v>
      </c>
      <c r="U7100">
        <v>325.09111354503398</v>
      </c>
      <c r="V7100">
        <v>3.8009675190048301E-3</v>
      </c>
      <c r="W7100">
        <v>925473.44728123397</v>
      </c>
      <c r="X7100" t="s">
        <v>43</v>
      </c>
      <c r="Y7100">
        <f>1-533-120-5259</f>
        <v>-5911</v>
      </c>
    </row>
    <row r="7101" spans="1:25" x14ac:dyDescent="0.35">
      <c r="A7101">
        <v>34.029335609204601</v>
      </c>
      <c r="B7101">
        <v>-118.073232832546</v>
      </c>
      <c r="C7101" t="s">
        <v>29</v>
      </c>
      <c r="D7101">
        <v>29.6343821124218</v>
      </c>
      <c r="E7101">
        <v>6</v>
      </c>
      <c r="F7101">
        <v>547</v>
      </c>
      <c r="G7101">
        <v>5</v>
      </c>
      <c r="H7101">
        <v>1</v>
      </c>
      <c r="I7101">
        <v>2002</v>
      </c>
      <c r="J7101">
        <v>1</v>
      </c>
      <c r="K7101">
        <v>1</v>
      </c>
      <c r="L7101">
        <v>0</v>
      </c>
      <c r="M7101">
        <v>5</v>
      </c>
      <c r="N7101" t="s">
        <v>26</v>
      </c>
      <c r="O7101" t="s">
        <v>30</v>
      </c>
      <c r="P7101">
        <v>10.8052783551004</v>
      </c>
      <c r="Q7101">
        <v>1.7636111924789699</v>
      </c>
      <c r="R7101">
        <v>9.8278211606728494</v>
      </c>
      <c r="S7101">
        <v>28</v>
      </c>
      <c r="T7101">
        <v>28</v>
      </c>
      <c r="U7101">
        <v>738.13816824944695</v>
      </c>
      <c r="V7101">
        <v>9.1407678244972493E-3</v>
      </c>
      <c r="W7101">
        <v>879980.17912230501</v>
      </c>
      <c r="X7101" t="s">
        <v>42</v>
      </c>
      <c r="Y7101">
        <f>1-482-435-5828</f>
        <v>-6744</v>
      </c>
    </row>
    <row r="7102" spans="1:25" x14ac:dyDescent="0.35">
      <c r="A7102">
        <v>33.8788496093877</v>
      </c>
      <c r="B7102">
        <v>-124.264528951599</v>
      </c>
      <c r="C7102" t="s">
        <v>34</v>
      </c>
      <c r="D7102">
        <v>24.955674811214799</v>
      </c>
      <c r="E7102">
        <v>8</v>
      </c>
      <c r="F7102">
        <v>2750</v>
      </c>
      <c r="G7102">
        <v>3</v>
      </c>
      <c r="H7102">
        <v>2</v>
      </c>
      <c r="I7102">
        <v>2009</v>
      </c>
      <c r="J7102">
        <v>0</v>
      </c>
      <c r="K7102">
        <v>1</v>
      </c>
      <c r="L7102">
        <v>0</v>
      </c>
      <c r="M7102">
        <v>11</v>
      </c>
      <c r="N7102" t="s">
        <v>26</v>
      </c>
      <c r="O7102" t="s">
        <v>30</v>
      </c>
      <c r="P7102">
        <v>13.774457131986701</v>
      </c>
      <c r="Q7102">
        <v>2.3423269151313102</v>
      </c>
      <c r="R7102">
        <v>9.1333254481242694</v>
      </c>
      <c r="S7102">
        <v>20</v>
      </c>
      <c r="T7102">
        <v>26</v>
      </c>
      <c r="U7102">
        <v>827.5599482829</v>
      </c>
      <c r="V7102">
        <v>4.0000000000000001E-3</v>
      </c>
      <c r="W7102">
        <v>2642041.2489473098</v>
      </c>
      <c r="X7102" t="s">
        <v>33</v>
      </c>
      <c r="Y7102">
        <f>1-651-708-3171</f>
        <v>-4529</v>
      </c>
    </row>
    <row r="7103" spans="1:25" x14ac:dyDescent="0.35">
      <c r="A7103">
        <v>35.666736388905903</v>
      </c>
      <c r="B7103">
        <v>-117.27713215000701</v>
      </c>
      <c r="C7103" t="s">
        <v>34</v>
      </c>
      <c r="D7103">
        <v>1.0740097969378</v>
      </c>
      <c r="E7103">
        <v>7</v>
      </c>
      <c r="F7103">
        <v>3450</v>
      </c>
      <c r="G7103">
        <v>3</v>
      </c>
      <c r="H7103">
        <v>1</v>
      </c>
      <c r="I7103">
        <v>2016</v>
      </c>
      <c r="J7103">
        <v>0</v>
      </c>
      <c r="K7103">
        <v>1</v>
      </c>
      <c r="L7103">
        <v>0</v>
      </c>
      <c r="M7103">
        <v>3</v>
      </c>
      <c r="N7103" t="s">
        <v>35</v>
      </c>
      <c r="O7103" t="s">
        <v>30</v>
      </c>
      <c r="P7103">
        <v>14.601812904128099</v>
      </c>
      <c r="Q7103">
        <v>0.70600495882072101</v>
      </c>
      <c r="R7103">
        <v>7.0715974930007297</v>
      </c>
      <c r="S7103">
        <v>99</v>
      </c>
      <c r="T7103">
        <v>66</v>
      </c>
      <c r="U7103">
        <v>644.98033871937503</v>
      </c>
      <c r="V7103">
        <v>8.6956521739130395E-4</v>
      </c>
      <c r="W7103">
        <v>2591748.4132099398</v>
      </c>
      <c r="X7103" t="s">
        <v>28</v>
      </c>
      <c r="Y7103">
        <f>1-243-549-5027</f>
        <v>-5818</v>
      </c>
    </row>
    <row r="7104" spans="1:25" x14ac:dyDescent="0.35">
      <c r="A7104">
        <v>35.597973672864399</v>
      </c>
      <c r="B7104">
        <v>-115.723663637572</v>
      </c>
      <c r="C7104" t="s">
        <v>29</v>
      </c>
      <c r="D7104">
        <v>32.328645024335401</v>
      </c>
      <c r="E7104">
        <v>2</v>
      </c>
      <c r="F7104">
        <v>901</v>
      </c>
      <c r="G7104">
        <v>5</v>
      </c>
      <c r="H7104">
        <v>2</v>
      </c>
      <c r="I7104">
        <v>2007</v>
      </c>
      <c r="J7104">
        <v>1</v>
      </c>
      <c r="K7104">
        <v>1</v>
      </c>
      <c r="L7104">
        <v>1</v>
      </c>
      <c r="M7104">
        <v>2</v>
      </c>
      <c r="N7104" t="s">
        <v>37</v>
      </c>
      <c r="O7104" t="s">
        <v>32</v>
      </c>
      <c r="P7104">
        <v>7.9755048886174604</v>
      </c>
      <c r="Q7104">
        <v>0.87033712047223699</v>
      </c>
      <c r="R7104">
        <v>1.3338645259698201</v>
      </c>
      <c r="S7104">
        <v>67</v>
      </c>
      <c r="T7104">
        <v>46</v>
      </c>
      <c r="U7104">
        <v>800.57002470262</v>
      </c>
      <c r="V7104">
        <v>2.2197558268590399E-3</v>
      </c>
      <c r="W7104">
        <v>1224890.8791203499</v>
      </c>
      <c r="X7104" t="s">
        <v>39</v>
      </c>
      <c r="Y7104">
        <f>1-486-184-3915</f>
        <v>-4584</v>
      </c>
    </row>
    <row r="7105" spans="1:25" x14ac:dyDescent="0.35">
      <c r="A7105">
        <v>40.180844699613999</v>
      </c>
      <c r="B7105">
        <v>-118.506603214934</v>
      </c>
      <c r="C7105" t="s">
        <v>34</v>
      </c>
      <c r="D7105">
        <v>31.2844949134454</v>
      </c>
      <c r="E7105">
        <v>6</v>
      </c>
      <c r="F7105">
        <v>3172</v>
      </c>
      <c r="G7105">
        <v>1</v>
      </c>
      <c r="H7105">
        <v>1</v>
      </c>
      <c r="I7105">
        <v>1968</v>
      </c>
      <c r="J7105">
        <v>0</v>
      </c>
      <c r="K7105">
        <v>1</v>
      </c>
      <c r="L7105">
        <v>0</v>
      </c>
      <c r="M7105">
        <v>6</v>
      </c>
      <c r="N7105" t="s">
        <v>37</v>
      </c>
      <c r="O7105" t="s">
        <v>30</v>
      </c>
      <c r="P7105">
        <v>11.282228772046301</v>
      </c>
      <c r="Q7105">
        <v>1.5365205387932701</v>
      </c>
      <c r="R7105">
        <v>2.4180047052441398</v>
      </c>
      <c r="S7105">
        <v>15</v>
      </c>
      <c r="T7105">
        <v>64</v>
      </c>
      <c r="U7105">
        <v>723.62600298596499</v>
      </c>
      <c r="V7105">
        <v>1.8915510718789401E-3</v>
      </c>
      <c r="W7105">
        <v>2431580.6265712199</v>
      </c>
      <c r="X7105" t="s">
        <v>36</v>
      </c>
      <c r="Y7105">
        <f>1-783-755-6836</f>
        <v>-8373</v>
      </c>
    </row>
    <row r="7106" spans="1:25" x14ac:dyDescent="0.35">
      <c r="A7106">
        <v>40.686654040156398</v>
      </c>
      <c r="B7106">
        <v>-122.67967745012299</v>
      </c>
      <c r="C7106" t="s">
        <v>34</v>
      </c>
      <c r="D7106">
        <v>47.149170046135303</v>
      </c>
      <c r="E7106">
        <v>2</v>
      </c>
      <c r="F7106">
        <v>3096</v>
      </c>
      <c r="G7106">
        <v>5</v>
      </c>
      <c r="H7106">
        <v>2</v>
      </c>
      <c r="I7106">
        <v>1990</v>
      </c>
      <c r="J7106">
        <v>1</v>
      </c>
      <c r="K7106">
        <v>1</v>
      </c>
      <c r="L7106">
        <v>0</v>
      </c>
      <c r="M7106">
        <v>9</v>
      </c>
      <c r="N7106" t="s">
        <v>37</v>
      </c>
      <c r="O7106" t="s">
        <v>30</v>
      </c>
      <c r="P7106">
        <v>10.458439591046901</v>
      </c>
      <c r="Q7106">
        <v>1.7441950911658699</v>
      </c>
      <c r="R7106">
        <v>9.8860136008943105</v>
      </c>
      <c r="S7106">
        <v>95</v>
      </c>
      <c r="T7106">
        <v>43</v>
      </c>
      <c r="U7106">
        <v>511.36860687929698</v>
      </c>
      <c r="V7106">
        <v>2.90697674418604E-3</v>
      </c>
      <c r="W7106">
        <v>2074831.84515636</v>
      </c>
      <c r="X7106" t="s">
        <v>39</v>
      </c>
      <c r="Y7106">
        <f>1-308-740-6555</f>
        <v>-7602</v>
      </c>
    </row>
    <row r="7107" spans="1:25" x14ac:dyDescent="0.35">
      <c r="A7107">
        <v>37.065544156701897</v>
      </c>
      <c r="B7107">
        <v>-121.625169193517</v>
      </c>
      <c r="C7107" t="s">
        <v>34</v>
      </c>
      <c r="D7107">
        <v>24.664249551451</v>
      </c>
      <c r="E7107">
        <v>9</v>
      </c>
      <c r="F7107">
        <v>1264</v>
      </c>
      <c r="G7107">
        <v>1</v>
      </c>
      <c r="H7107">
        <v>2</v>
      </c>
      <c r="I7107">
        <v>1990</v>
      </c>
      <c r="J7107">
        <v>1</v>
      </c>
      <c r="K7107">
        <v>1</v>
      </c>
      <c r="L7107">
        <v>0</v>
      </c>
      <c r="M7107">
        <v>2</v>
      </c>
      <c r="N7107" t="s">
        <v>26</v>
      </c>
      <c r="O7107" t="s">
        <v>32</v>
      </c>
      <c r="P7107">
        <v>4.5216661960346203</v>
      </c>
      <c r="Q7107">
        <v>1.5492338468359399</v>
      </c>
      <c r="R7107">
        <v>2.99044115391662</v>
      </c>
      <c r="S7107">
        <v>37</v>
      </c>
      <c r="T7107">
        <v>68</v>
      </c>
      <c r="U7107">
        <v>914.26654280828302</v>
      </c>
      <c r="V7107">
        <v>1.58227848101265E-3</v>
      </c>
      <c r="W7107">
        <v>1398128.5406223901</v>
      </c>
      <c r="X7107" t="s">
        <v>31</v>
      </c>
      <c r="Y7107">
        <f>1-578-854-4935</f>
        <v>-6366</v>
      </c>
    </row>
    <row r="7108" spans="1:25" x14ac:dyDescent="0.35">
      <c r="A7108">
        <v>38.792874681618997</v>
      </c>
      <c r="B7108">
        <v>-115.882321263021</v>
      </c>
      <c r="C7108" t="s">
        <v>34</v>
      </c>
      <c r="D7108">
        <v>49.3172998227476</v>
      </c>
      <c r="E7108">
        <v>1</v>
      </c>
      <c r="F7108">
        <v>2845</v>
      </c>
      <c r="G7108">
        <v>3</v>
      </c>
      <c r="H7108">
        <v>3</v>
      </c>
      <c r="I7108">
        <v>1964</v>
      </c>
      <c r="J7108">
        <v>0</v>
      </c>
      <c r="K7108">
        <v>1</v>
      </c>
      <c r="L7108">
        <v>1</v>
      </c>
      <c r="M7108">
        <v>6</v>
      </c>
      <c r="N7108" t="s">
        <v>35</v>
      </c>
      <c r="O7108" t="s">
        <v>32</v>
      </c>
      <c r="P7108">
        <v>5.0358427796465604</v>
      </c>
      <c r="Q7108">
        <v>1.36665952414688</v>
      </c>
      <c r="R7108">
        <v>2.6619628515892502</v>
      </c>
      <c r="S7108">
        <v>142</v>
      </c>
      <c r="T7108">
        <v>24</v>
      </c>
      <c r="U7108">
        <v>327.62485155771998</v>
      </c>
      <c r="V7108">
        <v>2.1089630931458701E-3</v>
      </c>
      <c r="W7108">
        <v>1205778.45067383</v>
      </c>
      <c r="X7108" t="s">
        <v>33</v>
      </c>
      <c r="Y7108">
        <f>1-347-293-8429</f>
        <v>-9068</v>
      </c>
    </row>
    <row r="7109" spans="1:25" x14ac:dyDescent="0.35">
      <c r="A7109">
        <v>40.671668115773301</v>
      </c>
      <c r="B7109">
        <v>-122.72740660233499</v>
      </c>
      <c r="C7109" t="s">
        <v>25</v>
      </c>
      <c r="D7109">
        <v>27.0706507852436</v>
      </c>
      <c r="E7109">
        <v>5</v>
      </c>
      <c r="F7109">
        <v>784</v>
      </c>
      <c r="G7109">
        <v>1</v>
      </c>
      <c r="H7109">
        <v>1</v>
      </c>
      <c r="I7109">
        <v>2011</v>
      </c>
      <c r="J7109">
        <v>0</v>
      </c>
      <c r="K7109">
        <v>1</v>
      </c>
      <c r="L7109">
        <v>1</v>
      </c>
      <c r="M7109">
        <v>7</v>
      </c>
      <c r="N7109" t="s">
        <v>35</v>
      </c>
      <c r="O7109" t="s">
        <v>32</v>
      </c>
      <c r="P7109">
        <v>12.2788789766331</v>
      </c>
      <c r="Q7109">
        <v>0.63619330859207501</v>
      </c>
      <c r="R7109">
        <v>8.12508687839812</v>
      </c>
      <c r="S7109">
        <v>98</v>
      </c>
      <c r="T7109">
        <v>67</v>
      </c>
      <c r="U7109">
        <v>575.67443024120098</v>
      </c>
      <c r="V7109">
        <v>8.9285714285714194E-3</v>
      </c>
      <c r="W7109">
        <v>736832.11906162102</v>
      </c>
      <c r="X7109" t="s">
        <v>31</v>
      </c>
      <c r="Y7109">
        <f>1-548-838-3216</f>
        <v>-4601</v>
      </c>
    </row>
    <row r="7110" spans="1:25" x14ac:dyDescent="0.35">
      <c r="A7110">
        <v>32.693271054174097</v>
      </c>
      <c r="B7110">
        <v>-114.82228418065399</v>
      </c>
      <c r="C7110" t="s">
        <v>29</v>
      </c>
      <c r="D7110">
        <v>48.354615231994401</v>
      </c>
      <c r="E7110">
        <v>4</v>
      </c>
      <c r="F7110">
        <v>4830</v>
      </c>
      <c r="G7110">
        <v>1</v>
      </c>
      <c r="H7110">
        <v>3</v>
      </c>
      <c r="I7110">
        <v>2016</v>
      </c>
      <c r="J7110">
        <v>1</v>
      </c>
      <c r="K7110">
        <v>0</v>
      </c>
      <c r="L7110">
        <v>0</v>
      </c>
      <c r="M7110">
        <v>6</v>
      </c>
      <c r="N7110" t="s">
        <v>26</v>
      </c>
      <c r="O7110" t="s">
        <v>27</v>
      </c>
      <c r="P7110">
        <v>11.8797357555968</v>
      </c>
      <c r="Q7110">
        <v>1.9264756969030401</v>
      </c>
      <c r="R7110">
        <v>7.87349280879753</v>
      </c>
      <c r="S7110">
        <v>68</v>
      </c>
      <c r="T7110">
        <v>24</v>
      </c>
      <c r="U7110">
        <v>338.363855366275</v>
      </c>
      <c r="V7110">
        <v>1.2422360248447199E-3</v>
      </c>
      <c r="W7110">
        <v>1940782.0239731399</v>
      </c>
      <c r="X7110" t="s">
        <v>44</v>
      </c>
      <c r="Y7110">
        <f>1-389-980-5115</f>
        <v>-6483</v>
      </c>
    </row>
    <row r="7111" spans="1:25" x14ac:dyDescent="0.35">
      <c r="A7111">
        <v>33.619330875433498</v>
      </c>
      <c r="B7111">
        <v>-115.762167715808</v>
      </c>
      <c r="C7111" t="s">
        <v>34</v>
      </c>
      <c r="D7111">
        <v>2.4290221673351802</v>
      </c>
      <c r="E7111">
        <v>5</v>
      </c>
      <c r="F7111">
        <v>1776</v>
      </c>
      <c r="G7111">
        <v>3</v>
      </c>
      <c r="H7111">
        <v>1</v>
      </c>
      <c r="I7111">
        <v>1957</v>
      </c>
      <c r="J7111">
        <v>0</v>
      </c>
      <c r="K7111">
        <v>0</v>
      </c>
      <c r="L7111">
        <v>1</v>
      </c>
      <c r="M7111">
        <v>10</v>
      </c>
      <c r="N7111" t="s">
        <v>41</v>
      </c>
      <c r="O7111" t="s">
        <v>32</v>
      </c>
      <c r="P7111">
        <v>3.7927680896647402</v>
      </c>
      <c r="Q7111">
        <v>0.63742140252477297</v>
      </c>
      <c r="R7111">
        <v>8.3865278686473292</v>
      </c>
      <c r="S7111">
        <v>72</v>
      </c>
      <c r="T7111">
        <v>37</v>
      </c>
      <c r="U7111">
        <v>575.477431984433</v>
      </c>
      <c r="V7111">
        <v>5.6306306306306304E-3</v>
      </c>
      <c r="W7111">
        <v>1183233.79203487</v>
      </c>
      <c r="X7111" t="s">
        <v>43</v>
      </c>
      <c r="Y7111">
        <f>1-928-733-7781</f>
        <v>-9441</v>
      </c>
    </row>
    <row r="7112" spans="1:25" x14ac:dyDescent="0.35">
      <c r="A7112">
        <v>37.0997047000496</v>
      </c>
      <c r="B7112">
        <v>-121.830936321072</v>
      </c>
      <c r="C7112" t="s">
        <v>34</v>
      </c>
      <c r="D7112">
        <v>49.595109125159397</v>
      </c>
      <c r="E7112">
        <v>8</v>
      </c>
      <c r="F7112">
        <v>533</v>
      </c>
      <c r="G7112">
        <v>4</v>
      </c>
      <c r="H7112">
        <v>2</v>
      </c>
      <c r="I7112">
        <v>2020</v>
      </c>
      <c r="J7112">
        <v>1</v>
      </c>
      <c r="K7112">
        <v>1</v>
      </c>
      <c r="L7112">
        <v>0</v>
      </c>
      <c r="M7112">
        <v>4</v>
      </c>
      <c r="N7112" t="s">
        <v>35</v>
      </c>
      <c r="O7112" t="s">
        <v>32</v>
      </c>
      <c r="P7112">
        <v>10.2183683433321</v>
      </c>
      <c r="Q7112">
        <v>2.31677975634233</v>
      </c>
      <c r="R7112">
        <v>2.0790151328856799</v>
      </c>
      <c r="S7112">
        <v>8</v>
      </c>
      <c r="T7112">
        <v>60</v>
      </c>
      <c r="U7112">
        <v>330.10568225811198</v>
      </c>
      <c r="V7112">
        <v>7.5046904315196998E-3</v>
      </c>
      <c r="W7112">
        <v>648004.71029744798</v>
      </c>
      <c r="X7112" t="s">
        <v>33</v>
      </c>
      <c r="Y7112">
        <f>1-334-979-8241</f>
        <v>-9553</v>
      </c>
    </row>
    <row r="7113" spans="1:25" x14ac:dyDescent="0.35">
      <c r="A7113">
        <v>35.384093200597199</v>
      </c>
      <c r="B7113">
        <v>-116.580573812921</v>
      </c>
      <c r="C7113" t="s">
        <v>25</v>
      </c>
      <c r="D7113">
        <v>28.713307549567698</v>
      </c>
      <c r="E7113">
        <v>1</v>
      </c>
      <c r="F7113">
        <v>2316</v>
      </c>
      <c r="G7113">
        <v>2</v>
      </c>
      <c r="H7113">
        <v>2</v>
      </c>
      <c r="I7113">
        <v>1979</v>
      </c>
      <c r="J7113">
        <v>1</v>
      </c>
      <c r="K7113">
        <v>1</v>
      </c>
      <c r="L7113">
        <v>0</v>
      </c>
      <c r="M7113">
        <v>6</v>
      </c>
      <c r="N7113" t="s">
        <v>35</v>
      </c>
      <c r="O7113" t="s">
        <v>32</v>
      </c>
      <c r="P7113">
        <v>13.2806088462566</v>
      </c>
      <c r="Q7113">
        <v>0.86422526363954399</v>
      </c>
      <c r="R7113">
        <v>6.3928346837695003</v>
      </c>
      <c r="S7113">
        <v>119</v>
      </c>
      <c r="T7113">
        <v>43</v>
      </c>
      <c r="U7113">
        <v>386.40587312225603</v>
      </c>
      <c r="V7113">
        <v>2.5906735751295299E-3</v>
      </c>
      <c r="W7113">
        <v>1196723.2008602801</v>
      </c>
      <c r="X7113" t="s">
        <v>43</v>
      </c>
      <c r="Y7113">
        <f>1-662-756-4806</f>
        <v>-6223</v>
      </c>
    </row>
    <row r="7114" spans="1:25" x14ac:dyDescent="0.35">
      <c r="A7114">
        <v>38.8366046424876</v>
      </c>
      <c r="B7114">
        <v>-119.64073616392101</v>
      </c>
      <c r="C7114" t="s">
        <v>25</v>
      </c>
      <c r="D7114">
        <v>33.846209275733898</v>
      </c>
      <c r="E7114">
        <v>1</v>
      </c>
      <c r="F7114">
        <v>4947</v>
      </c>
      <c r="G7114">
        <v>2</v>
      </c>
      <c r="H7114">
        <v>3</v>
      </c>
      <c r="I7114">
        <v>1970</v>
      </c>
      <c r="J7114">
        <v>1</v>
      </c>
      <c r="K7114">
        <v>1</v>
      </c>
      <c r="L7114">
        <v>1</v>
      </c>
      <c r="M7114">
        <v>2</v>
      </c>
      <c r="N7114" t="s">
        <v>37</v>
      </c>
      <c r="O7114" t="s">
        <v>30</v>
      </c>
      <c r="P7114">
        <v>4.5930647245809899</v>
      </c>
      <c r="Q7114">
        <v>0.91471389172600504</v>
      </c>
      <c r="R7114">
        <v>6.0927864075477398</v>
      </c>
      <c r="S7114">
        <v>74</v>
      </c>
      <c r="T7114">
        <v>28</v>
      </c>
      <c r="U7114">
        <v>733.95966857788096</v>
      </c>
      <c r="V7114">
        <v>4.0428542551041E-4</v>
      </c>
      <c r="W7114">
        <v>4052086.70085087</v>
      </c>
      <c r="X7114" t="s">
        <v>43</v>
      </c>
      <c r="Y7114">
        <f>1-368-791-7197</f>
        <v>-8355</v>
      </c>
    </row>
    <row r="7115" spans="1:25" x14ac:dyDescent="0.35">
      <c r="A7115">
        <v>39.060489475341797</v>
      </c>
      <c r="B7115">
        <v>-121.742684265111</v>
      </c>
      <c r="C7115" t="s">
        <v>34</v>
      </c>
      <c r="D7115">
        <v>11.5804894146387</v>
      </c>
      <c r="E7115">
        <v>1</v>
      </c>
      <c r="F7115">
        <v>4313</v>
      </c>
      <c r="G7115">
        <v>5</v>
      </c>
      <c r="H7115">
        <v>2</v>
      </c>
      <c r="I7115">
        <v>1977</v>
      </c>
      <c r="J7115">
        <v>1</v>
      </c>
      <c r="K7115">
        <v>1</v>
      </c>
      <c r="L7115">
        <v>0</v>
      </c>
      <c r="M7115">
        <v>3</v>
      </c>
      <c r="N7115" t="s">
        <v>41</v>
      </c>
      <c r="O7115" t="s">
        <v>32</v>
      </c>
      <c r="P7115">
        <v>6.6324410949037302</v>
      </c>
      <c r="Q7115">
        <v>0.88921878130302701</v>
      </c>
      <c r="R7115">
        <v>0.598364969173247</v>
      </c>
      <c r="S7115">
        <v>43</v>
      </c>
      <c r="T7115">
        <v>70</v>
      </c>
      <c r="U7115">
        <v>511.73827876290602</v>
      </c>
      <c r="V7115">
        <v>6.9557152793878901E-4</v>
      </c>
      <c r="W7115">
        <v>2724140.9118713401</v>
      </c>
      <c r="X7115" t="s">
        <v>39</v>
      </c>
      <c r="Y7115">
        <f>1-654-669-6007</f>
        <v>-7329</v>
      </c>
    </row>
    <row r="7116" spans="1:25" x14ac:dyDescent="0.35">
      <c r="A7116">
        <v>33.8392699339907</v>
      </c>
      <c r="B7116">
        <v>-115.97475927301601</v>
      </c>
      <c r="C7116" t="s">
        <v>25</v>
      </c>
      <c r="D7116">
        <v>26.134805523907801</v>
      </c>
      <c r="E7116">
        <v>5</v>
      </c>
      <c r="F7116">
        <v>677</v>
      </c>
      <c r="G7116">
        <v>4</v>
      </c>
      <c r="H7116">
        <v>3</v>
      </c>
      <c r="I7116">
        <v>1961</v>
      </c>
      <c r="J7116">
        <v>0</v>
      </c>
      <c r="K7116">
        <v>0</v>
      </c>
      <c r="L7116">
        <v>0</v>
      </c>
      <c r="M7116">
        <v>10</v>
      </c>
      <c r="N7116" t="s">
        <v>26</v>
      </c>
      <c r="O7116" t="s">
        <v>30</v>
      </c>
      <c r="P7116">
        <v>8.9304981959198599</v>
      </c>
      <c r="Q7116">
        <v>1.9742318121065701</v>
      </c>
      <c r="R7116">
        <v>8.3716758047980502</v>
      </c>
      <c r="S7116">
        <v>13</v>
      </c>
      <c r="T7116">
        <v>69</v>
      </c>
      <c r="U7116">
        <v>244.492597404289</v>
      </c>
      <c r="V7116">
        <v>1.47710487444608E-2</v>
      </c>
      <c r="W7116">
        <v>260703.92995486601</v>
      </c>
      <c r="X7116" t="s">
        <v>42</v>
      </c>
      <c r="Y7116">
        <f>1-451-318-6030</f>
        <v>-6798</v>
      </c>
    </row>
    <row r="7117" spans="1:25" x14ac:dyDescent="0.35">
      <c r="A7117">
        <v>39.173577945613502</v>
      </c>
      <c r="B7117">
        <v>-122.516110121247</v>
      </c>
      <c r="C7117" t="s">
        <v>34</v>
      </c>
      <c r="D7117">
        <v>11.383536929808701</v>
      </c>
      <c r="E7117">
        <v>9</v>
      </c>
      <c r="F7117">
        <v>3003</v>
      </c>
      <c r="G7117">
        <v>4</v>
      </c>
      <c r="H7117">
        <v>2</v>
      </c>
      <c r="I7117">
        <v>1956</v>
      </c>
      <c r="J7117">
        <v>1</v>
      </c>
      <c r="K7117">
        <v>0</v>
      </c>
      <c r="L7117">
        <v>1</v>
      </c>
      <c r="M7117">
        <v>3</v>
      </c>
      <c r="N7117" t="s">
        <v>41</v>
      </c>
      <c r="O7117" t="s">
        <v>32</v>
      </c>
      <c r="P7117">
        <v>5.5792227504291301</v>
      </c>
      <c r="Q7117">
        <v>0.88911864585249001</v>
      </c>
      <c r="R7117">
        <v>4.2827757586072401</v>
      </c>
      <c r="S7117">
        <v>174</v>
      </c>
      <c r="T7117">
        <v>22</v>
      </c>
      <c r="U7117">
        <v>581.98049619385802</v>
      </c>
      <c r="V7117">
        <v>9.99000999000999E-4</v>
      </c>
      <c r="W7117">
        <v>1964208.12498036</v>
      </c>
      <c r="X7117" t="s">
        <v>38</v>
      </c>
      <c r="Y7117">
        <f>1-652-250-7704</f>
        <v>-8605</v>
      </c>
    </row>
    <row r="7118" spans="1:25" x14ac:dyDescent="0.35">
      <c r="A7118">
        <v>34.9447381120644</v>
      </c>
      <c r="B7118">
        <v>-123.976789527112</v>
      </c>
      <c r="C7118" t="s">
        <v>34</v>
      </c>
      <c r="D7118">
        <v>20.152734465753301</v>
      </c>
      <c r="E7118">
        <v>7</v>
      </c>
      <c r="F7118">
        <v>2472</v>
      </c>
      <c r="G7118">
        <v>4</v>
      </c>
      <c r="H7118">
        <v>3</v>
      </c>
      <c r="I7118">
        <v>1998</v>
      </c>
      <c r="J7118">
        <v>1</v>
      </c>
      <c r="K7118">
        <v>0</v>
      </c>
      <c r="L7118">
        <v>1</v>
      </c>
      <c r="M7118">
        <v>11</v>
      </c>
      <c r="N7118" t="s">
        <v>26</v>
      </c>
      <c r="O7118" t="s">
        <v>32</v>
      </c>
      <c r="P7118">
        <v>10.1601372935586</v>
      </c>
      <c r="Q7118">
        <v>1.6788828199254699</v>
      </c>
      <c r="R7118">
        <v>5.4973271480166304</v>
      </c>
      <c r="S7118">
        <v>104</v>
      </c>
      <c r="T7118">
        <v>64</v>
      </c>
      <c r="U7118">
        <v>314.29818438246502</v>
      </c>
      <c r="V7118">
        <v>4.4498381877022602E-3</v>
      </c>
      <c r="W7118">
        <v>1228571.6018942599</v>
      </c>
      <c r="X7118" t="s">
        <v>33</v>
      </c>
      <c r="Y7118">
        <f>1-353-404-3303</f>
        <v>-4059</v>
      </c>
    </row>
    <row r="7119" spans="1:25" x14ac:dyDescent="0.35">
      <c r="A7119">
        <v>41.553229632079699</v>
      </c>
      <c r="B7119">
        <v>-117.18319011239601</v>
      </c>
      <c r="C7119" t="s">
        <v>25</v>
      </c>
      <c r="D7119">
        <v>26.332166642074501</v>
      </c>
      <c r="E7119">
        <v>5</v>
      </c>
      <c r="F7119">
        <v>1240</v>
      </c>
      <c r="G7119">
        <v>3</v>
      </c>
      <c r="H7119">
        <v>1</v>
      </c>
      <c r="I7119">
        <v>2007</v>
      </c>
      <c r="J7119">
        <v>1</v>
      </c>
      <c r="K7119">
        <v>0</v>
      </c>
      <c r="L7119">
        <v>1</v>
      </c>
      <c r="M7119">
        <v>13</v>
      </c>
      <c r="N7119" t="s">
        <v>35</v>
      </c>
      <c r="O7119" t="s">
        <v>30</v>
      </c>
      <c r="P7119">
        <v>12.106215793048801</v>
      </c>
      <c r="Q7119">
        <v>2.3009923922234199</v>
      </c>
      <c r="R7119">
        <v>4.6157159622724802</v>
      </c>
      <c r="S7119">
        <v>160</v>
      </c>
      <c r="T7119">
        <v>34</v>
      </c>
      <c r="U7119">
        <v>612.76231672078904</v>
      </c>
      <c r="V7119">
        <v>1.04838709677419E-2</v>
      </c>
      <c r="W7119">
        <v>1073596.72900037</v>
      </c>
      <c r="X7119" t="s">
        <v>39</v>
      </c>
      <c r="Y7119">
        <f>1-745-690-1624</f>
        <v>-3058</v>
      </c>
    </row>
    <row r="7120" spans="1:25" x14ac:dyDescent="0.35">
      <c r="A7120">
        <v>37.447680275041201</v>
      </c>
      <c r="B7120">
        <v>-118.928377588456</v>
      </c>
      <c r="C7120" t="s">
        <v>25</v>
      </c>
      <c r="D7120">
        <v>49.015565188278501</v>
      </c>
      <c r="E7120">
        <v>2</v>
      </c>
      <c r="F7120">
        <v>877</v>
      </c>
      <c r="G7120">
        <v>3</v>
      </c>
      <c r="H7120">
        <v>2</v>
      </c>
      <c r="I7120">
        <v>1995</v>
      </c>
      <c r="J7120">
        <v>1</v>
      </c>
      <c r="K7120">
        <v>0</v>
      </c>
      <c r="L7120">
        <v>1</v>
      </c>
      <c r="M7120">
        <v>5</v>
      </c>
      <c r="N7120" t="s">
        <v>37</v>
      </c>
      <c r="O7120" t="s">
        <v>30</v>
      </c>
      <c r="P7120">
        <v>10.618951021299999</v>
      </c>
      <c r="Q7120">
        <v>2.1581411523781</v>
      </c>
      <c r="R7120">
        <v>9.4202732145264303</v>
      </c>
      <c r="S7120">
        <v>3</v>
      </c>
      <c r="T7120">
        <v>29</v>
      </c>
      <c r="U7120">
        <v>826.23785046617604</v>
      </c>
      <c r="V7120">
        <v>5.7012542759407002E-3</v>
      </c>
      <c r="W7120">
        <v>1024154.50504717</v>
      </c>
      <c r="X7120" t="s">
        <v>28</v>
      </c>
      <c r="Y7120">
        <f>1-571-766-4055</f>
        <v>-5391</v>
      </c>
    </row>
    <row r="7121" spans="1:25" x14ac:dyDescent="0.35">
      <c r="A7121">
        <v>39.761293841228003</v>
      </c>
      <c r="B7121">
        <v>-116.672671193911</v>
      </c>
      <c r="C7121" t="s">
        <v>29</v>
      </c>
      <c r="D7121">
        <v>44.5271241850444</v>
      </c>
      <c r="E7121">
        <v>7</v>
      </c>
      <c r="F7121">
        <v>2468</v>
      </c>
      <c r="G7121">
        <v>2</v>
      </c>
      <c r="H7121">
        <v>2</v>
      </c>
      <c r="I7121">
        <v>1989</v>
      </c>
      <c r="J7121">
        <v>1</v>
      </c>
      <c r="K7121">
        <v>0</v>
      </c>
      <c r="L7121">
        <v>0</v>
      </c>
      <c r="M7121">
        <v>6</v>
      </c>
      <c r="N7121" t="s">
        <v>35</v>
      </c>
      <c r="O7121" t="s">
        <v>32</v>
      </c>
      <c r="P7121">
        <v>14.2334392977644</v>
      </c>
      <c r="Q7121">
        <v>1.11240395298725</v>
      </c>
      <c r="R7121">
        <v>1.9868504934592199</v>
      </c>
      <c r="S7121">
        <v>183</v>
      </c>
      <c r="T7121">
        <v>61</v>
      </c>
      <c r="U7121">
        <v>454.79761401760999</v>
      </c>
      <c r="V7121">
        <v>2.4311183144246299E-3</v>
      </c>
      <c r="W7121">
        <v>1212431.06619208</v>
      </c>
      <c r="X7121" t="s">
        <v>43</v>
      </c>
      <c r="Y7121">
        <f>1-860-667-6589</f>
        <v>-8115</v>
      </c>
    </row>
    <row r="7122" spans="1:25" x14ac:dyDescent="0.35">
      <c r="A7122">
        <v>41.905696292701201</v>
      </c>
      <c r="B7122">
        <v>-122.196823163723</v>
      </c>
      <c r="C7122" t="s">
        <v>25</v>
      </c>
      <c r="D7122">
        <v>2.8351895382846699</v>
      </c>
      <c r="E7122">
        <v>5</v>
      </c>
      <c r="F7122">
        <v>694</v>
      </c>
      <c r="G7122">
        <v>1</v>
      </c>
      <c r="H7122">
        <v>2</v>
      </c>
      <c r="I7122">
        <v>1975</v>
      </c>
      <c r="J7122">
        <v>0</v>
      </c>
      <c r="K7122">
        <v>0</v>
      </c>
      <c r="L7122">
        <v>1</v>
      </c>
      <c r="M7122">
        <v>13</v>
      </c>
      <c r="N7122" t="s">
        <v>37</v>
      </c>
      <c r="O7122" t="s">
        <v>30</v>
      </c>
      <c r="P7122">
        <v>14.7797518709791</v>
      </c>
      <c r="Q7122">
        <v>0.62803953536091806</v>
      </c>
      <c r="R7122">
        <v>1.5920682375969299</v>
      </c>
      <c r="S7122">
        <v>111</v>
      </c>
      <c r="T7122">
        <v>20</v>
      </c>
      <c r="U7122">
        <v>395.04665941682401</v>
      </c>
      <c r="V7122">
        <v>1.8731988472622401E-2</v>
      </c>
      <c r="W7122">
        <v>478925.16639440903</v>
      </c>
      <c r="X7122" t="s">
        <v>33</v>
      </c>
      <c r="Y7122">
        <f>1-560-692-8031</f>
        <v>-9282</v>
      </c>
    </row>
    <row r="7123" spans="1:25" x14ac:dyDescent="0.35">
      <c r="A7123">
        <v>37.000914305568003</v>
      </c>
      <c r="B7123">
        <v>-124.161078144879</v>
      </c>
      <c r="C7123" t="s">
        <v>34</v>
      </c>
      <c r="D7123">
        <v>3.9060679519570298</v>
      </c>
      <c r="E7123">
        <v>0</v>
      </c>
      <c r="F7123">
        <v>752</v>
      </c>
      <c r="G7123">
        <v>1</v>
      </c>
      <c r="H7123">
        <v>2</v>
      </c>
      <c r="I7123">
        <v>2019</v>
      </c>
      <c r="J7123">
        <v>1</v>
      </c>
      <c r="K7123">
        <v>0</v>
      </c>
      <c r="L7123">
        <v>1</v>
      </c>
      <c r="M7123">
        <v>5</v>
      </c>
      <c r="N7123" t="s">
        <v>41</v>
      </c>
      <c r="O7123" t="s">
        <v>27</v>
      </c>
      <c r="P7123">
        <v>8.4612998186064203</v>
      </c>
      <c r="Q7123">
        <v>1.1674042465129399</v>
      </c>
      <c r="R7123">
        <v>9.0540673154341</v>
      </c>
      <c r="S7123">
        <v>75</v>
      </c>
      <c r="T7123">
        <v>39</v>
      </c>
      <c r="U7123">
        <v>549.47590830106196</v>
      </c>
      <c r="V7123">
        <v>6.6489361702127599E-3</v>
      </c>
      <c r="W7123">
        <v>591211.65180662903</v>
      </c>
      <c r="X7123" t="s">
        <v>33</v>
      </c>
      <c r="Y7123">
        <f>1-631-632-9756</f>
        <v>-11018</v>
      </c>
    </row>
    <row r="7124" spans="1:25" x14ac:dyDescent="0.35">
      <c r="A7124">
        <v>41.4659521355929</v>
      </c>
      <c r="B7124">
        <v>-123.238944043918</v>
      </c>
      <c r="C7124" t="s">
        <v>29</v>
      </c>
      <c r="D7124">
        <v>49.590615567589303</v>
      </c>
      <c r="E7124">
        <v>5</v>
      </c>
      <c r="F7124">
        <v>2194</v>
      </c>
      <c r="G7124">
        <v>2</v>
      </c>
      <c r="H7124">
        <v>3</v>
      </c>
      <c r="I7124">
        <v>2015</v>
      </c>
      <c r="J7124">
        <v>0</v>
      </c>
      <c r="K7124">
        <v>0</v>
      </c>
      <c r="L7124">
        <v>0</v>
      </c>
      <c r="M7124">
        <v>9</v>
      </c>
      <c r="N7124" t="s">
        <v>41</v>
      </c>
      <c r="O7124" t="s">
        <v>27</v>
      </c>
      <c r="P7124">
        <v>4.01146495259733</v>
      </c>
      <c r="Q7124">
        <v>2.0970490280346201</v>
      </c>
      <c r="R7124">
        <v>6.4778301404245102</v>
      </c>
      <c r="S7124">
        <v>195</v>
      </c>
      <c r="T7124">
        <v>68</v>
      </c>
      <c r="U7124">
        <v>353.77006885341098</v>
      </c>
      <c r="V7124">
        <v>4.1020966271649896E-3</v>
      </c>
      <c r="W7124">
        <v>885507.308360136</v>
      </c>
      <c r="X7124" t="s">
        <v>33</v>
      </c>
      <c r="Y7124">
        <f>1-366-252-2178</f>
        <v>-2795</v>
      </c>
    </row>
    <row r="7125" spans="1:25" x14ac:dyDescent="0.35">
      <c r="A7125">
        <v>38.701695457944098</v>
      </c>
      <c r="B7125">
        <v>-114.088255538666</v>
      </c>
      <c r="C7125" t="s">
        <v>25</v>
      </c>
      <c r="D7125">
        <v>20.2543241577015</v>
      </c>
      <c r="E7125">
        <v>1</v>
      </c>
      <c r="F7125">
        <v>4840</v>
      </c>
      <c r="G7125">
        <v>3</v>
      </c>
      <c r="H7125">
        <v>3</v>
      </c>
      <c r="I7125">
        <v>2015</v>
      </c>
      <c r="J7125">
        <v>1</v>
      </c>
      <c r="K7125">
        <v>0</v>
      </c>
      <c r="L7125">
        <v>1</v>
      </c>
      <c r="M7125">
        <v>2</v>
      </c>
      <c r="N7125" t="s">
        <v>41</v>
      </c>
      <c r="O7125" t="s">
        <v>30</v>
      </c>
      <c r="P7125">
        <v>12.746707413418701</v>
      </c>
      <c r="Q7125">
        <v>0.76435283384422803</v>
      </c>
      <c r="R7125">
        <v>5.2663842612787599</v>
      </c>
      <c r="S7125">
        <v>192</v>
      </c>
      <c r="T7125">
        <v>33</v>
      </c>
      <c r="U7125">
        <v>733.715984165745</v>
      </c>
      <c r="V7125">
        <v>4.13223140495867E-4</v>
      </c>
      <c r="W7125">
        <v>3975204.0426938902</v>
      </c>
      <c r="X7125" t="s">
        <v>40</v>
      </c>
      <c r="Y7125">
        <f>1-786-302-3970</f>
        <v>-5057</v>
      </c>
    </row>
    <row r="7126" spans="1:25" x14ac:dyDescent="0.35">
      <c r="A7126">
        <v>32.841844969597403</v>
      </c>
      <c r="B7126">
        <v>-119.336967630692</v>
      </c>
      <c r="C7126" t="s">
        <v>29</v>
      </c>
      <c r="D7126">
        <v>35.856413637803001</v>
      </c>
      <c r="E7126">
        <v>1</v>
      </c>
      <c r="F7126">
        <v>3147</v>
      </c>
      <c r="G7126">
        <v>3</v>
      </c>
      <c r="H7126">
        <v>3</v>
      </c>
      <c r="I7126">
        <v>2020</v>
      </c>
      <c r="J7126">
        <v>0</v>
      </c>
      <c r="K7126">
        <v>0</v>
      </c>
      <c r="L7126">
        <v>0</v>
      </c>
      <c r="M7126">
        <v>13</v>
      </c>
      <c r="N7126" t="s">
        <v>41</v>
      </c>
      <c r="O7126" t="s">
        <v>32</v>
      </c>
      <c r="P7126">
        <v>6.64951299392298</v>
      </c>
      <c r="Q7126">
        <v>2.1293169669063299</v>
      </c>
      <c r="R7126">
        <v>0.15102749968808801</v>
      </c>
      <c r="S7126">
        <v>198</v>
      </c>
      <c r="T7126">
        <v>73</v>
      </c>
      <c r="U7126">
        <v>811.27008500997704</v>
      </c>
      <c r="V7126">
        <v>4.1309183349221403E-3</v>
      </c>
      <c r="W7126">
        <v>2857379.81835427</v>
      </c>
      <c r="X7126" t="s">
        <v>38</v>
      </c>
      <c r="Y7126">
        <f>1-703-577-6770</f>
        <v>-8049</v>
      </c>
    </row>
    <row r="7127" spans="1:25" x14ac:dyDescent="0.35">
      <c r="A7127">
        <v>41.0251214806365</v>
      </c>
      <c r="B7127">
        <v>-118.39816009290701</v>
      </c>
      <c r="C7127" t="s">
        <v>29</v>
      </c>
      <c r="D7127">
        <v>7.3075675127036304</v>
      </c>
      <c r="E7127">
        <v>1</v>
      </c>
      <c r="F7127">
        <v>1480</v>
      </c>
      <c r="G7127">
        <v>5</v>
      </c>
      <c r="H7127">
        <v>1</v>
      </c>
      <c r="I7127">
        <v>1975</v>
      </c>
      <c r="J7127">
        <v>1</v>
      </c>
      <c r="K7127">
        <v>0</v>
      </c>
      <c r="L7127">
        <v>0</v>
      </c>
      <c r="M7127">
        <v>3</v>
      </c>
      <c r="N7127" t="s">
        <v>41</v>
      </c>
      <c r="O7127" t="s">
        <v>30</v>
      </c>
      <c r="P7127">
        <v>4.8811418583148098</v>
      </c>
      <c r="Q7127">
        <v>0.59631452987479205</v>
      </c>
      <c r="R7127">
        <v>0.37594281937706903</v>
      </c>
      <c r="S7127">
        <v>189</v>
      </c>
      <c r="T7127">
        <v>35</v>
      </c>
      <c r="U7127">
        <v>983.29828995039497</v>
      </c>
      <c r="V7127">
        <v>2.0270270270270202E-3</v>
      </c>
      <c r="W7127">
        <v>1686383.6551913801</v>
      </c>
      <c r="X7127" t="s">
        <v>38</v>
      </c>
      <c r="Y7127">
        <f>1-354-935-9205</f>
        <v>-10493</v>
      </c>
    </row>
    <row r="7128" spans="1:25" x14ac:dyDescent="0.35">
      <c r="A7128">
        <v>41.384195935389101</v>
      </c>
      <c r="B7128">
        <v>-115.644624094601</v>
      </c>
      <c r="C7128" t="s">
        <v>29</v>
      </c>
      <c r="D7128">
        <v>32.690822888662801</v>
      </c>
      <c r="E7128">
        <v>9</v>
      </c>
      <c r="F7128">
        <v>4221</v>
      </c>
      <c r="G7128">
        <v>5</v>
      </c>
      <c r="H7128">
        <v>2</v>
      </c>
      <c r="I7128">
        <v>1997</v>
      </c>
      <c r="J7128">
        <v>1</v>
      </c>
      <c r="K7128">
        <v>0</v>
      </c>
      <c r="L7128">
        <v>0</v>
      </c>
      <c r="M7128">
        <v>11</v>
      </c>
      <c r="N7128" t="s">
        <v>26</v>
      </c>
      <c r="O7128" t="s">
        <v>30</v>
      </c>
      <c r="P7128">
        <v>9.0101201926992207</v>
      </c>
      <c r="Q7128">
        <v>1.35677538614871</v>
      </c>
      <c r="R7128">
        <v>2.7466199263518698</v>
      </c>
      <c r="S7128">
        <v>176</v>
      </c>
      <c r="T7128">
        <v>24</v>
      </c>
      <c r="U7128">
        <v>887.86595487224599</v>
      </c>
      <c r="V7128">
        <v>2.6060175313906602E-3</v>
      </c>
      <c r="W7128">
        <v>4103557.0102543002</v>
      </c>
      <c r="X7128" t="s">
        <v>40</v>
      </c>
      <c r="Y7128">
        <f>1-833-153-5045</f>
        <v>-6030</v>
      </c>
    </row>
    <row r="7129" spans="1:25" x14ac:dyDescent="0.35">
      <c r="A7129">
        <v>38.703171345944398</v>
      </c>
      <c r="B7129">
        <v>-119.230925265018</v>
      </c>
      <c r="C7129" t="s">
        <v>25</v>
      </c>
      <c r="D7129">
        <v>19.812312505670398</v>
      </c>
      <c r="E7129">
        <v>4</v>
      </c>
      <c r="F7129">
        <v>3072</v>
      </c>
      <c r="G7129">
        <v>3</v>
      </c>
      <c r="H7129">
        <v>3</v>
      </c>
      <c r="I7129">
        <v>1993</v>
      </c>
      <c r="J7129">
        <v>0</v>
      </c>
      <c r="K7129">
        <v>0</v>
      </c>
      <c r="L7129">
        <v>0</v>
      </c>
      <c r="M7129">
        <v>9</v>
      </c>
      <c r="N7129" t="s">
        <v>37</v>
      </c>
      <c r="O7129" t="s">
        <v>32</v>
      </c>
      <c r="P7129">
        <v>10.129339993327701</v>
      </c>
      <c r="Q7129">
        <v>1.31577530536737</v>
      </c>
      <c r="R7129">
        <v>8.6196776618951496</v>
      </c>
      <c r="S7129">
        <v>195</v>
      </c>
      <c r="T7129">
        <v>22</v>
      </c>
      <c r="U7129">
        <v>865.30728160078195</v>
      </c>
      <c r="V7129">
        <v>2.9296875E-3</v>
      </c>
      <c r="W7129">
        <v>2889496.2906666999</v>
      </c>
      <c r="X7129" t="s">
        <v>44</v>
      </c>
      <c r="Y7129">
        <f>1-371-587-3310</f>
        <v>-4267</v>
      </c>
    </row>
    <row r="7130" spans="1:25" x14ac:dyDescent="0.35">
      <c r="A7130">
        <v>40.201357738804901</v>
      </c>
      <c r="B7130">
        <v>-114.732373689319</v>
      </c>
      <c r="C7130" t="s">
        <v>25</v>
      </c>
      <c r="D7130">
        <v>4.6714580211273402</v>
      </c>
      <c r="E7130">
        <v>3</v>
      </c>
      <c r="F7130">
        <v>4598</v>
      </c>
      <c r="G7130">
        <v>2</v>
      </c>
      <c r="H7130">
        <v>3</v>
      </c>
      <c r="I7130">
        <v>1951</v>
      </c>
      <c r="J7130">
        <v>1</v>
      </c>
      <c r="K7130">
        <v>0</v>
      </c>
      <c r="L7130">
        <v>0</v>
      </c>
      <c r="M7130">
        <v>11</v>
      </c>
      <c r="N7130" t="s">
        <v>41</v>
      </c>
      <c r="O7130" t="s">
        <v>27</v>
      </c>
      <c r="P7130">
        <v>7.9134325787096103</v>
      </c>
      <c r="Q7130">
        <v>1.5203651163894101</v>
      </c>
      <c r="R7130">
        <v>4.2263781711673598</v>
      </c>
      <c r="S7130">
        <v>137</v>
      </c>
      <c r="T7130">
        <v>69</v>
      </c>
      <c r="U7130">
        <v>565.489317396979</v>
      </c>
      <c r="V7130">
        <v>2.3923444976076502E-3</v>
      </c>
      <c r="W7130">
        <v>2783675.2133684698</v>
      </c>
      <c r="X7130" t="s">
        <v>38</v>
      </c>
      <c r="Y7130">
        <f>1-965-367-8862</f>
        <v>-10193</v>
      </c>
    </row>
    <row r="7131" spans="1:25" x14ac:dyDescent="0.35">
      <c r="A7131">
        <v>36.880676922822602</v>
      </c>
      <c r="B7131">
        <v>-121.488259064443</v>
      </c>
      <c r="C7131" t="s">
        <v>25</v>
      </c>
      <c r="D7131">
        <v>40.409100164903599</v>
      </c>
      <c r="E7131">
        <v>4</v>
      </c>
      <c r="F7131">
        <v>2709</v>
      </c>
      <c r="G7131">
        <v>5</v>
      </c>
      <c r="H7131">
        <v>2</v>
      </c>
      <c r="I7131">
        <v>1995</v>
      </c>
      <c r="J7131">
        <v>1</v>
      </c>
      <c r="K7131">
        <v>0</v>
      </c>
      <c r="L7131">
        <v>0</v>
      </c>
      <c r="M7131">
        <v>2</v>
      </c>
      <c r="N7131" t="s">
        <v>41</v>
      </c>
      <c r="O7131" t="s">
        <v>30</v>
      </c>
      <c r="P7131">
        <v>11.5508058885761</v>
      </c>
      <c r="Q7131">
        <v>1.52925113795805</v>
      </c>
      <c r="R7131">
        <v>8.7780477587641492</v>
      </c>
      <c r="S7131">
        <v>68</v>
      </c>
      <c r="T7131">
        <v>33</v>
      </c>
      <c r="U7131">
        <v>964.20295580396703</v>
      </c>
      <c r="V7131">
        <v>7.3827980804724901E-4</v>
      </c>
      <c r="W7131">
        <v>2894553.2940904298</v>
      </c>
      <c r="X7131" t="s">
        <v>36</v>
      </c>
      <c r="Y7131">
        <f>1-574-946-6093</f>
        <v>-7612</v>
      </c>
    </row>
    <row r="7132" spans="1:25" x14ac:dyDescent="0.35">
      <c r="A7132">
        <v>35.062376759758301</v>
      </c>
      <c r="B7132">
        <v>-121.49591354875599</v>
      </c>
      <c r="C7132" t="s">
        <v>29</v>
      </c>
      <c r="D7132">
        <v>49.666953758847697</v>
      </c>
      <c r="E7132">
        <v>3</v>
      </c>
      <c r="F7132">
        <v>721</v>
      </c>
      <c r="G7132">
        <v>4</v>
      </c>
      <c r="H7132">
        <v>2</v>
      </c>
      <c r="I7132">
        <v>2014</v>
      </c>
      <c r="J7132">
        <v>1</v>
      </c>
      <c r="K7132">
        <v>1</v>
      </c>
      <c r="L7132">
        <v>1</v>
      </c>
      <c r="M7132">
        <v>4</v>
      </c>
      <c r="N7132" t="s">
        <v>41</v>
      </c>
      <c r="O7132" t="s">
        <v>30</v>
      </c>
      <c r="P7132">
        <v>6.9768819620993696</v>
      </c>
      <c r="Q7132">
        <v>1.1564273540229999</v>
      </c>
      <c r="R7132">
        <v>2.3885699124942898</v>
      </c>
      <c r="S7132">
        <v>152</v>
      </c>
      <c r="T7132">
        <v>20</v>
      </c>
      <c r="U7132">
        <v>685.00763924057003</v>
      </c>
      <c r="V7132">
        <v>5.5478502080443803E-3</v>
      </c>
      <c r="W7132">
        <v>953408.29452075798</v>
      </c>
      <c r="X7132" t="s">
        <v>28</v>
      </c>
      <c r="Y7132">
        <f>1-993-708-4994</f>
        <v>-6694</v>
      </c>
    </row>
    <row r="7133" spans="1:25" x14ac:dyDescent="0.35">
      <c r="A7133">
        <v>36.163410663113702</v>
      </c>
      <c r="B7133">
        <v>-120.889921497735</v>
      </c>
      <c r="C7133" t="s">
        <v>29</v>
      </c>
      <c r="D7133">
        <v>48.400039065150303</v>
      </c>
      <c r="E7133">
        <v>0</v>
      </c>
      <c r="F7133">
        <v>2806</v>
      </c>
      <c r="G7133">
        <v>3</v>
      </c>
      <c r="H7133">
        <v>1</v>
      </c>
      <c r="I7133">
        <v>1979</v>
      </c>
      <c r="J7133">
        <v>0</v>
      </c>
      <c r="K7133">
        <v>1</v>
      </c>
      <c r="L7133">
        <v>0</v>
      </c>
      <c r="M7133">
        <v>9</v>
      </c>
      <c r="N7133" t="s">
        <v>41</v>
      </c>
      <c r="O7133" t="s">
        <v>27</v>
      </c>
      <c r="P7133">
        <v>13.4854383429752</v>
      </c>
      <c r="Q7133">
        <v>0.72155742846934301</v>
      </c>
      <c r="R7133">
        <v>3.86319200955035</v>
      </c>
      <c r="S7133">
        <v>80</v>
      </c>
      <c r="T7133">
        <v>50</v>
      </c>
      <c r="U7133">
        <v>652.88088953956697</v>
      </c>
      <c r="V7133">
        <v>3.2074126870990701E-3</v>
      </c>
      <c r="W7133">
        <v>2053891.83693084</v>
      </c>
      <c r="X7133" t="s">
        <v>36</v>
      </c>
      <c r="Y7133">
        <f>1-653-321-5878</f>
        <v>-6851</v>
      </c>
    </row>
    <row r="7134" spans="1:25" x14ac:dyDescent="0.35">
      <c r="A7134">
        <v>32.769882839344803</v>
      </c>
      <c r="B7134">
        <v>-121.974876639949</v>
      </c>
      <c r="C7134" t="s">
        <v>29</v>
      </c>
      <c r="D7134">
        <v>22.127347386208399</v>
      </c>
      <c r="E7134">
        <v>4</v>
      </c>
      <c r="F7134">
        <v>4926</v>
      </c>
      <c r="G7134">
        <v>3</v>
      </c>
      <c r="H7134">
        <v>2</v>
      </c>
      <c r="I7134">
        <v>2015</v>
      </c>
      <c r="J7134">
        <v>1</v>
      </c>
      <c r="K7134">
        <v>0</v>
      </c>
      <c r="L7134">
        <v>0</v>
      </c>
      <c r="M7134">
        <v>5</v>
      </c>
      <c r="N7134" t="s">
        <v>37</v>
      </c>
      <c r="O7134" t="s">
        <v>30</v>
      </c>
      <c r="P7134">
        <v>3.03243608376828</v>
      </c>
      <c r="Q7134">
        <v>1.04331367738305</v>
      </c>
      <c r="R7134">
        <v>4.5289707185979298</v>
      </c>
      <c r="S7134">
        <v>107</v>
      </c>
      <c r="T7134">
        <v>36</v>
      </c>
      <c r="U7134">
        <v>394.89954151625801</v>
      </c>
      <c r="V7134">
        <v>1.01502233049127E-3</v>
      </c>
      <c r="W7134">
        <v>2210982.6163190398</v>
      </c>
      <c r="X7134" t="s">
        <v>43</v>
      </c>
      <c r="Y7134">
        <f>1-559-563-5700</f>
        <v>-6821</v>
      </c>
    </row>
    <row r="7135" spans="1:25" x14ac:dyDescent="0.35">
      <c r="A7135">
        <v>38.559779914541799</v>
      </c>
      <c r="B7135">
        <v>-119.800912027194</v>
      </c>
      <c r="C7135" t="s">
        <v>34</v>
      </c>
      <c r="D7135">
        <v>34.141279438009001</v>
      </c>
      <c r="E7135">
        <v>5</v>
      </c>
      <c r="F7135">
        <v>2702</v>
      </c>
      <c r="G7135">
        <v>1</v>
      </c>
      <c r="H7135">
        <v>2</v>
      </c>
      <c r="I7135">
        <v>1970</v>
      </c>
      <c r="J7135">
        <v>1</v>
      </c>
      <c r="K7135">
        <v>0</v>
      </c>
      <c r="L7135">
        <v>0</v>
      </c>
      <c r="M7135">
        <v>8</v>
      </c>
      <c r="N7135" t="s">
        <v>35</v>
      </c>
      <c r="O7135" t="s">
        <v>32</v>
      </c>
      <c r="P7135">
        <v>8.7153250960594999</v>
      </c>
      <c r="Q7135">
        <v>0.51546024491600495</v>
      </c>
      <c r="R7135">
        <v>8.74283111019089</v>
      </c>
      <c r="S7135">
        <v>125</v>
      </c>
      <c r="T7135">
        <v>42</v>
      </c>
      <c r="U7135">
        <v>701.39321819250404</v>
      </c>
      <c r="V7135">
        <v>2.9607698001480301E-3</v>
      </c>
      <c r="W7135">
        <v>2043766.5477345099</v>
      </c>
      <c r="X7135" t="s">
        <v>39</v>
      </c>
      <c r="Y7135">
        <f>1-992-655-9236</f>
        <v>-10882</v>
      </c>
    </row>
    <row r="7136" spans="1:25" x14ac:dyDescent="0.35">
      <c r="A7136">
        <v>36.304192704518996</v>
      </c>
      <c r="B7136">
        <v>-117.33126597598</v>
      </c>
      <c r="C7136" t="s">
        <v>34</v>
      </c>
      <c r="D7136">
        <v>14.238733431460201</v>
      </c>
      <c r="E7136">
        <v>5</v>
      </c>
      <c r="F7136">
        <v>1805</v>
      </c>
      <c r="G7136">
        <v>4</v>
      </c>
      <c r="H7136">
        <v>2</v>
      </c>
      <c r="I7136">
        <v>1985</v>
      </c>
      <c r="J7136">
        <v>0</v>
      </c>
      <c r="K7136">
        <v>0</v>
      </c>
      <c r="L7136">
        <v>0</v>
      </c>
      <c r="M7136">
        <v>14</v>
      </c>
      <c r="N7136" t="s">
        <v>26</v>
      </c>
      <c r="O7136" t="s">
        <v>27</v>
      </c>
      <c r="P7136">
        <v>2.9195470849106302</v>
      </c>
      <c r="Q7136">
        <v>0.72968562450330998</v>
      </c>
      <c r="R7136">
        <v>5.89728272039107</v>
      </c>
      <c r="S7136">
        <v>177</v>
      </c>
      <c r="T7136">
        <v>54</v>
      </c>
      <c r="U7136">
        <v>817.47587546444299</v>
      </c>
      <c r="V7136">
        <v>7.7562326869806096E-3</v>
      </c>
      <c r="W7136">
        <v>1533932.9887697001</v>
      </c>
      <c r="X7136" t="s">
        <v>31</v>
      </c>
      <c r="Y7136">
        <f>1-464-869-5348</f>
        <v>-6680</v>
      </c>
    </row>
    <row r="7137" spans="1:25" x14ac:dyDescent="0.35">
      <c r="A7137">
        <v>34.362833449083901</v>
      </c>
      <c r="B7137">
        <v>-117.54225749227901</v>
      </c>
      <c r="C7137" t="s">
        <v>25</v>
      </c>
      <c r="D7137">
        <v>12.664684536149</v>
      </c>
      <c r="E7137">
        <v>2</v>
      </c>
      <c r="F7137">
        <v>1727</v>
      </c>
      <c r="G7137">
        <v>3</v>
      </c>
      <c r="H7137">
        <v>1</v>
      </c>
      <c r="I7137">
        <v>1982</v>
      </c>
      <c r="J7137">
        <v>1</v>
      </c>
      <c r="K7137">
        <v>1</v>
      </c>
      <c r="L7137">
        <v>1</v>
      </c>
      <c r="M7137">
        <v>13</v>
      </c>
      <c r="N7137" t="s">
        <v>35</v>
      </c>
      <c r="O7137" t="s">
        <v>30</v>
      </c>
      <c r="P7137">
        <v>8.3264287172755704</v>
      </c>
      <c r="Q7137">
        <v>2.1346765010920898</v>
      </c>
      <c r="R7137">
        <v>9.65909874048576</v>
      </c>
      <c r="S7137">
        <v>54</v>
      </c>
      <c r="T7137">
        <v>72</v>
      </c>
      <c r="U7137">
        <v>790.49725459284605</v>
      </c>
      <c r="V7137">
        <v>7.5275043427909596E-3</v>
      </c>
      <c r="W7137">
        <v>1651421.35238609</v>
      </c>
      <c r="X7137" t="s">
        <v>39</v>
      </c>
      <c r="Y7137">
        <f>1-437-457-7742</f>
        <v>-8635</v>
      </c>
    </row>
    <row r="7138" spans="1:25" x14ac:dyDescent="0.35">
      <c r="A7138">
        <v>38.598435466792203</v>
      </c>
      <c r="B7138">
        <v>-119.999859170275</v>
      </c>
      <c r="C7138" t="s">
        <v>29</v>
      </c>
      <c r="D7138">
        <v>39.2921335368016</v>
      </c>
      <c r="E7138">
        <v>3</v>
      </c>
      <c r="F7138">
        <v>4410</v>
      </c>
      <c r="G7138">
        <v>3</v>
      </c>
      <c r="H7138">
        <v>3</v>
      </c>
      <c r="I7138">
        <v>1962</v>
      </c>
      <c r="J7138">
        <v>0</v>
      </c>
      <c r="K7138">
        <v>1</v>
      </c>
      <c r="L7138">
        <v>0</v>
      </c>
      <c r="M7138">
        <v>10</v>
      </c>
      <c r="N7138" t="s">
        <v>37</v>
      </c>
      <c r="O7138" t="s">
        <v>32</v>
      </c>
      <c r="P7138">
        <v>5.5039031955798796</v>
      </c>
      <c r="Q7138">
        <v>1.6262184016085299</v>
      </c>
      <c r="R7138">
        <v>6.8927029626872196</v>
      </c>
      <c r="S7138">
        <v>132</v>
      </c>
      <c r="T7138">
        <v>25</v>
      </c>
      <c r="U7138">
        <v>843.94834824756799</v>
      </c>
      <c r="V7138">
        <v>2.26757369614512E-3</v>
      </c>
      <c r="W7138">
        <v>4000275.57234859</v>
      </c>
      <c r="X7138" t="s">
        <v>43</v>
      </c>
      <c r="Y7138">
        <f>1-503-264-2206</f>
        <v>-2972</v>
      </c>
    </row>
    <row r="7139" spans="1:25" x14ac:dyDescent="0.35">
      <c r="A7139">
        <v>37.144349757174602</v>
      </c>
      <c r="B7139">
        <v>-121.398847237879</v>
      </c>
      <c r="C7139" t="s">
        <v>29</v>
      </c>
      <c r="D7139">
        <v>37.484308698147501</v>
      </c>
      <c r="E7139">
        <v>8</v>
      </c>
      <c r="F7139">
        <v>4875</v>
      </c>
      <c r="G7139">
        <v>2</v>
      </c>
      <c r="H7139">
        <v>1</v>
      </c>
      <c r="I7139">
        <v>1972</v>
      </c>
      <c r="J7139">
        <v>0</v>
      </c>
      <c r="K7139">
        <v>0</v>
      </c>
      <c r="L7139">
        <v>0</v>
      </c>
      <c r="M7139">
        <v>5</v>
      </c>
      <c r="N7139" t="s">
        <v>37</v>
      </c>
      <c r="O7139" t="s">
        <v>30</v>
      </c>
      <c r="P7139">
        <v>6.6932609654512802</v>
      </c>
      <c r="Q7139">
        <v>1.8780836477635099</v>
      </c>
      <c r="R7139">
        <v>2.8880320730817401</v>
      </c>
      <c r="S7139">
        <v>85</v>
      </c>
      <c r="T7139">
        <v>69</v>
      </c>
      <c r="U7139">
        <v>881.68011140089095</v>
      </c>
      <c r="V7139">
        <v>1.02564102564102E-3</v>
      </c>
      <c r="W7139">
        <v>4321291.78001644</v>
      </c>
      <c r="X7139" t="s">
        <v>44</v>
      </c>
      <c r="Y7139">
        <f>1-683-159-5728</f>
        <v>-6569</v>
      </c>
    </row>
    <row r="7140" spans="1:25" x14ac:dyDescent="0.35">
      <c r="A7140">
        <v>37.1083857686884</v>
      </c>
      <c r="B7140">
        <v>-118.559220510625</v>
      </c>
      <c r="C7140" t="s">
        <v>34</v>
      </c>
      <c r="D7140">
        <v>15.874927249228699</v>
      </c>
      <c r="E7140">
        <v>8</v>
      </c>
      <c r="F7140">
        <v>2483</v>
      </c>
      <c r="G7140">
        <v>4</v>
      </c>
      <c r="H7140">
        <v>2</v>
      </c>
      <c r="I7140">
        <v>2007</v>
      </c>
      <c r="J7140">
        <v>0</v>
      </c>
      <c r="K7140">
        <v>0</v>
      </c>
      <c r="L7140">
        <v>0</v>
      </c>
      <c r="M7140">
        <v>6</v>
      </c>
      <c r="N7140" t="s">
        <v>41</v>
      </c>
      <c r="O7140" t="s">
        <v>30</v>
      </c>
      <c r="P7140">
        <v>4.0583796576915097</v>
      </c>
      <c r="Q7140">
        <v>1.9386008937656301</v>
      </c>
      <c r="R7140">
        <v>2.5747621963770801</v>
      </c>
      <c r="S7140">
        <v>169</v>
      </c>
      <c r="T7140">
        <v>68</v>
      </c>
      <c r="U7140">
        <v>239.78691199545901</v>
      </c>
      <c r="V7140">
        <v>2.41643173580346E-3</v>
      </c>
      <c r="W7140">
        <v>830227.19601463305</v>
      </c>
      <c r="X7140" t="s">
        <v>33</v>
      </c>
      <c r="Y7140">
        <f>1-941-935-8424</f>
        <v>-10299</v>
      </c>
    </row>
    <row r="7141" spans="1:25" x14ac:dyDescent="0.35">
      <c r="A7141">
        <v>40.989164622169298</v>
      </c>
      <c r="B7141">
        <v>-117.525958401255</v>
      </c>
      <c r="C7141" t="s">
        <v>29</v>
      </c>
      <c r="D7141">
        <v>42.930522006763901</v>
      </c>
      <c r="E7141">
        <v>4</v>
      </c>
      <c r="F7141">
        <v>1064</v>
      </c>
      <c r="G7141">
        <v>4</v>
      </c>
      <c r="H7141">
        <v>1</v>
      </c>
      <c r="I7141">
        <v>2011</v>
      </c>
      <c r="J7141">
        <v>0</v>
      </c>
      <c r="K7141">
        <v>1</v>
      </c>
      <c r="L7141">
        <v>1</v>
      </c>
      <c r="M7141">
        <v>4</v>
      </c>
      <c r="N7141" t="s">
        <v>41</v>
      </c>
      <c r="O7141" t="s">
        <v>30</v>
      </c>
      <c r="P7141">
        <v>9.8835287755088803</v>
      </c>
      <c r="Q7141">
        <v>0.52098020359250596</v>
      </c>
      <c r="R7141">
        <v>2.23850678876311</v>
      </c>
      <c r="S7141">
        <v>22</v>
      </c>
      <c r="T7141">
        <v>42</v>
      </c>
      <c r="U7141">
        <v>355.78467350685003</v>
      </c>
      <c r="V7141">
        <v>3.7593984962406E-3</v>
      </c>
      <c r="W7141">
        <v>787937.28449926304</v>
      </c>
      <c r="X7141" t="s">
        <v>28</v>
      </c>
      <c r="Y7141">
        <f>1-986-828-2464</f>
        <v>-4277</v>
      </c>
    </row>
    <row r="7142" spans="1:25" x14ac:dyDescent="0.35">
      <c r="A7142">
        <v>34.701838932867403</v>
      </c>
      <c r="B7142">
        <v>-122.811005438019</v>
      </c>
      <c r="C7142" t="s">
        <v>25</v>
      </c>
      <c r="D7142">
        <v>24.0726793079827</v>
      </c>
      <c r="E7142">
        <v>7</v>
      </c>
      <c r="F7142">
        <v>1175</v>
      </c>
      <c r="G7142">
        <v>4</v>
      </c>
      <c r="H7142">
        <v>1</v>
      </c>
      <c r="I7142">
        <v>2003</v>
      </c>
      <c r="J7142">
        <v>0</v>
      </c>
      <c r="K7142">
        <v>1</v>
      </c>
      <c r="L7142">
        <v>1</v>
      </c>
      <c r="M7142">
        <v>8</v>
      </c>
      <c r="N7142" t="s">
        <v>37</v>
      </c>
      <c r="O7142" t="s">
        <v>32</v>
      </c>
      <c r="P7142">
        <v>12.1289694078295</v>
      </c>
      <c r="Q7142">
        <v>1.6405101353606399</v>
      </c>
      <c r="R7142">
        <v>3.6223155144519499</v>
      </c>
      <c r="S7142">
        <v>23</v>
      </c>
      <c r="T7142">
        <v>75</v>
      </c>
      <c r="U7142">
        <v>303.93076212638999</v>
      </c>
      <c r="V7142">
        <v>6.8085106382978697E-3</v>
      </c>
      <c r="W7142">
        <v>791288.190384474</v>
      </c>
      <c r="X7142" t="s">
        <v>44</v>
      </c>
      <c r="Y7142">
        <f>1-533-934-7219</f>
        <v>-8685</v>
      </c>
    </row>
    <row r="7143" spans="1:25" x14ac:dyDescent="0.35">
      <c r="A7143">
        <v>39.322550846607903</v>
      </c>
      <c r="B7143">
        <v>-115.168833795428</v>
      </c>
      <c r="C7143" t="s">
        <v>34</v>
      </c>
      <c r="D7143">
        <v>45.693841464063603</v>
      </c>
      <c r="E7143">
        <v>1</v>
      </c>
      <c r="F7143">
        <v>1691</v>
      </c>
      <c r="G7143">
        <v>3</v>
      </c>
      <c r="H7143">
        <v>1</v>
      </c>
      <c r="I7143">
        <v>2022</v>
      </c>
      <c r="J7143">
        <v>1</v>
      </c>
      <c r="K7143">
        <v>0</v>
      </c>
      <c r="L7143">
        <v>0</v>
      </c>
      <c r="M7143">
        <v>3</v>
      </c>
      <c r="N7143" t="s">
        <v>35</v>
      </c>
      <c r="O7143" t="s">
        <v>30</v>
      </c>
      <c r="P7143">
        <v>6.7221287955584197</v>
      </c>
      <c r="Q7143">
        <v>1.53007537709246</v>
      </c>
      <c r="R7143">
        <v>7.5788710806428199</v>
      </c>
      <c r="S7143">
        <v>149</v>
      </c>
      <c r="T7143">
        <v>73</v>
      </c>
      <c r="U7143">
        <v>238.71291419533301</v>
      </c>
      <c r="V7143">
        <v>1.7740981667652199E-3</v>
      </c>
      <c r="W7143">
        <v>556009.37442188698</v>
      </c>
      <c r="X7143" t="s">
        <v>31</v>
      </c>
      <c r="Y7143">
        <f>1-802-905-6854</f>
        <v>-8560</v>
      </c>
    </row>
    <row r="7144" spans="1:25" x14ac:dyDescent="0.35">
      <c r="A7144">
        <v>37.745318472188401</v>
      </c>
      <c r="B7144">
        <v>-117.91501858190701</v>
      </c>
      <c r="C7144" t="s">
        <v>34</v>
      </c>
      <c r="D7144">
        <v>41.105526488088202</v>
      </c>
      <c r="E7144">
        <v>0</v>
      </c>
      <c r="F7144">
        <v>2222</v>
      </c>
      <c r="G7144">
        <v>5</v>
      </c>
      <c r="H7144">
        <v>1</v>
      </c>
      <c r="I7144">
        <v>1992</v>
      </c>
      <c r="J7144">
        <v>0</v>
      </c>
      <c r="K7144">
        <v>0</v>
      </c>
      <c r="L7144">
        <v>0</v>
      </c>
      <c r="M7144">
        <v>5</v>
      </c>
      <c r="N7144" t="s">
        <v>37</v>
      </c>
      <c r="O7144" t="s">
        <v>30</v>
      </c>
      <c r="P7144">
        <v>3.75855982168637</v>
      </c>
      <c r="Q7144">
        <v>0.82038610910739695</v>
      </c>
      <c r="R7144">
        <v>1.8358125987482601</v>
      </c>
      <c r="S7144">
        <v>138</v>
      </c>
      <c r="T7144">
        <v>53</v>
      </c>
      <c r="U7144">
        <v>553.34551011881194</v>
      </c>
      <c r="V7144">
        <v>2.2502250225022499E-3</v>
      </c>
      <c r="W7144">
        <v>1457254.64569344</v>
      </c>
      <c r="X7144" t="s">
        <v>33</v>
      </c>
      <c r="Y7144">
        <f>1-497-474-8122</f>
        <v>-9092</v>
      </c>
    </row>
    <row r="7145" spans="1:25" x14ac:dyDescent="0.35">
      <c r="A7145">
        <v>41.601117029373803</v>
      </c>
      <c r="B7145">
        <v>-119.552096205222</v>
      </c>
      <c r="C7145" t="s">
        <v>25</v>
      </c>
      <c r="D7145">
        <v>11.0670593404237</v>
      </c>
      <c r="E7145">
        <v>9</v>
      </c>
      <c r="F7145">
        <v>828</v>
      </c>
      <c r="G7145">
        <v>1</v>
      </c>
      <c r="H7145">
        <v>3</v>
      </c>
      <c r="I7145">
        <v>1959</v>
      </c>
      <c r="J7145">
        <v>0</v>
      </c>
      <c r="K7145">
        <v>0</v>
      </c>
      <c r="L7145">
        <v>1</v>
      </c>
      <c r="M7145">
        <v>8</v>
      </c>
      <c r="N7145" t="s">
        <v>37</v>
      </c>
      <c r="O7145" t="s">
        <v>30</v>
      </c>
      <c r="P7145">
        <v>14.5195852046848</v>
      </c>
      <c r="Q7145">
        <v>1.6716904801883099</v>
      </c>
      <c r="R7145">
        <v>9.8571076442191501</v>
      </c>
      <c r="S7145">
        <v>32</v>
      </c>
      <c r="T7145">
        <v>24</v>
      </c>
      <c r="U7145">
        <v>397.81031466187801</v>
      </c>
      <c r="V7145">
        <v>9.6618357487922701E-3</v>
      </c>
      <c r="W7145">
        <v>399889.734968326</v>
      </c>
      <c r="X7145" t="s">
        <v>43</v>
      </c>
      <c r="Y7145">
        <f>1-929-381-3098</f>
        <v>-4407</v>
      </c>
    </row>
    <row r="7146" spans="1:25" x14ac:dyDescent="0.35">
      <c r="A7146">
        <v>35.258260379920998</v>
      </c>
      <c r="B7146">
        <v>-114.743075253887</v>
      </c>
      <c r="C7146" t="s">
        <v>25</v>
      </c>
      <c r="D7146">
        <v>27.386757889443398</v>
      </c>
      <c r="E7146">
        <v>2</v>
      </c>
      <c r="F7146">
        <v>2378</v>
      </c>
      <c r="G7146">
        <v>3</v>
      </c>
      <c r="H7146">
        <v>3</v>
      </c>
      <c r="I7146">
        <v>1988</v>
      </c>
      <c r="J7146">
        <v>1</v>
      </c>
      <c r="K7146">
        <v>0</v>
      </c>
      <c r="L7146">
        <v>0</v>
      </c>
      <c r="M7146">
        <v>13</v>
      </c>
      <c r="N7146" t="s">
        <v>26</v>
      </c>
      <c r="O7146" t="s">
        <v>27</v>
      </c>
      <c r="P7146">
        <v>13.9812838397151</v>
      </c>
      <c r="Q7146">
        <v>2.0479101165749598</v>
      </c>
      <c r="R7146">
        <v>4.5397480964306203</v>
      </c>
      <c r="S7146">
        <v>149</v>
      </c>
      <c r="T7146">
        <v>62</v>
      </c>
      <c r="U7146">
        <v>424.73297908876702</v>
      </c>
      <c r="V7146">
        <v>5.4667788057190898E-3</v>
      </c>
      <c r="W7146">
        <v>1338289.76439425</v>
      </c>
      <c r="X7146" t="s">
        <v>44</v>
      </c>
      <c r="Y7146">
        <f>1-562-390-5442</f>
        <v>-6393</v>
      </c>
    </row>
    <row r="7147" spans="1:25" x14ac:dyDescent="0.35">
      <c r="A7147">
        <v>37.7946178429928</v>
      </c>
      <c r="B7147">
        <v>-115.702528647497</v>
      </c>
      <c r="C7147" t="s">
        <v>29</v>
      </c>
      <c r="D7147">
        <v>28.8542923271057</v>
      </c>
      <c r="E7147">
        <v>1</v>
      </c>
      <c r="F7147">
        <v>1223</v>
      </c>
      <c r="G7147">
        <v>4</v>
      </c>
      <c r="H7147">
        <v>2</v>
      </c>
      <c r="I7147">
        <v>1954</v>
      </c>
      <c r="J7147">
        <v>1</v>
      </c>
      <c r="K7147">
        <v>1</v>
      </c>
      <c r="L7147">
        <v>0</v>
      </c>
      <c r="M7147">
        <v>11</v>
      </c>
      <c r="N7147" t="s">
        <v>41</v>
      </c>
      <c r="O7147" t="s">
        <v>30</v>
      </c>
      <c r="P7147">
        <v>8.3188432575722597</v>
      </c>
      <c r="Q7147">
        <v>1.6666454654434799</v>
      </c>
      <c r="R7147">
        <v>7.1328346601131303</v>
      </c>
      <c r="S7147">
        <v>4</v>
      </c>
      <c r="T7147">
        <v>77</v>
      </c>
      <c r="U7147">
        <v>520.17173697121302</v>
      </c>
      <c r="V7147">
        <v>8.9942763695829899E-3</v>
      </c>
      <c r="W7147">
        <v>1032964.1788785401</v>
      </c>
      <c r="X7147" t="s">
        <v>40</v>
      </c>
      <c r="Y7147">
        <f>1-517-141-9014</f>
        <v>-9671</v>
      </c>
    </row>
    <row r="7148" spans="1:25" x14ac:dyDescent="0.35">
      <c r="A7148">
        <v>34.452213544401403</v>
      </c>
      <c r="B7148">
        <v>-122.978960585753</v>
      </c>
      <c r="C7148" t="s">
        <v>25</v>
      </c>
      <c r="D7148">
        <v>11.8349202435612</v>
      </c>
      <c r="E7148">
        <v>2</v>
      </c>
      <c r="F7148">
        <v>1883</v>
      </c>
      <c r="G7148">
        <v>4</v>
      </c>
      <c r="H7148">
        <v>1</v>
      </c>
      <c r="I7148">
        <v>1984</v>
      </c>
      <c r="J7148">
        <v>1</v>
      </c>
      <c r="K7148">
        <v>0</v>
      </c>
      <c r="L7148">
        <v>1</v>
      </c>
      <c r="M7148">
        <v>2</v>
      </c>
      <c r="N7148" t="s">
        <v>35</v>
      </c>
      <c r="O7148" t="s">
        <v>30</v>
      </c>
      <c r="P7148">
        <v>11.715429823631901</v>
      </c>
      <c r="Q7148">
        <v>2.1943427474171999</v>
      </c>
      <c r="R7148">
        <v>1.7997170172763199</v>
      </c>
      <c r="S7148">
        <v>83</v>
      </c>
      <c r="T7148">
        <v>55</v>
      </c>
      <c r="U7148">
        <v>908.44432743396601</v>
      </c>
      <c r="V7148">
        <v>1.0621348911311699E-3</v>
      </c>
      <c r="W7148">
        <v>2051709.9679417701</v>
      </c>
      <c r="X7148" t="s">
        <v>36</v>
      </c>
      <c r="Y7148">
        <f>1-922-430-1051</f>
        <v>-2402</v>
      </c>
    </row>
    <row r="7149" spans="1:25" x14ac:dyDescent="0.35">
      <c r="A7149">
        <v>36.387575736988303</v>
      </c>
      <c r="B7149">
        <v>-114.513382136042</v>
      </c>
      <c r="C7149" t="s">
        <v>29</v>
      </c>
      <c r="D7149">
        <v>1.2923203357631501</v>
      </c>
      <c r="E7149">
        <v>2</v>
      </c>
      <c r="F7149">
        <v>1026</v>
      </c>
      <c r="G7149">
        <v>5</v>
      </c>
      <c r="H7149">
        <v>2</v>
      </c>
      <c r="I7149">
        <v>1975</v>
      </c>
      <c r="J7149">
        <v>1</v>
      </c>
      <c r="K7149">
        <v>0</v>
      </c>
      <c r="L7149">
        <v>0</v>
      </c>
      <c r="M7149">
        <v>13</v>
      </c>
      <c r="N7149" t="s">
        <v>37</v>
      </c>
      <c r="O7149" t="s">
        <v>32</v>
      </c>
      <c r="P7149">
        <v>9.0589384592635902</v>
      </c>
      <c r="Q7149">
        <v>2.0254659652239702</v>
      </c>
      <c r="R7149">
        <v>8.18585235414937</v>
      </c>
      <c r="S7149">
        <v>158</v>
      </c>
      <c r="T7149">
        <v>29</v>
      </c>
      <c r="U7149">
        <v>875.38690240066501</v>
      </c>
      <c r="V7149">
        <v>1.26705653021442E-2</v>
      </c>
      <c r="W7149">
        <v>1117297.4210101</v>
      </c>
      <c r="X7149" t="s">
        <v>33</v>
      </c>
      <c r="Y7149">
        <f>1-547-741-3585</f>
        <v>-4872</v>
      </c>
    </row>
    <row r="7150" spans="1:25" x14ac:dyDescent="0.35">
      <c r="A7150">
        <v>34.442812632415098</v>
      </c>
      <c r="B7150">
        <v>-124.004418778914</v>
      </c>
      <c r="C7150" t="s">
        <v>25</v>
      </c>
      <c r="D7150">
        <v>18.1809927433412</v>
      </c>
      <c r="E7150">
        <v>5</v>
      </c>
      <c r="F7150">
        <v>3054</v>
      </c>
      <c r="G7150">
        <v>2</v>
      </c>
      <c r="H7150">
        <v>2</v>
      </c>
      <c r="I7150">
        <v>1965</v>
      </c>
      <c r="J7150">
        <v>1</v>
      </c>
      <c r="K7150">
        <v>1</v>
      </c>
      <c r="L7150">
        <v>0</v>
      </c>
      <c r="M7150">
        <v>10</v>
      </c>
      <c r="N7150" t="s">
        <v>37</v>
      </c>
      <c r="O7150" t="s">
        <v>32</v>
      </c>
      <c r="P7150">
        <v>12.2834380515432</v>
      </c>
      <c r="Q7150">
        <v>0.98129486883407702</v>
      </c>
      <c r="R7150">
        <v>9.3246282192022107</v>
      </c>
      <c r="S7150">
        <v>165</v>
      </c>
      <c r="T7150">
        <v>28</v>
      </c>
      <c r="U7150">
        <v>798.978886109683</v>
      </c>
      <c r="V7150">
        <v>3.2743942370661401E-3</v>
      </c>
      <c r="W7150">
        <v>2605808.6104555898</v>
      </c>
      <c r="X7150" t="s">
        <v>31</v>
      </c>
      <c r="Y7150">
        <f>1-415-943-5833</f>
        <v>-7190</v>
      </c>
    </row>
    <row r="7151" spans="1:25" x14ac:dyDescent="0.35">
      <c r="A7151">
        <v>33.530827374588704</v>
      </c>
      <c r="B7151">
        <v>-115.58545435062101</v>
      </c>
      <c r="C7151" t="s">
        <v>29</v>
      </c>
      <c r="D7151">
        <v>21.156248459393399</v>
      </c>
      <c r="E7151">
        <v>4</v>
      </c>
      <c r="F7151">
        <v>2215</v>
      </c>
      <c r="G7151">
        <v>1</v>
      </c>
      <c r="H7151">
        <v>2</v>
      </c>
      <c r="I7151">
        <v>2004</v>
      </c>
      <c r="J7151">
        <v>0</v>
      </c>
      <c r="K7151">
        <v>1</v>
      </c>
      <c r="L7151">
        <v>1</v>
      </c>
      <c r="M7151">
        <v>2</v>
      </c>
      <c r="N7151" t="s">
        <v>35</v>
      </c>
      <c r="O7151" t="s">
        <v>27</v>
      </c>
      <c r="P7151">
        <v>4.7365957717683802</v>
      </c>
      <c r="Q7151">
        <v>0.581494174217558</v>
      </c>
      <c r="R7151">
        <v>4.3802401413535099</v>
      </c>
      <c r="S7151">
        <v>147</v>
      </c>
      <c r="T7151">
        <v>38</v>
      </c>
      <c r="U7151">
        <v>593.35880749992805</v>
      </c>
      <c r="V7151">
        <v>9.0293453724604896E-4</v>
      </c>
      <c r="W7151">
        <v>1596794.6312382401</v>
      </c>
      <c r="X7151" t="s">
        <v>42</v>
      </c>
      <c r="Y7151">
        <f>1-964-414-4164</f>
        <v>-5541</v>
      </c>
    </row>
    <row r="7152" spans="1:25" x14ac:dyDescent="0.35">
      <c r="A7152">
        <v>38.186551590019398</v>
      </c>
      <c r="B7152">
        <v>-123.356458540479</v>
      </c>
      <c r="C7152" t="s">
        <v>34</v>
      </c>
      <c r="D7152">
        <v>46.680533561807003</v>
      </c>
      <c r="E7152">
        <v>5</v>
      </c>
      <c r="F7152">
        <v>2879</v>
      </c>
      <c r="G7152">
        <v>1</v>
      </c>
      <c r="H7152">
        <v>2</v>
      </c>
      <c r="I7152">
        <v>1978</v>
      </c>
      <c r="J7152">
        <v>0</v>
      </c>
      <c r="K7152">
        <v>0</v>
      </c>
      <c r="L7152">
        <v>1</v>
      </c>
      <c r="M7152">
        <v>3</v>
      </c>
      <c r="N7152" t="s">
        <v>37</v>
      </c>
      <c r="O7152" t="s">
        <v>27</v>
      </c>
      <c r="P7152">
        <v>11.7112857187962</v>
      </c>
      <c r="Q7152">
        <v>1.2712958478095</v>
      </c>
      <c r="R7152">
        <v>3.87872161567656</v>
      </c>
      <c r="S7152">
        <v>136</v>
      </c>
      <c r="T7152">
        <v>28</v>
      </c>
      <c r="U7152">
        <v>661.20979188237504</v>
      </c>
      <c r="V7152">
        <v>1.04202848211184E-3</v>
      </c>
      <c r="W7152">
        <v>2031968.1160984701</v>
      </c>
      <c r="X7152" t="s">
        <v>28</v>
      </c>
      <c r="Y7152">
        <f>1-951-689-8579</f>
        <v>-10218</v>
      </c>
    </row>
    <row r="7153" spans="1:25" x14ac:dyDescent="0.35">
      <c r="A7153">
        <v>41.3877662215748</v>
      </c>
      <c r="B7153">
        <v>-115.224711523587</v>
      </c>
      <c r="C7153" t="s">
        <v>34</v>
      </c>
      <c r="D7153">
        <v>33.724193332029202</v>
      </c>
      <c r="E7153">
        <v>3</v>
      </c>
      <c r="F7153">
        <v>3297</v>
      </c>
      <c r="G7153">
        <v>4</v>
      </c>
      <c r="H7153">
        <v>2</v>
      </c>
      <c r="I7153">
        <v>1979</v>
      </c>
      <c r="J7153">
        <v>1</v>
      </c>
      <c r="K7153">
        <v>0</v>
      </c>
      <c r="L7153">
        <v>1</v>
      </c>
      <c r="M7153">
        <v>2</v>
      </c>
      <c r="N7153" t="s">
        <v>26</v>
      </c>
      <c r="O7153" t="s">
        <v>30</v>
      </c>
      <c r="P7153">
        <v>14.368887100631801</v>
      </c>
      <c r="Q7153">
        <v>1.1911169370182999</v>
      </c>
      <c r="R7153">
        <v>7.3745745128494402</v>
      </c>
      <c r="S7153">
        <v>156</v>
      </c>
      <c r="T7153">
        <v>25</v>
      </c>
      <c r="U7153">
        <v>939.47399708422597</v>
      </c>
      <c r="V7153">
        <v>6.0661207158022403E-4</v>
      </c>
      <c r="W7153">
        <v>3439618.1087621101</v>
      </c>
      <c r="X7153" t="s">
        <v>36</v>
      </c>
      <c r="Y7153">
        <f>1-777-931-8101</f>
        <v>-9808</v>
      </c>
    </row>
    <row r="7154" spans="1:25" x14ac:dyDescent="0.35">
      <c r="A7154">
        <v>37.585659748485298</v>
      </c>
      <c r="B7154">
        <v>-115.659831342738</v>
      </c>
      <c r="C7154" t="s">
        <v>34</v>
      </c>
      <c r="D7154">
        <v>19.288935309854899</v>
      </c>
      <c r="E7154">
        <v>4</v>
      </c>
      <c r="F7154">
        <v>4446</v>
      </c>
      <c r="G7154">
        <v>5</v>
      </c>
      <c r="H7154">
        <v>2</v>
      </c>
      <c r="I7154">
        <v>1956</v>
      </c>
      <c r="J7154">
        <v>0</v>
      </c>
      <c r="K7154">
        <v>0</v>
      </c>
      <c r="L7154">
        <v>1</v>
      </c>
      <c r="M7154">
        <v>6</v>
      </c>
      <c r="N7154" t="s">
        <v>41</v>
      </c>
      <c r="O7154" t="s">
        <v>32</v>
      </c>
      <c r="P7154">
        <v>6.0247891804788303</v>
      </c>
      <c r="Q7154">
        <v>0.90112544042976905</v>
      </c>
      <c r="R7154">
        <v>0.49863309378017401</v>
      </c>
      <c r="S7154">
        <v>2</v>
      </c>
      <c r="T7154">
        <v>42</v>
      </c>
      <c r="U7154">
        <v>287.97634772100702</v>
      </c>
      <c r="V7154">
        <v>1.3495276653171301E-3</v>
      </c>
      <c r="W7154">
        <v>1637133.10255027</v>
      </c>
      <c r="X7154" t="s">
        <v>31</v>
      </c>
      <c r="Y7154">
        <f>1-736-314-9816</f>
        <v>-10865</v>
      </c>
    </row>
    <row r="7155" spans="1:25" x14ac:dyDescent="0.35">
      <c r="A7155">
        <v>38.021557008294998</v>
      </c>
      <c r="B7155">
        <v>-114.806594484481</v>
      </c>
      <c r="C7155" t="s">
        <v>29</v>
      </c>
      <c r="D7155">
        <v>23.374223513580201</v>
      </c>
      <c r="E7155">
        <v>1</v>
      </c>
      <c r="F7155">
        <v>3709</v>
      </c>
      <c r="G7155">
        <v>2</v>
      </c>
      <c r="H7155">
        <v>3</v>
      </c>
      <c r="I7155">
        <v>1981</v>
      </c>
      <c r="J7155">
        <v>0</v>
      </c>
      <c r="K7155">
        <v>0</v>
      </c>
      <c r="L7155">
        <v>1</v>
      </c>
      <c r="M7155">
        <v>4</v>
      </c>
      <c r="N7155" t="s">
        <v>37</v>
      </c>
      <c r="O7155" t="s">
        <v>27</v>
      </c>
      <c r="P7155">
        <v>3.23455662591667</v>
      </c>
      <c r="Q7155">
        <v>0.63139290528951597</v>
      </c>
      <c r="R7155">
        <v>6.7856007827678102</v>
      </c>
      <c r="S7155">
        <v>55</v>
      </c>
      <c r="T7155">
        <v>60</v>
      </c>
      <c r="U7155">
        <v>454.96828431013301</v>
      </c>
      <c r="V7155">
        <v>1.0784578053383599E-3</v>
      </c>
      <c r="W7155">
        <v>1787733.4187427899</v>
      </c>
      <c r="X7155" t="s">
        <v>31</v>
      </c>
      <c r="Y7155">
        <f>1-409-795-1745</f>
        <v>-2948</v>
      </c>
    </row>
    <row r="7156" spans="1:25" x14ac:dyDescent="0.35">
      <c r="A7156">
        <v>39.357794235519101</v>
      </c>
      <c r="B7156">
        <v>-115.440272038475</v>
      </c>
      <c r="C7156" t="s">
        <v>29</v>
      </c>
      <c r="D7156">
        <v>12.201158824929299</v>
      </c>
      <c r="E7156">
        <v>3</v>
      </c>
      <c r="F7156">
        <v>3728</v>
      </c>
      <c r="G7156">
        <v>2</v>
      </c>
      <c r="H7156">
        <v>1</v>
      </c>
      <c r="I7156">
        <v>1957</v>
      </c>
      <c r="J7156">
        <v>1</v>
      </c>
      <c r="K7156">
        <v>0</v>
      </c>
      <c r="L7156">
        <v>0</v>
      </c>
      <c r="M7156">
        <v>4</v>
      </c>
      <c r="N7156" t="s">
        <v>37</v>
      </c>
      <c r="O7156" t="s">
        <v>32</v>
      </c>
      <c r="P7156">
        <v>13.484492468132901</v>
      </c>
      <c r="Q7156">
        <v>2.2078601750270801</v>
      </c>
      <c r="R7156">
        <v>2.3964006073023301</v>
      </c>
      <c r="S7156">
        <v>34</v>
      </c>
      <c r="T7156">
        <v>66</v>
      </c>
      <c r="U7156">
        <v>799.13326810912099</v>
      </c>
      <c r="V7156">
        <v>1.0729613733905499E-3</v>
      </c>
      <c r="W7156">
        <v>3181824.98722379</v>
      </c>
      <c r="X7156" t="s">
        <v>40</v>
      </c>
      <c r="Y7156">
        <f>1-248-431-5637</f>
        <v>-6315</v>
      </c>
    </row>
    <row r="7157" spans="1:25" x14ac:dyDescent="0.35">
      <c r="A7157">
        <v>38.0095667682425</v>
      </c>
      <c r="B7157">
        <v>-118.95783293375899</v>
      </c>
      <c r="C7157" t="s">
        <v>34</v>
      </c>
      <c r="D7157">
        <v>37.278968417730702</v>
      </c>
      <c r="E7157">
        <v>9</v>
      </c>
      <c r="F7157">
        <v>3378</v>
      </c>
      <c r="G7157">
        <v>5</v>
      </c>
      <c r="H7157">
        <v>3</v>
      </c>
      <c r="I7157">
        <v>2010</v>
      </c>
      <c r="J7157">
        <v>0</v>
      </c>
      <c r="K7157">
        <v>1</v>
      </c>
      <c r="L7157">
        <v>1</v>
      </c>
      <c r="M7157">
        <v>5</v>
      </c>
      <c r="N7157" t="s">
        <v>37</v>
      </c>
      <c r="O7157" t="s">
        <v>30</v>
      </c>
      <c r="P7157">
        <v>6.5678843343020201</v>
      </c>
      <c r="Q7157">
        <v>2.1086697715258498</v>
      </c>
      <c r="R7157">
        <v>4.56223207908665</v>
      </c>
      <c r="S7157">
        <v>11</v>
      </c>
      <c r="T7157">
        <v>52</v>
      </c>
      <c r="U7157">
        <v>383.04183338044299</v>
      </c>
      <c r="V7157">
        <v>1.48016577856719E-3</v>
      </c>
      <c r="W7157">
        <v>1777932.36496248</v>
      </c>
      <c r="X7157" t="s">
        <v>40</v>
      </c>
      <c r="Y7157">
        <f>1-614-721-2799</f>
        <v>-4133</v>
      </c>
    </row>
    <row r="7158" spans="1:25" x14ac:dyDescent="0.35">
      <c r="A7158">
        <v>35.2058000502754</v>
      </c>
      <c r="B7158">
        <v>-118.155828367803</v>
      </c>
      <c r="C7158" t="s">
        <v>25</v>
      </c>
      <c r="D7158">
        <v>1.06873864947185</v>
      </c>
      <c r="E7158">
        <v>3</v>
      </c>
      <c r="F7158">
        <v>4505</v>
      </c>
      <c r="G7158">
        <v>2</v>
      </c>
      <c r="H7158">
        <v>1</v>
      </c>
      <c r="I7158">
        <v>1981</v>
      </c>
      <c r="J7158">
        <v>0</v>
      </c>
      <c r="K7158">
        <v>1</v>
      </c>
      <c r="L7158">
        <v>1</v>
      </c>
      <c r="M7158">
        <v>10</v>
      </c>
      <c r="N7158" t="s">
        <v>35</v>
      </c>
      <c r="O7158" t="s">
        <v>27</v>
      </c>
      <c r="P7158">
        <v>14.9476410116728</v>
      </c>
      <c r="Q7158">
        <v>0.87953077188133599</v>
      </c>
      <c r="R7158">
        <v>8.5183935016977408</v>
      </c>
      <c r="S7158">
        <v>47</v>
      </c>
      <c r="T7158">
        <v>78</v>
      </c>
      <c r="U7158">
        <v>744.85349024311404</v>
      </c>
      <c r="V7158">
        <v>2.2197558268590399E-3</v>
      </c>
      <c r="W7158">
        <v>3609262.84110191</v>
      </c>
      <c r="X7158" t="s">
        <v>39</v>
      </c>
      <c r="Y7158">
        <f>1-622-443-2679</f>
        <v>-3743</v>
      </c>
    </row>
    <row r="7159" spans="1:25" x14ac:dyDescent="0.35">
      <c r="A7159">
        <v>33.806082142754903</v>
      </c>
      <c r="B7159">
        <v>-118.859650417986</v>
      </c>
      <c r="C7159" t="s">
        <v>34</v>
      </c>
      <c r="D7159">
        <v>23.710195266252601</v>
      </c>
      <c r="E7159">
        <v>7</v>
      </c>
      <c r="F7159">
        <v>654</v>
      </c>
      <c r="G7159">
        <v>1</v>
      </c>
      <c r="H7159">
        <v>2</v>
      </c>
      <c r="I7159">
        <v>2014</v>
      </c>
      <c r="J7159">
        <v>0</v>
      </c>
      <c r="K7159">
        <v>0</v>
      </c>
      <c r="L7159">
        <v>0</v>
      </c>
      <c r="M7159">
        <v>8</v>
      </c>
      <c r="N7159" t="s">
        <v>26</v>
      </c>
      <c r="O7159" t="s">
        <v>32</v>
      </c>
      <c r="P7159">
        <v>2.5621461619052499</v>
      </c>
      <c r="Q7159">
        <v>1.8754322903958001</v>
      </c>
      <c r="R7159">
        <v>3.9949493245481702</v>
      </c>
      <c r="S7159">
        <v>155</v>
      </c>
      <c r="T7159">
        <v>47</v>
      </c>
      <c r="U7159">
        <v>397.449924350733</v>
      </c>
      <c r="V7159">
        <v>1.22324159021406E-2</v>
      </c>
      <c r="W7159">
        <v>238383.969067973</v>
      </c>
      <c r="X7159" t="s">
        <v>43</v>
      </c>
      <c r="Y7159">
        <f>1-891-680-8821</f>
        <v>-10391</v>
      </c>
    </row>
    <row r="7160" spans="1:25" x14ac:dyDescent="0.35">
      <c r="A7160">
        <v>34.617466197920201</v>
      </c>
      <c r="B7160">
        <v>-116.915847088731</v>
      </c>
      <c r="C7160" t="s">
        <v>29</v>
      </c>
      <c r="D7160">
        <v>29.265093051926499</v>
      </c>
      <c r="E7160">
        <v>6</v>
      </c>
      <c r="F7160">
        <v>4748</v>
      </c>
      <c r="G7160">
        <v>4</v>
      </c>
      <c r="H7160">
        <v>3</v>
      </c>
      <c r="I7160">
        <v>1997</v>
      </c>
      <c r="J7160">
        <v>0</v>
      </c>
      <c r="K7160">
        <v>1</v>
      </c>
      <c r="L7160">
        <v>0</v>
      </c>
      <c r="M7160">
        <v>9</v>
      </c>
      <c r="N7160" t="s">
        <v>26</v>
      </c>
      <c r="O7160" t="s">
        <v>32</v>
      </c>
      <c r="P7160">
        <v>9.1866706337926001</v>
      </c>
      <c r="Q7160">
        <v>0.57828316687347203</v>
      </c>
      <c r="R7160">
        <v>3.8200478385081</v>
      </c>
      <c r="S7160">
        <v>110</v>
      </c>
      <c r="T7160">
        <v>70</v>
      </c>
      <c r="U7160">
        <v>917.48187928186303</v>
      </c>
      <c r="V7160">
        <v>1.8955349620893001E-3</v>
      </c>
      <c r="W7160">
        <v>4647612.3874461204</v>
      </c>
      <c r="X7160" t="s">
        <v>44</v>
      </c>
      <c r="Y7160">
        <f>1-603-282-8544</f>
        <v>-9428</v>
      </c>
    </row>
    <row r="7161" spans="1:25" x14ac:dyDescent="0.35">
      <c r="A7161">
        <v>40.943022764541801</v>
      </c>
      <c r="B7161">
        <v>-122.590227075507</v>
      </c>
      <c r="C7161" t="s">
        <v>25</v>
      </c>
      <c r="D7161">
        <v>34.402163344183101</v>
      </c>
      <c r="E7161">
        <v>3</v>
      </c>
      <c r="F7161">
        <v>1370</v>
      </c>
      <c r="G7161">
        <v>3</v>
      </c>
      <c r="H7161">
        <v>3</v>
      </c>
      <c r="I7161">
        <v>1950</v>
      </c>
      <c r="J7161">
        <v>0</v>
      </c>
      <c r="K7161">
        <v>0</v>
      </c>
      <c r="L7161">
        <v>1</v>
      </c>
      <c r="M7161">
        <v>5</v>
      </c>
      <c r="N7161" t="s">
        <v>37</v>
      </c>
      <c r="O7161" t="s">
        <v>32</v>
      </c>
      <c r="P7161">
        <v>11.789955811796499</v>
      </c>
      <c r="Q7161">
        <v>1.40908970636316</v>
      </c>
      <c r="R7161">
        <v>6.4236390373376704</v>
      </c>
      <c r="S7161">
        <v>194</v>
      </c>
      <c r="T7161">
        <v>29</v>
      </c>
      <c r="U7161">
        <v>665.26650290056602</v>
      </c>
      <c r="V7161">
        <v>3.6496350364963498E-3</v>
      </c>
      <c r="W7161">
        <v>1099538.52979071</v>
      </c>
      <c r="X7161" t="s">
        <v>36</v>
      </c>
      <c r="Y7161">
        <f>1-223-489-8213</f>
        <v>-8924</v>
      </c>
    </row>
    <row r="7162" spans="1:25" x14ac:dyDescent="0.35">
      <c r="A7162">
        <v>41.330084220031097</v>
      </c>
      <c r="B7162">
        <v>-118.679077802846</v>
      </c>
      <c r="C7162" t="s">
        <v>29</v>
      </c>
      <c r="D7162">
        <v>22.773842609307099</v>
      </c>
      <c r="E7162">
        <v>0</v>
      </c>
      <c r="F7162">
        <v>2281</v>
      </c>
      <c r="G7162">
        <v>5</v>
      </c>
      <c r="H7162">
        <v>1</v>
      </c>
      <c r="I7162">
        <v>2013</v>
      </c>
      <c r="J7162">
        <v>1</v>
      </c>
      <c r="K7162">
        <v>0</v>
      </c>
      <c r="L7162">
        <v>0</v>
      </c>
      <c r="M7162">
        <v>4</v>
      </c>
      <c r="N7162" t="s">
        <v>26</v>
      </c>
      <c r="O7162" t="s">
        <v>27</v>
      </c>
      <c r="P7162">
        <v>12.0562172116891</v>
      </c>
      <c r="Q7162">
        <v>0.85619366026727795</v>
      </c>
      <c r="R7162">
        <v>2.36306898995046</v>
      </c>
      <c r="S7162">
        <v>132</v>
      </c>
      <c r="T7162">
        <v>35</v>
      </c>
      <c r="U7162">
        <v>463.90469525395798</v>
      </c>
      <c r="V7162">
        <v>1.7536168347216099E-3</v>
      </c>
      <c r="W7162">
        <v>1368297.8442758899</v>
      </c>
      <c r="X7162" t="s">
        <v>28</v>
      </c>
      <c r="Y7162">
        <f>1-874-137-8030</f>
        <v>-9040</v>
      </c>
    </row>
    <row r="7163" spans="1:25" x14ac:dyDescent="0.35">
      <c r="A7163">
        <v>36.473773636103402</v>
      </c>
      <c r="B7163">
        <v>-116.59805873539599</v>
      </c>
      <c r="C7163" t="s">
        <v>25</v>
      </c>
      <c r="D7163">
        <v>25.351122373666598</v>
      </c>
      <c r="E7163">
        <v>7</v>
      </c>
      <c r="F7163">
        <v>2386</v>
      </c>
      <c r="G7163">
        <v>3</v>
      </c>
      <c r="H7163">
        <v>3</v>
      </c>
      <c r="I7163">
        <v>1955</v>
      </c>
      <c r="J7163">
        <v>1</v>
      </c>
      <c r="K7163">
        <v>0</v>
      </c>
      <c r="L7163">
        <v>1</v>
      </c>
      <c r="M7163">
        <v>11</v>
      </c>
      <c r="N7163" t="s">
        <v>26</v>
      </c>
      <c r="O7163" t="s">
        <v>32</v>
      </c>
      <c r="P7163">
        <v>12.8820695798975</v>
      </c>
      <c r="Q7163">
        <v>2.0925386421807302</v>
      </c>
      <c r="R7163">
        <v>3.8378987459940102</v>
      </c>
      <c r="S7163">
        <v>172</v>
      </c>
      <c r="T7163">
        <v>49</v>
      </c>
      <c r="U7163">
        <v>503.12476512109401</v>
      </c>
      <c r="V7163">
        <v>4.6102263202011697E-3</v>
      </c>
      <c r="W7163">
        <v>1494130.5382930001</v>
      </c>
      <c r="X7163" t="s">
        <v>38</v>
      </c>
      <c r="Y7163">
        <f>1-522-757-9320</f>
        <v>-10598</v>
      </c>
    </row>
    <row r="7164" spans="1:25" x14ac:dyDescent="0.35">
      <c r="A7164">
        <v>40.354066181525603</v>
      </c>
      <c r="B7164">
        <v>-118.499816535264</v>
      </c>
      <c r="C7164" t="s">
        <v>29</v>
      </c>
      <c r="D7164">
        <v>34.626671112361102</v>
      </c>
      <c r="E7164">
        <v>4</v>
      </c>
      <c r="F7164">
        <v>4782</v>
      </c>
      <c r="G7164">
        <v>1</v>
      </c>
      <c r="H7164">
        <v>2</v>
      </c>
      <c r="I7164">
        <v>1999</v>
      </c>
      <c r="J7164">
        <v>1</v>
      </c>
      <c r="K7164">
        <v>0</v>
      </c>
      <c r="L7164">
        <v>0</v>
      </c>
      <c r="M7164">
        <v>14</v>
      </c>
      <c r="N7164" t="s">
        <v>37</v>
      </c>
      <c r="O7164" t="s">
        <v>32</v>
      </c>
      <c r="P7164">
        <v>2.5484581183563901</v>
      </c>
      <c r="Q7164">
        <v>2.4112319881227502</v>
      </c>
      <c r="R7164">
        <v>7.1281526331085701</v>
      </c>
      <c r="S7164">
        <v>41</v>
      </c>
      <c r="T7164">
        <v>49</v>
      </c>
      <c r="U7164">
        <v>994.49403948874203</v>
      </c>
      <c r="V7164">
        <v>2.9276453366792101E-3</v>
      </c>
      <c r="W7164">
        <v>4828098.7299606502</v>
      </c>
      <c r="X7164" t="s">
        <v>43</v>
      </c>
      <c r="Y7164">
        <f>1-719-453-2319</f>
        <v>-3490</v>
      </c>
    </row>
    <row r="7165" spans="1:25" x14ac:dyDescent="0.35">
      <c r="A7165">
        <v>39.766260817082802</v>
      </c>
      <c r="B7165">
        <v>-116.519842299215</v>
      </c>
      <c r="C7165" t="s">
        <v>34</v>
      </c>
      <c r="D7165">
        <v>4.6318241986094701</v>
      </c>
      <c r="E7165">
        <v>5</v>
      </c>
      <c r="F7165">
        <v>2225</v>
      </c>
      <c r="G7165">
        <v>4</v>
      </c>
      <c r="H7165">
        <v>3</v>
      </c>
      <c r="I7165">
        <v>1986</v>
      </c>
      <c r="J7165">
        <v>1</v>
      </c>
      <c r="K7165">
        <v>0</v>
      </c>
      <c r="L7165">
        <v>1</v>
      </c>
      <c r="M7165">
        <v>7</v>
      </c>
      <c r="N7165" t="s">
        <v>37</v>
      </c>
      <c r="O7165" t="s">
        <v>30</v>
      </c>
      <c r="P7165">
        <v>5.2679889319095103</v>
      </c>
      <c r="Q7165">
        <v>1.1102137529833001</v>
      </c>
      <c r="R7165">
        <v>5.3343857327353597</v>
      </c>
      <c r="S7165">
        <v>19</v>
      </c>
      <c r="T7165">
        <v>35</v>
      </c>
      <c r="U7165">
        <v>874.55727631767695</v>
      </c>
      <c r="V7165">
        <v>3.1460674157303302E-3</v>
      </c>
      <c r="W7165">
        <v>2275965.6915342999</v>
      </c>
      <c r="X7165" t="s">
        <v>42</v>
      </c>
      <c r="Y7165">
        <f>1-696-692-5347</f>
        <v>-6734</v>
      </c>
    </row>
    <row r="7166" spans="1:25" x14ac:dyDescent="0.35">
      <c r="A7166">
        <v>38.924822737286902</v>
      </c>
      <c r="B7166">
        <v>-124.166091528338</v>
      </c>
      <c r="C7166" t="s">
        <v>29</v>
      </c>
      <c r="D7166">
        <v>19.254633504428199</v>
      </c>
      <c r="E7166">
        <v>1</v>
      </c>
      <c r="F7166">
        <v>1575</v>
      </c>
      <c r="G7166">
        <v>3</v>
      </c>
      <c r="H7166">
        <v>3</v>
      </c>
      <c r="I7166">
        <v>2020</v>
      </c>
      <c r="J7166">
        <v>0</v>
      </c>
      <c r="K7166">
        <v>1</v>
      </c>
      <c r="L7166">
        <v>1</v>
      </c>
      <c r="M7166">
        <v>12</v>
      </c>
      <c r="N7166" t="s">
        <v>41</v>
      </c>
      <c r="O7166" t="s">
        <v>27</v>
      </c>
      <c r="P7166">
        <v>7.8943395060342096</v>
      </c>
      <c r="Q7166">
        <v>1.1828074043238099</v>
      </c>
      <c r="R7166">
        <v>2.0933558377799302</v>
      </c>
      <c r="S7166">
        <v>104</v>
      </c>
      <c r="T7166">
        <v>70</v>
      </c>
      <c r="U7166">
        <v>965.78316651441298</v>
      </c>
      <c r="V7166">
        <v>7.6190476190476104E-3</v>
      </c>
      <c r="W7166">
        <v>2016204.9173775001</v>
      </c>
      <c r="X7166" t="s">
        <v>33</v>
      </c>
      <c r="Y7166">
        <f>1-904-111-1999</f>
        <v>-3013</v>
      </c>
    </row>
    <row r="7167" spans="1:25" x14ac:dyDescent="0.35">
      <c r="A7167">
        <v>38.539373494282998</v>
      </c>
      <c r="B7167">
        <v>-114.403425876762</v>
      </c>
      <c r="C7167" t="s">
        <v>34</v>
      </c>
      <c r="D7167">
        <v>25.3952996836348</v>
      </c>
      <c r="E7167">
        <v>3</v>
      </c>
      <c r="F7167">
        <v>562</v>
      </c>
      <c r="G7167">
        <v>4</v>
      </c>
      <c r="H7167">
        <v>1</v>
      </c>
      <c r="I7167">
        <v>1958</v>
      </c>
      <c r="J7167">
        <v>0</v>
      </c>
      <c r="K7167">
        <v>1</v>
      </c>
      <c r="L7167">
        <v>1</v>
      </c>
      <c r="M7167">
        <v>11</v>
      </c>
      <c r="N7167" t="s">
        <v>41</v>
      </c>
      <c r="O7167" t="s">
        <v>27</v>
      </c>
      <c r="P7167">
        <v>10.364701913444501</v>
      </c>
      <c r="Q7167">
        <v>0.90699236922278903</v>
      </c>
      <c r="R7167">
        <v>7.76957232357897</v>
      </c>
      <c r="S7167">
        <v>197</v>
      </c>
      <c r="T7167">
        <v>46</v>
      </c>
      <c r="U7167">
        <v>549.09590454031002</v>
      </c>
      <c r="V7167">
        <v>1.95729537366548E-2</v>
      </c>
      <c r="W7167">
        <v>576102.26806864003</v>
      </c>
      <c r="X7167" t="s">
        <v>39</v>
      </c>
      <c r="Y7167">
        <f>1-558-108-3257</f>
        <v>-3922</v>
      </c>
    </row>
    <row r="7168" spans="1:25" x14ac:dyDescent="0.35">
      <c r="A7168">
        <v>34.3634216432729</v>
      </c>
      <c r="B7168">
        <v>-115.88048797195</v>
      </c>
      <c r="C7168" t="s">
        <v>34</v>
      </c>
      <c r="D7168">
        <v>2.0914104792564898</v>
      </c>
      <c r="E7168">
        <v>4</v>
      </c>
      <c r="F7168">
        <v>1354</v>
      </c>
      <c r="G7168">
        <v>1</v>
      </c>
      <c r="H7168">
        <v>1</v>
      </c>
      <c r="I7168">
        <v>2006</v>
      </c>
      <c r="J7168">
        <v>0</v>
      </c>
      <c r="K7168">
        <v>0</v>
      </c>
      <c r="L7168">
        <v>0</v>
      </c>
      <c r="M7168">
        <v>7</v>
      </c>
      <c r="N7168" t="s">
        <v>37</v>
      </c>
      <c r="O7168" t="s">
        <v>30</v>
      </c>
      <c r="P7168">
        <v>11.835321594596</v>
      </c>
      <c r="Q7168">
        <v>1.75264840289117</v>
      </c>
      <c r="R7168">
        <v>3.4444512642847802</v>
      </c>
      <c r="S7168">
        <v>112</v>
      </c>
      <c r="T7168">
        <v>36</v>
      </c>
      <c r="U7168">
        <v>330.09602164426298</v>
      </c>
      <c r="V7168">
        <v>5.1698670605612998E-3</v>
      </c>
      <c r="W7168">
        <v>498938.75322439999</v>
      </c>
      <c r="X7168" t="s">
        <v>44</v>
      </c>
      <c r="Y7168">
        <f>1-280-623-1249</f>
        <v>-2151</v>
      </c>
    </row>
    <row r="7169" spans="1:25" x14ac:dyDescent="0.35">
      <c r="A7169">
        <v>38.714423711743997</v>
      </c>
      <c r="B7169">
        <v>-115.496437782557</v>
      </c>
      <c r="C7169" t="s">
        <v>25</v>
      </c>
      <c r="D7169">
        <v>33.482916159352797</v>
      </c>
      <c r="E7169">
        <v>5</v>
      </c>
      <c r="F7169">
        <v>1835</v>
      </c>
      <c r="G7169">
        <v>3</v>
      </c>
      <c r="H7169">
        <v>1</v>
      </c>
      <c r="I7169">
        <v>1989</v>
      </c>
      <c r="J7169">
        <v>1</v>
      </c>
      <c r="K7169">
        <v>1</v>
      </c>
      <c r="L7169">
        <v>1</v>
      </c>
      <c r="M7169">
        <v>8</v>
      </c>
      <c r="N7169" t="s">
        <v>37</v>
      </c>
      <c r="O7169" t="s">
        <v>32</v>
      </c>
      <c r="P7169">
        <v>4.3635965841923303</v>
      </c>
      <c r="Q7169">
        <v>1.79769788613964</v>
      </c>
      <c r="R7169">
        <v>9.5829409731961093</v>
      </c>
      <c r="S7169">
        <v>99</v>
      </c>
      <c r="T7169">
        <v>53</v>
      </c>
      <c r="U7169">
        <v>951.98741572109395</v>
      </c>
      <c r="V7169">
        <v>4.3596730245231601E-3</v>
      </c>
      <c r="W7169">
        <v>2042773.34099161</v>
      </c>
      <c r="X7169" t="s">
        <v>36</v>
      </c>
      <c r="Y7169">
        <f>1-476-454-6468</f>
        <v>-7397</v>
      </c>
    </row>
    <row r="7170" spans="1:25" x14ac:dyDescent="0.35">
      <c r="A7170">
        <v>33.771217053237301</v>
      </c>
      <c r="B7170">
        <v>-117.028951373342</v>
      </c>
      <c r="C7170" t="s">
        <v>34</v>
      </c>
      <c r="D7170">
        <v>30.763601909826999</v>
      </c>
      <c r="E7170">
        <v>3</v>
      </c>
      <c r="F7170">
        <v>1519</v>
      </c>
      <c r="G7170">
        <v>2</v>
      </c>
      <c r="H7170">
        <v>2</v>
      </c>
      <c r="I7170">
        <v>1974</v>
      </c>
      <c r="J7170">
        <v>1</v>
      </c>
      <c r="K7170">
        <v>0</v>
      </c>
      <c r="L7170">
        <v>0</v>
      </c>
      <c r="M7170">
        <v>4</v>
      </c>
      <c r="N7170" t="s">
        <v>41</v>
      </c>
      <c r="O7170" t="s">
        <v>30</v>
      </c>
      <c r="P7170">
        <v>9.0165905125883494</v>
      </c>
      <c r="Q7170">
        <v>2.2028022500264699</v>
      </c>
      <c r="R7170">
        <v>5.6646023420540299</v>
      </c>
      <c r="S7170">
        <v>69</v>
      </c>
      <c r="T7170">
        <v>69</v>
      </c>
      <c r="U7170">
        <v>403.68283859061302</v>
      </c>
      <c r="V7170">
        <v>2.6333113890717498E-3</v>
      </c>
      <c r="W7170">
        <v>808002.88291408902</v>
      </c>
      <c r="X7170" t="s">
        <v>28</v>
      </c>
      <c r="Y7170">
        <f>1-814-596-3485</f>
        <v>-4894</v>
      </c>
    </row>
    <row r="7171" spans="1:25" x14ac:dyDescent="0.35">
      <c r="A7171">
        <v>39.911142790330601</v>
      </c>
      <c r="B7171">
        <v>-121.961228153542</v>
      </c>
      <c r="C7171" t="s">
        <v>25</v>
      </c>
      <c r="D7171">
        <v>43.754216598546201</v>
      </c>
      <c r="E7171">
        <v>2</v>
      </c>
      <c r="F7171">
        <v>4240</v>
      </c>
      <c r="G7171">
        <v>4</v>
      </c>
      <c r="H7171">
        <v>3</v>
      </c>
      <c r="I7171">
        <v>1966</v>
      </c>
      <c r="J7171">
        <v>1</v>
      </c>
      <c r="K7171">
        <v>0</v>
      </c>
      <c r="L7171">
        <v>0</v>
      </c>
      <c r="M7171">
        <v>14</v>
      </c>
      <c r="N7171" t="s">
        <v>37</v>
      </c>
      <c r="O7171" t="s">
        <v>27</v>
      </c>
      <c r="P7171">
        <v>12.353240747338001</v>
      </c>
      <c r="Q7171">
        <v>1.9897095370794899</v>
      </c>
      <c r="R7171">
        <v>6.5661944905551097</v>
      </c>
      <c r="S7171">
        <v>122</v>
      </c>
      <c r="T7171">
        <v>55</v>
      </c>
      <c r="U7171">
        <v>379.54037243358698</v>
      </c>
      <c r="V7171">
        <v>3.3018867924528299E-3</v>
      </c>
      <c r="W7171">
        <v>1953779.73447356</v>
      </c>
      <c r="X7171" t="s">
        <v>44</v>
      </c>
      <c r="Y7171">
        <f>1-589-802-1257</f>
        <v>-2647</v>
      </c>
    </row>
    <row r="7172" spans="1:25" x14ac:dyDescent="0.35">
      <c r="A7172">
        <v>34.777570716150599</v>
      </c>
      <c r="B7172">
        <v>-117.25765089965201</v>
      </c>
      <c r="C7172" t="s">
        <v>34</v>
      </c>
      <c r="D7172">
        <v>12.1727906964156</v>
      </c>
      <c r="E7172">
        <v>6</v>
      </c>
      <c r="F7172">
        <v>2938</v>
      </c>
      <c r="G7172">
        <v>1</v>
      </c>
      <c r="H7172">
        <v>2</v>
      </c>
      <c r="I7172">
        <v>2018</v>
      </c>
      <c r="J7172">
        <v>0</v>
      </c>
      <c r="K7172">
        <v>0</v>
      </c>
      <c r="L7172">
        <v>0</v>
      </c>
      <c r="M7172">
        <v>10</v>
      </c>
      <c r="N7172" t="s">
        <v>26</v>
      </c>
      <c r="O7172" t="s">
        <v>32</v>
      </c>
      <c r="P7172">
        <v>14.5218558602665</v>
      </c>
      <c r="Q7172">
        <v>0.74775974439495196</v>
      </c>
      <c r="R7172">
        <v>2.52530585326768</v>
      </c>
      <c r="S7172">
        <v>191</v>
      </c>
      <c r="T7172">
        <v>60</v>
      </c>
      <c r="U7172">
        <v>993.93863530463602</v>
      </c>
      <c r="V7172">
        <v>3.4036759700476499E-3</v>
      </c>
      <c r="W7172">
        <v>3163118.0644709799</v>
      </c>
      <c r="X7172" t="s">
        <v>39</v>
      </c>
      <c r="Y7172">
        <f>1-372-174-9390</f>
        <v>-9935</v>
      </c>
    </row>
    <row r="7173" spans="1:25" x14ac:dyDescent="0.35">
      <c r="A7173">
        <v>38.591167102593303</v>
      </c>
      <c r="B7173">
        <v>-118.120715793163</v>
      </c>
      <c r="C7173" t="s">
        <v>25</v>
      </c>
      <c r="D7173">
        <v>45.774609334898997</v>
      </c>
      <c r="E7173">
        <v>4</v>
      </c>
      <c r="F7173">
        <v>2941</v>
      </c>
      <c r="G7173">
        <v>5</v>
      </c>
      <c r="H7173">
        <v>1</v>
      </c>
      <c r="I7173">
        <v>2014</v>
      </c>
      <c r="J7173">
        <v>0</v>
      </c>
      <c r="K7173">
        <v>0</v>
      </c>
      <c r="L7173">
        <v>0</v>
      </c>
      <c r="M7173">
        <v>8</v>
      </c>
      <c r="N7173" t="s">
        <v>41</v>
      </c>
      <c r="O7173" t="s">
        <v>32</v>
      </c>
      <c r="P7173">
        <v>5.0454788332948901</v>
      </c>
      <c r="Q7173">
        <v>1.65119198646467</v>
      </c>
      <c r="R7173">
        <v>8.9271918020805003</v>
      </c>
      <c r="S7173">
        <v>137</v>
      </c>
      <c r="T7173">
        <v>32</v>
      </c>
      <c r="U7173">
        <v>838.93038662790298</v>
      </c>
      <c r="V7173">
        <v>2.7201632097925798E-3</v>
      </c>
      <c r="W7173">
        <v>2749287.02441194</v>
      </c>
      <c r="X7173" t="s">
        <v>33</v>
      </c>
      <c r="Y7173">
        <f>1-888-256-9587</f>
        <v>-10730</v>
      </c>
    </row>
    <row r="7174" spans="1:25" x14ac:dyDescent="0.35">
      <c r="A7174">
        <v>39.453508642840497</v>
      </c>
      <c r="B7174">
        <v>-115.539223635196</v>
      </c>
      <c r="C7174" t="s">
        <v>29</v>
      </c>
      <c r="D7174">
        <v>32.1543397632908</v>
      </c>
      <c r="E7174">
        <v>6</v>
      </c>
      <c r="F7174">
        <v>4285</v>
      </c>
      <c r="G7174">
        <v>1</v>
      </c>
      <c r="H7174">
        <v>2</v>
      </c>
      <c r="I7174">
        <v>2018</v>
      </c>
      <c r="J7174">
        <v>0</v>
      </c>
      <c r="K7174">
        <v>0</v>
      </c>
      <c r="L7174">
        <v>0</v>
      </c>
      <c r="M7174">
        <v>14</v>
      </c>
      <c r="N7174" t="s">
        <v>35</v>
      </c>
      <c r="O7174" t="s">
        <v>30</v>
      </c>
      <c r="P7174">
        <v>8.9711513186311098</v>
      </c>
      <c r="Q7174">
        <v>1.86528036005981</v>
      </c>
      <c r="R7174">
        <v>5.5095763307725703</v>
      </c>
      <c r="S7174">
        <v>111</v>
      </c>
      <c r="T7174">
        <v>61</v>
      </c>
      <c r="U7174">
        <v>412.39006053799301</v>
      </c>
      <c r="V7174">
        <v>3.2672112018669701E-3</v>
      </c>
      <c r="W7174">
        <v>1892040.9995234499</v>
      </c>
      <c r="X7174" t="s">
        <v>38</v>
      </c>
      <c r="Y7174">
        <f>1-464-586-3308</f>
        <v>-4357</v>
      </c>
    </row>
    <row r="7175" spans="1:25" x14ac:dyDescent="0.35">
      <c r="A7175">
        <v>40.228374111935601</v>
      </c>
      <c r="B7175">
        <v>-114.01145299119401</v>
      </c>
      <c r="C7175" t="s">
        <v>29</v>
      </c>
      <c r="D7175">
        <v>23.578150657414302</v>
      </c>
      <c r="E7175">
        <v>7</v>
      </c>
      <c r="F7175">
        <v>1050</v>
      </c>
      <c r="G7175">
        <v>4</v>
      </c>
      <c r="H7175">
        <v>2</v>
      </c>
      <c r="I7175">
        <v>1970</v>
      </c>
      <c r="J7175">
        <v>0</v>
      </c>
      <c r="K7175">
        <v>0</v>
      </c>
      <c r="L7175">
        <v>1</v>
      </c>
      <c r="M7175">
        <v>6</v>
      </c>
      <c r="N7175" t="s">
        <v>26</v>
      </c>
      <c r="O7175" t="s">
        <v>30</v>
      </c>
      <c r="P7175">
        <v>11.372160023257701</v>
      </c>
      <c r="Q7175">
        <v>1.88640222244878</v>
      </c>
      <c r="R7175">
        <v>0.70536042899540696</v>
      </c>
      <c r="S7175">
        <v>53</v>
      </c>
      <c r="T7175">
        <v>53</v>
      </c>
      <c r="U7175">
        <v>509.08061455324997</v>
      </c>
      <c r="V7175">
        <v>5.7142857142857099E-3</v>
      </c>
      <c r="W7175">
        <v>938561.31766508904</v>
      </c>
      <c r="X7175" t="s">
        <v>43</v>
      </c>
      <c r="Y7175">
        <f>1-514-905-5133</f>
        <v>-6551</v>
      </c>
    </row>
    <row r="7176" spans="1:25" x14ac:dyDescent="0.35">
      <c r="A7176">
        <v>34.264682574319203</v>
      </c>
      <c r="B7176">
        <v>-120.49554642352599</v>
      </c>
      <c r="C7176" t="s">
        <v>29</v>
      </c>
      <c r="D7176">
        <v>31.794071690174398</v>
      </c>
      <c r="E7176">
        <v>8</v>
      </c>
      <c r="F7176">
        <v>3729</v>
      </c>
      <c r="G7176">
        <v>4</v>
      </c>
      <c r="H7176">
        <v>2</v>
      </c>
      <c r="I7176">
        <v>2010</v>
      </c>
      <c r="J7176">
        <v>0</v>
      </c>
      <c r="K7176">
        <v>0</v>
      </c>
      <c r="L7176">
        <v>0</v>
      </c>
      <c r="M7176">
        <v>3</v>
      </c>
      <c r="N7176" t="s">
        <v>37</v>
      </c>
      <c r="O7176" t="s">
        <v>30</v>
      </c>
      <c r="P7176">
        <v>6.0890525129613504</v>
      </c>
      <c r="Q7176">
        <v>0.78098511686726402</v>
      </c>
      <c r="R7176">
        <v>4.47963439235125</v>
      </c>
      <c r="S7176">
        <v>188</v>
      </c>
      <c r="T7176">
        <v>20</v>
      </c>
      <c r="U7176">
        <v>803.46755861122904</v>
      </c>
      <c r="V7176">
        <v>8.0450522928398997E-4</v>
      </c>
      <c r="W7176">
        <v>3294939.7469828199</v>
      </c>
      <c r="X7176" t="s">
        <v>38</v>
      </c>
      <c r="Y7176">
        <f>1-591-600-5724</f>
        <v>-6914</v>
      </c>
    </row>
    <row r="7177" spans="1:25" x14ac:dyDescent="0.35">
      <c r="A7177">
        <v>41.113592247436301</v>
      </c>
      <c r="B7177">
        <v>-116.411995375629</v>
      </c>
      <c r="C7177" t="s">
        <v>34</v>
      </c>
      <c r="D7177">
        <v>46.9686394499724</v>
      </c>
      <c r="E7177">
        <v>6</v>
      </c>
      <c r="F7177">
        <v>3880</v>
      </c>
      <c r="G7177">
        <v>2</v>
      </c>
      <c r="H7177">
        <v>1</v>
      </c>
      <c r="I7177">
        <v>1991</v>
      </c>
      <c r="J7177">
        <v>1</v>
      </c>
      <c r="K7177">
        <v>0</v>
      </c>
      <c r="L7177">
        <v>0</v>
      </c>
      <c r="M7177">
        <v>5</v>
      </c>
      <c r="N7177" t="s">
        <v>35</v>
      </c>
      <c r="O7177" t="s">
        <v>32</v>
      </c>
      <c r="P7177">
        <v>12.3838752352485</v>
      </c>
      <c r="Q7177">
        <v>1.4897127854872301</v>
      </c>
      <c r="R7177">
        <v>7.2799103357052299</v>
      </c>
      <c r="S7177">
        <v>40</v>
      </c>
      <c r="T7177">
        <v>29</v>
      </c>
      <c r="U7177">
        <v>601.74703496415805</v>
      </c>
      <c r="V7177">
        <v>1.2886597938144299E-3</v>
      </c>
      <c r="W7177">
        <v>2530679.2218872202</v>
      </c>
      <c r="X7177" t="s">
        <v>36</v>
      </c>
      <c r="Y7177">
        <f>1-526-599-1741</f>
        <v>-2865</v>
      </c>
    </row>
    <row r="7178" spans="1:25" x14ac:dyDescent="0.35">
      <c r="A7178">
        <v>33.710987011658702</v>
      </c>
      <c r="B7178">
        <v>-115.371391780525</v>
      </c>
      <c r="C7178" t="s">
        <v>29</v>
      </c>
      <c r="D7178">
        <v>47.343392235098698</v>
      </c>
      <c r="E7178">
        <v>6</v>
      </c>
      <c r="F7178">
        <v>687</v>
      </c>
      <c r="G7178">
        <v>1</v>
      </c>
      <c r="H7178">
        <v>2</v>
      </c>
      <c r="I7178">
        <v>2017</v>
      </c>
      <c r="J7178">
        <v>0</v>
      </c>
      <c r="K7178">
        <v>0</v>
      </c>
      <c r="L7178">
        <v>1</v>
      </c>
      <c r="M7178">
        <v>6</v>
      </c>
      <c r="N7178" t="s">
        <v>26</v>
      </c>
      <c r="O7178" t="s">
        <v>30</v>
      </c>
      <c r="P7178">
        <v>13.382850429082399</v>
      </c>
      <c r="Q7178">
        <v>1.7011013661776599</v>
      </c>
      <c r="R7178">
        <v>7.8247723077587503</v>
      </c>
      <c r="S7178">
        <v>199</v>
      </c>
      <c r="T7178">
        <v>46</v>
      </c>
      <c r="U7178">
        <v>910.69330534165397</v>
      </c>
      <c r="V7178">
        <v>8.7336244541484694E-3</v>
      </c>
      <c r="W7178">
        <v>794236.74841309898</v>
      </c>
      <c r="X7178" t="s">
        <v>28</v>
      </c>
      <c r="Y7178">
        <f>1-946-865-7461</f>
        <v>-9271</v>
      </c>
    </row>
    <row r="7179" spans="1:25" x14ac:dyDescent="0.35">
      <c r="A7179">
        <v>33.795578725286497</v>
      </c>
      <c r="B7179">
        <v>-123.343222465946</v>
      </c>
      <c r="C7179" t="s">
        <v>25</v>
      </c>
      <c r="D7179">
        <v>44.747747575607399</v>
      </c>
      <c r="E7179">
        <v>1</v>
      </c>
      <c r="F7179">
        <v>2870</v>
      </c>
      <c r="G7179">
        <v>4</v>
      </c>
      <c r="H7179">
        <v>1</v>
      </c>
      <c r="I7179">
        <v>1995</v>
      </c>
      <c r="J7179">
        <v>0</v>
      </c>
      <c r="K7179">
        <v>1</v>
      </c>
      <c r="L7179">
        <v>0</v>
      </c>
      <c r="M7179">
        <v>13</v>
      </c>
      <c r="N7179" t="s">
        <v>37</v>
      </c>
      <c r="O7179" t="s">
        <v>32</v>
      </c>
      <c r="P7179">
        <v>9.2894504611395696</v>
      </c>
      <c r="Q7179">
        <v>0.55093764506966503</v>
      </c>
      <c r="R7179">
        <v>7.8894320577145196</v>
      </c>
      <c r="S7179">
        <v>52</v>
      </c>
      <c r="T7179">
        <v>34</v>
      </c>
      <c r="U7179">
        <v>340.92498152923099</v>
      </c>
      <c r="V7179">
        <v>4.5296167247386703E-3</v>
      </c>
      <c r="W7179">
        <v>1231270.67034425</v>
      </c>
      <c r="X7179" t="s">
        <v>38</v>
      </c>
      <c r="Y7179">
        <f>1-331-173-3558</f>
        <v>-4061</v>
      </c>
    </row>
    <row r="7180" spans="1:25" x14ac:dyDescent="0.35">
      <c r="A7180">
        <v>41.452212515970501</v>
      </c>
      <c r="B7180">
        <v>-114.216752457892</v>
      </c>
      <c r="C7180" t="s">
        <v>25</v>
      </c>
      <c r="D7180">
        <v>1.7352128697996601</v>
      </c>
      <c r="E7180">
        <v>8</v>
      </c>
      <c r="F7180">
        <v>2192</v>
      </c>
      <c r="G7180">
        <v>2</v>
      </c>
      <c r="H7180">
        <v>2</v>
      </c>
      <c r="I7180">
        <v>1992</v>
      </c>
      <c r="J7180">
        <v>0</v>
      </c>
      <c r="K7180">
        <v>1</v>
      </c>
      <c r="L7180">
        <v>0</v>
      </c>
      <c r="M7180">
        <v>8</v>
      </c>
      <c r="N7180" t="s">
        <v>37</v>
      </c>
      <c r="O7180" t="s">
        <v>30</v>
      </c>
      <c r="P7180">
        <v>11.581991341320499</v>
      </c>
      <c r="Q7180">
        <v>1.65381380476352</v>
      </c>
      <c r="R7180">
        <v>9.7970962030234503</v>
      </c>
      <c r="S7180">
        <v>197</v>
      </c>
      <c r="T7180">
        <v>74</v>
      </c>
      <c r="U7180">
        <v>876.12818069678099</v>
      </c>
      <c r="V7180">
        <v>3.6496350364963498E-3</v>
      </c>
      <c r="W7180">
        <v>2164671.8446572302</v>
      </c>
      <c r="X7180" t="s">
        <v>44</v>
      </c>
      <c r="Y7180">
        <f>1-260-662-4641</f>
        <v>-5562</v>
      </c>
    </row>
    <row r="7181" spans="1:25" x14ac:dyDescent="0.35">
      <c r="A7181">
        <v>34.377868839863197</v>
      </c>
      <c r="B7181">
        <v>-122.896839552386</v>
      </c>
      <c r="C7181" t="s">
        <v>25</v>
      </c>
      <c r="D7181">
        <v>38.985739657244302</v>
      </c>
      <c r="E7181">
        <v>7</v>
      </c>
      <c r="F7181">
        <v>2252</v>
      </c>
      <c r="G7181">
        <v>3</v>
      </c>
      <c r="H7181">
        <v>2</v>
      </c>
      <c r="I7181">
        <v>1980</v>
      </c>
      <c r="J7181">
        <v>1</v>
      </c>
      <c r="K7181">
        <v>0</v>
      </c>
      <c r="L7181">
        <v>0</v>
      </c>
      <c r="M7181">
        <v>12</v>
      </c>
      <c r="N7181" t="s">
        <v>35</v>
      </c>
      <c r="O7181" t="s">
        <v>27</v>
      </c>
      <c r="P7181">
        <v>6.3900378469916399</v>
      </c>
      <c r="Q7181">
        <v>1.09042479328018</v>
      </c>
      <c r="R7181">
        <v>4.5547594251935299</v>
      </c>
      <c r="S7181">
        <v>124</v>
      </c>
      <c r="T7181">
        <v>53</v>
      </c>
      <c r="U7181">
        <v>261.87769966212898</v>
      </c>
      <c r="V7181">
        <v>5.3285968028419098E-3</v>
      </c>
      <c r="W7181">
        <v>774255.93034385599</v>
      </c>
      <c r="X7181" t="s">
        <v>39</v>
      </c>
      <c r="Y7181">
        <f>1-522-208-2364</f>
        <v>-3093</v>
      </c>
    </row>
    <row r="7182" spans="1:25" x14ac:dyDescent="0.35">
      <c r="A7182">
        <v>36.907070217485803</v>
      </c>
      <c r="B7182">
        <v>-115.834790222045</v>
      </c>
      <c r="C7182" t="s">
        <v>25</v>
      </c>
      <c r="D7182">
        <v>32.4254615425399</v>
      </c>
      <c r="E7182">
        <v>5</v>
      </c>
      <c r="F7182">
        <v>3440</v>
      </c>
      <c r="G7182">
        <v>2</v>
      </c>
      <c r="H7182">
        <v>2</v>
      </c>
      <c r="I7182">
        <v>1966</v>
      </c>
      <c r="J7182">
        <v>0</v>
      </c>
      <c r="K7182">
        <v>1</v>
      </c>
      <c r="L7182">
        <v>1</v>
      </c>
      <c r="M7182">
        <v>13</v>
      </c>
      <c r="N7182" t="s">
        <v>35</v>
      </c>
      <c r="O7182" t="s">
        <v>32</v>
      </c>
      <c r="P7182">
        <v>9.7879459255582404</v>
      </c>
      <c r="Q7182">
        <v>0.55444577013822205</v>
      </c>
      <c r="R7182">
        <v>4.5188033342792204</v>
      </c>
      <c r="S7182">
        <v>162</v>
      </c>
      <c r="T7182">
        <v>41</v>
      </c>
      <c r="U7182">
        <v>278.63596571178698</v>
      </c>
      <c r="V7182">
        <v>3.77906976744186E-3</v>
      </c>
      <c r="W7182">
        <v>1167110.78067736</v>
      </c>
      <c r="X7182" t="s">
        <v>43</v>
      </c>
      <c r="Y7182">
        <f>1-983-955-2315</f>
        <v>-4252</v>
      </c>
    </row>
    <row r="7183" spans="1:25" x14ac:dyDescent="0.35">
      <c r="A7183">
        <v>38.639233481644297</v>
      </c>
      <c r="B7183">
        <v>-120.460254727791</v>
      </c>
      <c r="C7183" t="s">
        <v>34</v>
      </c>
      <c r="D7183">
        <v>15.3337716199305</v>
      </c>
      <c r="E7183">
        <v>3</v>
      </c>
      <c r="F7183">
        <v>4596</v>
      </c>
      <c r="G7183">
        <v>4</v>
      </c>
      <c r="H7183">
        <v>2</v>
      </c>
      <c r="I7183">
        <v>1997</v>
      </c>
      <c r="J7183">
        <v>0</v>
      </c>
      <c r="K7183">
        <v>0</v>
      </c>
      <c r="L7183">
        <v>1</v>
      </c>
      <c r="M7183">
        <v>8</v>
      </c>
      <c r="N7183" t="s">
        <v>41</v>
      </c>
      <c r="O7183" t="s">
        <v>32</v>
      </c>
      <c r="P7183">
        <v>4.1447122365352396</v>
      </c>
      <c r="Q7183">
        <v>2.1583438485471702</v>
      </c>
      <c r="R7183">
        <v>1.1013928919656499</v>
      </c>
      <c r="S7183">
        <v>163</v>
      </c>
      <c r="T7183">
        <v>21</v>
      </c>
      <c r="U7183">
        <v>705.45175513122695</v>
      </c>
      <c r="V7183">
        <v>1.7406440382941599E-3</v>
      </c>
      <c r="W7183">
        <v>3473447.1736521898</v>
      </c>
      <c r="X7183" t="s">
        <v>36</v>
      </c>
      <c r="Y7183">
        <f>1-816-400-6694</f>
        <v>-7909</v>
      </c>
    </row>
    <row r="7184" spans="1:25" x14ac:dyDescent="0.35">
      <c r="A7184">
        <v>35.927975056757397</v>
      </c>
      <c r="B7184">
        <v>-114.656098336089</v>
      </c>
      <c r="C7184" t="s">
        <v>29</v>
      </c>
      <c r="D7184">
        <v>2.7311072560868501</v>
      </c>
      <c r="E7184">
        <v>0</v>
      </c>
      <c r="F7184">
        <v>1466</v>
      </c>
      <c r="G7184">
        <v>5</v>
      </c>
      <c r="H7184">
        <v>2</v>
      </c>
      <c r="I7184">
        <v>1991</v>
      </c>
      <c r="J7184">
        <v>1</v>
      </c>
      <c r="K7184">
        <v>0</v>
      </c>
      <c r="L7184">
        <v>1</v>
      </c>
      <c r="M7184">
        <v>2</v>
      </c>
      <c r="N7184" t="s">
        <v>26</v>
      </c>
      <c r="O7184" t="s">
        <v>32</v>
      </c>
      <c r="P7184">
        <v>4.2980429362138999</v>
      </c>
      <c r="Q7184">
        <v>2.3901248896685998</v>
      </c>
      <c r="R7184">
        <v>2.40911682989256</v>
      </c>
      <c r="S7184">
        <v>95</v>
      </c>
      <c r="T7184">
        <v>24</v>
      </c>
      <c r="U7184">
        <v>313.951357856161</v>
      </c>
      <c r="V7184">
        <v>1.36425648021828E-3</v>
      </c>
      <c r="W7184">
        <v>800672.89877165901</v>
      </c>
      <c r="X7184" t="s">
        <v>33</v>
      </c>
      <c r="Y7184">
        <f>1-333-434-4690</f>
        <v>-5456</v>
      </c>
    </row>
    <row r="7185" spans="1:25" x14ac:dyDescent="0.35">
      <c r="A7185">
        <v>41.304972608855401</v>
      </c>
      <c r="B7185">
        <v>-116.521583325785</v>
      </c>
      <c r="C7185" t="s">
        <v>29</v>
      </c>
      <c r="D7185">
        <v>32.248081069795099</v>
      </c>
      <c r="E7185">
        <v>1</v>
      </c>
      <c r="F7185">
        <v>4043</v>
      </c>
      <c r="G7185">
        <v>1</v>
      </c>
      <c r="H7185">
        <v>1</v>
      </c>
      <c r="I7185">
        <v>1952</v>
      </c>
      <c r="J7185">
        <v>1</v>
      </c>
      <c r="K7185">
        <v>1</v>
      </c>
      <c r="L7185">
        <v>1</v>
      </c>
      <c r="M7185">
        <v>12</v>
      </c>
      <c r="N7185" t="s">
        <v>37</v>
      </c>
      <c r="O7185" t="s">
        <v>30</v>
      </c>
      <c r="P7185">
        <v>5.0006274807051696</v>
      </c>
      <c r="Q7185">
        <v>0.82285193951958102</v>
      </c>
      <c r="R7185">
        <v>1.2145924482677599</v>
      </c>
      <c r="S7185">
        <v>158</v>
      </c>
      <c r="T7185">
        <v>38</v>
      </c>
      <c r="U7185">
        <v>890.53145473327504</v>
      </c>
      <c r="V7185">
        <v>2.9680930002473401E-3</v>
      </c>
      <c r="W7185">
        <v>3688739.3533689901</v>
      </c>
      <c r="X7185" t="s">
        <v>44</v>
      </c>
      <c r="Y7185">
        <f>1-247-688-5305</f>
        <v>-6239</v>
      </c>
    </row>
    <row r="7186" spans="1:25" x14ac:dyDescent="0.35">
      <c r="A7186">
        <v>35.421018982543202</v>
      </c>
      <c r="B7186">
        <v>-118.921912833299</v>
      </c>
      <c r="C7186" t="s">
        <v>25</v>
      </c>
      <c r="D7186">
        <v>42.420131596908902</v>
      </c>
      <c r="E7186">
        <v>2</v>
      </c>
      <c r="F7186">
        <v>3696</v>
      </c>
      <c r="G7186">
        <v>1</v>
      </c>
      <c r="H7186">
        <v>2</v>
      </c>
      <c r="I7186">
        <v>1989</v>
      </c>
      <c r="J7186">
        <v>1</v>
      </c>
      <c r="K7186">
        <v>0</v>
      </c>
      <c r="L7186">
        <v>0</v>
      </c>
      <c r="M7186">
        <v>2</v>
      </c>
      <c r="N7186" t="s">
        <v>41</v>
      </c>
      <c r="O7186" t="s">
        <v>27</v>
      </c>
      <c r="P7186">
        <v>13.510305825942901</v>
      </c>
      <c r="Q7186">
        <v>2.3514948989797202</v>
      </c>
      <c r="R7186">
        <v>4.9564589511522801</v>
      </c>
      <c r="S7186">
        <v>149</v>
      </c>
      <c r="T7186">
        <v>72</v>
      </c>
      <c r="U7186">
        <v>945.78073694425598</v>
      </c>
      <c r="V7186">
        <v>5.4112554112554102E-4</v>
      </c>
      <c r="W7186">
        <v>3661206.5886264201</v>
      </c>
      <c r="X7186" t="s">
        <v>42</v>
      </c>
      <c r="Y7186">
        <f>1-743-389-8928</f>
        <v>-10059</v>
      </c>
    </row>
    <row r="7187" spans="1:25" x14ac:dyDescent="0.35">
      <c r="A7187">
        <v>38.371810884938398</v>
      </c>
      <c r="B7187">
        <v>-119.87588558822701</v>
      </c>
      <c r="C7187" t="s">
        <v>29</v>
      </c>
      <c r="D7187">
        <v>42.509879845309698</v>
      </c>
      <c r="E7187">
        <v>9</v>
      </c>
      <c r="F7187">
        <v>1018</v>
      </c>
      <c r="G7187">
        <v>4</v>
      </c>
      <c r="H7187">
        <v>2</v>
      </c>
      <c r="I7187">
        <v>2019</v>
      </c>
      <c r="J7187">
        <v>0</v>
      </c>
      <c r="K7187">
        <v>1</v>
      </c>
      <c r="L7187">
        <v>1</v>
      </c>
      <c r="M7187">
        <v>9</v>
      </c>
      <c r="N7187" t="s">
        <v>26</v>
      </c>
      <c r="O7187" t="s">
        <v>30</v>
      </c>
      <c r="P7187">
        <v>7.5257783076939502</v>
      </c>
      <c r="Q7187">
        <v>2.3429107166516001</v>
      </c>
      <c r="R7187">
        <v>5.9553805134529103</v>
      </c>
      <c r="S7187">
        <v>188</v>
      </c>
      <c r="T7187">
        <v>38</v>
      </c>
      <c r="U7187">
        <v>913.12169225542402</v>
      </c>
      <c r="V7187">
        <v>8.8408644400785798E-3</v>
      </c>
      <c r="W7187">
        <v>1274779.4674651299</v>
      </c>
      <c r="X7187" t="s">
        <v>31</v>
      </c>
      <c r="Y7187">
        <f>1-256-236-8734</f>
        <v>-9225</v>
      </c>
    </row>
    <row r="7188" spans="1:25" x14ac:dyDescent="0.35">
      <c r="A7188">
        <v>36.226147411577699</v>
      </c>
      <c r="B7188">
        <v>-115.570869546129</v>
      </c>
      <c r="C7188" t="s">
        <v>29</v>
      </c>
      <c r="D7188">
        <v>44.409441067987501</v>
      </c>
      <c r="E7188">
        <v>0</v>
      </c>
      <c r="F7188">
        <v>4771</v>
      </c>
      <c r="G7188">
        <v>2</v>
      </c>
      <c r="H7188">
        <v>2</v>
      </c>
      <c r="I7188">
        <v>2005</v>
      </c>
      <c r="J7188">
        <v>0</v>
      </c>
      <c r="K7188">
        <v>0</v>
      </c>
      <c r="L7188">
        <v>0</v>
      </c>
      <c r="M7188">
        <v>6</v>
      </c>
      <c r="N7188" t="s">
        <v>37</v>
      </c>
      <c r="O7188" t="s">
        <v>27</v>
      </c>
      <c r="P7188">
        <v>2.7544759411053898</v>
      </c>
      <c r="Q7188">
        <v>1.2656018233081701</v>
      </c>
      <c r="R7188">
        <v>6.8165096067054902</v>
      </c>
      <c r="S7188">
        <v>12</v>
      </c>
      <c r="T7188">
        <v>63</v>
      </c>
      <c r="U7188">
        <v>539.94404623622097</v>
      </c>
      <c r="V7188">
        <v>1.2575979878432101E-3</v>
      </c>
      <c r="W7188">
        <v>2639422.6488200398</v>
      </c>
      <c r="X7188" t="s">
        <v>43</v>
      </c>
      <c r="Y7188">
        <f>1-495-467-3549</f>
        <v>-4510</v>
      </c>
    </row>
    <row r="7189" spans="1:25" x14ac:dyDescent="0.35">
      <c r="A7189">
        <v>33.489827176751298</v>
      </c>
      <c r="B7189">
        <v>-117.49658493037001</v>
      </c>
      <c r="C7189" t="s">
        <v>29</v>
      </c>
      <c r="D7189">
        <v>35.1870935796019</v>
      </c>
      <c r="E7189">
        <v>9</v>
      </c>
      <c r="F7189">
        <v>990</v>
      </c>
      <c r="G7189">
        <v>1</v>
      </c>
      <c r="H7189">
        <v>2</v>
      </c>
      <c r="I7189">
        <v>1952</v>
      </c>
      <c r="J7189">
        <v>0</v>
      </c>
      <c r="K7189">
        <v>1</v>
      </c>
      <c r="L7189">
        <v>1</v>
      </c>
      <c r="M7189">
        <v>8</v>
      </c>
      <c r="N7189" t="s">
        <v>35</v>
      </c>
      <c r="O7189" t="s">
        <v>30</v>
      </c>
      <c r="P7189">
        <v>13.198776272589599</v>
      </c>
      <c r="Q7189">
        <v>1.17839793053313</v>
      </c>
      <c r="R7189">
        <v>6.3539506980316904</v>
      </c>
      <c r="S7189">
        <v>71</v>
      </c>
      <c r="T7189">
        <v>56</v>
      </c>
      <c r="U7189">
        <v>796.67382168628399</v>
      </c>
      <c r="V7189">
        <v>8.0808080808080808E-3</v>
      </c>
      <c r="W7189">
        <v>1038437.32584182</v>
      </c>
      <c r="X7189" t="s">
        <v>44</v>
      </c>
      <c r="Y7189">
        <f>1-285-615-6039</f>
        <v>-6938</v>
      </c>
    </row>
    <row r="7190" spans="1:25" x14ac:dyDescent="0.35">
      <c r="A7190">
        <v>34.5423960199806</v>
      </c>
      <c r="B7190">
        <v>-122.36175278084799</v>
      </c>
      <c r="C7190" t="s">
        <v>25</v>
      </c>
      <c r="D7190">
        <v>37.091659114122798</v>
      </c>
      <c r="E7190">
        <v>1</v>
      </c>
      <c r="F7190">
        <v>629</v>
      </c>
      <c r="G7190">
        <v>3</v>
      </c>
      <c r="H7190">
        <v>2</v>
      </c>
      <c r="I7190">
        <v>2016</v>
      </c>
      <c r="J7190">
        <v>0</v>
      </c>
      <c r="K7190">
        <v>0</v>
      </c>
      <c r="L7190">
        <v>0</v>
      </c>
      <c r="M7190">
        <v>14</v>
      </c>
      <c r="N7190" t="s">
        <v>41</v>
      </c>
      <c r="O7190" t="s">
        <v>32</v>
      </c>
      <c r="P7190">
        <v>9.4950242129351192</v>
      </c>
      <c r="Q7190">
        <v>1.0033511498658501</v>
      </c>
      <c r="R7190">
        <v>2.1993575581832099</v>
      </c>
      <c r="S7190">
        <v>68</v>
      </c>
      <c r="T7190">
        <v>34</v>
      </c>
      <c r="U7190">
        <v>934.292735901377</v>
      </c>
      <c r="V7190">
        <v>2.2257551669316301E-2</v>
      </c>
      <c r="W7190">
        <v>874006.38187569403</v>
      </c>
      <c r="X7190" t="s">
        <v>31</v>
      </c>
      <c r="Y7190">
        <f>1-322-896-5426</f>
        <v>-6643</v>
      </c>
    </row>
    <row r="7191" spans="1:25" x14ac:dyDescent="0.35">
      <c r="A7191">
        <v>34.402605963064403</v>
      </c>
      <c r="B7191">
        <v>-119.028319104868</v>
      </c>
      <c r="C7191" t="s">
        <v>25</v>
      </c>
      <c r="D7191">
        <v>35.148481698473901</v>
      </c>
      <c r="E7191">
        <v>8</v>
      </c>
      <c r="F7191">
        <v>4230</v>
      </c>
      <c r="G7191">
        <v>2</v>
      </c>
      <c r="H7191">
        <v>1</v>
      </c>
      <c r="I7191">
        <v>1994</v>
      </c>
      <c r="J7191">
        <v>1</v>
      </c>
      <c r="K7191">
        <v>0</v>
      </c>
      <c r="L7191">
        <v>0</v>
      </c>
      <c r="M7191">
        <v>13</v>
      </c>
      <c r="N7191" t="s">
        <v>26</v>
      </c>
      <c r="O7191" t="s">
        <v>32</v>
      </c>
      <c r="P7191">
        <v>11.813592355187099</v>
      </c>
      <c r="Q7191">
        <v>2.0761378932432599</v>
      </c>
      <c r="R7191">
        <v>0.50220336884112005</v>
      </c>
      <c r="S7191">
        <v>107</v>
      </c>
      <c r="T7191">
        <v>50</v>
      </c>
      <c r="U7191">
        <v>226.55230494426999</v>
      </c>
      <c r="V7191">
        <v>3.0732860520094499E-3</v>
      </c>
      <c r="W7191">
        <v>1226579.04543936</v>
      </c>
      <c r="X7191" t="s">
        <v>44</v>
      </c>
      <c r="Y7191">
        <f>1-257-272-8386</f>
        <v>-8914</v>
      </c>
    </row>
    <row r="7192" spans="1:25" x14ac:dyDescent="0.35">
      <c r="A7192">
        <v>36.807727581292902</v>
      </c>
      <c r="B7192">
        <v>-114.130681102105</v>
      </c>
      <c r="C7192" t="s">
        <v>25</v>
      </c>
      <c r="D7192">
        <v>18.051389535889601</v>
      </c>
      <c r="E7192">
        <v>0</v>
      </c>
      <c r="F7192">
        <v>4578</v>
      </c>
      <c r="G7192">
        <v>4</v>
      </c>
      <c r="H7192">
        <v>1</v>
      </c>
      <c r="I7192">
        <v>1989</v>
      </c>
      <c r="J7192">
        <v>0</v>
      </c>
      <c r="K7192">
        <v>0</v>
      </c>
      <c r="L7192">
        <v>0</v>
      </c>
      <c r="M7192">
        <v>3</v>
      </c>
      <c r="N7192" t="s">
        <v>26</v>
      </c>
      <c r="O7192" t="s">
        <v>27</v>
      </c>
      <c r="P7192">
        <v>5.4521706877996499</v>
      </c>
      <c r="Q7192">
        <v>1.40607703504732</v>
      </c>
      <c r="R7192">
        <v>6.19245112325068</v>
      </c>
      <c r="S7192">
        <v>44</v>
      </c>
      <c r="T7192">
        <v>46</v>
      </c>
      <c r="U7192">
        <v>940.15399834474499</v>
      </c>
      <c r="V7192">
        <v>6.5530799475753605E-4</v>
      </c>
      <c r="W7192">
        <v>4436275.4346622201</v>
      </c>
      <c r="X7192" t="s">
        <v>36</v>
      </c>
      <c r="Y7192">
        <f>1-250-907-8654</f>
        <v>-9810</v>
      </c>
    </row>
    <row r="7193" spans="1:25" x14ac:dyDescent="0.35">
      <c r="A7193">
        <v>35.668146695641603</v>
      </c>
      <c r="B7193">
        <v>-124.200496733995</v>
      </c>
      <c r="C7193" t="s">
        <v>34</v>
      </c>
      <c r="D7193">
        <v>18.516009350188</v>
      </c>
      <c r="E7193">
        <v>7</v>
      </c>
      <c r="F7193">
        <v>1456</v>
      </c>
      <c r="G7193">
        <v>3</v>
      </c>
      <c r="H7193">
        <v>3</v>
      </c>
      <c r="I7193">
        <v>1978</v>
      </c>
      <c r="J7193">
        <v>0</v>
      </c>
      <c r="K7193">
        <v>0</v>
      </c>
      <c r="L7193">
        <v>0</v>
      </c>
      <c r="M7193">
        <v>13</v>
      </c>
      <c r="N7193" t="s">
        <v>26</v>
      </c>
      <c r="O7193" t="s">
        <v>32</v>
      </c>
      <c r="P7193">
        <v>13.538409960990201</v>
      </c>
      <c r="Q7193">
        <v>1.1841662985191901</v>
      </c>
      <c r="R7193">
        <v>1.15976923714734</v>
      </c>
      <c r="S7193">
        <v>186</v>
      </c>
      <c r="T7193">
        <v>69</v>
      </c>
      <c r="U7193">
        <v>994.40551229195103</v>
      </c>
      <c r="V7193">
        <v>8.9285714285714194E-3</v>
      </c>
      <c r="W7193">
        <v>1762479.65058687</v>
      </c>
      <c r="X7193" t="s">
        <v>33</v>
      </c>
      <c r="Y7193">
        <f>1-290-560-6235</f>
        <v>-7084</v>
      </c>
    </row>
    <row r="7194" spans="1:25" x14ac:dyDescent="0.35">
      <c r="A7194">
        <v>37.076734788857998</v>
      </c>
      <c r="B7194">
        <v>-122.991205636484</v>
      </c>
      <c r="C7194" t="s">
        <v>29</v>
      </c>
      <c r="D7194">
        <v>24.382146116442701</v>
      </c>
      <c r="E7194">
        <v>3</v>
      </c>
      <c r="F7194">
        <v>759</v>
      </c>
      <c r="G7194">
        <v>5</v>
      </c>
      <c r="H7194">
        <v>1</v>
      </c>
      <c r="I7194">
        <v>1970</v>
      </c>
      <c r="J7194">
        <v>1</v>
      </c>
      <c r="K7194">
        <v>1</v>
      </c>
      <c r="L7194">
        <v>0</v>
      </c>
      <c r="M7194">
        <v>8</v>
      </c>
      <c r="N7194" t="s">
        <v>35</v>
      </c>
      <c r="O7194" t="s">
        <v>32</v>
      </c>
      <c r="P7194">
        <v>13.354896692076199</v>
      </c>
      <c r="Q7194">
        <v>1.5015995630005099</v>
      </c>
      <c r="R7194">
        <v>3.8567276060232198</v>
      </c>
      <c r="S7194">
        <v>179</v>
      </c>
      <c r="T7194">
        <v>23</v>
      </c>
      <c r="U7194">
        <v>514.70070067843506</v>
      </c>
      <c r="V7194">
        <v>1.0540184453227901E-2</v>
      </c>
      <c r="W7194">
        <v>701190.44590535294</v>
      </c>
      <c r="X7194" t="s">
        <v>38</v>
      </c>
      <c r="Y7194">
        <f>1-438-103-5479</f>
        <v>-6019</v>
      </c>
    </row>
    <row r="7195" spans="1:25" x14ac:dyDescent="0.35">
      <c r="A7195">
        <v>41.167153555261699</v>
      </c>
      <c r="B7195">
        <v>-122.29788401822999</v>
      </c>
      <c r="C7195" t="s">
        <v>29</v>
      </c>
      <c r="D7195">
        <v>27.3729438664739</v>
      </c>
      <c r="E7195">
        <v>2</v>
      </c>
      <c r="F7195">
        <v>3644</v>
      </c>
      <c r="G7195">
        <v>2</v>
      </c>
      <c r="H7195">
        <v>2</v>
      </c>
      <c r="I7195">
        <v>1963</v>
      </c>
      <c r="J7195">
        <v>1</v>
      </c>
      <c r="K7195">
        <v>0</v>
      </c>
      <c r="L7195">
        <v>1</v>
      </c>
      <c r="M7195">
        <v>12</v>
      </c>
      <c r="N7195" t="s">
        <v>41</v>
      </c>
      <c r="O7195" t="s">
        <v>27</v>
      </c>
      <c r="P7195">
        <v>7.3983601597295099</v>
      </c>
      <c r="Q7195">
        <v>1.6724573964507601</v>
      </c>
      <c r="R7195">
        <v>2.58946538973803</v>
      </c>
      <c r="S7195">
        <v>132</v>
      </c>
      <c r="T7195">
        <v>53</v>
      </c>
      <c r="U7195">
        <v>868.85814959354695</v>
      </c>
      <c r="V7195">
        <v>3.2930845225027398E-3</v>
      </c>
      <c r="W7195">
        <v>3353683.1583070001</v>
      </c>
      <c r="X7195" t="s">
        <v>33</v>
      </c>
      <c r="Y7195">
        <f>1-878-995-7969</f>
        <v>-9841</v>
      </c>
    </row>
    <row r="7196" spans="1:25" x14ac:dyDescent="0.35">
      <c r="A7196">
        <v>39.909883481866302</v>
      </c>
      <c r="B7196">
        <v>-115.52616052229</v>
      </c>
      <c r="C7196" t="s">
        <v>25</v>
      </c>
      <c r="D7196">
        <v>5.7131264376396498</v>
      </c>
      <c r="E7196">
        <v>2</v>
      </c>
      <c r="F7196">
        <v>2753</v>
      </c>
      <c r="G7196">
        <v>4</v>
      </c>
      <c r="H7196">
        <v>3</v>
      </c>
      <c r="I7196">
        <v>1960</v>
      </c>
      <c r="J7196">
        <v>0</v>
      </c>
      <c r="K7196">
        <v>0</v>
      </c>
      <c r="L7196">
        <v>1</v>
      </c>
      <c r="M7196">
        <v>5</v>
      </c>
      <c r="N7196" t="s">
        <v>37</v>
      </c>
      <c r="O7196" t="s">
        <v>30</v>
      </c>
      <c r="P7196">
        <v>6.7996233880889001</v>
      </c>
      <c r="Q7196">
        <v>0.60913131064771997</v>
      </c>
      <c r="R7196">
        <v>7.77605610367391</v>
      </c>
      <c r="S7196">
        <v>192</v>
      </c>
      <c r="T7196">
        <v>74</v>
      </c>
      <c r="U7196">
        <v>727.57924451824204</v>
      </c>
      <c r="V7196">
        <v>1.8162005085361401E-3</v>
      </c>
      <c r="W7196">
        <v>2236067.8107282198</v>
      </c>
      <c r="X7196" t="s">
        <v>38</v>
      </c>
      <c r="Y7196">
        <f>1-685-923-3000</f>
        <v>-4607</v>
      </c>
    </row>
    <row r="7197" spans="1:25" x14ac:dyDescent="0.35">
      <c r="A7197">
        <v>37.688724308870398</v>
      </c>
      <c r="B7197">
        <v>-121.72192534457299</v>
      </c>
      <c r="C7197" t="s">
        <v>29</v>
      </c>
      <c r="D7197">
        <v>2.9931969865570101</v>
      </c>
      <c r="E7197">
        <v>0</v>
      </c>
      <c r="F7197">
        <v>2917</v>
      </c>
      <c r="G7197">
        <v>4</v>
      </c>
      <c r="H7197">
        <v>2</v>
      </c>
      <c r="I7197">
        <v>2019</v>
      </c>
      <c r="J7197">
        <v>0</v>
      </c>
      <c r="K7197">
        <v>0</v>
      </c>
      <c r="L7197">
        <v>1</v>
      </c>
      <c r="M7197">
        <v>6</v>
      </c>
      <c r="N7197" t="s">
        <v>26</v>
      </c>
      <c r="O7197" t="s">
        <v>27</v>
      </c>
      <c r="P7197">
        <v>14.956580407751501</v>
      </c>
      <c r="Q7197">
        <v>1.5026766182995701</v>
      </c>
      <c r="R7197">
        <v>5.6583253919889804</v>
      </c>
      <c r="S7197">
        <v>178</v>
      </c>
      <c r="T7197">
        <v>58</v>
      </c>
      <c r="U7197">
        <v>773.51691241027095</v>
      </c>
      <c r="V7197">
        <v>2.0569077819677698E-3</v>
      </c>
      <c r="W7197">
        <v>2683100.39750819</v>
      </c>
      <c r="X7197" t="s">
        <v>33</v>
      </c>
      <c r="Y7197">
        <f>1-612-911-2470</f>
        <v>-3992</v>
      </c>
    </row>
    <row r="7198" spans="1:25" x14ac:dyDescent="0.35">
      <c r="A7198">
        <v>36.874458674709402</v>
      </c>
      <c r="B7198">
        <v>-124.04169245066601</v>
      </c>
      <c r="C7198" t="s">
        <v>29</v>
      </c>
      <c r="D7198">
        <v>19.216757822307301</v>
      </c>
      <c r="E7198">
        <v>0</v>
      </c>
      <c r="F7198">
        <v>4802</v>
      </c>
      <c r="G7198">
        <v>1</v>
      </c>
      <c r="H7198">
        <v>1</v>
      </c>
      <c r="I7198">
        <v>1978</v>
      </c>
      <c r="J7198">
        <v>0</v>
      </c>
      <c r="K7198">
        <v>0</v>
      </c>
      <c r="L7198">
        <v>1</v>
      </c>
      <c r="M7198">
        <v>10</v>
      </c>
      <c r="N7198" t="s">
        <v>26</v>
      </c>
      <c r="O7198" t="s">
        <v>32</v>
      </c>
      <c r="P7198">
        <v>14.369736325653101</v>
      </c>
      <c r="Q7198">
        <v>2.2419039310296598</v>
      </c>
      <c r="R7198">
        <v>2.4251941978400402</v>
      </c>
      <c r="S7198">
        <v>136</v>
      </c>
      <c r="T7198">
        <v>62</v>
      </c>
      <c r="U7198">
        <v>936.29773187477099</v>
      </c>
      <c r="V7198">
        <v>2.08246563931695E-3</v>
      </c>
      <c r="W7198">
        <v>4574301.5155215599</v>
      </c>
      <c r="X7198" t="s">
        <v>44</v>
      </c>
      <c r="Y7198">
        <f>1-555-449-3736</f>
        <v>-4739</v>
      </c>
    </row>
    <row r="7199" spans="1:25" x14ac:dyDescent="0.35">
      <c r="A7199">
        <v>40.222002034966003</v>
      </c>
      <c r="B7199">
        <v>-123.384064003376</v>
      </c>
      <c r="C7199" t="s">
        <v>34</v>
      </c>
      <c r="D7199">
        <v>26.0794397273974</v>
      </c>
      <c r="E7199">
        <v>5</v>
      </c>
      <c r="F7199">
        <v>1381</v>
      </c>
      <c r="G7199">
        <v>3</v>
      </c>
      <c r="H7199">
        <v>3</v>
      </c>
      <c r="I7199">
        <v>2014</v>
      </c>
      <c r="J7199">
        <v>0</v>
      </c>
      <c r="K7199">
        <v>0</v>
      </c>
      <c r="L7199">
        <v>0</v>
      </c>
      <c r="M7199">
        <v>13</v>
      </c>
      <c r="N7199" t="s">
        <v>26</v>
      </c>
      <c r="O7199" t="s">
        <v>32</v>
      </c>
      <c r="P7199">
        <v>2.2695115616732902</v>
      </c>
      <c r="Q7199">
        <v>1.7470339998354001</v>
      </c>
      <c r="R7199">
        <v>2.0235736833227902</v>
      </c>
      <c r="S7199">
        <v>186</v>
      </c>
      <c r="T7199">
        <v>71</v>
      </c>
      <c r="U7199">
        <v>859.58905840074397</v>
      </c>
      <c r="V7199">
        <v>9.4134685010861703E-3</v>
      </c>
      <c r="W7199">
        <v>1312147.57171274</v>
      </c>
      <c r="X7199" t="s">
        <v>39</v>
      </c>
      <c r="Y7199">
        <f>1-782-463-8112</f>
        <v>-9356</v>
      </c>
    </row>
    <row r="7200" spans="1:25" x14ac:dyDescent="0.35">
      <c r="A7200">
        <v>37.8828047057386</v>
      </c>
      <c r="B7200">
        <v>-120.912341381817</v>
      </c>
      <c r="C7200" t="s">
        <v>25</v>
      </c>
      <c r="D7200">
        <v>34.559210489778998</v>
      </c>
      <c r="E7200">
        <v>8</v>
      </c>
      <c r="F7200">
        <v>1680</v>
      </c>
      <c r="G7200">
        <v>4</v>
      </c>
      <c r="H7200">
        <v>1</v>
      </c>
      <c r="I7200">
        <v>1985</v>
      </c>
      <c r="J7200">
        <v>1</v>
      </c>
      <c r="K7200">
        <v>0</v>
      </c>
      <c r="L7200">
        <v>1</v>
      </c>
      <c r="M7200">
        <v>5</v>
      </c>
      <c r="N7200" t="s">
        <v>37</v>
      </c>
      <c r="O7200" t="s">
        <v>27</v>
      </c>
      <c r="P7200">
        <v>13.279722419393501</v>
      </c>
      <c r="Q7200">
        <v>1.23829967605692</v>
      </c>
      <c r="R7200">
        <v>2.6152110511566802</v>
      </c>
      <c r="S7200">
        <v>144</v>
      </c>
      <c r="T7200">
        <v>63</v>
      </c>
      <c r="U7200">
        <v>251.96433351295701</v>
      </c>
      <c r="V7200">
        <v>2.97619047619047E-3</v>
      </c>
      <c r="W7200">
        <v>740418.83478148701</v>
      </c>
      <c r="X7200" t="s">
        <v>36</v>
      </c>
      <c r="Y7200">
        <f>1-735-679-1240</f>
        <v>-2653</v>
      </c>
    </row>
    <row r="7201" spans="1:25" x14ac:dyDescent="0.35">
      <c r="A7201">
        <v>41.299281063434798</v>
      </c>
      <c r="B7201">
        <v>-123.032256967086</v>
      </c>
      <c r="C7201" t="s">
        <v>29</v>
      </c>
      <c r="D7201">
        <v>48.570660947122001</v>
      </c>
      <c r="E7201">
        <v>5</v>
      </c>
      <c r="F7201">
        <v>4198</v>
      </c>
      <c r="G7201">
        <v>2</v>
      </c>
      <c r="H7201">
        <v>3</v>
      </c>
      <c r="I7201">
        <v>1997</v>
      </c>
      <c r="J7201">
        <v>0</v>
      </c>
      <c r="K7201">
        <v>0</v>
      </c>
      <c r="L7201">
        <v>1</v>
      </c>
      <c r="M7201">
        <v>2</v>
      </c>
      <c r="N7201" t="s">
        <v>41</v>
      </c>
      <c r="O7201" t="s">
        <v>30</v>
      </c>
      <c r="P7201">
        <v>9.2679486279947501</v>
      </c>
      <c r="Q7201">
        <v>2.1949797055896401</v>
      </c>
      <c r="R7201">
        <v>2.2429597165297199</v>
      </c>
      <c r="S7201">
        <v>19</v>
      </c>
      <c r="T7201">
        <v>29</v>
      </c>
      <c r="U7201">
        <v>623.09356575308198</v>
      </c>
      <c r="V7201">
        <v>4.7641734159123298E-4</v>
      </c>
      <c r="W7201">
        <v>2869015.5455497601</v>
      </c>
      <c r="X7201" t="s">
        <v>43</v>
      </c>
      <c r="Y7201">
        <f>1-825-620-8002</f>
        <v>-9446</v>
      </c>
    </row>
    <row r="7202" spans="1:25" x14ac:dyDescent="0.35">
      <c r="A7202">
        <v>40.702459138223702</v>
      </c>
      <c r="B7202">
        <v>-119.531116311757</v>
      </c>
      <c r="C7202" t="s">
        <v>25</v>
      </c>
      <c r="D7202">
        <v>40.831934417998603</v>
      </c>
      <c r="E7202">
        <v>2</v>
      </c>
      <c r="F7202">
        <v>4597</v>
      </c>
      <c r="G7202">
        <v>5</v>
      </c>
      <c r="H7202">
        <v>2</v>
      </c>
      <c r="I7202">
        <v>2010</v>
      </c>
      <c r="J7202">
        <v>1</v>
      </c>
      <c r="K7202">
        <v>0</v>
      </c>
      <c r="L7202">
        <v>1</v>
      </c>
      <c r="M7202">
        <v>4</v>
      </c>
      <c r="N7202" t="s">
        <v>26</v>
      </c>
      <c r="O7202" t="s">
        <v>27</v>
      </c>
      <c r="P7202">
        <v>3.7570480520245302</v>
      </c>
      <c r="Q7202">
        <v>1.2285532212650301</v>
      </c>
      <c r="R7202">
        <v>9.7605588489997199</v>
      </c>
      <c r="S7202">
        <v>183</v>
      </c>
      <c r="T7202">
        <v>24</v>
      </c>
      <c r="U7202">
        <v>897.16673936434097</v>
      </c>
      <c r="V7202">
        <v>8.7013269523602296E-4</v>
      </c>
      <c r="W7202">
        <v>4498445.7269782098</v>
      </c>
      <c r="X7202" t="s">
        <v>31</v>
      </c>
      <c r="Y7202">
        <f>1-498-979-8712</f>
        <v>-10188</v>
      </c>
    </row>
    <row r="7203" spans="1:25" x14ac:dyDescent="0.35">
      <c r="A7203">
        <v>35.845944326266697</v>
      </c>
      <c r="B7203">
        <v>-117.094411974856</v>
      </c>
      <c r="C7203" t="s">
        <v>25</v>
      </c>
      <c r="D7203">
        <v>1.73414247551483</v>
      </c>
      <c r="E7203">
        <v>3</v>
      </c>
      <c r="F7203">
        <v>1997</v>
      </c>
      <c r="G7203">
        <v>1</v>
      </c>
      <c r="H7203">
        <v>1</v>
      </c>
      <c r="I7203">
        <v>1977</v>
      </c>
      <c r="J7203">
        <v>1</v>
      </c>
      <c r="K7203">
        <v>1</v>
      </c>
      <c r="L7203">
        <v>1</v>
      </c>
      <c r="M7203">
        <v>3</v>
      </c>
      <c r="N7203" t="s">
        <v>26</v>
      </c>
      <c r="O7203" t="s">
        <v>30</v>
      </c>
      <c r="P7203">
        <v>6.4669982783918902</v>
      </c>
      <c r="Q7203">
        <v>2.3962813442732398</v>
      </c>
      <c r="R7203">
        <v>3.9806795841172802</v>
      </c>
      <c r="S7203">
        <v>2</v>
      </c>
      <c r="T7203">
        <v>57</v>
      </c>
      <c r="U7203">
        <v>460.21170108811702</v>
      </c>
      <c r="V7203">
        <v>1.5022533800701E-3</v>
      </c>
      <c r="W7203">
        <v>1095423.7953079999</v>
      </c>
      <c r="X7203" t="s">
        <v>33</v>
      </c>
      <c r="Y7203">
        <f>1-993-938-2295</f>
        <v>-4225</v>
      </c>
    </row>
    <row r="7204" spans="1:25" x14ac:dyDescent="0.35">
      <c r="A7204">
        <v>40.168207104404701</v>
      </c>
      <c r="B7204">
        <v>-117.75422472906401</v>
      </c>
      <c r="C7204" t="s">
        <v>34</v>
      </c>
      <c r="D7204">
        <v>24.1980661538927</v>
      </c>
      <c r="E7204">
        <v>4</v>
      </c>
      <c r="F7204">
        <v>3339</v>
      </c>
      <c r="G7204">
        <v>3</v>
      </c>
      <c r="H7204">
        <v>3</v>
      </c>
      <c r="I7204">
        <v>1979</v>
      </c>
      <c r="J7204">
        <v>0</v>
      </c>
      <c r="K7204">
        <v>0</v>
      </c>
      <c r="L7204">
        <v>1</v>
      </c>
      <c r="M7204">
        <v>2</v>
      </c>
      <c r="N7204" t="s">
        <v>26</v>
      </c>
      <c r="O7204" t="s">
        <v>30</v>
      </c>
      <c r="P7204">
        <v>14.7690125137936</v>
      </c>
      <c r="Q7204">
        <v>0.75059082516276199</v>
      </c>
      <c r="R7204">
        <v>0.75140086194199796</v>
      </c>
      <c r="S7204">
        <v>5</v>
      </c>
      <c r="T7204">
        <v>39</v>
      </c>
      <c r="U7204">
        <v>681.87408847540701</v>
      </c>
      <c r="V7204">
        <v>5.9898173105720203E-4</v>
      </c>
      <c r="W7204">
        <v>2594732.4276240398</v>
      </c>
      <c r="X7204" t="s">
        <v>40</v>
      </c>
      <c r="Y7204">
        <f>1-612-918-7832</f>
        <v>-9361</v>
      </c>
    </row>
    <row r="7205" spans="1:25" x14ac:dyDescent="0.35">
      <c r="A7205">
        <v>40.430559007299202</v>
      </c>
      <c r="B7205">
        <v>-117.166642873586</v>
      </c>
      <c r="C7205" t="s">
        <v>25</v>
      </c>
      <c r="D7205">
        <v>30.262162712878101</v>
      </c>
      <c r="E7205">
        <v>2</v>
      </c>
      <c r="F7205">
        <v>2055</v>
      </c>
      <c r="G7205">
        <v>5</v>
      </c>
      <c r="H7205">
        <v>3</v>
      </c>
      <c r="I7205">
        <v>1982</v>
      </c>
      <c r="J7205">
        <v>1</v>
      </c>
      <c r="K7205">
        <v>1</v>
      </c>
      <c r="L7205">
        <v>0</v>
      </c>
      <c r="M7205">
        <v>10</v>
      </c>
      <c r="N7205" t="s">
        <v>26</v>
      </c>
      <c r="O7205" t="s">
        <v>32</v>
      </c>
      <c r="P7205">
        <v>5.9769701848063397</v>
      </c>
      <c r="Q7205">
        <v>1.8551951427939199</v>
      </c>
      <c r="R7205">
        <v>9.6828666448831395</v>
      </c>
      <c r="S7205">
        <v>15</v>
      </c>
      <c r="T7205">
        <v>63</v>
      </c>
      <c r="U7205">
        <v>701.92835911440795</v>
      </c>
      <c r="V7205">
        <v>4.8661800486617997E-3</v>
      </c>
      <c r="W7205">
        <v>2001515.67517484</v>
      </c>
      <c r="X7205" t="s">
        <v>31</v>
      </c>
      <c r="Y7205">
        <f>1-426-120-2442</f>
        <v>-2987</v>
      </c>
    </row>
    <row r="7206" spans="1:25" x14ac:dyDescent="0.35">
      <c r="A7206">
        <v>34.802213350492501</v>
      </c>
      <c r="B7206">
        <v>-117.41695742207401</v>
      </c>
      <c r="C7206" t="s">
        <v>25</v>
      </c>
      <c r="D7206">
        <v>23.7735726626317</v>
      </c>
      <c r="E7206">
        <v>0</v>
      </c>
      <c r="F7206">
        <v>725</v>
      </c>
      <c r="G7206">
        <v>5</v>
      </c>
      <c r="H7206">
        <v>3</v>
      </c>
      <c r="I7206">
        <v>1977</v>
      </c>
      <c r="J7206">
        <v>0</v>
      </c>
      <c r="K7206">
        <v>1</v>
      </c>
      <c r="L7206">
        <v>0</v>
      </c>
      <c r="M7206">
        <v>7</v>
      </c>
      <c r="N7206" t="s">
        <v>26</v>
      </c>
      <c r="O7206" t="s">
        <v>30</v>
      </c>
      <c r="P7206">
        <v>10.8727964496673</v>
      </c>
      <c r="Q7206">
        <v>2.0026164325915499</v>
      </c>
      <c r="R7206">
        <v>8.4306493935727307</v>
      </c>
      <c r="S7206">
        <v>12</v>
      </c>
      <c r="T7206">
        <v>32</v>
      </c>
      <c r="U7206">
        <v>320.791151434048</v>
      </c>
      <c r="V7206">
        <v>9.6551724137931005E-3</v>
      </c>
      <c r="W7206">
        <v>678766.68469834898</v>
      </c>
      <c r="X7206" t="s">
        <v>33</v>
      </c>
      <c r="Y7206">
        <f>1-440-876-4233</f>
        <v>-5548</v>
      </c>
    </row>
    <row r="7207" spans="1:25" x14ac:dyDescent="0.35">
      <c r="A7207">
        <v>36.322163345007397</v>
      </c>
      <c r="B7207">
        <v>-123.07649641914099</v>
      </c>
      <c r="C7207" t="s">
        <v>29</v>
      </c>
      <c r="D7207">
        <v>10.285400277233601</v>
      </c>
      <c r="E7207">
        <v>4</v>
      </c>
      <c r="F7207">
        <v>4907</v>
      </c>
      <c r="G7207">
        <v>2</v>
      </c>
      <c r="H7207">
        <v>3</v>
      </c>
      <c r="I7207">
        <v>1952</v>
      </c>
      <c r="J7207">
        <v>1</v>
      </c>
      <c r="K7207">
        <v>0</v>
      </c>
      <c r="L7207">
        <v>1</v>
      </c>
      <c r="M7207">
        <v>3</v>
      </c>
      <c r="N7207" t="s">
        <v>35</v>
      </c>
      <c r="O7207" t="s">
        <v>32</v>
      </c>
      <c r="P7207">
        <v>6.8824443769670802</v>
      </c>
      <c r="Q7207">
        <v>2.1886478231591302</v>
      </c>
      <c r="R7207">
        <v>7.2241911500955904</v>
      </c>
      <c r="S7207">
        <v>163</v>
      </c>
      <c r="T7207">
        <v>34</v>
      </c>
      <c r="U7207">
        <v>332.84477885602001</v>
      </c>
      <c r="V7207">
        <v>6.1137151008762902E-4</v>
      </c>
      <c r="W7207">
        <v>1766547.03021195</v>
      </c>
      <c r="X7207" t="s">
        <v>42</v>
      </c>
      <c r="Y7207">
        <f>1-286-436-2460</f>
        <v>-3181</v>
      </c>
    </row>
    <row r="7208" spans="1:25" x14ac:dyDescent="0.35">
      <c r="A7208">
        <v>41.683720786569303</v>
      </c>
      <c r="B7208">
        <v>-120.47897675581901</v>
      </c>
      <c r="C7208" t="s">
        <v>29</v>
      </c>
      <c r="D7208">
        <v>22.423263563081601</v>
      </c>
      <c r="E7208">
        <v>3</v>
      </c>
      <c r="F7208">
        <v>2806</v>
      </c>
      <c r="G7208">
        <v>5</v>
      </c>
      <c r="H7208">
        <v>3</v>
      </c>
      <c r="I7208">
        <v>1986</v>
      </c>
      <c r="J7208">
        <v>1</v>
      </c>
      <c r="K7208">
        <v>0</v>
      </c>
      <c r="L7208">
        <v>0</v>
      </c>
      <c r="M7208">
        <v>14</v>
      </c>
      <c r="N7208" t="s">
        <v>35</v>
      </c>
      <c r="O7208" t="s">
        <v>27</v>
      </c>
      <c r="P7208">
        <v>12.870102142614201</v>
      </c>
      <c r="Q7208">
        <v>2.3228420592512098</v>
      </c>
      <c r="R7208">
        <v>0.62370703529786897</v>
      </c>
      <c r="S7208">
        <v>70</v>
      </c>
      <c r="T7208">
        <v>21</v>
      </c>
      <c r="U7208">
        <v>607.83961873003102</v>
      </c>
      <c r="V7208">
        <v>4.9893086243763297E-3</v>
      </c>
      <c r="W7208">
        <v>2073088.67323133</v>
      </c>
      <c r="X7208" t="s">
        <v>42</v>
      </c>
      <c r="Y7208">
        <f>1-347-379-7912</f>
        <v>-8637</v>
      </c>
    </row>
    <row r="7209" spans="1:25" x14ac:dyDescent="0.35">
      <c r="A7209">
        <v>35.823460005667201</v>
      </c>
      <c r="B7209">
        <v>-122.330795693852</v>
      </c>
      <c r="C7209" t="s">
        <v>34</v>
      </c>
      <c r="D7209">
        <v>31.123097641098902</v>
      </c>
      <c r="E7209">
        <v>3</v>
      </c>
      <c r="F7209">
        <v>3342</v>
      </c>
      <c r="G7209">
        <v>5</v>
      </c>
      <c r="H7209">
        <v>2</v>
      </c>
      <c r="I7209">
        <v>1989</v>
      </c>
      <c r="J7209">
        <v>0</v>
      </c>
      <c r="K7209">
        <v>0</v>
      </c>
      <c r="L7209">
        <v>0</v>
      </c>
      <c r="M7209">
        <v>6</v>
      </c>
      <c r="N7209" t="s">
        <v>41</v>
      </c>
      <c r="O7209" t="s">
        <v>30</v>
      </c>
      <c r="P7209">
        <v>5.1178239293418502</v>
      </c>
      <c r="Q7209">
        <v>1.58501169263468</v>
      </c>
      <c r="R7209">
        <v>1.4653038638942</v>
      </c>
      <c r="S7209">
        <v>70</v>
      </c>
      <c r="T7209">
        <v>72</v>
      </c>
      <c r="U7209">
        <v>406.87741041465699</v>
      </c>
      <c r="V7209">
        <v>1.79533213644524E-3</v>
      </c>
      <c r="W7209">
        <v>1632233.2771077501</v>
      </c>
      <c r="X7209" t="s">
        <v>36</v>
      </c>
      <c r="Y7209">
        <f>1-542-800-8784</f>
        <v>-10125</v>
      </c>
    </row>
    <row r="7210" spans="1:25" x14ac:dyDescent="0.35">
      <c r="A7210">
        <v>32.6659982290291</v>
      </c>
      <c r="B7210">
        <v>-123.205791722984</v>
      </c>
      <c r="C7210" t="s">
        <v>34</v>
      </c>
      <c r="D7210">
        <v>7.2394037957767496</v>
      </c>
      <c r="E7210">
        <v>6</v>
      </c>
      <c r="F7210">
        <v>3505</v>
      </c>
      <c r="G7210">
        <v>2</v>
      </c>
      <c r="H7210">
        <v>3</v>
      </c>
      <c r="I7210">
        <v>1971</v>
      </c>
      <c r="J7210">
        <v>1</v>
      </c>
      <c r="K7210">
        <v>1</v>
      </c>
      <c r="L7210">
        <v>0</v>
      </c>
      <c r="M7210">
        <v>5</v>
      </c>
      <c r="N7210" t="s">
        <v>26</v>
      </c>
      <c r="O7210" t="s">
        <v>30</v>
      </c>
      <c r="P7210">
        <v>4.2048494119722299</v>
      </c>
      <c r="Q7210">
        <v>0.90448163869334897</v>
      </c>
      <c r="R7210">
        <v>8.0689307503569996</v>
      </c>
      <c r="S7210">
        <v>93</v>
      </c>
      <c r="T7210">
        <v>21</v>
      </c>
      <c r="U7210">
        <v>568.70757990688298</v>
      </c>
      <c r="V7210">
        <v>1.4265335235377999E-3</v>
      </c>
      <c r="W7210">
        <v>2233332.04657355</v>
      </c>
      <c r="X7210" t="s">
        <v>38</v>
      </c>
      <c r="Y7210">
        <f>1-913-423-4688</f>
        <v>-6023</v>
      </c>
    </row>
    <row r="7211" spans="1:25" x14ac:dyDescent="0.35">
      <c r="A7211">
        <v>36.121502490951102</v>
      </c>
      <c r="B7211">
        <v>-123.170536040298</v>
      </c>
      <c r="C7211" t="s">
        <v>25</v>
      </c>
      <c r="D7211">
        <v>6.4815822575021498</v>
      </c>
      <c r="E7211">
        <v>2</v>
      </c>
      <c r="F7211">
        <v>1636</v>
      </c>
      <c r="G7211">
        <v>5</v>
      </c>
      <c r="H7211">
        <v>2</v>
      </c>
      <c r="I7211">
        <v>1970</v>
      </c>
      <c r="J7211">
        <v>0</v>
      </c>
      <c r="K7211">
        <v>1</v>
      </c>
      <c r="L7211">
        <v>1</v>
      </c>
      <c r="M7211">
        <v>12</v>
      </c>
      <c r="N7211" t="s">
        <v>37</v>
      </c>
      <c r="O7211" t="s">
        <v>32</v>
      </c>
      <c r="P7211">
        <v>3.8929687610806698</v>
      </c>
      <c r="Q7211">
        <v>1.7064058457518301</v>
      </c>
      <c r="R7211">
        <v>2.9907041136266699</v>
      </c>
      <c r="S7211">
        <v>12</v>
      </c>
      <c r="T7211">
        <v>49</v>
      </c>
      <c r="U7211">
        <v>526.25173588536904</v>
      </c>
      <c r="V7211">
        <v>7.3349633251833697E-3</v>
      </c>
      <c r="W7211">
        <v>1092343.2814609399</v>
      </c>
      <c r="X7211" t="s">
        <v>42</v>
      </c>
      <c r="Y7211">
        <f>1-586-967-9324</f>
        <v>-10876</v>
      </c>
    </row>
    <row r="7212" spans="1:25" x14ac:dyDescent="0.35">
      <c r="A7212">
        <v>34.001796134113597</v>
      </c>
      <c r="B7212">
        <v>-120.013848511739</v>
      </c>
      <c r="C7212" t="s">
        <v>34</v>
      </c>
      <c r="D7212">
        <v>4.6206036164484896</v>
      </c>
      <c r="E7212">
        <v>9</v>
      </c>
      <c r="F7212">
        <v>1012</v>
      </c>
      <c r="G7212">
        <v>5</v>
      </c>
      <c r="H7212">
        <v>3</v>
      </c>
      <c r="I7212">
        <v>1962</v>
      </c>
      <c r="J7212">
        <v>0</v>
      </c>
      <c r="K7212">
        <v>0</v>
      </c>
      <c r="L7212">
        <v>0</v>
      </c>
      <c r="M7212">
        <v>10</v>
      </c>
      <c r="N7212" t="s">
        <v>37</v>
      </c>
      <c r="O7212" t="s">
        <v>27</v>
      </c>
      <c r="P7212">
        <v>12.779709031958401</v>
      </c>
      <c r="Q7212">
        <v>2.3321432854969801</v>
      </c>
      <c r="R7212">
        <v>9.4049370178101697</v>
      </c>
      <c r="S7212">
        <v>114</v>
      </c>
      <c r="T7212">
        <v>23</v>
      </c>
      <c r="U7212">
        <v>534.71222262933497</v>
      </c>
      <c r="V7212">
        <v>9.8814229249011808E-3</v>
      </c>
      <c r="W7212">
        <v>836393.49673836003</v>
      </c>
      <c r="X7212" t="s">
        <v>40</v>
      </c>
      <c r="Y7212">
        <f>1-637-411-2305</f>
        <v>-3352</v>
      </c>
    </row>
    <row r="7213" spans="1:25" x14ac:dyDescent="0.35">
      <c r="A7213">
        <v>39.007778262946402</v>
      </c>
      <c r="B7213">
        <v>-115.90789172914999</v>
      </c>
      <c r="C7213" t="s">
        <v>29</v>
      </c>
      <c r="D7213">
        <v>1.0792910756687599</v>
      </c>
      <c r="E7213">
        <v>3</v>
      </c>
      <c r="F7213">
        <v>3116</v>
      </c>
      <c r="G7213">
        <v>2</v>
      </c>
      <c r="H7213">
        <v>2</v>
      </c>
      <c r="I7213">
        <v>1966</v>
      </c>
      <c r="J7213">
        <v>0</v>
      </c>
      <c r="K7213">
        <v>0</v>
      </c>
      <c r="L7213">
        <v>1</v>
      </c>
      <c r="M7213">
        <v>6</v>
      </c>
      <c r="N7213" t="s">
        <v>26</v>
      </c>
      <c r="O7213" t="s">
        <v>27</v>
      </c>
      <c r="P7213">
        <v>4.0237251300869703</v>
      </c>
      <c r="Q7213">
        <v>2.3892772705340599</v>
      </c>
      <c r="R7213">
        <v>8.5159440463092508</v>
      </c>
      <c r="S7213">
        <v>191</v>
      </c>
      <c r="T7213">
        <v>55</v>
      </c>
      <c r="U7213">
        <v>725.71653270169304</v>
      </c>
      <c r="V7213">
        <v>1.9255455712451799E-3</v>
      </c>
      <c r="W7213">
        <v>2351322.6390865501</v>
      </c>
      <c r="X7213" t="s">
        <v>40</v>
      </c>
      <c r="Y7213">
        <f>1-965-721-9460</f>
        <v>-11145</v>
      </c>
    </row>
    <row r="7214" spans="1:25" x14ac:dyDescent="0.35">
      <c r="A7214">
        <v>40.3061377824231</v>
      </c>
      <c r="B7214">
        <v>-124.409297956758</v>
      </c>
      <c r="C7214" t="s">
        <v>25</v>
      </c>
      <c r="D7214">
        <v>46.408757986058198</v>
      </c>
      <c r="E7214">
        <v>3</v>
      </c>
      <c r="F7214">
        <v>2558</v>
      </c>
      <c r="G7214">
        <v>1</v>
      </c>
      <c r="H7214">
        <v>3</v>
      </c>
      <c r="I7214">
        <v>1995</v>
      </c>
      <c r="J7214">
        <v>1</v>
      </c>
      <c r="K7214">
        <v>0</v>
      </c>
      <c r="L7214">
        <v>1</v>
      </c>
      <c r="M7214">
        <v>8</v>
      </c>
      <c r="N7214" t="s">
        <v>41</v>
      </c>
      <c r="O7214" t="s">
        <v>32</v>
      </c>
      <c r="P7214">
        <v>14.145895630444199</v>
      </c>
      <c r="Q7214">
        <v>0.82757958610453297</v>
      </c>
      <c r="R7214">
        <v>2.8799030682368301</v>
      </c>
      <c r="S7214">
        <v>63</v>
      </c>
      <c r="T7214">
        <v>76</v>
      </c>
      <c r="U7214">
        <v>739.41998913760006</v>
      </c>
      <c r="V7214">
        <v>3.12744331508991E-3</v>
      </c>
      <c r="W7214">
        <v>2095367.6946648001</v>
      </c>
      <c r="X7214" t="s">
        <v>31</v>
      </c>
      <c r="Y7214">
        <f>1-400-680-6484</f>
        <v>-7563</v>
      </c>
    </row>
    <row r="7215" spans="1:25" x14ac:dyDescent="0.35">
      <c r="A7215">
        <v>36.9573839215861</v>
      </c>
      <c r="B7215">
        <v>-115.455449400601</v>
      </c>
      <c r="C7215" t="s">
        <v>25</v>
      </c>
      <c r="D7215">
        <v>2.3269847254781402</v>
      </c>
      <c r="E7215">
        <v>2</v>
      </c>
      <c r="F7215">
        <v>1818</v>
      </c>
      <c r="G7215">
        <v>3</v>
      </c>
      <c r="H7215">
        <v>2</v>
      </c>
      <c r="I7215">
        <v>1967</v>
      </c>
      <c r="J7215">
        <v>0</v>
      </c>
      <c r="K7215">
        <v>1</v>
      </c>
      <c r="L7215">
        <v>1</v>
      </c>
      <c r="M7215">
        <v>5</v>
      </c>
      <c r="N7215" t="s">
        <v>26</v>
      </c>
      <c r="O7215" t="s">
        <v>30</v>
      </c>
      <c r="P7215">
        <v>10.053959676148899</v>
      </c>
      <c r="Q7215">
        <v>2.2246503174259198</v>
      </c>
      <c r="R7215">
        <v>9.4317997212933804</v>
      </c>
      <c r="S7215">
        <v>32</v>
      </c>
      <c r="T7215">
        <v>51</v>
      </c>
      <c r="U7215">
        <v>786.26924721056605</v>
      </c>
      <c r="V7215">
        <v>2.75027502750275E-3</v>
      </c>
      <c r="W7215">
        <v>1689265.6984602399</v>
      </c>
      <c r="X7215" t="s">
        <v>36</v>
      </c>
      <c r="Y7215">
        <f>1-233-946-2766</f>
        <v>-3944</v>
      </c>
    </row>
    <row r="7216" spans="1:25" x14ac:dyDescent="0.35">
      <c r="A7216">
        <v>37.0270418311217</v>
      </c>
      <c r="B7216">
        <v>-120.940854952842</v>
      </c>
      <c r="C7216" t="s">
        <v>25</v>
      </c>
      <c r="D7216">
        <v>29.958528408573802</v>
      </c>
      <c r="E7216">
        <v>0</v>
      </c>
      <c r="F7216">
        <v>828</v>
      </c>
      <c r="G7216">
        <v>1</v>
      </c>
      <c r="H7216">
        <v>3</v>
      </c>
      <c r="I7216">
        <v>1967</v>
      </c>
      <c r="J7216">
        <v>0</v>
      </c>
      <c r="K7216">
        <v>1</v>
      </c>
      <c r="L7216">
        <v>0</v>
      </c>
      <c r="M7216">
        <v>8</v>
      </c>
      <c r="N7216" t="s">
        <v>35</v>
      </c>
      <c r="O7216" t="s">
        <v>32</v>
      </c>
      <c r="P7216">
        <v>9.2563402391451497</v>
      </c>
      <c r="Q7216">
        <v>2.3969101425269201</v>
      </c>
      <c r="R7216">
        <v>0.34064906904966802</v>
      </c>
      <c r="S7216">
        <v>147</v>
      </c>
      <c r="T7216">
        <v>70</v>
      </c>
      <c r="U7216">
        <v>848.98134124501803</v>
      </c>
      <c r="V7216">
        <v>9.6618357487922701E-3</v>
      </c>
      <c r="W7216">
        <v>944434.98602032405</v>
      </c>
      <c r="X7216" t="s">
        <v>39</v>
      </c>
      <c r="Y7216">
        <f>1-745-416-5471</f>
        <v>-6631</v>
      </c>
    </row>
    <row r="7217" spans="1:25" x14ac:dyDescent="0.35">
      <c r="A7217">
        <v>38.765721372813502</v>
      </c>
      <c r="B7217">
        <v>-123.882532206991</v>
      </c>
      <c r="C7217" t="s">
        <v>34</v>
      </c>
      <c r="D7217">
        <v>4.1907294444912697</v>
      </c>
      <c r="E7217">
        <v>1</v>
      </c>
      <c r="F7217">
        <v>3236</v>
      </c>
      <c r="G7217">
        <v>4</v>
      </c>
      <c r="H7217">
        <v>2</v>
      </c>
      <c r="I7217">
        <v>2011</v>
      </c>
      <c r="J7217">
        <v>0</v>
      </c>
      <c r="K7217">
        <v>1</v>
      </c>
      <c r="L7217">
        <v>0</v>
      </c>
      <c r="M7217">
        <v>12</v>
      </c>
      <c r="N7217" t="s">
        <v>35</v>
      </c>
      <c r="O7217" t="s">
        <v>27</v>
      </c>
      <c r="P7217">
        <v>11.3945125249389</v>
      </c>
      <c r="Q7217">
        <v>1.0532938029554699</v>
      </c>
      <c r="R7217">
        <v>5.8167693080679603</v>
      </c>
      <c r="S7217">
        <v>10</v>
      </c>
      <c r="T7217">
        <v>25</v>
      </c>
      <c r="U7217">
        <v>521.76998903023502</v>
      </c>
      <c r="V7217">
        <v>3.7082818294190299E-3</v>
      </c>
      <c r="W7217">
        <v>2162394.1836765702</v>
      </c>
      <c r="X7217" t="s">
        <v>40</v>
      </c>
      <c r="Y7217">
        <f>1-439-204-8804</f>
        <v>-9446</v>
      </c>
    </row>
    <row r="7218" spans="1:25" x14ac:dyDescent="0.35">
      <c r="A7218">
        <v>41.074781543689703</v>
      </c>
      <c r="B7218">
        <v>-118.11817342564299</v>
      </c>
      <c r="C7218" t="s">
        <v>29</v>
      </c>
      <c r="D7218">
        <v>11.728674992876901</v>
      </c>
      <c r="E7218">
        <v>7</v>
      </c>
      <c r="F7218">
        <v>4819</v>
      </c>
      <c r="G7218">
        <v>5</v>
      </c>
      <c r="H7218">
        <v>3</v>
      </c>
      <c r="I7218">
        <v>1950</v>
      </c>
      <c r="J7218">
        <v>1</v>
      </c>
      <c r="K7218">
        <v>0</v>
      </c>
      <c r="L7218">
        <v>1</v>
      </c>
      <c r="M7218">
        <v>13</v>
      </c>
      <c r="N7218" t="s">
        <v>35</v>
      </c>
      <c r="O7218" t="s">
        <v>27</v>
      </c>
      <c r="P7218">
        <v>14.8140479488022</v>
      </c>
      <c r="Q7218">
        <v>1.92360788682999</v>
      </c>
      <c r="R7218">
        <v>6.1592148058745204</v>
      </c>
      <c r="S7218">
        <v>61</v>
      </c>
      <c r="T7218">
        <v>76</v>
      </c>
      <c r="U7218">
        <v>594.49489624797297</v>
      </c>
      <c r="V7218">
        <v>2.6976551151691201E-3</v>
      </c>
      <c r="W7218">
        <v>3209152.6565000201</v>
      </c>
      <c r="X7218" t="s">
        <v>38</v>
      </c>
      <c r="Y7218">
        <f>1-361-949-2163</f>
        <v>-3472</v>
      </c>
    </row>
    <row r="7219" spans="1:25" x14ac:dyDescent="0.35">
      <c r="A7219">
        <v>34.655906438232797</v>
      </c>
      <c r="B7219">
        <v>-116.075103151907</v>
      </c>
      <c r="C7219" t="s">
        <v>34</v>
      </c>
      <c r="D7219">
        <v>38.712612819378997</v>
      </c>
      <c r="E7219">
        <v>9</v>
      </c>
      <c r="F7219">
        <v>1062</v>
      </c>
      <c r="G7219">
        <v>4</v>
      </c>
      <c r="H7219">
        <v>3</v>
      </c>
      <c r="I7219">
        <v>1988</v>
      </c>
      <c r="J7219">
        <v>1</v>
      </c>
      <c r="K7219">
        <v>0</v>
      </c>
      <c r="L7219">
        <v>1</v>
      </c>
      <c r="M7219">
        <v>7</v>
      </c>
      <c r="N7219" t="s">
        <v>26</v>
      </c>
      <c r="O7219" t="s">
        <v>32</v>
      </c>
      <c r="P7219">
        <v>14.866179486358901</v>
      </c>
      <c r="Q7219">
        <v>1.64148213881032</v>
      </c>
      <c r="R7219">
        <v>7.8446165358819</v>
      </c>
      <c r="S7219">
        <v>10</v>
      </c>
      <c r="T7219">
        <v>57</v>
      </c>
      <c r="U7219">
        <v>882.053030460017</v>
      </c>
      <c r="V7219">
        <v>6.5913370998116703E-3</v>
      </c>
      <c r="W7219">
        <v>1423931.21770879</v>
      </c>
      <c r="X7219" t="s">
        <v>43</v>
      </c>
      <c r="Y7219">
        <f>1-848-449-5018</f>
        <v>-6314</v>
      </c>
    </row>
    <row r="7220" spans="1:25" x14ac:dyDescent="0.35">
      <c r="A7220">
        <v>38.031724875552499</v>
      </c>
      <c r="B7220">
        <v>-118.384389047836</v>
      </c>
      <c r="C7220" t="s">
        <v>29</v>
      </c>
      <c r="D7220">
        <v>37.370969432905802</v>
      </c>
      <c r="E7220">
        <v>0</v>
      </c>
      <c r="F7220">
        <v>2408</v>
      </c>
      <c r="G7220">
        <v>2</v>
      </c>
      <c r="H7220">
        <v>1</v>
      </c>
      <c r="I7220">
        <v>1950</v>
      </c>
      <c r="J7220">
        <v>0</v>
      </c>
      <c r="K7220">
        <v>0</v>
      </c>
      <c r="L7220">
        <v>1</v>
      </c>
      <c r="M7220">
        <v>11</v>
      </c>
      <c r="N7220" t="s">
        <v>37</v>
      </c>
      <c r="O7220" t="s">
        <v>30</v>
      </c>
      <c r="P7220">
        <v>7.4822375426931096</v>
      </c>
      <c r="Q7220">
        <v>1.58067372386215</v>
      </c>
      <c r="R7220">
        <v>8.2265456747913603</v>
      </c>
      <c r="S7220">
        <v>171</v>
      </c>
      <c r="T7220">
        <v>48</v>
      </c>
      <c r="U7220">
        <v>722.98032286335297</v>
      </c>
      <c r="V7220">
        <v>4.5681063122923497E-3</v>
      </c>
      <c r="W7220">
        <v>1898171.7340335399</v>
      </c>
      <c r="X7220" t="s">
        <v>40</v>
      </c>
      <c r="Y7220">
        <f>1-545-828-8307</f>
        <v>-9679</v>
      </c>
    </row>
    <row r="7221" spans="1:25" x14ac:dyDescent="0.35">
      <c r="A7221">
        <v>33.111704451722801</v>
      </c>
      <c r="B7221">
        <v>-115.360936227225</v>
      </c>
      <c r="C7221" t="s">
        <v>25</v>
      </c>
      <c r="D7221">
        <v>2.8701922424178599</v>
      </c>
      <c r="E7221">
        <v>5</v>
      </c>
      <c r="F7221">
        <v>1112</v>
      </c>
      <c r="G7221">
        <v>2</v>
      </c>
      <c r="H7221">
        <v>3</v>
      </c>
      <c r="I7221">
        <v>1951</v>
      </c>
      <c r="J7221">
        <v>1</v>
      </c>
      <c r="K7221">
        <v>1</v>
      </c>
      <c r="L7221">
        <v>0</v>
      </c>
      <c r="M7221">
        <v>4</v>
      </c>
      <c r="N7221" t="s">
        <v>41</v>
      </c>
      <c r="O7221" t="s">
        <v>30</v>
      </c>
      <c r="P7221">
        <v>5.0514171655907099</v>
      </c>
      <c r="Q7221">
        <v>0.50138996081074605</v>
      </c>
      <c r="R7221">
        <v>3.8048549260067799</v>
      </c>
      <c r="S7221">
        <v>195</v>
      </c>
      <c r="T7221">
        <v>36</v>
      </c>
      <c r="U7221">
        <v>412.37014675095901</v>
      </c>
      <c r="V7221">
        <v>3.5971223021582701E-3</v>
      </c>
      <c r="W7221">
        <v>763677.05420653406</v>
      </c>
      <c r="X7221" t="s">
        <v>42</v>
      </c>
      <c r="Y7221">
        <f>1-273-629-3958</f>
        <v>-4859</v>
      </c>
    </row>
    <row r="7222" spans="1:25" x14ac:dyDescent="0.35">
      <c r="A7222">
        <v>40.8423581575301</v>
      </c>
      <c r="B7222">
        <v>-124.306625835723</v>
      </c>
      <c r="C7222" t="s">
        <v>29</v>
      </c>
      <c r="D7222">
        <v>33.480547056645896</v>
      </c>
      <c r="E7222">
        <v>5</v>
      </c>
      <c r="F7222">
        <v>678</v>
      </c>
      <c r="G7222">
        <v>3</v>
      </c>
      <c r="H7222">
        <v>3</v>
      </c>
      <c r="I7222">
        <v>1969</v>
      </c>
      <c r="J7222">
        <v>1</v>
      </c>
      <c r="K7222">
        <v>1</v>
      </c>
      <c r="L7222">
        <v>1</v>
      </c>
      <c r="M7222">
        <v>4</v>
      </c>
      <c r="N7222" t="s">
        <v>26</v>
      </c>
      <c r="O7222" t="s">
        <v>30</v>
      </c>
      <c r="P7222">
        <v>9.1732388659000694</v>
      </c>
      <c r="Q7222">
        <v>0.80443568722398595</v>
      </c>
      <c r="R7222">
        <v>1.18127444016903</v>
      </c>
      <c r="S7222">
        <v>105</v>
      </c>
      <c r="T7222">
        <v>66</v>
      </c>
      <c r="U7222">
        <v>956.341568114761</v>
      </c>
      <c r="V7222">
        <v>5.8997050147492599E-3</v>
      </c>
      <c r="W7222">
        <v>1035437.97659541</v>
      </c>
      <c r="X7222" t="s">
        <v>38</v>
      </c>
      <c r="Y7222">
        <f>1-466-607-6676</f>
        <v>-7748</v>
      </c>
    </row>
    <row r="7223" spans="1:25" x14ac:dyDescent="0.35">
      <c r="A7223">
        <v>35.017992129607997</v>
      </c>
      <c r="B7223">
        <v>-115.346553496653</v>
      </c>
      <c r="C7223" t="s">
        <v>34</v>
      </c>
      <c r="D7223">
        <v>20.208337704394701</v>
      </c>
      <c r="E7223">
        <v>8</v>
      </c>
      <c r="F7223">
        <v>2167</v>
      </c>
      <c r="G7223">
        <v>1</v>
      </c>
      <c r="H7223">
        <v>3</v>
      </c>
      <c r="I7223">
        <v>1952</v>
      </c>
      <c r="J7223">
        <v>1</v>
      </c>
      <c r="K7223">
        <v>1</v>
      </c>
      <c r="L7223">
        <v>1</v>
      </c>
      <c r="M7223">
        <v>4</v>
      </c>
      <c r="N7223" t="s">
        <v>26</v>
      </c>
      <c r="O7223" t="s">
        <v>27</v>
      </c>
      <c r="P7223">
        <v>12.229959429605699</v>
      </c>
      <c r="Q7223">
        <v>1.7182171918992299</v>
      </c>
      <c r="R7223">
        <v>3.5812685291529101</v>
      </c>
      <c r="S7223">
        <v>102</v>
      </c>
      <c r="T7223">
        <v>73</v>
      </c>
      <c r="U7223">
        <v>270.41676285578399</v>
      </c>
      <c r="V7223">
        <v>1.8458698661744299E-3</v>
      </c>
      <c r="W7223">
        <v>858013.52756819001</v>
      </c>
      <c r="X7223" t="s">
        <v>40</v>
      </c>
      <c r="Y7223">
        <f>1-653-973-2071</f>
        <v>-3696</v>
      </c>
    </row>
    <row r="7224" spans="1:25" x14ac:dyDescent="0.35">
      <c r="A7224">
        <v>37.851877075845003</v>
      </c>
      <c r="B7224">
        <v>-119.946324417295</v>
      </c>
      <c r="C7224" t="s">
        <v>25</v>
      </c>
      <c r="D7224">
        <v>35.372543766590098</v>
      </c>
      <c r="E7224">
        <v>8</v>
      </c>
      <c r="F7224">
        <v>4651</v>
      </c>
      <c r="G7224">
        <v>2</v>
      </c>
      <c r="H7224">
        <v>3</v>
      </c>
      <c r="I7224">
        <v>1992</v>
      </c>
      <c r="J7224">
        <v>1</v>
      </c>
      <c r="K7224">
        <v>0</v>
      </c>
      <c r="L7224">
        <v>0</v>
      </c>
      <c r="M7224">
        <v>2</v>
      </c>
      <c r="N7224" t="s">
        <v>41</v>
      </c>
      <c r="O7224" t="s">
        <v>30</v>
      </c>
      <c r="P7224">
        <v>4.3650781040791102</v>
      </c>
      <c r="Q7224">
        <v>0.96411262526027697</v>
      </c>
      <c r="R7224">
        <v>9.3180053861663694</v>
      </c>
      <c r="S7224">
        <v>99</v>
      </c>
      <c r="T7224">
        <v>34</v>
      </c>
      <c r="U7224">
        <v>817.96975045890201</v>
      </c>
      <c r="V7224">
        <v>4.30015050526768E-4</v>
      </c>
      <c r="W7224">
        <v>3930239.54555425</v>
      </c>
      <c r="X7224" t="s">
        <v>39</v>
      </c>
      <c r="Y7224">
        <f>1-315-346-4018</f>
        <v>-4678</v>
      </c>
    </row>
    <row r="7225" spans="1:25" x14ac:dyDescent="0.35">
      <c r="A7225">
        <v>35.361109207893598</v>
      </c>
      <c r="B7225">
        <v>-122.31877937252401</v>
      </c>
      <c r="C7225" t="s">
        <v>25</v>
      </c>
      <c r="D7225">
        <v>42.559605770601401</v>
      </c>
      <c r="E7225">
        <v>6</v>
      </c>
      <c r="F7225">
        <v>2285</v>
      </c>
      <c r="G7225">
        <v>5</v>
      </c>
      <c r="H7225">
        <v>2</v>
      </c>
      <c r="I7225">
        <v>1955</v>
      </c>
      <c r="J7225">
        <v>0</v>
      </c>
      <c r="K7225">
        <v>0</v>
      </c>
      <c r="L7225">
        <v>0</v>
      </c>
      <c r="M7225">
        <v>12</v>
      </c>
      <c r="N7225" t="s">
        <v>37</v>
      </c>
      <c r="O7225" t="s">
        <v>27</v>
      </c>
      <c r="P7225">
        <v>13.9543211808286</v>
      </c>
      <c r="Q7225">
        <v>1.84618728283819</v>
      </c>
      <c r="R7225">
        <v>4.4620358011378602</v>
      </c>
      <c r="S7225">
        <v>32</v>
      </c>
      <c r="T7225">
        <v>27</v>
      </c>
      <c r="U7225">
        <v>554.497298778963</v>
      </c>
      <c r="V7225">
        <v>5.2516411378555799E-3</v>
      </c>
      <c r="W7225">
        <v>1599419.7945540701</v>
      </c>
      <c r="X7225" t="s">
        <v>43</v>
      </c>
      <c r="Y7225">
        <f>1-312-612-6128</f>
        <v>-7051</v>
      </c>
    </row>
    <row r="7226" spans="1:25" x14ac:dyDescent="0.35">
      <c r="A7226">
        <v>38.0112014454796</v>
      </c>
      <c r="B7226">
        <v>-123.11130192658101</v>
      </c>
      <c r="C7226" t="s">
        <v>34</v>
      </c>
      <c r="D7226">
        <v>9.0240492439289497</v>
      </c>
      <c r="E7226">
        <v>1</v>
      </c>
      <c r="F7226">
        <v>4542</v>
      </c>
      <c r="G7226">
        <v>5</v>
      </c>
      <c r="H7226">
        <v>3</v>
      </c>
      <c r="I7226">
        <v>1984</v>
      </c>
      <c r="J7226">
        <v>0</v>
      </c>
      <c r="K7226">
        <v>0</v>
      </c>
      <c r="L7226">
        <v>1</v>
      </c>
      <c r="M7226">
        <v>6</v>
      </c>
      <c r="N7226" t="s">
        <v>35</v>
      </c>
      <c r="O7226" t="s">
        <v>30</v>
      </c>
      <c r="P7226">
        <v>12.335908092749101</v>
      </c>
      <c r="Q7226">
        <v>1.3836449209061099</v>
      </c>
      <c r="R7226">
        <v>8.7070688871699797</v>
      </c>
      <c r="S7226">
        <v>70</v>
      </c>
      <c r="T7226">
        <v>57</v>
      </c>
      <c r="U7226">
        <v>729.49201188962002</v>
      </c>
      <c r="V7226">
        <v>1.3210039630118799E-3</v>
      </c>
      <c r="W7226">
        <v>3617604.1113587799</v>
      </c>
      <c r="X7226" t="s">
        <v>43</v>
      </c>
      <c r="Y7226">
        <f>1-662-862-9306</f>
        <v>-10829</v>
      </c>
    </row>
    <row r="7227" spans="1:25" x14ac:dyDescent="0.35">
      <c r="A7227">
        <v>39.0744267697848</v>
      </c>
      <c r="B7227">
        <v>-114.357662491578</v>
      </c>
      <c r="C7227" t="s">
        <v>25</v>
      </c>
      <c r="D7227">
        <v>31.280046619707399</v>
      </c>
      <c r="E7227">
        <v>7</v>
      </c>
      <c r="F7227">
        <v>1894</v>
      </c>
      <c r="G7227">
        <v>3</v>
      </c>
      <c r="H7227">
        <v>3</v>
      </c>
      <c r="I7227">
        <v>1983</v>
      </c>
      <c r="J7227">
        <v>0</v>
      </c>
      <c r="K7227">
        <v>0</v>
      </c>
      <c r="L7227">
        <v>0</v>
      </c>
      <c r="M7227">
        <v>9</v>
      </c>
      <c r="N7227" t="s">
        <v>26</v>
      </c>
      <c r="O7227" t="s">
        <v>30</v>
      </c>
      <c r="P7227">
        <v>5.3548134436792498</v>
      </c>
      <c r="Q7227">
        <v>1.29961490647633</v>
      </c>
      <c r="R7227">
        <v>3.4146518180348902</v>
      </c>
      <c r="S7227">
        <v>40</v>
      </c>
      <c r="T7227">
        <v>31</v>
      </c>
      <c r="U7227">
        <v>828.35773743945401</v>
      </c>
      <c r="V7227">
        <v>4.7518479408658904E-3</v>
      </c>
      <c r="W7227">
        <v>1707352.13469893</v>
      </c>
      <c r="X7227" t="s">
        <v>28</v>
      </c>
      <c r="Y7227">
        <f>1-972-627-7611</f>
        <v>-9209</v>
      </c>
    </row>
    <row r="7228" spans="1:25" x14ac:dyDescent="0.35">
      <c r="A7228">
        <v>38.210964197002099</v>
      </c>
      <c r="B7228">
        <v>-122.594862333691</v>
      </c>
      <c r="C7228" t="s">
        <v>34</v>
      </c>
      <c r="D7228">
        <v>30.101406679965301</v>
      </c>
      <c r="E7228">
        <v>3</v>
      </c>
      <c r="F7228">
        <v>1747</v>
      </c>
      <c r="G7228">
        <v>1</v>
      </c>
      <c r="H7228">
        <v>1</v>
      </c>
      <c r="I7228">
        <v>1992</v>
      </c>
      <c r="J7228">
        <v>0</v>
      </c>
      <c r="K7228">
        <v>0</v>
      </c>
      <c r="L7228">
        <v>1</v>
      </c>
      <c r="M7228">
        <v>11</v>
      </c>
      <c r="N7228" t="s">
        <v>41</v>
      </c>
      <c r="O7228" t="s">
        <v>27</v>
      </c>
      <c r="P7228">
        <v>3.1477114309974299</v>
      </c>
      <c r="Q7228">
        <v>0.681830179988684</v>
      </c>
      <c r="R7228">
        <v>3.76003152608068</v>
      </c>
      <c r="S7228">
        <v>94</v>
      </c>
      <c r="T7228">
        <v>66</v>
      </c>
      <c r="U7228">
        <v>418.94321458799601</v>
      </c>
      <c r="V7228">
        <v>6.2965082999427496E-3</v>
      </c>
      <c r="W7228">
        <v>790763.654978837</v>
      </c>
      <c r="X7228" t="s">
        <v>44</v>
      </c>
      <c r="Y7228">
        <f>1-638-130-6032</f>
        <v>-6799</v>
      </c>
    </row>
    <row r="7229" spans="1:25" x14ac:dyDescent="0.35">
      <c r="A7229">
        <v>37.1907380031098</v>
      </c>
      <c r="B7229">
        <v>-114.54615427451</v>
      </c>
      <c r="C7229" t="s">
        <v>34</v>
      </c>
      <c r="D7229">
        <v>49.398430151008803</v>
      </c>
      <c r="E7229">
        <v>4</v>
      </c>
      <c r="F7229">
        <v>4653</v>
      </c>
      <c r="G7229">
        <v>1</v>
      </c>
      <c r="H7229">
        <v>1</v>
      </c>
      <c r="I7229">
        <v>1974</v>
      </c>
      <c r="J7229">
        <v>1</v>
      </c>
      <c r="K7229">
        <v>1</v>
      </c>
      <c r="L7229">
        <v>0</v>
      </c>
      <c r="M7229">
        <v>9</v>
      </c>
      <c r="N7229" t="s">
        <v>26</v>
      </c>
      <c r="O7229" t="s">
        <v>30</v>
      </c>
      <c r="P7229">
        <v>6.4898105471053302</v>
      </c>
      <c r="Q7229">
        <v>0.53760515084961702</v>
      </c>
      <c r="R7229">
        <v>9.1462524789640103</v>
      </c>
      <c r="S7229">
        <v>179</v>
      </c>
      <c r="T7229">
        <v>55</v>
      </c>
      <c r="U7229">
        <v>649.19787057445103</v>
      </c>
      <c r="V7229">
        <v>1.9342359767891601E-3</v>
      </c>
      <c r="W7229">
        <v>3223408.9323336598</v>
      </c>
      <c r="X7229" t="s">
        <v>40</v>
      </c>
      <c r="Y7229">
        <f>1-720-498-5062</f>
        <v>-6279</v>
      </c>
    </row>
    <row r="7230" spans="1:25" x14ac:dyDescent="0.35">
      <c r="A7230">
        <v>33.9708413762486</v>
      </c>
      <c r="B7230">
        <v>-123.433566998534</v>
      </c>
      <c r="C7230" t="s">
        <v>34</v>
      </c>
      <c r="D7230">
        <v>19.322779267720499</v>
      </c>
      <c r="E7230">
        <v>9</v>
      </c>
      <c r="F7230">
        <v>4827</v>
      </c>
      <c r="G7230">
        <v>3</v>
      </c>
      <c r="H7230">
        <v>2</v>
      </c>
      <c r="I7230">
        <v>1985</v>
      </c>
      <c r="J7230">
        <v>0</v>
      </c>
      <c r="K7230">
        <v>0</v>
      </c>
      <c r="L7230">
        <v>1</v>
      </c>
      <c r="M7230">
        <v>5</v>
      </c>
      <c r="N7230" t="s">
        <v>41</v>
      </c>
      <c r="O7230" t="s">
        <v>27</v>
      </c>
      <c r="P7230">
        <v>10.2862373435366</v>
      </c>
      <c r="Q7230">
        <v>0.80183184227787196</v>
      </c>
      <c r="R7230">
        <v>8.9212326890795008</v>
      </c>
      <c r="S7230">
        <v>185</v>
      </c>
      <c r="T7230">
        <v>65</v>
      </c>
      <c r="U7230">
        <v>265.13972987727499</v>
      </c>
      <c r="V7230">
        <v>1.0358400662937601E-3</v>
      </c>
      <c r="W7230">
        <v>1538677.16274515</v>
      </c>
      <c r="X7230" t="s">
        <v>33</v>
      </c>
      <c r="Y7230">
        <f>1-795-381-7790</f>
        <v>-8965</v>
      </c>
    </row>
    <row r="7231" spans="1:25" x14ac:dyDescent="0.35">
      <c r="A7231">
        <v>36.008449952745899</v>
      </c>
      <c r="B7231">
        <v>-123.604669820911</v>
      </c>
      <c r="C7231" t="s">
        <v>25</v>
      </c>
      <c r="D7231">
        <v>40.084671876386501</v>
      </c>
      <c r="E7231">
        <v>5</v>
      </c>
      <c r="F7231">
        <v>3781</v>
      </c>
      <c r="G7231">
        <v>5</v>
      </c>
      <c r="H7231">
        <v>3</v>
      </c>
      <c r="I7231">
        <v>1981</v>
      </c>
      <c r="J7231">
        <v>1</v>
      </c>
      <c r="K7231">
        <v>1</v>
      </c>
      <c r="L7231">
        <v>0</v>
      </c>
      <c r="M7231">
        <v>11</v>
      </c>
      <c r="N7231" t="s">
        <v>35</v>
      </c>
      <c r="O7231" t="s">
        <v>32</v>
      </c>
      <c r="P7231">
        <v>14.559987070294399</v>
      </c>
      <c r="Q7231">
        <v>1.4430718476458499</v>
      </c>
      <c r="R7231">
        <v>4.3409571435559204</v>
      </c>
      <c r="S7231">
        <v>54</v>
      </c>
      <c r="T7231">
        <v>36</v>
      </c>
      <c r="U7231">
        <v>246.58397077880201</v>
      </c>
      <c r="V7231">
        <v>2.9092832583972402E-3</v>
      </c>
      <c r="W7231">
        <v>1558196.7315877599</v>
      </c>
      <c r="X7231" t="s">
        <v>43</v>
      </c>
      <c r="Y7231">
        <f>1-641-710-3799</f>
        <v>-5149</v>
      </c>
    </row>
    <row r="7232" spans="1:25" x14ac:dyDescent="0.35">
      <c r="A7232">
        <v>37.584572886775803</v>
      </c>
      <c r="B7232">
        <v>-120.214971599173</v>
      </c>
      <c r="C7232" t="s">
        <v>29</v>
      </c>
      <c r="D7232">
        <v>23.003029184447399</v>
      </c>
      <c r="E7232">
        <v>5</v>
      </c>
      <c r="F7232">
        <v>3598</v>
      </c>
      <c r="G7232">
        <v>1</v>
      </c>
      <c r="H7232">
        <v>2</v>
      </c>
      <c r="I7232">
        <v>1965</v>
      </c>
      <c r="J7232">
        <v>0</v>
      </c>
      <c r="K7232">
        <v>0</v>
      </c>
      <c r="L7232">
        <v>1</v>
      </c>
      <c r="M7232">
        <v>7</v>
      </c>
      <c r="N7232" t="s">
        <v>37</v>
      </c>
      <c r="O7232" t="s">
        <v>30</v>
      </c>
      <c r="P7232">
        <v>10.174155263873599</v>
      </c>
      <c r="Q7232">
        <v>1.35851504744231</v>
      </c>
      <c r="R7232">
        <v>3.0082249577766</v>
      </c>
      <c r="S7232">
        <v>61</v>
      </c>
      <c r="T7232">
        <v>75</v>
      </c>
      <c r="U7232">
        <v>319.81539644470502</v>
      </c>
      <c r="V7232">
        <v>1.9455252918287899E-3</v>
      </c>
      <c r="W7232">
        <v>1291522.46903689</v>
      </c>
      <c r="X7232" t="s">
        <v>43</v>
      </c>
      <c r="Y7232">
        <f>1-711-264-5740</f>
        <v>-6714</v>
      </c>
    </row>
    <row r="7233" spans="1:25" x14ac:dyDescent="0.35">
      <c r="A7233">
        <v>37.331717275277398</v>
      </c>
      <c r="B7233">
        <v>-115.922044030091</v>
      </c>
      <c r="C7233" t="s">
        <v>25</v>
      </c>
      <c r="D7233">
        <v>40.1428591374493</v>
      </c>
      <c r="E7233">
        <v>8</v>
      </c>
      <c r="F7233">
        <v>4410</v>
      </c>
      <c r="G7233">
        <v>4</v>
      </c>
      <c r="H7233">
        <v>2</v>
      </c>
      <c r="I7233">
        <v>1969</v>
      </c>
      <c r="J7233">
        <v>1</v>
      </c>
      <c r="K7233">
        <v>1</v>
      </c>
      <c r="L7233">
        <v>1</v>
      </c>
      <c r="M7233">
        <v>2</v>
      </c>
      <c r="N7233" t="s">
        <v>41</v>
      </c>
      <c r="O7233" t="s">
        <v>30</v>
      </c>
      <c r="P7233">
        <v>14.9219284370262</v>
      </c>
      <c r="Q7233">
        <v>1.26716485790183</v>
      </c>
      <c r="R7233">
        <v>7.5031987326768297</v>
      </c>
      <c r="S7233">
        <v>36</v>
      </c>
      <c r="T7233">
        <v>38</v>
      </c>
      <c r="U7233">
        <v>533.50308527534798</v>
      </c>
      <c r="V7233">
        <v>4.5351473922902399E-4</v>
      </c>
      <c r="W7233">
        <v>2855375.6080485</v>
      </c>
      <c r="X7233" t="s">
        <v>28</v>
      </c>
      <c r="Y7233">
        <f>1-482-233-1270</f>
        <v>-1984</v>
      </c>
    </row>
    <row r="7234" spans="1:25" x14ac:dyDescent="0.35">
      <c r="A7234">
        <v>33.121314046578703</v>
      </c>
      <c r="B7234">
        <v>-120.65816158201601</v>
      </c>
      <c r="C7234" t="s">
        <v>29</v>
      </c>
      <c r="D7234">
        <v>37.110119849368203</v>
      </c>
      <c r="E7234">
        <v>6</v>
      </c>
      <c r="F7234">
        <v>1764</v>
      </c>
      <c r="G7234">
        <v>5</v>
      </c>
      <c r="H7234">
        <v>2</v>
      </c>
      <c r="I7234">
        <v>1978</v>
      </c>
      <c r="J7234">
        <v>1</v>
      </c>
      <c r="K7234">
        <v>0</v>
      </c>
      <c r="L7234">
        <v>1</v>
      </c>
      <c r="M7234">
        <v>8</v>
      </c>
      <c r="N7234" t="s">
        <v>26</v>
      </c>
      <c r="O7234" t="s">
        <v>32</v>
      </c>
      <c r="P7234">
        <v>9.6690089044921503</v>
      </c>
      <c r="Q7234">
        <v>2.3586366950203401</v>
      </c>
      <c r="R7234">
        <v>5.6968263407955</v>
      </c>
      <c r="S7234">
        <v>96</v>
      </c>
      <c r="T7234">
        <v>77</v>
      </c>
      <c r="U7234">
        <v>708.38935169628405</v>
      </c>
      <c r="V7234">
        <v>4.53514739229024E-3</v>
      </c>
      <c r="W7234">
        <v>1559668.42433356</v>
      </c>
      <c r="X7234" t="s">
        <v>31</v>
      </c>
      <c r="Y7234">
        <f>1-969-160-4803</f>
        <v>-5931</v>
      </c>
    </row>
    <row r="7235" spans="1:25" x14ac:dyDescent="0.35">
      <c r="A7235">
        <v>38.161858629784298</v>
      </c>
      <c r="B7235">
        <v>-118.97977473301199</v>
      </c>
      <c r="C7235" t="s">
        <v>29</v>
      </c>
      <c r="D7235">
        <v>9.7053266725264606</v>
      </c>
      <c r="E7235">
        <v>1</v>
      </c>
      <c r="F7235">
        <v>3102</v>
      </c>
      <c r="G7235">
        <v>4</v>
      </c>
      <c r="H7235">
        <v>2</v>
      </c>
      <c r="I7235">
        <v>1954</v>
      </c>
      <c r="J7235">
        <v>1</v>
      </c>
      <c r="K7235">
        <v>0</v>
      </c>
      <c r="L7235">
        <v>1</v>
      </c>
      <c r="M7235">
        <v>11</v>
      </c>
      <c r="N7235" t="s">
        <v>35</v>
      </c>
      <c r="O7235" t="s">
        <v>32</v>
      </c>
      <c r="P7235">
        <v>4.53078155666726</v>
      </c>
      <c r="Q7235">
        <v>1.3559768720455201</v>
      </c>
      <c r="R7235">
        <v>8.2375690424361903</v>
      </c>
      <c r="S7235">
        <v>180</v>
      </c>
      <c r="T7235">
        <v>27</v>
      </c>
      <c r="U7235">
        <v>806.21755762913494</v>
      </c>
      <c r="V7235">
        <v>3.54609929078014E-3</v>
      </c>
      <c r="W7235">
        <v>2720548.7068517199</v>
      </c>
      <c r="X7235" t="s">
        <v>39</v>
      </c>
      <c r="Y7235">
        <f>1-346-608-2322</f>
        <v>-3275</v>
      </c>
    </row>
    <row r="7236" spans="1:25" x14ac:dyDescent="0.35">
      <c r="A7236">
        <v>37.3118062968232</v>
      </c>
      <c r="B7236">
        <v>-117.65407759651499</v>
      </c>
      <c r="C7236" t="s">
        <v>34</v>
      </c>
      <c r="D7236">
        <v>36.535297890127502</v>
      </c>
      <c r="E7236">
        <v>6</v>
      </c>
      <c r="F7236">
        <v>2406</v>
      </c>
      <c r="G7236">
        <v>3</v>
      </c>
      <c r="H7236">
        <v>2</v>
      </c>
      <c r="I7236">
        <v>1980</v>
      </c>
      <c r="J7236">
        <v>1</v>
      </c>
      <c r="K7236">
        <v>1</v>
      </c>
      <c r="L7236">
        <v>1</v>
      </c>
      <c r="M7236">
        <v>5</v>
      </c>
      <c r="N7236" t="s">
        <v>41</v>
      </c>
      <c r="O7236" t="s">
        <v>30</v>
      </c>
      <c r="P7236">
        <v>14.8986166152827</v>
      </c>
      <c r="Q7236">
        <v>2.1796754952227002</v>
      </c>
      <c r="R7236">
        <v>8.0637524534439393</v>
      </c>
      <c r="S7236">
        <v>54</v>
      </c>
      <c r="T7236">
        <v>66</v>
      </c>
      <c r="U7236">
        <v>928.238081057003</v>
      </c>
      <c r="V7236">
        <v>2.07813798836242E-3</v>
      </c>
      <c r="W7236">
        <v>2617555.4872943801</v>
      </c>
      <c r="X7236" t="s">
        <v>31</v>
      </c>
      <c r="Y7236">
        <f>1-525-165-2177</f>
        <v>-2866</v>
      </c>
    </row>
    <row r="7237" spans="1:25" x14ac:dyDescent="0.35">
      <c r="A7237">
        <v>34.580897033236802</v>
      </c>
      <c r="B7237">
        <v>-118.417715452186</v>
      </c>
      <c r="C7237" t="s">
        <v>29</v>
      </c>
      <c r="D7237">
        <v>3.1618452251336402</v>
      </c>
      <c r="E7237">
        <v>6</v>
      </c>
      <c r="F7237">
        <v>703</v>
      </c>
      <c r="G7237">
        <v>3</v>
      </c>
      <c r="H7237">
        <v>2</v>
      </c>
      <c r="I7237">
        <v>2010</v>
      </c>
      <c r="J7237">
        <v>1</v>
      </c>
      <c r="K7237">
        <v>1</v>
      </c>
      <c r="L7237">
        <v>0</v>
      </c>
      <c r="M7237">
        <v>6</v>
      </c>
      <c r="N7237" t="s">
        <v>26</v>
      </c>
      <c r="O7237" t="s">
        <v>32</v>
      </c>
      <c r="P7237">
        <v>14.569152757992899</v>
      </c>
      <c r="Q7237">
        <v>1.0685776930048101</v>
      </c>
      <c r="R7237">
        <v>0.52386050974459797</v>
      </c>
      <c r="S7237">
        <v>81</v>
      </c>
      <c r="T7237">
        <v>68</v>
      </c>
      <c r="U7237">
        <v>895.05893841444095</v>
      </c>
      <c r="V7237">
        <v>8.5348506401137902E-3</v>
      </c>
      <c r="W7237">
        <v>1193896.5603113701</v>
      </c>
      <c r="X7237" t="s">
        <v>42</v>
      </c>
      <c r="Y7237">
        <f>1-379-133-1274</f>
        <v>-1785</v>
      </c>
    </row>
    <row r="7238" spans="1:25" x14ac:dyDescent="0.35">
      <c r="A7238">
        <v>38.595706017614098</v>
      </c>
      <c r="B7238">
        <v>-116.140871478561</v>
      </c>
      <c r="C7238" t="s">
        <v>29</v>
      </c>
      <c r="D7238">
        <v>25.061437053132199</v>
      </c>
      <c r="E7238">
        <v>6</v>
      </c>
      <c r="F7238">
        <v>1154</v>
      </c>
      <c r="G7238">
        <v>4</v>
      </c>
      <c r="H7238">
        <v>2</v>
      </c>
      <c r="I7238">
        <v>1996</v>
      </c>
      <c r="J7238">
        <v>0</v>
      </c>
      <c r="K7238">
        <v>0</v>
      </c>
      <c r="L7238">
        <v>1</v>
      </c>
      <c r="M7238">
        <v>5</v>
      </c>
      <c r="N7238" t="s">
        <v>37</v>
      </c>
      <c r="O7238" t="s">
        <v>32</v>
      </c>
      <c r="P7238">
        <v>9.5021505713679399</v>
      </c>
      <c r="Q7238">
        <v>2.0870441723619</v>
      </c>
      <c r="R7238">
        <v>1.9669677967386501</v>
      </c>
      <c r="S7238">
        <v>180</v>
      </c>
      <c r="T7238">
        <v>39</v>
      </c>
      <c r="U7238">
        <v>331.66836155158802</v>
      </c>
      <c r="V7238">
        <v>4.3327556325823196E-3</v>
      </c>
      <c r="W7238">
        <v>662964.93107414199</v>
      </c>
      <c r="X7238" t="s">
        <v>39</v>
      </c>
      <c r="Y7238">
        <f>1-260-982-8094</f>
        <v>-9335</v>
      </c>
    </row>
    <row r="7239" spans="1:25" x14ac:dyDescent="0.35">
      <c r="A7239">
        <v>35.2229671580046</v>
      </c>
      <c r="B7239">
        <v>-121.92585949881</v>
      </c>
      <c r="C7239" t="s">
        <v>34</v>
      </c>
      <c r="D7239">
        <v>10.687752118978899</v>
      </c>
      <c r="E7239">
        <v>4</v>
      </c>
      <c r="F7239">
        <v>3314</v>
      </c>
      <c r="G7239">
        <v>3</v>
      </c>
      <c r="H7239">
        <v>1</v>
      </c>
      <c r="I7239">
        <v>1965</v>
      </c>
      <c r="J7239">
        <v>1</v>
      </c>
      <c r="K7239">
        <v>1</v>
      </c>
      <c r="L7239">
        <v>1</v>
      </c>
      <c r="M7239">
        <v>4</v>
      </c>
      <c r="N7239" t="s">
        <v>41</v>
      </c>
      <c r="O7239" t="s">
        <v>32</v>
      </c>
      <c r="P7239">
        <v>3.8363962768979101</v>
      </c>
      <c r="Q7239">
        <v>1.6259676147017399</v>
      </c>
      <c r="R7239">
        <v>6.1960859124131504</v>
      </c>
      <c r="S7239">
        <v>124</v>
      </c>
      <c r="T7239">
        <v>75</v>
      </c>
      <c r="U7239">
        <v>422.059218345587</v>
      </c>
      <c r="V7239">
        <v>1.2070006035003E-3</v>
      </c>
      <c r="W7239">
        <v>1687110.8048568401</v>
      </c>
      <c r="X7239" t="s">
        <v>38</v>
      </c>
      <c r="Y7239">
        <f>1-614-611-2712</f>
        <v>-3936</v>
      </c>
    </row>
    <row r="7240" spans="1:25" x14ac:dyDescent="0.35">
      <c r="A7240">
        <v>41.455134656331197</v>
      </c>
      <c r="B7240">
        <v>-123.286274358976</v>
      </c>
      <c r="C7240" t="s">
        <v>34</v>
      </c>
      <c r="D7240">
        <v>40.7891626010083</v>
      </c>
      <c r="E7240">
        <v>2</v>
      </c>
      <c r="F7240">
        <v>2399</v>
      </c>
      <c r="G7240">
        <v>5</v>
      </c>
      <c r="H7240">
        <v>1</v>
      </c>
      <c r="I7240">
        <v>1952</v>
      </c>
      <c r="J7240">
        <v>1</v>
      </c>
      <c r="K7240">
        <v>0</v>
      </c>
      <c r="L7240">
        <v>1</v>
      </c>
      <c r="M7240">
        <v>14</v>
      </c>
      <c r="N7240" t="s">
        <v>37</v>
      </c>
      <c r="O7240" t="s">
        <v>32</v>
      </c>
      <c r="P7240">
        <v>5.2290709198305398</v>
      </c>
      <c r="Q7240">
        <v>1.9911066453987001</v>
      </c>
      <c r="R7240">
        <v>6.5418338413398303</v>
      </c>
      <c r="S7240">
        <v>70</v>
      </c>
      <c r="T7240">
        <v>29</v>
      </c>
      <c r="U7240">
        <v>204.370900755028</v>
      </c>
      <c r="V7240">
        <v>5.8357649020425104E-3</v>
      </c>
      <c r="W7240">
        <v>731320.46487929602</v>
      </c>
      <c r="X7240" t="s">
        <v>31</v>
      </c>
      <c r="Y7240">
        <f>1-604-195-3722</f>
        <v>-4520</v>
      </c>
    </row>
    <row r="7241" spans="1:25" x14ac:dyDescent="0.35">
      <c r="A7241">
        <v>37.918017371138603</v>
      </c>
      <c r="B7241">
        <v>-120.058787410799</v>
      </c>
      <c r="C7241" t="s">
        <v>34</v>
      </c>
      <c r="D7241">
        <v>27.329608322874499</v>
      </c>
      <c r="E7241">
        <v>0</v>
      </c>
      <c r="F7241">
        <v>3528</v>
      </c>
      <c r="G7241">
        <v>1</v>
      </c>
      <c r="H7241">
        <v>3</v>
      </c>
      <c r="I7241">
        <v>1978</v>
      </c>
      <c r="J7241">
        <v>0</v>
      </c>
      <c r="K7241">
        <v>1</v>
      </c>
      <c r="L7241">
        <v>0</v>
      </c>
      <c r="M7241">
        <v>14</v>
      </c>
      <c r="N7241" t="s">
        <v>37</v>
      </c>
      <c r="O7241" t="s">
        <v>30</v>
      </c>
      <c r="P7241">
        <v>7.1392658582887396</v>
      </c>
      <c r="Q7241">
        <v>0.81288682151344405</v>
      </c>
      <c r="R7241">
        <v>7.8886491020122396</v>
      </c>
      <c r="S7241">
        <v>193</v>
      </c>
      <c r="T7241">
        <v>41</v>
      </c>
      <c r="U7241">
        <v>462.99405971157103</v>
      </c>
      <c r="V7241">
        <v>3.9682539682539602E-3</v>
      </c>
      <c r="W7241">
        <v>1795240.6935757799</v>
      </c>
      <c r="X7241" t="s">
        <v>36</v>
      </c>
      <c r="Y7241">
        <f>1-980-137-5273</f>
        <v>-6389</v>
      </c>
    </row>
    <row r="7242" spans="1:25" x14ac:dyDescent="0.35">
      <c r="A7242">
        <v>38.307895569611098</v>
      </c>
      <c r="B7242">
        <v>-123.99621202247501</v>
      </c>
      <c r="C7242" t="s">
        <v>25</v>
      </c>
      <c r="D7242">
        <v>24.3139967717253</v>
      </c>
      <c r="E7242">
        <v>5</v>
      </c>
      <c r="F7242">
        <v>964</v>
      </c>
      <c r="G7242">
        <v>5</v>
      </c>
      <c r="H7242">
        <v>2</v>
      </c>
      <c r="I7242">
        <v>1998</v>
      </c>
      <c r="J7242">
        <v>0</v>
      </c>
      <c r="K7242">
        <v>1</v>
      </c>
      <c r="L7242">
        <v>0</v>
      </c>
      <c r="M7242">
        <v>8</v>
      </c>
      <c r="N7242" t="s">
        <v>41</v>
      </c>
      <c r="O7242" t="s">
        <v>30</v>
      </c>
      <c r="P7242">
        <v>10.8731187319784</v>
      </c>
      <c r="Q7242">
        <v>1.9308842834698801</v>
      </c>
      <c r="R7242">
        <v>2.6778262521826899</v>
      </c>
      <c r="S7242">
        <v>57</v>
      </c>
      <c r="T7242">
        <v>31</v>
      </c>
      <c r="U7242">
        <v>720.10138226037202</v>
      </c>
      <c r="V7242">
        <v>8.29875518672199E-3</v>
      </c>
      <c r="W7242">
        <v>1158430.21292387</v>
      </c>
      <c r="X7242" t="s">
        <v>43</v>
      </c>
      <c r="Y7242">
        <f>1-764-459-4950</f>
        <v>-6172</v>
      </c>
    </row>
    <row r="7243" spans="1:25" x14ac:dyDescent="0.35">
      <c r="A7243">
        <v>33.626404108199999</v>
      </c>
      <c r="B7243">
        <v>-118.703791616244</v>
      </c>
      <c r="C7243" t="s">
        <v>25</v>
      </c>
      <c r="D7243">
        <v>22.0286691949463</v>
      </c>
      <c r="E7243">
        <v>1</v>
      </c>
      <c r="F7243">
        <v>2310</v>
      </c>
      <c r="G7243">
        <v>1</v>
      </c>
      <c r="H7243">
        <v>1</v>
      </c>
      <c r="I7243">
        <v>1982</v>
      </c>
      <c r="J7243">
        <v>1</v>
      </c>
      <c r="K7243">
        <v>0</v>
      </c>
      <c r="L7243">
        <v>1</v>
      </c>
      <c r="M7243">
        <v>8</v>
      </c>
      <c r="N7243" t="s">
        <v>41</v>
      </c>
      <c r="O7243" t="s">
        <v>32</v>
      </c>
      <c r="P7243">
        <v>7.3088013927143303</v>
      </c>
      <c r="Q7243">
        <v>2.1970271253313598</v>
      </c>
      <c r="R7243">
        <v>2.43318238419275</v>
      </c>
      <c r="S7243">
        <v>198</v>
      </c>
      <c r="T7243">
        <v>60</v>
      </c>
      <c r="U7243">
        <v>851.64246951498001</v>
      </c>
      <c r="V7243">
        <v>3.4632034632034602E-3</v>
      </c>
      <c r="W7243">
        <v>2027432.4832169299</v>
      </c>
      <c r="X7243" t="s">
        <v>43</v>
      </c>
      <c r="Y7243">
        <f>1-765-720-5916</f>
        <v>-7400</v>
      </c>
    </row>
    <row r="7244" spans="1:25" x14ac:dyDescent="0.35">
      <c r="A7244">
        <v>34.739674261522602</v>
      </c>
      <c r="B7244">
        <v>-115.88437692961701</v>
      </c>
      <c r="C7244" t="s">
        <v>34</v>
      </c>
      <c r="D7244">
        <v>4.4104711306001496</v>
      </c>
      <c r="E7244">
        <v>2</v>
      </c>
      <c r="F7244">
        <v>3651</v>
      </c>
      <c r="G7244">
        <v>4</v>
      </c>
      <c r="H7244">
        <v>3</v>
      </c>
      <c r="I7244">
        <v>1951</v>
      </c>
      <c r="J7244">
        <v>0</v>
      </c>
      <c r="K7244">
        <v>1</v>
      </c>
      <c r="L7244">
        <v>1</v>
      </c>
      <c r="M7244">
        <v>11</v>
      </c>
      <c r="N7244" t="s">
        <v>26</v>
      </c>
      <c r="O7244" t="s">
        <v>30</v>
      </c>
      <c r="P7244">
        <v>14.0848984180416</v>
      </c>
      <c r="Q7244">
        <v>1.36139874056765</v>
      </c>
      <c r="R7244">
        <v>7.1970412297979198</v>
      </c>
      <c r="S7244">
        <v>47</v>
      </c>
      <c r="T7244">
        <v>43</v>
      </c>
      <c r="U7244">
        <v>795.29987603230995</v>
      </c>
      <c r="V7244">
        <v>3.01287318542864E-3</v>
      </c>
      <c r="W7244">
        <v>3241915.72103685</v>
      </c>
      <c r="X7244" t="s">
        <v>38</v>
      </c>
      <c r="Y7244">
        <f>1-263-363-6033</f>
        <v>-6658</v>
      </c>
    </row>
    <row r="7245" spans="1:25" x14ac:dyDescent="0.35">
      <c r="A7245">
        <v>37.2523666137105</v>
      </c>
      <c r="B7245">
        <v>-122.44506375748</v>
      </c>
      <c r="C7245" t="s">
        <v>34</v>
      </c>
      <c r="D7245">
        <v>28.2732942087985</v>
      </c>
      <c r="E7245">
        <v>2</v>
      </c>
      <c r="F7245">
        <v>903</v>
      </c>
      <c r="G7245">
        <v>1</v>
      </c>
      <c r="H7245">
        <v>2</v>
      </c>
      <c r="I7245">
        <v>1981</v>
      </c>
      <c r="J7245">
        <v>0</v>
      </c>
      <c r="K7245">
        <v>1</v>
      </c>
      <c r="L7245">
        <v>1</v>
      </c>
      <c r="M7245">
        <v>9</v>
      </c>
      <c r="N7245" t="s">
        <v>41</v>
      </c>
      <c r="O7245" t="s">
        <v>30</v>
      </c>
      <c r="P7245">
        <v>4.67888224279152</v>
      </c>
      <c r="Q7245">
        <v>1.1947223207298101</v>
      </c>
      <c r="R7245">
        <v>9.8944037952488202</v>
      </c>
      <c r="S7245">
        <v>136</v>
      </c>
      <c r="T7245">
        <v>36</v>
      </c>
      <c r="U7245">
        <v>728.52937209424499</v>
      </c>
      <c r="V7245">
        <v>9.9667774086378697E-3</v>
      </c>
      <c r="W7245">
        <v>828121.41462958301</v>
      </c>
      <c r="X7245" t="s">
        <v>38</v>
      </c>
      <c r="Y7245">
        <f>1-998-678-1771</f>
        <v>-3446</v>
      </c>
    </row>
    <row r="7246" spans="1:25" x14ac:dyDescent="0.35">
      <c r="A7246">
        <v>39.350023244660697</v>
      </c>
      <c r="B7246">
        <v>-114.172237180927</v>
      </c>
      <c r="C7246" t="s">
        <v>25</v>
      </c>
      <c r="D7246">
        <v>25.081544017868701</v>
      </c>
      <c r="E7246">
        <v>2</v>
      </c>
      <c r="F7246">
        <v>548</v>
      </c>
      <c r="G7246">
        <v>4</v>
      </c>
      <c r="H7246">
        <v>2</v>
      </c>
      <c r="I7246">
        <v>1991</v>
      </c>
      <c r="J7246">
        <v>0</v>
      </c>
      <c r="K7246">
        <v>0</v>
      </c>
      <c r="L7246">
        <v>1</v>
      </c>
      <c r="M7246">
        <v>6</v>
      </c>
      <c r="N7246" t="s">
        <v>41</v>
      </c>
      <c r="O7246" t="s">
        <v>30</v>
      </c>
      <c r="P7246">
        <v>6.3933296684905896</v>
      </c>
      <c r="Q7246">
        <v>1.6265788155280001</v>
      </c>
      <c r="R7246">
        <v>1.6165691648968299</v>
      </c>
      <c r="S7246">
        <v>198</v>
      </c>
      <c r="T7246">
        <v>49</v>
      </c>
      <c r="U7246">
        <v>234.32354399221799</v>
      </c>
      <c r="V7246">
        <v>1.0948905109489E-2</v>
      </c>
      <c r="W7246">
        <v>449629.142278591</v>
      </c>
      <c r="X7246" t="s">
        <v>42</v>
      </c>
      <c r="Y7246">
        <f>1-826-926-8204</f>
        <v>-9955</v>
      </c>
    </row>
    <row r="7247" spans="1:25" x14ac:dyDescent="0.35">
      <c r="A7247">
        <v>34.418916967076797</v>
      </c>
      <c r="B7247">
        <v>-114.04604344105501</v>
      </c>
      <c r="C7247" t="s">
        <v>29</v>
      </c>
      <c r="D7247">
        <v>43.758702697516497</v>
      </c>
      <c r="E7247">
        <v>7</v>
      </c>
      <c r="F7247">
        <v>3325</v>
      </c>
      <c r="G7247">
        <v>5</v>
      </c>
      <c r="H7247">
        <v>2</v>
      </c>
      <c r="I7247">
        <v>2017</v>
      </c>
      <c r="J7247">
        <v>1</v>
      </c>
      <c r="K7247">
        <v>0</v>
      </c>
      <c r="L7247">
        <v>0</v>
      </c>
      <c r="M7247">
        <v>7</v>
      </c>
      <c r="N7247" t="s">
        <v>35</v>
      </c>
      <c r="O7247" t="s">
        <v>27</v>
      </c>
      <c r="P7247">
        <v>11.1325431894054</v>
      </c>
      <c r="Q7247">
        <v>0.78478513716014298</v>
      </c>
      <c r="R7247">
        <v>0.34502344341027202</v>
      </c>
      <c r="S7247">
        <v>74</v>
      </c>
      <c r="T7247">
        <v>30</v>
      </c>
      <c r="U7247">
        <v>921.51637747995505</v>
      </c>
      <c r="V7247">
        <v>2.1052631578947299E-3</v>
      </c>
      <c r="W7247">
        <v>3552531.7954737502</v>
      </c>
      <c r="X7247" t="s">
        <v>42</v>
      </c>
      <c r="Y7247">
        <f>1-774-926-9934</f>
        <v>-11633</v>
      </c>
    </row>
    <row r="7248" spans="1:25" x14ac:dyDescent="0.35">
      <c r="A7248">
        <v>34.317892981231097</v>
      </c>
      <c r="B7248">
        <v>-124.18511137943401</v>
      </c>
      <c r="C7248" t="s">
        <v>34</v>
      </c>
      <c r="D7248">
        <v>28.829091387291999</v>
      </c>
      <c r="E7248">
        <v>2</v>
      </c>
      <c r="F7248">
        <v>3110</v>
      </c>
      <c r="G7248">
        <v>2</v>
      </c>
      <c r="H7248">
        <v>3</v>
      </c>
      <c r="I7248">
        <v>1990</v>
      </c>
      <c r="J7248">
        <v>1</v>
      </c>
      <c r="K7248">
        <v>0</v>
      </c>
      <c r="L7248">
        <v>0</v>
      </c>
      <c r="M7248">
        <v>3</v>
      </c>
      <c r="N7248" t="s">
        <v>26</v>
      </c>
      <c r="O7248" t="s">
        <v>32</v>
      </c>
      <c r="P7248">
        <v>13.7223625318072</v>
      </c>
      <c r="Q7248">
        <v>1.4630514979041001</v>
      </c>
      <c r="R7248">
        <v>5.8350140148460401</v>
      </c>
      <c r="S7248">
        <v>145</v>
      </c>
      <c r="T7248">
        <v>30</v>
      </c>
      <c r="U7248">
        <v>950.52271141239396</v>
      </c>
      <c r="V7248">
        <v>9.6463022508038495E-4</v>
      </c>
      <c r="W7248">
        <v>3248215.6123869098</v>
      </c>
      <c r="X7248" t="s">
        <v>31</v>
      </c>
      <c r="Y7248">
        <f>1-620-736-6143</f>
        <v>-7498</v>
      </c>
    </row>
    <row r="7249" spans="1:25" x14ac:dyDescent="0.35">
      <c r="A7249">
        <v>32.686884285795301</v>
      </c>
      <c r="B7249">
        <v>-117.42533436456699</v>
      </c>
      <c r="C7249" t="s">
        <v>29</v>
      </c>
      <c r="D7249">
        <v>30.296547842008</v>
      </c>
      <c r="E7249">
        <v>7</v>
      </c>
      <c r="F7249">
        <v>4949</v>
      </c>
      <c r="G7249">
        <v>4</v>
      </c>
      <c r="H7249">
        <v>1</v>
      </c>
      <c r="I7249">
        <v>2000</v>
      </c>
      <c r="J7249">
        <v>0</v>
      </c>
      <c r="K7249">
        <v>1</v>
      </c>
      <c r="L7249">
        <v>0</v>
      </c>
      <c r="M7249">
        <v>9</v>
      </c>
      <c r="N7249" t="s">
        <v>35</v>
      </c>
      <c r="O7249" t="s">
        <v>27</v>
      </c>
      <c r="P7249">
        <v>5.9583591894557797</v>
      </c>
      <c r="Q7249">
        <v>0.75545189445322403</v>
      </c>
      <c r="R7249">
        <v>8.2925215284461107</v>
      </c>
      <c r="S7249">
        <v>118</v>
      </c>
      <c r="T7249">
        <v>57</v>
      </c>
      <c r="U7249">
        <v>600.23770024105204</v>
      </c>
      <c r="V7249">
        <v>1.8185492018589599E-3</v>
      </c>
      <c r="W7249">
        <v>3289775.15945005</v>
      </c>
      <c r="X7249" t="s">
        <v>38</v>
      </c>
      <c r="Y7249">
        <f>1-915-716-6260</f>
        <v>-7890</v>
      </c>
    </row>
    <row r="7250" spans="1:25" x14ac:dyDescent="0.35">
      <c r="A7250">
        <v>32.613781751218497</v>
      </c>
      <c r="B7250">
        <v>-116.437482770817</v>
      </c>
      <c r="C7250" t="s">
        <v>29</v>
      </c>
      <c r="D7250">
        <v>46.860742818158798</v>
      </c>
      <c r="E7250">
        <v>7</v>
      </c>
      <c r="F7250">
        <v>4894</v>
      </c>
      <c r="G7250">
        <v>1</v>
      </c>
      <c r="H7250">
        <v>2</v>
      </c>
      <c r="I7250">
        <v>1969</v>
      </c>
      <c r="J7250">
        <v>1</v>
      </c>
      <c r="K7250">
        <v>0</v>
      </c>
      <c r="L7250">
        <v>1</v>
      </c>
      <c r="M7250">
        <v>8</v>
      </c>
      <c r="N7250" t="s">
        <v>35</v>
      </c>
      <c r="O7250" t="s">
        <v>30</v>
      </c>
      <c r="P7250">
        <v>9.9630885912720402</v>
      </c>
      <c r="Q7250">
        <v>0.84380460190418405</v>
      </c>
      <c r="R7250">
        <v>3.70917428371706</v>
      </c>
      <c r="S7250">
        <v>191</v>
      </c>
      <c r="T7250">
        <v>46</v>
      </c>
      <c r="U7250">
        <v>918.72518393227801</v>
      </c>
      <c r="V7250">
        <v>1.6346546791990099E-3</v>
      </c>
      <c r="W7250">
        <v>4684160.4569991101</v>
      </c>
      <c r="X7250" t="s">
        <v>38</v>
      </c>
      <c r="Y7250">
        <f>1-963-252-5507</f>
        <v>-6721</v>
      </c>
    </row>
    <row r="7251" spans="1:25" x14ac:dyDescent="0.35">
      <c r="A7251">
        <v>41.6440303380177</v>
      </c>
      <c r="B7251">
        <v>-117.39632463985799</v>
      </c>
      <c r="C7251" t="s">
        <v>29</v>
      </c>
      <c r="D7251">
        <v>36.375718915623501</v>
      </c>
      <c r="E7251">
        <v>8</v>
      </c>
      <c r="F7251">
        <v>932</v>
      </c>
      <c r="G7251">
        <v>4</v>
      </c>
      <c r="H7251">
        <v>2</v>
      </c>
      <c r="I7251">
        <v>1957</v>
      </c>
      <c r="J7251">
        <v>0</v>
      </c>
      <c r="K7251">
        <v>1</v>
      </c>
      <c r="L7251">
        <v>1</v>
      </c>
      <c r="M7251">
        <v>10</v>
      </c>
      <c r="N7251" t="s">
        <v>37</v>
      </c>
      <c r="O7251" t="s">
        <v>27</v>
      </c>
      <c r="P7251">
        <v>8.6866413716324509</v>
      </c>
      <c r="Q7251">
        <v>1.4600217295953399</v>
      </c>
      <c r="R7251">
        <v>2.23223046385744</v>
      </c>
      <c r="S7251">
        <v>156</v>
      </c>
      <c r="T7251">
        <v>30</v>
      </c>
      <c r="U7251">
        <v>239.503306343075</v>
      </c>
      <c r="V7251">
        <v>1.07296137339055E-2</v>
      </c>
      <c r="W7251">
        <v>571966.112388968</v>
      </c>
      <c r="X7251" t="s">
        <v>39</v>
      </c>
      <c r="Y7251">
        <f>1-384-203-9783</f>
        <v>-10369</v>
      </c>
    </row>
    <row r="7252" spans="1:25" x14ac:dyDescent="0.35">
      <c r="A7252">
        <v>33.299527589123002</v>
      </c>
      <c r="B7252">
        <v>-119.24769738397001</v>
      </c>
      <c r="C7252" t="s">
        <v>25</v>
      </c>
      <c r="D7252">
        <v>32.167769257357897</v>
      </c>
      <c r="E7252">
        <v>1</v>
      </c>
      <c r="F7252">
        <v>2352</v>
      </c>
      <c r="G7252">
        <v>4</v>
      </c>
      <c r="H7252">
        <v>3</v>
      </c>
      <c r="I7252">
        <v>2005</v>
      </c>
      <c r="J7252">
        <v>1</v>
      </c>
      <c r="K7252">
        <v>0</v>
      </c>
      <c r="L7252">
        <v>0</v>
      </c>
      <c r="M7252">
        <v>2</v>
      </c>
      <c r="N7252" t="s">
        <v>41</v>
      </c>
      <c r="O7252" t="s">
        <v>27</v>
      </c>
      <c r="P7252">
        <v>2.8439055453854198</v>
      </c>
      <c r="Q7252">
        <v>1.3002851317074</v>
      </c>
      <c r="R7252">
        <v>1.3036716294156901E-2</v>
      </c>
      <c r="S7252">
        <v>34</v>
      </c>
      <c r="T7252">
        <v>51</v>
      </c>
      <c r="U7252">
        <v>638.20474207775806</v>
      </c>
      <c r="V7252">
        <v>8.5034013605442098E-4</v>
      </c>
      <c r="W7252">
        <v>1726901.2075395701</v>
      </c>
      <c r="X7252" t="s">
        <v>31</v>
      </c>
      <c r="Y7252">
        <f>1-488-486-5138</f>
        <v>-6111</v>
      </c>
    </row>
    <row r="7253" spans="1:25" x14ac:dyDescent="0.35">
      <c r="A7253">
        <v>35.060602004420701</v>
      </c>
      <c r="B7253">
        <v>-118.58622492151601</v>
      </c>
      <c r="C7253" t="s">
        <v>25</v>
      </c>
      <c r="D7253">
        <v>36.088548280332802</v>
      </c>
      <c r="E7253">
        <v>8</v>
      </c>
      <c r="F7253">
        <v>1153</v>
      </c>
      <c r="G7253">
        <v>4</v>
      </c>
      <c r="H7253">
        <v>2</v>
      </c>
      <c r="I7253">
        <v>1957</v>
      </c>
      <c r="J7253">
        <v>0</v>
      </c>
      <c r="K7253">
        <v>0</v>
      </c>
      <c r="L7253">
        <v>0</v>
      </c>
      <c r="M7253">
        <v>13</v>
      </c>
      <c r="N7253" t="s">
        <v>26</v>
      </c>
      <c r="O7253" t="s">
        <v>30</v>
      </c>
      <c r="P7253">
        <v>11.6669259359167</v>
      </c>
      <c r="Q7253">
        <v>1.85501139447101</v>
      </c>
      <c r="R7253">
        <v>1.2306352861842</v>
      </c>
      <c r="S7253">
        <v>49</v>
      </c>
      <c r="T7253">
        <v>39</v>
      </c>
      <c r="U7253">
        <v>971.35246154094898</v>
      </c>
      <c r="V7253">
        <v>1.12749349522983E-2</v>
      </c>
      <c r="W7253">
        <v>1416358.34962579</v>
      </c>
      <c r="X7253" t="s">
        <v>31</v>
      </c>
      <c r="Y7253">
        <f>1-565-290-3066</f>
        <v>-3920</v>
      </c>
    </row>
    <row r="7254" spans="1:25" x14ac:dyDescent="0.35">
      <c r="A7254">
        <v>36.410961400731402</v>
      </c>
      <c r="B7254">
        <v>-117.36654642465599</v>
      </c>
      <c r="C7254" t="s">
        <v>29</v>
      </c>
      <c r="D7254">
        <v>25.903746071305999</v>
      </c>
      <c r="E7254">
        <v>1</v>
      </c>
      <c r="F7254">
        <v>3507</v>
      </c>
      <c r="G7254">
        <v>4</v>
      </c>
      <c r="H7254">
        <v>3</v>
      </c>
      <c r="I7254">
        <v>1976</v>
      </c>
      <c r="J7254">
        <v>0</v>
      </c>
      <c r="K7254">
        <v>0</v>
      </c>
      <c r="L7254">
        <v>0</v>
      </c>
      <c r="M7254">
        <v>6</v>
      </c>
      <c r="N7254" t="s">
        <v>35</v>
      </c>
      <c r="O7254" t="s">
        <v>27</v>
      </c>
      <c r="P7254">
        <v>5.5142575286414397</v>
      </c>
      <c r="Q7254">
        <v>2.3793641351966301</v>
      </c>
      <c r="R7254">
        <v>6.62996632287628</v>
      </c>
      <c r="S7254">
        <v>43</v>
      </c>
      <c r="T7254">
        <v>65</v>
      </c>
      <c r="U7254">
        <v>444.89186985895702</v>
      </c>
      <c r="V7254">
        <v>1.71086398631308E-3</v>
      </c>
      <c r="W7254">
        <v>1858056.3533652499</v>
      </c>
      <c r="X7254" t="s">
        <v>43</v>
      </c>
      <c r="Y7254">
        <f>1-213-489-1208</f>
        <v>-1909</v>
      </c>
    </row>
    <row r="7255" spans="1:25" x14ac:dyDescent="0.35">
      <c r="A7255">
        <v>33.937323660134503</v>
      </c>
      <c r="B7255">
        <v>-118.651224463334</v>
      </c>
      <c r="C7255" t="s">
        <v>25</v>
      </c>
      <c r="D7255">
        <v>34.752841585791501</v>
      </c>
      <c r="E7255">
        <v>5</v>
      </c>
      <c r="F7255">
        <v>3760</v>
      </c>
      <c r="G7255">
        <v>5</v>
      </c>
      <c r="H7255">
        <v>2</v>
      </c>
      <c r="I7255">
        <v>2002</v>
      </c>
      <c r="J7255">
        <v>0</v>
      </c>
      <c r="K7255">
        <v>0</v>
      </c>
      <c r="L7255">
        <v>1</v>
      </c>
      <c r="M7255">
        <v>7</v>
      </c>
      <c r="N7255" t="s">
        <v>35</v>
      </c>
      <c r="O7255" t="s">
        <v>32</v>
      </c>
      <c r="P7255">
        <v>14.8631614883582</v>
      </c>
      <c r="Q7255">
        <v>0.53150706692278804</v>
      </c>
      <c r="R7255">
        <v>3.19720878229244</v>
      </c>
      <c r="S7255">
        <v>156</v>
      </c>
      <c r="T7255">
        <v>31</v>
      </c>
      <c r="U7255">
        <v>253.29345541564899</v>
      </c>
      <c r="V7255">
        <v>1.86170212765957E-3</v>
      </c>
      <c r="W7255">
        <v>1399344.1409270701</v>
      </c>
      <c r="X7255" t="s">
        <v>39</v>
      </c>
      <c r="Y7255">
        <f>1-683-321-6783</f>
        <v>-7786</v>
      </c>
    </row>
    <row r="7256" spans="1:25" x14ac:dyDescent="0.35">
      <c r="A7256">
        <v>33.8922192599548</v>
      </c>
      <c r="B7256">
        <v>-119.31854701896199</v>
      </c>
      <c r="C7256" t="s">
        <v>29</v>
      </c>
      <c r="D7256">
        <v>17.099970375635401</v>
      </c>
      <c r="E7256">
        <v>0</v>
      </c>
      <c r="F7256">
        <v>2389</v>
      </c>
      <c r="G7256">
        <v>3</v>
      </c>
      <c r="H7256">
        <v>3</v>
      </c>
      <c r="I7256">
        <v>1960</v>
      </c>
      <c r="J7256">
        <v>0</v>
      </c>
      <c r="K7256">
        <v>0</v>
      </c>
      <c r="L7256">
        <v>1</v>
      </c>
      <c r="M7256">
        <v>4</v>
      </c>
      <c r="N7256" t="s">
        <v>41</v>
      </c>
      <c r="O7256" t="s">
        <v>30</v>
      </c>
      <c r="P7256">
        <v>14.280758324439599</v>
      </c>
      <c r="Q7256">
        <v>0.658134305056987</v>
      </c>
      <c r="R7256">
        <v>8.3968445110237493</v>
      </c>
      <c r="S7256">
        <v>179</v>
      </c>
      <c r="T7256">
        <v>64</v>
      </c>
      <c r="U7256">
        <v>982.830873186605</v>
      </c>
      <c r="V7256">
        <v>1.6743407283382099E-3</v>
      </c>
      <c r="W7256">
        <v>2609899.85965474</v>
      </c>
      <c r="X7256" t="s">
        <v>44</v>
      </c>
      <c r="Y7256">
        <f>1-372-114-7907</f>
        <v>-8392</v>
      </c>
    </row>
    <row r="7257" spans="1:25" x14ac:dyDescent="0.35">
      <c r="A7257">
        <v>34.951827150304503</v>
      </c>
      <c r="B7257">
        <v>-124.30900663308201</v>
      </c>
      <c r="C7257" t="s">
        <v>34</v>
      </c>
      <c r="D7257">
        <v>27.476397242970101</v>
      </c>
      <c r="E7257">
        <v>8</v>
      </c>
      <c r="F7257">
        <v>924</v>
      </c>
      <c r="G7257">
        <v>1</v>
      </c>
      <c r="H7257">
        <v>2</v>
      </c>
      <c r="I7257">
        <v>2007</v>
      </c>
      <c r="J7257">
        <v>1</v>
      </c>
      <c r="K7257">
        <v>1</v>
      </c>
      <c r="L7257">
        <v>1</v>
      </c>
      <c r="M7257">
        <v>12</v>
      </c>
      <c r="N7257" t="s">
        <v>26</v>
      </c>
      <c r="O7257" t="s">
        <v>30</v>
      </c>
      <c r="P7257">
        <v>13.8367645531916</v>
      </c>
      <c r="Q7257">
        <v>1.5360575473181199</v>
      </c>
      <c r="R7257">
        <v>8.4551754839914306</v>
      </c>
      <c r="S7257">
        <v>67</v>
      </c>
      <c r="T7257">
        <v>41</v>
      </c>
      <c r="U7257">
        <v>876.39806793923196</v>
      </c>
      <c r="V7257">
        <v>1.2987012987012899E-2</v>
      </c>
      <c r="W7257">
        <v>1076005.3924833301</v>
      </c>
      <c r="X7257" t="s">
        <v>39</v>
      </c>
      <c r="Y7257">
        <f>1-702-778-5620</f>
        <v>-7099</v>
      </c>
    </row>
    <row r="7258" spans="1:25" x14ac:dyDescent="0.35">
      <c r="A7258">
        <v>34.939464765424198</v>
      </c>
      <c r="B7258">
        <v>-120.27069752514799</v>
      </c>
      <c r="C7258" t="s">
        <v>25</v>
      </c>
      <c r="D7258">
        <v>5.3917732067859498</v>
      </c>
      <c r="E7258">
        <v>9</v>
      </c>
      <c r="F7258">
        <v>3289</v>
      </c>
      <c r="G7258">
        <v>2</v>
      </c>
      <c r="H7258">
        <v>3</v>
      </c>
      <c r="I7258">
        <v>1977</v>
      </c>
      <c r="J7258">
        <v>0</v>
      </c>
      <c r="K7258">
        <v>1</v>
      </c>
      <c r="L7258">
        <v>1</v>
      </c>
      <c r="M7258">
        <v>8</v>
      </c>
      <c r="N7258" t="s">
        <v>35</v>
      </c>
      <c r="O7258" t="s">
        <v>32</v>
      </c>
      <c r="P7258">
        <v>3.0782143154392698</v>
      </c>
      <c r="Q7258">
        <v>0.92182974015980901</v>
      </c>
      <c r="R7258">
        <v>1.6608474610934001</v>
      </c>
      <c r="S7258">
        <v>133</v>
      </c>
      <c r="T7258">
        <v>44</v>
      </c>
      <c r="U7258">
        <v>534.90239395893104</v>
      </c>
      <c r="V7258">
        <v>2.4323502584372098E-3</v>
      </c>
      <c r="W7258">
        <v>2013428.6355773499</v>
      </c>
      <c r="X7258" t="s">
        <v>36</v>
      </c>
      <c r="Y7258">
        <f>1-295-936-1649</f>
        <v>-2879</v>
      </c>
    </row>
    <row r="7259" spans="1:25" x14ac:dyDescent="0.35">
      <c r="A7259">
        <v>40.163464083158402</v>
      </c>
      <c r="B7259">
        <v>-119.864570308119</v>
      </c>
      <c r="C7259" t="s">
        <v>34</v>
      </c>
      <c r="D7259">
        <v>24.991000672677799</v>
      </c>
      <c r="E7259">
        <v>3</v>
      </c>
      <c r="F7259">
        <v>4481</v>
      </c>
      <c r="G7259">
        <v>4</v>
      </c>
      <c r="H7259">
        <v>1</v>
      </c>
      <c r="I7259">
        <v>2022</v>
      </c>
      <c r="J7259">
        <v>0</v>
      </c>
      <c r="K7259">
        <v>1</v>
      </c>
      <c r="L7259">
        <v>0</v>
      </c>
      <c r="M7259">
        <v>8</v>
      </c>
      <c r="N7259" t="s">
        <v>37</v>
      </c>
      <c r="O7259" t="s">
        <v>30</v>
      </c>
      <c r="P7259">
        <v>3.6306186452964599</v>
      </c>
      <c r="Q7259">
        <v>2.4521431472279098</v>
      </c>
      <c r="R7259">
        <v>5.2037580789673701</v>
      </c>
      <c r="S7259">
        <v>63</v>
      </c>
      <c r="T7259">
        <v>66</v>
      </c>
      <c r="U7259">
        <v>809.93648879009902</v>
      </c>
      <c r="V7259">
        <v>1.78531577772818E-3</v>
      </c>
      <c r="W7259">
        <v>3957635.8209545002</v>
      </c>
      <c r="X7259" t="s">
        <v>31</v>
      </c>
      <c r="Y7259">
        <f>1-554-172-7965</f>
        <v>-8690</v>
      </c>
    </row>
    <row r="7260" spans="1:25" x14ac:dyDescent="0.35">
      <c r="A7260">
        <v>36.528890742759998</v>
      </c>
      <c r="B7260">
        <v>-120.856133792221</v>
      </c>
      <c r="C7260" t="s">
        <v>25</v>
      </c>
      <c r="D7260">
        <v>2.4379869167263601</v>
      </c>
      <c r="E7260">
        <v>6</v>
      </c>
      <c r="F7260">
        <v>1035</v>
      </c>
      <c r="G7260">
        <v>3</v>
      </c>
      <c r="H7260">
        <v>2</v>
      </c>
      <c r="I7260">
        <v>2014</v>
      </c>
      <c r="J7260">
        <v>0</v>
      </c>
      <c r="K7260">
        <v>0</v>
      </c>
      <c r="L7260">
        <v>1</v>
      </c>
      <c r="M7260">
        <v>9</v>
      </c>
      <c r="N7260" t="s">
        <v>37</v>
      </c>
      <c r="O7260" t="s">
        <v>30</v>
      </c>
      <c r="P7260">
        <v>7.3451438777636504</v>
      </c>
      <c r="Q7260">
        <v>1.1619409482124301</v>
      </c>
      <c r="R7260">
        <v>8.4782372295363402</v>
      </c>
      <c r="S7260">
        <v>81</v>
      </c>
      <c r="T7260">
        <v>69</v>
      </c>
      <c r="U7260">
        <v>941.40308713302397</v>
      </c>
      <c r="V7260">
        <v>8.6956521739130401E-3</v>
      </c>
      <c r="W7260">
        <v>1257693.5058112999</v>
      </c>
      <c r="X7260" t="s">
        <v>39</v>
      </c>
      <c r="Y7260">
        <f>1-990-656-1137</f>
        <v>-2782</v>
      </c>
    </row>
    <row r="7261" spans="1:25" x14ac:dyDescent="0.35">
      <c r="A7261">
        <v>33.603928338458303</v>
      </c>
      <c r="B7261">
        <v>-118.517259898468</v>
      </c>
      <c r="C7261" t="s">
        <v>34</v>
      </c>
      <c r="D7261">
        <v>38.875741408787398</v>
      </c>
      <c r="E7261">
        <v>9</v>
      </c>
      <c r="F7261">
        <v>1722</v>
      </c>
      <c r="G7261">
        <v>4</v>
      </c>
      <c r="H7261">
        <v>1</v>
      </c>
      <c r="I7261">
        <v>2004</v>
      </c>
      <c r="J7261">
        <v>0</v>
      </c>
      <c r="K7261">
        <v>0</v>
      </c>
      <c r="L7261">
        <v>0</v>
      </c>
      <c r="M7261">
        <v>9</v>
      </c>
      <c r="N7261" t="s">
        <v>37</v>
      </c>
      <c r="O7261" t="s">
        <v>27</v>
      </c>
      <c r="P7261">
        <v>10.9814097645027</v>
      </c>
      <c r="Q7261">
        <v>0.62038713195370099</v>
      </c>
      <c r="R7261">
        <v>1.0431641742189199</v>
      </c>
      <c r="S7261">
        <v>49</v>
      </c>
      <c r="T7261">
        <v>27</v>
      </c>
      <c r="U7261">
        <v>387.03408819240599</v>
      </c>
      <c r="V7261">
        <v>5.2264808362369299E-3</v>
      </c>
      <c r="W7261">
        <v>1019257.6871228</v>
      </c>
      <c r="X7261" t="s">
        <v>28</v>
      </c>
      <c r="Y7261">
        <f>1-940-218-3885</f>
        <v>-5042</v>
      </c>
    </row>
    <row r="7262" spans="1:25" x14ac:dyDescent="0.35">
      <c r="A7262">
        <v>40.236473217134403</v>
      </c>
      <c r="B7262">
        <v>-123.657984685743</v>
      </c>
      <c r="C7262" t="s">
        <v>34</v>
      </c>
      <c r="D7262">
        <v>40.363324170702803</v>
      </c>
      <c r="E7262">
        <v>4</v>
      </c>
      <c r="F7262">
        <v>4153</v>
      </c>
      <c r="G7262">
        <v>3</v>
      </c>
      <c r="H7262">
        <v>1</v>
      </c>
      <c r="I7262">
        <v>1980</v>
      </c>
      <c r="J7262">
        <v>0</v>
      </c>
      <c r="K7262">
        <v>1</v>
      </c>
      <c r="L7262">
        <v>0</v>
      </c>
      <c r="M7262">
        <v>10</v>
      </c>
      <c r="N7262" t="s">
        <v>41</v>
      </c>
      <c r="O7262" t="s">
        <v>27</v>
      </c>
      <c r="P7262">
        <v>9.8809541171439097</v>
      </c>
      <c r="Q7262">
        <v>2.23076168281266</v>
      </c>
      <c r="R7262">
        <v>2.0969056953804399</v>
      </c>
      <c r="S7262">
        <v>99</v>
      </c>
      <c r="T7262">
        <v>73</v>
      </c>
      <c r="U7262">
        <v>531.64540971072404</v>
      </c>
      <c r="V7262">
        <v>2.40789790512882E-3</v>
      </c>
      <c r="W7262">
        <v>2526951.48900152</v>
      </c>
      <c r="X7262" t="s">
        <v>43</v>
      </c>
      <c r="Y7262">
        <f>1-740-197-1154</f>
        <v>-2090</v>
      </c>
    </row>
    <row r="7263" spans="1:25" x14ac:dyDescent="0.35">
      <c r="A7263">
        <v>38.716339987648098</v>
      </c>
      <c r="B7263">
        <v>-115.170230123122</v>
      </c>
      <c r="C7263" t="s">
        <v>34</v>
      </c>
      <c r="D7263">
        <v>7.1233019986416197</v>
      </c>
      <c r="E7263">
        <v>3</v>
      </c>
      <c r="F7263">
        <v>4760</v>
      </c>
      <c r="G7263">
        <v>5</v>
      </c>
      <c r="H7263">
        <v>1</v>
      </c>
      <c r="I7263">
        <v>1979</v>
      </c>
      <c r="J7263">
        <v>1</v>
      </c>
      <c r="K7263">
        <v>0</v>
      </c>
      <c r="L7263">
        <v>0</v>
      </c>
      <c r="M7263">
        <v>4</v>
      </c>
      <c r="N7263" t="s">
        <v>37</v>
      </c>
      <c r="O7263" t="s">
        <v>27</v>
      </c>
      <c r="P7263">
        <v>11.859608780636901</v>
      </c>
      <c r="Q7263">
        <v>0.61009641765071698</v>
      </c>
      <c r="R7263">
        <v>1.57088143496947</v>
      </c>
      <c r="S7263">
        <v>33</v>
      </c>
      <c r="T7263">
        <v>51</v>
      </c>
      <c r="U7263">
        <v>751.67679774728401</v>
      </c>
      <c r="V7263">
        <v>8.4033613445378102E-4</v>
      </c>
      <c r="W7263">
        <v>4002828.3332660398</v>
      </c>
      <c r="X7263" t="s">
        <v>28</v>
      </c>
      <c r="Y7263">
        <f>1-526-156-5949</f>
        <v>-6630</v>
      </c>
    </row>
    <row r="7264" spans="1:25" x14ac:dyDescent="0.35">
      <c r="A7264">
        <v>39.360939794598501</v>
      </c>
      <c r="B7264">
        <v>-116.59100086198001</v>
      </c>
      <c r="C7264" t="s">
        <v>34</v>
      </c>
      <c r="D7264">
        <v>1.04228675275717</v>
      </c>
      <c r="E7264">
        <v>5</v>
      </c>
      <c r="F7264">
        <v>839</v>
      </c>
      <c r="G7264">
        <v>3</v>
      </c>
      <c r="H7264">
        <v>3</v>
      </c>
      <c r="I7264">
        <v>1979</v>
      </c>
      <c r="J7264">
        <v>1</v>
      </c>
      <c r="K7264">
        <v>0</v>
      </c>
      <c r="L7264">
        <v>1</v>
      </c>
      <c r="M7264">
        <v>9</v>
      </c>
      <c r="N7264" t="s">
        <v>41</v>
      </c>
      <c r="O7264" t="s">
        <v>30</v>
      </c>
      <c r="P7264">
        <v>9.2363870659218499</v>
      </c>
      <c r="Q7264">
        <v>2.3731552619317302</v>
      </c>
      <c r="R7264">
        <v>1.54179049640782</v>
      </c>
      <c r="S7264">
        <v>199</v>
      </c>
      <c r="T7264">
        <v>21</v>
      </c>
      <c r="U7264">
        <v>201.22811582438499</v>
      </c>
      <c r="V7264">
        <v>1.07270560190703E-2</v>
      </c>
      <c r="W7264">
        <v>379589.82475493097</v>
      </c>
      <c r="X7264" t="s">
        <v>43</v>
      </c>
      <c r="Y7264">
        <f>1-843-418-2448</f>
        <v>-3708</v>
      </c>
    </row>
    <row r="7265" spans="1:25" x14ac:dyDescent="0.35">
      <c r="A7265">
        <v>39.866588080873001</v>
      </c>
      <c r="B7265">
        <v>-122.903085083504</v>
      </c>
      <c r="C7265" t="s">
        <v>25</v>
      </c>
      <c r="D7265">
        <v>39.170782941796098</v>
      </c>
      <c r="E7265">
        <v>5</v>
      </c>
      <c r="F7265">
        <v>2683</v>
      </c>
      <c r="G7265">
        <v>3</v>
      </c>
      <c r="H7265">
        <v>2</v>
      </c>
      <c r="I7265">
        <v>1997</v>
      </c>
      <c r="J7265">
        <v>0</v>
      </c>
      <c r="K7265">
        <v>1</v>
      </c>
      <c r="L7265">
        <v>1</v>
      </c>
      <c r="M7265">
        <v>11</v>
      </c>
      <c r="N7265" t="s">
        <v>41</v>
      </c>
      <c r="O7265" t="s">
        <v>27</v>
      </c>
      <c r="P7265">
        <v>6.0576882393869997</v>
      </c>
      <c r="Q7265">
        <v>2.3977357243496602</v>
      </c>
      <c r="R7265">
        <v>9.4847931321840804</v>
      </c>
      <c r="S7265">
        <v>69</v>
      </c>
      <c r="T7265">
        <v>45</v>
      </c>
      <c r="U7265">
        <v>805.31991050704801</v>
      </c>
      <c r="V7265">
        <v>4.0998881848676796E-3</v>
      </c>
      <c r="W7265">
        <v>2501284.1016327199</v>
      </c>
      <c r="X7265" t="s">
        <v>38</v>
      </c>
      <c r="Y7265">
        <f>1-744-162-4984</f>
        <v>-5889</v>
      </c>
    </row>
    <row r="7266" spans="1:25" x14ac:dyDescent="0.35">
      <c r="A7266">
        <v>40.192948589862802</v>
      </c>
      <c r="B7266">
        <v>-116.034658677846</v>
      </c>
      <c r="C7266" t="s">
        <v>25</v>
      </c>
      <c r="D7266">
        <v>38.8826732877084</v>
      </c>
      <c r="E7266">
        <v>4</v>
      </c>
      <c r="F7266">
        <v>3955</v>
      </c>
      <c r="G7266">
        <v>3</v>
      </c>
      <c r="H7266">
        <v>1</v>
      </c>
      <c r="I7266">
        <v>1966</v>
      </c>
      <c r="J7266">
        <v>1</v>
      </c>
      <c r="K7266">
        <v>1</v>
      </c>
      <c r="L7266">
        <v>0</v>
      </c>
      <c r="M7266">
        <v>11</v>
      </c>
      <c r="N7266" t="s">
        <v>26</v>
      </c>
      <c r="O7266" t="s">
        <v>32</v>
      </c>
      <c r="P7266">
        <v>3.0373928201460401</v>
      </c>
      <c r="Q7266">
        <v>0.64975447124392405</v>
      </c>
      <c r="R7266">
        <v>5.0741145007667301</v>
      </c>
      <c r="S7266">
        <v>99</v>
      </c>
      <c r="T7266">
        <v>62</v>
      </c>
      <c r="U7266">
        <v>750.82600490948403</v>
      </c>
      <c r="V7266">
        <v>2.78128950695322E-3</v>
      </c>
      <c r="W7266">
        <v>3156235.65738719</v>
      </c>
      <c r="X7266" t="s">
        <v>33</v>
      </c>
      <c r="Y7266">
        <f>1-396-172-3399</f>
        <v>-3966</v>
      </c>
    </row>
    <row r="7267" spans="1:25" x14ac:dyDescent="0.35">
      <c r="A7267">
        <v>36.672902631974203</v>
      </c>
      <c r="B7267">
        <v>-118.38582122874701</v>
      </c>
      <c r="C7267" t="s">
        <v>34</v>
      </c>
      <c r="D7267">
        <v>19.362556528420502</v>
      </c>
      <c r="E7267">
        <v>8</v>
      </c>
      <c r="F7267">
        <v>1308</v>
      </c>
      <c r="G7267">
        <v>1</v>
      </c>
      <c r="H7267">
        <v>2</v>
      </c>
      <c r="I7267">
        <v>2010</v>
      </c>
      <c r="J7267">
        <v>0</v>
      </c>
      <c r="K7267">
        <v>1</v>
      </c>
      <c r="L7267">
        <v>0</v>
      </c>
      <c r="M7267">
        <v>12</v>
      </c>
      <c r="N7267" t="s">
        <v>26</v>
      </c>
      <c r="O7267" t="s">
        <v>32</v>
      </c>
      <c r="P7267">
        <v>10.425441736209301</v>
      </c>
      <c r="Q7267">
        <v>2.00697761976883</v>
      </c>
      <c r="R7267">
        <v>2.78372036717241</v>
      </c>
      <c r="S7267">
        <v>77</v>
      </c>
      <c r="T7267">
        <v>74</v>
      </c>
      <c r="U7267">
        <v>472.10435640850397</v>
      </c>
      <c r="V7267">
        <v>9.1743119266054999E-3</v>
      </c>
      <c r="W7267">
        <v>878287.18961234996</v>
      </c>
      <c r="X7267" t="s">
        <v>33</v>
      </c>
      <c r="Y7267">
        <f>1-966-783-7367</f>
        <v>-9115</v>
      </c>
    </row>
    <row r="7268" spans="1:25" x14ac:dyDescent="0.35">
      <c r="A7268">
        <v>34.392160528958399</v>
      </c>
      <c r="B7268">
        <v>-116.547317676478</v>
      </c>
      <c r="C7268" t="s">
        <v>25</v>
      </c>
      <c r="D7268">
        <v>16.069737633503699</v>
      </c>
      <c r="E7268">
        <v>2</v>
      </c>
      <c r="F7268">
        <v>3286</v>
      </c>
      <c r="G7268">
        <v>1</v>
      </c>
      <c r="H7268">
        <v>1</v>
      </c>
      <c r="I7268">
        <v>1988</v>
      </c>
      <c r="J7268">
        <v>1</v>
      </c>
      <c r="K7268">
        <v>0</v>
      </c>
      <c r="L7268">
        <v>1</v>
      </c>
      <c r="M7268">
        <v>4</v>
      </c>
      <c r="N7268" t="s">
        <v>35</v>
      </c>
      <c r="O7268" t="s">
        <v>30</v>
      </c>
      <c r="P7268">
        <v>8.5236754271720194</v>
      </c>
      <c r="Q7268">
        <v>1.44063506291579</v>
      </c>
      <c r="R7268">
        <v>7.4151093898494098</v>
      </c>
      <c r="S7268">
        <v>82</v>
      </c>
      <c r="T7268">
        <v>56</v>
      </c>
      <c r="U7268">
        <v>677.68426694073503</v>
      </c>
      <c r="V7268">
        <v>1.2172854534388299E-3</v>
      </c>
      <c r="W7268">
        <v>2361234.09289722</v>
      </c>
      <c r="X7268" t="s">
        <v>39</v>
      </c>
      <c r="Y7268">
        <f>1-616-414-7382</f>
        <v>-8411</v>
      </c>
    </row>
    <row r="7269" spans="1:25" x14ac:dyDescent="0.35">
      <c r="A7269">
        <v>40.182096174490503</v>
      </c>
      <c r="B7269">
        <v>-124.446445408586</v>
      </c>
      <c r="C7269" t="s">
        <v>25</v>
      </c>
      <c r="D7269">
        <v>37.521916979469999</v>
      </c>
      <c r="E7269">
        <v>4</v>
      </c>
      <c r="F7269">
        <v>4487</v>
      </c>
      <c r="G7269">
        <v>4</v>
      </c>
      <c r="H7269">
        <v>2</v>
      </c>
      <c r="I7269">
        <v>1964</v>
      </c>
      <c r="J7269">
        <v>1</v>
      </c>
      <c r="K7269">
        <v>0</v>
      </c>
      <c r="L7269">
        <v>1</v>
      </c>
      <c r="M7269">
        <v>3</v>
      </c>
      <c r="N7269" t="s">
        <v>37</v>
      </c>
      <c r="O7269" t="s">
        <v>27</v>
      </c>
      <c r="P7269">
        <v>4.6882942317173599</v>
      </c>
      <c r="Q7269">
        <v>1.17451530710145</v>
      </c>
      <c r="R7269">
        <v>9.2396860657822</v>
      </c>
      <c r="S7269">
        <v>69</v>
      </c>
      <c r="T7269">
        <v>46</v>
      </c>
      <c r="U7269">
        <v>264.15799166205801</v>
      </c>
      <c r="V7269">
        <v>6.6859817249832797E-4</v>
      </c>
      <c r="W7269">
        <v>1455473.6729781099</v>
      </c>
      <c r="X7269" t="s">
        <v>38</v>
      </c>
      <c r="Y7269">
        <f>1-920-917-4582</f>
        <v>-6418</v>
      </c>
    </row>
    <row r="7270" spans="1:25" x14ac:dyDescent="0.35">
      <c r="A7270">
        <v>39.157841123209799</v>
      </c>
      <c r="B7270">
        <v>-124.44265052543599</v>
      </c>
      <c r="C7270" t="s">
        <v>25</v>
      </c>
      <c r="D7270">
        <v>41.132024720596597</v>
      </c>
      <c r="E7270">
        <v>4</v>
      </c>
      <c r="F7270">
        <v>1503</v>
      </c>
      <c r="G7270">
        <v>1</v>
      </c>
      <c r="H7270">
        <v>1</v>
      </c>
      <c r="I7270">
        <v>1954</v>
      </c>
      <c r="J7270">
        <v>0</v>
      </c>
      <c r="K7270">
        <v>0</v>
      </c>
      <c r="L7270">
        <v>0</v>
      </c>
      <c r="M7270">
        <v>8</v>
      </c>
      <c r="N7270" t="s">
        <v>26</v>
      </c>
      <c r="O7270" t="s">
        <v>27</v>
      </c>
      <c r="P7270">
        <v>12.2565551753192</v>
      </c>
      <c r="Q7270">
        <v>0.99014741757583002</v>
      </c>
      <c r="R7270">
        <v>8.6504028704854505</v>
      </c>
      <c r="S7270">
        <v>179</v>
      </c>
      <c r="T7270">
        <v>25</v>
      </c>
      <c r="U7270">
        <v>373.02005240311701</v>
      </c>
      <c r="V7270">
        <v>5.3226879574184904E-3</v>
      </c>
      <c r="W7270">
        <v>571206.38541618304</v>
      </c>
      <c r="X7270" t="s">
        <v>38</v>
      </c>
      <c r="Y7270">
        <f>1-767-994-7882</f>
        <v>-9642</v>
      </c>
    </row>
    <row r="7271" spans="1:25" x14ac:dyDescent="0.35">
      <c r="A7271">
        <v>41.6712704299851</v>
      </c>
      <c r="B7271">
        <v>-124.034038382207</v>
      </c>
      <c r="C7271" t="s">
        <v>29</v>
      </c>
      <c r="D7271">
        <v>44.563508984742199</v>
      </c>
      <c r="E7271">
        <v>9</v>
      </c>
      <c r="F7271">
        <v>2671</v>
      </c>
      <c r="G7271">
        <v>2</v>
      </c>
      <c r="H7271">
        <v>2</v>
      </c>
      <c r="I7271">
        <v>1976</v>
      </c>
      <c r="J7271">
        <v>1</v>
      </c>
      <c r="K7271">
        <v>0</v>
      </c>
      <c r="L7271">
        <v>0</v>
      </c>
      <c r="M7271">
        <v>9</v>
      </c>
      <c r="N7271" t="s">
        <v>26</v>
      </c>
      <c r="O7271" t="s">
        <v>27</v>
      </c>
      <c r="P7271">
        <v>4.6341002028283196</v>
      </c>
      <c r="Q7271">
        <v>2.2255834862102399</v>
      </c>
      <c r="R7271">
        <v>4.3003781561184402</v>
      </c>
      <c r="S7271">
        <v>45</v>
      </c>
      <c r="T7271">
        <v>77</v>
      </c>
      <c r="U7271">
        <v>600.68264565929496</v>
      </c>
      <c r="V7271">
        <v>3.3695245226506901E-3</v>
      </c>
      <c r="W7271">
        <v>1794725.5809517601</v>
      </c>
      <c r="X7271" t="s">
        <v>33</v>
      </c>
      <c r="Y7271">
        <f>1-613-848-5910</f>
        <v>-7370</v>
      </c>
    </row>
    <row r="7272" spans="1:25" x14ac:dyDescent="0.35">
      <c r="A7272">
        <v>40.583301418088801</v>
      </c>
      <c r="B7272">
        <v>-114.820838561017</v>
      </c>
      <c r="C7272" t="s">
        <v>29</v>
      </c>
      <c r="D7272">
        <v>44.776328497083298</v>
      </c>
      <c r="E7272">
        <v>4</v>
      </c>
      <c r="F7272">
        <v>2349</v>
      </c>
      <c r="G7272">
        <v>2</v>
      </c>
      <c r="H7272">
        <v>1</v>
      </c>
      <c r="I7272">
        <v>1988</v>
      </c>
      <c r="J7272">
        <v>1</v>
      </c>
      <c r="K7272">
        <v>0</v>
      </c>
      <c r="L7272">
        <v>1</v>
      </c>
      <c r="M7272">
        <v>12</v>
      </c>
      <c r="N7272" t="s">
        <v>41</v>
      </c>
      <c r="O7272" t="s">
        <v>30</v>
      </c>
      <c r="P7272">
        <v>10.464404724779</v>
      </c>
      <c r="Q7272">
        <v>2.00488275798523</v>
      </c>
      <c r="R7272">
        <v>3.8111215884898999</v>
      </c>
      <c r="S7272">
        <v>78</v>
      </c>
      <c r="T7272">
        <v>23</v>
      </c>
      <c r="U7272">
        <v>558.02591264357102</v>
      </c>
      <c r="V7272">
        <v>5.1085568326947597E-3</v>
      </c>
      <c r="W7272">
        <v>1432404.45220996</v>
      </c>
      <c r="X7272" t="s">
        <v>38</v>
      </c>
      <c r="Y7272">
        <f>1-469-510-9469</f>
        <v>-10447</v>
      </c>
    </row>
    <row r="7273" spans="1:25" x14ac:dyDescent="0.35">
      <c r="A7273">
        <v>36.475889755217899</v>
      </c>
      <c r="B7273">
        <v>-123.620374802456</v>
      </c>
      <c r="C7273" t="s">
        <v>25</v>
      </c>
      <c r="D7273">
        <v>36.0114270673538</v>
      </c>
      <c r="E7273">
        <v>6</v>
      </c>
      <c r="F7273">
        <v>2038</v>
      </c>
      <c r="G7273">
        <v>3</v>
      </c>
      <c r="H7273">
        <v>2</v>
      </c>
      <c r="I7273">
        <v>1955</v>
      </c>
      <c r="J7273">
        <v>1</v>
      </c>
      <c r="K7273">
        <v>1</v>
      </c>
      <c r="L7273">
        <v>0</v>
      </c>
      <c r="M7273">
        <v>11</v>
      </c>
      <c r="N7273" t="s">
        <v>37</v>
      </c>
      <c r="O7273" t="s">
        <v>27</v>
      </c>
      <c r="P7273">
        <v>13.6924424489894</v>
      </c>
      <c r="Q7273">
        <v>2.4628876956362</v>
      </c>
      <c r="R7273">
        <v>5.0396994704209499</v>
      </c>
      <c r="S7273">
        <v>102</v>
      </c>
      <c r="T7273">
        <v>79</v>
      </c>
      <c r="U7273">
        <v>600.97721138789302</v>
      </c>
      <c r="V7273">
        <v>5.3974484789008799E-3</v>
      </c>
      <c r="W7273">
        <v>1506327.4622889899</v>
      </c>
      <c r="X7273" t="s">
        <v>43</v>
      </c>
      <c r="Y7273">
        <f>1-309-175-5550</f>
        <v>-6033</v>
      </c>
    </row>
    <row r="7274" spans="1:25" x14ac:dyDescent="0.35">
      <c r="A7274">
        <v>34.545741798647903</v>
      </c>
      <c r="B7274">
        <v>-117.702560310099</v>
      </c>
      <c r="C7274" t="s">
        <v>25</v>
      </c>
      <c r="D7274">
        <v>28.473417884948599</v>
      </c>
      <c r="E7274">
        <v>7</v>
      </c>
      <c r="F7274">
        <v>3714</v>
      </c>
      <c r="G7274">
        <v>4</v>
      </c>
      <c r="H7274">
        <v>2</v>
      </c>
      <c r="I7274">
        <v>1970</v>
      </c>
      <c r="J7274">
        <v>1</v>
      </c>
      <c r="K7274">
        <v>1</v>
      </c>
      <c r="L7274">
        <v>1</v>
      </c>
      <c r="M7274">
        <v>6</v>
      </c>
      <c r="N7274" t="s">
        <v>41</v>
      </c>
      <c r="O7274" t="s">
        <v>30</v>
      </c>
      <c r="P7274">
        <v>12.7646254133795</v>
      </c>
      <c r="Q7274">
        <v>0.50613105387660895</v>
      </c>
      <c r="R7274">
        <v>7.0071295085108396</v>
      </c>
      <c r="S7274">
        <v>190</v>
      </c>
      <c r="T7274">
        <v>72</v>
      </c>
      <c r="U7274">
        <v>842.49455056706802</v>
      </c>
      <c r="V7274">
        <v>1.6155088852988599E-3</v>
      </c>
      <c r="W7274">
        <v>3541054.7696730699</v>
      </c>
      <c r="X7274" t="s">
        <v>31</v>
      </c>
      <c r="Y7274">
        <f>1-260-175-8304</f>
        <v>-8738</v>
      </c>
    </row>
    <row r="7275" spans="1:25" x14ac:dyDescent="0.35">
      <c r="A7275">
        <v>41.838927994334803</v>
      </c>
      <c r="B7275">
        <v>-114.375292299199</v>
      </c>
      <c r="C7275" t="s">
        <v>25</v>
      </c>
      <c r="D7275">
        <v>44.734856172177501</v>
      </c>
      <c r="E7275">
        <v>6</v>
      </c>
      <c r="F7275">
        <v>2680</v>
      </c>
      <c r="G7275">
        <v>5</v>
      </c>
      <c r="H7275">
        <v>2</v>
      </c>
      <c r="I7275">
        <v>1972</v>
      </c>
      <c r="J7275">
        <v>1</v>
      </c>
      <c r="K7275">
        <v>1</v>
      </c>
      <c r="L7275">
        <v>1</v>
      </c>
      <c r="M7275">
        <v>8</v>
      </c>
      <c r="N7275" t="s">
        <v>26</v>
      </c>
      <c r="O7275" t="s">
        <v>32</v>
      </c>
      <c r="P7275">
        <v>4.3236661618920502</v>
      </c>
      <c r="Q7275">
        <v>1.71517581026789</v>
      </c>
      <c r="R7275">
        <v>3.0676346949027802</v>
      </c>
      <c r="S7275">
        <v>95</v>
      </c>
      <c r="T7275">
        <v>68</v>
      </c>
      <c r="U7275">
        <v>992.45058875324401</v>
      </c>
      <c r="V7275">
        <v>2.9850746268656699E-3</v>
      </c>
      <c r="W7275">
        <v>3011219.71932521</v>
      </c>
      <c r="X7275" t="s">
        <v>43</v>
      </c>
      <c r="Y7275">
        <f>1-475-588-8065</f>
        <v>-9127</v>
      </c>
    </row>
    <row r="7276" spans="1:25" x14ac:dyDescent="0.35">
      <c r="A7276">
        <v>39.7636297680924</v>
      </c>
      <c r="B7276">
        <v>-122.89712996007199</v>
      </c>
      <c r="C7276" t="s">
        <v>29</v>
      </c>
      <c r="D7276">
        <v>38.727742908567201</v>
      </c>
      <c r="E7276">
        <v>9</v>
      </c>
      <c r="F7276">
        <v>3469</v>
      </c>
      <c r="G7276">
        <v>3</v>
      </c>
      <c r="H7276">
        <v>3</v>
      </c>
      <c r="I7276">
        <v>1966</v>
      </c>
      <c r="J7276">
        <v>1</v>
      </c>
      <c r="K7276">
        <v>1</v>
      </c>
      <c r="L7276">
        <v>0</v>
      </c>
      <c r="M7276">
        <v>14</v>
      </c>
      <c r="N7276" t="s">
        <v>26</v>
      </c>
      <c r="O7276" t="s">
        <v>32</v>
      </c>
      <c r="P7276">
        <v>3.5180530327090298</v>
      </c>
      <c r="Q7276">
        <v>1.01384799667831</v>
      </c>
      <c r="R7276">
        <v>6.6158254048831298</v>
      </c>
      <c r="S7276">
        <v>5</v>
      </c>
      <c r="T7276">
        <v>31</v>
      </c>
      <c r="U7276">
        <v>582.92038939820304</v>
      </c>
      <c r="V7276">
        <v>4.0357451715191698E-3</v>
      </c>
      <c r="W7276">
        <v>2283630.4858637098</v>
      </c>
      <c r="X7276" t="s">
        <v>28</v>
      </c>
      <c r="Y7276">
        <f>1-980-780-6199</f>
        <v>-7958</v>
      </c>
    </row>
    <row r="7277" spans="1:25" x14ac:dyDescent="0.35">
      <c r="A7277">
        <v>39.478438475825101</v>
      </c>
      <c r="B7277">
        <v>-114.307044984394</v>
      </c>
      <c r="C7277" t="s">
        <v>25</v>
      </c>
      <c r="D7277">
        <v>10.814646439652099</v>
      </c>
      <c r="E7277">
        <v>0</v>
      </c>
      <c r="F7277">
        <v>1337</v>
      </c>
      <c r="G7277">
        <v>5</v>
      </c>
      <c r="H7277">
        <v>2</v>
      </c>
      <c r="I7277">
        <v>2011</v>
      </c>
      <c r="J7277">
        <v>1</v>
      </c>
      <c r="K7277">
        <v>1</v>
      </c>
      <c r="L7277">
        <v>1</v>
      </c>
      <c r="M7277">
        <v>7</v>
      </c>
      <c r="N7277" t="s">
        <v>41</v>
      </c>
      <c r="O7277" t="s">
        <v>30</v>
      </c>
      <c r="P7277">
        <v>2.8808044735439902</v>
      </c>
      <c r="Q7277">
        <v>2.44375088126099</v>
      </c>
      <c r="R7277">
        <v>8.5784764703223697</v>
      </c>
      <c r="S7277">
        <v>73</v>
      </c>
      <c r="T7277">
        <v>53</v>
      </c>
      <c r="U7277">
        <v>344.83753926836999</v>
      </c>
      <c r="V7277">
        <v>5.2356020942408302E-3</v>
      </c>
      <c r="W7277">
        <v>949368.23187865899</v>
      </c>
      <c r="X7277" t="s">
        <v>28</v>
      </c>
      <c r="Y7277">
        <f>1-376-997-2132</f>
        <v>-3504</v>
      </c>
    </row>
    <row r="7278" spans="1:25" x14ac:dyDescent="0.35">
      <c r="A7278">
        <v>33.091668692293098</v>
      </c>
      <c r="B7278">
        <v>-118.07145390568699</v>
      </c>
      <c r="C7278" t="s">
        <v>25</v>
      </c>
      <c r="D7278">
        <v>49.014709631784399</v>
      </c>
      <c r="E7278">
        <v>2</v>
      </c>
      <c r="F7278">
        <v>4941</v>
      </c>
      <c r="G7278">
        <v>2</v>
      </c>
      <c r="H7278">
        <v>1</v>
      </c>
      <c r="I7278">
        <v>1963</v>
      </c>
      <c r="J7278">
        <v>0</v>
      </c>
      <c r="K7278">
        <v>1</v>
      </c>
      <c r="L7278">
        <v>1</v>
      </c>
      <c r="M7278">
        <v>11</v>
      </c>
      <c r="N7278" t="s">
        <v>26</v>
      </c>
      <c r="O7278" t="s">
        <v>27</v>
      </c>
      <c r="P7278">
        <v>8.9135995965661206</v>
      </c>
      <c r="Q7278">
        <v>2.1492040049075198</v>
      </c>
      <c r="R7278">
        <v>7.0179062054286296</v>
      </c>
      <c r="S7278">
        <v>183</v>
      </c>
      <c r="T7278">
        <v>39</v>
      </c>
      <c r="U7278">
        <v>252.72072316329101</v>
      </c>
      <c r="V7278">
        <v>2.2262699858328198E-3</v>
      </c>
      <c r="W7278">
        <v>1459768.58477095</v>
      </c>
      <c r="X7278" t="s">
        <v>43</v>
      </c>
      <c r="Y7278">
        <f>1-302-879-3191</f>
        <v>-4371</v>
      </c>
    </row>
    <row r="7279" spans="1:25" x14ac:dyDescent="0.35">
      <c r="A7279">
        <v>35.544971724451997</v>
      </c>
      <c r="B7279">
        <v>-122.50320976642099</v>
      </c>
      <c r="C7279" t="s">
        <v>34</v>
      </c>
      <c r="D7279">
        <v>40.377076275125297</v>
      </c>
      <c r="E7279">
        <v>7</v>
      </c>
      <c r="F7279">
        <v>2017</v>
      </c>
      <c r="G7279">
        <v>1</v>
      </c>
      <c r="H7279">
        <v>3</v>
      </c>
      <c r="I7279">
        <v>1979</v>
      </c>
      <c r="J7279">
        <v>1</v>
      </c>
      <c r="K7279">
        <v>0</v>
      </c>
      <c r="L7279">
        <v>0</v>
      </c>
      <c r="M7279">
        <v>6</v>
      </c>
      <c r="N7279" t="s">
        <v>35</v>
      </c>
      <c r="O7279" t="s">
        <v>27</v>
      </c>
      <c r="P7279">
        <v>8.41736110556465</v>
      </c>
      <c r="Q7279">
        <v>1.7487669342745999</v>
      </c>
      <c r="R7279">
        <v>7.3547181736048799</v>
      </c>
      <c r="S7279">
        <v>195</v>
      </c>
      <c r="T7279">
        <v>25</v>
      </c>
      <c r="U7279">
        <v>725.22591724943197</v>
      </c>
      <c r="V7279">
        <v>2.97471492315319E-3</v>
      </c>
      <c r="W7279">
        <v>1646478.1814490301</v>
      </c>
      <c r="X7279" t="s">
        <v>39</v>
      </c>
      <c r="Y7279">
        <f>1-436-762-4625</f>
        <v>-5822</v>
      </c>
    </row>
    <row r="7280" spans="1:25" x14ac:dyDescent="0.35">
      <c r="A7280">
        <v>32.868910493351699</v>
      </c>
      <c r="B7280">
        <v>-122.873879516296</v>
      </c>
      <c r="C7280" t="s">
        <v>29</v>
      </c>
      <c r="D7280">
        <v>24.3469600312723</v>
      </c>
      <c r="E7280">
        <v>2</v>
      </c>
      <c r="F7280">
        <v>4642</v>
      </c>
      <c r="G7280">
        <v>4</v>
      </c>
      <c r="H7280">
        <v>1</v>
      </c>
      <c r="I7280">
        <v>1978</v>
      </c>
      <c r="J7280">
        <v>1</v>
      </c>
      <c r="K7280">
        <v>0</v>
      </c>
      <c r="L7280">
        <v>0</v>
      </c>
      <c r="M7280">
        <v>9</v>
      </c>
      <c r="N7280" t="s">
        <v>26</v>
      </c>
      <c r="O7280" t="s">
        <v>30</v>
      </c>
      <c r="P7280">
        <v>6.61386232576662</v>
      </c>
      <c r="Q7280">
        <v>0.94780179827703404</v>
      </c>
      <c r="R7280">
        <v>1.0738264384804199</v>
      </c>
      <c r="S7280">
        <v>197</v>
      </c>
      <c r="T7280">
        <v>31</v>
      </c>
      <c r="U7280">
        <v>526.92459735177499</v>
      </c>
      <c r="V7280">
        <v>1.93881947436449E-3</v>
      </c>
      <c r="W7280">
        <v>2637066.0500074001</v>
      </c>
      <c r="X7280" t="s">
        <v>42</v>
      </c>
      <c r="Y7280">
        <f>1-658-786-4021</f>
        <v>-5464</v>
      </c>
    </row>
    <row r="7281" spans="1:25" x14ac:dyDescent="0.35">
      <c r="A7281">
        <v>38.8979682878863</v>
      </c>
      <c r="B7281">
        <v>-114.147054714726</v>
      </c>
      <c r="C7281" t="s">
        <v>29</v>
      </c>
      <c r="D7281">
        <v>32.3607938200796</v>
      </c>
      <c r="E7281">
        <v>9</v>
      </c>
      <c r="F7281">
        <v>2175</v>
      </c>
      <c r="G7281">
        <v>1</v>
      </c>
      <c r="H7281">
        <v>2</v>
      </c>
      <c r="I7281">
        <v>1970</v>
      </c>
      <c r="J7281">
        <v>0</v>
      </c>
      <c r="K7281">
        <v>0</v>
      </c>
      <c r="L7281">
        <v>0</v>
      </c>
      <c r="M7281">
        <v>2</v>
      </c>
      <c r="N7281" t="s">
        <v>37</v>
      </c>
      <c r="O7281" t="s">
        <v>27</v>
      </c>
      <c r="P7281">
        <v>6.3040401079744699</v>
      </c>
      <c r="Q7281">
        <v>2.2570581075303302</v>
      </c>
      <c r="R7281">
        <v>9.0785411474098403</v>
      </c>
      <c r="S7281">
        <v>71</v>
      </c>
      <c r="T7281">
        <v>73</v>
      </c>
      <c r="U7281">
        <v>522.14759468097395</v>
      </c>
      <c r="V7281">
        <v>9.19540229885057E-4</v>
      </c>
      <c r="W7281">
        <v>1202676.35604197</v>
      </c>
      <c r="X7281" t="s">
        <v>42</v>
      </c>
      <c r="Y7281">
        <f>1-684-297-2580</f>
        <v>-3560</v>
      </c>
    </row>
    <row r="7282" spans="1:25" x14ac:dyDescent="0.35">
      <c r="A7282">
        <v>40.9151353230206</v>
      </c>
      <c r="B7282">
        <v>-121.599268532363</v>
      </c>
      <c r="C7282" t="s">
        <v>34</v>
      </c>
      <c r="D7282">
        <v>4.30913810250299</v>
      </c>
      <c r="E7282">
        <v>7</v>
      </c>
      <c r="F7282">
        <v>3473</v>
      </c>
      <c r="G7282">
        <v>1</v>
      </c>
      <c r="H7282">
        <v>2</v>
      </c>
      <c r="I7282">
        <v>2015</v>
      </c>
      <c r="J7282">
        <v>1</v>
      </c>
      <c r="K7282">
        <v>1</v>
      </c>
      <c r="L7282">
        <v>0</v>
      </c>
      <c r="M7282">
        <v>5</v>
      </c>
      <c r="N7282" t="s">
        <v>41</v>
      </c>
      <c r="O7282" t="s">
        <v>30</v>
      </c>
      <c r="P7282">
        <v>2.7466575174722601</v>
      </c>
      <c r="Q7282">
        <v>1.0831793548397699</v>
      </c>
      <c r="R7282">
        <v>6.8529227833523203</v>
      </c>
      <c r="S7282">
        <v>30</v>
      </c>
      <c r="T7282">
        <v>22</v>
      </c>
      <c r="U7282">
        <v>441.24049904267298</v>
      </c>
      <c r="V7282">
        <v>1.4396775122372499E-3</v>
      </c>
      <c r="W7282">
        <v>1699141.1652516101</v>
      </c>
      <c r="X7282" t="s">
        <v>31</v>
      </c>
      <c r="Y7282">
        <f>1-487-977-3110</f>
        <v>-4573</v>
      </c>
    </row>
    <row r="7283" spans="1:25" x14ac:dyDescent="0.35">
      <c r="A7283">
        <v>33.1645352606185</v>
      </c>
      <c r="B7283">
        <v>-119.30727368452899</v>
      </c>
      <c r="C7283" t="s">
        <v>29</v>
      </c>
      <c r="D7283">
        <v>27.365483035526101</v>
      </c>
      <c r="E7283">
        <v>7</v>
      </c>
      <c r="F7283">
        <v>1086</v>
      </c>
      <c r="G7283">
        <v>5</v>
      </c>
      <c r="H7283">
        <v>1</v>
      </c>
      <c r="I7283">
        <v>2008</v>
      </c>
      <c r="J7283">
        <v>0</v>
      </c>
      <c r="K7283">
        <v>1</v>
      </c>
      <c r="L7283">
        <v>0</v>
      </c>
      <c r="M7283">
        <v>9</v>
      </c>
      <c r="N7283" t="s">
        <v>41</v>
      </c>
      <c r="O7283" t="s">
        <v>30</v>
      </c>
      <c r="P7283">
        <v>2.2016166945390299</v>
      </c>
      <c r="Q7283">
        <v>1.7368769675979701</v>
      </c>
      <c r="R7283">
        <v>3.86459545704979</v>
      </c>
      <c r="S7283">
        <v>45</v>
      </c>
      <c r="T7283">
        <v>54</v>
      </c>
      <c r="U7283">
        <v>912.11600837700098</v>
      </c>
      <c r="V7283">
        <v>8.2872928176795507E-3</v>
      </c>
      <c r="W7283">
        <v>1257472.3551851299</v>
      </c>
      <c r="X7283" t="s">
        <v>36</v>
      </c>
      <c r="Y7283">
        <f>1-951-510-3756</f>
        <v>-5216</v>
      </c>
    </row>
    <row r="7284" spans="1:25" x14ac:dyDescent="0.35">
      <c r="A7284">
        <v>33.150355431550203</v>
      </c>
      <c r="B7284">
        <v>-123.388666799391</v>
      </c>
      <c r="C7284" t="s">
        <v>25</v>
      </c>
      <c r="D7284">
        <v>16.059812394803298</v>
      </c>
      <c r="E7284">
        <v>2</v>
      </c>
      <c r="F7284">
        <v>1405</v>
      </c>
      <c r="G7284">
        <v>3</v>
      </c>
      <c r="H7284">
        <v>1</v>
      </c>
      <c r="I7284">
        <v>2015</v>
      </c>
      <c r="J7284">
        <v>1</v>
      </c>
      <c r="K7284">
        <v>0</v>
      </c>
      <c r="L7284">
        <v>0</v>
      </c>
      <c r="M7284">
        <v>13</v>
      </c>
      <c r="N7284" t="s">
        <v>35</v>
      </c>
      <c r="O7284" t="s">
        <v>32</v>
      </c>
      <c r="P7284">
        <v>7.3458836743465801</v>
      </c>
      <c r="Q7284">
        <v>0.78018422229894502</v>
      </c>
      <c r="R7284">
        <v>2.97217306420831</v>
      </c>
      <c r="S7284">
        <v>50</v>
      </c>
      <c r="T7284">
        <v>30</v>
      </c>
      <c r="U7284">
        <v>386.34709610769897</v>
      </c>
      <c r="V7284">
        <v>9.2526690391458999E-3</v>
      </c>
      <c r="W7284">
        <v>750577.62646927196</v>
      </c>
      <c r="X7284" t="s">
        <v>42</v>
      </c>
      <c r="Y7284">
        <f>1-487-423-5119</f>
        <v>-6028</v>
      </c>
    </row>
    <row r="7285" spans="1:25" x14ac:dyDescent="0.35">
      <c r="A7285">
        <v>35.414265139776603</v>
      </c>
      <c r="B7285">
        <v>-118.313691020837</v>
      </c>
      <c r="C7285" t="s">
        <v>25</v>
      </c>
      <c r="D7285">
        <v>49.307804001743499</v>
      </c>
      <c r="E7285">
        <v>1</v>
      </c>
      <c r="F7285">
        <v>1330</v>
      </c>
      <c r="G7285">
        <v>2</v>
      </c>
      <c r="H7285">
        <v>2</v>
      </c>
      <c r="I7285">
        <v>2000</v>
      </c>
      <c r="J7285">
        <v>0</v>
      </c>
      <c r="K7285">
        <v>1</v>
      </c>
      <c r="L7285">
        <v>0</v>
      </c>
      <c r="M7285">
        <v>6</v>
      </c>
      <c r="N7285" t="s">
        <v>37</v>
      </c>
      <c r="O7285" t="s">
        <v>30</v>
      </c>
      <c r="P7285">
        <v>9.6464897872960105</v>
      </c>
      <c r="Q7285">
        <v>2.3656916475497001</v>
      </c>
      <c r="R7285">
        <v>8.6593335430789296</v>
      </c>
      <c r="S7285">
        <v>152</v>
      </c>
      <c r="T7285">
        <v>26</v>
      </c>
      <c r="U7285">
        <v>474.97004703248098</v>
      </c>
      <c r="V7285">
        <v>4.5112781954887203E-3</v>
      </c>
      <c r="W7285">
        <v>883579.25609808601</v>
      </c>
      <c r="X7285" t="s">
        <v>42</v>
      </c>
      <c r="Y7285">
        <f>1-635-123-7687</f>
        <v>-8444</v>
      </c>
    </row>
    <row r="7286" spans="1:25" x14ac:dyDescent="0.35">
      <c r="A7286">
        <v>34.530651942888298</v>
      </c>
      <c r="B7286">
        <v>-116.912359827299</v>
      </c>
      <c r="C7286" t="s">
        <v>25</v>
      </c>
      <c r="D7286">
        <v>1.5972754590487599</v>
      </c>
      <c r="E7286">
        <v>9</v>
      </c>
      <c r="F7286">
        <v>2141</v>
      </c>
      <c r="G7286">
        <v>5</v>
      </c>
      <c r="H7286">
        <v>1</v>
      </c>
      <c r="I7286">
        <v>1952</v>
      </c>
      <c r="J7286">
        <v>0</v>
      </c>
      <c r="K7286">
        <v>0</v>
      </c>
      <c r="L7286">
        <v>0</v>
      </c>
      <c r="M7286">
        <v>10</v>
      </c>
      <c r="N7286" t="s">
        <v>35</v>
      </c>
      <c r="O7286" t="s">
        <v>27</v>
      </c>
      <c r="P7286">
        <v>6.5078155890533296</v>
      </c>
      <c r="Q7286">
        <v>2.1940857825783899</v>
      </c>
      <c r="R7286">
        <v>2.7773299706793799</v>
      </c>
      <c r="S7286">
        <v>143</v>
      </c>
      <c r="T7286">
        <v>36</v>
      </c>
      <c r="U7286">
        <v>520.47176957526801</v>
      </c>
      <c r="V7286">
        <v>4.6707146193367497E-3</v>
      </c>
      <c r="W7286">
        <v>1287904.8653329499</v>
      </c>
      <c r="X7286" t="s">
        <v>31</v>
      </c>
      <c r="Y7286">
        <f>1-944-788-4624</f>
        <v>-6355</v>
      </c>
    </row>
    <row r="7287" spans="1:25" x14ac:dyDescent="0.35">
      <c r="A7287">
        <v>33.450946385664203</v>
      </c>
      <c r="B7287">
        <v>-114.136615644502</v>
      </c>
      <c r="C7287" t="s">
        <v>34</v>
      </c>
      <c r="D7287">
        <v>2.11579179380215</v>
      </c>
      <c r="E7287">
        <v>5</v>
      </c>
      <c r="F7287">
        <v>4996</v>
      </c>
      <c r="G7287">
        <v>5</v>
      </c>
      <c r="H7287">
        <v>2</v>
      </c>
      <c r="I7287">
        <v>2021</v>
      </c>
      <c r="J7287">
        <v>1</v>
      </c>
      <c r="K7287">
        <v>0</v>
      </c>
      <c r="L7287">
        <v>0</v>
      </c>
      <c r="M7287">
        <v>5</v>
      </c>
      <c r="N7287" t="s">
        <v>41</v>
      </c>
      <c r="O7287" t="s">
        <v>30</v>
      </c>
      <c r="P7287">
        <v>11.591643756756801</v>
      </c>
      <c r="Q7287">
        <v>2.0943502147730699</v>
      </c>
      <c r="R7287">
        <v>6.8921261976833996</v>
      </c>
      <c r="S7287">
        <v>108</v>
      </c>
      <c r="T7287">
        <v>50</v>
      </c>
      <c r="U7287">
        <v>694.46441758290905</v>
      </c>
      <c r="V7287">
        <v>1.0008006405124001E-3</v>
      </c>
      <c r="W7287">
        <v>3861062.6776631698</v>
      </c>
      <c r="X7287" t="s">
        <v>39</v>
      </c>
      <c r="Y7287">
        <f>1-763-252-7069</f>
        <v>-8083</v>
      </c>
    </row>
    <row r="7288" spans="1:25" x14ac:dyDescent="0.35">
      <c r="A7288">
        <v>34.6627677813917</v>
      </c>
      <c r="B7288">
        <v>-116.631497540555</v>
      </c>
      <c r="C7288" t="s">
        <v>25</v>
      </c>
      <c r="D7288">
        <v>11.5696600363678</v>
      </c>
      <c r="E7288">
        <v>6</v>
      </c>
      <c r="F7288">
        <v>4789</v>
      </c>
      <c r="G7288">
        <v>5</v>
      </c>
      <c r="H7288">
        <v>2</v>
      </c>
      <c r="I7288">
        <v>2019</v>
      </c>
      <c r="J7288">
        <v>1</v>
      </c>
      <c r="K7288">
        <v>0</v>
      </c>
      <c r="L7288">
        <v>0</v>
      </c>
      <c r="M7288">
        <v>9</v>
      </c>
      <c r="N7288" t="s">
        <v>41</v>
      </c>
      <c r="O7288" t="s">
        <v>30</v>
      </c>
      <c r="P7288">
        <v>3.36137736264922</v>
      </c>
      <c r="Q7288">
        <v>1.4541260249564301</v>
      </c>
      <c r="R7288">
        <v>9.4828291881803093</v>
      </c>
      <c r="S7288">
        <v>154</v>
      </c>
      <c r="T7288">
        <v>63</v>
      </c>
      <c r="U7288">
        <v>854.457201875902</v>
      </c>
      <c r="V7288">
        <v>1.87930674462309E-3</v>
      </c>
      <c r="W7288">
        <v>4440749.9487008601</v>
      </c>
      <c r="X7288" t="s">
        <v>40</v>
      </c>
      <c r="Y7288">
        <f>1-494-165-4533</f>
        <v>-5191</v>
      </c>
    </row>
    <row r="7289" spans="1:25" x14ac:dyDescent="0.35">
      <c r="A7289">
        <v>34.886537380184699</v>
      </c>
      <c r="B7289">
        <v>-119.344713900651</v>
      </c>
      <c r="C7289" t="s">
        <v>25</v>
      </c>
      <c r="D7289">
        <v>49.374278395996697</v>
      </c>
      <c r="E7289">
        <v>6</v>
      </c>
      <c r="F7289">
        <v>1400</v>
      </c>
      <c r="G7289">
        <v>1</v>
      </c>
      <c r="H7289">
        <v>3</v>
      </c>
      <c r="I7289">
        <v>2014</v>
      </c>
      <c r="J7289">
        <v>0</v>
      </c>
      <c r="K7289">
        <v>0</v>
      </c>
      <c r="L7289">
        <v>0</v>
      </c>
      <c r="M7289">
        <v>2</v>
      </c>
      <c r="N7289" t="s">
        <v>41</v>
      </c>
      <c r="O7289" t="s">
        <v>30</v>
      </c>
      <c r="P7289">
        <v>11.302475413406301</v>
      </c>
      <c r="Q7289">
        <v>2.09122391597734</v>
      </c>
      <c r="R7289">
        <v>7.6600323318030403</v>
      </c>
      <c r="S7289">
        <v>109</v>
      </c>
      <c r="T7289">
        <v>65</v>
      </c>
      <c r="U7289">
        <v>648.798119434863</v>
      </c>
      <c r="V7289">
        <v>1.4285714285714199E-3</v>
      </c>
      <c r="W7289">
        <v>1157423.2400771501</v>
      </c>
      <c r="X7289" t="s">
        <v>43</v>
      </c>
      <c r="Y7289">
        <f>1-824-563-9795</f>
        <v>-11181</v>
      </c>
    </row>
    <row r="7290" spans="1:25" x14ac:dyDescent="0.35">
      <c r="A7290">
        <v>36.7420592881857</v>
      </c>
      <c r="B7290">
        <v>-118.004500305729</v>
      </c>
      <c r="C7290" t="s">
        <v>25</v>
      </c>
      <c r="D7290">
        <v>32.160163251137398</v>
      </c>
      <c r="E7290">
        <v>2</v>
      </c>
      <c r="F7290">
        <v>4432</v>
      </c>
      <c r="G7290">
        <v>5</v>
      </c>
      <c r="H7290">
        <v>3</v>
      </c>
      <c r="I7290">
        <v>1965</v>
      </c>
      <c r="J7290">
        <v>0</v>
      </c>
      <c r="K7290">
        <v>0</v>
      </c>
      <c r="L7290">
        <v>0</v>
      </c>
      <c r="M7290">
        <v>5</v>
      </c>
      <c r="N7290" t="s">
        <v>37</v>
      </c>
      <c r="O7290" t="s">
        <v>30</v>
      </c>
      <c r="P7290">
        <v>12.638067344584201</v>
      </c>
      <c r="Q7290">
        <v>1.38960016244538</v>
      </c>
      <c r="R7290">
        <v>5.8011214326638303</v>
      </c>
      <c r="S7290">
        <v>26</v>
      </c>
      <c r="T7290">
        <v>36</v>
      </c>
      <c r="U7290">
        <v>601.17147173938702</v>
      </c>
      <c r="V7290">
        <v>1.1281588447653399E-3</v>
      </c>
      <c r="W7290">
        <v>3054428.2381981998</v>
      </c>
      <c r="X7290" t="s">
        <v>38</v>
      </c>
      <c r="Y7290">
        <f>1-819-898-9247</f>
        <v>-10963</v>
      </c>
    </row>
    <row r="7291" spans="1:25" x14ac:dyDescent="0.35">
      <c r="A7291">
        <v>34.507281205808702</v>
      </c>
      <c r="B7291">
        <v>-121.877363131374</v>
      </c>
      <c r="C7291" t="s">
        <v>29</v>
      </c>
      <c r="D7291">
        <v>37.183943312689699</v>
      </c>
      <c r="E7291">
        <v>5</v>
      </c>
      <c r="F7291">
        <v>2568</v>
      </c>
      <c r="G7291">
        <v>5</v>
      </c>
      <c r="H7291">
        <v>2</v>
      </c>
      <c r="I7291">
        <v>1979</v>
      </c>
      <c r="J7291">
        <v>1</v>
      </c>
      <c r="K7291">
        <v>0</v>
      </c>
      <c r="L7291">
        <v>1</v>
      </c>
      <c r="M7291">
        <v>2</v>
      </c>
      <c r="N7291" t="s">
        <v>26</v>
      </c>
      <c r="O7291" t="s">
        <v>32</v>
      </c>
      <c r="P7291">
        <v>12.6262800313136</v>
      </c>
      <c r="Q7291">
        <v>0.91273154782638699</v>
      </c>
      <c r="R7291">
        <v>2.17114738701276</v>
      </c>
      <c r="S7291">
        <v>199</v>
      </c>
      <c r="T7291">
        <v>77</v>
      </c>
      <c r="U7291">
        <v>611.10111351012904</v>
      </c>
      <c r="V7291">
        <v>7.7881619937694702E-4</v>
      </c>
      <c r="W7291">
        <v>2017861.53129375</v>
      </c>
      <c r="X7291" t="s">
        <v>36</v>
      </c>
      <c r="Y7291">
        <f>1-510-742-5000</f>
        <v>-6251</v>
      </c>
    </row>
    <row r="7292" spans="1:25" x14ac:dyDescent="0.35">
      <c r="A7292">
        <v>35.6432221367292</v>
      </c>
      <c r="B7292">
        <v>-124.16525365545399</v>
      </c>
      <c r="C7292" t="s">
        <v>34</v>
      </c>
      <c r="D7292">
        <v>5.6941670143388698</v>
      </c>
      <c r="E7292">
        <v>7</v>
      </c>
      <c r="F7292">
        <v>4549</v>
      </c>
      <c r="G7292">
        <v>2</v>
      </c>
      <c r="H7292">
        <v>1</v>
      </c>
      <c r="I7292">
        <v>1998</v>
      </c>
      <c r="J7292">
        <v>1</v>
      </c>
      <c r="K7292">
        <v>1</v>
      </c>
      <c r="L7292">
        <v>1</v>
      </c>
      <c r="M7292">
        <v>13</v>
      </c>
      <c r="N7292" t="s">
        <v>41</v>
      </c>
      <c r="O7292" t="s">
        <v>27</v>
      </c>
      <c r="P7292">
        <v>10.8771640102195</v>
      </c>
      <c r="Q7292">
        <v>1.3951621146250801</v>
      </c>
      <c r="R7292">
        <v>4.59244543171949</v>
      </c>
      <c r="S7292">
        <v>53</v>
      </c>
      <c r="T7292">
        <v>25</v>
      </c>
      <c r="U7292">
        <v>296.273910650505</v>
      </c>
      <c r="V7292">
        <v>2.85777093866783E-3</v>
      </c>
      <c r="W7292">
        <v>1689440.23183145</v>
      </c>
      <c r="X7292" t="s">
        <v>44</v>
      </c>
      <c r="Y7292">
        <f>1-378-158-8581</f>
        <v>-9116</v>
      </c>
    </row>
    <row r="7293" spans="1:25" x14ac:dyDescent="0.35">
      <c r="A7293">
        <v>33.251973568897498</v>
      </c>
      <c r="B7293">
        <v>-121.928404135145</v>
      </c>
      <c r="C7293" t="s">
        <v>29</v>
      </c>
      <c r="D7293">
        <v>3.4307824901020099</v>
      </c>
      <c r="E7293">
        <v>5</v>
      </c>
      <c r="F7293">
        <v>851</v>
      </c>
      <c r="G7293">
        <v>4</v>
      </c>
      <c r="H7293">
        <v>2</v>
      </c>
      <c r="I7293">
        <v>1956</v>
      </c>
      <c r="J7293">
        <v>0</v>
      </c>
      <c r="K7293">
        <v>1</v>
      </c>
      <c r="L7293">
        <v>1</v>
      </c>
      <c r="M7293">
        <v>5</v>
      </c>
      <c r="N7293" t="s">
        <v>26</v>
      </c>
      <c r="O7293" t="s">
        <v>27</v>
      </c>
      <c r="P7293">
        <v>7.6951104607858296</v>
      </c>
      <c r="Q7293">
        <v>1.2347875796944201</v>
      </c>
      <c r="R7293">
        <v>4.1048625571528499</v>
      </c>
      <c r="S7293">
        <v>178</v>
      </c>
      <c r="T7293">
        <v>25</v>
      </c>
      <c r="U7293">
        <v>288.25389301091701</v>
      </c>
      <c r="V7293">
        <v>5.8754406580493503E-3</v>
      </c>
      <c r="W7293">
        <v>594670.67794076505</v>
      </c>
      <c r="X7293" t="s">
        <v>31</v>
      </c>
      <c r="Y7293">
        <f>1-607-850-8276</f>
        <v>-9732</v>
      </c>
    </row>
    <row r="7294" spans="1:25" x14ac:dyDescent="0.35">
      <c r="A7294">
        <v>38.307089932670998</v>
      </c>
      <c r="B7294">
        <v>-117.028267372611</v>
      </c>
      <c r="C7294" t="s">
        <v>25</v>
      </c>
      <c r="D7294">
        <v>41.367213294576402</v>
      </c>
      <c r="E7294">
        <v>5</v>
      </c>
      <c r="F7294">
        <v>3831</v>
      </c>
      <c r="G7294">
        <v>3</v>
      </c>
      <c r="H7294">
        <v>2</v>
      </c>
      <c r="I7294">
        <v>2002</v>
      </c>
      <c r="J7294">
        <v>1</v>
      </c>
      <c r="K7294">
        <v>1</v>
      </c>
      <c r="L7294">
        <v>1</v>
      </c>
      <c r="M7294">
        <v>4</v>
      </c>
      <c r="N7294" t="s">
        <v>26</v>
      </c>
      <c r="O7294" t="s">
        <v>30</v>
      </c>
      <c r="P7294">
        <v>5.4678671729954198</v>
      </c>
      <c r="Q7294">
        <v>0.98209267167494296</v>
      </c>
      <c r="R7294">
        <v>4.1408540153765898</v>
      </c>
      <c r="S7294">
        <v>196</v>
      </c>
      <c r="T7294">
        <v>49</v>
      </c>
      <c r="U7294">
        <v>532.93777161036598</v>
      </c>
      <c r="V7294">
        <v>1.0441138084051099E-3</v>
      </c>
      <c r="W7294">
        <v>2432851.2964150598</v>
      </c>
      <c r="X7294" t="s">
        <v>43</v>
      </c>
      <c r="Y7294">
        <f>1-609-826-1958</f>
        <v>-3392</v>
      </c>
    </row>
    <row r="7295" spans="1:25" x14ac:dyDescent="0.35">
      <c r="A7295">
        <v>36.855765676711002</v>
      </c>
      <c r="B7295">
        <v>-116.076021965488</v>
      </c>
      <c r="C7295" t="s">
        <v>29</v>
      </c>
      <c r="D7295">
        <v>36.184178336907202</v>
      </c>
      <c r="E7295">
        <v>9</v>
      </c>
      <c r="F7295">
        <v>3820</v>
      </c>
      <c r="G7295">
        <v>3</v>
      </c>
      <c r="H7295">
        <v>1</v>
      </c>
      <c r="I7295">
        <v>2003</v>
      </c>
      <c r="J7295">
        <v>0</v>
      </c>
      <c r="K7295">
        <v>0</v>
      </c>
      <c r="L7295">
        <v>1</v>
      </c>
      <c r="M7295">
        <v>11</v>
      </c>
      <c r="N7295" t="s">
        <v>41</v>
      </c>
      <c r="O7295" t="s">
        <v>32</v>
      </c>
      <c r="P7295">
        <v>12.0794876801434</v>
      </c>
      <c r="Q7295">
        <v>2.427974426474</v>
      </c>
      <c r="R7295">
        <v>8.3961084420175105</v>
      </c>
      <c r="S7295">
        <v>142</v>
      </c>
      <c r="T7295">
        <v>54</v>
      </c>
      <c r="U7295">
        <v>200.824686093336</v>
      </c>
      <c r="V7295">
        <v>2.8795811518324602E-3</v>
      </c>
      <c r="W7295">
        <v>998887.34454830305</v>
      </c>
      <c r="X7295" t="s">
        <v>40</v>
      </c>
      <c r="Y7295">
        <f>1-651-718-4060</f>
        <v>-5428</v>
      </c>
    </row>
    <row r="7296" spans="1:25" x14ac:dyDescent="0.35">
      <c r="A7296">
        <v>38.8027511141415</v>
      </c>
      <c r="B7296">
        <v>-119.94671869067599</v>
      </c>
      <c r="C7296" t="s">
        <v>34</v>
      </c>
      <c r="D7296">
        <v>17.4708807770254</v>
      </c>
      <c r="E7296">
        <v>3</v>
      </c>
      <c r="F7296">
        <v>1160</v>
      </c>
      <c r="G7296">
        <v>2</v>
      </c>
      <c r="H7296">
        <v>1</v>
      </c>
      <c r="I7296">
        <v>2021</v>
      </c>
      <c r="J7296">
        <v>0</v>
      </c>
      <c r="K7296">
        <v>1</v>
      </c>
      <c r="L7296">
        <v>1</v>
      </c>
      <c r="M7296">
        <v>9</v>
      </c>
      <c r="N7296" t="s">
        <v>26</v>
      </c>
      <c r="O7296" t="s">
        <v>27</v>
      </c>
      <c r="P7296">
        <v>4.67027421528398</v>
      </c>
      <c r="Q7296">
        <v>1.2612319679913599</v>
      </c>
      <c r="R7296">
        <v>3.2211783316726201</v>
      </c>
      <c r="S7296">
        <v>110</v>
      </c>
      <c r="T7296">
        <v>40</v>
      </c>
      <c r="U7296">
        <v>564.13840769547596</v>
      </c>
      <c r="V7296">
        <v>7.7586206896551697E-3</v>
      </c>
      <c r="W7296">
        <v>826601.90716053999</v>
      </c>
      <c r="X7296" t="s">
        <v>31</v>
      </c>
      <c r="Y7296">
        <f>1-946-650-4823</f>
        <v>-6418</v>
      </c>
    </row>
    <row r="7297" spans="1:25" x14ac:dyDescent="0.35">
      <c r="A7297">
        <v>40.516076574840703</v>
      </c>
      <c r="B7297">
        <v>-119.947045681193</v>
      </c>
      <c r="C7297" t="s">
        <v>25</v>
      </c>
      <c r="D7297">
        <v>33.315217938803897</v>
      </c>
      <c r="E7297">
        <v>5</v>
      </c>
      <c r="F7297">
        <v>1635</v>
      </c>
      <c r="G7297">
        <v>1</v>
      </c>
      <c r="H7297">
        <v>3</v>
      </c>
      <c r="I7297">
        <v>2022</v>
      </c>
      <c r="J7297">
        <v>1</v>
      </c>
      <c r="K7297">
        <v>0</v>
      </c>
      <c r="L7297">
        <v>1</v>
      </c>
      <c r="M7297">
        <v>11</v>
      </c>
      <c r="N7297" t="s">
        <v>35</v>
      </c>
      <c r="O7297" t="s">
        <v>32</v>
      </c>
      <c r="P7297">
        <v>14.2047066428145</v>
      </c>
      <c r="Q7297">
        <v>1.84014658690274</v>
      </c>
      <c r="R7297">
        <v>9.79917596161056</v>
      </c>
      <c r="S7297">
        <v>115</v>
      </c>
      <c r="T7297">
        <v>42</v>
      </c>
      <c r="U7297">
        <v>640.948580942587</v>
      </c>
      <c r="V7297">
        <v>6.7278287461773698E-3</v>
      </c>
      <c r="W7297">
        <v>1266933.15250053</v>
      </c>
      <c r="X7297" t="s">
        <v>33</v>
      </c>
      <c r="Y7297">
        <f>1-365-514-8111</f>
        <v>-8989</v>
      </c>
    </row>
    <row r="7298" spans="1:25" x14ac:dyDescent="0.35">
      <c r="A7298">
        <v>33.535699773216201</v>
      </c>
      <c r="B7298">
        <v>-121.549925585937</v>
      </c>
      <c r="C7298" t="s">
        <v>25</v>
      </c>
      <c r="D7298">
        <v>9.6231484495723105</v>
      </c>
      <c r="E7298">
        <v>2</v>
      </c>
      <c r="F7298">
        <v>1196</v>
      </c>
      <c r="G7298">
        <v>2</v>
      </c>
      <c r="H7298">
        <v>1</v>
      </c>
      <c r="I7298">
        <v>1967</v>
      </c>
      <c r="J7298">
        <v>1</v>
      </c>
      <c r="K7298">
        <v>1</v>
      </c>
      <c r="L7298">
        <v>0</v>
      </c>
      <c r="M7298">
        <v>8</v>
      </c>
      <c r="N7298" t="s">
        <v>41</v>
      </c>
      <c r="O7298" t="s">
        <v>30</v>
      </c>
      <c r="P7298">
        <v>2.8352079497931899</v>
      </c>
      <c r="Q7298">
        <v>1.2401272685326901</v>
      </c>
      <c r="R7298">
        <v>1.1671371911050401</v>
      </c>
      <c r="S7298">
        <v>129</v>
      </c>
      <c r="T7298">
        <v>55</v>
      </c>
      <c r="U7298">
        <v>213.310258123892</v>
      </c>
      <c r="V7298">
        <v>6.6889632107023402E-3</v>
      </c>
      <c r="W7298">
        <v>474832.84781414201</v>
      </c>
      <c r="X7298" t="s">
        <v>28</v>
      </c>
      <c r="Y7298">
        <f>1-257-243-7646</f>
        <v>-8145</v>
      </c>
    </row>
    <row r="7299" spans="1:25" x14ac:dyDescent="0.35">
      <c r="A7299">
        <v>35.037589544345998</v>
      </c>
      <c r="B7299">
        <v>-121.56859698938899</v>
      </c>
      <c r="C7299" t="s">
        <v>29</v>
      </c>
      <c r="D7299">
        <v>44.180549511566397</v>
      </c>
      <c r="E7299">
        <v>9</v>
      </c>
      <c r="F7299">
        <v>1965</v>
      </c>
      <c r="G7299">
        <v>1</v>
      </c>
      <c r="H7299">
        <v>3</v>
      </c>
      <c r="I7299">
        <v>2008</v>
      </c>
      <c r="J7299">
        <v>1</v>
      </c>
      <c r="K7299">
        <v>0</v>
      </c>
      <c r="L7299">
        <v>1</v>
      </c>
      <c r="M7299">
        <v>12</v>
      </c>
      <c r="N7299" t="s">
        <v>26</v>
      </c>
      <c r="O7299" t="s">
        <v>27</v>
      </c>
      <c r="P7299">
        <v>7.2399284992856199</v>
      </c>
      <c r="Q7299">
        <v>0.89420775284099296</v>
      </c>
      <c r="R7299">
        <v>0.43355564121664703</v>
      </c>
      <c r="S7299">
        <v>150</v>
      </c>
      <c r="T7299">
        <v>30</v>
      </c>
      <c r="U7299">
        <v>873.12802677809702</v>
      </c>
      <c r="V7299">
        <v>6.1068702290076301E-3</v>
      </c>
      <c r="W7299">
        <v>1925208.2222408899</v>
      </c>
      <c r="X7299" t="s">
        <v>28</v>
      </c>
      <c r="Y7299">
        <f>1-862-727-1989</f>
        <v>-3577</v>
      </c>
    </row>
    <row r="7300" spans="1:25" x14ac:dyDescent="0.35">
      <c r="A7300">
        <v>41.035345590353899</v>
      </c>
      <c r="B7300">
        <v>-123.200222488899</v>
      </c>
      <c r="C7300" t="s">
        <v>34</v>
      </c>
      <c r="D7300">
        <v>36.576866632314598</v>
      </c>
      <c r="E7300">
        <v>7</v>
      </c>
      <c r="F7300">
        <v>3910</v>
      </c>
      <c r="G7300">
        <v>2</v>
      </c>
      <c r="H7300">
        <v>1</v>
      </c>
      <c r="I7300">
        <v>1998</v>
      </c>
      <c r="J7300">
        <v>1</v>
      </c>
      <c r="K7300">
        <v>0</v>
      </c>
      <c r="L7300">
        <v>1</v>
      </c>
      <c r="M7300">
        <v>2</v>
      </c>
      <c r="N7300" t="s">
        <v>41</v>
      </c>
      <c r="O7300" t="s">
        <v>30</v>
      </c>
      <c r="P7300">
        <v>3.82687984949641</v>
      </c>
      <c r="Q7300">
        <v>1.7711235241161201</v>
      </c>
      <c r="R7300">
        <v>8.6346787145522104</v>
      </c>
      <c r="S7300">
        <v>117</v>
      </c>
      <c r="T7300">
        <v>32</v>
      </c>
      <c r="U7300">
        <v>756.68373807901799</v>
      </c>
      <c r="V7300">
        <v>5.1150895140664903E-4</v>
      </c>
      <c r="W7300">
        <v>3099998.8716687001</v>
      </c>
      <c r="X7300" t="s">
        <v>33</v>
      </c>
      <c r="Y7300">
        <f>1-523-730-6004</f>
        <v>-7256</v>
      </c>
    </row>
    <row r="7301" spans="1:25" x14ac:dyDescent="0.35">
      <c r="A7301">
        <v>35.477962166100497</v>
      </c>
      <c r="B7301">
        <v>-121.806269415768</v>
      </c>
      <c r="C7301" t="s">
        <v>25</v>
      </c>
      <c r="D7301">
        <v>39.253720572563502</v>
      </c>
      <c r="E7301">
        <v>0</v>
      </c>
      <c r="F7301">
        <v>2251</v>
      </c>
      <c r="G7301">
        <v>5</v>
      </c>
      <c r="H7301">
        <v>3</v>
      </c>
      <c r="I7301">
        <v>1963</v>
      </c>
      <c r="J7301">
        <v>0</v>
      </c>
      <c r="K7301">
        <v>1</v>
      </c>
      <c r="L7301">
        <v>1</v>
      </c>
      <c r="M7301">
        <v>11</v>
      </c>
      <c r="N7301" t="s">
        <v>37</v>
      </c>
      <c r="O7301" t="s">
        <v>27</v>
      </c>
      <c r="P7301">
        <v>8.3113005530592297</v>
      </c>
      <c r="Q7301">
        <v>1.64218724968509</v>
      </c>
      <c r="R7301">
        <v>9.6998463452373507</v>
      </c>
      <c r="S7301">
        <v>12</v>
      </c>
      <c r="T7301">
        <v>62</v>
      </c>
      <c r="U7301">
        <v>547.40371895999101</v>
      </c>
      <c r="V7301">
        <v>4.8867170146601503E-3</v>
      </c>
      <c r="W7301">
        <v>1705266.1483517</v>
      </c>
      <c r="X7301" t="s">
        <v>31</v>
      </c>
      <c r="Y7301">
        <f>1-688-356-8628</f>
        <v>-9671</v>
      </c>
    </row>
    <row r="7302" spans="1:25" x14ac:dyDescent="0.35">
      <c r="A7302">
        <v>39.846117603678202</v>
      </c>
      <c r="B7302">
        <v>-117.816034524068</v>
      </c>
      <c r="C7302" t="s">
        <v>29</v>
      </c>
      <c r="D7302">
        <v>32.3680697338079</v>
      </c>
      <c r="E7302">
        <v>1</v>
      </c>
      <c r="F7302">
        <v>1241</v>
      </c>
      <c r="G7302">
        <v>4</v>
      </c>
      <c r="H7302">
        <v>2</v>
      </c>
      <c r="I7302">
        <v>2022</v>
      </c>
      <c r="J7302">
        <v>1</v>
      </c>
      <c r="K7302">
        <v>0</v>
      </c>
      <c r="L7302">
        <v>1</v>
      </c>
      <c r="M7302">
        <v>9</v>
      </c>
      <c r="N7302" t="s">
        <v>26</v>
      </c>
      <c r="O7302" t="s">
        <v>32</v>
      </c>
      <c r="P7302">
        <v>12.985826462745001</v>
      </c>
      <c r="Q7302">
        <v>0.89871254038457005</v>
      </c>
      <c r="R7302">
        <v>7.3871742066215704</v>
      </c>
      <c r="S7302">
        <v>198</v>
      </c>
      <c r="T7302">
        <v>27</v>
      </c>
      <c r="U7302">
        <v>266.54658153177797</v>
      </c>
      <c r="V7302">
        <v>7.2522159548751002E-3</v>
      </c>
      <c r="W7302">
        <v>742061.46192979999</v>
      </c>
      <c r="X7302" t="s">
        <v>43</v>
      </c>
      <c r="Y7302">
        <f>1-565-826-7658</f>
        <v>-9048</v>
      </c>
    </row>
    <row r="7303" spans="1:25" x14ac:dyDescent="0.35">
      <c r="A7303">
        <v>38.639559680090997</v>
      </c>
      <c r="B7303">
        <v>-114.47542862648901</v>
      </c>
      <c r="C7303" t="s">
        <v>34</v>
      </c>
      <c r="D7303">
        <v>23.685840127560699</v>
      </c>
      <c r="E7303">
        <v>3</v>
      </c>
      <c r="F7303">
        <v>3487</v>
      </c>
      <c r="G7303">
        <v>1</v>
      </c>
      <c r="H7303">
        <v>1</v>
      </c>
      <c r="I7303">
        <v>1964</v>
      </c>
      <c r="J7303">
        <v>1</v>
      </c>
      <c r="K7303">
        <v>0</v>
      </c>
      <c r="L7303">
        <v>1</v>
      </c>
      <c r="M7303">
        <v>11</v>
      </c>
      <c r="N7303" t="s">
        <v>41</v>
      </c>
      <c r="O7303" t="s">
        <v>27</v>
      </c>
      <c r="P7303">
        <v>2.0262461133143401</v>
      </c>
      <c r="Q7303">
        <v>2.3508981116642298</v>
      </c>
      <c r="R7303">
        <v>0.38279700658091798</v>
      </c>
      <c r="S7303">
        <v>9</v>
      </c>
      <c r="T7303">
        <v>57</v>
      </c>
      <c r="U7303">
        <v>560.397273548062</v>
      </c>
      <c r="V7303">
        <v>3.15457413249211E-3</v>
      </c>
      <c r="W7303">
        <v>2063891.6824400399</v>
      </c>
      <c r="X7303" t="s">
        <v>31</v>
      </c>
      <c r="Y7303">
        <f>1-697-602-3527</f>
        <v>-4825</v>
      </c>
    </row>
    <row r="7304" spans="1:25" x14ac:dyDescent="0.35">
      <c r="A7304">
        <v>35.337025656729502</v>
      </c>
      <c r="B7304">
        <v>-117.41208006305899</v>
      </c>
      <c r="C7304" t="s">
        <v>34</v>
      </c>
      <c r="D7304">
        <v>30.6271942484885</v>
      </c>
      <c r="E7304">
        <v>7</v>
      </c>
      <c r="F7304">
        <v>2707</v>
      </c>
      <c r="G7304">
        <v>3</v>
      </c>
      <c r="H7304">
        <v>2</v>
      </c>
      <c r="I7304">
        <v>1982</v>
      </c>
      <c r="J7304">
        <v>1</v>
      </c>
      <c r="K7304">
        <v>1</v>
      </c>
      <c r="L7304">
        <v>0</v>
      </c>
      <c r="M7304">
        <v>14</v>
      </c>
      <c r="N7304" t="s">
        <v>35</v>
      </c>
      <c r="O7304" t="s">
        <v>30</v>
      </c>
      <c r="P7304">
        <v>7.0902074295455098</v>
      </c>
      <c r="Q7304">
        <v>1.90390478041855</v>
      </c>
      <c r="R7304">
        <v>8.4982570382559395</v>
      </c>
      <c r="S7304">
        <v>132</v>
      </c>
      <c r="T7304">
        <v>46</v>
      </c>
      <c r="U7304">
        <v>577.41149888101904</v>
      </c>
      <c r="V7304">
        <v>5.1717768747691099E-3</v>
      </c>
      <c r="W7304">
        <v>1898587.1100951</v>
      </c>
      <c r="X7304" t="s">
        <v>39</v>
      </c>
      <c r="Y7304">
        <f>1-992-314-1913</f>
        <v>-3218</v>
      </c>
    </row>
    <row r="7305" spans="1:25" x14ac:dyDescent="0.35">
      <c r="A7305">
        <v>35.439388497952102</v>
      </c>
      <c r="B7305">
        <v>-114.823587864511</v>
      </c>
      <c r="C7305" t="s">
        <v>25</v>
      </c>
      <c r="D7305">
        <v>6.0967369718454796</v>
      </c>
      <c r="E7305">
        <v>2</v>
      </c>
      <c r="F7305">
        <v>2582</v>
      </c>
      <c r="G7305">
        <v>2</v>
      </c>
      <c r="H7305">
        <v>3</v>
      </c>
      <c r="I7305">
        <v>2012</v>
      </c>
      <c r="J7305">
        <v>0</v>
      </c>
      <c r="K7305">
        <v>1</v>
      </c>
      <c r="L7305">
        <v>1</v>
      </c>
      <c r="M7305">
        <v>2</v>
      </c>
      <c r="N7305" t="s">
        <v>35</v>
      </c>
      <c r="O7305" t="s">
        <v>32</v>
      </c>
      <c r="P7305">
        <v>10.350101428858</v>
      </c>
      <c r="Q7305">
        <v>1.0999523616616</v>
      </c>
      <c r="R7305">
        <v>4.3395170658130002</v>
      </c>
      <c r="S7305">
        <v>97</v>
      </c>
      <c r="T7305">
        <v>36</v>
      </c>
      <c r="U7305">
        <v>315.29340858292301</v>
      </c>
      <c r="V7305">
        <v>7.7459333849728897E-4</v>
      </c>
      <c r="W7305">
        <v>1190506.48153295</v>
      </c>
      <c r="X7305" t="s">
        <v>44</v>
      </c>
      <c r="Y7305">
        <f>1-490-778-5696</f>
        <v>-6963</v>
      </c>
    </row>
    <row r="7306" spans="1:25" x14ac:dyDescent="0.35">
      <c r="A7306">
        <v>38.195986106090302</v>
      </c>
      <c r="B7306">
        <v>-116.92440659139299</v>
      </c>
      <c r="C7306" t="s">
        <v>25</v>
      </c>
      <c r="D7306">
        <v>43.193158050166403</v>
      </c>
      <c r="E7306">
        <v>4</v>
      </c>
      <c r="F7306">
        <v>4244</v>
      </c>
      <c r="G7306">
        <v>2</v>
      </c>
      <c r="H7306">
        <v>1</v>
      </c>
      <c r="I7306">
        <v>2007</v>
      </c>
      <c r="J7306">
        <v>1</v>
      </c>
      <c r="K7306">
        <v>1</v>
      </c>
      <c r="L7306">
        <v>1</v>
      </c>
      <c r="M7306">
        <v>3</v>
      </c>
      <c r="N7306" t="s">
        <v>37</v>
      </c>
      <c r="O7306" t="s">
        <v>27</v>
      </c>
      <c r="P7306">
        <v>13.154899173280199</v>
      </c>
      <c r="Q7306">
        <v>1.93992931523592</v>
      </c>
      <c r="R7306">
        <v>5.7780599383815199</v>
      </c>
      <c r="S7306">
        <v>145</v>
      </c>
      <c r="T7306">
        <v>71</v>
      </c>
      <c r="U7306">
        <v>541.855569418644</v>
      </c>
      <c r="V7306">
        <v>7.0688030160226205E-4</v>
      </c>
      <c r="W7306">
        <v>2745279.3705710699</v>
      </c>
      <c r="X7306" t="s">
        <v>36</v>
      </c>
      <c r="Y7306">
        <f>1-970-122-9093</f>
        <v>-10184</v>
      </c>
    </row>
    <row r="7307" spans="1:25" x14ac:dyDescent="0.35">
      <c r="A7307">
        <v>40.699226734231601</v>
      </c>
      <c r="B7307">
        <v>-118.667411203862</v>
      </c>
      <c r="C7307" t="s">
        <v>29</v>
      </c>
      <c r="D7307">
        <v>37.169125073249397</v>
      </c>
      <c r="E7307">
        <v>5</v>
      </c>
      <c r="F7307">
        <v>2110</v>
      </c>
      <c r="G7307">
        <v>3</v>
      </c>
      <c r="H7307">
        <v>1</v>
      </c>
      <c r="I7307">
        <v>2021</v>
      </c>
      <c r="J7307">
        <v>0</v>
      </c>
      <c r="K7307">
        <v>0</v>
      </c>
      <c r="L7307">
        <v>1</v>
      </c>
      <c r="M7307">
        <v>8</v>
      </c>
      <c r="N7307" t="s">
        <v>26</v>
      </c>
      <c r="O7307" t="s">
        <v>30</v>
      </c>
      <c r="P7307">
        <v>8.1924844008512494</v>
      </c>
      <c r="Q7307">
        <v>1.08833481815686</v>
      </c>
      <c r="R7307">
        <v>9.8169671518484503</v>
      </c>
      <c r="S7307">
        <v>172</v>
      </c>
      <c r="T7307">
        <v>41</v>
      </c>
      <c r="U7307">
        <v>320.907362150876</v>
      </c>
      <c r="V7307">
        <v>3.7914691943127898E-3</v>
      </c>
      <c r="W7307">
        <v>880177.47438207397</v>
      </c>
      <c r="X7307" t="s">
        <v>43</v>
      </c>
      <c r="Y7307">
        <f>1-208-533-1404</f>
        <v>-2144</v>
      </c>
    </row>
    <row r="7308" spans="1:25" x14ac:dyDescent="0.35">
      <c r="A7308">
        <v>35.112283411599797</v>
      </c>
      <c r="B7308">
        <v>-117.22041559916499</v>
      </c>
      <c r="C7308" t="s">
        <v>34</v>
      </c>
      <c r="D7308">
        <v>39.013110218556498</v>
      </c>
      <c r="E7308">
        <v>6</v>
      </c>
      <c r="F7308">
        <v>1115</v>
      </c>
      <c r="G7308">
        <v>3</v>
      </c>
      <c r="H7308">
        <v>2</v>
      </c>
      <c r="I7308">
        <v>2000</v>
      </c>
      <c r="J7308">
        <v>0</v>
      </c>
      <c r="K7308">
        <v>0</v>
      </c>
      <c r="L7308">
        <v>0</v>
      </c>
      <c r="M7308">
        <v>5</v>
      </c>
      <c r="N7308" t="s">
        <v>37</v>
      </c>
      <c r="O7308" t="s">
        <v>30</v>
      </c>
      <c r="P7308">
        <v>12.879445498551799</v>
      </c>
      <c r="Q7308">
        <v>0.59896344120311296</v>
      </c>
      <c r="R7308">
        <v>1.8522932322944501</v>
      </c>
      <c r="S7308">
        <v>181</v>
      </c>
      <c r="T7308">
        <v>60</v>
      </c>
      <c r="U7308">
        <v>234.838123915388</v>
      </c>
      <c r="V7308">
        <v>4.4843049327354199E-3</v>
      </c>
      <c r="W7308">
        <v>575462.48097598797</v>
      </c>
      <c r="X7308" t="s">
        <v>28</v>
      </c>
      <c r="Y7308">
        <f>1-973-685-8737</f>
        <v>-10394</v>
      </c>
    </row>
    <row r="7309" spans="1:25" x14ac:dyDescent="0.35">
      <c r="A7309">
        <v>41.909729929106199</v>
      </c>
      <c r="B7309">
        <v>-119.590227703396</v>
      </c>
      <c r="C7309" t="s">
        <v>34</v>
      </c>
      <c r="D7309">
        <v>15.637103006394</v>
      </c>
      <c r="E7309">
        <v>3</v>
      </c>
      <c r="F7309">
        <v>4628</v>
      </c>
      <c r="G7309">
        <v>4</v>
      </c>
      <c r="H7309">
        <v>2</v>
      </c>
      <c r="I7309">
        <v>2019</v>
      </c>
      <c r="J7309">
        <v>1</v>
      </c>
      <c r="K7309">
        <v>1</v>
      </c>
      <c r="L7309">
        <v>0</v>
      </c>
      <c r="M7309">
        <v>8</v>
      </c>
      <c r="N7309" t="s">
        <v>41</v>
      </c>
      <c r="O7309" t="s">
        <v>32</v>
      </c>
      <c r="P7309">
        <v>4.8702009685225596</v>
      </c>
      <c r="Q7309">
        <v>2.2370345564329899</v>
      </c>
      <c r="R7309">
        <v>8.1209548441403303</v>
      </c>
      <c r="S7309">
        <v>121</v>
      </c>
      <c r="T7309">
        <v>66</v>
      </c>
      <c r="U7309">
        <v>540.86524206832405</v>
      </c>
      <c r="V7309">
        <v>1.7286084701815E-3</v>
      </c>
      <c r="W7309">
        <v>2887940.0579615501</v>
      </c>
      <c r="X7309" t="s">
        <v>43</v>
      </c>
      <c r="Y7309">
        <f>1-676-186-4809</f>
        <v>-5670</v>
      </c>
    </row>
    <row r="7310" spans="1:25" x14ac:dyDescent="0.35">
      <c r="A7310">
        <v>40.663634966365997</v>
      </c>
      <c r="B7310">
        <v>-118.918350464727</v>
      </c>
      <c r="C7310" t="s">
        <v>29</v>
      </c>
      <c r="D7310">
        <v>30.321397528353899</v>
      </c>
      <c r="E7310">
        <v>6</v>
      </c>
      <c r="F7310">
        <v>4740</v>
      </c>
      <c r="G7310">
        <v>4</v>
      </c>
      <c r="H7310">
        <v>1</v>
      </c>
      <c r="I7310">
        <v>1994</v>
      </c>
      <c r="J7310">
        <v>0</v>
      </c>
      <c r="K7310">
        <v>1</v>
      </c>
      <c r="L7310">
        <v>1</v>
      </c>
      <c r="M7310">
        <v>11</v>
      </c>
      <c r="N7310" t="s">
        <v>37</v>
      </c>
      <c r="O7310" t="s">
        <v>32</v>
      </c>
      <c r="P7310">
        <v>9.32603753412155</v>
      </c>
      <c r="Q7310">
        <v>0.73065022942228397</v>
      </c>
      <c r="R7310">
        <v>5.3113493680694601</v>
      </c>
      <c r="S7310">
        <v>182</v>
      </c>
      <c r="T7310">
        <v>76</v>
      </c>
      <c r="U7310">
        <v>660.33820459226501</v>
      </c>
      <c r="V7310">
        <v>2.3206751054852298E-3</v>
      </c>
      <c r="W7310">
        <v>3474295.9754723199</v>
      </c>
      <c r="X7310" t="s">
        <v>39</v>
      </c>
      <c r="Y7310">
        <f>1-813-429-2629</f>
        <v>-3870</v>
      </c>
    </row>
    <row r="7311" spans="1:25" x14ac:dyDescent="0.35">
      <c r="A7311">
        <v>40.002574629494099</v>
      </c>
      <c r="B7311">
        <v>-122.651100812362</v>
      </c>
      <c r="C7311" t="s">
        <v>34</v>
      </c>
      <c r="D7311">
        <v>16.877924938593701</v>
      </c>
      <c r="E7311">
        <v>4</v>
      </c>
      <c r="F7311">
        <v>3429</v>
      </c>
      <c r="G7311">
        <v>2</v>
      </c>
      <c r="H7311">
        <v>3</v>
      </c>
      <c r="I7311">
        <v>1974</v>
      </c>
      <c r="J7311">
        <v>1</v>
      </c>
      <c r="K7311">
        <v>0</v>
      </c>
      <c r="L7311">
        <v>1</v>
      </c>
      <c r="M7311">
        <v>3</v>
      </c>
      <c r="N7311" t="s">
        <v>41</v>
      </c>
      <c r="O7311" t="s">
        <v>30</v>
      </c>
      <c r="P7311">
        <v>14.5828456326573</v>
      </c>
      <c r="Q7311">
        <v>2.4339035420038799</v>
      </c>
      <c r="R7311">
        <v>2.8887295308711498</v>
      </c>
      <c r="S7311">
        <v>190</v>
      </c>
      <c r="T7311">
        <v>42</v>
      </c>
      <c r="U7311">
        <v>409.64773324303002</v>
      </c>
      <c r="V7311">
        <v>8.7489063867016604E-4</v>
      </c>
      <c r="W7311">
        <v>1738560.53368469</v>
      </c>
      <c r="X7311" t="s">
        <v>39</v>
      </c>
      <c r="Y7311">
        <f>1-812-991-8708</f>
        <v>-10510</v>
      </c>
    </row>
    <row r="7312" spans="1:25" x14ac:dyDescent="0.35">
      <c r="A7312">
        <v>40.014884636809597</v>
      </c>
      <c r="B7312">
        <v>-116.310925765958</v>
      </c>
      <c r="C7312" t="s">
        <v>29</v>
      </c>
      <c r="D7312">
        <v>25.623099726890199</v>
      </c>
      <c r="E7312">
        <v>2</v>
      </c>
      <c r="F7312">
        <v>1766</v>
      </c>
      <c r="G7312">
        <v>1</v>
      </c>
      <c r="H7312">
        <v>1</v>
      </c>
      <c r="I7312">
        <v>2019</v>
      </c>
      <c r="J7312">
        <v>1</v>
      </c>
      <c r="K7312">
        <v>0</v>
      </c>
      <c r="L7312">
        <v>0</v>
      </c>
      <c r="M7312">
        <v>2</v>
      </c>
      <c r="N7312" t="s">
        <v>26</v>
      </c>
      <c r="O7312" t="s">
        <v>32</v>
      </c>
      <c r="P7312">
        <v>7.33774699759305</v>
      </c>
      <c r="Q7312">
        <v>2.1786964790257701</v>
      </c>
      <c r="R7312">
        <v>6.5952532952524301</v>
      </c>
      <c r="S7312">
        <v>123</v>
      </c>
      <c r="T7312">
        <v>59</v>
      </c>
      <c r="U7312">
        <v>264.03892533022702</v>
      </c>
      <c r="V7312">
        <v>1.13250283125707E-3</v>
      </c>
      <c r="W7312">
        <v>697787.88407790102</v>
      </c>
      <c r="X7312" t="s">
        <v>33</v>
      </c>
      <c r="Y7312">
        <f>1-212-274-5739</f>
        <v>-6224</v>
      </c>
    </row>
    <row r="7313" spans="1:25" x14ac:dyDescent="0.35">
      <c r="A7313">
        <v>32.530782515297702</v>
      </c>
      <c r="B7313">
        <v>-121.800492147992</v>
      </c>
      <c r="C7313" t="s">
        <v>29</v>
      </c>
      <c r="D7313">
        <v>17.660452565190798</v>
      </c>
      <c r="E7313">
        <v>8</v>
      </c>
      <c r="F7313">
        <v>4933</v>
      </c>
      <c r="G7313">
        <v>4</v>
      </c>
      <c r="H7313">
        <v>1</v>
      </c>
      <c r="I7313">
        <v>1986</v>
      </c>
      <c r="J7313">
        <v>1</v>
      </c>
      <c r="K7313">
        <v>0</v>
      </c>
      <c r="L7313">
        <v>1</v>
      </c>
      <c r="M7313">
        <v>12</v>
      </c>
      <c r="N7313" t="s">
        <v>41</v>
      </c>
      <c r="O7313" t="s">
        <v>32</v>
      </c>
      <c r="P7313">
        <v>2.9032044774339498</v>
      </c>
      <c r="Q7313">
        <v>1.3845154930107699</v>
      </c>
      <c r="R7313">
        <v>7.6309050348113701</v>
      </c>
      <c r="S7313">
        <v>128</v>
      </c>
      <c r="T7313">
        <v>35</v>
      </c>
      <c r="U7313">
        <v>224.937256637058</v>
      </c>
      <c r="V7313">
        <v>2.43259679708088E-3</v>
      </c>
      <c r="W7313">
        <v>1383617.1875032301</v>
      </c>
      <c r="X7313" t="s">
        <v>36</v>
      </c>
      <c r="Y7313">
        <f>1-888-319-7123</f>
        <v>-8329</v>
      </c>
    </row>
    <row r="7314" spans="1:25" x14ac:dyDescent="0.35">
      <c r="A7314">
        <v>41.970486873501599</v>
      </c>
      <c r="B7314">
        <v>-116.79519081506599</v>
      </c>
      <c r="C7314" t="s">
        <v>29</v>
      </c>
      <c r="D7314">
        <v>2.1219132579811801</v>
      </c>
      <c r="E7314">
        <v>1</v>
      </c>
      <c r="F7314">
        <v>4854</v>
      </c>
      <c r="G7314">
        <v>4</v>
      </c>
      <c r="H7314">
        <v>2</v>
      </c>
      <c r="I7314">
        <v>1996</v>
      </c>
      <c r="J7314">
        <v>0</v>
      </c>
      <c r="K7314">
        <v>0</v>
      </c>
      <c r="L7314">
        <v>0</v>
      </c>
      <c r="M7314">
        <v>4</v>
      </c>
      <c r="N7314" t="s">
        <v>26</v>
      </c>
      <c r="O7314" t="s">
        <v>27</v>
      </c>
      <c r="P7314">
        <v>12.829727864890099</v>
      </c>
      <c r="Q7314">
        <v>1.8733049959035699</v>
      </c>
      <c r="R7314">
        <v>4.8359763265209201</v>
      </c>
      <c r="S7314">
        <v>19</v>
      </c>
      <c r="T7314">
        <v>68</v>
      </c>
      <c r="U7314">
        <v>660.38510350534204</v>
      </c>
      <c r="V7314">
        <v>8.2406262875978499E-4</v>
      </c>
      <c r="W7314">
        <v>3476241.01375977</v>
      </c>
      <c r="X7314" t="s">
        <v>44</v>
      </c>
      <c r="Y7314">
        <f>1-992-831-2663</f>
        <v>-4485</v>
      </c>
    </row>
    <row r="7315" spans="1:25" x14ac:dyDescent="0.35">
      <c r="A7315">
        <v>32.568418088787404</v>
      </c>
      <c r="B7315">
        <v>-114.710764842952</v>
      </c>
      <c r="C7315" t="s">
        <v>34</v>
      </c>
      <c r="D7315">
        <v>23.9244841186587</v>
      </c>
      <c r="E7315">
        <v>9</v>
      </c>
      <c r="F7315">
        <v>536</v>
      </c>
      <c r="G7315">
        <v>1</v>
      </c>
      <c r="H7315">
        <v>3</v>
      </c>
      <c r="I7315">
        <v>1968</v>
      </c>
      <c r="J7315">
        <v>1</v>
      </c>
      <c r="K7315">
        <v>0</v>
      </c>
      <c r="L7315">
        <v>1</v>
      </c>
      <c r="M7315">
        <v>9</v>
      </c>
      <c r="N7315" t="s">
        <v>35</v>
      </c>
      <c r="O7315" t="s">
        <v>32</v>
      </c>
      <c r="P7315">
        <v>8.8043506346488307</v>
      </c>
      <c r="Q7315">
        <v>1.7346911470844899</v>
      </c>
      <c r="R7315">
        <v>4.6023480169586204</v>
      </c>
      <c r="S7315">
        <v>127</v>
      </c>
      <c r="T7315">
        <v>31</v>
      </c>
      <c r="U7315">
        <v>347.99331224565799</v>
      </c>
      <c r="V7315">
        <v>1.6791044776119399E-2</v>
      </c>
      <c r="W7315">
        <v>455583.80299560103</v>
      </c>
      <c r="X7315" t="s">
        <v>28</v>
      </c>
      <c r="Y7315">
        <f>1-595-730-4868</f>
        <v>-6192</v>
      </c>
    </row>
    <row r="7316" spans="1:25" x14ac:dyDescent="0.35">
      <c r="A7316">
        <v>33.6763301491238</v>
      </c>
      <c r="B7316">
        <v>-124.19629629572199</v>
      </c>
      <c r="C7316" t="s">
        <v>25</v>
      </c>
      <c r="D7316">
        <v>11.888289959382501</v>
      </c>
      <c r="E7316">
        <v>7</v>
      </c>
      <c r="F7316">
        <v>2633</v>
      </c>
      <c r="G7316">
        <v>1</v>
      </c>
      <c r="H7316">
        <v>3</v>
      </c>
      <c r="I7316">
        <v>1988</v>
      </c>
      <c r="J7316">
        <v>0</v>
      </c>
      <c r="K7316">
        <v>1</v>
      </c>
      <c r="L7316">
        <v>0</v>
      </c>
      <c r="M7316">
        <v>11</v>
      </c>
      <c r="N7316" t="s">
        <v>26</v>
      </c>
      <c r="O7316" t="s">
        <v>30</v>
      </c>
      <c r="P7316">
        <v>4.8267852311964603</v>
      </c>
      <c r="Q7316">
        <v>0.72269809401885599</v>
      </c>
      <c r="R7316">
        <v>4.2929226805350096</v>
      </c>
      <c r="S7316">
        <v>155</v>
      </c>
      <c r="T7316">
        <v>56</v>
      </c>
      <c r="U7316">
        <v>675.48209494137404</v>
      </c>
      <c r="V7316">
        <v>4.1777440182301498E-3</v>
      </c>
      <c r="W7316">
        <v>1938161.02483016</v>
      </c>
      <c r="X7316" t="s">
        <v>40</v>
      </c>
      <c r="Y7316">
        <f>1-561-914-7400</f>
        <v>-8874</v>
      </c>
    </row>
    <row r="7317" spans="1:25" x14ac:dyDescent="0.35">
      <c r="A7317">
        <v>33.493523089696197</v>
      </c>
      <c r="B7317">
        <v>-123.13635324206901</v>
      </c>
      <c r="C7317" t="s">
        <v>25</v>
      </c>
      <c r="D7317">
        <v>14.171184302666299</v>
      </c>
      <c r="E7317">
        <v>5</v>
      </c>
      <c r="F7317">
        <v>4181</v>
      </c>
      <c r="G7317">
        <v>2</v>
      </c>
      <c r="H7317">
        <v>2</v>
      </c>
      <c r="I7317">
        <v>2001</v>
      </c>
      <c r="J7317">
        <v>1</v>
      </c>
      <c r="K7317">
        <v>1</v>
      </c>
      <c r="L7317">
        <v>1</v>
      </c>
      <c r="M7317">
        <v>11</v>
      </c>
      <c r="N7317" t="s">
        <v>35</v>
      </c>
      <c r="O7317" t="s">
        <v>32</v>
      </c>
      <c r="P7317">
        <v>13.2075312608976</v>
      </c>
      <c r="Q7317">
        <v>1.72768103617267</v>
      </c>
      <c r="R7317">
        <v>5.4378470057796404</v>
      </c>
      <c r="S7317">
        <v>29</v>
      </c>
      <c r="T7317">
        <v>26</v>
      </c>
      <c r="U7317">
        <v>678.54769572291195</v>
      </c>
      <c r="V7317">
        <v>2.6309495336043999E-3</v>
      </c>
      <c r="W7317">
        <v>3207757.85514152</v>
      </c>
      <c r="X7317" t="s">
        <v>36</v>
      </c>
      <c r="Y7317">
        <f>1-971-799-1179</f>
        <v>-2948</v>
      </c>
    </row>
    <row r="7318" spans="1:25" x14ac:dyDescent="0.35">
      <c r="A7318">
        <v>34.093249177721901</v>
      </c>
      <c r="B7318">
        <v>-117.173001295359</v>
      </c>
      <c r="C7318" t="s">
        <v>34</v>
      </c>
      <c r="D7318">
        <v>49.204508815432803</v>
      </c>
      <c r="E7318">
        <v>0</v>
      </c>
      <c r="F7318">
        <v>758</v>
      </c>
      <c r="G7318">
        <v>2</v>
      </c>
      <c r="H7318">
        <v>3</v>
      </c>
      <c r="I7318">
        <v>2020</v>
      </c>
      <c r="J7318">
        <v>0</v>
      </c>
      <c r="K7318">
        <v>1</v>
      </c>
      <c r="L7318">
        <v>1</v>
      </c>
      <c r="M7318">
        <v>3</v>
      </c>
      <c r="N7318" t="s">
        <v>26</v>
      </c>
      <c r="O7318" t="s">
        <v>30</v>
      </c>
      <c r="P7318">
        <v>7.7544258870667502</v>
      </c>
      <c r="Q7318">
        <v>1.7177785244695201</v>
      </c>
      <c r="R7318">
        <v>7.8157697222385503</v>
      </c>
      <c r="S7318">
        <v>142</v>
      </c>
      <c r="T7318">
        <v>39</v>
      </c>
      <c r="U7318">
        <v>773.42529244670197</v>
      </c>
      <c r="V7318">
        <v>3.9577836411609502E-3</v>
      </c>
      <c r="W7318">
        <v>895064.61978616798</v>
      </c>
      <c r="X7318" t="s">
        <v>43</v>
      </c>
      <c r="Y7318">
        <f>1-418-254-6788</f>
        <v>-7459</v>
      </c>
    </row>
    <row r="7319" spans="1:25" x14ac:dyDescent="0.35">
      <c r="A7319">
        <v>34.047047789109897</v>
      </c>
      <c r="B7319">
        <v>-120.049137687429</v>
      </c>
      <c r="C7319" t="s">
        <v>25</v>
      </c>
      <c r="D7319">
        <v>32.844682608722501</v>
      </c>
      <c r="E7319">
        <v>0</v>
      </c>
      <c r="F7319">
        <v>4073</v>
      </c>
      <c r="G7319">
        <v>3</v>
      </c>
      <c r="H7319">
        <v>1</v>
      </c>
      <c r="I7319">
        <v>1956</v>
      </c>
      <c r="J7319">
        <v>1</v>
      </c>
      <c r="K7319">
        <v>0</v>
      </c>
      <c r="L7319">
        <v>1</v>
      </c>
      <c r="M7319">
        <v>6</v>
      </c>
      <c r="N7319" t="s">
        <v>35</v>
      </c>
      <c r="O7319" t="s">
        <v>30</v>
      </c>
      <c r="P7319">
        <v>10.366500970547101</v>
      </c>
      <c r="Q7319">
        <v>2.4477033280732701</v>
      </c>
      <c r="R7319">
        <v>7.5790848283855698</v>
      </c>
      <c r="S7319">
        <v>42</v>
      </c>
      <c r="T7319">
        <v>49</v>
      </c>
      <c r="U7319">
        <v>350.12201076820202</v>
      </c>
      <c r="V7319">
        <v>1.4731156395776999E-3</v>
      </c>
      <c r="W7319">
        <v>1658475.37818476</v>
      </c>
      <c r="X7319" t="s">
        <v>39</v>
      </c>
      <c r="Y7319">
        <f>1-675-332-8138</f>
        <v>-9144</v>
      </c>
    </row>
    <row r="7320" spans="1:25" x14ac:dyDescent="0.35">
      <c r="A7320">
        <v>36.222208316544503</v>
      </c>
      <c r="B7320">
        <v>-114.108937597882</v>
      </c>
      <c r="C7320" t="s">
        <v>34</v>
      </c>
      <c r="D7320">
        <v>25.4254226755722</v>
      </c>
      <c r="E7320">
        <v>1</v>
      </c>
      <c r="F7320">
        <v>2904</v>
      </c>
      <c r="G7320">
        <v>2</v>
      </c>
      <c r="H7320">
        <v>3</v>
      </c>
      <c r="I7320">
        <v>1984</v>
      </c>
      <c r="J7320">
        <v>0</v>
      </c>
      <c r="K7320">
        <v>1</v>
      </c>
      <c r="L7320">
        <v>1</v>
      </c>
      <c r="M7320">
        <v>2</v>
      </c>
      <c r="N7320" t="s">
        <v>41</v>
      </c>
      <c r="O7320" t="s">
        <v>27</v>
      </c>
      <c r="P7320">
        <v>5.5727418666926098</v>
      </c>
      <c r="Q7320">
        <v>0.70779628265162597</v>
      </c>
      <c r="R7320">
        <v>3.5684225718109399</v>
      </c>
      <c r="S7320">
        <v>197</v>
      </c>
      <c r="T7320">
        <v>62</v>
      </c>
      <c r="U7320">
        <v>887.32291378056595</v>
      </c>
      <c r="V7320">
        <v>6.8870523415977898E-4</v>
      </c>
      <c r="W7320">
        <v>2812635.56949369</v>
      </c>
      <c r="X7320" t="s">
        <v>38</v>
      </c>
      <c r="Y7320">
        <f>1-630-971-2496</f>
        <v>-4096</v>
      </c>
    </row>
    <row r="7321" spans="1:25" x14ac:dyDescent="0.35">
      <c r="A7321">
        <v>36.516301842276803</v>
      </c>
      <c r="B7321">
        <v>-121.851898658774</v>
      </c>
      <c r="C7321" t="s">
        <v>29</v>
      </c>
      <c r="D7321">
        <v>29.453645387543101</v>
      </c>
      <c r="E7321">
        <v>5</v>
      </c>
      <c r="F7321">
        <v>3217</v>
      </c>
      <c r="G7321">
        <v>3</v>
      </c>
      <c r="H7321">
        <v>1</v>
      </c>
      <c r="I7321">
        <v>2016</v>
      </c>
      <c r="J7321">
        <v>1</v>
      </c>
      <c r="K7321">
        <v>1</v>
      </c>
      <c r="L7321">
        <v>0</v>
      </c>
      <c r="M7321">
        <v>3</v>
      </c>
      <c r="N7321" t="s">
        <v>26</v>
      </c>
      <c r="O7321" t="s">
        <v>32</v>
      </c>
      <c r="P7321">
        <v>7.0999054322500799</v>
      </c>
      <c r="Q7321">
        <v>0.98874896046462302</v>
      </c>
      <c r="R7321">
        <v>0.76150330128949895</v>
      </c>
      <c r="S7321">
        <v>1</v>
      </c>
      <c r="T7321">
        <v>78</v>
      </c>
      <c r="U7321">
        <v>768.61079298355605</v>
      </c>
      <c r="V7321">
        <v>9.3254585017096597E-4</v>
      </c>
      <c r="W7321">
        <v>2872229.21170227</v>
      </c>
      <c r="X7321" t="s">
        <v>33</v>
      </c>
      <c r="Y7321">
        <f>1-230-465-1895</f>
        <v>-2589</v>
      </c>
    </row>
    <row r="7322" spans="1:25" x14ac:dyDescent="0.35">
      <c r="A7322">
        <v>35.6691169046318</v>
      </c>
      <c r="B7322">
        <v>-121.48664494997401</v>
      </c>
      <c r="C7322" t="s">
        <v>34</v>
      </c>
      <c r="D7322">
        <v>41.115476365110503</v>
      </c>
      <c r="E7322">
        <v>4</v>
      </c>
      <c r="F7322">
        <v>3141</v>
      </c>
      <c r="G7322">
        <v>1</v>
      </c>
      <c r="H7322">
        <v>1</v>
      </c>
      <c r="I7322">
        <v>1990</v>
      </c>
      <c r="J7322">
        <v>1</v>
      </c>
      <c r="K7322">
        <v>0</v>
      </c>
      <c r="L7322">
        <v>0</v>
      </c>
      <c r="M7322">
        <v>8</v>
      </c>
      <c r="N7322" t="s">
        <v>26</v>
      </c>
      <c r="O7322" t="s">
        <v>27</v>
      </c>
      <c r="P7322">
        <v>13.3705864906107</v>
      </c>
      <c r="Q7322">
        <v>0.74102293647323103</v>
      </c>
      <c r="R7322">
        <v>7.0678128169863497</v>
      </c>
      <c r="S7322">
        <v>106</v>
      </c>
      <c r="T7322">
        <v>74</v>
      </c>
      <c r="U7322">
        <v>666.65416910936005</v>
      </c>
      <c r="V7322">
        <v>2.5469595670168702E-3</v>
      </c>
      <c r="W7322">
        <v>2287931.6170514901</v>
      </c>
      <c r="X7322" t="s">
        <v>40</v>
      </c>
      <c r="Y7322">
        <f>1-980-717-6986</f>
        <v>-8682</v>
      </c>
    </row>
    <row r="7323" spans="1:25" x14ac:dyDescent="0.35">
      <c r="A7323">
        <v>38.208974418598103</v>
      </c>
      <c r="B7323">
        <v>-120.707881253331</v>
      </c>
      <c r="C7323" t="s">
        <v>34</v>
      </c>
      <c r="D7323">
        <v>48.765060032745602</v>
      </c>
      <c r="E7323">
        <v>1</v>
      </c>
      <c r="F7323">
        <v>4275</v>
      </c>
      <c r="G7323">
        <v>3</v>
      </c>
      <c r="H7323">
        <v>3</v>
      </c>
      <c r="I7323">
        <v>2009</v>
      </c>
      <c r="J7323">
        <v>1</v>
      </c>
      <c r="K7323">
        <v>0</v>
      </c>
      <c r="L7323">
        <v>0</v>
      </c>
      <c r="M7323">
        <v>7</v>
      </c>
      <c r="N7323" t="s">
        <v>41</v>
      </c>
      <c r="O7323" t="s">
        <v>30</v>
      </c>
      <c r="P7323">
        <v>12.965627937161599</v>
      </c>
      <c r="Q7323">
        <v>1.02007589947707</v>
      </c>
      <c r="R7323">
        <v>2.3375718145989199</v>
      </c>
      <c r="S7323">
        <v>154</v>
      </c>
      <c r="T7323">
        <v>46</v>
      </c>
      <c r="U7323">
        <v>472.32128164187299</v>
      </c>
      <c r="V7323">
        <v>1.6374269005847901E-3</v>
      </c>
      <c r="W7323">
        <v>2450642.7586999699</v>
      </c>
      <c r="X7323" t="s">
        <v>40</v>
      </c>
      <c r="Y7323">
        <f>1-651-236-6314</f>
        <v>-7200</v>
      </c>
    </row>
    <row r="7324" spans="1:25" x14ac:dyDescent="0.35">
      <c r="A7324">
        <v>35.494454193799399</v>
      </c>
      <c r="B7324">
        <v>-114.410789011419</v>
      </c>
      <c r="C7324" t="s">
        <v>34</v>
      </c>
      <c r="D7324">
        <v>13.625564413582101</v>
      </c>
      <c r="E7324">
        <v>6</v>
      </c>
      <c r="F7324">
        <v>2237</v>
      </c>
      <c r="G7324">
        <v>2</v>
      </c>
      <c r="H7324">
        <v>1</v>
      </c>
      <c r="I7324">
        <v>1973</v>
      </c>
      <c r="J7324">
        <v>1</v>
      </c>
      <c r="K7324">
        <v>0</v>
      </c>
      <c r="L7324">
        <v>1</v>
      </c>
      <c r="M7324">
        <v>9</v>
      </c>
      <c r="N7324" t="s">
        <v>41</v>
      </c>
      <c r="O7324" t="s">
        <v>30</v>
      </c>
      <c r="P7324">
        <v>2.4158187829467499</v>
      </c>
      <c r="Q7324">
        <v>2.33084444701477</v>
      </c>
      <c r="R7324">
        <v>0.82004731571471701</v>
      </c>
      <c r="S7324">
        <v>119</v>
      </c>
      <c r="T7324">
        <v>65</v>
      </c>
      <c r="U7324">
        <v>770.88968259518902</v>
      </c>
      <c r="V7324">
        <v>4.0232454179704898E-3</v>
      </c>
      <c r="W7324">
        <v>1793146.27906883</v>
      </c>
      <c r="X7324" t="s">
        <v>39</v>
      </c>
      <c r="Y7324">
        <f>1-363-708-2235</f>
        <v>-3305</v>
      </c>
    </row>
    <row r="7325" spans="1:25" x14ac:dyDescent="0.35">
      <c r="A7325">
        <v>36.532410113236999</v>
      </c>
      <c r="B7325">
        <v>-118.858497504011</v>
      </c>
      <c r="C7325" t="s">
        <v>29</v>
      </c>
      <c r="D7325">
        <v>16.082230163302398</v>
      </c>
      <c r="E7325">
        <v>9</v>
      </c>
      <c r="F7325">
        <v>4260</v>
      </c>
      <c r="G7325">
        <v>2</v>
      </c>
      <c r="H7325">
        <v>1</v>
      </c>
      <c r="I7325">
        <v>1996</v>
      </c>
      <c r="J7325">
        <v>1</v>
      </c>
      <c r="K7325">
        <v>1</v>
      </c>
      <c r="L7325">
        <v>1</v>
      </c>
      <c r="M7325">
        <v>2</v>
      </c>
      <c r="N7325" t="s">
        <v>37</v>
      </c>
      <c r="O7325" t="s">
        <v>27</v>
      </c>
      <c r="P7325">
        <v>7.0811941482895202</v>
      </c>
      <c r="Q7325">
        <v>1.93087621015731</v>
      </c>
      <c r="R7325">
        <v>6.01219531095607</v>
      </c>
      <c r="S7325">
        <v>19</v>
      </c>
      <c r="T7325">
        <v>75</v>
      </c>
      <c r="U7325">
        <v>286.62446354751302</v>
      </c>
      <c r="V7325">
        <v>4.6948356807511698E-4</v>
      </c>
      <c r="W7325">
        <v>1576884.0397151799</v>
      </c>
      <c r="X7325" t="s">
        <v>28</v>
      </c>
      <c r="Y7325">
        <f>1-896-876-5451</f>
        <v>-7222</v>
      </c>
    </row>
    <row r="7326" spans="1:25" x14ac:dyDescent="0.35">
      <c r="A7326">
        <v>34.5537600012916</v>
      </c>
      <c r="B7326">
        <v>-123.14586102540299</v>
      </c>
      <c r="C7326" t="s">
        <v>25</v>
      </c>
      <c r="D7326">
        <v>24.511729173067199</v>
      </c>
      <c r="E7326">
        <v>1</v>
      </c>
      <c r="F7326">
        <v>2823</v>
      </c>
      <c r="G7326">
        <v>4</v>
      </c>
      <c r="H7326">
        <v>2</v>
      </c>
      <c r="I7326">
        <v>1960</v>
      </c>
      <c r="J7326">
        <v>1</v>
      </c>
      <c r="K7326">
        <v>1</v>
      </c>
      <c r="L7326">
        <v>0</v>
      </c>
      <c r="M7326">
        <v>3</v>
      </c>
      <c r="N7326" t="s">
        <v>26</v>
      </c>
      <c r="O7326" t="s">
        <v>32</v>
      </c>
      <c r="P7326">
        <v>9.8621817157295002</v>
      </c>
      <c r="Q7326">
        <v>0.56280275805024205</v>
      </c>
      <c r="R7326">
        <v>0.13958603589032001</v>
      </c>
      <c r="S7326">
        <v>75</v>
      </c>
      <c r="T7326">
        <v>31</v>
      </c>
      <c r="U7326">
        <v>445.07676665714001</v>
      </c>
      <c r="V7326">
        <v>1.06269925611052E-3</v>
      </c>
      <c r="W7326">
        <v>1698472.2931010099</v>
      </c>
      <c r="X7326" t="s">
        <v>40</v>
      </c>
      <c r="Y7326">
        <f>1-539-798-1553</f>
        <v>-2889</v>
      </c>
    </row>
    <row r="7327" spans="1:25" x14ac:dyDescent="0.35">
      <c r="A7327">
        <v>38.783444975770799</v>
      </c>
      <c r="B7327">
        <v>-122.07937238945701</v>
      </c>
      <c r="C7327" t="s">
        <v>29</v>
      </c>
      <c r="D7327">
        <v>9.6097208943656902</v>
      </c>
      <c r="E7327">
        <v>2</v>
      </c>
      <c r="F7327">
        <v>2564</v>
      </c>
      <c r="G7327">
        <v>2</v>
      </c>
      <c r="H7327">
        <v>3</v>
      </c>
      <c r="I7327">
        <v>1951</v>
      </c>
      <c r="J7327">
        <v>0</v>
      </c>
      <c r="K7327">
        <v>0</v>
      </c>
      <c r="L7327">
        <v>0</v>
      </c>
      <c r="M7327">
        <v>13</v>
      </c>
      <c r="N7327" t="s">
        <v>41</v>
      </c>
      <c r="O7327" t="s">
        <v>32</v>
      </c>
      <c r="P7327">
        <v>3.9078606650506602</v>
      </c>
      <c r="Q7327">
        <v>2.07830711878574</v>
      </c>
      <c r="R7327">
        <v>8.4410101516055605</v>
      </c>
      <c r="S7327">
        <v>2</v>
      </c>
      <c r="T7327">
        <v>44</v>
      </c>
      <c r="U7327">
        <v>248.71077304616901</v>
      </c>
      <c r="V7327">
        <v>5.0702028081123203E-3</v>
      </c>
      <c r="W7327">
        <v>698674.69069890899</v>
      </c>
      <c r="X7327" t="s">
        <v>40</v>
      </c>
      <c r="Y7327">
        <f>1-642-275-2668</f>
        <v>-3584</v>
      </c>
    </row>
    <row r="7328" spans="1:25" x14ac:dyDescent="0.35">
      <c r="A7328">
        <v>40.310616094586798</v>
      </c>
      <c r="B7328">
        <v>-122.986860276973</v>
      </c>
      <c r="C7328" t="s">
        <v>29</v>
      </c>
      <c r="D7328">
        <v>43.516415601218903</v>
      </c>
      <c r="E7328">
        <v>8</v>
      </c>
      <c r="F7328">
        <v>3887</v>
      </c>
      <c r="G7328">
        <v>3</v>
      </c>
      <c r="H7328">
        <v>3</v>
      </c>
      <c r="I7328">
        <v>1960</v>
      </c>
      <c r="J7328">
        <v>1</v>
      </c>
      <c r="K7328">
        <v>1</v>
      </c>
      <c r="L7328">
        <v>0</v>
      </c>
      <c r="M7328">
        <v>7</v>
      </c>
      <c r="N7328" t="s">
        <v>37</v>
      </c>
      <c r="O7328" t="s">
        <v>27</v>
      </c>
      <c r="P7328">
        <v>6.2231075581140098</v>
      </c>
      <c r="Q7328">
        <v>2.3007532308727399</v>
      </c>
      <c r="R7328">
        <v>4.9794193045087702</v>
      </c>
      <c r="S7328">
        <v>19</v>
      </c>
      <c r="T7328">
        <v>49</v>
      </c>
      <c r="U7328">
        <v>465.282561745615</v>
      </c>
      <c r="V7328">
        <v>1.8008747105737E-3</v>
      </c>
      <c r="W7328">
        <v>2061935.5549879901</v>
      </c>
      <c r="X7328" t="s">
        <v>42</v>
      </c>
      <c r="Y7328">
        <f>1-332-646-8651</f>
        <v>-9628</v>
      </c>
    </row>
    <row r="7329" spans="1:25" x14ac:dyDescent="0.35">
      <c r="A7329">
        <v>33.967127206608197</v>
      </c>
      <c r="B7329">
        <v>-115.472104613845</v>
      </c>
      <c r="C7329" t="s">
        <v>25</v>
      </c>
      <c r="D7329">
        <v>41.820042885922199</v>
      </c>
      <c r="E7329">
        <v>3</v>
      </c>
      <c r="F7329">
        <v>4489</v>
      </c>
      <c r="G7329">
        <v>2</v>
      </c>
      <c r="H7329">
        <v>2</v>
      </c>
      <c r="I7329">
        <v>1981</v>
      </c>
      <c r="J7329">
        <v>1</v>
      </c>
      <c r="K7329">
        <v>1</v>
      </c>
      <c r="L7329">
        <v>1</v>
      </c>
      <c r="M7329">
        <v>11</v>
      </c>
      <c r="N7329" t="s">
        <v>35</v>
      </c>
      <c r="O7329" t="s">
        <v>32</v>
      </c>
      <c r="P7329">
        <v>12.3640260773966</v>
      </c>
      <c r="Q7329">
        <v>0.99012178093706305</v>
      </c>
      <c r="R7329">
        <v>8.4844882823789192</v>
      </c>
      <c r="S7329">
        <v>135</v>
      </c>
      <c r="T7329">
        <v>75</v>
      </c>
      <c r="U7329">
        <v>428.31662301802601</v>
      </c>
      <c r="V7329">
        <v>2.4504343951882298E-3</v>
      </c>
      <c r="W7329">
        <v>2284079.9279282601</v>
      </c>
      <c r="X7329" t="s">
        <v>38</v>
      </c>
      <c r="Y7329">
        <f>1-219-738-5248</f>
        <v>-6204</v>
      </c>
    </row>
    <row r="7330" spans="1:25" x14ac:dyDescent="0.35">
      <c r="A7330">
        <v>33.483444801593699</v>
      </c>
      <c r="B7330">
        <v>-124.017019289025</v>
      </c>
      <c r="C7330" t="s">
        <v>25</v>
      </c>
      <c r="D7330">
        <v>36.034751076234997</v>
      </c>
      <c r="E7330">
        <v>2</v>
      </c>
      <c r="F7330">
        <v>683</v>
      </c>
      <c r="G7330">
        <v>3</v>
      </c>
      <c r="H7330">
        <v>2</v>
      </c>
      <c r="I7330">
        <v>1968</v>
      </c>
      <c r="J7330">
        <v>0</v>
      </c>
      <c r="K7330">
        <v>0</v>
      </c>
      <c r="L7330">
        <v>1</v>
      </c>
      <c r="M7330">
        <v>12</v>
      </c>
      <c r="N7330" t="s">
        <v>37</v>
      </c>
      <c r="O7330" t="s">
        <v>30</v>
      </c>
      <c r="P7330">
        <v>13.7159419100216</v>
      </c>
      <c r="Q7330">
        <v>2.2607940420896799</v>
      </c>
      <c r="R7330">
        <v>5.4717731805228604</v>
      </c>
      <c r="S7330">
        <v>74</v>
      </c>
      <c r="T7330">
        <v>49</v>
      </c>
      <c r="U7330">
        <v>537.084021227633</v>
      </c>
      <c r="V7330">
        <v>1.75695461200585E-2</v>
      </c>
      <c r="W7330">
        <v>632103.57856473199</v>
      </c>
      <c r="X7330" t="s">
        <v>43</v>
      </c>
      <c r="Y7330">
        <f>1-524-587-4559</f>
        <v>-5669</v>
      </c>
    </row>
    <row r="7331" spans="1:25" x14ac:dyDescent="0.35">
      <c r="A7331">
        <v>39.5898921301226</v>
      </c>
      <c r="B7331">
        <v>-122.01119842307899</v>
      </c>
      <c r="C7331" t="s">
        <v>29</v>
      </c>
      <c r="D7331">
        <v>29.353694766740499</v>
      </c>
      <c r="E7331">
        <v>7</v>
      </c>
      <c r="F7331">
        <v>1794</v>
      </c>
      <c r="G7331">
        <v>1</v>
      </c>
      <c r="H7331">
        <v>1</v>
      </c>
      <c r="I7331">
        <v>2016</v>
      </c>
      <c r="J7331">
        <v>0</v>
      </c>
      <c r="K7331">
        <v>0</v>
      </c>
      <c r="L7331">
        <v>1</v>
      </c>
      <c r="M7331">
        <v>9</v>
      </c>
      <c r="N7331" t="s">
        <v>41</v>
      </c>
      <c r="O7331" t="s">
        <v>27</v>
      </c>
      <c r="P7331">
        <v>5.5913854912168297</v>
      </c>
      <c r="Q7331">
        <v>0.83822383922292498</v>
      </c>
      <c r="R7331">
        <v>8.5051103002523494</v>
      </c>
      <c r="S7331">
        <v>115</v>
      </c>
      <c r="T7331">
        <v>29</v>
      </c>
      <c r="U7331">
        <v>269.54477916298799</v>
      </c>
      <c r="V7331">
        <v>5.0167224080267499E-3</v>
      </c>
      <c r="W7331">
        <v>617909.89742002904</v>
      </c>
      <c r="X7331" t="s">
        <v>33</v>
      </c>
      <c r="Y7331">
        <f>1-420-157-9833</f>
        <v>-10409</v>
      </c>
    </row>
    <row r="7332" spans="1:25" x14ac:dyDescent="0.35">
      <c r="A7332">
        <v>41.3568160334341</v>
      </c>
      <c r="B7332">
        <v>-119.523666195933</v>
      </c>
      <c r="C7332" t="s">
        <v>34</v>
      </c>
      <c r="D7332">
        <v>43.591880329305901</v>
      </c>
      <c r="E7332">
        <v>0</v>
      </c>
      <c r="F7332">
        <v>1126</v>
      </c>
      <c r="G7332">
        <v>4</v>
      </c>
      <c r="H7332">
        <v>3</v>
      </c>
      <c r="I7332">
        <v>2018</v>
      </c>
      <c r="J7332">
        <v>1</v>
      </c>
      <c r="K7332">
        <v>0</v>
      </c>
      <c r="L7332">
        <v>1</v>
      </c>
      <c r="M7332">
        <v>5</v>
      </c>
      <c r="N7332" t="s">
        <v>26</v>
      </c>
      <c r="O7332" t="s">
        <v>30</v>
      </c>
      <c r="P7332">
        <v>6.21443997740041</v>
      </c>
      <c r="Q7332">
        <v>1.5665802391060899</v>
      </c>
      <c r="R7332">
        <v>9.3616459797297598</v>
      </c>
      <c r="S7332">
        <v>113</v>
      </c>
      <c r="T7332">
        <v>76</v>
      </c>
      <c r="U7332">
        <v>819.06356398946104</v>
      </c>
      <c r="V7332">
        <v>4.4404973357015896E-3</v>
      </c>
      <c r="W7332">
        <v>1274429.81253851</v>
      </c>
      <c r="X7332" t="s">
        <v>44</v>
      </c>
      <c r="Y7332">
        <f>1-244-740-4578</f>
        <v>-5561</v>
      </c>
    </row>
    <row r="7333" spans="1:25" x14ac:dyDescent="0.35">
      <c r="A7333">
        <v>33.128456218101</v>
      </c>
      <c r="B7333">
        <v>-117.217703174021</v>
      </c>
      <c r="C7333" t="s">
        <v>29</v>
      </c>
      <c r="D7333">
        <v>49.499677220467198</v>
      </c>
      <c r="E7333">
        <v>6</v>
      </c>
      <c r="F7333">
        <v>2457</v>
      </c>
      <c r="G7333">
        <v>4</v>
      </c>
      <c r="H7333">
        <v>1</v>
      </c>
      <c r="I7333">
        <v>1973</v>
      </c>
      <c r="J7333">
        <v>0</v>
      </c>
      <c r="K7333">
        <v>0</v>
      </c>
      <c r="L7333">
        <v>0</v>
      </c>
      <c r="M7333">
        <v>12</v>
      </c>
      <c r="N7333" t="s">
        <v>26</v>
      </c>
      <c r="O7333" t="s">
        <v>30</v>
      </c>
      <c r="P7333">
        <v>14.0088204291088</v>
      </c>
      <c r="Q7333">
        <v>2.0344038870205399</v>
      </c>
      <c r="R7333">
        <v>7.7814836414497099</v>
      </c>
      <c r="S7333">
        <v>9</v>
      </c>
      <c r="T7333">
        <v>48</v>
      </c>
      <c r="U7333">
        <v>217.25343238902099</v>
      </c>
      <c r="V7333">
        <v>4.8840048840048797E-3</v>
      </c>
      <c r="W7333">
        <v>775294.817605349</v>
      </c>
      <c r="X7333" t="s">
        <v>31</v>
      </c>
      <c r="Y7333">
        <f>1-379-288-1371</f>
        <v>-2037</v>
      </c>
    </row>
    <row r="7334" spans="1:25" x14ac:dyDescent="0.35">
      <c r="A7334">
        <v>36.2066480688014</v>
      </c>
      <c r="B7334">
        <v>-116.344533438258</v>
      </c>
      <c r="C7334" t="s">
        <v>25</v>
      </c>
      <c r="D7334">
        <v>4.1869062639324701</v>
      </c>
      <c r="E7334">
        <v>7</v>
      </c>
      <c r="F7334">
        <v>2796</v>
      </c>
      <c r="G7334">
        <v>5</v>
      </c>
      <c r="H7334">
        <v>2</v>
      </c>
      <c r="I7334">
        <v>1979</v>
      </c>
      <c r="J7334">
        <v>1</v>
      </c>
      <c r="K7334">
        <v>1</v>
      </c>
      <c r="L7334">
        <v>1</v>
      </c>
      <c r="M7334">
        <v>12</v>
      </c>
      <c r="N7334" t="s">
        <v>26</v>
      </c>
      <c r="O7334" t="s">
        <v>30</v>
      </c>
      <c r="P7334">
        <v>6.7203497523342204</v>
      </c>
      <c r="Q7334">
        <v>1.0985386740757701</v>
      </c>
      <c r="R7334">
        <v>0.21241480715241201</v>
      </c>
      <c r="S7334">
        <v>91</v>
      </c>
      <c r="T7334">
        <v>23</v>
      </c>
      <c r="U7334">
        <v>696.37611163183999</v>
      </c>
      <c r="V7334">
        <v>4.29184549356223E-3</v>
      </c>
      <c r="W7334">
        <v>2383051.51528779</v>
      </c>
      <c r="X7334" t="s">
        <v>36</v>
      </c>
      <c r="Y7334">
        <f>1-936-540-9380</f>
        <v>-10855</v>
      </c>
    </row>
    <row r="7335" spans="1:25" x14ac:dyDescent="0.35">
      <c r="A7335">
        <v>41.705286188059198</v>
      </c>
      <c r="B7335">
        <v>-122.90746234465099</v>
      </c>
      <c r="C7335" t="s">
        <v>34</v>
      </c>
      <c r="D7335">
        <v>30.8932396518153</v>
      </c>
      <c r="E7335">
        <v>8</v>
      </c>
      <c r="F7335">
        <v>1080</v>
      </c>
      <c r="G7335">
        <v>3</v>
      </c>
      <c r="H7335">
        <v>3</v>
      </c>
      <c r="I7335">
        <v>1997</v>
      </c>
      <c r="J7335">
        <v>1</v>
      </c>
      <c r="K7335">
        <v>0</v>
      </c>
      <c r="L7335">
        <v>1</v>
      </c>
      <c r="M7335">
        <v>10</v>
      </c>
      <c r="N7335" t="s">
        <v>26</v>
      </c>
      <c r="O7335" t="s">
        <v>32</v>
      </c>
      <c r="P7335">
        <v>11.140105773164199</v>
      </c>
      <c r="Q7335">
        <v>0.76876978201442303</v>
      </c>
      <c r="R7335">
        <v>9.4247905123492703</v>
      </c>
      <c r="S7335">
        <v>69</v>
      </c>
      <c r="T7335">
        <v>62</v>
      </c>
      <c r="U7335">
        <v>304.633849031409</v>
      </c>
      <c r="V7335">
        <v>9.2592592592592501E-3</v>
      </c>
      <c r="W7335">
        <v>760071.18719506403</v>
      </c>
      <c r="X7335" t="s">
        <v>43</v>
      </c>
      <c r="Y7335">
        <f>1-731-691-3663</f>
        <v>-5084</v>
      </c>
    </row>
    <row r="7336" spans="1:25" x14ac:dyDescent="0.35">
      <c r="A7336">
        <v>34.741769933716803</v>
      </c>
      <c r="B7336">
        <v>-115.43331362531001</v>
      </c>
      <c r="C7336" t="s">
        <v>29</v>
      </c>
      <c r="D7336">
        <v>34.245771615205499</v>
      </c>
      <c r="E7336">
        <v>7</v>
      </c>
      <c r="F7336">
        <v>3032</v>
      </c>
      <c r="G7336">
        <v>3</v>
      </c>
      <c r="H7336">
        <v>3</v>
      </c>
      <c r="I7336">
        <v>1952</v>
      </c>
      <c r="J7336">
        <v>1</v>
      </c>
      <c r="K7336">
        <v>0</v>
      </c>
      <c r="L7336">
        <v>1</v>
      </c>
      <c r="M7336">
        <v>13</v>
      </c>
      <c r="N7336" t="s">
        <v>41</v>
      </c>
      <c r="O7336" t="s">
        <v>32</v>
      </c>
      <c r="P7336">
        <v>10.8418702974471</v>
      </c>
      <c r="Q7336">
        <v>1.43067696018222</v>
      </c>
      <c r="R7336">
        <v>3.6644135117158299</v>
      </c>
      <c r="S7336">
        <v>141</v>
      </c>
      <c r="T7336">
        <v>73</v>
      </c>
      <c r="U7336">
        <v>458.32447932571603</v>
      </c>
      <c r="V7336">
        <v>4.2875989445910201E-3</v>
      </c>
      <c r="W7336">
        <v>1624936.4664332999</v>
      </c>
      <c r="X7336" t="s">
        <v>42</v>
      </c>
      <c r="Y7336">
        <f>1-748-854-9092</f>
        <v>-10693</v>
      </c>
    </row>
    <row r="7337" spans="1:25" x14ac:dyDescent="0.35">
      <c r="A7337">
        <v>41.448026741619998</v>
      </c>
      <c r="B7337">
        <v>-121.091978442799</v>
      </c>
      <c r="C7337" t="s">
        <v>29</v>
      </c>
      <c r="D7337">
        <v>17.872621458111499</v>
      </c>
      <c r="E7337">
        <v>4</v>
      </c>
      <c r="F7337">
        <v>4713</v>
      </c>
      <c r="G7337">
        <v>1</v>
      </c>
      <c r="H7337">
        <v>2</v>
      </c>
      <c r="I7337">
        <v>1970</v>
      </c>
      <c r="J7337">
        <v>0</v>
      </c>
      <c r="K7337">
        <v>1</v>
      </c>
      <c r="L7337">
        <v>0</v>
      </c>
      <c r="M7337">
        <v>10</v>
      </c>
      <c r="N7337" t="s">
        <v>41</v>
      </c>
      <c r="O7337" t="s">
        <v>32</v>
      </c>
      <c r="P7337">
        <v>8.8715685334146404</v>
      </c>
      <c r="Q7337">
        <v>0.78823720258323804</v>
      </c>
      <c r="R7337">
        <v>4.0082075375156396</v>
      </c>
      <c r="S7337">
        <v>67</v>
      </c>
      <c r="T7337">
        <v>55</v>
      </c>
      <c r="U7337">
        <v>305.08720461138603</v>
      </c>
      <c r="V7337">
        <v>2.1217907914279602E-3</v>
      </c>
      <c r="W7337">
        <v>1570025.3694951299</v>
      </c>
      <c r="X7337" t="s">
        <v>38</v>
      </c>
      <c r="Y7337">
        <f>1-492-308-7179</f>
        <v>-7978</v>
      </c>
    </row>
    <row r="7338" spans="1:25" x14ac:dyDescent="0.35">
      <c r="A7338">
        <v>34.823793885877897</v>
      </c>
      <c r="B7338">
        <v>-115.905499789215</v>
      </c>
      <c r="C7338" t="s">
        <v>34</v>
      </c>
      <c r="D7338">
        <v>45.970209589639403</v>
      </c>
      <c r="E7338">
        <v>0</v>
      </c>
      <c r="F7338">
        <v>2977</v>
      </c>
      <c r="G7338">
        <v>4</v>
      </c>
      <c r="H7338">
        <v>3</v>
      </c>
      <c r="I7338">
        <v>2019</v>
      </c>
      <c r="J7338">
        <v>0</v>
      </c>
      <c r="K7338">
        <v>1</v>
      </c>
      <c r="L7338">
        <v>0</v>
      </c>
      <c r="M7338">
        <v>3</v>
      </c>
      <c r="N7338" t="s">
        <v>41</v>
      </c>
      <c r="O7338" t="s">
        <v>27</v>
      </c>
      <c r="P7338">
        <v>11.078247640831</v>
      </c>
      <c r="Q7338">
        <v>1.0001430488501299</v>
      </c>
      <c r="R7338">
        <v>9.7265216257405793</v>
      </c>
      <c r="S7338">
        <v>73</v>
      </c>
      <c r="T7338">
        <v>36</v>
      </c>
      <c r="U7338">
        <v>670.92236057312402</v>
      </c>
      <c r="V7338">
        <v>1.0077258985555901E-3</v>
      </c>
      <c r="W7338">
        <v>2453436.6823313702</v>
      </c>
      <c r="X7338" t="s">
        <v>38</v>
      </c>
      <c r="Y7338">
        <f>1-655-683-3972</f>
        <v>-5309</v>
      </c>
    </row>
    <row r="7339" spans="1:25" x14ac:dyDescent="0.35">
      <c r="A7339">
        <v>39.391529654740602</v>
      </c>
      <c r="B7339">
        <v>-123.330512982448</v>
      </c>
      <c r="C7339" t="s">
        <v>29</v>
      </c>
      <c r="D7339">
        <v>14.0480915986935</v>
      </c>
      <c r="E7339">
        <v>9</v>
      </c>
      <c r="F7339">
        <v>3734</v>
      </c>
      <c r="G7339">
        <v>1</v>
      </c>
      <c r="H7339">
        <v>1</v>
      </c>
      <c r="I7339">
        <v>1995</v>
      </c>
      <c r="J7339">
        <v>1</v>
      </c>
      <c r="K7339">
        <v>0</v>
      </c>
      <c r="L7339">
        <v>1</v>
      </c>
      <c r="M7339">
        <v>9</v>
      </c>
      <c r="N7339" t="s">
        <v>26</v>
      </c>
      <c r="O7339" t="s">
        <v>32</v>
      </c>
      <c r="P7339">
        <v>4.1414889529087899</v>
      </c>
      <c r="Q7339">
        <v>1.26384795431347</v>
      </c>
      <c r="R7339">
        <v>2.8822803416834</v>
      </c>
      <c r="S7339">
        <v>33</v>
      </c>
      <c r="T7339">
        <v>53</v>
      </c>
      <c r="U7339">
        <v>756.64652768884901</v>
      </c>
      <c r="V7339">
        <v>2.4102838778789501E-3</v>
      </c>
      <c r="W7339">
        <v>2999671.8863437399</v>
      </c>
      <c r="X7339" t="s">
        <v>40</v>
      </c>
      <c r="Y7339">
        <f>1-235-431-5602</f>
        <v>-6267</v>
      </c>
    </row>
    <row r="7340" spans="1:25" x14ac:dyDescent="0.35">
      <c r="A7340">
        <v>34.190942110213399</v>
      </c>
      <c r="B7340">
        <v>-122.15881795803</v>
      </c>
      <c r="C7340" t="s">
        <v>25</v>
      </c>
      <c r="D7340">
        <v>23.136276307753199</v>
      </c>
      <c r="E7340">
        <v>0</v>
      </c>
      <c r="F7340">
        <v>4976</v>
      </c>
      <c r="G7340">
        <v>3</v>
      </c>
      <c r="H7340">
        <v>1</v>
      </c>
      <c r="I7340">
        <v>2001</v>
      </c>
      <c r="J7340">
        <v>1</v>
      </c>
      <c r="K7340">
        <v>0</v>
      </c>
      <c r="L7340">
        <v>0</v>
      </c>
      <c r="M7340">
        <v>11</v>
      </c>
      <c r="N7340" t="s">
        <v>35</v>
      </c>
      <c r="O7340" t="s">
        <v>30</v>
      </c>
      <c r="P7340">
        <v>10.935910331674201</v>
      </c>
      <c r="Q7340">
        <v>1.7018358955011299</v>
      </c>
      <c r="R7340">
        <v>7.6706234841835101</v>
      </c>
      <c r="S7340">
        <v>56</v>
      </c>
      <c r="T7340">
        <v>74</v>
      </c>
      <c r="U7340">
        <v>389.96099080614698</v>
      </c>
      <c r="V7340">
        <v>2.2106109324758799E-3</v>
      </c>
      <c r="W7340">
        <v>2187952.6490698499</v>
      </c>
      <c r="X7340" t="s">
        <v>39</v>
      </c>
      <c r="Y7340">
        <f>1-421-128-2127</f>
        <v>-2675</v>
      </c>
    </row>
    <row r="7341" spans="1:25" x14ac:dyDescent="0.35">
      <c r="A7341">
        <v>35.578491970474303</v>
      </c>
      <c r="B7341">
        <v>-120.175723109017</v>
      </c>
      <c r="C7341" t="s">
        <v>34</v>
      </c>
      <c r="D7341">
        <v>26.7844031860146</v>
      </c>
      <c r="E7341">
        <v>4</v>
      </c>
      <c r="F7341">
        <v>2444</v>
      </c>
      <c r="G7341">
        <v>4</v>
      </c>
      <c r="H7341">
        <v>1</v>
      </c>
      <c r="I7341">
        <v>1995</v>
      </c>
      <c r="J7341">
        <v>0</v>
      </c>
      <c r="K7341">
        <v>0</v>
      </c>
      <c r="L7341">
        <v>0</v>
      </c>
      <c r="M7341">
        <v>3</v>
      </c>
      <c r="N7341" t="s">
        <v>35</v>
      </c>
      <c r="O7341" t="s">
        <v>27</v>
      </c>
      <c r="P7341">
        <v>14.861827749093401</v>
      </c>
      <c r="Q7341">
        <v>0.64038333319478502</v>
      </c>
      <c r="R7341">
        <v>7.2228308434383202</v>
      </c>
      <c r="S7341">
        <v>148</v>
      </c>
      <c r="T7341">
        <v>78</v>
      </c>
      <c r="U7341">
        <v>932.33680153910905</v>
      </c>
      <c r="V7341">
        <v>1.22749590834697E-3</v>
      </c>
      <c r="W7341">
        <v>2545030.9146876698</v>
      </c>
      <c r="X7341" t="s">
        <v>40</v>
      </c>
      <c r="Y7341">
        <f>1-519-951-7965</f>
        <v>-9434</v>
      </c>
    </row>
    <row r="7342" spans="1:25" x14ac:dyDescent="0.35">
      <c r="A7342">
        <v>34.255643797336802</v>
      </c>
      <c r="B7342">
        <v>-114.113004575207</v>
      </c>
      <c r="C7342" t="s">
        <v>29</v>
      </c>
      <c r="D7342">
        <v>41.604745768628</v>
      </c>
      <c r="E7342">
        <v>8</v>
      </c>
      <c r="F7342">
        <v>2078</v>
      </c>
      <c r="G7342">
        <v>3</v>
      </c>
      <c r="H7342">
        <v>2</v>
      </c>
      <c r="I7342">
        <v>2008</v>
      </c>
      <c r="J7342">
        <v>1</v>
      </c>
      <c r="K7342">
        <v>0</v>
      </c>
      <c r="L7342">
        <v>1</v>
      </c>
      <c r="M7342">
        <v>8</v>
      </c>
      <c r="N7342" t="s">
        <v>26</v>
      </c>
      <c r="O7342" t="s">
        <v>32</v>
      </c>
      <c r="P7342">
        <v>9.4767716086309299</v>
      </c>
      <c r="Q7342">
        <v>2.1784882404792101</v>
      </c>
      <c r="R7342">
        <v>5.0119924047554401</v>
      </c>
      <c r="S7342">
        <v>159</v>
      </c>
      <c r="T7342">
        <v>50</v>
      </c>
      <c r="U7342">
        <v>422.73167662670397</v>
      </c>
      <c r="V7342">
        <v>3.8498556304138501E-3</v>
      </c>
      <c r="W7342">
        <v>1205408.8648429101</v>
      </c>
      <c r="X7342" t="s">
        <v>33</v>
      </c>
      <c r="Y7342">
        <f>1-930-448-6661</f>
        <v>-8038</v>
      </c>
    </row>
    <row r="7343" spans="1:25" x14ac:dyDescent="0.35">
      <c r="A7343">
        <v>34.8321768305033</v>
      </c>
      <c r="B7343">
        <v>-121.192542197549</v>
      </c>
      <c r="C7343" t="s">
        <v>34</v>
      </c>
      <c r="D7343">
        <v>10.9474234919381</v>
      </c>
      <c r="E7343">
        <v>5</v>
      </c>
      <c r="F7343">
        <v>1922</v>
      </c>
      <c r="G7343">
        <v>4</v>
      </c>
      <c r="H7343">
        <v>3</v>
      </c>
      <c r="I7343">
        <v>1966</v>
      </c>
      <c r="J7343">
        <v>1</v>
      </c>
      <c r="K7343">
        <v>0</v>
      </c>
      <c r="L7343">
        <v>0</v>
      </c>
      <c r="M7343">
        <v>14</v>
      </c>
      <c r="N7343" t="s">
        <v>37</v>
      </c>
      <c r="O7343" t="s">
        <v>32</v>
      </c>
      <c r="P7343">
        <v>7.36750542914635</v>
      </c>
      <c r="Q7343">
        <v>1.8412290652632699</v>
      </c>
      <c r="R7343">
        <v>3.2292634995312599</v>
      </c>
      <c r="S7343">
        <v>27</v>
      </c>
      <c r="T7343">
        <v>64</v>
      </c>
      <c r="U7343">
        <v>452.69808069733801</v>
      </c>
      <c r="V7343">
        <v>7.2840790842872002E-3</v>
      </c>
      <c r="W7343">
        <v>1129168.5994734999</v>
      </c>
      <c r="X7343" t="s">
        <v>39</v>
      </c>
      <c r="Y7343">
        <f>1-823-229-9928</f>
        <v>-10979</v>
      </c>
    </row>
    <row r="7344" spans="1:25" x14ac:dyDescent="0.35">
      <c r="A7344">
        <v>39.692767911693601</v>
      </c>
      <c r="B7344">
        <v>-122.498666678874</v>
      </c>
      <c r="C7344" t="s">
        <v>34</v>
      </c>
      <c r="D7344">
        <v>37.997211024029802</v>
      </c>
      <c r="E7344">
        <v>6</v>
      </c>
      <c r="F7344">
        <v>3709</v>
      </c>
      <c r="G7344">
        <v>1</v>
      </c>
      <c r="H7344">
        <v>1</v>
      </c>
      <c r="I7344">
        <v>2009</v>
      </c>
      <c r="J7344">
        <v>0</v>
      </c>
      <c r="K7344">
        <v>1</v>
      </c>
      <c r="L7344">
        <v>1</v>
      </c>
      <c r="M7344">
        <v>11</v>
      </c>
      <c r="N7344" t="s">
        <v>37</v>
      </c>
      <c r="O7344" t="s">
        <v>27</v>
      </c>
      <c r="P7344">
        <v>2.23382817315539</v>
      </c>
      <c r="Q7344">
        <v>0.64561486899157705</v>
      </c>
      <c r="R7344">
        <v>1.8540672298947201</v>
      </c>
      <c r="S7344">
        <v>149</v>
      </c>
      <c r="T7344">
        <v>48</v>
      </c>
      <c r="U7344">
        <v>438.53450404658503</v>
      </c>
      <c r="V7344">
        <v>2.9657589646805002E-3</v>
      </c>
      <c r="W7344">
        <v>1837916.6782535601</v>
      </c>
      <c r="X7344" t="s">
        <v>28</v>
      </c>
      <c r="Y7344">
        <f>1-604-939-8483</f>
        <v>-10025</v>
      </c>
    </row>
    <row r="7345" spans="1:25" x14ac:dyDescent="0.35">
      <c r="A7345">
        <v>39.708228425925697</v>
      </c>
      <c r="B7345">
        <v>-114.90088614042099</v>
      </c>
      <c r="C7345" t="s">
        <v>29</v>
      </c>
      <c r="D7345">
        <v>13.279845568440001</v>
      </c>
      <c r="E7345">
        <v>3</v>
      </c>
      <c r="F7345">
        <v>4111</v>
      </c>
      <c r="G7345">
        <v>3</v>
      </c>
      <c r="H7345">
        <v>1</v>
      </c>
      <c r="I7345">
        <v>1991</v>
      </c>
      <c r="J7345">
        <v>0</v>
      </c>
      <c r="K7345">
        <v>1</v>
      </c>
      <c r="L7345">
        <v>1</v>
      </c>
      <c r="M7345">
        <v>2</v>
      </c>
      <c r="N7345" t="s">
        <v>35</v>
      </c>
      <c r="O7345" t="s">
        <v>32</v>
      </c>
      <c r="P7345">
        <v>7.3531665386253504</v>
      </c>
      <c r="Q7345">
        <v>1.5619089823888901</v>
      </c>
      <c r="R7345">
        <v>0.34081060567675597</v>
      </c>
      <c r="S7345">
        <v>120</v>
      </c>
      <c r="T7345">
        <v>77</v>
      </c>
      <c r="U7345">
        <v>893.43812395206805</v>
      </c>
      <c r="V7345">
        <v>4.86499635125273E-4</v>
      </c>
      <c r="W7345">
        <v>3980958.0586529099</v>
      </c>
      <c r="X7345" t="s">
        <v>28</v>
      </c>
      <c r="Y7345">
        <f>1-260-477-6076</f>
        <v>-6812</v>
      </c>
    </row>
    <row r="7346" spans="1:25" x14ac:dyDescent="0.35">
      <c r="A7346">
        <v>32.509468488076699</v>
      </c>
      <c r="B7346">
        <v>-117.287151248024</v>
      </c>
      <c r="C7346" t="s">
        <v>25</v>
      </c>
      <c r="D7346">
        <v>12.135163566667</v>
      </c>
      <c r="E7346">
        <v>8</v>
      </c>
      <c r="F7346">
        <v>580</v>
      </c>
      <c r="G7346">
        <v>1</v>
      </c>
      <c r="H7346">
        <v>1</v>
      </c>
      <c r="I7346">
        <v>1971</v>
      </c>
      <c r="J7346">
        <v>0</v>
      </c>
      <c r="K7346">
        <v>1</v>
      </c>
      <c r="L7346">
        <v>0</v>
      </c>
      <c r="M7346">
        <v>9</v>
      </c>
      <c r="N7346" t="s">
        <v>41</v>
      </c>
      <c r="O7346" t="s">
        <v>30</v>
      </c>
      <c r="P7346">
        <v>9.4697493789079807</v>
      </c>
      <c r="Q7346">
        <v>1.5499717055397699</v>
      </c>
      <c r="R7346">
        <v>9.0216282602875602</v>
      </c>
      <c r="S7346">
        <v>86</v>
      </c>
      <c r="T7346">
        <v>48</v>
      </c>
      <c r="U7346">
        <v>917.61491786844203</v>
      </c>
      <c r="V7346">
        <v>1.55172413793103E-2</v>
      </c>
      <c r="W7346">
        <v>728743.18342274998</v>
      </c>
      <c r="X7346" t="s">
        <v>33</v>
      </c>
      <c r="Y7346">
        <f>1-821-585-6748</f>
        <v>-8153</v>
      </c>
    </row>
    <row r="7347" spans="1:25" x14ac:dyDescent="0.35">
      <c r="A7347">
        <v>36.019235401200902</v>
      </c>
      <c r="B7347">
        <v>-119.26696417609401</v>
      </c>
      <c r="C7347" t="s">
        <v>34</v>
      </c>
      <c r="D7347">
        <v>22.0352797723618</v>
      </c>
      <c r="E7347">
        <v>6</v>
      </c>
      <c r="F7347">
        <v>2694</v>
      </c>
      <c r="G7347">
        <v>5</v>
      </c>
      <c r="H7347">
        <v>3</v>
      </c>
      <c r="I7347">
        <v>2010</v>
      </c>
      <c r="J7347">
        <v>0</v>
      </c>
      <c r="K7347">
        <v>0</v>
      </c>
      <c r="L7347">
        <v>0</v>
      </c>
      <c r="M7347">
        <v>2</v>
      </c>
      <c r="N7347" t="s">
        <v>37</v>
      </c>
      <c r="O7347" t="s">
        <v>32</v>
      </c>
      <c r="P7347">
        <v>5.0416179774616499</v>
      </c>
      <c r="Q7347">
        <v>1.0637738195953299</v>
      </c>
      <c r="R7347">
        <v>6.7587672764818398</v>
      </c>
      <c r="S7347">
        <v>0</v>
      </c>
      <c r="T7347">
        <v>49</v>
      </c>
      <c r="U7347">
        <v>330.47128111092701</v>
      </c>
      <c r="V7347">
        <v>7.4239049740163301E-4</v>
      </c>
      <c r="W7347">
        <v>1189381.54550873</v>
      </c>
      <c r="X7347" t="s">
        <v>43</v>
      </c>
      <c r="Y7347">
        <f>1-248-923-5128</f>
        <v>-6298</v>
      </c>
    </row>
    <row r="7348" spans="1:25" x14ac:dyDescent="0.35">
      <c r="A7348">
        <v>40.568403864346102</v>
      </c>
      <c r="B7348">
        <v>-117.10730994282</v>
      </c>
      <c r="C7348" t="s">
        <v>34</v>
      </c>
      <c r="D7348">
        <v>9.9906440508346606</v>
      </c>
      <c r="E7348">
        <v>6</v>
      </c>
      <c r="F7348">
        <v>4361</v>
      </c>
      <c r="G7348">
        <v>3</v>
      </c>
      <c r="H7348">
        <v>1</v>
      </c>
      <c r="I7348">
        <v>2019</v>
      </c>
      <c r="J7348">
        <v>1</v>
      </c>
      <c r="K7348">
        <v>0</v>
      </c>
      <c r="L7348">
        <v>1</v>
      </c>
      <c r="M7348">
        <v>3</v>
      </c>
      <c r="N7348" t="s">
        <v>26</v>
      </c>
      <c r="O7348" t="s">
        <v>27</v>
      </c>
      <c r="P7348">
        <v>8.5200768167610494</v>
      </c>
      <c r="Q7348">
        <v>0.91907529571186997</v>
      </c>
      <c r="R7348">
        <v>7.9130355924909397</v>
      </c>
      <c r="S7348">
        <v>181</v>
      </c>
      <c r="T7348">
        <v>41</v>
      </c>
      <c r="U7348">
        <v>963.16513810743595</v>
      </c>
      <c r="V7348">
        <v>6.8791561568447605E-4</v>
      </c>
      <c r="W7348">
        <v>4400802.2091900399</v>
      </c>
      <c r="X7348" t="s">
        <v>39</v>
      </c>
      <c r="Y7348">
        <f>1-815-173-9590</f>
        <v>-10577</v>
      </c>
    </row>
    <row r="7349" spans="1:25" x14ac:dyDescent="0.35">
      <c r="A7349">
        <v>35.067256086995101</v>
      </c>
      <c r="B7349">
        <v>-124.236463755881</v>
      </c>
      <c r="C7349" t="s">
        <v>25</v>
      </c>
      <c r="D7349">
        <v>17.688484210271</v>
      </c>
      <c r="E7349">
        <v>5</v>
      </c>
      <c r="F7349">
        <v>829</v>
      </c>
      <c r="G7349">
        <v>2</v>
      </c>
      <c r="H7349">
        <v>3</v>
      </c>
      <c r="I7349">
        <v>1991</v>
      </c>
      <c r="J7349">
        <v>0</v>
      </c>
      <c r="K7349">
        <v>0</v>
      </c>
      <c r="L7349">
        <v>0</v>
      </c>
      <c r="M7349">
        <v>7</v>
      </c>
      <c r="N7349" t="s">
        <v>35</v>
      </c>
      <c r="O7349" t="s">
        <v>27</v>
      </c>
      <c r="P7349">
        <v>10.3735631140409</v>
      </c>
      <c r="Q7349">
        <v>1.40821191308378</v>
      </c>
      <c r="R7349">
        <v>9.6308412056950203</v>
      </c>
      <c r="S7349">
        <v>195</v>
      </c>
      <c r="T7349">
        <v>59</v>
      </c>
      <c r="U7349">
        <v>881.01936785257499</v>
      </c>
      <c r="V7349">
        <v>8.4439083232810599E-3</v>
      </c>
      <c r="W7349">
        <v>895780.18359435606</v>
      </c>
      <c r="X7349" t="s">
        <v>43</v>
      </c>
      <c r="Y7349">
        <f>1-719-838-6321</f>
        <v>-7877</v>
      </c>
    </row>
    <row r="7350" spans="1:25" x14ac:dyDescent="0.35">
      <c r="A7350">
        <v>41.007483874180998</v>
      </c>
      <c r="B7350">
        <v>-122.151292303147</v>
      </c>
      <c r="C7350" t="s">
        <v>25</v>
      </c>
      <c r="D7350">
        <v>4.5895491496185201</v>
      </c>
      <c r="E7350">
        <v>3</v>
      </c>
      <c r="F7350">
        <v>4384</v>
      </c>
      <c r="G7350">
        <v>5</v>
      </c>
      <c r="H7350">
        <v>2</v>
      </c>
      <c r="I7350">
        <v>1969</v>
      </c>
      <c r="J7350">
        <v>0</v>
      </c>
      <c r="K7350">
        <v>1</v>
      </c>
      <c r="L7350">
        <v>0</v>
      </c>
      <c r="M7350">
        <v>5</v>
      </c>
      <c r="N7350" t="s">
        <v>41</v>
      </c>
      <c r="O7350" t="s">
        <v>32</v>
      </c>
      <c r="P7350">
        <v>11.0067777766092</v>
      </c>
      <c r="Q7350">
        <v>1.73165424847044</v>
      </c>
      <c r="R7350">
        <v>1.45826921439276</v>
      </c>
      <c r="S7350">
        <v>12</v>
      </c>
      <c r="T7350">
        <v>36</v>
      </c>
      <c r="U7350">
        <v>809.588932412796</v>
      </c>
      <c r="V7350">
        <v>1.1405109489051001E-3</v>
      </c>
      <c r="W7350">
        <v>3919158.8986257599</v>
      </c>
      <c r="X7350" t="s">
        <v>28</v>
      </c>
      <c r="Y7350">
        <f>1-810-511-5673</f>
        <v>-6993</v>
      </c>
    </row>
    <row r="7351" spans="1:25" x14ac:dyDescent="0.35">
      <c r="A7351">
        <v>34.070628812801502</v>
      </c>
      <c r="B7351">
        <v>-123.98673012765001</v>
      </c>
      <c r="C7351" t="s">
        <v>29</v>
      </c>
      <c r="D7351">
        <v>6.37783720237144</v>
      </c>
      <c r="E7351">
        <v>8</v>
      </c>
      <c r="F7351">
        <v>1297</v>
      </c>
      <c r="G7351">
        <v>4</v>
      </c>
      <c r="H7351">
        <v>3</v>
      </c>
      <c r="I7351">
        <v>1998</v>
      </c>
      <c r="J7351">
        <v>1</v>
      </c>
      <c r="K7351">
        <v>1</v>
      </c>
      <c r="L7351">
        <v>1</v>
      </c>
      <c r="M7351">
        <v>9</v>
      </c>
      <c r="N7351" t="s">
        <v>26</v>
      </c>
      <c r="O7351" t="s">
        <v>32</v>
      </c>
      <c r="P7351">
        <v>10.903045191465999</v>
      </c>
      <c r="Q7351">
        <v>1.4516173451449399</v>
      </c>
      <c r="R7351">
        <v>2.9649117075240299</v>
      </c>
      <c r="S7351">
        <v>56</v>
      </c>
      <c r="T7351">
        <v>60</v>
      </c>
      <c r="U7351">
        <v>803.49703391202502</v>
      </c>
      <c r="V7351">
        <v>6.9390902081726998E-3</v>
      </c>
      <c r="W7351">
        <v>1495521.8555423201</v>
      </c>
      <c r="X7351" t="s">
        <v>43</v>
      </c>
      <c r="Y7351">
        <f>1-204-763-5127</f>
        <v>-6093</v>
      </c>
    </row>
    <row r="7352" spans="1:25" x14ac:dyDescent="0.35">
      <c r="A7352">
        <v>40.716430929312601</v>
      </c>
      <c r="B7352">
        <v>-121.589681353741</v>
      </c>
      <c r="C7352" t="s">
        <v>34</v>
      </c>
      <c r="D7352">
        <v>34.390968678939402</v>
      </c>
      <c r="E7352">
        <v>8</v>
      </c>
      <c r="F7352">
        <v>744</v>
      </c>
      <c r="G7352">
        <v>3</v>
      </c>
      <c r="H7352">
        <v>2</v>
      </c>
      <c r="I7352">
        <v>1965</v>
      </c>
      <c r="J7352">
        <v>1</v>
      </c>
      <c r="K7352">
        <v>0</v>
      </c>
      <c r="L7352">
        <v>0</v>
      </c>
      <c r="M7352">
        <v>8</v>
      </c>
      <c r="N7352" t="s">
        <v>26</v>
      </c>
      <c r="O7352" t="s">
        <v>32</v>
      </c>
      <c r="P7352">
        <v>4.8486371399022996</v>
      </c>
      <c r="Q7352">
        <v>1.0137414753018299</v>
      </c>
      <c r="R7352">
        <v>4.85550674054267</v>
      </c>
      <c r="S7352">
        <v>93</v>
      </c>
      <c r="T7352">
        <v>40</v>
      </c>
      <c r="U7352">
        <v>525.07421301552699</v>
      </c>
      <c r="V7352">
        <v>1.0752688172042999E-2</v>
      </c>
      <c r="W7352">
        <v>661765.512646736</v>
      </c>
      <c r="X7352" t="s">
        <v>40</v>
      </c>
      <c r="Y7352">
        <f>1-310-924-3143</f>
        <v>-4376</v>
      </c>
    </row>
    <row r="7353" spans="1:25" x14ac:dyDescent="0.35">
      <c r="A7353">
        <v>35.703146462510503</v>
      </c>
      <c r="B7353">
        <v>-120.909498337785</v>
      </c>
      <c r="C7353" t="s">
        <v>25</v>
      </c>
      <c r="D7353">
        <v>7.4604105542098704</v>
      </c>
      <c r="E7353">
        <v>6</v>
      </c>
      <c r="F7353">
        <v>2722</v>
      </c>
      <c r="G7353">
        <v>3</v>
      </c>
      <c r="H7353">
        <v>3</v>
      </c>
      <c r="I7353">
        <v>1984</v>
      </c>
      <c r="J7353">
        <v>1</v>
      </c>
      <c r="K7353">
        <v>1</v>
      </c>
      <c r="L7353">
        <v>0</v>
      </c>
      <c r="M7353">
        <v>8</v>
      </c>
      <c r="N7353" t="s">
        <v>35</v>
      </c>
      <c r="O7353" t="s">
        <v>30</v>
      </c>
      <c r="P7353">
        <v>6.4238327737554304</v>
      </c>
      <c r="Q7353">
        <v>1.7071383315272799</v>
      </c>
      <c r="R7353">
        <v>9.1725762835842897</v>
      </c>
      <c r="S7353">
        <v>72</v>
      </c>
      <c r="T7353">
        <v>72</v>
      </c>
      <c r="U7353">
        <v>526.59525013172401</v>
      </c>
      <c r="V7353">
        <v>2.9390154298309999E-3</v>
      </c>
      <c r="W7353">
        <v>1708381.34516039</v>
      </c>
      <c r="X7353" t="s">
        <v>39</v>
      </c>
      <c r="Y7353">
        <f>1-215-780-6487</f>
        <v>-7481</v>
      </c>
    </row>
    <row r="7354" spans="1:25" x14ac:dyDescent="0.35">
      <c r="A7354">
        <v>33.951036367461903</v>
      </c>
      <c r="B7354">
        <v>-119.592094854227</v>
      </c>
      <c r="C7354" t="s">
        <v>29</v>
      </c>
      <c r="D7354">
        <v>38.328939969151101</v>
      </c>
      <c r="E7354">
        <v>4</v>
      </c>
      <c r="F7354">
        <v>2091</v>
      </c>
      <c r="G7354">
        <v>2</v>
      </c>
      <c r="H7354">
        <v>3</v>
      </c>
      <c r="I7354">
        <v>2022</v>
      </c>
      <c r="J7354">
        <v>0</v>
      </c>
      <c r="K7354">
        <v>0</v>
      </c>
      <c r="L7354">
        <v>0</v>
      </c>
      <c r="M7354">
        <v>10</v>
      </c>
      <c r="N7354" t="s">
        <v>41</v>
      </c>
      <c r="O7354" t="s">
        <v>32</v>
      </c>
      <c r="P7354">
        <v>8.7150738266967593</v>
      </c>
      <c r="Q7354">
        <v>2.4895502638250302</v>
      </c>
      <c r="R7354">
        <v>5.9062497831167704</v>
      </c>
      <c r="S7354">
        <v>93</v>
      </c>
      <c r="T7354">
        <v>69</v>
      </c>
      <c r="U7354">
        <v>448.53854693201799</v>
      </c>
      <c r="V7354">
        <v>4.7824007651841201E-3</v>
      </c>
      <c r="W7354">
        <v>1179882.1970028901</v>
      </c>
      <c r="X7354" t="s">
        <v>28</v>
      </c>
      <c r="Y7354">
        <f>1-854-125-6181</f>
        <v>-7159</v>
      </c>
    </row>
    <row r="7355" spans="1:25" x14ac:dyDescent="0.35">
      <c r="A7355">
        <v>35.943392627562801</v>
      </c>
      <c r="B7355">
        <v>-116.006322470849</v>
      </c>
      <c r="C7355" t="s">
        <v>29</v>
      </c>
      <c r="D7355">
        <v>12.873614931100899</v>
      </c>
      <c r="E7355">
        <v>5</v>
      </c>
      <c r="F7355">
        <v>4550</v>
      </c>
      <c r="G7355">
        <v>3</v>
      </c>
      <c r="H7355">
        <v>1</v>
      </c>
      <c r="I7355">
        <v>1954</v>
      </c>
      <c r="J7355">
        <v>0</v>
      </c>
      <c r="K7355">
        <v>1</v>
      </c>
      <c r="L7355">
        <v>0</v>
      </c>
      <c r="M7355">
        <v>12</v>
      </c>
      <c r="N7355" t="s">
        <v>41</v>
      </c>
      <c r="O7355" t="s">
        <v>27</v>
      </c>
      <c r="P7355">
        <v>11.773941147904299</v>
      </c>
      <c r="Q7355">
        <v>0.817525520678832</v>
      </c>
      <c r="R7355">
        <v>7.0867141555261401</v>
      </c>
      <c r="S7355">
        <v>112</v>
      </c>
      <c r="T7355">
        <v>41</v>
      </c>
      <c r="U7355">
        <v>327.22023874119202</v>
      </c>
      <c r="V7355">
        <v>2.63736263736263E-3</v>
      </c>
      <c r="W7355">
        <v>1710882.7129192599</v>
      </c>
      <c r="X7355" t="s">
        <v>42</v>
      </c>
      <c r="Y7355">
        <f>1-448-617-6248</f>
        <v>-7312</v>
      </c>
    </row>
    <row r="7356" spans="1:25" x14ac:dyDescent="0.35">
      <c r="A7356">
        <v>39.792518440661503</v>
      </c>
      <c r="B7356">
        <v>-120.512828499337</v>
      </c>
      <c r="C7356" t="s">
        <v>25</v>
      </c>
      <c r="D7356">
        <v>22.994314349738399</v>
      </c>
      <c r="E7356">
        <v>9</v>
      </c>
      <c r="F7356">
        <v>3311</v>
      </c>
      <c r="G7356">
        <v>3</v>
      </c>
      <c r="H7356">
        <v>2</v>
      </c>
      <c r="I7356">
        <v>1994</v>
      </c>
      <c r="J7356">
        <v>0</v>
      </c>
      <c r="K7356">
        <v>1</v>
      </c>
      <c r="L7356">
        <v>0</v>
      </c>
      <c r="M7356">
        <v>11</v>
      </c>
      <c r="N7356" t="s">
        <v>26</v>
      </c>
      <c r="O7356" t="s">
        <v>30</v>
      </c>
      <c r="P7356">
        <v>8.5242703398801698</v>
      </c>
      <c r="Q7356">
        <v>1.6376346034506599</v>
      </c>
      <c r="R7356">
        <v>9.9667594435462199</v>
      </c>
      <c r="S7356">
        <v>186</v>
      </c>
      <c r="T7356">
        <v>27</v>
      </c>
      <c r="U7356">
        <v>567.59229603150902</v>
      </c>
      <c r="V7356">
        <v>3.3222591362126199E-3</v>
      </c>
      <c r="W7356">
        <v>2166461.6883544498</v>
      </c>
      <c r="X7356" t="s">
        <v>42</v>
      </c>
      <c r="Y7356">
        <f>1-207-603-8166</f>
        <v>-8975</v>
      </c>
    </row>
    <row r="7357" spans="1:25" x14ac:dyDescent="0.35">
      <c r="A7357">
        <v>40.560189949739403</v>
      </c>
      <c r="B7357">
        <v>-124.026197377876</v>
      </c>
      <c r="C7357" t="s">
        <v>29</v>
      </c>
      <c r="D7357">
        <v>25.9285369036755</v>
      </c>
      <c r="E7357">
        <v>1</v>
      </c>
      <c r="F7357">
        <v>4729</v>
      </c>
      <c r="G7357">
        <v>2</v>
      </c>
      <c r="H7357">
        <v>3</v>
      </c>
      <c r="I7357">
        <v>1952</v>
      </c>
      <c r="J7357">
        <v>1</v>
      </c>
      <c r="K7357">
        <v>0</v>
      </c>
      <c r="L7357">
        <v>0</v>
      </c>
      <c r="M7357">
        <v>14</v>
      </c>
      <c r="N7357" t="s">
        <v>41</v>
      </c>
      <c r="O7357" t="s">
        <v>27</v>
      </c>
      <c r="P7357">
        <v>12.4824412485734</v>
      </c>
      <c r="Q7357">
        <v>2.2792413905822899</v>
      </c>
      <c r="R7357">
        <v>5.98515741390925</v>
      </c>
      <c r="S7357">
        <v>84</v>
      </c>
      <c r="T7357">
        <v>31</v>
      </c>
      <c r="U7357">
        <v>612.84303374757405</v>
      </c>
      <c r="V7357">
        <v>2.9604567561852401E-3</v>
      </c>
      <c r="W7357">
        <v>3105410.20368376</v>
      </c>
      <c r="X7357" t="s">
        <v>42</v>
      </c>
      <c r="Y7357">
        <f>1-736-827-1715</f>
        <v>-3277</v>
      </c>
    </row>
    <row r="7358" spans="1:25" x14ac:dyDescent="0.35">
      <c r="A7358">
        <v>41.456319390817001</v>
      </c>
      <c r="B7358">
        <v>-115.846307705279</v>
      </c>
      <c r="C7358" t="s">
        <v>25</v>
      </c>
      <c r="D7358">
        <v>46.3700401921569</v>
      </c>
      <c r="E7358">
        <v>6</v>
      </c>
      <c r="F7358">
        <v>2927</v>
      </c>
      <c r="G7358">
        <v>1</v>
      </c>
      <c r="H7358">
        <v>1</v>
      </c>
      <c r="I7358">
        <v>1988</v>
      </c>
      <c r="J7358">
        <v>1</v>
      </c>
      <c r="K7358">
        <v>1</v>
      </c>
      <c r="L7358">
        <v>1</v>
      </c>
      <c r="M7358">
        <v>11</v>
      </c>
      <c r="N7358" t="s">
        <v>26</v>
      </c>
      <c r="O7358" t="s">
        <v>27</v>
      </c>
      <c r="P7358">
        <v>10.777607118357601</v>
      </c>
      <c r="Q7358">
        <v>0.74518168396592599</v>
      </c>
      <c r="R7358">
        <v>3.77617070663849</v>
      </c>
      <c r="S7358">
        <v>120</v>
      </c>
      <c r="T7358">
        <v>32</v>
      </c>
      <c r="U7358">
        <v>348.72934112583903</v>
      </c>
      <c r="V7358">
        <v>3.75811411001024E-3</v>
      </c>
      <c r="W7358">
        <v>1275591.8347458399</v>
      </c>
      <c r="X7358" t="s">
        <v>33</v>
      </c>
      <c r="Y7358">
        <f>1-240-753-2583</f>
        <v>-3575</v>
      </c>
    </row>
    <row r="7359" spans="1:25" x14ac:dyDescent="0.35">
      <c r="A7359">
        <v>38.219488352994901</v>
      </c>
      <c r="B7359">
        <v>-114.053660504625</v>
      </c>
      <c r="C7359" t="s">
        <v>34</v>
      </c>
      <c r="D7359">
        <v>43.8023451066611</v>
      </c>
      <c r="E7359">
        <v>4</v>
      </c>
      <c r="F7359">
        <v>803</v>
      </c>
      <c r="G7359">
        <v>1</v>
      </c>
      <c r="H7359">
        <v>2</v>
      </c>
      <c r="I7359">
        <v>1970</v>
      </c>
      <c r="J7359">
        <v>1</v>
      </c>
      <c r="K7359">
        <v>1</v>
      </c>
      <c r="L7359">
        <v>1</v>
      </c>
      <c r="M7359">
        <v>12</v>
      </c>
      <c r="N7359" t="s">
        <v>41</v>
      </c>
      <c r="O7359" t="s">
        <v>27</v>
      </c>
      <c r="P7359">
        <v>14.942377522928499</v>
      </c>
      <c r="Q7359">
        <v>1.2518091425044999</v>
      </c>
      <c r="R7359">
        <v>7.1448860304174104</v>
      </c>
      <c r="S7359">
        <v>145</v>
      </c>
      <c r="T7359">
        <v>68</v>
      </c>
      <c r="U7359">
        <v>919.38260484158695</v>
      </c>
      <c r="V7359">
        <v>1.4943960149439601E-2</v>
      </c>
      <c r="W7359">
        <v>1067240.1820148299</v>
      </c>
      <c r="X7359" t="s">
        <v>40</v>
      </c>
      <c r="Y7359">
        <f>1-266-511-9641</f>
        <v>-10417</v>
      </c>
    </row>
    <row r="7360" spans="1:25" x14ac:dyDescent="0.35">
      <c r="A7360">
        <v>41.250512185594197</v>
      </c>
      <c r="B7360">
        <v>-121.96529232261101</v>
      </c>
      <c r="C7360" t="s">
        <v>29</v>
      </c>
      <c r="D7360">
        <v>41.9773939086366</v>
      </c>
      <c r="E7360">
        <v>9</v>
      </c>
      <c r="F7360">
        <v>506</v>
      </c>
      <c r="G7360">
        <v>4</v>
      </c>
      <c r="H7360">
        <v>3</v>
      </c>
      <c r="I7360">
        <v>1998</v>
      </c>
      <c r="J7360">
        <v>0</v>
      </c>
      <c r="K7360">
        <v>0</v>
      </c>
      <c r="L7360">
        <v>1</v>
      </c>
      <c r="M7360">
        <v>3</v>
      </c>
      <c r="N7360" t="s">
        <v>41</v>
      </c>
      <c r="O7360" t="s">
        <v>30</v>
      </c>
      <c r="P7360">
        <v>12.0161257179207</v>
      </c>
      <c r="Q7360">
        <v>1.4226416363038401</v>
      </c>
      <c r="R7360">
        <v>3.9835741557675801</v>
      </c>
      <c r="S7360">
        <v>140</v>
      </c>
      <c r="T7360">
        <v>23</v>
      </c>
      <c r="U7360">
        <v>382.57888532916701</v>
      </c>
      <c r="V7360">
        <v>5.9288537549407102E-3</v>
      </c>
      <c r="W7360">
        <v>537856.11639777501</v>
      </c>
      <c r="X7360" t="s">
        <v>36</v>
      </c>
      <c r="Y7360">
        <f>1-493-270-6361</f>
        <v>-7123</v>
      </c>
    </row>
    <row r="7361" spans="1:25" x14ac:dyDescent="0.35">
      <c r="A7361">
        <v>41.233831247018102</v>
      </c>
      <c r="B7361">
        <v>-119.20889292122899</v>
      </c>
      <c r="C7361" t="s">
        <v>25</v>
      </c>
      <c r="D7361">
        <v>4.0761184771198202</v>
      </c>
      <c r="E7361">
        <v>3</v>
      </c>
      <c r="F7361">
        <v>1791</v>
      </c>
      <c r="G7361">
        <v>1</v>
      </c>
      <c r="H7361">
        <v>1</v>
      </c>
      <c r="I7361">
        <v>1953</v>
      </c>
      <c r="J7361">
        <v>1</v>
      </c>
      <c r="K7361">
        <v>0</v>
      </c>
      <c r="L7361">
        <v>1</v>
      </c>
      <c r="M7361">
        <v>11</v>
      </c>
      <c r="N7361" t="s">
        <v>37</v>
      </c>
      <c r="O7361" t="s">
        <v>32</v>
      </c>
      <c r="P7361">
        <v>6.4514565482220601</v>
      </c>
      <c r="Q7361">
        <v>2.4745195851556301</v>
      </c>
      <c r="R7361">
        <v>6.0935078726976304</v>
      </c>
      <c r="S7361">
        <v>199</v>
      </c>
      <c r="T7361">
        <v>33</v>
      </c>
      <c r="U7361">
        <v>331.81472250842802</v>
      </c>
      <c r="V7361">
        <v>6.1418202121719702E-3</v>
      </c>
      <c r="W7361">
        <v>608113.49240347499</v>
      </c>
      <c r="X7361" t="s">
        <v>38</v>
      </c>
      <c r="Y7361">
        <f>1-819-903-4202</f>
        <v>-5923</v>
      </c>
    </row>
    <row r="7362" spans="1:25" x14ac:dyDescent="0.35">
      <c r="A7362">
        <v>33.777401752980701</v>
      </c>
      <c r="B7362">
        <v>-120.284364895338</v>
      </c>
      <c r="C7362" t="s">
        <v>25</v>
      </c>
      <c r="D7362">
        <v>31.9939518149116</v>
      </c>
      <c r="E7362">
        <v>4</v>
      </c>
      <c r="F7362">
        <v>1898</v>
      </c>
      <c r="G7362">
        <v>5</v>
      </c>
      <c r="H7362">
        <v>2</v>
      </c>
      <c r="I7362">
        <v>1978</v>
      </c>
      <c r="J7362">
        <v>1</v>
      </c>
      <c r="K7362">
        <v>0</v>
      </c>
      <c r="L7362">
        <v>0</v>
      </c>
      <c r="M7362">
        <v>10</v>
      </c>
      <c r="N7362" t="s">
        <v>26</v>
      </c>
      <c r="O7362" t="s">
        <v>27</v>
      </c>
      <c r="P7362">
        <v>12.1249790756402</v>
      </c>
      <c r="Q7362">
        <v>1.58626390665549</v>
      </c>
      <c r="R7362">
        <v>0.87640656132515204</v>
      </c>
      <c r="S7362">
        <v>184</v>
      </c>
      <c r="T7362">
        <v>50</v>
      </c>
      <c r="U7362">
        <v>758.57870055084595</v>
      </c>
      <c r="V7362">
        <v>5.2687038988408798E-3</v>
      </c>
      <c r="W7362">
        <v>1819364.9075641299</v>
      </c>
      <c r="X7362" t="s">
        <v>38</v>
      </c>
      <c r="Y7362">
        <f>1-335-518-3665</f>
        <v>-4517</v>
      </c>
    </row>
    <row r="7363" spans="1:25" x14ac:dyDescent="0.35">
      <c r="A7363">
        <v>36.777683257005101</v>
      </c>
      <c r="B7363">
        <v>-121.88256446709801</v>
      </c>
      <c r="C7363" t="s">
        <v>29</v>
      </c>
      <c r="D7363">
        <v>28.2167701256291</v>
      </c>
      <c r="E7363">
        <v>8</v>
      </c>
      <c r="F7363">
        <v>4366</v>
      </c>
      <c r="G7363">
        <v>2</v>
      </c>
      <c r="H7363">
        <v>1</v>
      </c>
      <c r="I7363">
        <v>1986</v>
      </c>
      <c r="J7363">
        <v>0</v>
      </c>
      <c r="K7363">
        <v>0</v>
      </c>
      <c r="L7363">
        <v>1</v>
      </c>
      <c r="M7363">
        <v>11</v>
      </c>
      <c r="N7363" t="s">
        <v>37</v>
      </c>
      <c r="O7363" t="s">
        <v>30</v>
      </c>
      <c r="P7363">
        <v>12.443063487697501</v>
      </c>
      <c r="Q7363">
        <v>1.88538098047958</v>
      </c>
      <c r="R7363">
        <v>6.5306905171385301</v>
      </c>
      <c r="S7363">
        <v>69</v>
      </c>
      <c r="T7363">
        <v>60</v>
      </c>
      <c r="U7363">
        <v>268.89704821605102</v>
      </c>
      <c r="V7363">
        <v>2.5194686211635299E-3</v>
      </c>
      <c r="W7363">
        <v>1390724.45273516</v>
      </c>
      <c r="X7363" t="s">
        <v>36</v>
      </c>
      <c r="Y7363">
        <f>1-921-556-3742</f>
        <v>-5218</v>
      </c>
    </row>
    <row r="7364" spans="1:25" x14ac:dyDescent="0.35">
      <c r="A7364">
        <v>37.095156481370402</v>
      </c>
      <c r="B7364">
        <v>-116.228864184236</v>
      </c>
      <c r="C7364" t="s">
        <v>34</v>
      </c>
      <c r="D7364">
        <v>30.181821903977401</v>
      </c>
      <c r="E7364">
        <v>0</v>
      </c>
      <c r="F7364">
        <v>4455</v>
      </c>
      <c r="G7364">
        <v>1</v>
      </c>
      <c r="H7364">
        <v>1</v>
      </c>
      <c r="I7364">
        <v>2015</v>
      </c>
      <c r="J7364">
        <v>1</v>
      </c>
      <c r="K7364">
        <v>1</v>
      </c>
      <c r="L7364">
        <v>0</v>
      </c>
      <c r="M7364">
        <v>7</v>
      </c>
      <c r="N7364" t="s">
        <v>37</v>
      </c>
      <c r="O7364" t="s">
        <v>30</v>
      </c>
      <c r="P7364">
        <v>14.4059975309645</v>
      </c>
      <c r="Q7364">
        <v>1.2737702039188199</v>
      </c>
      <c r="R7364">
        <v>3.0023636365328898</v>
      </c>
      <c r="S7364">
        <v>181</v>
      </c>
      <c r="T7364">
        <v>73</v>
      </c>
      <c r="U7364">
        <v>735.36492996553704</v>
      </c>
      <c r="V7364">
        <v>1.5712682379349001E-3</v>
      </c>
      <c r="W7364">
        <v>3635998.8001659401</v>
      </c>
      <c r="X7364" t="s">
        <v>43</v>
      </c>
      <c r="Y7364">
        <f>1-682-901-7375</f>
        <v>-8957</v>
      </c>
    </row>
    <row r="7365" spans="1:25" x14ac:dyDescent="0.35">
      <c r="A7365">
        <v>35.331800511904703</v>
      </c>
      <c r="B7365">
        <v>-114.65970672647801</v>
      </c>
      <c r="C7365" t="s">
        <v>25</v>
      </c>
      <c r="D7365">
        <v>14.292448233792101</v>
      </c>
      <c r="E7365">
        <v>5</v>
      </c>
      <c r="F7365">
        <v>951</v>
      </c>
      <c r="G7365">
        <v>1</v>
      </c>
      <c r="H7365">
        <v>1</v>
      </c>
      <c r="I7365">
        <v>1975</v>
      </c>
      <c r="J7365">
        <v>0</v>
      </c>
      <c r="K7365">
        <v>0</v>
      </c>
      <c r="L7365">
        <v>0</v>
      </c>
      <c r="M7365">
        <v>5</v>
      </c>
      <c r="N7365" t="s">
        <v>26</v>
      </c>
      <c r="O7365" t="s">
        <v>27</v>
      </c>
      <c r="P7365">
        <v>4.56945999604668</v>
      </c>
      <c r="Q7365">
        <v>2.32554606532835</v>
      </c>
      <c r="R7365">
        <v>1.63433491840749</v>
      </c>
      <c r="S7365">
        <v>24</v>
      </c>
      <c r="T7365">
        <v>34</v>
      </c>
      <c r="U7365">
        <v>949.33357764283699</v>
      </c>
      <c r="V7365">
        <v>5.2576235541535203E-3</v>
      </c>
      <c r="W7365">
        <v>896243.77413539204</v>
      </c>
      <c r="X7365" t="s">
        <v>43</v>
      </c>
      <c r="Y7365">
        <f>1-957-781-6253</f>
        <v>-7990</v>
      </c>
    </row>
    <row r="7366" spans="1:25" x14ac:dyDescent="0.35">
      <c r="A7366">
        <v>35.6726378283876</v>
      </c>
      <c r="B7366">
        <v>-118.59714335711701</v>
      </c>
      <c r="C7366" t="s">
        <v>34</v>
      </c>
      <c r="D7366">
        <v>31.879540224024801</v>
      </c>
      <c r="E7366">
        <v>0</v>
      </c>
      <c r="F7366">
        <v>2215</v>
      </c>
      <c r="G7366">
        <v>2</v>
      </c>
      <c r="H7366">
        <v>3</v>
      </c>
      <c r="I7366">
        <v>2003</v>
      </c>
      <c r="J7366">
        <v>0</v>
      </c>
      <c r="K7366">
        <v>0</v>
      </c>
      <c r="L7366">
        <v>1</v>
      </c>
      <c r="M7366">
        <v>7</v>
      </c>
      <c r="N7366" t="s">
        <v>41</v>
      </c>
      <c r="O7366" t="s">
        <v>30</v>
      </c>
      <c r="P7366">
        <v>5.9361829491329399</v>
      </c>
      <c r="Q7366">
        <v>2.1735790051761401</v>
      </c>
      <c r="R7366">
        <v>5.8257709703536502</v>
      </c>
      <c r="S7366">
        <v>70</v>
      </c>
      <c r="T7366">
        <v>50</v>
      </c>
      <c r="U7366">
        <v>922.72731646023601</v>
      </c>
      <c r="V7366">
        <v>3.16027088036117E-3</v>
      </c>
      <c r="W7366">
        <v>2283499.9754350702</v>
      </c>
      <c r="X7366" t="s">
        <v>40</v>
      </c>
      <c r="Y7366">
        <f>1-483-978-6125</f>
        <v>-7585</v>
      </c>
    </row>
    <row r="7367" spans="1:25" x14ac:dyDescent="0.35">
      <c r="A7367">
        <v>35.974542323665602</v>
      </c>
      <c r="B7367">
        <v>-122.022098713305</v>
      </c>
      <c r="C7367" t="s">
        <v>34</v>
      </c>
      <c r="D7367">
        <v>31.191786714832102</v>
      </c>
      <c r="E7367">
        <v>5</v>
      </c>
      <c r="F7367">
        <v>4572</v>
      </c>
      <c r="G7367">
        <v>1</v>
      </c>
      <c r="H7367">
        <v>1</v>
      </c>
      <c r="I7367">
        <v>2008</v>
      </c>
      <c r="J7367">
        <v>0</v>
      </c>
      <c r="K7367">
        <v>0</v>
      </c>
      <c r="L7367">
        <v>1</v>
      </c>
      <c r="M7367">
        <v>14</v>
      </c>
      <c r="N7367" t="s">
        <v>35</v>
      </c>
      <c r="O7367" t="s">
        <v>27</v>
      </c>
      <c r="P7367">
        <v>4.1555090927893996</v>
      </c>
      <c r="Q7367">
        <v>1.84120194991376</v>
      </c>
      <c r="R7367">
        <v>3.5977441184172099</v>
      </c>
      <c r="S7367">
        <v>159</v>
      </c>
      <c r="T7367">
        <v>29</v>
      </c>
      <c r="U7367">
        <v>766.13178541658999</v>
      </c>
      <c r="V7367">
        <v>3.0621172353455799E-3</v>
      </c>
      <c r="W7367">
        <v>3632216.98368931</v>
      </c>
      <c r="X7367" t="s">
        <v>44</v>
      </c>
      <c r="Y7367">
        <f>1-863-782-3016</f>
        <v>-4660</v>
      </c>
    </row>
    <row r="7368" spans="1:25" x14ac:dyDescent="0.35">
      <c r="A7368">
        <v>35.707323117271201</v>
      </c>
      <c r="B7368">
        <v>-119.747485330522</v>
      </c>
      <c r="C7368" t="s">
        <v>25</v>
      </c>
      <c r="D7368">
        <v>15.025022572802699</v>
      </c>
      <c r="E7368">
        <v>1</v>
      </c>
      <c r="F7368">
        <v>2546</v>
      </c>
      <c r="G7368">
        <v>3</v>
      </c>
      <c r="H7368">
        <v>2</v>
      </c>
      <c r="I7368">
        <v>1964</v>
      </c>
      <c r="J7368">
        <v>0</v>
      </c>
      <c r="K7368">
        <v>0</v>
      </c>
      <c r="L7368">
        <v>0</v>
      </c>
      <c r="M7368">
        <v>7</v>
      </c>
      <c r="N7368" t="s">
        <v>26</v>
      </c>
      <c r="O7368" t="s">
        <v>32</v>
      </c>
      <c r="P7368">
        <v>6.7800358266982297</v>
      </c>
      <c r="Q7368">
        <v>1.37546400655686</v>
      </c>
      <c r="R7368">
        <v>7.9071593494393904</v>
      </c>
      <c r="S7368">
        <v>76</v>
      </c>
      <c r="T7368">
        <v>60</v>
      </c>
      <c r="U7368">
        <v>610.49285491645696</v>
      </c>
      <c r="V7368">
        <v>2.7494108405341699E-3</v>
      </c>
      <c r="W7368">
        <v>1692462.33766359</v>
      </c>
      <c r="X7368" t="s">
        <v>31</v>
      </c>
      <c r="Y7368">
        <f>1-505-140-8826</f>
        <v>-9470</v>
      </c>
    </row>
    <row r="7369" spans="1:25" x14ac:dyDescent="0.35">
      <c r="A7369">
        <v>38.657589726715997</v>
      </c>
      <c r="B7369">
        <v>-123.57622239811</v>
      </c>
      <c r="C7369" t="s">
        <v>29</v>
      </c>
      <c r="D7369">
        <v>40.806786193613299</v>
      </c>
      <c r="E7369">
        <v>9</v>
      </c>
      <c r="F7369">
        <v>1738</v>
      </c>
      <c r="G7369">
        <v>5</v>
      </c>
      <c r="H7369">
        <v>1</v>
      </c>
      <c r="I7369">
        <v>1959</v>
      </c>
      <c r="J7369">
        <v>0</v>
      </c>
      <c r="K7369">
        <v>1</v>
      </c>
      <c r="L7369">
        <v>1</v>
      </c>
      <c r="M7369">
        <v>12</v>
      </c>
      <c r="N7369" t="s">
        <v>35</v>
      </c>
      <c r="O7369" t="s">
        <v>32</v>
      </c>
      <c r="P7369">
        <v>8.6822930151765103</v>
      </c>
      <c r="Q7369">
        <v>2.2952005707888201</v>
      </c>
      <c r="R7369">
        <v>1.3710554904447401</v>
      </c>
      <c r="S7369">
        <v>123</v>
      </c>
      <c r="T7369">
        <v>30</v>
      </c>
      <c r="U7369">
        <v>385.842290271156</v>
      </c>
      <c r="V7369">
        <v>6.9044879171461402E-3</v>
      </c>
      <c r="W7369">
        <v>1098242.2577742101</v>
      </c>
      <c r="X7369" t="s">
        <v>39</v>
      </c>
      <c r="Y7369">
        <f>1-497-112-7897</f>
        <v>-8505</v>
      </c>
    </row>
    <row r="7370" spans="1:25" x14ac:dyDescent="0.35">
      <c r="A7370">
        <v>41.619419009186899</v>
      </c>
      <c r="B7370">
        <v>-124.021546663047</v>
      </c>
      <c r="C7370" t="s">
        <v>25</v>
      </c>
      <c r="D7370">
        <v>26.4464917887666</v>
      </c>
      <c r="E7370">
        <v>1</v>
      </c>
      <c r="F7370">
        <v>3530</v>
      </c>
      <c r="G7370">
        <v>4</v>
      </c>
      <c r="H7370">
        <v>2</v>
      </c>
      <c r="I7370">
        <v>1995</v>
      </c>
      <c r="J7370">
        <v>1</v>
      </c>
      <c r="K7370">
        <v>0</v>
      </c>
      <c r="L7370">
        <v>0</v>
      </c>
      <c r="M7370">
        <v>14</v>
      </c>
      <c r="N7370" t="s">
        <v>35</v>
      </c>
      <c r="O7370" t="s">
        <v>27</v>
      </c>
      <c r="P7370">
        <v>14.5434869174849</v>
      </c>
      <c r="Q7370">
        <v>1.90573551899835</v>
      </c>
      <c r="R7370">
        <v>1.18525699602103</v>
      </c>
      <c r="S7370">
        <v>148</v>
      </c>
      <c r="T7370">
        <v>34</v>
      </c>
      <c r="U7370">
        <v>607.367699999357</v>
      </c>
      <c r="V7370">
        <v>3.9660056657223799E-3</v>
      </c>
      <c r="W7370">
        <v>2565371.55006494</v>
      </c>
      <c r="X7370" t="s">
        <v>33</v>
      </c>
      <c r="Y7370">
        <f>1-431-545-1284</f>
        <v>-2259</v>
      </c>
    </row>
    <row r="7371" spans="1:25" x14ac:dyDescent="0.35">
      <c r="A7371">
        <v>39.666229425104298</v>
      </c>
      <c r="B7371">
        <v>-122.954716795626</v>
      </c>
      <c r="C7371" t="s">
        <v>29</v>
      </c>
      <c r="D7371">
        <v>41.685535005035</v>
      </c>
      <c r="E7371">
        <v>1</v>
      </c>
      <c r="F7371">
        <v>1267</v>
      </c>
      <c r="G7371">
        <v>4</v>
      </c>
      <c r="H7371">
        <v>1</v>
      </c>
      <c r="I7371">
        <v>1999</v>
      </c>
      <c r="J7371">
        <v>1</v>
      </c>
      <c r="K7371">
        <v>1</v>
      </c>
      <c r="L7371">
        <v>0</v>
      </c>
      <c r="M7371">
        <v>12</v>
      </c>
      <c r="N7371" t="s">
        <v>35</v>
      </c>
      <c r="O7371" t="s">
        <v>30</v>
      </c>
      <c r="P7371">
        <v>13.6906306511802</v>
      </c>
      <c r="Q7371">
        <v>1.4758352867603</v>
      </c>
      <c r="R7371">
        <v>6.0760722367788702</v>
      </c>
      <c r="S7371">
        <v>82</v>
      </c>
      <c r="T7371">
        <v>45</v>
      </c>
      <c r="U7371">
        <v>944.32275289145196</v>
      </c>
      <c r="V7371">
        <v>9.4711917916337797E-3</v>
      </c>
      <c r="W7371">
        <v>1586398.96054047</v>
      </c>
      <c r="X7371" t="s">
        <v>42</v>
      </c>
      <c r="Y7371">
        <f>1-418-153-9811</f>
        <v>-10381</v>
      </c>
    </row>
    <row r="7372" spans="1:25" x14ac:dyDescent="0.35">
      <c r="A7372">
        <v>37.155653660398599</v>
      </c>
      <c r="B7372">
        <v>-118.013700301757</v>
      </c>
      <c r="C7372" t="s">
        <v>34</v>
      </c>
      <c r="D7372">
        <v>48.955381962775199</v>
      </c>
      <c r="E7372">
        <v>8</v>
      </c>
      <c r="F7372">
        <v>1651</v>
      </c>
      <c r="G7372">
        <v>2</v>
      </c>
      <c r="H7372">
        <v>1</v>
      </c>
      <c r="I7372">
        <v>1962</v>
      </c>
      <c r="J7372">
        <v>1</v>
      </c>
      <c r="K7372">
        <v>0</v>
      </c>
      <c r="L7372">
        <v>0</v>
      </c>
      <c r="M7372">
        <v>2</v>
      </c>
      <c r="N7372" t="s">
        <v>37</v>
      </c>
      <c r="O7372" t="s">
        <v>27</v>
      </c>
      <c r="P7372">
        <v>14.364278493380301</v>
      </c>
      <c r="Q7372">
        <v>0.76784348117964296</v>
      </c>
      <c r="R7372">
        <v>8.0176299581373005</v>
      </c>
      <c r="S7372">
        <v>199</v>
      </c>
      <c r="T7372">
        <v>79</v>
      </c>
      <c r="U7372">
        <v>528.81003718064505</v>
      </c>
      <c r="V7372">
        <v>1.2113870381586899E-3</v>
      </c>
      <c r="W7372">
        <v>963659.57484152098</v>
      </c>
      <c r="X7372" t="s">
        <v>31</v>
      </c>
      <c r="Y7372">
        <f>1-347-338-1490</f>
        <v>-2174</v>
      </c>
    </row>
    <row r="7373" spans="1:25" x14ac:dyDescent="0.35">
      <c r="A7373">
        <v>36.8659537253628</v>
      </c>
      <c r="B7373">
        <v>-114.18718058328901</v>
      </c>
      <c r="C7373" t="s">
        <v>29</v>
      </c>
      <c r="D7373">
        <v>39.584195760893301</v>
      </c>
      <c r="E7373">
        <v>6</v>
      </c>
      <c r="F7373">
        <v>4758</v>
      </c>
      <c r="G7373">
        <v>5</v>
      </c>
      <c r="H7373">
        <v>1</v>
      </c>
      <c r="I7373">
        <v>1990</v>
      </c>
      <c r="J7373">
        <v>0</v>
      </c>
      <c r="K7373">
        <v>0</v>
      </c>
      <c r="L7373">
        <v>1</v>
      </c>
      <c r="M7373">
        <v>4</v>
      </c>
      <c r="N7373" t="s">
        <v>35</v>
      </c>
      <c r="O7373" t="s">
        <v>32</v>
      </c>
      <c r="P7373">
        <v>6.7196428899187</v>
      </c>
      <c r="Q7373">
        <v>0.96971335736812803</v>
      </c>
      <c r="R7373">
        <v>6.0716061041799598</v>
      </c>
      <c r="S7373">
        <v>166</v>
      </c>
      <c r="T7373">
        <v>27</v>
      </c>
      <c r="U7373">
        <v>807.13096380084698</v>
      </c>
      <c r="V7373">
        <v>8.40689365279529E-4</v>
      </c>
      <c r="W7373">
        <v>4130473.18307477</v>
      </c>
      <c r="X7373" t="s">
        <v>31</v>
      </c>
      <c r="Y7373">
        <f>1-453-745-3612</f>
        <v>-4809</v>
      </c>
    </row>
    <row r="7374" spans="1:25" x14ac:dyDescent="0.35">
      <c r="A7374">
        <v>38.194714316985099</v>
      </c>
      <c r="B7374">
        <v>-114.449400847761</v>
      </c>
      <c r="C7374" t="s">
        <v>25</v>
      </c>
      <c r="D7374">
        <v>7.6409159778049398</v>
      </c>
      <c r="E7374">
        <v>5</v>
      </c>
      <c r="F7374">
        <v>4488</v>
      </c>
      <c r="G7374">
        <v>5</v>
      </c>
      <c r="H7374">
        <v>3</v>
      </c>
      <c r="I7374">
        <v>1953</v>
      </c>
      <c r="J7374">
        <v>1</v>
      </c>
      <c r="K7374">
        <v>1</v>
      </c>
      <c r="L7374">
        <v>0</v>
      </c>
      <c r="M7374">
        <v>4</v>
      </c>
      <c r="N7374" t="s">
        <v>37</v>
      </c>
      <c r="O7374" t="s">
        <v>27</v>
      </c>
      <c r="P7374">
        <v>12.149778354693799</v>
      </c>
      <c r="Q7374">
        <v>2.2855450778042798</v>
      </c>
      <c r="R7374">
        <v>7.6930232550060502</v>
      </c>
      <c r="S7374">
        <v>54</v>
      </c>
      <c r="T7374">
        <v>42</v>
      </c>
      <c r="U7374">
        <v>227.441719343941</v>
      </c>
      <c r="V7374">
        <v>8.9126559714795004E-4</v>
      </c>
      <c r="W7374">
        <v>1536053.9173161199</v>
      </c>
      <c r="X7374" t="s">
        <v>33</v>
      </c>
      <c r="Y7374">
        <f>1-375-816-9788</f>
        <v>-10978</v>
      </c>
    </row>
    <row r="7375" spans="1:25" x14ac:dyDescent="0.35">
      <c r="A7375">
        <v>41.670792550575499</v>
      </c>
      <c r="B7375">
        <v>-114.176218958814</v>
      </c>
      <c r="C7375" t="s">
        <v>29</v>
      </c>
      <c r="D7375">
        <v>49.8168911781123</v>
      </c>
      <c r="E7375">
        <v>0</v>
      </c>
      <c r="F7375">
        <v>4936</v>
      </c>
      <c r="G7375">
        <v>4</v>
      </c>
      <c r="H7375">
        <v>2</v>
      </c>
      <c r="I7375">
        <v>2021</v>
      </c>
      <c r="J7375">
        <v>0</v>
      </c>
      <c r="K7375">
        <v>1</v>
      </c>
      <c r="L7375">
        <v>0</v>
      </c>
      <c r="M7375">
        <v>4</v>
      </c>
      <c r="N7375" t="s">
        <v>35</v>
      </c>
      <c r="O7375" t="s">
        <v>30</v>
      </c>
      <c r="P7375">
        <v>4.3585143551165499</v>
      </c>
      <c r="Q7375">
        <v>2.3302089102039201</v>
      </c>
      <c r="R7375">
        <v>0.33798116791766097</v>
      </c>
      <c r="S7375">
        <v>158</v>
      </c>
      <c r="T7375">
        <v>20</v>
      </c>
      <c r="U7375">
        <v>568.67624406027505</v>
      </c>
      <c r="V7375">
        <v>8.1037277147487797E-4</v>
      </c>
      <c r="W7375">
        <v>3122791.4414911699</v>
      </c>
      <c r="X7375" t="s">
        <v>31</v>
      </c>
      <c r="Y7375">
        <f>1-471-850-1043</f>
        <v>-2363</v>
      </c>
    </row>
    <row r="7376" spans="1:25" x14ac:dyDescent="0.35">
      <c r="A7376">
        <v>33.331488555809997</v>
      </c>
      <c r="B7376">
        <v>-119.633465708602</v>
      </c>
      <c r="C7376" t="s">
        <v>29</v>
      </c>
      <c r="D7376">
        <v>2.3934532809207898</v>
      </c>
      <c r="E7376">
        <v>4</v>
      </c>
      <c r="F7376">
        <v>2128</v>
      </c>
      <c r="G7376">
        <v>2</v>
      </c>
      <c r="H7376">
        <v>3</v>
      </c>
      <c r="I7376">
        <v>2002</v>
      </c>
      <c r="J7376">
        <v>1</v>
      </c>
      <c r="K7376">
        <v>1</v>
      </c>
      <c r="L7376">
        <v>1</v>
      </c>
      <c r="M7376">
        <v>11</v>
      </c>
      <c r="N7376" t="s">
        <v>37</v>
      </c>
      <c r="O7376" t="s">
        <v>30</v>
      </c>
      <c r="P7376">
        <v>2.21600827068267</v>
      </c>
      <c r="Q7376">
        <v>2.2428372023505698</v>
      </c>
      <c r="R7376">
        <v>6.0775728870520398</v>
      </c>
      <c r="S7376">
        <v>82</v>
      </c>
      <c r="T7376">
        <v>69</v>
      </c>
      <c r="U7376">
        <v>346.58752338170001</v>
      </c>
      <c r="V7376">
        <v>5.1691729323308198E-3</v>
      </c>
      <c r="W7376">
        <v>1040164.04592866</v>
      </c>
      <c r="X7376" t="s">
        <v>33</v>
      </c>
      <c r="Y7376">
        <f>1-529-688-4615</f>
        <v>-5831</v>
      </c>
    </row>
    <row r="7377" spans="1:25" x14ac:dyDescent="0.35">
      <c r="A7377">
        <v>33.932613226167497</v>
      </c>
      <c r="B7377">
        <v>-116.398328788212</v>
      </c>
      <c r="C7377" t="s">
        <v>25</v>
      </c>
      <c r="D7377">
        <v>38.273688171923503</v>
      </c>
      <c r="E7377">
        <v>0</v>
      </c>
      <c r="F7377">
        <v>854</v>
      </c>
      <c r="G7377">
        <v>1</v>
      </c>
      <c r="H7377">
        <v>2</v>
      </c>
      <c r="I7377">
        <v>1993</v>
      </c>
      <c r="J7377">
        <v>0</v>
      </c>
      <c r="K7377">
        <v>1</v>
      </c>
      <c r="L7377">
        <v>1</v>
      </c>
      <c r="M7377">
        <v>5</v>
      </c>
      <c r="N7377" t="s">
        <v>26</v>
      </c>
      <c r="O7377" t="s">
        <v>32</v>
      </c>
      <c r="P7377">
        <v>14.439062823718301</v>
      </c>
      <c r="Q7377">
        <v>1.7412782473244901</v>
      </c>
      <c r="R7377">
        <v>3.6940560762583701</v>
      </c>
      <c r="S7377">
        <v>36</v>
      </c>
      <c r="T7377">
        <v>20</v>
      </c>
      <c r="U7377">
        <v>995.00488599946596</v>
      </c>
      <c r="V7377">
        <v>5.8548009367681503E-3</v>
      </c>
      <c r="W7377">
        <v>1160275.95193973</v>
      </c>
      <c r="X7377" t="s">
        <v>42</v>
      </c>
      <c r="Y7377">
        <f>1-826-296-5284</f>
        <v>-6405</v>
      </c>
    </row>
    <row r="7378" spans="1:25" x14ac:dyDescent="0.35">
      <c r="A7378">
        <v>39.872987114176503</v>
      </c>
      <c r="B7378">
        <v>-123.35810283476</v>
      </c>
      <c r="C7378" t="s">
        <v>29</v>
      </c>
      <c r="D7378">
        <v>6.7054076784125396</v>
      </c>
      <c r="E7378">
        <v>8</v>
      </c>
      <c r="F7378">
        <v>1739</v>
      </c>
      <c r="G7378">
        <v>2</v>
      </c>
      <c r="H7378">
        <v>3</v>
      </c>
      <c r="I7378">
        <v>2013</v>
      </c>
      <c r="J7378">
        <v>0</v>
      </c>
      <c r="K7378">
        <v>1</v>
      </c>
      <c r="L7378">
        <v>1</v>
      </c>
      <c r="M7378">
        <v>14</v>
      </c>
      <c r="N7378" t="s">
        <v>37</v>
      </c>
      <c r="O7378" t="s">
        <v>32</v>
      </c>
      <c r="P7378">
        <v>10.2241443947263</v>
      </c>
      <c r="Q7378">
        <v>1.7375237902337901</v>
      </c>
      <c r="R7378">
        <v>1.6877052700470501</v>
      </c>
      <c r="S7378">
        <v>151</v>
      </c>
      <c r="T7378">
        <v>21</v>
      </c>
      <c r="U7378">
        <v>642.877900520254</v>
      </c>
      <c r="V7378">
        <v>8.0506037952846402E-3</v>
      </c>
      <c r="W7378">
        <v>1488337.3207861499</v>
      </c>
      <c r="X7378" t="s">
        <v>40</v>
      </c>
      <c r="Y7378">
        <f>1-712-885-6491</f>
        <v>-8087</v>
      </c>
    </row>
    <row r="7379" spans="1:25" x14ac:dyDescent="0.35">
      <c r="A7379">
        <v>33.449777553687703</v>
      </c>
      <c r="B7379">
        <v>-116.91385523898801</v>
      </c>
      <c r="C7379" t="s">
        <v>34</v>
      </c>
      <c r="D7379">
        <v>28.037203098708002</v>
      </c>
      <c r="E7379">
        <v>8</v>
      </c>
      <c r="F7379">
        <v>4495</v>
      </c>
      <c r="G7379">
        <v>4</v>
      </c>
      <c r="H7379">
        <v>2</v>
      </c>
      <c r="I7379">
        <v>1975</v>
      </c>
      <c r="J7379">
        <v>0</v>
      </c>
      <c r="K7379">
        <v>0</v>
      </c>
      <c r="L7379">
        <v>0</v>
      </c>
      <c r="M7379">
        <v>6</v>
      </c>
      <c r="N7379" t="s">
        <v>35</v>
      </c>
      <c r="O7379" t="s">
        <v>30</v>
      </c>
      <c r="P7379">
        <v>3.6579889567947701</v>
      </c>
      <c r="Q7379">
        <v>1.24187322458127</v>
      </c>
      <c r="R7379">
        <v>8.0272761645169997</v>
      </c>
      <c r="S7379">
        <v>88</v>
      </c>
      <c r="T7379">
        <v>42</v>
      </c>
      <c r="U7379">
        <v>569.47182318012801</v>
      </c>
      <c r="V7379">
        <v>1.33481646273637E-3</v>
      </c>
      <c r="W7379">
        <v>2792206.2477219901</v>
      </c>
      <c r="X7379" t="s">
        <v>39</v>
      </c>
      <c r="Y7379">
        <f>1-347-429-5507</f>
        <v>-6282</v>
      </c>
    </row>
    <row r="7380" spans="1:25" x14ac:dyDescent="0.35">
      <c r="A7380">
        <v>36.166877805248603</v>
      </c>
      <c r="B7380">
        <v>-115.755522760969</v>
      </c>
      <c r="C7380" t="s">
        <v>29</v>
      </c>
      <c r="D7380">
        <v>1.8301437830324501</v>
      </c>
      <c r="E7380">
        <v>9</v>
      </c>
      <c r="F7380">
        <v>3018</v>
      </c>
      <c r="G7380">
        <v>2</v>
      </c>
      <c r="H7380">
        <v>3</v>
      </c>
      <c r="I7380">
        <v>2007</v>
      </c>
      <c r="J7380">
        <v>0</v>
      </c>
      <c r="K7380">
        <v>1</v>
      </c>
      <c r="L7380">
        <v>0</v>
      </c>
      <c r="M7380">
        <v>6</v>
      </c>
      <c r="N7380" t="s">
        <v>41</v>
      </c>
      <c r="O7380" t="s">
        <v>30</v>
      </c>
      <c r="P7380">
        <v>9.4894419692768501</v>
      </c>
      <c r="Q7380">
        <v>0.54161806652605704</v>
      </c>
      <c r="R7380">
        <v>1.24130670443157</v>
      </c>
      <c r="S7380">
        <v>184</v>
      </c>
      <c r="T7380">
        <v>31</v>
      </c>
      <c r="U7380">
        <v>577.73187682876903</v>
      </c>
      <c r="V7380">
        <v>1.9880715705765401E-3</v>
      </c>
      <c r="W7380">
        <v>2025319.9124739401</v>
      </c>
      <c r="X7380" t="s">
        <v>38</v>
      </c>
      <c r="Y7380">
        <f>1-289-622-8062</f>
        <v>-8972</v>
      </c>
    </row>
    <row r="7381" spans="1:25" x14ac:dyDescent="0.35">
      <c r="A7381">
        <v>34.758117344801597</v>
      </c>
      <c r="B7381">
        <v>-123.59345291564</v>
      </c>
      <c r="C7381" t="s">
        <v>34</v>
      </c>
      <c r="D7381">
        <v>10.815227178852099</v>
      </c>
      <c r="E7381">
        <v>6</v>
      </c>
      <c r="F7381">
        <v>1725</v>
      </c>
      <c r="G7381">
        <v>4</v>
      </c>
      <c r="H7381">
        <v>1</v>
      </c>
      <c r="I7381">
        <v>1982</v>
      </c>
      <c r="J7381">
        <v>0</v>
      </c>
      <c r="K7381">
        <v>1</v>
      </c>
      <c r="L7381">
        <v>0</v>
      </c>
      <c r="M7381">
        <v>13</v>
      </c>
      <c r="N7381" t="s">
        <v>41</v>
      </c>
      <c r="O7381" t="s">
        <v>32</v>
      </c>
      <c r="P7381">
        <v>12.137338735756</v>
      </c>
      <c r="Q7381">
        <v>0.95440957406239901</v>
      </c>
      <c r="R7381">
        <v>0.23612342014777399</v>
      </c>
      <c r="S7381">
        <v>96</v>
      </c>
      <c r="T7381">
        <v>71</v>
      </c>
      <c r="U7381">
        <v>808.54475788770299</v>
      </c>
      <c r="V7381">
        <v>7.5362318840579701E-3</v>
      </c>
      <c r="W7381">
        <v>1757795.3549408701</v>
      </c>
      <c r="X7381" t="s">
        <v>42</v>
      </c>
      <c r="Y7381">
        <f>1-611-866-6877</f>
        <v>-8353</v>
      </c>
    </row>
    <row r="7382" spans="1:25" x14ac:dyDescent="0.35">
      <c r="A7382">
        <v>39.974537550590497</v>
      </c>
      <c r="B7382">
        <v>-114.10288868063201</v>
      </c>
      <c r="C7382" t="s">
        <v>29</v>
      </c>
      <c r="D7382">
        <v>17.488856434942999</v>
      </c>
      <c r="E7382">
        <v>5</v>
      </c>
      <c r="F7382">
        <v>4458</v>
      </c>
      <c r="G7382">
        <v>3</v>
      </c>
      <c r="H7382">
        <v>1</v>
      </c>
      <c r="I7382">
        <v>1973</v>
      </c>
      <c r="J7382">
        <v>0</v>
      </c>
      <c r="K7382">
        <v>1</v>
      </c>
      <c r="L7382">
        <v>1</v>
      </c>
      <c r="M7382">
        <v>12</v>
      </c>
      <c r="N7382" t="s">
        <v>26</v>
      </c>
      <c r="O7382" t="s">
        <v>32</v>
      </c>
      <c r="P7382">
        <v>3.6551991244692799</v>
      </c>
      <c r="Q7382">
        <v>0.91533470614641799</v>
      </c>
      <c r="R7382">
        <v>3.2484945924989499</v>
      </c>
      <c r="S7382">
        <v>167</v>
      </c>
      <c r="T7382">
        <v>41</v>
      </c>
      <c r="U7382">
        <v>979.06821072687001</v>
      </c>
      <c r="V7382">
        <v>2.6917900403768502E-3</v>
      </c>
      <c r="W7382">
        <v>4551918.30842047</v>
      </c>
      <c r="X7382" t="s">
        <v>36</v>
      </c>
      <c r="Y7382">
        <f>1-516-631-3474</f>
        <v>-4620</v>
      </c>
    </row>
    <row r="7383" spans="1:25" x14ac:dyDescent="0.35">
      <c r="A7383">
        <v>32.825128711649498</v>
      </c>
      <c r="B7383">
        <v>-120.87189753809101</v>
      </c>
      <c r="C7383" t="s">
        <v>29</v>
      </c>
      <c r="D7383">
        <v>27.9126535214351</v>
      </c>
      <c r="E7383">
        <v>6</v>
      </c>
      <c r="F7383">
        <v>1813</v>
      </c>
      <c r="G7383">
        <v>1</v>
      </c>
      <c r="H7383">
        <v>2</v>
      </c>
      <c r="I7383">
        <v>2020</v>
      </c>
      <c r="J7383">
        <v>0</v>
      </c>
      <c r="K7383">
        <v>1</v>
      </c>
      <c r="L7383">
        <v>1</v>
      </c>
      <c r="M7383">
        <v>6</v>
      </c>
      <c r="N7383" t="s">
        <v>26</v>
      </c>
      <c r="O7383" t="s">
        <v>27</v>
      </c>
      <c r="P7383">
        <v>2.8966756272468901</v>
      </c>
      <c r="Q7383">
        <v>1.17922268979031</v>
      </c>
      <c r="R7383">
        <v>9.3755739288598097</v>
      </c>
      <c r="S7383">
        <v>134</v>
      </c>
      <c r="T7383">
        <v>68</v>
      </c>
      <c r="U7383">
        <v>336.26139837099402</v>
      </c>
      <c r="V7383">
        <v>3.30943188086045E-3</v>
      </c>
      <c r="W7383">
        <v>846999.97432192299</v>
      </c>
      <c r="X7383" t="s">
        <v>39</v>
      </c>
      <c r="Y7383">
        <f>1-862-575-7585</f>
        <v>-9021</v>
      </c>
    </row>
    <row r="7384" spans="1:25" x14ac:dyDescent="0.35">
      <c r="A7384">
        <v>38.844240996131902</v>
      </c>
      <c r="B7384">
        <v>-119.891253074381</v>
      </c>
      <c r="C7384" t="s">
        <v>34</v>
      </c>
      <c r="D7384">
        <v>4.3199980104779998</v>
      </c>
      <c r="E7384">
        <v>5</v>
      </c>
      <c r="F7384">
        <v>2941</v>
      </c>
      <c r="G7384">
        <v>1</v>
      </c>
      <c r="H7384">
        <v>1</v>
      </c>
      <c r="I7384">
        <v>1954</v>
      </c>
      <c r="J7384">
        <v>0</v>
      </c>
      <c r="K7384">
        <v>1</v>
      </c>
      <c r="L7384">
        <v>1</v>
      </c>
      <c r="M7384">
        <v>4</v>
      </c>
      <c r="N7384" t="s">
        <v>26</v>
      </c>
      <c r="O7384" t="s">
        <v>27</v>
      </c>
      <c r="P7384">
        <v>11.5472122108904</v>
      </c>
      <c r="Q7384">
        <v>1.7233531187039799</v>
      </c>
      <c r="R7384">
        <v>4.7350307901192803</v>
      </c>
      <c r="S7384">
        <v>35</v>
      </c>
      <c r="T7384">
        <v>79</v>
      </c>
      <c r="U7384">
        <v>517.72967986091896</v>
      </c>
      <c r="V7384">
        <v>1.3600816048962899E-3</v>
      </c>
      <c r="W7384">
        <v>1697342.8216111001</v>
      </c>
      <c r="X7384" t="s">
        <v>33</v>
      </c>
      <c r="Y7384">
        <f>1-777-879-7210</f>
        <v>-8865</v>
      </c>
    </row>
    <row r="7385" spans="1:25" x14ac:dyDescent="0.35">
      <c r="A7385">
        <v>34.194968030449402</v>
      </c>
      <c r="B7385">
        <v>-120.805888344781</v>
      </c>
      <c r="C7385" t="s">
        <v>29</v>
      </c>
      <c r="D7385">
        <v>12.621385743965201</v>
      </c>
      <c r="E7385">
        <v>5</v>
      </c>
      <c r="F7385">
        <v>2531</v>
      </c>
      <c r="G7385">
        <v>4</v>
      </c>
      <c r="H7385">
        <v>1</v>
      </c>
      <c r="I7385">
        <v>1957</v>
      </c>
      <c r="J7385">
        <v>0</v>
      </c>
      <c r="K7385">
        <v>1</v>
      </c>
      <c r="L7385">
        <v>0</v>
      </c>
      <c r="M7385">
        <v>12</v>
      </c>
      <c r="N7385" t="s">
        <v>41</v>
      </c>
      <c r="O7385" t="s">
        <v>30</v>
      </c>
      <c r="P7385">
        <v>4.0493888588370597</v>
      </c>
      <c r="Q7385">
        <v>1.03467451899967</v>
      </c>
      <c r="R7385">
        <v>6.2570756455030603</v>
      </c>
      <c r="S7385">
        <v>81</v>
      </c>
      <c r="T7385">
        <v>51</v>
      </c>
      <c r="U7385">
        <v>422.91199575970899</v>
      </c>
      <c r="V7385">
        <v>4.7412090082971101E-3</v>
      </c>
      <c r="W7385">
        <v>1283460.8855822701</v>
      </c>
      <c r="X7385" t="s">
        <v>33</v>
      </c>
      <c r="Y7385">
        <f>1-952-353-8727</f>
        <v>-10031</v>
      </c>
    </row>
    <row r="7386" spans="1:25" x14ac:dyDescent="0.35">
      <c r="A7386">
        <v>40.877950639028199</v>
      </c>
      <c r="B7386">
        <v>-116.77412856433899</v>
      </c>
      <c r="C7386" t="s">
        <v>29</v>
      </c>
      <c r="D7386">
        <v>15.176077181130699</v>
      </c>
      <c r="E7386">
        <v>7</v>
      </c>
      <c r="F7386">
        <v>905</v>
      </c>
      <c r="G7386">
        <v>3</v>
      </c>
      <c r="H7386">
        <v>2</v>
      </c>
      <c r="I7386">
        <v>1993</v>
      </c>
      <c r="J7386">
        <v>1</v>
      </c>
      <c r="K7386">
        <v>1</v>
      </c>
      <c r="L7386">
        <v>0</v>
      </c>
      <c r="M7386">
        <v>11</v>
      </c>
      <c r="N7386" t="s">
        <v>37</v>
      </c>
      <c r="O7386" t="s">
        <v>27</v>
      </c>
      <c r="P7386">
        <v>3.9750154237456101</v>
      </c>
      <c r="Q7386">
        <v>0.69639790646477195</v>
      </c>
      <c r="R7386">
        <v>8.21158145107343</v>
      </c>
      <c r="S7386">
        <v>146</v>
      </c>
      <c r="T7386">
        <v>33</v>
      </c>
      <c r="U7386">
        <v>320.25284547464503</v>
      </c>
      <c r="V7386">
        <v>1.21546961325966E-2</v>
      </c>
      <c r="W7386">
        <v>630175.04894040804</v>
      </c>
      <c r="X7386" t="s">
        <v>36</v>
      </c>
      <c r="Y7386">
        <f>1-814-783-3305</f>
        <v>-4901</v>
      </c>
    </row>
    <row r="7387" spans="1:25" x14ac:dyDescent="0.35">
      <c r="A7387">
        <v>37.991093033593401</v>
      </c>
      <c r="B7387">
        <v>-119.109649250204</v>
      </c>
      <c r="C7387" t="s">
        <v>29</v>
      </c>
      <c r="D7387">
        <v>2.8897330445674698</v>
      </c>
      <c r="E7387">
        <v>0</v>
      </c>
      <c r="F7387">
        <v>2010</v>
      </c>
      <c r="G7387">
        <v>2</v>
      </c>
      <c r="H7387">
        <v>2</v>
      </c>
      <c r="I7387">
        <v>2000</v>
      </c>
      <c r="J7387">
        <v>0</v>
      </c>
      <c r="K7387">
        <v>0</v>
      </c>
      <c r="L7387">
        <v>0</v>
      </c>
      <c r="M7387">
        <v>5</v>
      </c>
      <c r="N7387" t="s">
        <v>26</v>
      </c>
      <c r="O7387" t="s">
        <v>32</v>
      </c>
      <c r="P7387">
        <v>2.3670140443447001</v>
      </c>
      <c r="Q7387">
        <v>1.6122285283706701</v>
      </c>
      <c r="R7387">
        <v>7.2002122040943002</v>
      </c>
      <c r="S7387">
        <v>77</v>
      </c>
      <c r="T7387">
        <v>31</v>
      </c>
      <c r="U7387">
        <v>211.013824375908</v>
      </c>
      <c r="V7387">
        <v>2.4875621890547198E-3</v>
      </c>
      <c r="W7387">
        <v>599323.77535018604</v>
      </c>
      <c r="X7387" t="s">
        <v>31</v>
      </c>
      <c r="Y7387">
        <f>1-270-998-8514</f>
        <v>-9781</v>
      </c>
    </row>
    <row r="7388" spans="1:25" x14ac:dyDescent="0.35">
      <c r="A7388">
        <v>38.182946537842597</v>
      </c>
      <c r="B7388">
        <v>-115.224963028923</v>
      </c>
      <c r="C7388" t="s">
        <v>29</v>
      </c>
      <c r="D7388">
        <v>31.934647350235</v>
      </c>
      <c r="E7388">
        <v>8</v>
      </c>
      <c r="F7388">
        <v>1871</v>
      </c>
      <c r="G7388">
        <v>5</v>
      </c>
      <c r="H7388">
        <v>3</v>
      </c>
      <c r="I7388">
        <v>1979</v>
      </c>
      <c r="J7388">
        <v>1</v>
      </c>
      <c r="K7388">
        <v>0</v>
      </c>
      <c r="L7388">
        <v>1</v>
      </c>
      <c r="M7388">
        <v>13</v>
      </c>
      <c r="N7388" t="s">
        <v>37</v>
      </c>
      <c r="O7388" t="s">
        <v>32</v>
      </c>
      <c r="P7388">
        <v>5.8797620224972897</v>
      </c>
      <c r="Q7388">
        <v>0.82014475859254299</v>
      </c>
      <c r="R7388">
        <v>9.7808782275126092</v>
      </c>
      <c r="S7388">
        <v>63</v>
      </c>
      <c r="T7388">
        <v>78</v>
      </c>
      <c r="U7388">
        <v>796.32666387459597</v>
      </c>
      <c r="V7388">
        <v>6.9481560662747197E-3</v>
      </c>
      <c r="W7388">
        <v>1898838.41147047</v>
      </c>
      <c r="X7388" t="s">
        <v>38</v>
      </c>
      <c r="Y7388">
        <f>1-513-290-2500</f>
        <v>-3302</v>
      </c>
    </row>
    <row r="7389" spans="1:25" x14ac:dyDescent="0.35">
      <c r="A7389">
        <v>34.819973381670899</v>
      </c>
      <c r="B7389">
        <v>-116.59287244665001</v>
      </c>
      <c r="C7389" t="s">
        <v>34</v>
      </c>
      <c r="D7389">
        <v>21.511765817304401</v>
      </c>
      <c r="E7389">
        <v>4</v>
      </c>
      <c r="F7389">
        <v>4320</v>
      </c>
      <c r="G7389">
        <v>5</v>
      </c>
      <c r="H7389">
        <v>3</v>
      </c>
      <c r="I7389">
        <v>2010</v>
      </c>
      <c r="J7389">
        <v>1</v>
      </c>
      <c r="K7389">
        <v>0</v>
      </c>
      <c r="L7389">
        <v>1</v>
      </c>
      <c r="M7389">
        <v>14</v>
      </c>
      <c r="N7389" t="s">
        <v>37</v>
      </c>
      <c r="O7389" t="s">
        <v>27</v>
      </c>
      <c r="P7389">
        <v>9.85939473632145</v>
      </c>
      <c r="Q7389">
        <v>1.4487375233619699</v>
      </c>
      <c r="R7389">
        <v>4.9785200668302396</v>
      </c>
      <c r="S7389">
        <v>169</v>
      </c>
      <c r="T7389">
        <v>25</v>
      </c>
      <c r="U7389">
        <v>544.61102030948496</v>
      </c>
      <c r="V7389">
        <v>3.2407407407407402E-3</v>
      </c>
      <c r="W7389">
        <v>2793696.1226517898</v>
      </c>
      <c r="X7389" t="s">
        <v>40</v>
      </c>
      <c r="Y7389">
        <f>1-672-284-2049</f>
        <v>-3004</v>
      </c>
    </row>
    <row r="7390" spans="1:25" x14ac:dyDescent="0.35">
      <c r="A7390">
        <v>38.068640445924103</v>
      </c>
      <c r="B7390">
        <v>-114.548679544587</v>
      </c>
      <c r="C7390" t="s">
        <v>25</v>
      </c>
      <c r="D7390">
        <v>49.574924923060301</v>
      </c>
      <c r="E7390">
        <v>9</v>
      </c>
      <c r="F7390">
        <v>4798</v>
      </c>
      <c r="G7390">
        <v>3</v>
      </c>
      <c r="H7390">
        <v>3</v>
      </c>
      <c r="I7390">
        <v>1977</v>
      </c>
      <c r="J7390">
        <v>1</v>
      </c>
      <c r="K7390">
        <v>0</v>
      </c>
      <c r="L7390">
        <v>0</v>
      </c>
      <c r="M7390">
        <v>5</v>
      </c>
      <c r="N7390" t="s">
        <v>41</v>
      </c>
      <c r="O7390" t="s">
        <v>27</v>
      </c>
      <c r="P7390">
        <v>4.0674937901550496</v>
      </c>
      <c r="Q7390">
        <v>1.64371977433648</v>
      </c>
      <c r="R7390">
        <v>3.33586555148355</v>
      </c>
      <c r="S7390">
        <v>169</v>
      </c>
      <c r="T7390">
        <v>52</v>
      </c>
      <c r="U7390">
        <v>403.541878008791</v>
      </c>
      <c r="V7390">
        <v>1.0421008753647299E-3</v>
      </c>
      <c r="W7390">
        <v>2209066.80052946</v>
      </c>
      <c r="X7390" t="s">
        <v>43</v>
      </c>
      <c r="Y7390">
        <f>1-476-369-2125</f>
        <v>-2969</v>
      </c>
    </row>
    <row r="7391" spans="1:25" x14ac:dyDescent="0.35">
      <c r="A7391">
        <v>33.410238487649501</v>
      </c>
      <c r="B7391">
        <v>-115.742687155895</v>
      </c>
      <c r="C7391" t="s">
        <v>34</v>
      </c>
      <c r="D7391">
        <v>47.835649670343997</v>
      </c>
      <c r="E7391">
        <v>8</v>
      </c>
      <c r="F7391">
        <v>4006</v>
      </c>
      <c r="G7391">
        <v>2</v>
      </c>
      <c r="H7391">
        <v>2</v>
      </c>
      <c r="I7391">
        <v>2009</v>
      </c>
      <c r="J7391">
        <v>1</v>
      </c>
      <c r="K7391">
        <v>0</v>
      </c>
      <c r="L7391">
        <v>0</v>
      </c>
      <c r="M7391">
        <v>3</v>
      </c>
      <c r="N7391" t="s">
        <v>35</v>
      </c>
      <c r="O7391" t="s">
        <v>27</v>
      </c>
      <c r="P7391">
        <v>10.7701693859866</v>
      </c>
      <c r="Q7391">
        <v>1.0486447158346599</v>
      </c>
      <c r="R7391">
        <v>3.4188337861797802</v>
      </c>
      <c r="S7391">
        <v>25</v>
      </c>
      <c r="T7391">
        <v>56</v>
      </c>
      <c r="U7391">
        <v>878.34977677773202</v>
      </c>
      <c r="V7391">
        <v>7.4887668497254103E-4</v>
      </c>
      <c r="W7391">
        <v>3754808.9172659498</v>
      </c>
      <c r="X7391" t="s">
        <v>44</v>
      </c>
      <c r="Y7391">
        <f>1-705-231-9946</f>
        <v>-10881</v>
      </c>
    </row>
    <row r="7392" spans="1:25" x14ac:dyDescent="0.35">
      <c r="A7392">
        <v>39.916152081560703</v>
      </c>
      <c r="B7392">
        <v>-118.24220071745</v>
      </c>
      <c r="C7392" t="s">
        <v>29</v>
      </c>
      <c r="D7392">
        <v>45.789575810450003</v>
      </c>
      <c r="E7392">
        <v>9</v>
      </c>
      <c r="F7392">
        <v>2281</v>
      </c>
      <c r="G7392">
        <v>1</v>
      </c>
      <c r="H7392">
        <v>1</v>
      </c>
      <c r="I7392">
        <v>1983</v>
      </c>
      <c r="J7392">
        <v>1</v>
      </c>
      <c r="K7392">
        <v>0</v>
      </c>
      <c r="L7392">
        <v>0</v>
      </c>
      <c r="M7392">
        <v>9</v>
      </c>
      <c r="N7392" t="s">
        <v>37</v>
      </c>
      <c r="O7392" t="s">
        <v>32</v>
      </c>
      <c r="P7392">
        <v>12.287807121488701</v>
      </c>
      <c r="Q7392">
        <v>1.0148967478697599</v>
      </c>
      <c r="R7392">
        <v>3.0357318114571599</v>
      </c>
      <c r="S7392">
        <v>53</v>
      </c>
      <c r="T7392">
        <v>67</v>
      </c>
      <c r="U7392">
        <v>615.97951047724598</v>
      </c>
      <c r="V7392">
        <v>3.9456378781236303E-3</v>
      </c>
      <c r="W7392">
        <v>1608196.55947699</v>
      </c>
      <c r="X7392" t="s">
        <v>42</v>
      </c>
      <c r="Y7392">
        <f>1-825-485-2786</f>
        <v>-4095</v>
      </c>
    </row>
    <row r="7393" spans="1:25" x14ac:dyDescent="0.35">
      <c r="A7393">
        <v>33.8782482811351</v>
      </c>
      <c r="B7393">
        <v>-120.285473230636</v>
      </c>
      <c r="C7393" t="s">
        <v>29</v>
      </c>
      <c r="D7393">
        <v>36.178649175178201</v>
      </c>
      <c r="E7393">
        <v>7</v>
      </c>
      <c r="F7393">
        <v>3799</v>
      </c>
      <c r="G7393">
        <v>5</v>
      </c>
      <c r="H7393">
        <v>2</v>
      </c>
      <c r="I7393">
        <v>1954</v>
      </c>
      <c r="J7393">
        <v>0</v>
      </c>
      <c r="K7393">
        <v>1</v>
      </c>
      <c r="L7393">
        <v>0</v>
      </c>
      <c r="M7393">
        <v>9</v>
      </c>
      <c r="N7393" t="s">
        <v>37</v>
      </c>
      <c r="O7393" t="s">
        <v>27</v>
      </c>
      <c r="P7393">
        <v>10.464439599576901</v>
      </c>
      <c r="Q7393">
        <v>0.65003258505875905</v>
      </c>
      <c r="R7393">
        <v>4.8150851014946197</v>
      </c>
      <c r="S7393">
        <v>23</v>
      </c>
      <c r="T7393">
        <v>20</v>
      </c>
      <c r="U7393">
        <v>524.87397149367996</v>
      </c>
      <c r="V7393">
        <v>2.3690444853908901E-3</v>
      </c>
      <c r="W7393">
        <v>2328990.47780518</v>
      </c>
      <c r="X7393" t="s">
        <v>39</v>
      </c>
      <c r="Y7393">
        <f>1-693-609-2413</f>
        <v>-3714</v>
      </c>
    </row>
    <row r="7394" spans="1:25" x14ac:dyDescent="0.35">
      <c r="A7394">
        <v>37.112557330992701</v>
      </c>
      <c r="B7394">
        <v>-123.04603964727001</v>
      </c>
      <c r="C7394" t="s">
        <v>29</v>
      </c>
      <c r="D7394">
        <v>17.066963180803299</v>
      </c>
      <c r="E7394">
        <v>2</v>
      </c>
      <c r="F7394">
        <v>3596</v>
      </c>
      <c r="G7394">
        <v>4</v>
      </c>
      <c r="H7394">
        <v>1</v>
      </c>
      <c r="I7394">
        <v>1976</v>
      </c>
      <c r="J7394">
        <v>1</v>
      </c>
      <c r="K7394">
        <v>0</v>
      </c>
      <c r="L7394">
        <v>0</v>
      </c>
      <c r="M7394">
        <v>3</v>
      </c>
      <c r="N7394" t="s">
        <v>41</v>
      </c>
      <c r="O7394" t="s">
        <v>30</v>
      </c>
      <c r="P7394">
        <v>7.6882949237240998</v>
      </c>
      <c r="Q7394">
        <v>2.1529090890424798</v>
      </c>
      <c r="R7394">
        <v>7.4609508757657803</v>
      </c>
      <c r="S7394">
        <v>52</v>
      </c>
      <c r="T7394">
        <v>23</v>
      </c>
      <c r="U7394">
        <v>304.18208654321199</v>
      </c>
      <c r="V7394">
        <v>8.3426028921023299E-4</v>
      </c>
      <c r="W7394">
        <v>1382878.84768366</v>
      </c>
      <c r="X7394" t="s">
        <v>40</v>
      </c>
      <c r="Y7394">
        <f>1-499-231-8030</f>
        <v>-8759</v>
      </c>
    </row>
    <row r="7395" spans="1:25" x14ac:dyDescent="0.35">
      <c r="A7395">
        <v>32.882133425140502</v>
      </c>
      <c r="B7395">
        <v>-119.77310362792601</v>
      </c>
      <c r="C7395" t="s">
        <v>25</v>
      </c>
      <c r="D7395">
        <v>16.828656238151101</v>
      </c>
      <c r="E7395">
        <v>8</v>
      </c>
      <c r="F7395">
        <v>2335</v>
      </c>
      <c r="G7395">
        <v>4</v>
      </c>
      <c r="H7395">
        <v>3</v>
      </c>
      <c r="I7395">
        <v>2018</v>
      </c>
      <c r="J7395">
        <v>1</v>
      </c>
      <c r="K7395">
        <v>1</v>
      </c>
      <c r="L7395">
        <v>0</v>
      </c>
      <c r="M7395">
        <v>12</v>
      </c>
      <c r="N7395" t="s">
        <v>35</v>
      </c>
      <c r="O7395" t="s">
        <v>27</v>
      </c>
      <c r="P7395">
        <v>13.546528088797499</v>
      </c>
      <c r="Q7395">
        <v>2.2584230049320602</v>
      </c>
      <c r="R7395">
        <v>2.3272401686259499E-2</v>
      </c>
      <c r="S7395">
        <v>183</v>
      </c>
      <c r="T7395">
        <v>41</v>
      </c>
      <c r="U7395">
        <v>546.58856299013598</v>
      </c>
      <c r="V7395">
        <v>5.13918629550321E-3</v>
      </c>
      <c r="W7395">
        <v>1872811.8992937801</v>
      </c>
      <c r="X7395" t="s">
        <v>31</v>
      </c>
      <c r="Y7395">
        <f>1-616-275-1444</f>
        <v>-2334</v>
      </c>
    </row>
    <row r="7396" spans="1:25" x14ac:dyDescent="0.35">
      <c r="A7396">
        <v>35.3108686219595</v>
      </c>
      <c r="B7396">
        <v>-114.51167506978901</v>
      </c>
      <c r="C7396" t="s">
        <v>25</v>
      </c>
      <c r="D7396">
        <v>8.82547695963531</v>
      </c>
      <c r="E7396">
        <v>1</v>
      </c>
      <c r="F7396">
        <v>2377</v>
      </c>
      <c r="G7396">
        <v>4</v>
      </c>
      <c r="H7396">
        <v>1</v>
      </c>
      <c r="I7396">
        <v>1950</v>
      </c>
      <c r="J7396">
        <v>1</v>
      </c>
      <c r="K7396">
        <v>1</v>
      </c>
      <c r="L7396">
        <v>0</v>
      </c>
      <c r="M7396">
        <v>14</v>
      </c>
      <c r="N7396" t="s">
        <v>37</v>
      </c>
      <c r="O7396" t="s">
        <v>27</v>
      </c>
      <c r="P7396">
        <v>2.17816153075777</v>
      </c>
      <c r="Q7396">
        <v>0.79316002271175401</v>
      </c>
      <c r="R7396">
        <v>3.6447977877075299</v>
      </c>
      <c r="S7396">
        <v>161</v>
      </c>
      <c r="T7396">
        <v>20</v>
      </c>
      <c r="U7396">
        <v>698.62721921306695</v>
      </c>
      <c r="V7396">
        <v>5.8897770298695796E-3</v>
      </c>
      <c r="W7396">
        <v>1916299.5290202301</v>
      </c>
      <c r="X7396" t="s">
        <v>28</v>
      </c>
      <c r="Y7396">
        <f>1-871-747-3508</f>
        <v>-5125</v>
      </c>
    </row>
    <row r="7397" spans="1:25" x14ac:dyDescent="0.35">
      <c r="A7397">
        <v>40.8780805993717</v>
      </c>
      <c r="B7397">
        <v>-124.06220045977101</v>
      </c>
      <c r="C7397" t="s">
        <v>29</v>
      </c>
      <c r="D7397">
        <v>48.635469939196</v>
      </c>
      <c r="E7397">
        <v>0</v>
      </c>
      <c r="F7397">
        <v>4569</v>
      </c>
      <c r="G7397">
        <v>3</v>
      </c>
      <c r="H7397">
        <v>1</v>
      </c>
      <c r="I7397">
        <v>1980</v>
      </c>
      <c r="J7397">
        <v>0</v>
      </c>
      <c r="K7397">
        <v>1</v>
      </c>
      <c r="L7397">
        <v>1</v>
      </c>
      <c r="M7397">
        <v>4</v>
      </c>
      <c r="N7397" t="s">
        <v>41</v>
      </c>
      <c r="O7397" t="s">
        <v>30</v>
      </c>
      <c r="P7397">
        <v>2.3499552446912499</v>
      </c>
      <c r="Q7397">
        <v>2.3762475600843902</v>
      </c>
      <c r="R7397">
        <v>3.6913142191016202</v>
      </c>
      <c r="S7397">
        <v>41</v>
      </c>
      <c r="T7397">
        <v>26</v>
      </c>
      <c r="U7397">
        <v>200.320756325448</v>
      </c>
      <c r="V7397">
        <v>8.7546509082950296E-4</v>
      </c>
      <c r="W7397">
        <v>1088147.0391158999</v>
      </c>
      <c r="X7397" t="s">
        <v>33</v>
      </c>
      <c r="Y7397">
        <f>1-799-713-7821</f>
        <v>-9332</v>
      </c>
    </row>
    <row r="7398" spans="1:25" x14ac:dyDescent="0.35">
      <c r="A7398">
        <v>34.690599445939299</v>
      </c>
      <c r="B7398">
        <v>-116.473148103037</v>
      </c>
      <c r="C7398" t="s">
        <v>29</v>
      </c>
      <c r="D7398">
        <v>46.088698117729102</v>
      </c>
      <c r="E7398">
        <v>3</v>
      </c>
      <c r="F7398">
        <v>1350</v>
      </c>
      <c r="G7398">
        <v>2</v>
      </c>
      <c r="H7398">
        <v>1</v>
      </c>
      <c r="I7398">
        <v>1986</v>
      </c>
      <c r="J7398">
        <v>0</v>
      </c>
      <c r="K7398">
        <v>0</v>
      </c>
      <c r="L7398">
        <v>0</v>
      </c>
      <c r="M7398">
        <v>4</v>
      </c>
      <c r="N7398" t="s">
        <v>41</v>
      </c>
      <c r="O7398" t="s">
        <v>27</v>
      </c>
      <c r="P7398">
        <v>12.4772406970991</v>
      </c>
      <c r="Q7398">
        <v>0.53084444183297297</v>
      </c>
      <c r="R7398">
        <v>0.59168994910596895</v>
      </c>
      <c r="S7398">
        <v>146</v>
      </c>
      <c r="T7398">
        <v>28</v>
      </c>
      <c r="U7398">
        <v>863.04020561172604</v>
      </c>
      <c r="V7398">
        <v>2.9629629629629602E-3</v>
      </c>
      <c r="W7398">
        <v>1378787.8610469699</v>
      </c>
      <c r="X7398" t="s">
        <v>39</v>
      </c>
      <c r="Y7398">
        <f>1-773-187-7268</f>
        <v>-8227</v>
      </c>
    </row>
    <row r="7399" spans="1:25" x14ac:dyDescent="0.35">
      <c r="A7399">
        <v>33.797694543322798</v>
      </c>
      <c r="B7399">
        <v>-120.620440313117</v>
      </c>
      <c r="C7399" t="s">
        <v>34</v>
      </c>
      <c r="D7399">
        <v>16.2433548556935</v>
      </c>
      <c r="E7399">
        <v>9</v>
      </c>
      <c r="F7399">
        <v>1531</v>
      </c>
      <c r="G7399">
        <v>4</v>
      </c>
      <c r="H7399">
        <v>2</v>
      </c>
      <c r="I7399">
        <v>1953</v>
      </c>
      <c r="J7399">
        <v>1</v>
      </c>
      <c r="K7399">
        <v>1</v>
      </c>
      <c r="L7399">
        <v>0</v>
      </c>
      <c r="M7399">
        <v>8</v>
      </c>
      <c r="N7399" t="s">
        <v>37</v>
      </c>
      <c r="O7399" t="s">
        <v>27</v>
      </c>
      <c r="P7399">
        <v>7.5157551698190304</v>
      </c>
      <c r="Q7399">
        <v>0.79863729923955995</v>
      </c>
      <c r="R7399">
        <v>6.1014834518945902</v>
      </c>
      <c r="S7399">
        <v>101</v>
      </c>
      <c r="T7399">
        <v>71</v>
      </c>
      <c r="U7399">
        <v>423.29713172976398</v>
      </c>
      <c r="V7399">
        <v>5.2253429131286699E-3</v>
      </c>
      <c r="W7399">
        <v>919400.36282666097</v>
      </c>
      <c r="X7399" t="s">
        <v>39</v>
      </c>
      <c r="Y7399">
        <f>1-598-754-3462</f>
        <v>-4813</v>
      </c>
    </row>
    <row r="7400" spans="1:25" x14ac:dyDescent="0.35">
      <c r="A7400">
        <v>32.713578301682801</v>
      </c>
      <c r="B7400">
        <v>-117.107950618929</v>
      </c>
      <c r="C7400" t="s">
        <v>29</v>
      </c>
      <c r="D7400">
        <v>28.096659588179001</v>
      </c>
      <c r="E7400">
        <v>7</v>
      </c>
      <c r="F7400">
        <v>1406</v>
      </c>
      <c r="G7400">
        <v>3</v>
      </c>
      <c r="H7400">
        <v>2</v>
      </c>
      <c r="I7400">
        <v>2012</v>
      </c>
      <c r="J7400">
        <v>1</v>
      </c>
      <c r="K7400">
        <v>1</v>
      </c>
      <c r="L7400">
        <v>1</v>
      </c>
      <c r="M7400">
        <v>10</v>
      </c>
      <c r="N7400" t="s">
        <v>41</v>
      </c>
      <c r="O7400" t="s">
        <v>27</v>
      </c>
      <c r="P7400">
        <v>8.34575155931695</v>
      </c>
      <c r="Q7400">
        <v>2.2550111626188301</v>
      </c>
      <c r="R7400">
        <v>7.6708905198481396</v>
      </c>
      <c r="S7400">
        <v>73</v>
      </c>
      <c r="T7400">
        <v>43</v>
      </c>
      <c r="U7400">
        <v>896.80265276801595</v>
      </c>
      <c r="V7400">
        <v>7.1123755334281599E-3</v>
      </c>
      <c r="W7400">
        <v>1676438.9570255801</v>
      </c>
      <c r="X7400" t="s">
        <v>43</v>
      </c>
      <c r="Y7400">
        <f>1-546-208-7447</f>
        <v>-8200</v>
      </c>
    </row>
    <row r="7401" spans="1:25" x14ac:dyDescent="0.35">
      <c r="A7401">
        <v>34.807909493412801</v>
      </c>
      <c r="B7401">
        <v>-119.714663393807</v>
      </c>
      <c r="C7401" t="s">
        <v>34</v>
      </c>
      <c r="D7401">
        <v>3.1525267269272699</v>
      </c>
      <c r="E7401">
        <v>5</v>
      </c>
      <c r="F7401">
        <v>663</v>
      </c>
      <c r="G7401">
        <v>1</v>
      </c>
      <c r="H7401">
        <v>2</v>
      </c>
      <c r="I7401">
        <v>1971</v>
      </c>
      <c r="J7401">
        <v>0</v>
      </c>
      <c r="K7401">
        <v>1</v>
      </c>
      <c r="L7401">
        <v>1</v>
      </c>
      <c r="M7401">
        <v>10</v>
      </c>
      <c r="N7401" t="s">
        <v>37</v>
      </c>
      <c r="O7401" t="s">
        <v>30</v>
      </c>
      <c r="P7401">
        <v>10.2260129495042</v>
      </c>
      <c r="Q7401">
        <v>1.3143134229351201</v>
      </c>
      <c r="R7401">
        <v>3.7997355956441399</v>
      </c>
      <c r="S7401">
        <v>43</v>
      </c>
      <c r="T7401">
        <v>45</v>
      </c>
      <c r="U7401">
        <v>466.38365212590401</v>
      </c>
      <c r="V7401">
        <v>1.5082956259426799E-2</v>
      </c>
      <c r="W7401">
        <v>533796.83250846295</v>
      </c>
      <c r="X7401" t="s">
        <v>36</v>
      </c>
      <c r="Y7401">
        <f>1-750-864-9787</f>
        <v>-11400</v>
      </c>
    </row>
    <row r="7402" spans="1:25" x14ac:dyDescent="0.35">
      <c r="A7402">
        <v>33.767147895331703</v>
      </c>
      <c r="B7402">
        <v>-119.21431918839301</v>
      </c>
      <c r="C7402" t="s">
        <v>34</v>
      </c>
      <c r="D7402">
        <v>46.539843468664998</v>
      </c>
      <c r="E7402">
        <v>4</v>
      </c>
      <c r="F7402">
        <v>1852</v>
      </c>
      <c r="G7402">
        <v>2</v>
      </c>
      <c r="H7402">
        <v>3</v>
      </c>
      <c r="I7402">
        <v>1965</v>
      </c>
      <c r="J7402">
        <v>1</v>
      </c>
      <c r="K7402">
        <v>0</v>
      </c>
      <c r="L7402">
        <v>0</v>
      </c>
      <c r="M7402">
        <v>6</v>
      </c>
      <c r="N7402" t="s">
        <v>26</v>
      </c>
      <c r="O7402" t="s">
        <v>27</v>
      </c>
      <c r="P7402">
        <v>14.135232392965399</v>
      </c>
      <c r="Q7402">
        <v>1.4274083468760399</v>
      </c>
      <c r="R7402">
        <v>9.1908442698666697</v>
      </c>
      <c r="S7402">
        <v>9</v>
      </c>
      <c r="T7402">
        <v>35</v>
      </c>
      <c r="U7402">
        <v>437.19515717534</v>
      </c>
      <c r="V7402">
        <v>3.2397408207343399E-3</v>
      </c>
      <c r="W7402">
        <v>1036556.5849951199</v>
      </c>
      <c r="X7402" t="s">
        <v>44</v>
      </c>
      <c r="Y7402">
        <f>1-453-289-7256</f>
        <v>-7997</v>
      </c>
    </row>
    <row r="7403" spans="1:25" x14ac:dyDescent="0.35">
      <c r="A7403">
        <v>39.449457186457899</v>
      </c>
      <c r="B7403">
        <v>-114.42018352704299</v>
      </c>
      <c r="C7403" t="s">
        <v>34</v>
      </c>
      <c r="D7403">
        <v>5.6269363025138404</v>
      </c>
      <c r="E7403">
        <v>3</v>
      </c>
      <c r="F7403">
        <v>4760</v>
      </c>
      <c r="G7403">
        <v>3</v>
      </c>
      <c r="H7403">
        <v>1</v>
      </c>
      <c r="I7403">
        <v>2004</v>
      </c>
      <c r="J7403">
        <v>0</v>
      </c>
      <c r="K7403">
        <v>0</v>
      </c>
      <c r="L7403">
        <v>0</v>
      </c>
      <c r="M7403">
        <v>4</v>
      </c>
      <c r="N7403" t="s">
        <v>35</v>
      </c>
      <c r="O7403" t="s">
        <v>27</v>
      </c>
      <c r="P7403">
        <v>12.9041980588852</v>
      </c>
      <c r="Q7403">
        <v>0.63230170247199602</v>
      </c>
      <c r="R7403">
        <v>7.6653784872383399</v>
      </c>
      <c r="S7403">
        <v>157</v>
      </c>
      <c r="T7403">
        <v>40</v>
      </c>
      <c r="U7403">
        <v>586.89111921274196</v>
      </c>
      <c r="V7403">
        <v>8.4033613445378102E-4</v>
      </c>
      <c r="W7403">
        <v>2989459.7666707002</v>
      </c>
      <c r="X7403" t="s">
        <v>38</v>
      </c>
      <c r="Y7403">
        <f>1-698-619-7990</f>
        <v>-9306</v>
      </c>
    </row>
    <row r="7404" spans="1:25" x14ac:dyDescent="0.35">
      <c r="A7404">
        <v>32.9971345657707</v>
      </c>
      <c r="B7404">
        <v>-119.246329659637</v>
      </c>
      <c r="C7404" t="s">
        <v>29</v>
      </c>
      <c r="D7404">
        <v>38.196438246709498</v>
      </c>
      <c r="E7404">
        <v>2</v>
      </c>
      <c r="F7404">
        <v>1599</v>
      </c>
      <c r="G7404">
        <v>5</v>
      </c>
      <c r="H7404">
        <v>2</v>
      </c>
      <c r="I7404">
        <v>1981</v>
      </c>
      <c r="J7404">
        <v>1</v>
      </c>
      <c r="K7404">
        <v>0</v>
      </c>
      <c r="L7404">
        <v>1</v>
      </c>
      <c r="M7404">
        <v>8</v>
      </c>
      <c r="N7404" t="s">
        <v>35</v>
      </c>
      <c r="O7404" t="s">
        <v>30</v>
      </c>
      <c r="P7404">
        <v>9.4619647621653407</v>
      </c>
      <c r="Q7404">
        <v>1.8205163858521001</v>
      </c>
      <c r="R7404">
        <v>8.4386503099851407</v>
      </c>
      <c r="S7404">
        <v>52</v>
      </c>
      <c r="T7404">
        <v>42</v>
      </c>
      <c r="U7404">
        <v>843.74164612526704</v>
      </c>
      <c r="V7404">
        <v>5.0031269543464596E-3</v>
      </c>
      <c r="W7404">
        <v>1737958.2898734</v>
      </c>
      <c r="X7404" t="s">
        <v>39</v>
      </c>
      <c r="Y7404">
        <f>1-614-627-9360</f>
        <v>-10600</v>
      </c>
    </row>
    <row r="7405" spans="1:25" x14ac:dyDescent="0.35">
      <c r="A7405">
        <v>38.621301012854097</v>
      </c>
      <c r="B7405">
        <v>-114.199234687627</v>
      </c>
      <c r="C7405" t="s">
        <v>25</v>
      </c>
      <c r="D7405">
        <v>27.742973135448199</v>
      </c>
      <c r="E7405">
        <v>1</v>
      </c>
      <c r="F7405">
        <v>2816</v>
      </c>
      <c r="G7405">
        <v>3</v>
      </c>
      <c r="H7405">
        <v>3</v>
      </c>
      <c r="I7405">
        <v>2009</v>
      </c>
      <c r="J7405">
        <v>1</v>
      </c>
      <c r="K7405">
        <v>0</v>
      </c>
      <c r="L7405">
        <v>1</v>
      </c>
      <c r="M7405">
        <v>12</v>
      </c>
      <c r="N7405" t="s">
        <v>37</v>
      </c>
      <c r="O7405" t="s">
        <v>27</v>
      </c>
      <c r="P7405">
        <v>8.2493430885585592</v>
      </c>
      <c r="Q7405">
        <v>0.79147872284423504</v>
      </c>
      <c r="R7405">
        <v>4.6483753051263701</v>
      </c>
      <c r="S7405">
        <v>105</v>
      </c>
      <c r="T7405">
        <v>48</v>
      </c>
      <c r="U7405">
        <v>422.50764469253699</v>
      </c>
      <c r="V7405">
        <v>4.26136363636363E-3</v>
      </c>
      <c r="W7405">
        <v>1564722.76991949</v>
      </c>
      <c r="X7405" t="s">
        <v>28</v>
      </c>
      <c r="Y7405">
        <f>1-409-767-4585</f>
        <v>-5760</v>
      </c>
    </row>
    <row r="7406" spans="1:25" x14ac:dyDescent="0.35">
      <c r="A7406">
        <v>34.9124262778708</v>
      </c>
      <c r="B7406">
        <v>-119.871621083405</v>
      </c>
      <c r="C7406" t="s">
        <v>34</v>
      </c>
      <c r="D7406">
        <v>2.9723150058034302</v>
      </c>
      <c r="E7406">
        <v>8</v>
      </c>
      <c r="F7406">
        <v>3040</v>
      </c>
      <c r="G7406">
        <v>5</v>
      </c>
      <c r="H7406">
        <v>3</v>
      </c>
      <c r="I7406">
        <v>2020</v>
      </c>
      <c r="J7406">
        <v>1</v>
      </c>
      <c r="K7406">
        <v>1</v>
      </c>
      <c r="L7406">
        <v>0</v>
      </c>
      <c r="M7406">
        <v>7</v>
      </c>
      <c r="N7406" t="s">
        <v>35</v>
      </c>
      <c r="O7406" t="s">
        <v>32</v>
      </c>
      <c r="P7406">
        <v>3.2610674918476099</v>
      </c>
      <c r="Q7406">
        <v>0.86659411095295302</v>
      </c>
      <c r="R7406">
        <v>0.225978007889959</v>
      </c>
      <c r="S7406">
        <v>171</v>
      </c>
      <c r="T7406">
        <v>59</v>
      </c>
      <c r="U7406">
        <v>623.24556030146402</v>
      </c>
      <c r="V7406">
        <v>2.30263157894736E-3</v>
      </c>
      <c r="W7406">
        <v>2236869.0576108699</v>
      </c>
      <c r="X7406" t="s">
        <v>39</v>
      </c>
      <c r="Y7406">
        <f>1-259-594-1123</f>
        <v>-1975</v>
      </c>
    </row>
    <row r="7407" spans="1:25" x14ac:dyDescent="0.35">
      <c r="A7407">
        <v>37.252871326819999</v>
      </c>
      <c r="B7407">
        <v>-118.556133704335</v>
      </c>
      <c r="C7407" t="s">
        <v>29</v>
      </c>
      <c r="D7407">
        <v>13.269877835384101</v>
      </c>
      <c r="E7407">
        <v>0</v>
      </c>
      <c r="F7407">
        <v>3640</v>
      </c>
      <c r="G7407">
        <v>1</v>
      </c>
      <c r="H7407">
        <v>2</v>
      </c>
      <c r="I7407">
        <v>1964</v>
      </c>
      <c r="J7407">
        <v>1</v>
      </c>
      <c r="K7407">
        <v>0</v>
      </c>
      <c r="L7407">
        <v>0</v>
      </c>
      <c r="M7407">
        <v>6</v>
      </c>
      <c r="N7407" t="s">
        <v>37</v>
      </c>
      <c r="O7407" t="s">
        <v>27</v>
      </c>
      <c r="P7407">
        <v>8.14944897431082</v>
      </c>
      <c r="Q7407">
        <v>0.77191892206910595</v>
      </c>
      <c r="R7407">
        <v>7.9946464492200997</v>
      </c>
      <c r="S7407">
        <v>43</v>
      </c>
      <c r="T7407">
        <v>43</v>
      </c>
      <c r="U7407">
        <v>656.95306681988995</v>
      </c>
      <c r="V7407">
        <v>1.6483516483516399E-3</v>
      </c>
      <c r="W7407">
        <v>2426224.4686064301</v>
      </c>
      <c r="X7407" t="s">
        <v>44</v>
      </c>
      <c r="Y7407">
        <f>1-473-763-1964</f>
        <v>-3199</v>
      </c>
    </row>
    <row r="7408" spans="1:25" x14ac:dyDescent="0.35">
      <c r="A7408">
        <v>40.491679330690999</v>
      </c>
      <c r="B7408">
        <v>-114.612417050801</v>
      </c>
      <c r="C7408" t="s">
        <v>29</v>
      </c>
      <c r="D7408">
        <v>16.062382010790898</v>
      </c>
      <c r="E7408">
        <v>4</v>
      </c>
      <c r="F7408">
        <v>772</v>
      </c>
      <c r="G7408">
        <v>4</v>
      </c>
      <c r="H7408">
        <v>1</v>
      </c>
      <c r="I7408">
        <v>1979</v>
      </c>
      <c r="J7408">
        <v>1</v>
      </c>
      <c r="K7408">
        <v>1</v>
      </c>
      <c r="L7408">
        <v>0</v>
      </c>
      <c r="M7408">
        <v>13</v>
      </c>
      <c r="N7408" t="s">
        <v>26</v>
      </c>
      <c r="O7408" t="s">
        <v>32</v>
      </c>
      <c r="P7408">
        <v>13.293767881787099</v>
      </c>
      <c r="Q7408">
        <v>0.79064504607582498</v>
      </c>
      <c r="R7408">
        <v>8.3436637750996301</v>
      </c>
      <c r="S7408">
        <v>80</v>
      </c>
      <c r="T7408">
        <v>78</v>
      </c>
      <c r="U7408">
        <v>333.43268392268197</v>
      </c>
      <c r="V7408">
        <v>1.68393782383419E-2</v>
      </c>
      <c r="W7408">
        <v>740269.31749628705</v>
      </c>
      <c r="X7408" t="s">
        <v>31</v>
      </c>
      <c r="Y7408">
        <f>1-772-591-7738</f>
        <v>-9100</v>
      </c>
    </row>
    <row r="7409" spans="1:25" x14ac:dyDescent="0.35">
      <c r="A7409">
        <v>41.957570180086002</v>
      </c>
      <c r="B7409">
        <v>-116.245962472259</v>
      </c>
      <c r="C7409" t="s">
        <v>25</v>
      </c>
      <c r="D7409">
        <v>9.3761561789971299</v>
      </c>
      <c r="E7409">
        <v>2</v>
      </c>
      <c r="F7409">
        <v>4968</v>
      </c>
      <c r="G7409">
        <v>4</v>
      </c>
      <c r="H7409">
        <v>2</v>
      </c>
      <c r="I7409">
        <v>1953</v>
      </c>
      <c r="J7409">
        <v>0</v>
      </c>
      <c r="K7409">
        <v>0</v>
      </c>
      <c r="L7409">
        <v>0</v>
      </c>
      <c r="M7409">
        <v>9</v>
      </c>
      <c r="N7409" t="s">
        <v>26</v>
      </c>
      <c r="O7409" t="s">
        <v>32</v>
      </c>
      <c r="P7409">
        <v>3.8074935588460299</v>
      </c>
      <c r="Q7409">
        <v>0.90737760913354604</v>
      </c>
      <c r="R7409">
        <v>1.39700785640768</v>
      </c>
      <c r="S7409">
        <v>61</v>
      </c>
      <c r="T7409">
        <v>79</v>
      </c>
      <c r="U7409">
        <v>737.79229289069599</v>
      </c>
      <c r="V7409">
        <v>1.8115942028985501E-3</v>
      </c>
      <c r="W7409">
        <v>3894758.1116637299</v>
      </c>
      <c r="X7409" t="s">
        <v>44</v>
      </c>
      <c r="Y7409">
        <f>1-382-162-3663</f>
        <v>-4206</v>
      </c>
    </row>
    <row r="7410" spans="1:25" x14ac:dyDescent="0.35">
      <c r="A7410">
        <v>40.128233068870102</v>
      </c>
      <c r="B7410">
        <v>-117.92280559101199</v>
      </c>
      <c r="C7410" t="s">
        <v>34</v>
      </c>
      <c r="D7410">
        <v>8.4827865998287706</v>
      </c>
      <c r="E7410">
        <v>9</v>
      </c>
      <c r="F7410">
        <v>3537</v>
      </c>
      <c r="G7410">
        <v>2</v>
      </c>
      <c r="H7410">
        <v>1</v>
      </c>
      <c r="I7410">
        <v>1972</v>
      </c>
      <c r="J7410">
        <v>1</v>
      </c>
      <c r="K7410">
        <v>0</v>
      </c>
      <c r="L7410">
        <v>0</v>
      </c>
      <c r="M7410">
        <v>12</v>
      </c>
      <c r="N7410" t="s">
        <v>35</v>
      </c>
      <c r="O7410" t="s">
        <v>30</v>
      </c>
      <c r="P7410">
        <v>8.8880657898959594</v>
      </c>
      <c r="Q7410">
        <v>1.9560621298260501</v>
      </c>
      <c r="R7410">
        <v>5.29796857535427</v>
      </c>
      <c r="S7410">
        <v>87</v>
      </c>
      <c r="T7410">
        <v>65</v>
      </c>
      <c r="U7410">
        <v>834.80236399733701</v>
      </c>
      <c r="V7410">
        <v>3.39270568278201E-3</v>
      </c>
      <c r="W7410">
        <v>3100656.7711133398</v>
      </c>
      <c r="X7410" t="s">
        <v>39</v>
      </c>
      <c r="Y7410">
        <f>1-637-933-8027</f>
        <v>-9596</v>
      </c>
    </row>
    <row r="7411" spans="1:25" x14ac:dyDescent="0.35">
      <c r="A7411">
        <v>39.8130754161363</v>
      </c>
      <c r="B7411">
        <v>-123.868252612563</v>
      </c>
      <c r="C7411" t="s">
        <v>25</v>
      </c>
      <c r="D7411">
        <v>31.410256795780999</v>
      </c>
      <c r="E7411">
        <v>8</v>
      </c>
      <c r="F7411">
        <v>3888</v>
      </c>
      <c r="G7411">
        <v>5</v>
      </c>
      <c r="H7411">
        <v>2</v>
      </c>
      <c r="I7411">
        <v>2013</v>
      </c>
      <c r="J7411">
        <v>0</v>
      </c>
      <c r="K7411">
        <v>1</v>
      </c>
      <c r="L7411">
        <v>1</v>
      </c>
      <c r="M7411">
        <v>9</v>
      </c>
      <c r="N7411" t="s">
        <v>41</v>
      </c>
      <c r="O7411" t="s">
        <v>30</v>
      </c>
      <c r="P7411">
        <v>11.524505343009601</v>
      </c>
      <c r="Q7411">
        <v>1.4010025066818399</v>
      </c>
      <c r="R7411">
        <v>2.5453351842730001</v>
      </c>
      <c r="S7411">
        <v>199</v>
      </c>
      <c r="T7411">
        <v>30</v>
      </c>
      <c r="U7411">
        <v>747.61004047286201</v>
      </c>
      <c r="V7411">
        <v>2.3148148148148099E-3</v>
      </c>
      <c r="W7411">
        <v>3403940.6950400299</v>
      </c>
      <c r="X7411" t="s">
        <v>38</v>
      </c>
      <c r="Y7411">
        <f>1-671-801-7961</f>
        <v>-9432</v>
      </c>
    </row>
    <row r="7412" spans="1:25" x14ac:dyDescent="0.35">
      <c r="A7412">
        <v>38.775986971873799</v>
      </c>
      <c r="B7412">
        <v>-115.080867928468</v>
      </c>
      <c r="C7412" t="s">
        <v>29</v>
      </c>
      <c r="D7412">
        <v>41.198463562941797</v>
      </c>
      <c r="E7412">
        <v>5</v>
      </c>
      <c r="F7412">
        <v>1081</v>
      </c>
      <c r="G7412">
        <v>2</v>
      </c>
      <c r="H7412">
        <v>2</v>
      </c>
      <c r="I7412">
        <v>2015</v>
      </c>
      <c r="J7412">
        <v>1</v>
      </c>
      <c r="K7412">
        <v>1</v>
      </c>
      <c r="L7412">
        <v>0</v>
      </c>
      <c r="M7412">
        <v>4</v>
      </c>
      <c r="N7412" t="s">
        <v>26</v>
      </c>
      <c r="O7412" t="s">
        <v>30</v>
      </c>
      <c r="P7412">
        <v>7.3444768113015497</v>
      </c>
      <c r="Q7412">
        <v>1.0554210501760299</v>
      </c>
      <c r="R7412">
        <v>7.0359699525453998E-2</v>
      </c>
      <c r="S7412">
        <v>114</v>
      </c>
      <c r="T7412">
        <v>79</v>
      </c>
      <c r="U7412">
        <v>458.75760118881601</v>
      </c>
      <c r="V7412">
        <v>3.7002775208140599E-3</v>
      </c>
      <c r="W7412">
        <v>942219.754886918</v>
      </c>
      <c r="X7412" t="s">
        <v>43</v>
      </c>
      <c r="Y7412">
        <f>1-884-129-1229</f>
        <v>-2241</v>
      </c>
    </row>
    <row r="7413" spans="1:25" x14ac:dyDescent="0.35">
      <c r="A7413">
        <v>40.455353928882701</v>
      </c>
      <c r="B7413">
        <v>-119.406946787753</v>
      </c>
      <c r="C7413" t="s">
        <v>34</v>
      </c>
      <c r="D7413">
        <v>6.8661493825241404</v>
      </c>
      <c r="E7413">
        <v>4</v>
      </c>
      <c r="F7413">
        <v>1385</v>
      </c>
      <c r="G7413">
        <v>5</v>
      </c>
      <c r="H7413">
        <v>1</v>
      </c>
      <c r="I7413">
        <v>1965</v>
      </c>
      <c r="J7413">
        <v>0</v>
      </c>
      <c r="K7413">
        <v>0</v>
      </c>
      <c r="L7413">
        <v>0</v>
      </c>
      <c r="M7413">
        <v>8</v>
      </c>
      <c r="N7413" t="s">
        <v>37</v>
      </c>
      <c r="O7413" t="s">
        <v>32</v>
      </c>
      <c r="P7413">
        <v>10.5679473104213</v>
      </c>
      <c r="Q7413">
        <v>1.03088842634938</v>
      </c>
      <c r="R7413">
        <v>1.03992671771222</v>
      </c>
      <c r="S7413">
        <v>130</v>
      </c>
      <c r="T7413">
        <v>61</v>
      </c>
      <c r="U7413">
        <v>499.64628372066397</v>
      </c>
      <c r="V7413">
        <v>5.7761732851985496E-3</v>
      </c>
      <c r="W7413">
        <v>988062.49454842904</v>
      </c>
      <c r="X7413" t="s">
        <v>38</v>
      </c>
      <c r="Y7413">
        <f>1-300-538-1312</f>
        <v>-2149</v>
      </c>
    </row>
    <row r="7414" spans="1:25" x14ac:dyDescent="0.35">
      <c r="A7414">
        <v>36.020198706132</v>
      </c>
      <c r="B7414">
        <v>-116.666264355737</v>
      </c>
      <c r="C7414" t="s">
        <v>25</v>
      </c>
      <c r="D7414">
        <v>14.9799970753706</v>
      </c>
      <c r="E7414">
        <v>6</v>
      </c>
      <c r="F7414">
        <v>1138</v>
      </c>
      <c r="G7414">
        <v>3</v>
      </c>
      <c r="H7414">
        <v>3</v>
      </c>
      <c r="I7414">
        <v>2014</v>
      </c>
      <c r="J7414">
        <v>0</v>
      </c>
      <c r="K7414">
        <v>1</v>
      </c>
      <c r="L7414">
        <v>0</v>
      </c>
      <c r="M7414">
        <v>2</v>
      </c>
      <c r="N7414" t="s">
        <v>35</v>
      </c>
      <c r="O7414" t="s">
        <v>32</v>
      </c>
      <c r="P7414">
        <v>4.7532316781998798</v>
      </c>
      <c r="Q7414">
        <v>1.06024760648273</v>
      </c>
      <c r="R7414">
        <v>5.62779000979139</v>
      </c>
      <c r="S7414">
        <v>198</v>
      </c>
      <c r="T7414">
        <v>58</v>
      </c>
      <c r="U7414">
        <v>697.14094802053603</v>
      </c>
      <c r="V7414">
        <v>1.7574692442882201E-3</v>
      </c>
      <c r="W7414">
        <v>1030472.67250621</v>
      </c>
      <c r="X7414" t="s">
        <v>44</v>
      </c>
      <c r="Y7414">
        <f>1-338-516-1693</f>
        <v>-2546</v>
      </c>
    </row>
    <row r="7415" spans="1:25" x14ac:dyDescent="0.35">
      <c r="A7415">
        <v>35.8837753039696</v>
      </c>
      <c r="B7415">
        <v>-118.97054442382201</v>
      </c>
      <c r="C7415" t="s">
        <v>29</v>
      </c>
      <c r="D7415">
        <v>1.9910661236968401</v>
      </c>
      <c r="E7415">
        <v>3</v>
      </c>
      <c r="F7415">
        <v>3687</v>
      </c>
      <c r="G7415">
        <v>3</v>
      </c>
      <c r="H7415">
        <v>1</v>
      </c>
      <c r="I7415">
        <v>1974</v>
      </c>
      <c r="J7415">
        <v>0</v>
      </c>
      <c r="K7415">
        <v>0</v>
      </c>
      <c r="L7415">
        <v>0</v>
      </c>
      <c r="M7415">
        <v>11</v>
      </c>
      <c r="N7415" t="s">
        <v>35</v>
      </c>
      <c r="O7415" t="s">
        <v>27</v>
      </c>
      <c r="P7415">
        <v>4.4724878350116004</v>
      </c>
      <c r="Q7415">
        <v>1.3844622656438399</v>
      </c>
      <c r="R7415">
        <v>6.7845079051141797</v>
      </c>
      <c r="S7415">
        <v>17</v>
      </c>
      <c r="T7415">
        <v>68</v>
      </c>
      <c r="U7415">
        <v>340.67100120446401</v>
      </c>
      <c r="V7415">
        <v>2.9834553837808499E-3</v>
      </c>
      <c r="W7415">
        <v>1356372.26938203</v>
      </c>
      <c r="X7415" t="s">
        <v>43</v>
      </c>
      <c r="Y7415">
        <f>1-792-991-6007</f>
        <v>-7789</v>
      </c>
    </row>
    <row r="7416" spans="1:25" x14ac:dyDescent="0.35">
      <c r="A7416">
        <v>39.188170552094498</v>
      </c>
      <c r="B7416">
        <v>-123.607403904788</v>
      </c>
      <c r="C7416" t="s">
        <v>25</v>
      </c>
      <c r="D7416">
        <v>18.898044190138499</v>
      </c>
      <c r="E7416">
        <v>2</v>
      </c>
      <c r="F7416">
        <v>4104</v>
      </c>
      <c r="G7416">
        <v>3</v>
      </c>
      <c r="H7416">
        <v>1</v>
      </c>
      <c r="I7416">
        <v>1969</v>
      </c>
      <c r="J7416">
        <v>0</v>
      </c>
      <c r="K7416">
        <v>1</v>
      </c>
      <c r="L7416">
        <v>1</v>
      </c>
      <c r="M7416">
        <v>11</v>
      </c>
      <c r="N7416" t="s">
        <v>35</v>
      </c>
      <c r="O7416" t="s">
        <v>32</v>
      </c>
      <c r="P7416">
        <v>3.3873222529990898</v>
      </c>
      <c r="Q7416">
        <v>2.0372891130737298</v>
      </c>
      <c r="R7416">
        <v>4.9436279546236204</v>
      </c>
      <c r="S7416">
        <v>184</v>
      </c>
      <c r="T7416">
        <v>70</v>
      </c>
      <c r="U7416">
        <v>203.92491560759601</v>
      </c>
      <c r="V7416">
        <v>2.6803118908382E-3</v>
      </c>
      <c r="W7416">
        <v>1079266.76521229</v>
      </c>
      <c r="X7416" t="s">
        <v>42</v>
      </c>
      <c r="Y7416">
        <f>1-635-832-4619</f>
        <v>-6085</v>
      </c>
    </row>
    <row r="7417" spans="1:25" x14ac:dyDescent="0.35">
      <c r="A7417">
        <v>36.748262723519602</v>
      </c>
      <c r="B7417">
        <v>-119.213462593759</v>
      </c>
      <c r="C7417" t="s">
        <v>29</v>
      </c>
      <c r="D7417">
        <v>20.0243153467508</v>
      </c>
      <c r="E7417">
        <v>5</v>
      </c>
      <c r="F7417">
        <v>1019</v>
      </c>
      <c r="G7417">
        <v>1</v>
      </c>
      <c r="H7417">
        <v>1</v>
      </c>
      <c r="I7417">
        <v>1966</v>
      </c>
      <c r="J7417">
        <v>0</v>
      </c>
      <c r="K7417">
        <v>0</v>
      </c>
      <c r="L7417">
        <v>1</v>
      </c>
      <c r="M7417">
        <v>7</v>
      </c>
      <c r="N7417" t="s">
        <v>37</v>
      </c>
      <c r="O7417" t="s">
        <v>27</v>
      </c>
      <c r="P7417">
        <v>10.6127052187058</v>
      </c>
      <c r="Q7417">
        <v>1.4569247635912499</v>
      </c>
      <c r="R7417">
        <v>2.72170212536939</v>
      </c>
      <c r="S7417">
        <v>160</v>
      </c>
      <c r="T7417">
        <v>61</v>
      </c>
      <c r="U7417">
        <v>579.06906370946695</v>
      </c>
      <c r="V7417">
        <v>6.8694798822374796E-3</v>
      </c>
      <c r="W7417">
        <v>632562.66466429399</v>
      </c>
      <c r="X7417" t="s">
        <v>36</v>
      </c>
      <c r="Y7417">
        <f>1-632-784-3484</f>
        <v>-4899</v>
      </c>
    </row>
    <row r="7418" spans="1:25" x14ac:dyDescent="0.35">
      <c r="A7418">
        <v>34.447495846092998</v>
      </c>
      <c r="B7418">
        <v>-121.604112490783</v>
      </c>
      <c r="C7418" t="s">
        <v>25</v>
      </c>
      <c r="D7418">
        <v>33.496687195710599</v>
      </c>
      <c r="E7418">
        <v>4</v>
      </c>
      <c r="F7418">
        <v>594</v>
      </c>
      <c r="G7418">
        <v>4</v>
      </c>
      <c r="H7418">
        <v>3</v>
      </c>
      <c r="I7418">
        <v>1957</v>
      </c>
      <c r="J7418">
        <v>0</v>
      </c>
      <c r="K7418">
        <v>1</v>
      </c>
      <c r="L7418">
        <v>0</v>
      </c>
      <c r="M7418">
        <v>7</v>
      </c>
      <c r="N7418" t="s">
        <v>37</v>
      </c>
      <c r="O7418" t="s">
        <v>30</v>
      </c>
      <c r="P7418">
        <v>13.9458058399759</v>
      </c>
      <c r="Q7418">
        <v>1.9503155255575999</v>
      </c>
      <c r="R7418">
        <v>2.5981494478643601</v>
      </c>
      <c r="S7418">
        <v>127</v>
      </c>
      <c r="T7418">
        <v>40</v>
      </c>
      <c r="U7418">
        <v>803.75949237689304</v>
      </c>
      <c r="V7418">
        <v>1.17845117845117E-2</v>
      </c>
      <c r="W7418">
        <v>825273.267093161</v>
      </c>
      <c r="X7418" t="s">
        <v>39</v>
      </c>
      <c r="Y7418">
        <f>1-515-526-4255</f>
        <v>-5295</v>
      </c>
    </row>
    <row r="7419" spans="1:25" x14ac:dyDescent="0.35">
      <c r="A7419">
        <v>38.756063674463697</v>
      </c>
      <c r="B7419">
        <v>-117.960308560226</v>
      </c>
      <c r="C7419" t="s">
        <v>25</v>
      </c>
      <c r="D7419">
        <v>32.9285926037835</v>
      </c>
      <c r="E7419">
        <v>3</v>
      </c>
      <c r="F7419">
        <v>2475</v>
      </c>
      <c r="G7419">
        <v>4</v>
      </c>
      <c r="H7419">
        <v>1</v>
      </c>
      <c r="I7419">
        <v>1986</v>
      </c>
      <c r="J7419">
        <v>1</v>
      </c>
      <c r="K7419">
        <v>0</v>
      </c>
      <c r="L7419">
        <v>1</v>
      </c>
      <c r="M7419">
        <v>8</v>
      </c>
      <c r="N7419" t="s">
        <v>35</v>
      </c>
      <c r="O7419" t="s">
        <v>32</v>
      </c>
      <c r="P7419">
        <v>14.5586014951917</v>
      </c>
      <c r="Q7419">
        <v>2.38370902046085</v>
      </c>
      <c r="R7419">
        <v>0.190648387798351</v>
      </c>
      <c r="S7419">
        <v>130</v>
      </c>
      <c r="T7419">
        <v>72</v>
      </c>
      <c r="U7419">
        <v>388.53649168777099</v>
      </c>
      <c r="V7419">
        <v>3.2323232323232302E-3</v>
      </c>
      <c r="W7419">
        <v>1311603.2203639699</v>
      </c>
      <c r="X7419" t="s">
        <v>42</v>
      </c>
      <c r="Y7419">
        <f>1-789-792-6101</f>
        <v>-7681</v>
      </c>
    </row>
    <row r="7420" spans="1:25" x14ac:dyDescent="0.35">
      <c r="A7420">
        <v>39.704385623989999</v>
      </c>
      <c r="B7420">
        <v>-119.22334080508</v>
      </c>
      <c r="C7420" t="s">
        <v>29</v>
      </c>
      <c r="D7420">
        <v>25.603055867250301</v>
      </c>
      <c r="E7420">
        <v>7</v>
      </c>
      <c r="F7420">
        <v>2558</v>
      </c>
      <c r="G7420">
        <v>4</v>
      </c>
      <c r="H7420">
        <v>2</v>
      </c>
      <c r="I7420">
        <v>1987</v>
      </c>
      <c r="J7420">
        <v>1</v>
      </c>
      <c r="K7420">
        <v>0</v>
      </c>
      <c r="L7420">
        <v>1</v>
      </c>
      <c r="M7420">
        <v>9</v>
      </c>
      <c r="N7420" t="s">
        <v>37</v>
      </c>
      <c r="O7420" t="s">
        <v>30</v>
      </c>
      <c r="P7420">
        <v>11.3078598999055</v>
      </c>
      <c r="Q7420">
        <v>0.75965718893080303</v>
      </c>
      <c r="R7420">
        <v>9.5021380742658206</v>
      </c>
      <c r="S7420">
        <v>114</v>
      </c>
      <c r="T7420">
        <v>27</v>
      </c>
      <c r="U7420">
        <v>752.23231120756805</v>
      </c>
      <c r="V7420">
        <v>3.51837372947615E-3</v>
      </c>
      <c r="W7420">
        <v>2313615.2781526302</v>
      </c>
      <c r="X7420" t="s">
        <v>40</v>
      </c>
      <c r="Y7420">
        <f>1-828-585-5064</f>
        <v>-6476</v>
      </c>
    </row>
    <row r="7421" spans="1:25" x14ac:dyDescent="0.35">
      <c r="A7421">
        <v>36.422477273314797</v>
      </c>
      <c r="B7421">
        <v>-121.386727164985</v>
      </c>
      <c r="C7421" t="s">
        <v>25</v>
      </c>
      <c r="D7421">
        <v>44.5298575848418</v>
      </c>
      <c r="E7421">
        <v>7</v>
      </c>
      <c r="F7421">
        <v>1001</v>
      </c>
      <c r="G7421">
        <v>2</v>
      </c>
      <c r="H7421">
        <v>2</v>
      </c>
      <c r="I7421">
        <v>1992</v>
      </c>
      <c r="J7421">
        <v>1</v>
      </c>
      <c r="K7421">
        <v>1</v>
      </c>
      <c r="L7421">
        <v>0</v>
      </c>
      <c r="M7421">
        <v>13</v>
      </c>
      <c r="N7421" t="s">
        <v>35</v>
      </c>
      <c r="O7421" t="s">
        <v>30</v>
      </c>
      <c r="P7421">
        <v>8.5469486489048005</v>
      </c>
      <c r="Q7421">
        <v>1.26817922789962</v>
      </c>
      <c r="R7421">
        <v>6.6666922806915201</v>
      </c>
      <c r="S7421">
        <v>153</v>
      </c>
      <c r="T7421">
        <v>24</v>
      </c>
      <c r="U7421">
        <v>713.23020931331496</v>
      </c>
      <c r="V7421">
        <v>1.2987012987012899E-2</v>
      </c>
      <c r="W7421">
        <v>969650.13551101601</v>
      </c>
      <c r="X7421" t="s">
        <v>38</v>
      </c>
      <c r="Y7421">
        <f>1-460-718-3000</f>
        <v>-4177</v>
      </c>
    </row>
    <row r="7422" spans="1:25" x14ac:dyDescent="0.35">
      <c r="A7422">
        <v>38.577699110383399</v>
      </c>
      <c r="B7422">
        <v>-118.282904784889</v>
      </c>
      <c r="C7422" t="s">
        <v>34</v>
      </c>
      <c r="D7422">
        <v>10.3418329766622</v>
      </c>
      <c r="E7422">
        <v>1</v>
      </c>
      <c r="F7422">
        <v>602</v>
      </c>
      <c r="G7422">
        <v>4</v>
      </c>
      <c r="H7422">
        <v>3</v>
      </c>
      <c r="I7422">
        <v>2002</v>
      </c>
      <c r="J7422">
        <v>0</v>
      </c>
      <c r="K7422">
        <v>1</v>
      </c>
      <c r="L7422">
        <v>1</v>
      </c>
      <c r="M7422">
        <v>7</v>
      </c>
      <c r="N7422" t="s">
        <v>37</v>
      </c>
      <c r="O7422" t="s">
        <v>32</v>
      </c>
      <c r="P7422">
        <v>10.091506615093699</v>
      </c>
      <c r="Q7422">
        <v>2.1540552426641901</v>
      </c>
      <c r="R7422">
        <v>7.0978022266510701</v>
      </c>
      <c r="S7422">
        <v>96</v>
      </c>
      <c r="T7422">
        <v>32</v>
      </c>
      <c r="U7422">
        <v>774.24457003970804</v>
      </c>
      <c r="V7422">
        <v>1.1627906976744099E-2</v>
      </c>
      <c r="W7422">
        <v>934958.98733360495</v>
      </c>
      <c r="X7422" t="s">
        <v>39</v>
      </c>
      <c r="Y7422">
        <f>1-638-579-6327</f>
        <v>-7543</v>
      </c>
    </row>
    <row r="7423" spans="1:25" x14ac:dyDescent="0.35">
      <c r="A7423">
        <v>39.532766424486098</v>
      </c>
      <c r="B7423">
        <v>-122.548383092425</v>
      </c>
      <c r="C7423" t="s">
        <v>34</v>
      </c>
      <c r="D7423">
        <v>13.183219629927301</v>
      </c>
      <c r="E7423">
        <v>5</v>
      </c>
      <c r="F7423">
        <v>3914</v>
      </c>
      <c r="G7423">
        <v>3</v>
      </c>
      <c r="H7423">
        <v>2</v>
      </c>
      <c r="I7423">
        <v>2007</v>
      </c>
      <c r="J7423">
        <v>0</v>
      </c>
      <c r="K7423">
        <v>1</v>
      </c>
      <c r="L7423">
        <v>1</v>
      </c>
      <c r="M7423">
        <v>12</v>
      </c>
      <c r="N7423" t="s">
        <v>37</v>
      </c>
      <c r="O7423" t="s">
        <v>32</v>
      </c>
      <c r="P7423">
        <v>14.2866251291564</v>
      </c>
      <c r="Q7423">
        <v>0.654926598875747</v>
      </c>
      <c r="R7423">
        <v>3.0367028446217601</v>
      </c>
      <c r="S7423">
        <v>116</v>
      </c>
      <c r="T7423">
        <v>59</v>
      </c>
      <c r="U7423">
        <v>458.35376910879302</v>
      </c>
      <c r="V7423">
        <v>3.0659172202350498E-3</v>
      </c>
      <c r="W7423">
        <v>2235667.5990070999</v>
      </c>
      <c r="X7423" t="s">
        <v>28</v>
      </c>
      <c r="Y7423">
        <f>1-928-889-9370</f>
        <v>-11186</v>
      </c>
    </row>
    <row r="7424" spans="1:25" x14ac:dyDescent="0.35">
      <c r="A7424">
        <v>34.144472538162503</v>
      </c>
      <c r="B7424">
        <v>-121.320568460335</v>
      </c>
      <c r="C7424" t="s">
        <v>29</v>
      </c>
      <c r="D7424">
        <v>15.1919754344365</v>
      </c>
      <c r="E7424">
        <v>6</v>
      </c>
      <c r="F7424">
        <v>2440</v>
      </c>
      <c r="G7424">
        <v>3</v>
      </c>
      <c r="H7424">
        <v>3</v>
      </c>
      <c r="I7424">
        <v>1993</v>
      </c>
      <c r="J7424">
        <v>0</v>
      </c>
      <c r="K7424">
        <v>0</v>
      </c>
      <c r="L7424">
        <v>0</v>
      </c>
      <c r="M7424">
        <v>9</v>
      </c>
      <c r="N7424" t="s">
        <v>41</v>
      </c>
      <c r="O7424" t="s">
        <v>30</v>
      </c>
      <c r="P7424">
        <v>4.5536260675489597</v>
      </c>
      <c r="Q7424">
        <v>1.5079056498352099</v>
      </c>
      <c r="R7424">
        <v>4.1115867654972904</v>
      </c>
      <c r="S7424">
        <v>18</v>
      </c>
      <c r="T7424">
        <v>42</v>
      </c>
      <c r="U7424">
        <v>947.24649568003804</v>
      </c>
      <c r="V7424">
        <v>3.6885245901639302E-3</v>
      </c>
      <c r="W7424">
        <v>2515262.02899594</v>
      </c>
      <c r="X7424" t="s">
        <v>33</v>
      </c>
      <c r="Y7424">
        <f>1-292-271-7045</f>
        <v>-7607</v>
      </c>
    </row>
    <row r="7425" spans="1:25" x14ac:dyDescent="0.35">
      <c r="A7425">
        <v>41.1125842880394</v>
      </c>
      <c r="B7425">
        <v>-118.41895887352599</v>
      </c>
      <c r="C7425" t="s">
        <v>25</v>
      </c>
      <c r="D7425">
        <v>32.950016734204397</v>
      </c>
      <c r="E7425">
        <v>8</v>
      </c>
      <c r="F7425">
        <v>1081</v>
      </c>
      <c r="G7425">
        <v>1</v>
      </c>
      <c r="H7425">
        <v>3</v>
      </c>
      <c r="I7425">
        <v>1952</v>
      </c>
      <c r="J7425">
        <v>0</v>
      </c>
      <c r="K7425">
        <v>0</v>
      </c>
      <c r="L7425">
        <v>0</v>
      </c>
      <c r="M7425">
        <v>12</v>
      </c>
      <c r="N7425" t="s">
        <v>35</v>
      </c>
      <c r="O7425" t="s">
        <v>30</v>
      </c>
      <c r="P7425">
        <v>4.6194268273180299</v>
      </c>
      <c r="Q7425">
        <v>0.68774535894194599</v>
      </c>
      <c r="R7425">
        <v>2.4458467605713201</v>
      </c>
      <c r="S7425">
        <v>21</v>
      </c>
      <c r="T7425">
        <v>44</v>
      </c>
      <c r="U7425">
        <v>668.44190547630103</v>
      </c>
      <c r="V7425">
        <v>1.11008325624421E-2</v>
      </c>
      <c r="W7425">
        <v>740142.67059526604</v>
      </c>
      <c r="X7425" t="s">
        <v>43</v>
      </c>
      <c r="Y7425">
        <f>1-427-972-5075</f>
        <v>-6473</v>
      </c>
    </row>
    <row r="7426" spans="1:25" x14ac:dyDescent="0.35">
      <c r="A7426">
        <v>40.765371536893298</v>
      </c>
      <c r="B7426">
        <v>-114.693667360205</v>
      </c>
      <c r="C7426" t="s">
        <v>29</v>
      </c>
      <c r="D7426">
        <v>36.291521895028602</v>
      </c>
      <c r="E7426">
        <v>6</v>
      </c>
      <c r="F7426">
        <v>1726</v>
      </c>
      <c r="G7426">
        <v>1</v>
      </c>
      <c r="H7426">
        <v>1</v>
      </c>
      <c r="I7426">
        <v>1975</v>
      </c>
      <c r="J7426">
        <v>1</v>
      </c>
      <c r="K7426">
        <v>0</v>
      </c>
      <c r="L7426">
        <v>1</v>
      </c>
      <c r="M7426">
        <v>7</v>
      </c>
      <c r="N7426" t="s">
        <v>35</v>
      </c>
      <c r="O7426" t="s">
        <v>32</v>
      </c>
      <c r="P7426">
        <v>10.957825470869899</v>
      </c>
      <c r="Q7426">
        <v>2.47399963198938</v>
      </c>
      <c r="R7426">
        <v>9.6105160048970895</v>
      </c>
      <c r="S7426">
        <v>180</v>
      </c>
      <c r="T7426">
        <v>59</v>
      </c>
      <c r="U7426">
        <v>397.42260005290302</v>
      </c>
      <c r="V7426">
        <v>4.0556199304750797E-3</v>
      </c>
      <c r="W7426">
        <v>767457.19646096497</v>
      </c>
      <c r="X7426" t="s">
        <v>31</v>
      </c>
      <c r="Y7426">
        <f>1-813-168-7927</f>
        <v>-8907</v>
      </c>
    </row>
    <row r="7427" spans="1:25" x14ac:dyDescent="0.35">
      <c r="A7427">
        <v>35.024305573607897</v>
      </c>
      <c r="B7427">
        <v>-116.21650589530999</v>
      </c>
      <c r="C7427" t="s">
        <v>34</v>
      </c>
      <c r="D7427">
        <v>29.8450185723263</v>
      </c>
      <c r="E7427">
        <v>3</v>
      </c>
      <c r="F7427">
        <v>2487</v>
      </c>
      <c r="G7427">
        <v>4</v>
      </c>
      <c r="H7427">
        <v>2</v>
      </c>
      <c r="I7427">
        <v>1976</v>
      </c>
      <c r="J7427">
        <v>1</v>
      </c>
      <c r="K7427">
        <v>1</v>
      </c>
      <c r="L7427">
        <v>0</v>
      </c>
      <c r="M7427">
        <v>2</v>
      </c>
      <c r="N7427" t="s">
        <v>41</v>
      </c>
      <c r="O7427" t="s">
        <v>30</v>
      </c>
      <c r="P7427">
        <v>5.0091923818981403</v>
      </c>
      <c r="Q7427">
        <v>1.82480665970096</v>
      </c>
      <c r="R7427">
        <v>9.3333397381237795</v>
      </c>
      <c r="S7427">
        <v>20</v>
      </c>
      <c r="T7427">
        <v>63</v>
      </c>
      <c r="U7427">
        <v>256.35376511728703</v>
      </c>
      <c r="V7427">
        <v>8.0418174507438604E-4</v>
      </c>
      <c r="W7427">
        <v>890002.43531250395</v>
      </c>
      <c r="X7427" t="s">
        <v>44</v>
      </c>
      <c r="Y7427">
        <f>1-931-557-2982</f>
        <v>-4469</v>
      </c>
    </row>
    <row r="7428" spans="1:25" x14ac:dyDescent="0.35">
      <c r="A7428">
        <v>34.178167434713501</v>
      </c>
      <c r="B7428">
        <v>-123.2606725837</v>
      </c>
      <c r="C7428" t="s">
        <v>29</v>
      </c>
      <c r="D7428">
        <v>10.3550030683136</v>
      </c>
      <c r="E7428">
        <v>5</v>
      </c>
      <c r="F7428">
        <v>2987</v>
      </c>
      <c r="G7428">
        <v>2</v>
      </c>
      <c r="H7428">
        <v>2</v>
      </c>
      <c r="I7428">
        <v>1953</v>
      </c>
      <c r="J7428">
        <v>1</v>
      </c>
      <c r="K7428">
        <v>1</v>
      </c>
      <c r="L7428">
        <v>0</v>
      </c>
      <c r="M7428">
        <v>2</v>
      </c>
      <c r="N7428" t="s">
        <v>41</v>
      </c>
      <c r="O7428" t="s">
        <v>32</v>
      </c>
      <c r="P7428">
        <v>2.7737674461856501</v>
      </c>
      <c r="Q7428">
        <v>2.4906362904377</v>
      </c>
      <c r="R7428">
        <v>4.7291891468617298</v>
      </c>
      <c r="S7428">
        <v>66</v>
      </c>
      <c r="T7428">
        <v>44</v>
      </c>
      <c r="U7428">
        <v>919.57070146270905</v>
      </c>
      <c r="V7428">
        <v>6.6956812855707996E-4</v>
      </c>
      <c r="W7428">
        <v>2935506.8165435698</v>
      </c>
      <c r="X7428" t="s">
        <v>39</v>
      </c>
      <c r="Y7428">
        <f>1-599-311-6945</f>
        <v>-7854</v>
      </c>
    </row>
    <row r="7429" spans="1:25" x14ac:dyDescent="0.35">
      <c r="A7429">
        <v>33.960133717003103</v>
      </c>
      <c r="B7429">
        <v>-116.218008163701</v>
      </c>
      <c r="C7429" t="s">
        <v>34</v>
      </c>
      <c r="D7429">
        <v>39.782977182592496</v>
      </c>
      <c r="E7429">
        <v>7</v>
      </c>
      <c r="F7429">
        <v>2692</v>
      </c>
      <c r="G7429">
        <v>2</v>
      </c>
      <c r="H7429">
        <v>2</v>
      </c>
      <c r="I7429">
        <v>1956</v>
      </c>
      <c r="J7429">
        <v>1</v>
      </c>
      <c r="K7429">
        <v>1</v>
      </c>
      <c r="L7429">
        <v>1</v>
      </c>
      <c r="M7429">
        <v>14</v>
      </c>
      <c r="N7429" t="s">
        <v>41</v>
      </c>
      <c r="O7429" t="s">
        <v>32</v>
      </c>
      <c r="P7429">
        <v>11.1728685589043</v>
      </c>
      <c r="Q7429">
        <v>1.64281226414063</v>
      </c>
      <c r="R7429">
        <v>2.1850782541822098</v>
      </c>
      <c r="S7429">
        <v>42</v>
      </c>
      <c r="T7429">
        <v>64</v>
      </c>
      <c r="U7429">
        <v>641.14464566421702</v>
      </c>
      <c r="V7429">
        <v>5.2005943536404097E-3</v>
      </c>
      <c r="W7429">
        <v>2027235.7776369399</v>
      </c>
      <c r="X7429" t="s">
        <v>33</v>
      </c>
      <c r="Y7429">
        <f>1-792-441-9877</f>
        <v>-11109</v>
      </c>
    </row>
    <row r="7430" spans="1:25" x14ac:dyDescent="0.35">
      <c r="A7430">
        <v>41.127350992476899</v>
      </c>
      <c r="B7430">
        <v>-116.467896552073</v>
      </c>
      <c r="C7430" t="s">
        <v>34</v>
      </c>
      <c r="D7430">
        <v>31.083355304122701</v>
      </c>
      <c r="E7430">
        <v>9</v>
      </c>
      <c r="F7430">
        <v>888</v>
      </c>
      <c r="G7430">
        <v>2</v>
      </c>
      <c r="H7430">
        <v>2</v>
      </c>
      <c r="I7430">
        <v>1956</v>
      </c>
      <c r="J7430">
        <v>1</v>
      </c>
      <c r="K7430">
        <v>0</v>
      </c>
      <c r="L7430">
        <v>0</v>
      </c>
      <c r="M7430">
        <v>3</v>
      </c>
      <c r="N7430" t="s">
        <v>35</v>
      </c>
      <c r="O7430" t="s">
        <v>32</v>
      </c>
      <c r="P7430">
        <v>13.7159740049888</v>
      </c>
      <c r="Q7430">
        <v>1.0699205724347101</v>
      </c>
      <c r="R7430">
        <v>4.8378782380005898</v>
      </c>
      <c r="S7430">
        <v>9</v>
      </c>
      <c r="T7430">
        <v>47</v>
      </c>
      <c r="U7430">
        <v>801.41679618734804</v>
      </c>
      <c r="V7430">
        <v>3.3783783783783699E-3</v>
      </c>
      <c r="W7430">
        <v>936439.60934000299</v>
      </c>
      <c r="X7430" t="s">
        <v>44</v>
      </c>
      <c r="Y7430">
        <f>1-360-572-9825</f>
        <v>-10756</v>
      </c>
    </row>
    <row r="7431" spans="1:25" x14ac:dyDescent="0.35">
      <c r="A7431">
        <v>39.722867340365902</v>
      </c>
      <c r="B7431">
        <v>-123.91221798927501</v>
      </c>
      <c r="C7431" t="s">
        <v>29</v>
      </c>
      <c r="D7431">
        <v>48.3808151901085</v>
      </c>
      <c r="E7431">
        <v>8</v>
      </c>
      <c r="F7431">
        <v>1723</v>
      </c>
      <c r="G7431">
        <v>4</v>
      </c>
      <c r="H7431">
        <v>3</v>
      </c>
      <c r="I7431">
        <v>2022</v>
      </c>
      <c r="J7431">
        <v>1</v>
      </c>
      <c r="K7431">
        <v>1</v>
      </c>
      <c r="L7431">
        <v>1</v>
      </c>
      <c r="M7431">
        <v>13</v>
      </c>
      <c r="N7431" t="s">
        <v>26</v>
      </c>
      <c r="O7431" t="s">
        <v>30</v>
      </c>
      <c r="P7431">
        <v>12.0267476802152</v>
      </c>
      <c r="Q7431">
        <v>2.2765034545508001</v>
      </c>
      <c r="R7431">
        <v>8.7593184413247904</v>
      </c>
      <c r="S7431">
        <v>88</v>
      </c>
      <c r="T7431">
        <v>24</v>
      </c>
      <c r="U7431">
        <v>880.35993798793902</v>
      </c>
      <c r="V7431">
        <v>7.5449796865931498E-3</v>
      </c>
      <c r="W7431">
        <v>1975327.8184692999</v>
      </c>
      <c r="X7431" t="s">
        <v>44</v>
      </c>
      <c r="Y7431">
        <f>1-646-662-2976</f>
        <v>-4283</v>
      </c>
    </row>
    <row r="7432" spans="1:25" x14ac:dyDescent="0.35">
      <c r="A7432">
        <v>37.343209910552801</v>
      </c>
      <c r="B7432">
        <v>-116.89007538666201</v>
      </c>
      <c r="C7432" t="s">
        <v>34</v>
      </c>
      <c r="D7432">
        <v>39.8290635004007</v>
      </c>
      <c r="E7432">
        <v>2</v>
      </c>
      <c r="F7432">
        <v>4029</v>
      </c>
      <c r="G7432">
        <v>1</v>
      </c>
      <c r="H7432">
        <v>3</v>
      </c>
      <c r="I7432">
        <v>1986</v>
      </c>
      <c r="J7432">
        <v>0</v>
      </c>
      <c r="K7432">
        <v>0</v>
      </c>
      <c r="L7432">
        <v>0</v>
      </c>
      <c r="M7432">
        <v>8</v>
      </c>
      <c r="N7432" t="s">
        <v>35</v>
      </c>
      <c r="O7432" t="s">
        <v>30</v>
      </c>
      <c r="P7432">
        <v>2.51348627964403</v>
      </c>
      <c r="Q7432">
        <v>2.4608337393555102</v>
      </c>
      <c r="R7432">
        <v>4.0729069237298603</v>
      </c>
      <c r="S7432">
        <v>2</v>
      </c>
      <c r="T7432">
        <v>52</v>
      </c>
      <c r="U7432">
        <v>222.03618590855399</v>
      </c>
      <c r="V7432">
        <v>1.9856043683296101E-3</v>
      </c>
      <c r="W7432">
        <v>901214.81191448402</v>
      </c>
      <c r="X7432" t="s">
        <v>28</v>
      </c>
      <c r="Y7432">
        <f>1-750-172-6077</f>
        <v>-6998</v>
      </c>
    </row>
    <row r="7433" spans="1:25" x14ac:dyDescent="0.35">
      <c r="A7433">
        <v>38.170136141051501</v>
      </c>
      <c r="B7433">
        <v>-116.341158093874</v>
      </c>
      <c r="C7433" t="s">
        <v>25</v>
      </c>
      <c r="D7433">
        <v>41.265244509974302</v>
      </c>
      <c r="E7433">
        <v>6</v>
      </c>
      <c r="F7433">
        <v>4797</v>
      </c>
      <c r="G7433">
        <v>5</v>
      </c>
      <c r="H7433">
        <v>2</v>
      </c>
      <c r="I7433">
        <v>2003</v>
      </c>
      <c r="J7433">
        <v>0</v>
      </c>
      <c r="K7433">
        <v>1</v>
      </c>
      <c r="L7433">
        <v>0</v>
      </c>
      <c r="M7433">
        <v>5</v>
      </c>
      <c r="N7433" t="s">
        <v>37</v>
      </c>
      <c r="O7433" t="s">
        <v>30</v>
      </c>
      <c r="P7433">
        <v>3.3339296221049701</v>
      </c>
      <c r="Q7433">
        <v>1.3403872574714399</v>
      </c>
      <c r="R7433">
        <v>9.3447368333051095</v>
      </c>
      <c r="S7433">
        <v>92</v>
      </c>
      <c r="T7433">
        <v>59</v>
      </c>
      <c r="U7433">
        <v>886.07296013144105</v>
      </c>
      <c r="V7433">
        <v>1.04231811548884E-3</v>
      </c>
      <c r="W7433">
        <v>4648213.7513073999</v>
      </c>
      <c r="X7433" t="s">
        <v>31</v>
      </c>
      <c r="Y7433">
        <f>1-561-657-9036</f>
        <v>-10253</v>
      </c>
    </row>
    <row r="7434" spans="1:25" x14ac:dyDescent="0.35">
      <c r="A7434">
        <v>39.313925127793702</v>
      </c>
      <c r="B7434">
        <v>-118.92587290181901</v>
      </c>
      <c r="C7434" t="s">
        <v>29</v>
      </c>
      <c r="D7434">
        <v>42.171192784594801</v>
      </c>
      <c r="E7434">
        <v>0</v>
      </c>
      <c r="F7434">
        <v>979</v>
      </c>
      <c r="G7434">
        <v>3</v>
      </c>
      <c r="H7434">
        <v>1</v>
      </c>
      <c r="I7434">
        <v>1973</v>
      </c>
      <c r="J7434">
        <v>0</v>
      </c>
      <c r="K7434">
        <v>1</v>
      </c>
      <c r="L7434">
        <v>1</v>
      </c>
      <c r="M7434">
        <v>10</v>
      </c>
      <c r="N7434" t="s">
        <v>37</v>
      </c>
      <c r="O7434" t="s">
        <v>30</v>
      </c>
      <c r="P7434">
        <v>11.9120760274185</v>
      </c>
      <c r="Q7434">
        <v>1.7214934563473601</v>
      </c>
      <c r="R7434">
        <v>5.7710993275548503</v>
      </c>
      <c r="S7434">
        <v>118</v>
      </c>
      <c r="T7434">
        <v>65</v>
      </c>
      <c r="U7434">
        <v>286.81062038960903</v>
      </c>
      <c r="V7434">
        <v>1.0214504596527001E-2</v>
      </c>
      <c r="W7434">
        <v>611400.78856691695</v>
      </c>
      <c r="X7434" t="s">
        <v>40</v>
      </c>
      <c r="Y7434">
        <f>1-430-587-2898</f>
        <v>-3914</v>
      </c>
    </row>
    <row r="7435" spans="1:25" x14ac:dyDescent="0.35">
      <c r="A7435">
        <v>38.522889088252597</v>
      </c>
      <c r="B7435">
        <v>-121.84583612887801</v>
      </c>
      <c r="C7435" t="s">
        <v>29</v>
      </c>
      <c r="D7435">
        <v>10.932438111347301</v>
      </c>
      <c r="E7435">
        <v>2</v>
      </c>
      <c r="F7435">
        <v>3737</v>
      </c>
      <c r="G7435">
        <v>1</v>
      </c>
      <c r="H7435">
        <v>1</v>
      </c>
      <c r="I7435">
        <v>1994</v>
      </c>
      <c r="J7435">
        <v>0</v>
      </c>
      <c r="K7435">
        <v>0</v>
      </c>
      <c r="L7435">
        <v>1</v>
      </c>
      <c r="M7435">
        <v>6</v>
      </c>
      <c r="N7435" t="s">
        <v>35</v>
      </c>
      <c r="O7435" t="s">
        <v>27</v>
      </c>
      <c r="P7435">
        <v>13.1644261127886</v>
      </c>
      <c r="Q7435">
        <v>2.12828051350531</v>
      </c>
      <c r="R7435">
        <v>4.7725235587099197</v>
      </c>
      <c r="S7435">
        <v>176</v>
      </c>
      <c r="T7435">
        <v>65</v>
      </c>
      <c r="U7435">
        <v>569.26637537480804</v>
      </c>
      <c r="V7435">
        <v>1.6055659620015999E-3</v>
      </c>
      <c r="W7435">
        <v>2222561.4857703499</v>
      </c>
      <c r="X7435" t="s">
        <v>28</v>
      </c>
      <c r="Y7435">
        <f>1-933-887-5109</f>
        <v>-6928</v>
      </c>
    </row>
    <row r="7436" spans="1:25" x14ac:dyDescent="0.35">
      <c r="A7436">
        <v>37.765869553105802</v>
      </c>
      <c r="B7436">
        <v>-123.35240047529901</v>
      </c>
      <c r="C7436" t="s">
        <v>25</v>
      </c>
      <c r="D7436">
        <v>29.211065825260899</v>
      </c>
      <c r="E7436">
        <v>5</v>
      </c>
      <c r="F7436">
        <v>2099</v>
      </c>
      <c r="G7436">
        <v>3</v>
      </c>
      <c r="H7436">
        <v>3</v>
      </c>
      <c r="I7436">
        <v>1978</v>
      </c>
      <c r="J7436">
        <v>0</v>
      </c>
      <c r="K7436">
        <v>1</v>
      </c>
      <c r="L7436">
        <v>0</v>
      </c>
      <c r="M7436">
        <v>7</v>
      </c>
      <c r="N7436" t="s">
        <v>37</v>
      </c>
      <c r="O7436" t="s">
        <v>27</v>
      </c>
      <c r="P7436">
        <v>4.9931018793904904</v>
      </c>
      <c r="Q7436">
        <v>1.2819603730390401</v>
      </c>
      <c r="R7436">
        <v>9.7326472539337807</v>
      </c>
      <c r="S7436">
        <v>145</v>
      </c>
      <c r="T7436">
        <v>25</v>
      </c>
      <c r="U7436">
        <v>793.24257879344202</v>
      </c>
      <c r="V7436">
        <v>3.33492139113863E-3</v>
      </c>
      <c r="W7436">
        <v>1854853.1223891501</v>
      </c>
      <c r="X7436" t="s">
        <v>39</v>
      </c>
      <c r="Y7436">
        <f>1-459-778-1098</f>
        <v>-2334</v>
      </c>
    </row>
    <row r="7437" spans="1:25" x14ac:dyDescent="0.35">
      <c r="A7437">
        <v>34.529560464474599</v>
      </c>
      <c r="B7437">
        <v>-116.754166900556</v>
      </c>
      <c r="C7437" t="s">
        <v>29</v>
      </c>
      <c r="D7437">
        <v>32.816673147807201</v>
      </c>
      <c r="E7437">
        <v>9</v>
      </c>
      <c r="F7437">
        <v>2263</v>
      </c>
      <c r="G7437">
        <v>2</v>
      </c>
      <c r="H7437">
        <v>3</v>
      </c>
      <c r="I7437">
        <v>1977</v>
      </c>
      <c r="J7437">
        <v>0</v>
      </c>
      <c r="K7437">
        <v>0</v>
      </c>
      <c r="L7437">
        <v>1</v>
      </c>
      <c r="M7437">
        <v>8</v>
      </c>
      <c r="N7437" t="s">
        <v>37</v>
      </c>
      <c r="O7437" t="s">
        <v>27</v>
      </c>
      <c r="P7437">
        <v>3.06106622954833</v>
      </c>
      <c r="Q7437">
        <v>1.84913355449835</v>
      </c>
      <c r="R7437">
        <v>6.0456535196400703</v>
      </c>
      <c r="S7437">
        <v>20</v>
      </c>
      <c r="T7437">
        <v>44</v>
      </c>
      <c r="U7437">
        <v>413.28964125623099</v>
      </c>
      <c r="V7437">
        <v>3.5351303579319402E-3</v>
      </c>
      <c r="W7437">
        <v>1042389.84474839</v>
      </c>
      <c r="X7437" t="s">
        <v>39</v>
      </c>
      <c r="Y7437">
        <f>1-427-310-4459</f>
        <v>-5195</v>
      </c>
    </row>
    <row r="7438" spans="1:25" x14ac:dyDescent="0.35">
      <c r="A7438">
        <v>40.914931006671402</v>
      </c>
      <c r="B7438">
        <v>-118.559876738016</v>
      </c>
      <c r="C7438" t="s">
        <v>29</v>
      </c>
      <c r="D7438">
        <v>5.1798441218705902</v>
      </c>
      <c r="E7438">
        <v>8</v>
      </c>
      <c r="F7438">
        <v>3468</v>
      </c>
      <c r="G7438">
        <v>4</v>
      </c>
      <c r="H7438">
        <v>3</v>
      </c>
      <c r="I7438">
        <v>1984</v>
      </c>
      <c r="J7438">
        <v>1</v>
      </c>
      <c r="K7438">
        <v>0</v>
      </c>
      <c r="L7438">
        <v>0</v>
      </c>
      <c r="M7438">
        <v>12</v>
      </c>
      <c r="N7438" t="s">
        <v>35</v>
      </c>
      <c r="O7438" t="s">
        <v>30</v>
      </c>
      <c r="P7438">
        <v>12.6091718807519</v>
      </c>
      <c r="Q7438">
        <v>1.59336466519077</v>
      </c>
      <c r="R7438">
        <v>1.8055312568524999</v>
      </c>
      <c r="S7438">
        <v>24</v>
      </c>
      <c r="T7438">
        <v>36</v>
      </c>
      <c r="U7438">
        <v>473.8919715591</v>
      </c>
      <c r="V7438">
        <v>3.4602076124567401E-3</v>
      </c>
      <c r="W7438">
        <v>2030593.54400217</v>
      </c>
      <c r="X7438" t="s">
        <v>31</v>
      </c>
      <c r="Y7438">
        <f>1-232-375-5745</f>
        <v>-6351</v>
      </c>
    </row>
    <row r="7439" spans="1:25" x14ac:dyDescent="0.35">
      <c r="A7439">
        <v>39.932627283447502</v>
      </c>
      <c r="B7439">
        <v>-117.85549974301099</v>
      </c>
      <c r="C7439" t="s">
        <v>29</v>
      </c>
      <c r="D7439">
        <v>1.2338788837380099</v>
      </c>
      <c r="E7439">
        <v>1</v>
      </c>
      <c r="F7439">
        <v>3266</v>
      </c>
      <c r="G7439">
        <v>4</v>
      </c>
      <c r="H7439">
        <v>2</v>
      </c>
      <c r="I7439">
        <v>1996</v>
      </c>
      <c r="J7439">
        <v>0</v>
      </c>
      <c r="K7439">
        <v>1</v>
      </c>
      <c r="L7439">
        <v>1</v>
      </c>
      <c r="M7439">
        <v>12</v>
      </c>
      <c r="N7439" t="s">
        <v>37</v>
      </c>
      <c r="O7439" t="s">
        <v>30</v>
      </c>
      <c r="P7439">
        <v>14.5061902014021</v>
      </c>
      <c r="Q7439">
        <v>1.46446807456114</v>
      </c>
      <c r="R7439">
        <v>7.9827692160938097</v>
      </c>
      <c r="S7439">
        <v>162</v>
      </c>
      <c r="T7439">
        <v>71</v>
      </c>
      <c r="U7439">
        <v>913.83274937214298</v>
      </c>
      <c r="V7439">
        <v>3.6742192284139599E-3</v>
      </c>
      <c r="W7439">
        <v>3452388.7813510098</v>
      </c>
      <c r="X7439" t="s">
        <v>36</v>
      </c>
      <c r="Y7439">
        <f>1-638-464-3101</f>
        <v>-4202</v>
      </c>
    </row>
    <row r="7440" spans="1:25" x14ac:dyDescent="0.35">
      <c r="A7440">
        <v>40.725827185711097</v>
      </c>
      <c r="B7440">
        <v>-121.47030569732</v>
      </c>
      <c r="C7440" t="s">
        <v>29</v>
      </c>
      <c r="D7440">
        <v>8.55837107593727</v>
      </c>
      <c r="E7440">
        <v>5</v>
      </c>
      <c r="F7440">
        <v>883</v>
      </c>
      <c r="G7440">
        <v>4</v>
      </c>
      <c r="H7440">
        <v>1</v>
      </c>
      <c r="I7440">
        <v>1957</v>
      </c>
      <c r="J7440">
        <v>0</v>
      </c>
      <c r="K7440">
        <v>1</v>
      </c>
      <c r="L7440">
        <v>0</v>
      </c>
      <c r="M7440">
        <v>14</v>
      </c>
      <c r="N7440" t="s">
        <v>35</v>
      </c>
      <c r="O7440" t="s">
        <v>32</v>
      </c>
      <c r="P7440">
        <v>4.2057759677649198</v>
      </c>
      <c r="Q7440">
        <v>0.58087606488857202</v>
      </c>
      <c r="R7440">
        <v>6.0640482853876003</v>
      </c>
      <c r="S7440">
        <v>179</v>
      </c>
      <c r="T7440">
        <v>39</v>
      </c>
      <c r="U7440">
        <v>769.379729724443</v>
      </c>
      <c r="V7440">
        <v>1.5855039637598999E-2</v>
      </c>
      <c r="W7440">
        <v>1003602.78696663</v>
      </c>
      <c r="X7440" t="s">
        <v>31</v>
      </c>
      <c r="Y7440">
        <f>1-358-988-9909</f>
        <v>-11254</v>
      </c>
    </row>
    <row r="7441" spans="1:25" x14ac:dyDescent="0.35">
      <c r="A7441">
        <v>32.704539347930599</v>
      </c>
      <c r="B7441">
        <v>-118.860282177889</v>
      </c>
      <c r="C7441" t="s">
        <v>29</v>
      </c>
      <c r="D7441">
        <v>15.2724890207647</v>
      </c>
      <c r="E7441">
        <v>7</v>
      </c>
      <c r="F7441">
        <v>1138</v>
      </c>
      <c r="G7441">
        <v>5</v>
      </c>
      <c r="H7441">
        <v>2</v>
      </c>
      <c r="I7441">
        <v>1974</v>
      </c>
      <c r="J7441">
        <v>1</v>
      </c>
      <c r="K7441">
        <v>1</v>
      </c>
      <c r="L7441">
        <v>1</v>
      </c>
      <c r="M7441">
        <v>7</v>
      </c>
      <c r="N7441" t="s">
        <v>41</v>
      </c>
      <c r="O7441" t="s">
        <v>27</v>
      </c>
      <c r="P7441">
        <v>9.5294544612177798</v>
      </c>
      <c r="Q7441">
        <v>1.8680866779396299</v>
      </c>
      <c r="R7441">
        <v>4.9022753128451999</v>
      </c>
      <c r="S7441">
        <v>76</v>
      </c>
      <c r="T7441">
        <v>70</v>
      </c>
      <c r="U7441">
        <v>755.78433611735204</v>
      </c>
      <c r="V7441">
        <v>6.1511423550087803E-3</v>
      </c>
      <c r="W7441">
        <v>1364729.18369431</v>
      </c>
      <c r="X7441" t="s">
        <v>31</v>
      </c>
      <c r="Y7441">
        <f>1-819-198-5467</f>
        <v>-6483</v>
      </c>
    </row>
    <row r="7442" spans="1:25" x14ac:dyDescent="0.35">
      <c r="A7442">
        <v>38.147205358847501</v>
      </c>
      <c r="B7442">
        <v>-120.233376302255</v>
      </c>
      <c r="C7442" t="s">
        <v>25</v>
      </c>
      <c r="D7442">
        <v>7.0291564035666996</v>
      </c>
      <c r="E7442">
        <v>8</v>
      </c>
      <c r="F7442">
        <v>2104</v>
      </c>
      <c r="G7442">
        <v>4</v>
      </c>
      <c r="H7442">
        <v>2</v>
      </c>
      <c r="I7442">
        <v>1963</v>
      </c>
      <c r="J7442">
        <v>1</v>
      </c>
      <c r="K7442">
        <v>0</v>
      </c>
      <c r="L7442">
        <v>1</v>
      </c>
      <c r="M7442">
        <v>6</v>
      </c>
      <c r="N7442" t="s">
        <v>41</v>
      </c>
      <c r="O7442" t="s">
        <v>32</v>
      </c>
      <c r="P7442">
        <v>10.8661069605319</v>
      </c>
      <c r="Q7442">
        <v>2.1466490759571899</v>
      </c>
      <c r="R7442">
        <v>0.74780248288445705</v>
      </c>
      <c r="S7442">
        <v>121</v>
      </c>
      <c r="T7442">
        <v>56</v>
      </c>
      <c r="U7442">
        <v>957.823932714987</v>
      </c>
      <c r="V7442">
        <v>2.8517110266159601E-3</v>
      </c>
      <c r="W7442">
        <v>2282590.0692012301</v>
      </c>
      <c r="X7442" t="s">
        <v>31</v>
      </c>
      <c r="Y7442">
        <f>1-877-467-3831</f>
        <v>-5174</v>
      </c>
    </row>
    <row r="7443" spans="1:25" x14ac:dyDescent="0.35">
      <c r="A7443">
        <v>40.164539370550699</v>
      </c>
      <c r="B7443">
        <v>-117.038251470592</v>
      </c>
      <c r="C7443" t="s">
        <v>29</v>
      </c>
      <c r="D7443">
        <v>5.3560772976769497</v>
      </c>
      <c r="E7443">
        <v>6</v>
      </c>
      <c r="F7443">
        <v>903</v>
      </c>
      <c r="G7443">
        <v>5</v>
      </c>
      <c r="H7443">
        <v>2</v>
      </c>
      <c r="I7443">
        <v>1986</v>
      </c>
      <c r="J7443">
        <v>0</v>
      </c>
      <c r="K7443">
        <v>1</v>
      </c>
      <c r="L7443">
        <v>0</v>
      </c>
      <c r="M7443">
        <v>6</v>
      </c>
      <c r="N7443" t="s">
        <v>35</v>
      </c>
      <c r="O7443" t="s">
        <v>32</v>
      </c>
      <c r="P7443">
        <v>7.0032597608371603</v>
      </c>
      <c r="Q7443">
        <v>0.80855611709710895</v>
      </c>
      <c r="R7443">
        <v>8.9442644178448898</v>
      </c>
      <c r="S7443">
        <v>91</v>
      </c>
      <c r="T7443">
        <v>63</v>
      </c>
      <c r="U7443">
        <v>460.28396311108798</v>
      </c>
      <c r="V7443">
        <v>6.6445182724252398E-3</v>
      </c>
      <c r="W7443">
        <v>833538.43985844601</v>
      </c>
      <c r="X7443" t="s">
        <v>31</v>
      </c>
      <c r="Y7443">
        <f>1-665-769-8919</f>
        <v>-10352</v>
      </c>
    </row>
    <row r="7444" spans="1:25" x14ac:dyDescent="0.35">
      <c r="A7444">
        <v>38.103439678962303</v>
      </c>
      <c r="B7444">
        <v>-121.793242465563</v>
      </c>
      <c r="C7444" t="s">
        <v>25</v>
      </c>
      <c r="D7444">
        <v>39.341444629898199</v>
      </c>
      <c r="E7444">
        <v>9</v>
      </c>
      <c r="F7444">
        <v>1706</v>
      </c>
      <c r="G7444">
        <v>1</v>
      </c>
      <c r="H7444">
        <v>3</v>
      </c>
      <c r="I7444">
        <v>1962</v>
      </c>
      <c r="J7444">
        <v>1</v>
      </c>
      <c r="K7444">
        <v>1</v>
      </c>
      <c r="L7444">
        <v>0</v>
      </c>
      <c r="M7444">
        <v>14</v>
      </c>
      <c r="N7444" t="s">
        <v>37</v>
      </c>
      <c r="O7444" t="s">
        <v>32</v>
      </c>
      <c r="P7444">
        <v>5.8472414365104797</v>
      </c>
      <c r="Q7444">
        <v>2.4272223712678702</v>
      </c>
      <c r="R7444">
        <v>3.0279565109198501</v>
      </c>
      <c r="S7444">
        <v>93</v>
      </c>
      <c r="T7444">
        <v>45</v>
      </c>
      <c r="U7444">
        <v>435.89261432068798</v>
      </c>
      <c r="V7444">
        <v>8.2063305978897997E-3</v>
      </c>
      <c r="W7444">
        <v>973236.33981691301</v>
      </c>
      <c r="X7444" t="s">
        <v>38</v>
      </c>
      <c r="Y7444">
        <f>1-224-450-1588</f>
        <v>-2261</v>
      </c>
    </row>
    <row r="7445" spans="1:25" x14ac:dyDescent="0.35">
      <c r="A7445">
        <v>36.742519023055998</v>
      </c>
      <c r="B7445">
        <v>-120.223224150104</v>
      </c>
      <c r="C7445" t="s">
        <v>25</v>
      </c>
      <c r="D7445">
        <v>8.5423355847698197</v>
      </c>
      <c r="E7445">
        <v>5</v>
      </c>
      <c r="F7445">
        <v>4612</v>
      </c>
      <c r="G7445">
        <v>4</v>
      </c>
      <c r="H7445">
        <v>1</v>
      </c>
      <c r="I7445">
        <v>1966</v>
      </c>
      <c r="J7445">
        <v>0</v>
      </c>
      <c r="K7445">
        <v>1</v>
      </c>
      <c r="L7445">
        <v>1</v>
      </c>
      <c r="M7445">
        <v>8</v>
      </c>
      <c r="N7445" t="s">
        <v>37</v>
      </c>
      <c r="O7445" t="s">
        <v>32</v>
      </c>
      <c r="P7445">
        <v>10.89841517841</v>
      </c>
      <c r="Q7445">
        <v>2.0569719188672102</v>
      </c>
      <c r="R7445">
        <v>8.6746823144461995</v>
      </c>
      <c r="S7445">
        <v>2</v>
      </c>
      <c r="T7445">
        <v>43</v>
      </c>
      <c r="U7445">
        <v>304.01639927089798</v>
      </c>
      <c r="V7445">
        <v>1.73460537727666E-3</v>
      </c>
      <c r="W7445">
        <v>1806851.11726778</v>
      </c>
      <c r="X7445" t="s">
        <v>42</v>
      </c>
      <c r="Y7445">
        <f>1-459-703-6371</f>
        <v>-7532</v>
      </c>
    </row>
    <row r="7446" spans="1:25" x14ac:dyDescent="0.35">
      <c r="A7446">
        <v>41.076838938283402</v>
      </c>
      <c r="B7446">
        <v>-116.093504132536</v>
      </c>
      <c r="C7446" t="s">
        <v>29</v>
      </c>
      <c r="D7446">
        <v>24.770183216274599</v>
      </c>
      <c r="E7446">
        <v>6</v>
      </c>
      <c r="F7446">
        <v>1993</v>
      </c>
      <c r="G7446">
        <v>2</v>
      </c>
      <c r="H7446">
        <v>3</v>
      </c>
      <c r="I7446">
        <v>1965</v>
      </c>
      <c r="J7446">
        <v>1</v>
      </c>
      <c r="K7446">
        <v>0</v>
      </c>
      <c r="L7446">
        <v>1</v>
      </c>
      <c r="M7446">
        <v>13</v>
      </c>
      <c r="N7446" t="s">
        <v>37</v>
      </c>
      <c r="O7446" t="s">
        <v>27</v>
      </c>
      <c r="P7446">
        <v>3.0666221561158502</v>
      </c>
      <c r="Q7446">
        <v>2.2402504998514301</v>
      </c>
      <c r="R7446">
        <v>7.1940036376469001</v>
      </c>
      <c r="S7446">
        <v>102</v>
      </c>
      <c r="T7446">
        <v>71</v>
      </c>
      <c r="U7446">
        <v>238.60478121468199</v>
      </c>
      <c r="V7446">
        <v>6.5228299046663296E-3</v>
      </c>
      <c r="W7446">
        <v>683704.42144622398</v>
      </c>
      <c r="X7446" t="s">
        <v>28</v>
      </c>
      <c r="Y7446">
        <f>1-365-636-8043</f>
        <v>-9043</v>
      </c>
    </row>
    <row r="7447" spans="1:25" x14ac:dyDescent="0.35">
      <c r="A7447">
        <v>40.763005640418299</v>
      </c>
      <c r="B7447">
        <v>-120.95563349867599</v>
      </c>
      <c r="C7447" t="s">
        <v>25</v>
      </c>
      <c r="D7447">
        <v>22.336860680344401</v>
      </c>
      <c r="E7447">
        <v>2</v>
      </c>
      <c r="F7447">
        <v>1564</v>
      </c>
      <c r="G7447">
        <v>3</v>
      </c>
      <c r="H7447">
        <v>1</v>
      </c>
      <c r="I7447">
        <v>1955</v>
      </c>
      <c r="J7447">
        <v>0</v>
      </c>
      <c r="K7447">
        <v>1</v>
      </c>
      <c r="L7447">
        <v>0</v>
      </c>
      <c r="M7447">
        <v>5</v>
      </c>
      <c r="N7447" t="s">
        <v>37</v>
      </c>
      <c r="O7447" t="s">
        <v>32</v>
      </c>
      <c r="P7447">
        <v>11.0904843605156</v>
      </c>
      <c r="Q7447">
        <v>2.3947706670315601</v>
      </c>
      <c r="R7447">
        <v>1.31330878883937</v>
      </c>
      <c r="S7447">
        <v>186</v>
      </c>
      <c r="T7447">
        <v>72</v>
      </c>
      <c r="U7447">
        <v>634.98775105146694</v>
      </c>
      <c r="V7447">
        <v>3.19693094629156E-3</v>
      </c>
      <c r="W7447">
        <v>1372284.84318488</v>
      </c>
      <c r="X7447" t="s">
        <v>31</v>
      </c>
      <c r="Y7447">
        <f>1-928-426-3362</f>
        <v>-4715</v>
      </c>
    </row>
    <row r="7448" spans="1:25" x14ac:dyDescent="0.35">
      <c r="A7448">
        <v>34.936054218303099</v>
      </c>
      <c r="B7448">
        <v>-117.24381334124</v>
      </c>
      <c r="C7448" t="s">
        <v>34</v>
      </c>
      <c r="D7448">
        <v>6.3291819770945601</v>
      </c>
      <c r="E7448">
        <v>8</v>
      </c>
      <c r="F7448">
        <v>2124</v>
      </c>
      <c r="G7448">
        <v>4</v>
      </c>
      <c r="H7448">
        <v>1</v>
      </c>
      <c r="I7448">
        <v>2017</v>
      </c>
      <c r="J7448">
        <v>0</v>
      </c>
      <c r="K7448">
        <v>1</v>
      </c>
      <c r="L7448">
        <v>0</v>
      </c>
      <c r="M7448">
        <v>3</v>
      </c>
      <c r="N7448" t="s">
        <v>41</v>
      </c>
      <c r="O7448" t="s">
        <v>27</v>
      </c>
      <c r="P7448">
        <v>14.074050962747499</v>
      </c>
      <c r="Q7448">
        <v>2.4835797179686501</v>
      </c>
      <c r="R7448">
        <v>2.8282168191153101</v>
      </c>
      <c r="S7448">
        <v>149</v>
      </c>
      <c r="T7448">
        <v>60</v>
      </c>
      <c r="U7448">
        <v>438.64051641030198</v>
      </c>
      <c r="V7448">
        <v>1.41242937853107E-3</v>
      </c>
      <c r="W7448">
        <v>1312693.47505579</v>
      </c>
      <c r="X7448" t="s">
        <v>31</v>
      </c>
      <c r="Y7448">
        <f>1-989-238-2995</f>
        <v>-4221</v>
      </c>
    </row>
    <row r="7449" spans="1:25" x14ac:dyDescent="0.35">
      <c r="A7449">
        <v>37.6210163035121</v>
      </c>
      <c r="B7449">
        <v>-118.993222580154</v>
      </c>
      <c r="C7449" t="s">
        <v>25</v>
      </c>
      <c r="D7449">
        <v>10.7118532105514</v>
      </c>
      <c r="E7449">
        <v>2</v>
      </c>
      <c r="F7449">
        <v>4809</v>
      </c>
      <c r="G7449">
        <v>4</v>
      </c>
      <c r="H7449">
        <v>3</v>
      </c>
      <c r="I7449">
        <v>1958</v>
      </c>
      <c r="J7449">
        <v>1</v>
      </c>
      <c r="K7449">
        <v>1</v>
      </c>
      <c r="L7449">
        <v>1</v>
      </c>
      <c r="M7449">
        <v>3</v>
      </c>
      <c r="N7449" t="s">
        <v>26</v>
      </c>
      <c r="O7449" t="s">
        <v>32</v>
      </c>
      <c r="P7449">
        <v>2.9695707277157801</v>
      </c>
      <c r="Q7449">
        <v>1.2528435068232699</v>
      </c>
      <c r="R7449">
        <v>3.0945849450279899</v>
      </c>
      <c r="S7449">
        <v>191</v>
      </c>
      <c r="T7449">
        <v>64</v>
      </c>
      <c r="U7449">
        <v>567.869311238514</v>
      </c>
      <c r="V7449">
        <v>6.2383031815346204E-4</v>
      </c>
      <c r="W7449">
        <v>3056023.8588297898</v>
      </c>
      <c r="X7449" t="s">
        <v>38</v>
      </c>
      <c r="Y7449">
        <f>1-955-582-1416</f>
        <v>-2952</v>
      </c>
    </row>
    <row r="7450" spans="1:25" x14ac:dyDescent="0.35">
      <c r="A7450">
        <v>41.680264806584297</v>
      </c>
      <c r="B7450">
        <v>-119.996956907566</v>
      </c>
      <c r="C7450" t="s">
        <v>29</v>
      </c>
      <c r="D7450">
        <v>32.199889721007096</v>
      </c>
      <c r="E7450">
        <v>4</v>
      </c>
      <c r="F7450">
        <v>1834</v>
      </c>
      <c r="G7450">
        <v>5</v>
      </c>
      <c r="H7450">
        <v>1</v>
      </c>
      <c r="I7450">
        <v>1989</v>
      </c>
      <c r="J7450">
        <v>1</v>
      </c>
      <c r="K7450">
        <v>1</v>
      </c>
      <c r="L7450">
        <v>0</v>
      </c>
      <c r="M7450">
        <v>12</v>
      </c>
      <c r="N7450" t="s">
        <v>35</v>
      </c>
      <c r="O7450" t="s">
        <v>30</v>
      </c>
      <c r="P7450">
        <v>7.2711078086489298</v>
      </c>
      <c r="Q7450">
        <v>2.47420987378535</v>
      </c>
      <c r="R7450">
        <v>5.2989473292322504</v>
      </c>
      <c r="S7450">
        <v>93</v>
      </c>
      <c r="T7450">
        <v>67</v>
      </c>
      <c r="U7450">
        <v>503.933428816721</v>
      </c>
      <c r="V7450">
        <v>6.5430752453653198E-3</v>
      </c>
      <c r="W7450">
        <v>1307477.8679875501</v>
      </c>
      <c r="X7450" t="s">
        <v>42</v>
      </c>
      <c r="Y7450">
        <f>1-638-409-1377</f>
        <v>-2423</v>
      </c>
    </row>
    <row r="7451" spans="1:25" x14ac:dyDescent="0.35">
      <c r="A7451">
        <v>41.147227846643901</v>
      </c>
      <c r="B7451">
        <v>-123.50077191147599</v>
      </c>
      <c r="C7451" t="s">
        <v>34</v>
      </c>
      <c r="D7451">
        <v>24.8496755018652</v>
      </c>
      <c r="E7451">
        <v>4</v>
      </c>
      <c r="F7451">
        <v>634</v>
      </c>
      <c r="G7451">
        <v>1</v>
      </c>
      <c r="H7451">
        <v>3</v>
      </c>
      <c r="I7451">
        <v>1987</v>
      </c>
      <c r="J7451">
        <v>1</v>
      </c>
      <c r="K7451">
        <v>0</v>
      </c>
      <c r="L7451">
        <v>0</v>
      </c>
      <c r="M7451">
        <v>2</v>
      </c>
      <c r="N7451" t="s">
        <v>41</v>
      </c>
      <c r="O7451" t="s">
        <v>32</v>
      </c>
      <c r="P7451">
        <v>4.3217959336524601</v>
      </c>
      <c r="Q7451">
        <v>1.34482845238613</v>
      </c>
      <c r="R7451">
        <v>4.6941830697739997</v>
      </c>
      <c r="S7451">
        <v>142</v>
      </c>
      <c r="T7451">
        <v>62</v>
      </c>
      <c r="U7451">
        <v>307.90631090474699</v>
      </c>
      <c r="V7451">
        <v>3.15457413249211E-3</v>
      </c>
      <c r="W7451">
        <v>401601.521846116</v>
      </c>
      <c r="X7451" t="s">
        <v>31</v>
      </c>
      <c r="Y7451">
        <f>1-815-898-5374</f>
        <v>-7086</v>
      </c>
    </row>
    <row r="7452" spans="1:25" x14ac:dyDescent="0.35">
      <c r="A7452">
        <v>33.805209028108401</v>
      </c>
      <c r="B7452">
        <v>-116.390009830694</v>
      </c>
      <c r="C7452" t="s">
        <v>25</v>
      </c>
      <c r="D7452">
        <v>25.051708969066301</v>
      </c>
      <c r="E7452">
        <v>7</v>
      </c>
      <c r="F7452">
        <v>2929</v>
      </c>
      <c r="G7452">
        <v>5</v>
      </c>
      <c r="H7452">
        <v>2</v>
      </c>
      <c r="I7452">
        <v>1977</v>
      </c>
      <c r="J7452">
        <v>1</v>
      </c>
      <c r="K7452">
        <v>1</v>
      </c>
      <c r="L7452">
        <v>1</v>
      </c>
      <c r="M7452">
        <v>13</v>
      </c>
      <c r="N7452" t="s">
        <v>26</v>
      </c>
      <c r="O7452" t="s">
        <v>30</v>
      </c>
      <c r="P7452">
        <v>4.8817425444926901</v>
      </c>
      <c r="Q7452">
        <v>2.1583920307066999</v>
      </c>
      <c r="R7452">
        <v>8.18931616725434</v>
      </c>
      <c r="S7452">
        <v>26</v>
      </c>
      <c r="T7452">
        <v>27</v>
      </c>
      <c r="U7452">
        <v>639.06707919549694</v>
      </c>
      <c r="V7452">
        <v>4.4383748719699504E-3</v>
      </c>
      <c r="W7452">
        <v>2365024.1672050599</v>
      </c>
      <c r="X7452" t="s">
        <v>42</v>
      </c>
      <c r="Y7452">
        <f>1-842-928-6289</f>
        <v>-8058</v>
      </c>
    </row>
    <row r="7453" spans="1:25" x14ac:dyDescent="0.35">
      <c r="A7453">
        <v>34.762983492924697</v>
      </c>
      <c r="B7453">
        <v>-116.66360690622101</v>
      </c>
      <c r="C7453" t="s">
        <v>34</v>
      </c>
      <c r="D7453">
        <v>30.495471226402699</v>
      </c>
      <c r="E7453">
        <v>0</v>
      </c>
      <c r="F7453">
        <v>2394</v>
      </c>
      <c r="G7453">
        <v>4</v>
      </c>
      <c r="H7453">
        <v>1</v>
      </c>
      <c r="I7453">
        <v>2020</v>
      </c>
      <c r="J7453">
        <v>1</v>
      </c>
      <c r="K7453">
        <v>0</v>
      </c>
      <c r="L7453">
        <v>1</v>
      </c>
      <c r="M7453">
        <v>3</v>
      </c>
      <c r="N7453" t="s">
        <v>41</v>
      </c>
      <c r="O7453" t="s">
        <v>27</v>
      </c>
      <c r="P7453">
        <v>13.0831092381895</v>
      </c>
      <c r="Q7453">
        <v>1.9788348488471399</v>
      </c>
      <c r="R7453">
        <v>4.2866192113129298</v>
      </c>
      <c r="S7453">
        <v>192</v>
      </c>
      <c r="T7453">
        <v>34</v>
      </c>
      <c r="U7453">
        <v>273.60416979939299</v>
      </c>
      <c r="V7453">
        <v>1.2531328320802E-3</v>
      </c>
      <c r="W7453">
        <v>1002988.7811167201</v>
      </c>
      <c r="X7453" t="s">
        <v>44</v>
      </c>
      <c r="Y7453">
        <f>1-775-905-8923</f>
        <v>-10602</v>
      </c>
    </row>
    <row r="7454" spans="1:25" x14ac:dyDescent="0.35">
      <c r="A7454">
        <v>35.808322873889203</v>
      </c>
      <c r="B7454">
        <v>-115.001632721322</v>
      </c>
      <c r="C7454" t="s">
        <v>29</v>
      </c>
      <c r="D7454">
        <v>19.9206252069194</v>
      </c>
      <c r="E7454">
        <v>5</v>
      </c>
      <c r="F7454">
        <v>2721</v>
      </c>
      <c r="G7454">
        <v>3</v>
      </c>
      <c r="H7454">
        <v>2</v>
      </c>
      <c r="I7454">
        <v>2016</v>
      </c>
      <c r="J7454">
        <v>0</v>
      </c>
      <c r="K7454">
        <v>1</v>
      </c>
      <c r="L7454">
        <v>1</v>
      </c>
      <c r="M7454">
        <v>4</v>
      </c>
      <c r="N7454" t="s">
        <v>35</v>
      </c>
      <c r="O7454" t="s">
        <v>32</v>
      </c>
      <c r="P7454">
        <v>10.2636609620222</v>
      </c>
      <c r="Q7454">
        <v>1.06065280002823</v>
      </c>
      <c r="R7454">
        <v>5.1743289393489302</v>
      </c>
      <c r="S7454">
        <v>186</v>
      </c>
      <c r="T7454">
        <v>58</v>
      </c>
      <c r="U7454">
        <v>673.80764988728697</v>
      </c>
      <c r="V7454">
        <v>1.47004777655273E-3</v>
      </c>
      <c r="W7454">
        <v>2169245.32943345</v>
      </c>
      <c r="X7454" t="s">
        <v>40</v>
      </c>
      <c r="Y7454">
        <f>1-369-580-8366</f>
        <v>-9314</v>
      </c>
    </row>
    <row r="7455" spans="1:25" x14ac:dyDescent="0.35">
      <c r="A7455">
        <v>41.754775085474002</v>
      </c>
      <c r="B7455">
        <v>-116.996218121665</v>
      </c>
      <c r="C7455" t="s">
        <v>25</v>
      </c>
      <c r="D7455">
        <v>10.5398358934971</v>
      </c>
      <c r="E7455">
        <v>8</v>
      </c>
      <c r="F7455">
        <v>1406</v>
      </c>
      <c r="G7455">
        <v>5</v>
      </c>
      <c r="H7455">
        <v>2</v>
      </c>
      <c r="I7455">
        <v>2003</v>
      </c>
      <c r="J7455">
        <v>0</v>
      </c>
      <c r="K7455">
        <v>0</v>
      </c>
      <c r="L7455">
        <v>1</v>
      </c>
      <c r="M7455">
        <v>9</v>
      </c>
      <c r="N7455" t="s">
        <v>41</v>
      </c>
      <c r="O7455" t="s">
        <v>27</v>
      </c>
      <c r="P7455">
        <v>11.269753807941299</v>
      </c>
      <c r="Q7455">
        <v>1.39095019200138</v>
      </c>
      <c r="R7455">
        <v>1.2725126036134999</v>
      </c>
      <c r="S7455">
        <v>51</v>
      </c>
      <c r="T7455">
        <v>35</v>
      </c>
      <c r="U7455">
        <v>728.41654276879501</v>
      </c>
      <c r="V7455">
        <v>6.4011379800853396E-3</v>
      </c>
      <c r="W7455">
        <v>1466095.3328853601</v>
      </c>
      <c r="X7455" t="s">
        <v>31</v>
      </c>
      <c r="Y7455">
        <f>1-874-212-8916</f>
        <v>-10001</v>
      </c>
    </row>
    <row r="7456" spans="1:25" x14ac:dyDescent="0.35">
      <c r="A7456">
        <v>39.109473913754499</v>
      </c>
      <c r="B7456">
        <v>-121.439654060604</v>
      </c>
      <c r="C7456" t="s">
        <v>25</v>
      </c>
      <c r="D7456">
        <v>2.85567200320087</v>
      </c>
      <c r="E7456">
        <v>6</v>
      </c>
      <c r="F7456">
        <v>2304</v>
      </c>
      <c r="G7456">
        <v>3</v>
      </c>
      <c r="H7456">
        <v>3</v>
      </c>
      <c r="I7456">
        <v>1953</v>
      </c>
      <c r="J7456">
        <v>1</v>
      </c>
      <c r="K7456">
        <v>0</v>
      </c>
      <c r="L7456">
        <v>1</v>
      </c>
      <c r="M7456">
        <v>2</v>
      </c>
      <c r="N7456" t="s">
        <v>35</v>
      </c>
      <c r="O7456" t="s">
        <v>27</v>
      </c>
      <c r="P7456">
        <v>12.302643542294099</v>
      </c>
      <c r="Q7456">
        <v>0.99618410379979105</v>
      </c>
      <c r="R7456">
        <v>0.60241321814024595</v>
      </c>
      <c r="S7456">
        <v>62</v>
      </c>
      <c r="T7456">
        <v>33</v>
      </c>
      <c r="U7456">
        <v>585.43941814706102</v>
      </c>
      <c r="V7456">
        <v>8.6805555555555497E-4</v>
      </c>
      <c r="W7456">
        <v>1678783.8006617399</v>
      </c>
      <c r="X7456" t="s">
        <v>36</v>
      </c>
      <c r="Y7456">
        <f>1-680-855-5765</f>
        <v>-7299</v>
      </c>
    </row>
    <row r="7457" spans="1:25" x14ac:dyDescent="0.35">
      <c r="A7457">
        <v>37.043847018261303</v>
      </c>
      <c r="B7457">
        <v>-119.508484516454</v>
      </c>
      <c r="C7457" t="s">
        <v>29</v>
      </c>
      <c r="D7457">
        <v>20.788577975857301</v>
      </c>
      <c r="E7457">
        <v>4</v>
      </c>
      <c r="F7457">
        <v>4595</v>
      </c>
      <c r="G7457">
        <v>4</v>
      </c>
      <c r="H7457">
        <v>1</v>
      </c>
      <c r="I7457">
        <v>1966</v>
      </c>
      <c r="J7457">
        <v>0</v>
      </c>
      <c r="K7457">
        <v>1</v>
      </c>
      <c r="L7457">
        <v>0</v>
      </c>
      <c r="M7457">
        <v>10</v>
      </c>
      <c r="N7457" t="s">
        <v>37</v>
      </c>
      <c r="O7457" t="s">
        <v>32</v>
      </c>
      <c r="P7457">
        <v>12.3243528610849</v>
      </c>
      <c r="Q7457">
        <v>0.72934788768095304</v>
      </c>
      <c r="R7457">
        <v>5.0749656982430604</v>
      </c>
      <c r="S7457">
        <v>152</v>
      </c>
      <c r="T7457">
        <v>76</v>
      </c>
      <c r="U7457">
        <v>834.38342932706598</v>
      </c>
      <c r="V7457">
        <v>2.1762785636561398E-3</v>
      </c>
      <c r="W7457">
        <v>4098526.8020893601</v>
      </c>
      <c r="X7457" t="s">
        <v>28</v>
      </c>
      <c r="Y7457">
        <f>1-275-787-6161</f>
        <v>-7222</v>
      </c>
    </row>
    <row r="7458" spans="1:25" x14ac:dyDescent="0.35">
      <c r="A7458">
        <v>40.608651535662098</v>
      </c>
      <c r="B7458">
        <v>-116.497065133831</v>
      </c>
      <c r="C7458" t="s">
        <v>25</v>
      </c>
      <c r="D7458">
        <v>4.6126799591024596</v>
      </c>
      <c r="E7458">
        <v>7</v>
      </c>
      <c r="F7458">
        <v>2476</v>
      </c>
      <c r="G7458">
        <v>4</v>
      </c>
      <c r="H7458">
        <v>1</v>
      </c>
      <c r="I7458">
        <v>1997</v>
      </c>
      <c r="J7458">
        <v>1</v>
      </c>
      <c r="K7458">
        <v>1</v>
      </c>
      <c r="L7458">
        <v>1</v>
      </c>
      <c r="M7458">
        <v>13</v>
      </c>
      <c r="N7458" t="s">
        <v>35</v>
      </c>
      <c r="O7458" t="s">
        <v>30</v>
      </c>
      <c r="P7458">
        <v>12.182843349109399</v>
      </c>
      <c r="Q7458">
        <v>0.51028200781635202</v>
      </c>
      <c r="R7458">
        <v>1.3677546192243299</v>
      </c>
      <c r="S7458">
        <v>151</v>
      </c>
      <c r="T7458">
        <v>79</v>
      </c>
      <c r="U7458">
        <v>843.96479971541703</v>
      </c>
      <c r="V7458">
        <v>5.2504038772213197E-3</v>
      </c>
      <c r="W7458">
        <v>2608113.04133804</v>
      </c>
      <c r="X7458" t="s">
        <v>40</v>
      </c>
      <c r="Y7458">
        <f>1-323-441-4958</f>
        <v>-5721</v>
      </c>
    </row>
    <row r="7459" spans="1:25" x14ac:dyDescent="0.35">
      <c r="A7459">
        <v>36.7813654676306</v>
      </c>
      <c r="B7459">
        <v>-118.545860442848</v>
      </c>
      <c r="C7459" t="s">
        <v>34</v>
      </c>
      <c r="D7459">
        <v>5.8673740314206597</v>
      </c>
      <c r="E7459">
        <v>7</v>
      </c>
      <c r="F7459">
        <v>1552</v>
      </c>
      <c r="G7459">
        <v>5</v>
      </c>
      <c r="H7459">
        <v>1</v>
      </c>
      <c r="I7459">
        <v>1962</v>
      </c>
      <c r="J7459">
        <v>1</v>
      </c>
      <c r="K7459">
        <v>1</v>
      </c>
      <c r="L7459">
        <v>0</v>
      </c>
      <c r="M7459">
        <v>3</v>
      </c>
      <c r="N7459" t="s">
        <v>41</v>
      </c>
      <c r="O7459" t="s">
        <v>27</v>
      </c>
      <c r="P7459">
        <v>5.2977958041873903</v>
      </c>
      <c r="Q7459">
        <v>0.91948530614059698</v>
      </c>
      <c r="R7459">
        <v>8.2650612067458802</v>
      </c>
      <c r="S7459">
        <v>111</v>
      </c>
      <c r="T7459">
        <v>61</v>
      </c>
      <c r="U7459">
        <v>970.93022120417197</v>
      </c>
      <c r="V7459">
        <v>1.93298969072164E-3</v>
      </c>
      <c r="W7459">
        <v>1841584.8926738999</v>
      </c>
      <c r="X7459" t="s">
        <v>36</v>
      </c>
      <c r="Y7459">
        <f>1-430-128-8869</f>
        <v>-9426</v>
      </c>
    </row>
    <row r="7460" spans="1:25" x14ac:dyDescent="0.35">
      <c r="A7460">
        <v>41.853287091670303</v>
      </c>
      <c r="B7460">
        <v>-119.52234835228801</v>
      </c>
      <c r="C7460" t="s">
        <v>34</v>
      </c>
      <c r="D7460">
        <v>42.143745322199898</v>
      </c>
      <c r="E7460">
        <v>5</v>
      </c>
      <c r="F7460">
        <v>501</v>
      </c>
      <c r="G7460">
        <v>3</v>
      </c>
      <c r="H7460">
        <v>2</v>
      </c>
      <c r="I7460">
        <v>1989</v>
      </c>
      <c r="J7460">
        <v>1</v>
      </c>
      <c r="K7460">
        <v>0</v>
      </c>
      <c r="L7460">
        <v>1</v>
      </c>
      <c r="M7460">
        <v>8</v>
      </c>
      <c r="N7460" t="s">
        <v>35</v>
      </c>
      <c r="O7460" t="s">
        <v>30</v>
      </c>
      <c r="P7460">
        <v>4.1702137497371004</v>
      </c>
      <c r="Q7460">
        <v>1.2948133917108899</v>
      </c>
      <c r="R7460">
        <v>3.5664557481194699</v>
      </c>
      <c r="S7460">
        <v>62</v>
      </c>
      <c r="T7460">
        <v>39</v>
      </c>
      <c r="U7460">
        <v>559.72541715051898</v>
      </c>
      <c r="V7460">
        <v>1.5968063872255401E-2</v>
      </c>
      <c r="W7460">
        <v>361291.84649529197</v>
      </c>
      <c r="X7460" t="s">
        <v>36</v>
      </c>
      <c r="Y7460">
        <f>1-231-753-7832</f>
        <v>-8815</v>
      </c>
    </row>
    <row r="7461" spans="1:25" x14ac:dyDescent="0.35">
      <c r="A7461">
        <v>33.888600069657301</v>
      </c>
      <c r="B7461">
        <v>-123.343969883474</v>
      </c>
      <c r="C7461" t="s">
        <v>25</v>
      </c>
      <c r="D7461">
        <v>15.5519581481649</v>
      </c>
      <c r="E7461">
        <v>1</v>
      </c>
      <c r="F7461">
        <v>528</v>
      </c>
      <c r="G7461">
        <v>4</v>
      </c>
      <c r="H7461">
        <v>1</v>
      </c>
      <c r="I7461">
        <v>2005</v>
      </c>
      <c r="J7461">
        <v>0</v>
      </c>
      <c r="K7461">
        <v>1</v>
      </c>
      <c r="L7461">
        <v>0</v>
      </c>
      <c r="M7461">
        <v>13</v>
      </c>
      <c r="N7461" t="s">
        <v>26</v>
      </c>
      <c r="O7461" t="s">
        <v>32</v>
      </c>
      <c r="P7461">
        <v>9.7143232530395203</v>
      </c>
      <c r="Q7461">
        <v>1.3111471570927999</v>
      </c>
      <c r="R7461">
        <v>2.5757538623436198</v>
      </c>
      <c r="S7461">
        <v>32</v>
      </c>
      <c r="T7461">
        <v>54</v>
      </c>
      <c r="U7461">
        <v>217.36974550260501</v>
      </c>
      <c r="V7461">
        <v>2.4621212121212099E-2</v>
      </c>
      <c r="W7461">
        <v>527632.03914298397</v>
      </c>
      <c r="X7461" t="s">
        <v>28</v>
      </c>
      <c r="Y7461">
        <f>1-280-885-2431</f>
        <v>-3595</v>
      </c>
    </row>
    <row r="7462" spans="1:25" x14ac:dyDescent="0.35">
      <c r="A7462">
        <v>38.880509117001097</v>
      </c>
      <c r="B7462">
        <v>-117.233423284125</v>
      </c>
      <c r="C7462" t="s">
        <v>25</v>
      </c>
      <c r="D7462">
        <v>19.604188719598302</v>
      </c>
      <c r="E7462">
        <v>6</v>
      </c>
      <c r="F7462">
        <v>1497</v>
      </c>
      <c r="G7462">
        <v>4</v>
      </c>
      <c r="H7462">
        <v>2</v>
      </c>
      <c r="I7462">
        <v>1961</v>
      </c>
      <c r="J7462">
        <v>0</v>
      </c>
      <c r="K7462">
        <v>0</v>
      </c>
      <c r="L7462">
        <v>0</v>
      </c>
      <c r="M7462">
        <v>13</v>
      </c>
      <c r="N7462" t="s">
        <v>37</v>
      </c>
      <c r="O7462" t="s">
        <v>32</v>
      </c>
      <c r="P7462">
        <v>4.5874686707219796</v>
      </c>
      <c r="Q7462">
        <v>2.1292966382010499</v>
      </c>
      <c r="R7462">
        <v>3.91462292060148</v>
      </c>
      <c r="S7462">
        <v>194</v>
      </c>
      <c r="T7462">
        <v>72</v>
      </c>
      <c r="U7462">
        <v>544.66840791724803</v>
      </c>
      <c r="V7462">
        <v>8.6840347361389399E-3</v>
      </c>
      <c r="W7462">
        <v>1011998.5497270999</v>
      </c>
      <c r="X7462" t="s">
        <v>36</v>
      </c>
      <c r="Y7462">
        <f>1-284-991-5445</f>
        <v>-6719</v>
      </c>
    </row>
    <row r="7463" spans="1:25" x14ac:dyDescent="0.35">
      <c r="A7463">
        <v>35.859237315641401</v>
      </c>
      <c r="B7463">
        <v>-124.002849813308</v>
      </c>
      <c r="C7463" t="s">
        <v>29</v>
      </c>
      <c r="D7463">
        <v>36.101908603008297</v>
      </c>
      <c r="E7463">
        <v>6</v>
      </c>
      <c r="F7463">
        <v>4425</v>
      </c>
      <c r="G7463">
        <v>5</v>
      </c>
      <c r="H7463">
        <v>2</v>
      </c>
      <c r="I7463">
        <v>1980</v>
      </c>
      <c r="J7463">
        <v>0</v>
      </c>
      <c r="K7463">
        <v>0</v>
      </c>
      <c r="L7463">
        <v>1</v>
      </c>
      <c r="M7463">
        <v>4</v>
      </c>
      <c r="N7463" t="s">
        <v>37</v>
      </c>
      <c r="O7463" t="s">
        <v>32</v>
      </c>
      <c r="P7463">
        <v>12.1788061545268</v>
      </c>
      <c r="Q7463">
        <v>1.2896245013905201</v>
      </c>
      <c r="R7463">
        <v>4.0619507632761396</v>
      </c>
      <c r="S7463">
        <v>131</v>
      </c>
      <c r="T7463">
        <v>71</v>
      </c>
      <c r="U7463">
        <v>544.19880644302998</v>
      </c>
      <c r="V7463">
        <v>9.0395480225988699E-4</v>
      </c>
      <c r="W7463">
        <v>2782242.2886626502</v>
      </c>
      <c r="X7463" t="s">
        <v>38</v>
      </c>
      <c r="Y7463">
        <f>1-613-127-4885</f>
        <v>-5624</v>
      </c>
    </row>
    <row r="7464" spans="1:25" x14ac:dyDescent="0.35">
      <c r="A7464">
        <v>34.628607669658301</v>
      </c>
      <c r="B7464">
        <v>-117.495517551411</v>
      </c>
      <c r="C7464" t="s">
        <v>25</v>
      </c>
      <c r="D7464">
        <v>25.537191244297201</v>
      </c>
      <c r="E7464">
        <v>6</v>
      </c>
      <c r="F7464">
        <v>1407</v>
      </c>
      <c r="G7464">
        <v>1</v>
      </c>
      <c r="H7464">
        <v>2</v>
      </c>
      <c r="I7464">
        <v>1974</v>
      </c>
      <c r="J7464">
        <v>1</v>
      </c>
      <c r="K7464">
        <v>0</v>
      </c>
      <c r="L7464">
        <v>0</v>
      </c>
      <c r="M7464">
        <v>9</v>
      </c>
      <c r="N7464" t="s">
        <v>37</v>
      </c>
      <c r="O7464" t="s">
        <v>30</v>
      </c>
      <c r="P7464">
        <v>10.7481412807557</v>
      </c>
      <c r="Q7464">
        <v>1.40564242935567</v>
      </c>
      <c r="R7464">
        <v>5.8043022984664097</v>
      </c>
      <c r="S7464">
        <v>117</v>
      </c>
      <c r="T7464">
        <v>46</v>
      </c>
      <c r="U7464">
        <v>213.77936676295801</v>
      </c>
      <c r="V7464">
        <v>6.3965884861407196E-3</v>
      </c>
      <c r="W7464">
        <v>397339.25016377697</v>
      </c>
      <c r="X7464" t="s">
        <v>31</v>
      </c>
      <c r="Y7464">
        <f>1-988-837-4242</f>
        <v>-6066</v>
      </c>
    </row>
    <row r="7465" spans="1:25" x14ac:dyDescent="0.35">
      <c r="A7465">
        <v>39.7262820554187</v>
      </c>
      <c r="B7465">
        <v>-117.752021907338</v>
      </c>
      <c r="C7465" t="s">
        <v>34</v>
      </c>
      <c r="D7465">
        <v>2.7346530557106101</v>
      </c>
      <c r="E7465">
        <v>5</v>
      </c>
      <c r="F7465">
        <v>4755</v>
      </c>
      <c r="G7465">
        <v>3</v>
      </c>
      <c r="H7465">
        <v>1</v>
      </c>
      <c r="I7465">
        <v>2022</v>
      </c>
      <c r="J7465">
        <v>0</v>
      </c>
      <c r="K7465">
        <v>0</v>
      </c>
      <c r="L7465">
        <v>0</v>
      </c>
      <c r="M7465">
        <v>13</v>
      </c>
      <c r="N7465" t="s">
        <v>37</v>
      </c>
      <c r="O7465" t="s">
        <v>32</v>
      </c>
      <c r="P7465">
        <v>3.5715913361581002</v>
      </c>
      <c r="Q7465">
        <v>1.6111624972851299</v>
      </c>
      <c r="R7465">
        <v>6.4112379349284403</v>
      </c>
      <c r="S7465">
        <v>68</v>
      </c>
      <c r="T7465">
        <v>34</v>
      </c>
      <c r="U7465">
        <v>752.42459298320205</v>
      </c>
      <c r="V7465">
        <v>2.7339642481598301E-3</v>
      </c>
      <c r="W7465">
        <v>3801431.51986189</v>
      </c>
      <c r="X7465" t="s">
        <v>38</v>
      </c>
      <c r="Y7465">
        <f>1-378-348-6215</f>
        <v>-6940</v>
      </c>
    </row>
    <row r="7466" spans="1:25" x14ac:dyDescent="0.35">
      <c r="A7466">
        <v>34.979382592486203</v>
      </c>
      <c r="B7466">
        <v>-119.213210672667</v>
      </c>
      <c r="C7466" t="s">
        <v>34</v>
      </c>
      <c r="D7466">
        <v>27.7739738636567</v>
      </c>
      <c r="E7466">
        <v>0</v>
      </c>
      <c r="F7466">
        <v>2192</v>
      </c>
      <c r="G7466">
        <v>1</v>
      </c>
      <c r="H7466">
        <v>1</v>
      </c>
      <c r="I7466">
        <v>2022</v>
      </c>
      <c r="J7466">
        <v>1</v>
      </c>
      <c r="K7466">
        <v>0</v>
      </c>
      <c r="L7466">
        <v>0</v>
      </c>
      <c r="M7466">
        <v>9</v>
      </c>
      <c r="N7466" t="s">
        <v>41</v>
      </c>
      <c r="O7466" t="s">
        <v>32</v>
      </c>
      <c r="P7466">
        <v>3.2379240815505899</v>
      </c>
      <c r="Q7466">
        <v>2.4135699506192601</v>
      </c>
      <c r="R7466">
        <v>3.1340809186868399</v>
      </c>
      <c r="S7466">
        <v>134</v>
      </c>
      <c r="T7466">
        <v>47</v>
      </c>
      <c r="U7466">
        <v>550.07845318843204</v>
      </c>
      <c r="V7466">
        <v>4.10583941605839E-3</v>
      </c>
      <c r="W7466">
        <v>1315973.34590846</v>
      </c>
      <c r="X7466" t="s">
        <v>33</v>
      </c>
      <c r="Y7466">
        <f>1-816-891-8778</f>
        <v>-10484</v>
      </c>
    </row>
    <row r="7467" spans="1:25" x14ac:dyDescent="0.35">
      <c r="A7467">
        <v>34.190463920935599</v>
      </c>
      <c r="B7467">
        <v>-119.26264358217701</v>
      </c>
      <c r="C7467" t="s">
        <v>29</v>
      </c>
      <c r="D7467">
        <v>44.951173015343898</v>
      </c>
      <c r="E7467">
        <v>0</v>
      </c>
      <c r="F7467">
        <v>4319</v>
      </c>
      <c r="G7467">
        <v>3</v>
      </c>
      <c r="H7467">
        <v>3</v>
      </c>
      <c r="I7467">
        <v>2022</v>
      </c>
      <c r="J7467">
        <v>1</v>
      </c>
      <c r="K7467">
        <v>0</v>
      </c>
      <c r="L7467">
        <v>0</v>
      </c>
      <c r="M7467">
        <v>5</v>
      </c>
      <c r="N7467" t="s">
        <v>37</v>
      </c>
      <c r="O7467" t="s">
        <v>30</v>
      </c>
      <c r="P7467">
        <v>10.5403689412788</v>
      </c>
      <c r="Q7467">
        <v>0.86688283906496899</v>
      </c>
      <c r="R7467">
        <v>2.9808859956568798</v>
      </c>
      <c r="S7467">
        <v>18</v>
      </c>
      <c r="T7467">
        <v>53</v>
      </c>
      <c r="U7467">
        <v>905.45810051345495</v>
      </c>
      <c r="V7467">
        <v>1.1576753878212501E-3</v>
      </c>
      <c r="W7467">
        <v>4240121.17738616</v>
      </c>
      <c r="X7467" t="s">
        <v>28</v>
      </c>
      <c r="Y7467">
        <f>1-208-951-7768</f>
        <v>-8926</v>
      </c>
    </row>
    <row r="7468" spans="1:25" x14ac:dyDescent="0.35">
      <c r="A7468">
        <v>33.233730010438698</v>
      </c>
      <c r="B7468">
        <v>-116.19727002110299</v>
      </c>
      <c r="C7468" t="s">
        <v>34</v>
      </c>
      <c r="D7468">
        <v>30.956555213310398</v>
      </c>
      <c r="E7468">
        <v>5</v>
      </c>
      <c r="F7468">
        <v>811</v>
      </c>
      <c r="G7468">
        <v>1</v>
      </c>
      <c r="H7468">
        <v>1</v>
      </c>
      <c r="I7468">
        <v>1993</v>
      </c>
      <c r="J7468">
        <v>1</v>
      </c>
      <c r="K7468">
        <v>1</v>
      </c>
      <c r="L7468">
        <v>0</v>
      </c>
      <c r="M7468">
        <v>11</v>
      </c>
      <c r="N7468" t="s">
        <v>35</v>
      </c>
      <c r="O7468" t="s">
        <v>27</v>
      </c>
      <c r="P7468">
        <v>7.8974729672628099</v>
      </c>
      <c r="Q7468">
        <v>1.8386491924744299</v>
      </c>
      <c r="R7468">
        <v>2.54705307045455E-2</v>
      </c>
      <c r="S7468">
        <v>152</v>
      </c>
      <c r="T7468">
        <v>33</v>
      </c>
      <c r="U7468">
        <v>939.73293521974495</v>
      </c>
      <c r="V7468">
        <v>1.35635018495684E-2</v>
      </c>
      <c r="W7468">
        <v>1015412.60670803</v>
      </c>
      <c r="X7468" t="s">
        <v>39</v>
      </c>
      <c r="Y7468">
        <f>1-216-579-9302</f>
        <v>-10096</v>
      </c>
    </row>
    <row r="7469" spans="1:25" x14ac:dyDescent="0.35">
      <c r="A7469">
        <v>41.871216408763303</v>
      </c>
      <c r="B7469">
        <v>-115.261311215832</v>
      </c>
      <c r="C7469" t="s">
        <v>25</v>
      </c>
      <c r="D7469">
        <v>40.4435779005142</v>
      </c>
      <c r="E7469">
        <v>2</v>
      </c>
      <c r="F7469">
        <v>717</v>
      </c>
      <c r="G7469">
        <v>4</v>
      </c>
      <c r="H7469">
        <v>3</v>
      </c>
      <c r="I7469">
        <v>1986</v>
      </c>
      <c r="J7469">
        <v>1</v>
      </c>
      <c r="K7469">
        <v>0</v>
      </c>
      <c r="L7469">
        <v>1</v>
      </c>
      <c r="M7469">
        <v>9</v>
      </c>
      <c r="N7469" t="s">
        <v>26</v>
      </c>
      <c r="O7469" t="s">
        <v>30</v>
      </c>
      <c r="P7469">
        <v>2.5422209583050202</v>
      </c>
      <c r="Q7469">
        <v>2.1217772969965001</v>
      </c>
      <c r="R7469">
        <v>7.22645186757976</v>
      </c>
      <c r="S7469">
        <v>177</v>
      </c>
      <c r="T7469">
        <v>71</v>
      </c>
      <c r="U7469">
        <v>443.91933928956001</v>
      </c>
      <c r="V7469">
        <v>1.2552301255230099E-2</v>
      </c>
      <c r="W7469">
        <v>546554.27702446806</v>
      </c>
      <c r="X7469" t="s">
        <v>38</v>
      </c>
      <c r="Y7469">
        <f>1-364-724-1176</f>
        <v>-2263</v>
      </c>
    </row>
    <row r="7470" spans="1:25" x14ac:dyDescent="0.35">
      <c r="A7470">
        <v>36.765839793528698</v>
      </c>
      <c r="B7470">
        <v>-115.7098888469</v>
      </c>
      <c r="C7470" t="s">
        <v>34</v>
      </c>
      <c r="D7470">
        <v>7.7652077300134899</v>
      </c>
      <c r="E7470">
        <v>1</v>
      </c>
      <c r="F7470">
        <v>3718</v>
      </c>
      <c r="G7470">
        <v>2</v>
      </c>
      <c r="H7470">
        <v>2</v>
      </c>
      <c r="I7470">
        <v>1996</v>
      </c>
      <c r="J7470">
        <v>1</v>
      </c>
      <c r="K7470">
        <v>1</v>
      </c>
      <c r="L7470">
        <v>1</v>
      </c>
      <c r="M7470">
        <v>14</v>
      </c>
      <c r="N7470" t="s">
        <v>41</v>
      </c>
      <c r="O7470" t="s">
        <v>27</v>
      </c>
      <c r="P7470">
        <v>11.1134505886259</v>
      </c>
      <c r="Q7470">
        <v>1.1400593452844601</v>
      </c>
      <c r="R7470">
        <v>6.8008131167500103</v>
      </c>
      <c r="S7470">
        <v>26</v>
      </c>
      <c r="T7470">
        <v>56</v>
      </c>
      <c r="U7470">
        <v>257.34158001546098</v>
      </c>
      <c r="V7470">
        <v>3.7654653039268398E-3</v>
      </c>
      <c r="W7470">
        <v>1275136.8373340899</v>
      </c>
      <c r="X7470" t="s">
        <v>43</v>
      </c>
      <c r="Y7470">
        <f>1-571-131-4420</f>
        <v>-5121</v>
      </c>
    </row>
    <row r="7471" spans="1:25" x14ac:dyDescent="0.35">
      <c r="A7471">
        <v>35.588152753804899</v>
      </c>
      <c r="B7471">
        <v>-119.55575697768001</v>
      </c>
      <c r="C7471" t="s">
        <v>25</v>
      </c>
      <c r="D7471">
        <v>14.8192121122489</v>
      </c>
      <c r="E7471">
        <v>5</v>
      </c>
      <c r="F7471">
        <v>2105</v>
      </c>
      <c r="G7471">
        <v>1</v>
      </c>
      <c r="H7471">
        <v>3</v>
      </c>
      <c r="I7471">
        <v>1981</v>
      </c>
      <c r="J7471">
        <v>1</v>
      </c>
      <c r="K7471">
        <v>0</v>
      </c>
      <c r="L7471">
        <v>0</v>
      </c>
      <c r="M7471">
        <v>14</v>
      </c>
      <c r="N7471" t="s">
        <v>41</v>
      </c>
      <c r="O7471" t="s">
        <v>30</v>
      </c>
      <c r="P7471">
        <v>4.3743935728173096</v>
      </c>
      <c r="Q7471">
        <v>1.17425451258539</v>
      </c>
      <c r="R7471">
        <v>9.0019049922195897</v>
      </c>
      <c r="S7471">
        <v>41</v>
      </c>
      <c r="T7471">
        <v>41</v>
      </c>
      <c r="U7471">
        <v>257.20898936753503</v>
      </c>
      <c r="V7471">
        <v>6.6508313539192397E-3</v>
      </c>
      <c r="W7471">
        <v>620551.53310659504</v>
      </c>
      <c r="X7471" t="s">
        <v>36</v>
      </c>
      <c r="Y7471">
        <f>1-771-341-4476</f>
        <v>-5587</v>
      </c>
    </row>
    <row r="7472" spans="1:25" x14ac:dyDescent="0.35">
      <c r="A7472">
        <v>38.6873035249914</v>
      </c>
      <c r="B7472">
        <v>-115.403320714789</v>
      </c>
      <c r="C7472" t="s">
        <v>29</v>
      </c>
      <c r="D7472">
        <v>4.6072445119012899</v>
      </c>
      <c r="E7472">
        <v>2</v>
      </c>
      <c r="F7472">
        <v>2552</v>
      </c>
      <c r="G7472">
        <v>4</v>
      </c>
      <c r="H7472">
        <v>3</v>
      </c>
      <c r="I7472">
        <v>2012</v>
      </c>
      <c r="J7472">
        <v>1</v>
      </c>
      <c r="K7472">
        <v>0</v>
      </c>
      <c r="L7472">
        <v>0</v>
      </c>
      <c r="M7472">
        <v>6</v>
      </c>
      <c r="N7472" t="s">
        <v>26</v>
      </c>
      <c r="O7472" t="s">
        <v>32</v>
      </c>
      <c r="P7472">
        <v>4.5456663953053296</v>
      </c>
      <c r="Q7472">
        <v>2.0502185626260498</v>
      </c>
      <c r="R7472">
        <v>5.2428946291976297</v>
      </c>
      <c r="S7472">
        <v>84</v>
      </c>
      <c r="T7472">
        <v>31</v>
      </c>
      <c r="U7472">
        <v>630.75407666768399</v>
      </c>
      <c r="V7472">
        <v>2.3510971786833801E-3</v>
      </c>
      <c r="W7472">
        <v>2014412.0104472099</v>
      </c>
      <c r="X7472" t="s">
        <v>44</v>
      </c>
      <c r="Y7472">
        <f>1-382-869-2941</f>
        <v>-4191</v>
      </c>
    </row>
    <row r="7473" spans="1:25" x14ac:dyDescent="0.35">
      <c r="A7473">
        <v>35.652402034904703</v>
      </c>
      <c r="B7473">
        <v>-115.116737343021</v>
      </c>
      <c r="C7473" t="s">
        <v>25</v>
      </c>
      <c r="D7473">
        <v>37.253887327952</v>
      </c>
      <c r="E7473">
        <v>5</v>
      </c>
      <c r="F7473">
        <v>990</v>
      </c>
      <c r="G7473">
        <v>5</v>
      </c>
      <c r="H7473">
        <v>3</v>
      </c>
      <c r="I7473">
        <v>1959</v>
      </c>
      <c r="J7473">
        <v>1</v>
      </c>
      <c r="K7473">
        <v>0</v>
      </c>
      <c r="L7473">
        <v>0</v>
      </c>
      <c r="M7473">
        <v>5</v>
      </c>
      <c r="N7473" t="s">
        <v>37</v>
      </c>
      <c r="O7473" t="s">
        <v>32</v>
      </c>
      <c r="P7473">
        <v>8.3135206413336409</v>
      </c>
      <c r="Q7473">
        <v>1.0672793946483401</v>
      </c>
      <c r="R7473">
        <v>9.3890301364072908</v>
      </c>
      <c r="S7473">
        <v>99</v>
      </c>
      <c r="T7473">
        <v>68</v>
      </c>
      <c r="U7473">
        <v>354.82356125538303</v>
      </c>
      <c r="V7473">
        <v>5.0505050505050501E-3</v>
      </c>
      <c r="W7473">
        <v>646556.03610254801</v>
      </c>
      <c r="X7473" t="s">
        <v>31</v>
      </c>
      <c r="Y7473">
        <f>1-565-946-2195</f>
        <v>-3705</v>
      </c>
    </row>
    <row r="7474" spans="1:25" x14ac:dyDescent="0.35">
      <c r="A7474">
        <v>41.290181286601197</v>
      </c>
      <c r="B7474">
        <v>-120.42475377055599</v>
      </c>
      <c r="C7474" t="s">
        <v>25</v>
      </c>
      <c r="D7474">
        <v>23.175975533980999</v>
      </c>
      <c r="E7474">
        <v>8</v>
      </c>
      <c r="F7474">
        <v>2260</v>
      </c>
      <c r="G7474">
        <v>5</v>
      </c>
      <c r="H7474">
        <v>1</v>
      </c>
      <c r="I7474">
        <v>1974</v>
      </c>
      <c r="J7474">
        <v>0</v>
      </c>
      <c r="K7474">
        <v>0</v>
      </c>
      <c r="L7474">
        <v>0</v>
      </c>
      <c r="M7474">
        <v>12</v>
      </c>
      <c r="N7474" t="s">
        <v>26</v>
      </c>
      <c r="O7474" t="s">
        <v>30</v>
      </c>
      <c r="P7474">
        <v>7.8486947214376901</v>
      </c>
      <c r="Q7474">
        <v>1.44485990690958</v>
      </c>
      <c r="R7474">
        <v>9.2431151764390798</v>
      </c>
      <c r="S7474">
        <v>49</v>
      </c>
      <c r="T7474">
        <v>67</v>
      </c>
      <c r="U7474">
        <v>288.899397569359</v>
      </c>
      <c r="V7474">
        <v>5.3097345132743301E-3</v>
      </c>
      <c r="W7474">
        <v>848752.82487868099</v>
      </c>
      <c r="X7474" t="s">
        <v>42</v>
      </c>
      <c r="Y7474">
        <f>1-320-952-1172</f>
        <v>-2443</v>
      </c>
    </row>
    <row r="7475" spans="1:25" x14ac:dyDescent="0.35">
      <c r="A7475">
        <v>41.389698608339202</v>
      </c>
      <c r="B7475">
        <v>-115.573408977322</v>
      </c>
      <c r="C7475" t="s">
        <v>25</v>
      </c>
      <c r="D7475">
        <v>49.7071920731467</v>
      </c>
      <c r="E7475">
        <v>6</v>
      </c>
      <c r="F7475">
        <v>4281</v>
      </c>
      <c r="G7475">
        <v>5</v>
      </c>
      <c r="H7475">
        <v>2</v>
      </c>
      <c r="I7475">
        <v>2004</v>
      </c>
      <c r="J7475">
        <v>0</v>
      </c>
      <c r="K7475">
        <v>0</v>
      </c>
      <c r="L7475">
        <v>0</v>
      </c>
      <c r="M7475">
        <v>8</v>
      </c>
      <c r="N7475" t="s">
        <v>37</v>
      </c>
      <c r="O7475" t="s">
        <v>30</v>
      </c>
      <c r="P7475">
        <v>12.3999568145399</v>
      </c>
      <c r="Q7475">
        <v>2.4981584112515298</v>
      </c>
      <c r="R7475">
        <v>6.6619269045056599</v>
      </c>
      <c r="S7475">
        <v>99</v>
      </c>
      <c r="T7475">
        <v>66</v>
      </c>
      <c r="U7475">
        <v>770.61066259750896</v>
      </c>
      <c r="V7475">
        <v>1.86872226115393E-3</v>
      </c>
      <c r="W7475">
        <v>3635059.39810412</v>
      </c>
      <c r="X7475" t="s">
        <v>31</v>
      </c>
      <c r="Y7475">
        <f>1-293-659-3850</f>
        <v>-4801</v>
      </c>
    </row>
    <row r="7476" spans="1:25" x14ac:dyDescent="0.35">
      <c r="A7476">
        <v>39.070672307985802</v>
      </c>
      <c r="B7476">
        <v>-118.32619232165</v>
      </c>
      <c r="C7476" t="s">
        <v>34</v>
      </c>
      <c r="D7476">
        <v>41.469033397802797</v>
      </c>
      <c r="E7476">
        <v>9</v>
      </c>
      <c r="F7476">
        <v>3249</v>
      </c>
      <c r="G7476">
        <v>2</v>
      </c>
      <c r="H7476">
        <v>3</v>
      </c>
      <c r="I7476">
        <v>2005</v>
      </c>
      <c r="J7476">
        <v>1</v>
      </c>
      <c r="K7476">
        <v>1</v>
      </c>
      <c r="L7476">
        <v>1</v>
      </c>
      <c r="M7476">
        <v>9</v>
      </c>
      <c r="N7476" t="s">
        <v>37</v>
      </c>
      <c r="O7476" t="s">
        <v>30</v>
      </c>
      <c r="P7476">
        <v>4.61758413949849</v>
      </c>
      <c r="Q7476">
        <v>1.91693896773185</v>
      </c>
      <c r="R7476">
        <v>1.34438197708646</v>
      </c>
      <c r="S7476">
        <v>41</v>
      </c>
      <c r="T7476">
        <v>65</v>
      </c>
      <c r="U7476">
        <v>468.55247005441402</v>
      </c>
      <c r="V7476">
        <v>2.77008310249307E-3</v>
      </c>
      <c r="W7476">
        <v>1945914.8065454899</v>
      </c>
      <c r="X7476" t="s">
        <v>44</v>
      </c>
      <c r="Y7476">
        <f>1-234-404-9543</f>
        <v>-10180</v>
      </c>
    </row>
    <row r="7477" spans="1:25" x14ac:dyDescent="0.35">
      <c r="A7477">
        <v>37.738406421162601</v>
      </c>
      <c r="B7477">
        <v>-118.345461119002</v>
      </c>
      <c r="C7477" t="s">
        <v>29</v>
      </c>
      <c r="D7477">
        <v>25.8213458706621</v>
      </c>
      <c r="E7477">
        <v>1</v>
      </c>
      <c r="F7477">
        <v>4631</v>
      </c>
      <c r="G7477">
        <v>2</v>
      </c>
      <c r="H7477">
        <v>3</v>
      </c>
      <c r="I7477">
        <v>2001</v>
      </c>
      <c r="J7477">
        <v>0</v>
      </c>
      <c r="K7477">
        <v>1</v>
      </c>
      <c r="L7477">
        <v>0</v>
      </c>
      <c r="M7477">
        <v>12</v>
      </c>
      <c r="N7477" t="s">
        <v>35</v>
      </c>
      <c r="O7477" t="s">
        <v>32</v>
      </c>
      <c r="P7477">
        <v>6.04905877305311</v>
      </c>
      <c r="Q7477">
        <v>0.679709727174022</v>
      </c>
      <c r="R7477">
        <v>6.7213354785935602</v>
      </c>
      <c r="S7477">
        <v>14</v>
      </c>
      <c r="T7477">
        <v>47</v>
      </c>
      <c r="U7477">
        <v>255.58470012258201</v>
      </c>
      <c r="V7477">
        <v>2.5912329950334699E-3</v>
      </c>
      <c r="W7477">
        <v>1493648.0623801299</v>
      </c>
      <c r="X7477" t="s">
        <v>28</v>
      </c>
      <c r="Y7477">
        <f>1-826-252-4564</f>
        <v>-5641</v>
      </c>
    </row>
    <row r="7478" spans="1:25" x14ac:dyDescent="0.35">
      <c r="A7478">
        <v>40.848572277379702</v>
      </c>
      <c r="B7478">
        <v>-115.951442009197</v>
      </c>
      <c r="C7478" t="s">
        <v>29</v>
      </c>
      <c r="D7478">
        <v>47.925135268122801</v>
      </c>
      <c r="E7478">
        <v>4</v>
      </c>
      <c r="F7478">
        <v>1208</v>
      </c>
      <c r="G7478">
        <v>4</v>
      </c>
      <c r="H7478">
        <v>1</v>
      </c>
      <c r="I7478">
        <v>1961</v>
      </c>
      <c r="J7478">
        <v>1</v>
      </c>
      <c r="K7478">
        <v>0</v>
      </c>
      <c r="L7478">
        <v>0</v>
      </c>
      <c r="M7478">
        <v>7</v>
      </c>
      <c r="N7478" t="s">
        <v>37</v>
      </c>
      <c r="O7478" t="s">
        <v>30</v>
      </c>
      <c r="P7478">
        <v>13.5025260586365</v>
      </c>
      <c r="Q7478">
        <v>1.59166632497372</v>
      </c>
      <c r="R7478">
        <v>4.6819739229037998</v>
      </c>
      <c r="S7478">
        <v>26</v>
      </c>
      <c r="T7478">
        <v>65</v>
      </c>
      <c r="U7478">
        <v>772.41469146395195</v>
      </c>
      <c r="V7478">
        <v>5.7947019867549601E-3</v>
      </c>
      <c r="W7478">
        <v>1132694.3397798201</v>
      </c>
      <c r="X7478" t="s">
        <v>36</v>
      </c>
      <c r="Y7478">
        <f>1-863-676-8098</f>
        <v>-9636</v>
      </c>
    </row>
    <row r="7479" spans="1:25" x14ac:dyDescent="0.35">
      <c r="A7479">
        <v>36.256763791162797</v>
      </c>
      <c r="B7479">
        <v>-115.100738156357</v>
      </c>
      <c r="C7479" t="s">
        <v>29</v>
      </c>
      <c r="D7479">
        <v>15.0157759572693</v>
      </c>
      <c r="E7479">
        <v>4</v>
      </c>
      <c r="F7479">
        <v>2112</v>
      </c>
      <c r="G7479">
        <v>5</v>
      </c>
      <c r="H7479">
        <v>3</v>
      </c>
      <c r="I7479">
        <v>2014</v>
      </c>
      <c r="J7479">
        <v>0</v>
      </c>
      <c r="K7479">
        <v>0</v>
      </c>
      <c r="L7479">
        <v>0</v>
      </c>
      <c r="M7479">
        <v>5</v>
      </c>
      <c r="N7479" t="s">
        <v>35</v>
      </c>
      <c r="O7479" t="s">
        <v>32</v>
      </c>
      <c r="P7479">
        <v>8.7247478040883593</v>
      </c>
      <c r="Q7479">
        <v>2.3436838465098702</v>
      </c>
      <c r="R7479">
        <v>0.95248489016040805</v>
      </c>
      <c r="S7479">
        <v>14</v>
      </c>
      <c r="T7479">
        <v>55</v>
      </c>
      <c r="U7479">
        <v>391.28807952103301</v>
      </c>
      <c r="V7479">
        <v>2.3674242424242399E-3</v>
      </c>
      <c r="W7479">
        <v>1275483.2937445601</v>
      </c>
      <c r="X7479" t="s">
        <v>42</v>
      </c>
      <c r="Y7479">
        <f>1-576-567-9063</f>
        <v>-10205</v>
      </c>
    </row>
    <row r="7480" spans="1:25" x14ac:dyDescent="0.35">
      <c r="A7480">
        <v>38.292206538660501</v>
      </c>
      <c r="B7480">
        <v>-115.674599020087</v>
      </c>
      <c r="C7480" t="s">
        <v>25</v>
      </c>
      <c r="D7480">
        <v>30.138262710695599</v>
      </c>
      <c r="E7480">
        <v>9</v>
      </c>
      <c r="F7480">
        <v>3494</v>
      </c>
      <c r="G7480">
        <v>4</v>
      </c>
      <c r="H7480">
        <v>2</v>
      </c>
      <c r="I7480">
        <v>1959</v>
      </c>
      <c r="J7480">
        <v>0</v>
      </c>
      <c r="K7480">
        <v>1</v>
      </c>
      <c r="L7480">
        <v>1</v>
      </c>
      <c r="M7480">
        <v>5</v>
      </c>
      <c r="N7480" t="s">
        <v>26</v>
      </c>
      <c r="O7480" t="s">
        <v>30</v>
      </c>
      <c r="P7480">
        <v>13.9236212115295</v>
      </c>
      <c r="Q7480">
        <v>1.23609748145429</v>
      </c>
      <c r="R7480">
        <v>9.2980934946714502</v>
      </c>
      <c r="S7480">
        <v>169</v>
      </c>
      <c r="T7480">
        <v>48</v>
      </c>
      <c r="U7480">
        <v>382.55970001997503</v>
      </c>
      <c r="V7480">
        <v>1.43102461362335E-3</v>
      </c>
      <c r="W7480">
        <v>1699597.1451321701</v>
      </c>
      <c r="X7480" t="s">
        <v>28</v>
      </c>
      <c r="Y7480">
        <f>1-508-747-1602</f>
        <v>-2856</v>
      </c>
    </row>
    <row r="7481" spans="1:25" x14ac:dyDescent="0.35">
      <c r="A7481">
        <v>39.186228520100101</v>
      </c>
      <c r="B7481">
        <v>-117.562327243458</v>
      </c>
      <c r="C7481" t="s">
        <v>29</v>
      </c>
      <c r="D7481">
        <v>24.2440005719249</v>
      </c>
      <c r="E7481">
        <v>5</v>
      </c>
      <c r="F7481">
        <v>2641</v>
      </c>
      <c r="G7481">
        <v>3</v>
      </c>
      <c r="H7481">
        <v>3</v>
      </c>
      <c r="I7481">
        <v>1993</v>
      </c>
      <c r="J7481">
        <v>0</v>
      </c>
      <c r="K7481">
        <v>0</v>
      </c>
      <c r="L7481">
        <v>0</v>
      </c>
      <c r="M7481">
        <v>12</v>
      </c>
      <c r="N7481" t="s">
        <v>26</v>
      </c>
      <c r="O7481" t="s">
        <v>27</v>
      </c>
      <c r="P7481">
        <v>4.8362775357911199</v>
      </c>
      <c r="Q7481">
        <v>0.63658320191069295</v>
      </c>
      <c r="R7481">
        <v>0.707463841099508</v>
      </c>
      <c r="S7481">
        <v>32</v>
      </c>
      <c r="T7481">
        <v>32</v>
      </c>
      <c r="U7481">
        <v>426.33983015079701</v>
      </c>
      <c r="V7481">
        <v>4.5437334343051798E-3</v>
      </c>
      <c r="W7481">
        <v>1314291.4994300001</v>
      </c>
      <c r="X7481" t="s">
        <v>31</v>
      </c>
      <c r="Y7481">
        <f>1-238-226-8420</f>
        <v>-8883</v>
      </c>
    </row>
    <row r="7482" spans="1:25" x14ac:dyDescent="0.35">
      <c r="A7482">
        <v>32.684782374378997</v>
      </c>
      <c r="B7482">
        <v>-114.628561599232</v>
      </c>
      <c r="C7482" t="s">
        <v>25</v>
      </c>
      <c r="D7482">
        <v>49.862323736987001</v>
      </c>
      <c r="E7482">
        <v>0</v>
      </c>
      <c r="F7482">
        <v>1199</v>
      </c>
      <c r="G7482">
        <v>2</v>
      </c>
      <c r="H7482">
        <v>3</v>
      </c>
      <c r="I7482">
        <v>1973</v>
      </c>
      <c r="J7482">
        <v>1</v>
      </c>
      <c r="K7482">
        <v>0</v>
      </c>
      <c r="L7482">
        <v>1</v>
      </c>
      <c r="M7482">
        <v>12</v>
      </c>
      <c r="N7482" t="s">
        <v>37</v>
      </c>
      <c r="O7482" t="s">
        <v>32</v>
      </c>
      <c r="P7482">
        <v>11.5656391216844</v>
      </c>
      <c r="Q7482">
        <v>0.68269858925775395</v>
      </c>
      <c r="R7482">
        <v>6.5006812274969397</v>
      </c>
      <c r="S7482">
        <v>197</v>
      </c>
      <c r="T7482">
        <v>32</v>
      </c>
      <c r="U7482">
        <v>272.19979783050098</v>
      </c>
      <c r="V7482">
        <v>1.0008340283569599E-2</v>
      </c>
      <c r="W7482">
        <v>541151.52757265803</v>
      </c>
      <c r="X7482" t="s">
        <v>33</v>
      </c>
      <c r="Y7482">
        <f>1-569-727-6899</f>
        <v>-8194</v>
      </c>
    </row>
    <row r="7483" spans="1:25" x14ac:dyDescent="0.35">
      <c r="A7483">
        <v>37.537760486491699</v>
      </c>
      <c r="B7483">
        <v>-119.26244172688</v>
      </c>
      <c r="C7483" t="s">
        <v>29</v>
      </c>
      <c r="D7483">
        <v>11.0558190810568</v>
      </c>
      <c r="E7483">
        <v>0</v>
      </c>
      <c r="F7483">
        <v>1429</v>
      </c>
      <c r="G7483">
        <v>5</v>
      </c>
      <c r="H7483">
        <v>1</v>
      </c>
      <c r="I7483">
        <v>1988</v>
      </c>
      <c r="J7483">
        <v>1</v>
      </c>
      <c r="K7483">
        <v>1</v>
      </c>
      <c r="L7483">
        <v>1</v>
      </c>
      <c r="M7483">
        <v>13</v>
      </c>
      <c r="N7483" t="s">
        <v>26</v>
      </c>
      <c r="O7483" t="s">
        <v>30</v>
      </c>
      <c r="P7483">
        <v>14.110432062232601</v>
      </c>
      <c r="Q7483">
        <v>1.29061609401752</v>
      </c>
      <c r="R7483">
        <v>1.7741192189413499</v>
      </c>
      <c r="S7483">
        <v>27</v>
      </c>
      <c r="T7483">
        <v>46</v>
      </c>
      <c r="U7483">
        <v>215.91876067959299</v>
      </c>
      <c r="V7483">
        <v>9.0972708187543692E-3</v>
      </c>
      <c r="W7483">
        <v>813140.37920498103</v>
      </c>
      <c r="X7483" t="s">
        <v>43</v>
      </c>
      <c r="Y7483">
        <f>1-410-444-2017</f>
        <v>-2870</v>
      </c>
    </row>
    <row r="7484" spans="1:25" x14ac:dyDescent="0.35">
      <c r="A7484">
        <v>32.839527819605202</v>
      </c>
      <c r="B7484">
        <v>-121.62910641156699</v>
      </c>
      <c r="C7484" t="s">
        <v>29</v>
      </c>
      <c r="D7484">
        <v>42.008746827512901</v>
      </c>
      <c r="E7484">
        <v>4</v>
      </c>
      <c r="F7484">
        <v>1576</v>
      </c>
      <c r="G7484">
        <v>3</v>
      </c>
      <c r="H7484">
        <v>1</v>
      </c>
      <c r="I7484">
        <v>2021</v>
      </c>
      <c r="J7484">
        <v>0</v>
      </c>
      <c r="K7484">
        <v>1</v>
      </c>
      <c r="L7484">
        <v>1</v>
      </c>
      <c r="M7484">
        <v>14</v>
      </c>
      <c r="N7484" t="s">
        <v>37</v>
      </c>
      <c r="O7484" t="s">
        <v>30</v>
      </c>
      <c r="P7484">
        <v>2.96335132770339</v>
      </c>
      <c r="Q7484">
        <v>2.3285980548626299</v>
      </c>
      <c r="R7484">
        <v>9.6065779481135891</v>
      </c>
      <c r="S7484">
        <v>115</v>
      </c>
      <c r="T7484">
        <v>76</v>
      </c>
      <c r="U7484">
        <v>284.56999264475002</v>
      </c>
      <c r="V7484">
        <v>8.8832487309644607E-3</v>
      </c>
      <c r="W7484">
        <v>665313.88522383198</v>
      </c>
      <c r="X7484" t="s">
        <v>38</v>
      </c>
      <c r="Y7484">
        <f>1-387-888-6519</f>
        <v>-7793</v>
      </c>
    </row>
    <row r="7485" spans="1:25" x14ac:dyDescent="0.35">
      <c r="A7485">
        <v>36.510096388885799</v>
      </c>
      <c r="B7485">
        <v>-124.47530878953</v>
      </c>
      <c r="C7485" t="s">
        <v>25</v>
      </c>
      <c r="D7485">
        <v>30.902637795598601</v>
      </c>
      <c r="E7485">
        <v>1</v>
      </c>
      <c r="F7485">
        <v>3113</v>
      </c>
      <c r="G7485">
        <v>1</v>
      </c>
      <c r="H7485">
        <v>3</v>
      </c>
      <c r="I7485">
        <v>1961</v>
      </c>
      <c r="J7485">
        <v>0</v>
      </c>
      <c r="K7485">
        <v>0</v>
      </c>
      <c r="L7485">
        <v>1</v>
      </c>
      <c r="M7485">
        <v>6</v>
      </c>
      <c r="N7485" t="s">
        <v>41</v>
      </c>
      <c r="O7485" t="s">
        <v>32</v>
      </c>
      <c r="P7485">
        <v>4.8406287391315397</v>
      </c>
      <c r="Q7485">
        <v>1.20182266687568</v>
      </c>
      <c r="R7485">
        <v>3.2001599442370701</v>
      </c>
      <c r="S7485">
        <v>2</v>
      </c>
      <c r="T7485">
        <v>72</v>
      </c>
      <c r="U7485">
        <v>907.67990754935897</v>
      </c>
      <c r="V7485">
        <v>1.9274012206874299E-3</v>
      </c>
      <c r="W7485">
        <v>2948137.0795096299</v>
      </c>
      <c r="X7485" t="s">
        <v>40</v>
      </c>
      <c r="Y7485">
        <f>1-227-365-3415</f>
        <v>-4006</v>
      </c>
    </row>
    <row r="7486" spans="1:25" x14ac:dyDescent="0.35">
      <c r="A7486">
        <v>33.013215286859399</v>
      </c>
      <c r="B7486">
        <v>-118.931827935664</v>
      </c>
      <c r="C7486" t="s">
        <v>29</v>
      </c>
      <c r="D7486">
        <v>42.013259920024701</v>
      </c>
      <c r="E7486">
        <v>0</v>
      </c>
      <c r="F7486">
        <v>1896</v>
      </c>
      <c r="G7486">
        <v>2</v>
      </c>
      <c r="H7486">
        <v>2</v>
      </c>
      <c r="I7486">
        <v>2000</v>
      </c>
      <c r="J7486">
        <v>0</v>
      </c>
      <c r="K7486">
        <v>1</v>
      </c>
      <c r="L7486">
        <v>0</v>
      </c>
      <c r="M7486">
        <v>10</v>
      </c>
      <c r="N7486" t="s">
        <v>35</v>
      </c>
      <c r="O7486" t="s">
        <v>32</v>
      </c>
      <c r="P7486">
        <v>7.8220946843265402</v>
      </c>
      <c r="Q7486">
        <v>2.1962518193111999</v>
      </c>
      <c r="R7486">
        <v>0.18697798358579601</v>
      </c>
      <c r="S7486">
        <v>71</v>
      </c>
      <c r="T7486">
        <v>78</v>
      </c>
      <c r="U7486">
        <v>992.10425388111196</v>
      </c>
      <c r="V7486">
        <v>5.2742616033755203E-3</v>
      </c>
      <c r="W7486">
        <v>2158042.8879512502</v>
      </c>
      <c r="X7486" t="s">
        <v>39</v>
      </c>
      <c r="Y7486">
        <f>1-644-239-6590</f>
        <v>-7472</v>
      </c>
    </row>
    <row r="7487" spans="1:25" x14ac:dyDescent="0.35">
      <c r="A7487">
        <v>36.1138714507426</v>
      </c>
      <c r="B7487">
        <v>-118.976024130822</v>
      </c>
      <c r="C7487" t="s">
        <v>34</v>
      </c>
      <c r="D7487">
        <v>25.4210129934763</v>
      </c>
      <c r="E7487">
        <v>9</v>
      </c>
      <c r="F7487">
        <v>2076</v>
      </c>
      <c r="G7487">
        <v>2</v>
      </c>
      <c r="H7487">
        <v>2</v>
      </c>
      <c r="I7487">
        <v>1994</v>
      </c>
      <c r="J7487">
        <v>0</v>
      </c>
      <c r="K7487">
        <v>0</v>
      </c>
      <c r="L7487">
        <v>0</v>
      </c>
      <c r="M7487">
        <v>6</v>
      </c>
      <c r="N7487" t="s">
        <v>35</v>
      </c>
      <c r="O7487" t="s">
        <v>27</v>
      </c>
      <c r="P7487">
        <v>5.0360665849845399</v>
      </c>
      <c r="Q7487">
        <v>2.2924934838325699</v>
      </c>
      <c r="R7487">
        <v>7.62482313719656</v>
      </c>
      <c r="S7487">
        <v>124</v>
      </c>
      <c r="T7487">
        <v>75</v>
      </c>
      <c r="U7487">
        <v>369.84716104865998</v>
      </c>
      <c r="V7487">
        <v>2.8901734104046198E-3</v>
      </c>
      <c r="W7487">
        <v>911863.01532928098</v>
      </c>
      <c r="X7487" t="s">
        <v>42</v>
      </c>
      <c r="Y7487">
        <f>1-418-889-4180</f>
        <v>-5486</v>
      </c>
    </row>
    <row r="7488" spans="1:25" x14ac:dyDescent="0.35">
      <c r="A7488">
        <v>33.933011723340798</v>
      </c>
      <c r="B7488">
        <v>-116.360281051439</v>
      </c>
      <c r="C7488" t="s">
        <v>29</v>
      </c>
      <c r="D7488">
        <v>39.541407556608199</v>
      </c>
      <c r="E7488">
        <v>8</v>
      </c>
      <c r="F7488">
        <v>669</v>
      </c>
      <c r="G7488">
        <v>1</v>
      </c>
      <c r="H7488">
        <v>3</v>
      </c>
      <c r="I7488">
        <v>1962</v>
      </c>
      <c r="J7488">
        <v>0</v>
      </c>
      <c r="K7488">
        <v>0</v>
      </c>
      <c r="L7488">
        <v>1</v>
      </c>
      <c r="M7488">
        <v>4</v>
      </c>
      <c r="N7488" t="s">
        <v>26</v>
      </c>
      <c r="O7488" t="s">
        <v>30</v>
      </c>
      <c r="P7488">
        <v>8.7219061711687402</v>
      </c>
      <c r="Q7488">
        <v>1.0379001137436099</v>
      </c>
      <c r="R7488">
        <v>4.2747833205794299</v>
      </c>
      <c r="S7488">
        <v>113</v>
      </c>
      <c r="T7488">
        <v>68</v>
      </c>
      <c r="U7488">
        <v>737.48096081082701</v>
      </c>
      <c r="V7488">
        <v>5.9790732436472297E-3</v>
      </c>
      <c r="W7488">
        <v>530403.88919174206</v>
      </c>
      <c r="X7488" t="s">
        <v>36</v>
      </c>
      <c r="Y7488">
        <f>1-836-764-5461</f>
        <v>-7060</v>
      </c>
    </row>
    <row r="7489" spans="1:25" x14ac:dyDescent="0.35">
      <c r="A7489">
        <v>34.938427386966502</v>
      </c>
      <c r="B7489">
        <v>-122.68355548839</v>
      </c>
      <c r="C7489" t="s">
        <v>34</v>
      </c>
      <c r="D7489">
        <v>38.976618411120803</v>
      </c>
      <c r="E7489">
        <v>9</v>
      </c>
      <c r="F7489">
        <v>563</v>
      </c>
      <c r="G7489">
        <v>4</v>
      </c>
      <c r="H7489">
        <v>2</v>
      </c>
      <c r="I7489">
        <v>2000</v>
      </c>
      <c r="J7489">
        <v>0</v>
      </c>
      <c r="K7489">
        <v>1</v>
      </c>
      <c r="L7489">
        <v>1</v>
      </c>
      <c r="M7489">
        <v>3</v>
      </c>
      <c r="N7489" t="s">
        <v>26</v>
      </c>
      <c r="O7489" t="s">
        <v>32</v>
      </c>
      <c r="P7489">
        <v>12.2619090263728</v>
      </c>
      <c r="Q7489">
        <v>1.5714521564395101</v>
      </c>
      <c r="R7489">
        <v>8.1951876131020995</v>
      </c>
      <c r="S7489">
        <v>74</v>
      </c>
      <c r="T7489">
        <v>21</v>
      </c>
      <c r="U7489">
        <v>360.15748323874999</v>
      </c>
      <c r="V7489">
        <v>5.3285968028419098E-3</v>
      </c>
      <c r="W7489">
        <v>569264.07445056899</v>
      </c>
      <c r="X7489" t="s">
        <v>38</v>
      </c>
      <c r="Y7489">
        <f>1-204-342-7530</f>
        <v>-8075</v>
      </c>
    </row>
    <row r="7490" spans="1:25" x14ac:dyDescent="0.35">
      <c r="A7490">
        <v>34.263875852754197</v>
      </c>
      <c r="B7490">
        <v>-114.81295414744299</v>
      </c>
      <c r="C7490" t="s">
        <v>34</v>
      </c>
      <c r="D7490">
        <v>15.148540716770199</v>
      </c>
      <c r="E7490">
        <v>0</v>
      </c>
      <c r="F7490">
        <v>3017</v>
      </c>
      <c r="G7490">
        <v>5</v>
      </c>
      <c r="H7490">
        <v>2</v>
      </c>
      <c r="I7490">
        <v>1986</v>
      </c>
      <c r="J7490">
        <v>0</v>
      </c>
      <c r="K7490">
        <v>1</v>
      </c>
      <c r="L7490">
        <v>0</v>
      </c>
      <c r="M7490">
        <v>6</v>
      </c>
      <c r="N7490" t="s">
        <v>41</v>
      </c>
      <c r="O7490" t="s">
        <v>32</v>
      </c>
      <c r="P7490">
        <v>3.6383902630271301</v>
      </c>
      <c r="Q7490">
        <v>1.89952227336206</v>
      </c>
      <c r="R7490">
        <v>7.9562554473697897</v>
      </c>
      <c r="S7490">
        <v>63</v>
      </c>
      <c r="T7490">
        <v>25</v>
      </c>
      <c r="U7490">
        <v>333.25765354378899</v>
      </c>
      <c r="V7490">
        <v>1.9887305270135801E-3</v>
      </c>
      <c r="W7490">
        <v>1425604.09160307</v>
      </c>
      <c r="X7490" t="s">
        <v>43</v>
      </c>
      <c r="Y7490">
        <f>1-570-704-2858</f>
        <v>-4131</v>
      </c>
    </row>
    <row r="7491" spans="1:25" x14ac:dyDescent="0.35">
      <c r="A7491">
        <v>41.897122279144099</v>
      </c>
      <c r="B7491">
        <v>-121.913922904823</v>
      </c>
      <c r="C7491" t="s">
        <v>34</v>
      </c>
      <c r="D7491">
        <v>40.727169884719402</v>
      </c>
      <c r="E7491">
        <v>0</v>
      </c>
      <c r="F7491">
        <v>2106</v>
      </c>
      <c r="G7491">
        <v>3</v>
      </c>
      <c r="H7491">
        <v>3</v>
      </c>
      <c r="I7491">
        <v>1971</v>
      </c>
      <c r="J7491">
        <v>0</v>
      </c>
      <c r="K7491">
        <v>0</v>
      </c>
      <c r="L7491">
        <v>1</v>
      </c>
      <c r="M7491">
        <v>11</v>
      </c>
      <c r="N7491" t="s">
        <v>26</v>
      </c>
      <c r="O7491" t="s">
        <v>32</v>
      </c>
      <c r="P7491">
        <v>10.624120614077601</v>
      </c>
      <c r="Q7491">
        <v>1.94416110921165</v>
      </c>
      <c r="R7491">
        <v>5.9731715606268896</v>
      </c>
      <c r="S7491">
        <v>84</v>
      </c>
      <c r="T7491">
        <v>69</v>
      </c>
      <c r="U7491">
        <v>956.05316511081696</v>
      </c>
      <c r="V7491">
        <v>5.2231718898385496E-3</v>
      </c>
      <c r="W7491">
        <v>2277963.8632075302</v>
      </c>
      <c r="X7491" t="s">
        <v>38</v>
      </c>
      <c r="Y7491">
        <f>1-841-921-1628</f>
        <v>-3389</v>
      </c>
    </row>
    <row r="7492" spans="1:25" x14ac:dyDescent="0.35">
      <c r="A7492">
        <v>33.103135299246603</v>
      </c>
      <c r="B7492">
        <v>-122.85458558506301</v>
      </c>
      <c r="C7492" t="s">
        <v>25</v>
      </c>
      <c r="D7492">
        <v>41.379292184210101</v>
      </c>
      <c r="E7492">
        <v>5</v>
      </c>
      <c r="F7492">
        <v>4377</v>
      </c>
      <c r="G7492">
        <v>5</v>
      </c>
      <c r="H7492">
        <v>2</v>
      </c>
      <c r="I7492">
        <v>1986</v>
      </c>
      <c r="J7492">
        <v>0</v>
      </c>
      <c r="K7492">
        <v>1</v>
      </c>
      <c r="L7492">
        <v>0</v>
      </c>
      <c r="M7492">
        <v>10</v>
      </c>
      <c r="N7492" t="s">
        <v>26</v>
      </c>
      <c r="O7492" t="s">
        <v>32</v>
      </c>
      <c r="P7492">
        <v>9.3082258143437109</v>
      </c>
      <c r="Q7492">
        <v>1.3736009427379601</v>
      </c>
      <c r="R7492">
        <v>8.1898092941001899</v>
      </c>
      <c r="S7492">
        <v>2</v>
      </c>
      <c r="T7492">
        <v>38</v>
      </c>
      <c r="U7492">
        <v>806.92538528000205</v>
      </c>
      <c r="V7492">
        <v>2.2846698652044702E-3</v>
      </c>
      <c r="W7492">
        <v>4038060.7233076901</v>
      </c>
      <c r="X7492" t="s">
        <v>44</v>
      </c>
      <c r="Y7492">
        <f>1-226-513-5850</f>
        <v>-6588</v>
      </c>
    </row>
    <row r="7493" spans="1:25" x14ac:dyDescent="0.35">
      <c r="A7493">
        <v>33.611205953555299</v>
      </c>
      <c r="B7493">
        <v>-114.79007368948901</v>
      </c>
      <c r="C7493" t="s">
        <v>29</v>
      </c>
      <c r="D7493">
        <v>38.110139754031401</v>
      </c>
      <c r="E7493">
        <v>9</v>
      </c>
      <c r="F7493">
        <v>2939</v>
      </c>
      <c r="G7493">
        <v>5</v>
      </c>
      <c r="H7493">
        <v>1</v>
      </c>
      <c r="I7493">
        <v>1976</v>
      </c>
      <c r="J7493">
        <v>1</v>
      </c>
      <c r="K7493">
        <v>0</v>
      </c>
      <c r="L7493">
        <v>1</v>
      </c>
      <c r="M7493">
        <v>13</v>
      </c>
      <c r="N7493" t="s">
        <v>37</v>
      </c>
      <c r="O7493" t="s">
        <v>27</v>
      </c>
      <c r="P7493">
        <v>12.9670872691773</v>
      </c>
      <c r="Q7493">
        <v>2.1185170913561699</v>
      </c>
      <c r="R7493">
        <v>5.57658297156153</v>
      </c>
      <c r="S7493">
        <v>1</v>
      </c>
      <c r="T7493">
        <v>75</v>
      </c>
      <c r="U7493">
        <v>743.01620338304201</v>
      </c>
      <c r="V7493">
        <v>4.4232732221844099E-3</v>
      </c>
      <c r="W7493">
        <v>2619448.80549664</v>
      </c>
      <c r="X7493" t="s">
        <v>42</v>
      </c>
      <c r="Y7493">
        <f>1-939-990-8650</f>
        <v>-10578</v>
      </c>
    </row>
    <row r="7494" spans="1:25" x14ac:dyDescent="0.35">
      <c r="A7494">
        <v>41.104707968213603</v>
      </c>
      <c r="B7494">
        <v>-115.553434427767</v>
      </c>
      <c r="C7494" t="s">
        <v>25</v>
      </c>
      <c r="D7494">
        <v>24.506764804232699</v>
      </c>
      <c r="E7494">
        <v>7</v>
      </c>
      <c r="F7494">
        <v>2378</v>
      </c>
      <c r="G7494">
        <v>3</v>
      </c>
      <c r="H7494">
        <v>2</v>
      </c>
      <c r="I7494">
        <v>1952</v>
      </c>
      <c r="J7494">
        <v>1</v>
      </c>
      <c r="K7494">
        <v>1</v>
      </c>
      <c r="L7494">
        <v>0</v>
      </c>
      <c r="M7494">
        <v>11</v>
      </c>
      <c r="N7494" t="s">
        <v>41</v>
      </c>
      <c r="O7494" t="s">
        <v>30</v>
      </c>
      <c r="P7494">
        <v>13.375570823953099</v>
      </c>
      <c r="Q7494">
        <v>1.51859080587333</v>
      </c>
      <c r="R7494">
        <v>9.82815770467022</v>
      </c>
      <c r="S7494">
        <v>23</v>
      </c>
      <c r="T7494">
        <v>31</v>
      </c>
      <c r="U7494">
        <v>470.99965293643999</v>
      </c>
      <c r="V7494">
        <v>4.6257359125315301E-3</v>
      </c>
      <c r="W7494">
        <v>1464696.13549873</v>
      </c>
      <c r="X7494" t="s">
        <v>36</v>
      </c>
      <c r="Y7494">
        <f>1-937-633-5634</f>
        <v>-7203</v>
      </c>
    </row>
    <row r="7495" spans="1:25" x14ac:dyDescent="0.35">
      <c r="A7495">
        <v>33.513915460803098</v>
      </c>
      <c r="B7495">
        <v>-114.35075478091601</v>
      </c>
      <c r="C7495" t="s">
        <v>34</v>
      </c>
      <c r="D7495">
        <v>10.581784807939099</v>
      </c>
      <c r="E7495">
        <v>4</v>
      </c>
      <c r="F7495">
        <v>4571</v>
      </c>
      <c r="G7495">
        <v>3</v>
      </c>
      <c r="H7495">
        <v>3</v>
      </c>
      <c r="I7495">
        <v>1961</v>
      </c>
      <c r="J7495">
        <v>1</v>
      </c>
      <c r="K7495">
        <v>0</v>
      </c>
      <c r="L7495">
        <v>0</v>
      </c>
      <c r="M7495">
        <v>7</v>
      </c>
      <c r="N7495" t="s">
        <v>35</v>
      </c>
      <c r="O7495" t="s">
        <v>30</v>
      </c>
      <c r="P7495">
        <v>5.4875710981731496</v>
      </c>
      <c r="Q7495">
        <v>0.56687532356603498</v>
      </c>
      <c r="R7495">
        <v>0.75419786006057898</v>
      </c>
      <c r="S7495">
        <v>166</v>
      </c>
      <c r="T7495">
        <v>43</v>
      </c>
      <c r="U7495">
        <v>685.47606386771395</v>
      </c>
      <c r="V7495">
        <v>1.5313935681470099E-3</v>
      </c>
      <c r="W7495">
        <v>3197856.78569273</v>
      </c>
      <c r="X7495" t="s">
        <v>38</v>
      </c>
      <c r="Y7495">
        <f>1-403-465-3303</f>
        <v>-4170</v>
      </c>
    </row>
    <row r="7496" spans="1:25" x14ac:dyDescent="0.35">
      <c r="A7496">
        <v>36.442877527344599</v>
      </c>
      <c r="B7496">
        <v>-114.741153599868</v>
      </c>
      <c r="C7496" t="s">
        <v>25</v>
      </c>
      <c r="D7496">
        <v>49.912136949462301</v>
      </c>
      <c r="E7496">
        <v>2</v>
      </c>
      <c r="F7496">
        <v>817</v>
      </c>
      <c r="G7496">
        <v>3</v>
      </c>
      <c r="H7496">
        <v>3</v>
      </c>
      <c r="I7496">
        <v>1980</v>
      </c>
      <c r="J7496">
        <v>1</v>
      </c>
      <c r="K7496">
        <v>0</v>
      </c>
      <c r="L7496">
        <v>1</v>
      </c>
      <c r="M7496">
        <v>7</v>
      </c>
      <c r="N7496" t="s">
        <v>26</v>
      </c>
      <c r="O7496" t="s">
        <v>30</v>
      </c>
      <c r="P7496">
        <v>13.093636851203801</v>
      </c>
      <c r="Q7496">
        <v>1.9168293572330599</v>
      </c>
      <c r="R7496">
        <v>7.3446497791032099</v>
      </c>
      <c r="S7496">
        <v>148</v>
      </c>
      <c r="T7496">
        <v>41</v>
      </c>
      <c r="U7496">
        <v>607.069333937652</v>
      </c>
      <c r="V7496">
        <v>8.5679314565483399E-3</v>
      </c>
      <c r="W7496">
        <v>774155.01731016499</v>
      </c>
      <c r="X7496" t="s">
        <v>43</v>
      </c>
      <c r="Y7496">
        <f>1-312-839-4392</f>
        <v>-5542</v>
      </c>
    </row>
    <row r="7497" spans="1:25" x14ac:dyDescent="0.35">
      <c r="A7497">
        <v>36.099076790349798</v>
      </c>
      <c r="B7497">
        <v>-115.734954220492</v>
      </c>
      <c r="C7497" t="s">
        <v>25</v>
      </c>
      <c r="D7497">
        <v>23.810280988551</v>
      </c>
      <c r="E7497">
        <v>8</v>
      </c>
      <c r="F7497">
        <v>4584</v>
      </c>
      <c r="G7497">
        <v>5</v>
      </c>
      <c r="H7497">
        <v>2</v>
      </c>
      <c r="I7497">
        <v>2022</v>
      </c>
      <c r="J7497">
        <v>0</v>
      </c>
      <c r="K7497">
        <v>0</v>
      </c>
      <c r="L7497">
        <v>1</v>
      </c>
      <c r="M7497">
        <v>11</v>
      </c>
      <c r="N7497" t="s">
        <v>41</v>
      </c>
      <c r="O7497" t="s">
        <v>32</v>
      </c>
      <c r="P7497">
        <v>7.3187908625013698</v>
      </c>
      <c r="Q7497">
        <v>1.7263830251410199</v>
      </c>
      <c r="R7497">
        <v>1.5969217257312001</v>
      </c>
      <c r="S7497">
        <v>124</v>
      </c>
      <c r="T7497">
        <v>66</v>
      </c>
      <c r="U7497">
        <v>303.526122563721</v>
      </c>
      <c r="V7497">
        <v>2.3996509598603801E-3</v>
      </c>
      <c r="W7497">
        <v>1765030.8892711799</v>
      </c>
      <c r="X7497" t="s">
        <v>43</v>
      </c>
      <c r="Y7497">
        <f>1-744-141-6375</f>
        <v>-7259</v>
      </c>
    </row>
    <row r="7498" spans="1:25" x14ac:dyDescent="0.35">
      <c r="A7498">
        <v>34.532923857042398</v>
      </c>
      <c r="B7498">
        <v>-121.342822464741</v>
      </c>
      <c r="C7498" t="s">
        <v>34</v>
      </c>
      <c r="D7498">
        <v>3.8852488638240601</v>
      </c>
      <c r="E7498">
        <v>9</v>
      </c>
      <c r="F7498">
        <v>2971</v>
      </c>
      <c r="G7498">
        <v>3</v>
      </c>
      <c r="H7498">
        <v>2</v>
      </c>
      <c r="I7498">
        <v>1980</v>
      </c>
      <c r="J7498">
        <v>0</v>
      </c>
      <c r="K7498">
        <v>1</v>
      </c>
      <c r="L7498">
        <v>0</v>
      </c>
      <c r="M7498">
        <v>5</v>
      </c>
      <c r="N7498" t="s">
        <v>41</v>
      </c>
      <c r="O7498" t="s">
        <v>30</v>
      </c>
      <c r="P7498">
        <v>6.0140471784150797</v>
      </c>
      <c r="Q7498">
        <v>2.2525279803843801</v>
      </c>
      <c r="R7498">
        <v>6.0288974700790803</v>
      </c>
      <c r="S7498">
        <v>86</v>
      </c>
      <c r="T7498">
        <v>38</v>
      </c>
      <c r="U7498">
        <v>863.56802719725101</v>
      </c>
      <c r="V7498">
        <v>1.6829350387075001E-3</v>
      </c>
      <c r="W7498">
        <v>2841315.0072010499</v>
      </c>
      <c r="X7498" t="s">
        <v>42</v>
      </c>
      <c r="Y7498">
        <f>1-394-116-1349</f>
        <v>-1858</v>
      </c>
    </row>
    <row r="7499" spans="1:25" x14ac:dyDescent="0.35">
      <c r="A7499">
        <v>40.360991806242602</v>
      </c>
      <c r="B7499">
        <v>-118.702607976133</v>
      </c>
      <c r="C7499" t="s">
        <v>34</v>
      </c>
      <c r="D7499">
        <v>26.306437908425</v>
      </c>
      <c r="E7499">
        <v>0</v>
      </c>
      <c r="F7499">
        <v>2676</v>
      </c>
      <c r="G7499">
        <v>4</v>
      </c>
      <c r="H7499">
        <v>2</v>
      </c>
      <c r="I7499">
        <v>1981</v>
      </c>
      <c r="J7499">
        <v>0</v>
      </c>
      <c r="K7499">
        <v>1</v>
      </c>
      <c r="L7499">
        <v>1</v>
      </c>
      <c r="M7499">
        <v>9</v>
      </c>
      <c r="N7499" t="s">
        <v>35</v>
      </c>
      <c r="O7499" t="s">
        <v>27</v>
      </c>
      <c r="P7499">
        <v>3.9484437442340501</v>
      </c>
      <c r="Q7499">
        <v>2.40313766596348</v>
      </c>
      <c r="R7499">
        <v>7.0405466205431297</v>
      </c>
      <c r="S7499">
        <v>167</v>
      </c>
      <c r="T7499">
        <v>70</v>
      </c>
      <c r="U7499">
        <v>239.291103128825</v>
      </c>
      <c r="V7499">
        <v>3.3632286995515601E-3</v>
      </c>
      <c r="W7499">
        <v>878007.87919265195</v>
      </c>
      <c r="X7499" t="s">
        <v>42</v>
      </c>
      <c r="Y7499">
        <f>1-744-961-4556</f>
        <v>-6260</v>
      </c>
    </row>
    <row r="7500" spans="1:25" x14ac:dyDescent="0.35">
      <c r="A7500">
        <v>33.827614027244003</v>
      </c>
      <c r="B7500">
        <v>-121.216137159261</v>
      </c>
      <c r="C7500" t="s">
        <v>34</v>
      </c>
      <c r="D7500">
        <v>24.3458862150401</v>
      </c>
      <c r="E7500">
        <v>8</v>
      </c>
      <c r="F7500">
        <v>1959</v>
      </c>
      <c r="G7500">
        <v>1</v>
      </c>
      <c r="H7500">
        <v>2</v>
      </c>
      <c r="I7500">
        <v>1995</v>
      </c>
      <c r="J7500">
        <v>1</v>
      </c>
      <c r="K7500">
        <v>1</v>
      </c>
      <c r="L7500">
        <v>1</v>
      </c>
      <c r="M7500">
        <v>2</v>
      </c>
      <c r="N7500" t="s">
        <v>35</v>
      </c>
      <c r="O7500" t="s">
        <v>27</v>
      </c>
      <c r="P7500">
        <v>9.0625481566556605</v>
      </c>
      <c r="Q7500">
        <v>0.55704813459125002</v>
      </c>
      <c r="R7500">
        <v>1.19241244454408</v>
      </c>
      <c r="S7500">
        <v>1</v>
      </c>
      <c r="T7500">
        <v>64</v>
      </c>
      <c r="U7500">
        <v>355.36331878611799</v>
      </c>
      <c r="V7500">
        <v>1.02092904543134E-3</v>
      </c>
      <c r="W7500">
        <v>977921.88270387996</v>
      </c>
      <c r="X7500" t="s">
        <v>44</v>
      </c>
      <c r="Y7500">
        <f>1-873-314-6449</f>
        <v>-7635</v>
      </c>
    </row>
    <row r="7501" spans="1:25" x14ac:dyDescent="0.35">
      <c r="A7501">
        <v>38.917452255607003</v>
      </c>
      <c r="B7501">
        <v>-119.158478067719</v>
      </c>
      <c r="C7501" t="s">
        <v>29</v>
      </c>
      <c r="D7501">
        <v>40.522638548184098</v>
      </c>
      <c r="E7501">
        <v>4</v>
      </c>
      <c r="F7501">
        <v>4189</v>
      </c>
      <c r="G7501">
        <v>1</v>
      </c>
      <c r="H7501">
        <v>2</v>
      </c>
      <c r="I7501">
        <v>2005</v>
      </c>
      <c r="J7501">
        <v>0</v>
      </c>
      <c r="K7501">
        <v>1</v>
      </c>
      <c r="L7501">
        <v>1</v>
      </c>
      <c r="M7501">
        <v>11</v>
      </c>
      <c r="N7501" t="s">
        <v>35</v>
      </c>
      <c r="O7501" t="s">
        <v>30</v>
      </c>
      <c r="P7501">
        <v>8.0570845206823893</v>
      </c>
      <c r="Q7501">
        <v>1.0346846674624499</v>
      </c>
      <c r="R7501">
        <v>1.11601456655607E-2</v>
      </c>
      <c r="S7501">
        <v>160</v>
      </c>
      <c r="T7501">
        <v>38</v>
      </c>
      <c r="U7501">
        <v>713.92719924238395</v>
      </c>
      <c r="V7501">
        <v>2.6259250417760799E-3</v>
      </c>
      <c r="W7501">
        <v>3286650.5382810999</v>
      </c>
      <c r="X7501" t="s">
        <v>28</v>
      </c>
      <c r="Y7501">
        <f>1-434-424-1140</f>
        <v>-1997</v>
      </c>
    </row>
    <row r="7502" spans="1:25" x14ac:dyDescent="0.35">
      <c r="A7502">
        <v>36.803625370652902</v>
      </c>
      <c r="B7502">
        <v>-124.033229669565</v>
      </c>
      <c r="C7502" t="s">
        <v>29</v>
      </c>
      <c r="D7502">
        <v>15.333927540506799</v>
      </c>
      <c r="E7502">
        <v>2</v>
      </c>
      <c r="F7502">
        <v>4179</v>
      </c>
      <c r="G7502">
        <v>2</v>
      </c>
      <c r="H7502">
        <v>1</v>
      </c>
      <c r="I7502">
        <v>2002</v>
      </c>
      <c r="J7502">
        <v>0</v>
      </c>
      <c r="K7502">
        <v>1</v>
      </c>
      <c r="L7502">
        <v>0</v>
      </c>
      <c r="M7502">
        <v>9</v>
      </c>
      <c r="N7502" t="s">
        <v>26</v>
      </c>
      <c r="O7502" t="s">
        <v>27</v>
      </c>
      <c r="P7502">
        <v>9.3418932882520505</v>
      </c>
      <c r="Q7502">
        <v>2.1114418334453702</v>
      </c>
      <c r="R7502">
        <v>6.4908633437452696</v>
      </c>
      <c r="S7502">
        <v>48</v>
      </c>
      <c r="T7502">
        <v>58</v>
      </c>
      <c r="U7502">
        <v>571.01693269778696</v>
      </c>
      <c r="V7502">
        <v>2.1536252692031499E-3</v>
      </c>
      <c r="W7502">
        <v>2684346.79693186</v>
      </c>
      <c r="X7502" t="s">
        <v>40</v>
      </c>
      <c r="Y7502">
        <f>1-745-271-7850</f>
        <v>-8865</v>
      </c>
    </row>
    <row r="7503" spans="1:25" x14ac:dyDescent="0.35">
      <c r="A7503">
        <v>33.804728497536502</v>
      </c>
      <c r="B7503">
        <v>-115.991114971709</v>
      </c>
      <c r="C7503" t="s">
        <v>29</v>
      </c>
      <c r="D7503">
        <v>38.794857052963799</v>
      </c>
      <c r="E7503">
        <v>1</v>
      </c>
      <c r="F7503">
        <v>3829</v>
      </c>
      <c r="G7503">
        <v>1</v>
      </c>
      <c r="H7503">
        <v>1</v>
      </c>
      <c r="I7503">
        <v>1951</v>
      </c>
      <c r="J7503">
        <v>1</v>
      </c>
      <c r="K7503">
        <v>0</v>
      </c>
      <c r="L7503">
        <v>0</v>
      </c>
      <c r="M7503">
        <v>14</v>
      </c>
      <c r="N7503" t="s">
        <v>37</v>
      </c>
      <c r="O7503" t="s">
        <v>32</v>
      </c>
      <c r="P7503">
        <v>12.175854696365599</v>
      </c>
      <c r="Q7503">
        <v>2.0933637608907198</v>
      </c>
      <c r="R7503">
        <v>8.0966240600998294</v>
      </c>
      <c r="S7503">
        <v>92</v>
      </c>
      <c r="T7503">
        <v>51</v>
      </c>
      <c r="U7503">
        <v>488.02899650301202</v>
      </c>
      <c r="V7503">
        <v>3.6563071297989001E-3</v>
      </c>
      <c r="W7503">
        <v>1940431.2563410499</v>
      </c>
      <c r="X7503" t="s">
        <v>42</v>
      </c>
      <c r="Y7503">
        <f>1-960-724-5938</f>
        <v>-7621</v>
      </c>
    </row>
    <row r="7504" spans="1:25" x14ac:dyDescent="0.35">
      <c r="A7504">
        <v>39.503751018933997</v>
      </c>
      <c r="B7504">
        <v>-121.87369420700701</v>
      </c>
      <c r="C7504" t="s">
        <v>34</v>
      </c>
      <c r="D7504">
        <v>20.613961799056799</v>
      </c>
      <c r="E7504">
        <v>1</v>
      </c>
      <c r="F7504">
        <v>2293</v>
      </c>
      <c r="G7504">
        <v>3</v>
      </c>
      <c r="H7504">
        <v>2</v>
      </c>
      <c r="I7504">
        <v>1998</v>
      </c>
      <c r="J7504">
        <v>1</v>
      </c>
      <c r="K7504">
        <v>0</v>
      </c>
      <c r="L7504">
        <v>0</v>
      </c>
      <c r="M7504">
        <v>10</v>
      </c>
      <c r="N7504" t="s">
        <v>26</v>
      </c>
      <c r="O7504" t="s">
        <v>27</v>
      </c>
      <c r="P7504">
        <v>7.03096867677744</v>
      </c>
      <c r="Q7504">
        <v>1.60043443185125</v>
      </c>
      <c r="R7504">
        <v>5.4049717426972697</v>
      </c>
      <c r="S7504">
        <v>128</v>
      </c>
      <c r="T7504">
        <v>53</v>
      </c>
      <c r="U7504">
        <v>320.92335052098599</v>
      </c>
      <c r="V7504">
        <v>4.3610989969472304E-3</v>
      </c>
      <c r="W7504">
        <v>999463.45311947598</v>
      </c>
      <c r="X7504" t="s">
        <v>42</v>
      </c>
      <c r="Y7504">
        <f>1-380-112-6885</f>
        <v>-7376</v>
      </c>
    </row>
    <row r="7505" spans="1:25" x14ac:dyDescent="0.35">
      <c r="A7505">
        <v>40.791034106171203</v>
      </c>
      <c r="B7505">
        <v>-117.626672183362</v>
      </c>
      <c r="C7505" t="s">
        <v>25</v>
      </c>
      <c r="D7505">
        <v>19.289908548524</v>
      </c>
      <c r="E7505">
        <v>6</v>
      </c>
      <c r="F7505">
        <v>3395</v>
      </c>
      <c r="G7505">
        <v>1</v>
      </c>
      <c r="H7505">
        <v>3</v>
      </c>
      <c r="I7505">
        <v>1970</v>
      </c>
      <c r="J7505">
        <v>1</v>
      </c>
      <c r="K7505">
        <v>1</v>
      </c>
      <c r="L7505">
        <v>0</v>
      </c>
      <c r="M7505">
        <v>2</v>
      </c>
      <c r="N7505" t="s">
        <v>37</v>
      </c>
      <c r="O7505" t="s">
        <v>27</v>
      </c>
      <c r="P7505">
        <v>5.7706927205369096</v>
      </c>
      <c r="Q7505">
        <v>0.82202348358959798</v>
      </c>
      <c r="R7505">
        <v>1.18841384217844</v>
      </c>
      <c r="S7505">
        <v>176</v>
      </c>
      <c r="T7505">
        <v>34</v>
      </c>
      <c r="U7505">
        <v>960.21239313580395</v>
      </c>
      <c r="V7505">
        <v>5.8910162002945505E-4</v>
      </c>
      <c r="W7505">
        <v>3407363.2383293202</v>
      </c>
      <c r="X7505" t="s">
        <v>39</v>
      </c>
      <c r="Y7505">
        <f>1-734-584-5518</f>
        <v>-6835</v>
      </c>
    </row>
    <row r="7506" spans="1:25" x14ac:dyDescent="0.35">
      <c r="A7506">
        <v>38.706149026893002</v>
      </c>
      <c r="B7506">
        <v>-122.14679013942499</v>
      </c>
      <c r="C7506" t="s">
        <v>29</v>
      </c>
      <c r="D7506">
        <v>44.790584457310402</v>
      </c>
      <c r="E7506">
        <v>2</v>
      </c>
      <c r="F7506">
        <v>853</v>
      </c>
      <c r="G7506">
        <v>3</v>
      </c>
      <c r="H7506">
        <v>2</v>
      </c>
      <c r="I7506">
        <v>1997</v>
      </c>
      <c r="J7506">
        <v>1</v>
      </c>
      <c r="K7506">
        <v>0</v>
      </c>
      <c r="L7506">
        <v>0</v>
      </c>
      <c r="M7506">
        <v>12</v>
      </c>
      <c r="N7506" t="s">
        <v>41</v>
      </c>
      <c r="O7506" t="s">
        <v>30</v>
      </c>
      <c r="P7506">
        <v>14.5543538067726</v>
      </c>
      <c r="Q7506">
        <v>0.511853627342853</v>
      </c>
      <c r="R7506">
        <v>2.4414072332180701</v>
      </c>
      <c r="S7506">
        <v>190</v>
      </c>
      <c r="T7506">
        <v>45</v>
      </c>
      <c r="U7506">
        <v>496.48356079112398</v>
      </c>
      <c r="V7506">
        <v>1.4067995310668199E-2</v>
      </c>
      <c r="W7506">
        <v>672103.203913745</v>
      </c>
      <c r="X7506" t="s">
        <v>38</v>
      </c>
      <c r="Y7506">
        <f>1-334-197-4448</f>
        <v>-4978</v>
      </c>
    </row>
    <row r="7507" spans="1:25" x14ac:dyDescent="0.35">
      <c r="A7507">
        <v>37.3322800603068</v>
      </c>
      <c r="B7507">
        <v>-117.03737253756501</v>
      </c>
      <c r="C7507" t="s">
        <v>29</v>
      </c>
      <c r="D7507">
        <v>41.491340878276702</v>
      </c>
      <c r="E7507">
        <v>4</v>
      </c>
      <c r="F7507">
        <v>800</v>
      </c>
      <c r="G7507">
        <v>5</v>
      </c>
      <c r="H7507">
        <v>1</v>
      </c>
      <c r="I7507">
        <v>1960</v>
      </c>
      <c r="J7507">
        <v>1</v>
      </c>
      <c r="K7507">
        <v>0</v>
      </c>
      <c r="L7507">
        <v>0</v>
      </c>
      <c r="M7507">
        <v>8</v>
      </c>
      <c r="N7507" t="s">
        <v>37</v>
      </c>
      <c r="O7507" t="s">
        <v>32</v>
      </c>
      <c r="P7507">
        <v>7.07731337059501</v>
      </c>
      <c r="Q7507">
        <v>1.3939078812030401</v>
      </c>
      <c r="R7507">
        <v>0.62846038234109602</v>
      </c>
      <c r="S7507">
        <v>58</v>
      </c>
      <c r="T7507">
        <v>32</v>
      </c>
      <c r="U7507">
        <v>884.90789632433496</v>
      </c>
      <c r="V7507">
        <v>0.01</v>
      </c>
      <c r="W7507">
        <v>891025.90560562396</v>
      </c>
      <c r="X7507" t="s">
        <v>40</v>
      </c>
      <c r="Y7507">
        <f>1-836-251-9736</f>
        <v>-10822</v>
      </c>
    </row>
    <row r="7508" spans="1:25" x14ac:dyDescent="0.35">
      <c r="A7508">
        <v>38.1907702479444</v>
      </c>
      <c r="B7508">
        <v>-116.88644004992901</v>
      </c>
      <c r="C7508" t="s">
        <v>34</v>
      </c>
      <c r="D7508">
        <v>21.552214824282601</v>
      </c>
      <c r="E7508">
        <v>6</v>
      </c>
      <c r="F7508">
        <v>1576</v>
      </c>
      <c r="G7508">
        <v>3</v>
      </c>
      <c r="H7508">
        <v>1</v>
      </c>
      <c r="I7508">
        <v>2006</v>
      </c>
      <c r="J7508">
        <v>0</v>
      </c>
      <c r="K7508">
        <v>0</v>
      </c>
      <c r="L7508">
        <v>0</v>
      </c>
      <c r="M7508">
        <v>13</v>
      </c>
      <c r="N7508" t="s">
        <v>26</v>
      </c>
      <c r="O7508" t="s">
        <v>30</v>
      </c>
      <c r="P7508">
        <v>6.7186372933070997</v>
      </c>
      <c r="Q7508">
        <v>2.2544185791520301</v>
      </c>
      <c r="R7508">
        <v>4.7850876221710701</v>
      </c>
      <c r="S7508">
        <v>148</v>
      </c>
      <c r="T7508">
        <v>57</v>
      </c>
      <c r="U7508">
        <v>246.13174542821099</v>
      </c>
      <c r="V7508">
        <v>8.2487309644670003E-3</v>
      </c>
      <c r="W7508">
        <v>437232.12648744101</v>
      </c>
      <c r="X7508" t="s">
        <v>39</v>
      </c>
      <c r="Y7508">
        <f>1-808-995-5561</f>
        <v>-7363</v>
      </c>
    </row>
    <row r="7509" spans="1:25" x14ac:dyDescent="0.35">
      <c r="A7509">
        <v>41.683992552884497</v>
      </c>
      <c r="B7509">
        <v>-115.290849555897</v>
      </c>
      <c r="C7509" t="s">
        <v>29</v>
      </c>
      <c r="D7509">
        <v>18.145625779848899</v>
      </c>
      <c r="E7509">
        <v>2</v>
      </c>
      <c r="F7509">
        <v>1758</v>
      </c>
      <c r="G7509">
        <v>5</v>
      </c>
      <c r="H7509">
        <v>1</v>
      </c>
      <c r="I7509">
        <v>1965</v>
      </c>
      <c r="J7509">
        <v>1</v>
      </c>
      <c r="K7509">
        <v>1</v>
      </c>
      <c r="L7509">
        <v>0</v>
      </c>
      <c r="M7509">
        <v>6</v>
      </c>
      <c r="N7509" t="s">
        <v>41</v>
      </c>
      <c r="O7509" t="s">
        <v>32</v>
      </c>
      <c r="P7509">
        <v>11.972976307643499</v>
      </c>
      <c r="Q7509">
        <v>1.22591915707175</v>
      </c>
      <c r="R7509">
        <v>5.2011909006725601</v>
      </c>
      <c r="S7509">
        <v>87</v>
      </c>
      <c r="T7509">
        <v>47</v>
      </c>
      <c r="U7509">
        <v>787.853154032867</v>
      </c>
      <c r="V7509">
        <v>3.4129692832764501E-3</v>
      </c>
      <c r="W7509">
        <v>1775733.73691479</v>
      </c>
      <c r="X7509" t="s">
        <v>42</v>
      </c>
      <c r="Y7509">
        <f>1-434-349-1036</f>
        <v>-1818</v>
      </c>
    </row>
    <row r="7510" spans="1:25" x14ac:dyDescent="0.35">
      <c r="A7510">
        <v>36.798136389746098</v>
      </c>
      <c r="B7510">
        <v>-123.26449836362499</v>
      </c>
      <c r="C7510" t="s">
        <v>25</v>
      </c>
      <c r="D7510">
        <v>31.4376766985797</v>
      </c>
      <c r="E7510">
        <v>4</v>
      </c>
      <c r="F7510">
        <v>2686</v>
      </c>
      <c r="G7510">
        <v>5</v>
      </c>
      <c r="H7510">
        <v>3</v>
      </c>
      <c r="I7510">
        <v>1996</v>
      </c>
      <c r="J7510">
        <v>1</v>
      </c>
      <c r="K7510">
        <v>1</v>
      </c>
      <c r="L7510">
        <v>0</v>
      </c>
      <c r="M7510">
        <v>4</v>
      </c>
      <c r="N7510" t="s">
        <v>26</v>
      </c>
      <c r="O7510" t="s">
        <v>30</v>
      </c>
      <c r="P7510">
        <v>10.5720248722482</v>
      </c>
      <c r="Q7510">
        <v>1.6376389144071499</v>
      </c>
      <c r="R7510">
        <v>2.6929143757557199</v>
      </c>
      <c r="S7510">
        <v>107</v>
      </c>
      <c r="T7510">
        <v>20</v>
      </c>
      <c r="U7510">
        <v>255.12934991937999</v>
      </c>
      <c r="V7510">
        <v>1.4892032762472E-3</v>
      </c>
      <c r="W7510">
        <v>1283963.04714878</v>
      </c>
      <c r="X7510" t="s">
        <v>43</v>
      </c>
      <c r="Y7510">
        <f>1-902-151-2044</f>
        <v>-3096</v>
      </c>
    </row>
    <row r="7511" spans="1:25" x14ac:dyDescent="0.35">
      <c r="A7511">
        <v>33.5283477099496</v>
      </c>
      <c r="B7511">
        <v>-119.200739638557</v>
      </c>
      <c r="C7511" t="s">
        <v>25</v>
      </c>
      <c r="D7511">
        <v>40.277116950979703</v>
      </c>
      <c r="E7511">
        <v>1</v>
      </c>
      <c r="F7511">
        <v>2128</v>
      </c>
      <c r="G7511">
        <v>5</v>
      </c>
      <c r="H7511">
        <v>2</v>
      </c>
      <c r="I7511">
        <v>1952</v>
      </c>
      <c r="J7511">
        <v>1</v>
      </c>
      <c r="K7511">
        <v>1</v>
      </c>
      <c r="L7511">
        <v>0</v>
      </c>
      <c r="M7511">
        <v>8</v>
      </c>
      <c r="N7511" t="s">
        <v>37</v>
      </c>
      <c r="O7511" t="s">
        <v>32</v>
      </c>
      <c r="P7511">
        <v>6.1248611789779304</v>
      </c>
      <c r="Q7511">
        <v>1.4262065769449599</v>
      </c>
      <c r="R7511">
        <v>0.78533974904316395</v>
      </c>
      <c r="S7511">
        <v>98</v>
      </c>
      <c r="T7511">
        <v>32</v>
      </c>
      <c r="U7511">
        <v>828.77070233983795</v>
      </c>
      <c r="V7511">
        <v>3.7593984962406E-3</v>
      </c>
      <c r="W7511">
        <v>2102259.2985715899</v>
      </c>
      <c r="X7511" t="s">
        <v>28</v>
      </c>
      <c r="Y7511">
        <f>1-751-880-4447</f>
        <v>-6077</v>
      </c>
    </row>
    <row r="7512" spans="1:25" x14ac:dyDescent="0.35">
      <c r="A7512">
        <v>36.700173821304297</v>
      </c>
      <c r="B7512">
        <v>-119.211200006688</v>
      </c>
      <c r="C7512" t="s">
        <v>29</v>
      </c>
      <c r="D7512">
        <v>43.427404925420298</v>
      </c>
      <c r="E7512">
        <v>2</v>
      </c>
      <c r="F7512">
        <v>3379</v>
      </c>
      <c r="G7512">
        <v>2</v>
      </c>
      <c r="H7512">
        <v>2</v>
      </c>
      <c r="I7512">
        <v>1959</v>
      </c>
      <c r="J7512">
        <v>1</v>
      </c>
      <c r="K7512">
        <v>1</v>
      </c>
      <c r="L7512">
        <v>0</v>
      </c>
      <c r="M7512">
        <v>3</v>
      </c>
      <c r="N7512" t="s">
        <v>26</v>
      </c>
      <c r="O7512" t="s">
        <v>30</v>
      </c>
      <c r="P7512">
        <v>5.5564479076753104</v>
      </c>
      <c r="Q7512">
        <v>2.4903183006551299</v>
      </c>
      <c r="R7512">
        <v>7.6560517597677196</v>
      </c>
      <c r="S7512">
        <v>92</v>
      </c>
      <c r="T7512">
        <v>67</v>
      </c>
      <c r="U7512">
        <v>593.56210879062201</v>
      </c>
      <c r="V7512">
        <v>8.8783663805859698E-4</v>
      </c>
      <c r="W7512">
        <v>2133541.2702685702</v>
      </c>
      <c r="X7512" t="s">
        <v>36</v>
      </c>
      <c r="Y7512">
        <f>1-700-266-1092</f>
        <v>-2057</v>
      </c>
    </row>
    <row r="7513" spans="1:25" x14ac:dyDescent="0.35">
      <c r="A7513">
        <v>39.010804463341401</v>
      </c>
      <c r="B7513">
        <v>-114.822842073449</v>
      </c>
      <c r="C7513" t="s">
        <v>29</v>
      </c>
      <c r="D7513">
        <v>27.849661768509801</v>
      </c>
      <c r="E7513">
        <v>3</v>
      </c>
      <c r="F7513">
        <v>605</v>
      </c>
      <c r="G7513">
        <v>4</v>
      </c>
      <c r="H7513">
        <v>3</v>
      </c>
      <c r="I7513">
        <v>2016</v>
      </c>
      <c r="J7513">
        <v>0</v>
      </c>
      <c r="K7513">
        <v>0</v>
      </c>
      <c r="L7513">
        <v>0</v>
      </c>
      <c r="M7513">
        <v>9</v>
      </c>
      <c r="N7513" t="s">
        <v>37</v>
      </c>
      <c r="O7513" t="s">
        <v>27</v>
      </c>
      <c r="P7513">
        <v>11.9827790413198</v>
      </c>
      <c r="Q7513">
        <v>0.88996529857295803</v>
      </c>
      <c r="R7513">
        <v>2.6394082835377999</v>
      </c>
      <c r="S7513">
        <v>175</v>
      </c>
      <c r="T7513">
        <v>41</v>
      </c>
      <c r="U7513">
        <v>908.00835400965605</v>
      </c>
      <c r="V7513">
        <v>1.48760330578512E-2</v>
      </c>
      <c r="W7513">
        <v>947182.92699104396</v>
      </c>
      <c r="X7513" t="s">
        <v>38</v>
      </c>
      <c r="Y7513">
        <f>1-201-757-4087</f>
        <v>-5044</v>
      </c>
    </row>
    <row r="7514" spans="1:25" x14ac:dyDescent="0.35">
      <c r="A7514">
        <v>36.377848891869299</v>
      </c>
      <c r="B7514">
        <v>-121.372745281108</v>
      </c>
      <c r="C7514" t="s">
        <v>25</v>
      </c>
      <c r="D7514">
        <v>46.845212891521697</v>
      </c>
      <c r="E7514">
        <v>5</v>
      </c>
      <c r="F7514">
        <v>683</v>
      </c>
      <c r="G7514">
        <v>5</v>
      </c>
      <c r="H7514">
        <v>1</v>
      </c>
      <c r="I7514">
        <v>1993</v>
      </c>
      <c r="J7514">
        <v>0</v>
      </c>
      <c r="K7514">
        <v>1</v>
      </c>
      <c r="L7514">
        <v>0</v>
      </c>
      <c r="M7514">
        <v>6</v>
      </c>
      <c r="N7514" t="s">
        <v>37</v>
      </c>
      <c r="O7514" t="s">
        <v>32</v>
      </c>
      <c r="P7514">
        <v>11.8525517519783</v>
      </c>
      <c r="Q7514">
        <v>0.99881909024888904</v>
      </c>
      <c r="R7514">
        <v>1.5515834296384301</v>
      </c>
      <c r="S7514">
        <v>46</v>
      </c>
      <c r="T7514">
        <v>69</v>
      </c>
      <c r="U7514">
        <v>314.65665593729699</v>
      </c>
      <c r="V7514">
        <v>8.7847730600292794E-3</v>
      </c>
      <c r="W7514">
        <v>602101.56576755596</v>
      </c>
      <c r="X7514" t="s">
        <v>33</v>
      </c>
      <c r="Y7514">
        <f>1-792-149-5866</f>
        <v>-6806</v>
      </c>
    </row>
    <row r="7515" spans="1:25" x14ac:dyDescent="0.35">
      <c r="A7515">
        <v>32.5517719525403</v>
      </c>
      <c r="B7515">
        <v>-122.62208754034501</v>
      </c>
      <c r="C7515" t="s">
        <v>29</v>
      </c>
      <c r="D7515">
        <v>15.0160677958358</v>
      </c>
      <c r="E7515">
        <v>9</v>
      </c>
      <c r="F7515">
        <v>3198</v>
      </c>
      <c r="G7515">
        <v>4</v>
      </c>
      <c r="H7515">
        <v>2</v>
      </c>
      <c r="I7515">
        <v>1961</v>
      </c>
      <c r="J7515">
        <v>1</v>
      </c>
      <c r="K7515">
        <v>0</v>
      </c>
      <c r="L7515">
        <v>0</v>
      </c>
      <c r="M7515">
        <v>2</v>
      </c>
      <c r="N7515" t="s">
        <v>37</v>
      </c>
      <c r="O7515" t="s">
        <v>30</v>
      </c>
      <c r="P7515">
        <v>5.5913815635083202</v>
      </c>
      <c r="Q7515">
        <v>2.1423734753281898</v>
      </c>
      <c r="R7515">
        <v>6.1781463740426004</v>
      </c>
      <c r="S7515">
        <v>176</v>
      </c>
      <c r="T7515">
        <v>63</v>
      </c>
      <c r="U7515">
        <v>471.64491965816899</v>
      </c>
      <c r="V7515">
        <v>6.2539086929330799E-4</v>
      </c>
      <c r="W7515">
        <v>1659777.7818035099</v>
      </c>
      <c r="X7515" t="s">
        <v>28</v>
      </c>
      <c r="Y7515">
        <f>1-765-248-9921</f>
        <v>-10933</v>
      </c>
    </row>
    <row r="7516" spans="1:25" x14ac:dyDescent="0.35">
      <c r="A7516">
        <v>36.221330075974699</v>
      </c>
      <c r="B7516">
        <v>-123.63833604059499</v>
      </c>
      <c r="C7516" t="s">
        <v>25</v>
      </c>
      <c r="D7516">
        <v>44.553417662757198</v>
      </c>
      <c r="E7516">
        <v>9</v>
      </c>
      <c r="F7516">
        <v>2486</v>
      </c>
      <c r="G7516">
        <v>3</v>
      </c>
      <c r="H7516">
        <v>2</v>
      </c>
      <c r="I7516">
        <v>1987</v>
      </c>
      <c r="J7516">
        <v>1</v>
      </c>
      <c r="K7516">
        <v>1</v>
      </c>
      <c r="L7516">
        <v>1</v>
      </c>
      <c r="M7516">
        <v>13</v>
      </c>
      <c r="N7516" t="s">
        <v>37</v>
      </c>
      <c r="O7516" t="s">
        <v>32</v>
      </c>
      <c r="P7516">
        <v>4.98827762213417</v>
      </c>
      <c r="Q7516">
        <v>2.0453518605441898</v>
      </c>
      <c r="R7516">
        <v>4.6346300853888804</v>
      </c>
      <c r="S7516">
        <v>21</v>
      </c>
      <c r="T7516">
        <v>54</v>
      </c>
      <c r="U7516">
        <v>564.19449846414898</v>
      </c>
      <c r="V7516">
        <v>5.2292839903459298E-3</v>
      </c>
      <c r="W7516">
        <v>1717723.57789472</v>
      </c>
      <c r="X7516" t="s">
        <v>31</v>
      </c>
      <c r="Y7516">
        <f>1-895-426-3380</f>
        <v>-4700</v>
      </c>
    </row>
    <row r="7517" spans="1:25" x14ac:dyDescent="0.35">
      <c r="A7517">
        <v>34.304309913681898</v>
      </c>
      <c r="B7517">
        <v>-119.585674336672</v>
      </c>
      <c r="C7517" t="s">
        <v>29</v>
      </c>
      <c r="D7517">
        <v>20.951279369633301</v>
      </c>
      <c r="E7517">
        <v>0</v>
      </c>
      <c r="F7517">
        <v>4195</v>
      </c>
      <c r="G7517">
        <v>5</v>
      </c>
      <c r="H7517">
        <v>3</v>
      </c>
      <c r="I7517">
        <v>2000</v>
      </c>
      <c r="J7517">
        <v>1</v>
      </c>
      <c r="K7517">
        <v>0</v>
      </c>
      <c r="L7517">
        <v>0</v>
      </c>
      <c r="M7517">
        <v>12</v>
      </c>
      <c r="N7517" t="s">
        <v>41</v>
      </c>
      <c r="O7517" t="s">
        <v>32</v>
      </c>
      <c r="P7517">
        <v>14.755877499186401</v>
      </c>
      <c r="Q7517">
        <v>1.9512939430431899</v>
      </c>
      <c r="R7517">
        <v>6.8895614354191697</v>
      </c>
      <c r="S7517">
        <v>157</v>
      </c>
      <c r="T7517">
        <v>41</v>
      </c>
      <c r="U7517">
        <v>799.60720005004805</v>
      </c>
      <c r="V7517">
        <v>2.8605482717520801E-3</v>
      </c>
      <c r="W7517">
        <v>3853164.2571570901</v>
      </c>
      <c r="X7517" t="s">
        <v>36</v>
      </c>
      <c r="Y7517">
        <f>1-658-168-8372</f>
        <v>-9197</v>
      </c>
    </row>
    <row r="7518" spans="1:25" x14ac:dyDescent="0.35">
      <c r="A7518">
        <v>36.187822881369101</v>
      </c>
      <c r="B7518">
        <v>-118.57966002862101</v>
      </c>
      <c r="C7518" t="s">
        <v>34</v>
      </c>
      <c r="D7518">
        <v>48.578079133824403</v>
      </c>
      <c r="E7518">
        <v>9</v>
      </c>
      <c r="F7518">
        <v>4231</v>
      </c>
      <c r="G7518">
        <v>3</v>
      </c>
      <c r="H7518">
        <v>2</v>
      </c>
      <c r="I7518">
        <v>2016</v>
      </c>
      <c r="J7518">
        <v>0</v>
      </c>
      <c r="K7518">
        <v>0</v>
      </c>
      <c r="L7518">
        <v>0</v>
      </c>
      <c r="M7518">
        <v>5</v>
      </c>
      <c r="N7518" t="s">
        <v>35</v>
      </c>
      <c r="O7518" t="s">
        <v>32</v>
      </c>
      <c r="P7518">
        <v>8.1722043812696104</v>
      </c>
      <c r="Q7518">
        <v>0.99064480413226097</v>
      </c>
      <c r="R7518">
        <v>4.6791178263697102</v>
      </c>
      <c r="S7518">
        <v>44</v>
      </c>
      <c r="T7518">
        <v>24</v>
      </c>
      <c r="U7518">
        <v>789.64053041484306</v>
      </c>
      <c r="V7518">
        <v>1.1817537225242199E-3</v>
      </c>
      <c r="W7518">
        <v>3544428.7535209898</v>
      </c>
      <c r="X7518" t="s">
        <v>28</v>
      </c>
      <c r="Y7518">
        <f>1-785-967-2994</f>
        <v>-4745</v>
      </c>
    </row>
    <row r="7519" spans="1:25" x14ac:dyDescent="0.35">
      <c r="A7519">
        <v>35.325341057414597</v>
      </c>
      <c r="B7519">
        <v>-117.79813022569201</v>
      </c>
      <c r="C7519" t="s">
        <v>34</v>
      </c>
      <c r="D7519">
        <v>12.622563484257601</v>
      </c>
      <c r="E7519">
        <v>8</v>
      </c>
      <c r="F7519">
        <v>4738</v>
      </c>
      <c r="G7519">
        <v>1</v>
      </c>
      <c r="H7519">
        <v>1</v>
      </c>
      <c r="I7519">
        <v>1966</v>
      </c>
      <c r="J7519">
        <v>0</v>
      </c>
      <c r="K7519">
        <v>1</v>
      </c>
      <c r="L7519">
        <v>1</v>
      </c>
      <c r="M7519">
        <v>9</v>
      </c>
      <c r="N7519" t="s">
        <v>26</v>
      </c>
      <c r="O7519" t="s">
        <v>27</v>
      </c>
      <c r="P7519">
        <v>4.0224260797026803</v>
      </c>
      <c r="Q7519">
        <v>1.44400361590584</v>
      </c>
      <c r="R7519">
        <v>7.5195681516932904</v>
      </c>
      <c r="S7519">
        <v>69</v>
      </c>
      <c r="T7519">
        <v>64</v>
      </c>
      <c r="U7519">
        <v>621.482352933843</v>
      </c>
      <c r="V7519">
        <v>1.89953566905867E-3</v>
      </c>
      <c r="W7519">
        <v>3083517.8561011502</v>
      </c>
      <c r="X7519" t="s">
        <v>44</v>
      </c>
      <c r="Y7519">
        <f>1-415-700-8122</f>
        <v>-9236</v>
      </c>
    </row>
    <row r="7520" spans="1:25" x14ac:dyDescent="0.35">
      <c r="A7520">
        <v>40.924616972076102</v>
      </c>
      <c r="B7520">
        <v>-115.91427087714101</v>
      </c>
      <c r="C7520" t="s">
        <v>29</v>
      </c>
      <c r="D7520">
        <v>2.9538843804358801</v>
      </c>
      <c r="E7520">
        <v>2</v>
      </c>
      <c r="F7520">
        <v>4525</v>
      </c>
      <c r="G7520">
        <v>3</v>
      </c>
      <c r="H7520">
        <v>1</v>
      </c>
      <c r="I7520">
        <v>1994</v>
      </c>
      <c r="J7520">
        <v>1</v>
      </c>
      <c r="K7520">
        <v>1</v>
      </c>
      <c r="L7520">
        <v>0</v>
      </c>
      <c r="M7520">
        <v>11</v>
      </c>
      <c r="N7520" t="s">
        <v>26</v>
      </c>
      <c r="O7520" t="s">
        <v>32</v>
      </c>
      <c r="P7520">
        <v>2.0812109000802299</v>
      </c>
      <c r="Q7520">
        <v>0.89342978781898297</v>
      </c>
      <c r="R7520">
        <v>9.6796562480061592</v>
      </c>
      <c r="S7520">
        <v>117</v>
      </c>
      <c r="T7520">
        <v>57</v>
      </c>
      <c r="U7520">
        <v>315.14479223928498</v>
      </c>
      <c r="V7520">
        <v>2.4309392265193298E-3</v>
      </c>
      <c r="W7520">
        <v>1670683.14311627</v>
      </c>
      <c r="X7520" t="s">
        <v>40</v>
      </c>
      <c r="Y7520">
        <f>1-569-925-8407</f>
        <v>-9900</v>
      </c>
    </row>
    <row r="7521" spans="1:25" x14ac:dyDescent="0.35">
      <c r="A7521">
        <v>37.340849373790597</v>
      </c>
      <c r="B7521">
        <v>-120.486141035234</v>
      </c>
      <c r="C7521" t="s">
        <v>34</v>
      </c>
      <c r="D7521">
        <v>33.2429575104278</v>
      </c>
      <c r="E7521">
        <v>9</v>
      </c>
      <c r="F7521">
        <v>2605</v>
      </c>
      <c r="G7521">
        <v>1</v>
      </c>
      <c r="H7521">
        <v>1</v>
      </c>
      <c r="I7521">
        <v>1997</v>
      </c>
      <c r="J7521">
        <v>0</v>
      </c>
      <c r="K7521">
        <v>1</v>
      </c>
      <c r="L7521">
        <v>0</v>
      </c>
      <c r="M7521">
        <v>2</v>
      </c>
      <c r="N7521" t="s">
        <v>35</v>
      </c>
      <c r="O7521" t="s">
        <v>30</v>
      </c>
      <c r="P7521">
        <v>7.8697969701342796</v>
      </c>
      <c r="Q7521">
        <v>1.08991845642193</v>
      </c>
      <c r="R7521">
        <v>1.02246501404084</v>
      </c>
      <c r="S7521">
        <v>63</v>
      </c>
      <c r="T7521">
        <v>58</v>
      </c>
      <c r="U7521">
        <v>524.29146406710095</v>
      </c>
      <c r="V7521">
        <v>7.6775431861804205E-4</v>
      </c>
      <c r="W7521">
        <v>1569255.83873521</v>
      </c>
      <c r="X7521" t="s">
        <v>39</v>
      </c>
      <c r="Y7521">
        <f>1-712-454-3422</f>
        <v>-4587</v>
      </c>
    </row>
    <row r="7522" spans="1:25" x14ac:dyDescent="0.35">
      <c r="A7522">
        <v>39.106594494098204</v>
      </c>
      <c r="B7522">
        <v>-116.781042842581</v>
      </c>
      <c r="C7522" t="s">
        <v>34</v>
      </c>
      <c r="D7522">
        <v>1.38268062308662</v>
      </c>
      <c r="E7522">
        <v>5</v>
      </c>
      <c r="F7522">
        <v>3800</v>
      </c>
      <c r="G7522">
        <v>3</v>
      </c>
      <c r="H7522">
        <v>3</v>
      </c>
      <c r="I7522">
        <v>2019</v>
      </c>
      <c r="J7522">
        <v>1</v>
      </c>
      <c r="K7522">
        <v>0</v>
      </c>
      <c r="L7522">
        <v>0</v>
      </c>
      <c r="M7522">
        <v>13</v>
      </c>
      <c r="N7522" t="s">
        <v>41</v>
      </c>
      <c r="O7522" t="s">
        <v>32</v>
      </c>
      <c r="P7522">
        <v>8.2251839878506097</v>
      </c>
      <c r="Q7522">
        <v>2.1907292310452799</v>
      </c>
      <c r="R7522">
        <v>2.4803619729459898</v>
      </c>
      <c r="S7522">
        <v>102</v>
      </c>
      <c r="T7522">
        <v>52</v>
      </c>
      <c r="U7522">
        <v>620.41114167556805</v>
      </c>
      <c r="V7522">
        <v>3.4210526315789401E-3</v>
      </c>
      <c r="W7522">
        <v>2769960.6670761299</v>
      </c>
      <c r="X7522" t="s">
        <v>42</v>
      </c>
      <c r="Y7522">
        <f>1-293-403-1690</f>
        <v>-2385</v>
      </c>
    </row>
    <row r="7523" spans="1:25" x14ac:dyDescent="0.35">
      <c r="A7523">
        <v>34.6686144389936</v>
      </c>
      <c r="B7523">
        <v>-121.300632730922</v>
      </c>
      <c r="C7523" t="s">
        <v>25</v>
      </c>
      <c r="D7523">
        <v>29.2027399927983</v>
      </c>
      <c r="E7523">
        <v>9</v>
      </c>
      <c r="F7523">
        <v>4121</v>
      </c>
      <c r="G7523">
        <v>2</v>
      </c>
      <c r="H7523">
        <v>1</v>
      </c>
      <c r="I7523">
        <v>2001</v>
      </c>
      <c r="J7523">
        <v>0</v>
      </c>
      <c r="K7523">
        <v>0</v>
      </c>
      <c r="L7523">
        <v>1</v>
      </c>
      <c r="M7523">
        <v>10</v>
      </c>
      <c r="N7523" t="s">
        <v>41</v>
      </c>
      <c r="O7523" t="s">
        <v>32</v>
      </c>
      <c r="P7523">
        <v>11.483073037326999</v>
      </c>
      <c r="Q7523">
        <v>1.29823332866675</v>
      </c>
      <c r="R7523">
        <v>7.8772218092153103</v>
      </c>
      <c r="S7523">
        <v>84</v>
      </c>
      <c r="T7523">
        <v>68</v>
      </c>
      <c r="U7523">
        <v>283.49553844255797</v>
      </c>
      <c r="V7523">
        <v>2.42659548653239E-3</v>
      </c>
      <c r="W7523">
        <v>1310642.52427857</v>
      </c>
      <c r="X7523" t="s">
        <v>36</v>
      </c>
      <c r="Y7523">
        <f>1-609-473-2000</f>
        <v>-3081</v>
      </c>
    </row>
    <row r="7524" spans="1:25" x14ac:dyDescent="0.35">
      <c r="A7524">
        <v>40.265061551189</v>
      </c>
      <c r="B7524">
        <v>-117.451250200969</v>
      </c>
      <c r="C7524" t="s">
        <v>29</v>
      </c>
      <c r="D7524">
        <v>13.707408755260699</v>
      </c>
      <c r="E7524">
        <v>9</v>
      </c>
      <c r="F7524">
        <v>2536</v>
      </c>
      <c r="G7524">
        <v>4</v>
      </c>
      <c r="H7524">
        <v>2</v>
      </c>
      <c r="I7524">
        <v>2003</v>
      </c>
      <c r="J7524">
        <v>1</v>
      </c>
      <c r="K7524">
        <v>0</v>
      </c>
      <c r="L7524">
        <v>0</v>
      </c>
      <c r="M7524">
        <v>12</v>
      </c>
      <c r="N7524" t="s">
        <v>26</v>
      </c>
      <c r="O7524" t="s">
        <v>30</v>
      </c>
      <c r="P7524">
        <v>12.248722848722901</v>
      </c>
      <c r="Q7524">
        <v>1.78309329941412</v>
      </c>
      <c r="R7524">
        <v>2.2702524699087498</v>
      </c>
      <c r="S7524">
        <v>98</v>
      </c>
      <c r="T7524">
        <v>20</v>
      </c>
      <c r="U7524">
        <v>280.19491510271303</v>
      </c>
      <c r="V7524">
        <v>4.7318611987381704E-3</v>
      </c>
      <c r="W7524">
        <v>1068265.2086628501</v>
      </c>
      <c r="X7524" t="s">
        <v>40</v>
      </c>
      <c r="Y7524">
        <f>1-506-548-4191</f>
        <v>-5244</v>
      </c>
    </row>
    <row r="7525" spans="1:25" x14ac:dyDescent="0.35">
      <c r="A7525">
        <v>33.644200480930898</v>
      </c>
      <c r="B7525">
        <v>-119.146986700052</v>
      </c>
      <c r="C7525" t="s">
        <v>29</v>
      </c>
      <c r="D7525">
        <v>21.092998100128</v>
      </c>
      <c r="E7525">
        <v>2</v>
      </c>
      <c r="F7525">
        <v>3791</v>
      </c>
      <c r="G7525">
        <v>5</v>
      </c>
      <c r="H7525">
        <v>2</v>
      </c>
      <c r="I7525">
        <v>2006</v>
      </c>
      <c r="J7525">
        <v>0</v>
      </c>
      <c r="K7525">
        <v>0</v>
      </c>
      <c r="L7525">
        <v>1</v>
      </c>
      <c r="M7525">
        <v>7</v>
      </c>
      <c r="N7525" t="s">
        <v>37</v>
      </c>
      <c r="O7525" t="s">
        <v>32</v>
      </c>
      <c r="P7525">
        <v>2.0368205019677399</v>
      </c>
      <c r="Q7525">
        <v>0.923808761873538</v>
      </c>
      <c r="R7525">
        <v>5.9565393117505101</v>
      </c>
      <c r="S7525">
        <v>70</v>
      </c>
      <c r="T7525">
        <v>77</v>
      </c>
      <c r="U7525">
        <v>972.37293052167195</v>
      </c>
      <c r="V7525">
        <v>1.84647850171458E-3</v>
      </c>
      <c r="W7525">
        <v>4003730.5315493802</v>
      </c>
      <c r="X7525" t="s">
        <v>42</v>
      </c>
      <c r="Y7525">
        <f>1-659-366-1162</f>
        <v>-2186</v>
      </c>
    </row>
    <row r="7526" spans="1:25" x14ac:dyDescent="0.35">
      <c r="A7526">
        <v>37.715133090014497</v>
      </c>
      <c r="B7526">
        <v>-123.72121573032599</v>
      </c>
      <c r="C7526" t="s">
        <v>34</v>
      </c>
      <c r="D7526">
        <v>29.025433608730999</v>
      </c>
      <c r="E7526">
        <v>4</v>
      </c>
      <c r="F7526">
        <v>2202</v>
      </c>
      <c r="G7526">
        <v>1</v>
      </c>
      <c r="H7526">
        <v>2</v>
      </c>
      <c r="I7526">
        <v>2006</v>
      </c>
      <c r="J7526">
        <v>1</v>
      </c>
      <c r="K7526">
        <v>0</v>
      </c>
      <c r="L7526">
        <v>0</v>
      </c>
      <c r="M7526">
        <v>4</v>
      </c>
      <c r="N7526" t="s">
        <v>35</v>
      </c>
      <c r="O7526" t="s">
        <v>30</v>
      </c>
      <c r="P7526">
        <v>4.8397119972314497</v>
      </c>
      <c r="Q7526">
        <v>1.0094980718785</v>
      </c>
      <c r="R7526">
        <v>7.1140643009725304</v>
      </c>
      <c r="S7526">
        <v>130</v>
      </c>
      <c r="T7526">
        <v>35</v>
      </c>
      <c r="U7526">
        <v>962.84449977818997</v>
      </c>
      <c r="V7526">
        <v>1.81653042688465E-3</v>
      </c>
      <c r="W7526">
        <v>2299845.3596869102</v>
      </c>
      <c r="X7526" t="s">
        <v>42</v>
      </c>
      <c r="Y7526">
        <f>1-261-527-1874</f>
        <v>-2661</v>
      </c>
    </row>
    <row r="7527" spans="1:25" x14ac:dyDescent="0.35">
      <c r="A7527">
        <v>35.936335819023697</v>
      </c>
      <c r="B7527">
        <v>-115.731949532961</v>
      </c>
      <c r="C7527" t="s">
        <v>25</v>
      </c>
      <c r="D7527">
        <v>31.839608880511499</v>
      </c>
      <c r="E7527">
        <v>6</v>
      </c>
      <c r="F7527">
        <v>1913</v>
      </c>
      <c r="G7527">
        <v>4</v>
      </c>
      <c r="H7527">
        <v>2</v>
      </c>
      <c r="I7527">
        <v>1985</v>
      </c>
      <c r="J7527">
        <v>0</v>
      </c>
      <c r="K7527">
        <v>1</v>
      </c>
      <c r="L7527">
        <v>1</v>
      </c>
      <c r="M7527">
        <v>10</v>
      </c>
      <c r="N7527" t="s">
        <v>37</v>
      </c>
      <c r="O7527" t="s">
        <v>27</v>
      </c>
      <c r="P7527">
        <v>12.536732785912999</v>
      </c>
      <c r="Q7527">
        <v>1.1191009372504701</v>
      </c>
      <c r="R7527">
        <v>5.7740050719571299</v>
      </c>
      <c r="S7527">
        <v>35</v>
      </c>
      <c r="T7527">
        <v>62</v>
      </c>
      <c r="U7527">
        <v>384.75663321010899</v>
      </c>
      <c r="V7527">
        <v>5.2273915316257101E-3</v>
      </c>
      <c r="W7527">
        <v>1219651.14031426</v>
      </c>
      <c r="X7527" t="s">
        <v>31</v>
      </c>
      <c r="Y7527">
        <f>1-247-169-2222</f>
        <v>-2637</v>
      </c>
    </row>
    <row r="7528" spans="1:25" x14ac:dyDescent="0.35">
      <c r="A7528">
        <v>39.950126800929297</v>
      </c>
      <c r="B7528">
        <v>-117.38896625468399</v>
      </c>
      <c r="C7528" t="s">
        <v>25</v>
      </c>
      <c r="D7528">
        <v>35.789399370657001</v>
      </c>
      <c r="E7528">
        <v>5</v>
      </c>
      <c r="F7528">
        <v>2160</v>
      </c>
      <c r="G7528">
        <v>3</v>
      </c>
      <c r="H7528">
        <v>3</v>
      </c>
      <c r="I7528">
        <v>1958</v>
      </c>
      <c r="J7528">
        <v>1</v>
      </c>
      <c r="K7528">
        <v>1</v>
      </c>
      <c r="L7528">
        <v>1</v>
      </c>
      <c r="M7528">
        <v>8</v>
      </c>
      <c r="N7528" t="s">
        <v>26</v>
      </c>
      <c r="O7528" t="s">
        <v>27</v>
      </c>
      <c r="P7528">
        <v>13.687397488442601</v>
      </c>
      <c r="Q7528">
        <v>0.55723321786041602</v>
      </c>
      <c r="R7528">
        <v>9.04661532675199</v>
      </c>
      <c r="S7528">
        <v>112</v>
      </c>
      <c r="T7528">
        <v>20</v>
      </c>
      <c r="U7528">
        <v>440.98443617490398</v>
      </c>
      <c r="V7528">
        <v>3.7037037037036999E-3</v>
      </c>
      <c r="W7528">
        <v>1372701.7870984401</v>
      </c>
      <c r="X7528" t="s">
        <v>44</v>
      </c>
      <c r="Y7528">
        <f>1-705-810-8113</f>
        <v>-9627</v>
      </c>
    </row>
    <row r="7529" spans="1:25" x14ac:dyDescent="0.35">
      <c r="A7529">
        <v>41.412769983575302</v>
      </c>
      <c r="B7529">
        <v>-119.238918822027</v>
      </c>
      <c r="C7529" t="s">
        <v>25</v>
      </c>
      <c r="D7529">
        <v>41.843208162568502</v>
      </c>
      <c r="E7529">
        <v>3</v>
      </c>
      <c r="F7529">
        <v>609</v>
      </c>
      <c r="G7529">
        <v>4</v>
      </c>
      <c r="H7529">
        <v>1</v>
      </c>
      <c r="I7529">
        <v>1988</v>
      </c>
      <c r="J7529">
        <v>0</v>
      </c>
      <c r="K7529">
        <v>1</v>
      </c>
      <c r="L7529">
        <v>1</v>
      </c>
      <c r="M7529">
        <v>6</v>
      </c>
      <c r="N7529" t="s">
        <v>41</v>
      </c>
      <c r="O7529" t="s">
        <v>32</v>
      </c>
      <c r="P7529">
        <v>13.525075923296299</v>
      </c>
      <c r="Q7529">
        <v>2.12881905030574</v>
      </c>
      <c r="R7529">
        <v>0.36288048110118898</v>
      </c>
      <c r="S7529">
        <v>46</v>
      </c>
      <c r="T7529">
        <v>28</v>
      </c>
      <c r="U7529">
        <v>457.83228557558601</v>
      </c>
      <c r="V7529">
        <v>9.8522167487684695E-3</v>
      </c>
      <c r="W7529">
        <v>625189.19138966396</v>
      </c>
      <c r="X7529" t="s">
        <v>38</v>
      </c>
      <c r="Y7529">
        <f>1-715-585-8007</f>
        <v>-9306</v>
      </c>
    </row>
    <row r="7530" spans="1:25" x14ac:dyDescent="0.35">
      <c r="A7530">
        <v>41.325429127532701</v>
      </c>
      <c r="B7530">
        <v>-118.729471263626</v>
      </c>
      <c r="C7530" t="s">
        <v>29</v>
      </c>
      <c r="D7530">
        <v>2.80340707828163</v>
      </c>
      <c r="E7530">
        <v>4</v>
      </c>
      <c r="F7530">
        <v>4955</v>
      </c>
      <c r="G7530">
        <v>2</v>
      </c>
      <c r="H7530">
        <v>3</v>
      </c>
      <c r="I7530">
        <v>1985</v>
      </c>
      <c r="J7530">
        <v>0</v>
      </c>
      <c r="K7530">
        <v>0</v>
      </c>
      <c r="L7530">
        <v>0</v>
      </c>
      <c r="M7530">
        <v>6</v>
      </c>
      <c r="N7530" t="s">
        <v>35</v>
      </c>
      <c r="O7530" t="s">
        <v>27</v>
      </c>
      <c r="P7530">
        <v>8.8347379746901993</v>
      </c>
      <c r="Q7530">
        <v>2.39708260685862</v>
      </c>
      <c r="R7530">
        <v>3.5966611327570601</v>
      </c>
      <c r="S7530">
        <v>96</v>
      </c>
      <c r="T7530">
        <v>28</v>
      </c>
      <c r="U7530">
        <v>276.845436865588</v>
      </c>
      <c r="V7530">
        <v>1.2108980827446999E-3</v>
      </c>
      <c r="W7530">
        <v>1518380.23053608</v>
      </c>
      <c r="X7530" t="s">
        <v>42</v>
      </c>
      <c r="Y7530">
        <f>1-422-480-8828</f>
        <v>-9729</v>
      </c>
    </row>
    <row r="7531" spans="1:25" x14ac:dyDescent="0.35">
      <c r="A7531">
        <v>40.060727001768797</v>
      </c>
      <c r="B7531">
        <v>-114.51652104568301</v>
      </c>
      <c r="C7531" t="s">
        <v>34</v>
      </c>
      <c r="D7531">
        <v>48.458116882376601</v>
      </c>
      <c r="E7531">
        <v>9</v>
      </c>
      <c r="F7531">
        <v>3511</v>
      </c>
      <c r="G7531">
        <v>2</v>
      </c>
      <c r="H7531">
        <v>1</v>
      </c>
      <c r="I7531">
        <v>1989</v>
      </c>
      <c r="J7531">
        <v>0</v>
      </c>
      <c r="K7531">
        <v>0</v>
      </c>
      <c r="L7531">
        <v>1</v>
      </c>
      <c r="M7531">
        <v>8</v>
      </c>
      <c r="N7531" t="s">
        <v>26</v>
      </c>
      <c r="O7531" t="s">
        <v>27</v>
      </c>
      <c r="P7531">
        <v>7.1231582837561396</v>
      </c>
      <c r="Q7531">
        <v>0.72034024361852</v>
      </c>
      <c r="R7531">
        <v>4.1318191589754703</v>
      </c>
      <c r="S7531">
        <v>97</v>
      </c>
      <c r="T7531">
        <v>52</v>
      </c>
      <c r="U7531">
        <v>509.27121935045602</v>
      </c>
      <c r="V7531">
        <v>2.2785531187695801E-3</v>
      </c>
      <c r="W7531">
        <v>1940956.5250750899</v>
      </c>
      <c r="X7531" t="s">
        <v>43</v>
      </c>
      <c r="Y7531">
        <f>1-972-789-5237</f>
        <v>-6997</v>
      </c>
    </row>
    <row r="7532" spans="1:25" x14ac:dyDescent="0.35">
      <c r="A7532">
        <v>36.018847984895501</v>
      </c>
      <c r="B7532">
        <v>-117.812058141693</v>
      </c>
      <c r="C7532" t="s">
        <v>25</v>
      </c>
      <c r="D7532">
        <v>24.8390601343093</v>
      </c>
      <c r="E7532">
        <v>8</v>
      </c>
      <c r="F7532">
        <v>1757</v>
      </c>
      <c r="G7532">
        <v>2</v>
      </c>
      <c r="H7532">
        <v>3</v>
      </c>
      <c r="I7532">
        <v>2015</v>
      </c>
      <c r="J7532">
        <v>0</v>
      </c>
      <c r="K7532">
        <v>0</v>
      </c>
      <c r="L7532">
        <v>0</v>
      </c>
      <c r="M7532">
        <v>8</v>
      </c>
      <c r="N7532" t="s">
        <v>41</v>
      </c>
      <c r="O7532" t="s">
        <v>27</v>
      </c>
      <c r="P7532">
        <v>8.8796964952512898</v>
      </c>
      <c r="Q7532">
        <v>0.85880967164803301</v>
      </c>
      <c r="R7532">
        <v>4.3612757989665702</v>
      </c>
      <c r="S7532">
        <v>171</v>
      </c>
      <c r="T7532">
        <v>76</v>
      </c>
      <c r="U7532">
        <v>462.45426008684097</v>
      </c>
      <c r="V7532">
        <v>4.5532157085941896E-3</v>
      </c>
      <c r="W7532">
        <v>1027444.78894027</v>
      </c>
      <c r="X7532" t="s">
        <v>38</v>
      </c>
      <c r="Y7532">
        <f>1-304-727-6261</f>
        <v>-7291</v>
      </c>
    </row>
    <row r="7533" spans="1:25" x14ac:dyDescent="0.35">
      <c r="A7533">
        <v>33.361793552260799</v>
      </c>
      <c r="B7533">
        <v>-117.697130153589</v>
      </c>
      <c r="C7533" t="s">
        <v>29</v>
      </c>
      <c r="D7533">
        <v>12.3827825116115</v>
      </c>
      <c r="E7533">
        <v>2</v>
      </c>
      <c r="F7533">
        <v>1991</v>
      </c>
      <c r="G7533">
        <v>5</v>
      </c>
      <c r="H7533">
        <v>1</v>
      </c>
      <c r="I7533">
        <v>2003</v>
      </c>
      <c r="J7533">
        <v>1</v>
      </c>
      <c r="K7533">
        <v>1</v>
      </c>
      <c r="L7533">
        <v>1</v>
      </c>
      <c r="M7533">
        <v>2</v>
      </c>
      <c r="N7533" t="s">
        <v>41</v>
      </c>
      <c r="O7533" t="s">
        <v>30</v>
      </c>
      <c r="P7533">
        <v>4.4319694949133401</v>
      </c>
      <c r="Q7533">
        <v>1.3423222761740401</v>
      </c>
      <c r="R7533">
        <v>1.03168293816204</v>
      </c>
      <c r="S7533">
        <v>88</v>
      </c>
      <c r="T7533">
        <v>61</v>
      </c>
      <c r="U7533">
        <v>734.53578892920905</v>
      </c>
      <c r="V7533">
        <v>1.0045203415369099E-3</v>
      </c>
      <c r="W7533">
        <v>1889357.57201873</v>
      </c>
      <c r="X7533" t="s">
        <v>42</v>
      </c>
      <c r="Y7533">
        <f>1-650-370-2567</f>
        <v>-3586</v>
      </c>
    </row>
    <row r="7534" spans="1:25" x14ac:dyDescent="0.35">
      <c r="A7534">
        <v>35.137248760504797</v>
      </c>
      <c r="B7534">
        <v>-116.391557019964</v>
      </c>
      <c r="C7534" t="s">
        <v>25</v>
      </c>
      <c r="D7534">
        <v>10.2777827765963</v>
      </c>
      <c r="E7534">
        <v>8</v>
      </c>
      <c r="F7534">
        <v>2481</v>
      </c>
      <c r="G7534">
        <v>5</v>
      </c>
      <c r="H7534">
        <v>2</v>
      </c>
      <c r="I7534">
        <v>2002</v>
      </c>
      <c r="J7534">
        <v>0</v>
      </c>
      <c r="K7534">
        <v>0</v>
      </c>
      <c r="L7534">
        <v>1</v>
      </c>
      <c r="M7534">
        <v>6</v>
      </c>
      <c r="N7534" t="s">
        <v>37</v>
      </c>
      <c r="O7534" t="s">
        <v>32</v>
      </c>
      <c r="P7534">
        <v>10.2351463022656</v>
      </c>
      <c r="Q7534">
        <v>1.44322410743486</v>
      </c>
      <c r="R7534">
        <v>8.8548235299804006</v>
      </c>
      <c r="S7534">
        <v>20</v>
      </c>
      <c r="T7534">
        <v>50</v>
      </c>
      <c r="U7534">
        <v>570.48695709789399</v>
      </c>
      <c r="V7534">
        <v>2.4183796856106399E-3</v>
      </c>
      <c r="W7534">
        <v>1818393.7794023999</v>
      </c>
      <c r="X7534" t="s">
        <v>40</v>
      </c>
      <c r="Y7534">
        <f>1-266-267-1162</f>
        <v>-1694</v>
      </c>
    </row>
    <row r="7535" spans="1:25" x14ac:dyDescent="0.35">
      <c r="A7535">
        <v>40.008963024360597</v>
      </c>
      <c r="B7535">
        <v>-114.681308655206</v>
      </c>
      <c r="C7535" t="s">
        <v>29</v>
      </c>
      <c r="D7535">
        <v>11.198055862472501</v>
      </c>
      <c r="E7535">
        <v>7</v>
      </c>
      <c r="F7535">
        <v>2133</v>
      </c>
      <c r="G7535">
        <v>5</v>
      </c>
      <c r="H7535">
        <v>2</v>
      </c>
      <c r="I7535">
        <v>1990</v>
      </c>
      <c r="J7535">
        <v>0</v>
      </c>
      <c r="K7535">
        <v>0</v>
      </c>
      <c r="L7535">
        <v>1</v>
      </c>
      <c r="M7535">
        <v>7</v>
      </c>
      <c r="N7535" t="s">
        <v>37</v>
      </c>
      <c r="O7535" t="s">
        <v>32</v>
      </c>
      <c r="P7535">
        <v>10.2784979374382</v>
      </c>
      <c r="Q7535">
        <v>0.65737625059316596</v>
      </c>
      <c r="R7535">
        <v>7.3298434373720802</v>
      </c>
      <c r="S7535">
        <v>176</v>
      </c>
      <c r="T7535">
        <v>35</v>
      </c>
      <c r="U7535">
        <v>843.86199114664703</v>
      </c>
      <c r="V7535">
        <v>3.2817627754336601E-3</v>
      </c>
      <c r="W7535">
        <v>2105905.7102483502</v>
      </c>
      <c r="X7535" t="s">
        <v>36</v>
      </c>
      <c r="Y7535">
        <f>1-340-910-4445</f>
        <v>-5694</v>
      </c>
    </row>
    <row r="7536" spans="1:25" x14ac:dyDescent="0.35">
      <c r="A7536">
        <v>36.358799595643099</v>
      </c>
      <c r="B7536">
        <v>-117.669049353036</v>
      </c>
      <c r="C7536" t="s">
        <v>29</v>
      </c>
      <c r="D7536">
        <v>3.4283494467283102</v>
      </c>
      <c r="E7536">
        <v>7</v>
      </c>
      <c r="F7536">
        <v>3041</v>
      </c>
      <c r="G7536">
        <v>2</v>
      </c>
      <c r="H7536">
        <v>2</v>
      </c>
      <c r="I7536">
        <v>1997</v>
      </c>
      <c r="J7536">
        <v>0</v>
      </c>
      <c r="K7536">
        <v>0</v>
      </c>
      <c r="L7536">
        <v>0</v>
      </c>
      <c r="M7536">
        <v>3</v>
      </c>
      <c r="N7536" t="s">
        <v>26</v>
      </c>
      <c r="O7536" t="s">
        <v>30</v>
      </c>
      <c r="P7536">
        <v>4.8388495537641401</v>
      </c>
      <c r="Q7536">
        <v>1.84292310849547</v>
      </c>
      <c r="R7536">
        <v>1.29534997196292</v>
      </c>
      <c r="S7536">
        <v>14</v>
      </c>
      <c r="T7536">
        <v>37</v>
      </c>
      <c r="U7536">
        <v>694.83164125313795</v>
      </c>
      <c r="V7536">
        <v>9.8651759289707292E-4</v>
      </c>
      <c r="W7536">
        <v>2331270.5561924698</v>
      </c>
      <c r="X7536" t="s">
        <v>44</v>
      </c>
      <c r="Y7536">
        <f>1-468-112-9454</f>
        <v>-10033</v>
      </c>
    </row>
    <row r="7537" spans="1:25" x14ac:dyDescent="0.35">
      <c r="A7537">
        <v>36.353888263505098</v>
      </c>
      <c r="B7537">
        <v>-115.285101771116</v>
      </c>
      <c r="C7537" t="s">
        <v>34</v>
      </c>
      <c r="D7537">
        <v>46.366556430233501</v>
      </c>
      <c r="E7537">
        <v>7</v>
      </c>
      <c r="F7537">
        <v>4133</v>
      </c>
      <c r="G7537">
        <v>4</v>
      </c>
      <c r="H7537">
        <v>3</v>
      </c>
      <c r="I7537">
        <v>1985</v>
      </c>
      <c r="J7537">
        <v>1</v>
      </c>
      <c r="K7537">
        <v>0</v>
      </c>
      <c r="L7537">
        <v>1</v>
      </c>
      <c r="M7537">
        <v>7</v>
      </c>
      <c r="N7537" t="s">
        <v>26</v>
      </c>
      <c r="O7537" t="s">
        <v>27</v>
      </c>
      <c r="P7537">
        <v>13.8312789481148</v>
      </c>
      <c r="Q7537">
        <v>1.40759981762165</v>
      </c>
      <c r="R7537">
        <v>1.81335863898889</v>
      </c>
      <c r="S7537">
        <v>100</v>
      </c>
      <c r="T7537">
        <v>58</v>
      </c>
      <c r="U7537">
        <v>912.13960513808797</v>
      </c>
      <c r="V7537">
        <v>1.69368497459472E-3</v>
      </c>
      <c r="W7537">
        <v>4306296.8766447799</v>
      </c>
      <c r="X7537" t="s">
        <v>28</v>
      </c>
      <c r="Y7537">
        <f>1-936-204-1735</f>
        <v>-2874</v>
      </c>
    </row>
    <row r="7538" spans="1:25" x14ac:dyDescent="0.35">
      <c r="A7538">
        <v>39.583793935427401</v>
      </c>
      <c r="B7538">
        <v>-116.367366966673</v>
      </c>
      <c r="C7538" t="s">
        <v>34</v>
      </c>
      <c r="D7538">
        <v>11.334897864051699</v>
      </c>
      <c r="E7538">
        <v>2</v>
      </c>
      <c r="F7538">
        <v>4182</v>
      </c>
      <c r="G7538">
        <v>2</v>
      </c>
      <c r="H7538">
        <v>3</v>
      </c>
      <c r="I7538">
        <v>1998</v>
      </c>
      <c r="J7538">
        <v>1</v>
      </c>
      <c r="K7538">
        <v>0</v>
      </c>
      <c r="L7538">
        <v>1</v>
      </c>
      <c r="M7538">
        <v>6</v>
      </c>
      <c r="N7538" t="s">
        <v>41</v>
      </c>
      <c r="O7538" t="s">
        <v>32</v>
      </c>
      <c r="P7538">
        <v>5.2960851536167501</v>
      </c>
      <c r="Q7538">
        <v>0.83387210378092103</v>
      </c>
      <c r="R7538">
        <v>2.2299317972769499</v>
      </c>
      <c r="S7538">
        <v>20</v>
      </c>
      <c r="T7538">
        <v>21</v>
      </c>
      <c r="U7538">
        <v>216.97829024773699</v>
      </c>
      <c r="V7538">
        <v>1.4347202295552301E-3</v>
      </c>
      <c r="W7538">
        <v>1155727.9371460199</v>
      </c>
      <c r="X7538" t="s">
        <v>31</v>
      </c>
      <c r="Y7538">
        <f>1-988-325-2505</f>
        <v>-3817</v>
      </c>
    </row>
    <row r="7539" spans="1:25" x14ac:dyDescent="0.35">
      <c r="A7539">
        <v>37.022203941332599</v>
      </c>
      <c r="B7539">
        <v>-114.577375193904</v>
      </c>
      <c r="C7539" t="s">
        <v>25</v>
      </c>
      <c r="D7539">
        <v>10.0390354599449</v>
      </c>
      <c r="E7539">
        <v>8</v>
      </c>
      <c r="F7539">
        <v>4186</v>
      </c>
      <c r="G7539">
        <v>3</v>
      </c>
      <c r="H7539">
        <v>3</v>
      </c>
      <c r="I7539">
        <v>2016</v>
      </c>
      <c r="J7539">
        <v>1</v>
      </c>
      <c r="K7539">
        <v>1</v>
      </c>
      <c r="L7539">
        <v>1</v>
      </c>
      <c r="M7539">
        <v>2</v>
      </c>
      <c r="N7539" t="s">
        <v>37</v>
      </c>
      <c r="O7539" t="s">
        <v>27</v>
      </c>
      <c r="P7539">
        <v>12.5619132900729</v>
      </c>
      <c r="Q7539">
        <v>1.9577280852671199</v>
      </c>
      <c r="R7539">
        <v>2.27575001105218</v>
      </c>
      <c r="S7539">
        <v>118</v>
      </c>
      <c r="T7539">
        <v>55</v>
      </c>
      <c r="U7539">
        <v>865.95238439615798</v>
      </c>
      <c r="V7539">
        <v>4.7778308647873798E-4</v>
      </c>
      <c r="W7539">
        <v>4070181.38243751</v>
      </c>
      <c r="X7539" t="s">
        <v>39</v>
      </c>
      <c r="Y7539">
        <f>1-987-452-8585</f>
        <v>-10023</v>
      </c>
    </row>
    <row r="7540" spans="1:25" x14ac:dyDescent="0.35">
      <c r="A7540">
        <v>37.345738544217397</v>
      </c>
      <c r="B7540">
        <v>-117.580348551387</v>
      </c>
      <c r="C7540" t="s">
        <v>25</v>
      </c>
      <c r="D7540">
        <v>15.8254039990885</v>
      </c>
      <c r="E7540">
        <v>5</v>
      </c>
      <c r="F7540">
        <v>4614</v>
      </c>
      <c r="G7540">
        <v>4</v>
      </c>
      <c r="H7540">
        <v>3</v>
      </c>
      <c r="I7540">
        <v>2020</v>
      </c>
      <c r="J7540">
        <v>0</v>
      </c>
      <c r="K7540">
        <v>0</v>
      </c>
      <c r="L7540">
        <v>1</v>
      </c>
      <c r="M7540">
        <v>3</v>
      </c>
      <c r="N7540" t="s">
        <v>26</v>
      </c>
      <c r="O7540" t="s">
        <v>30</v>
      </c>
      <c r="P7540">
        <v>10.1054659912378</v>
      </c>
      <c r="Q7540">
        <v>1.27137843432678</v>
      </c>
      <c r="R7540">
        <v>6.2981063152121504</v>
      </c>
      <c r="S7540">
        <v>110</v>
      </c>
      <c r="T7540">
        <v>60</v>
      </c>
      <c r="U7540">
        <v>694.01895289102004</v>
      </c>
      <c r="V7540">
        <v>6.5019505851755496E-4</v>
      </c>
      <c r="W7540">
        <v>3531947.55235137</v>
      </c>
      <c r="X7540" t="s">
        <v>31</v>
      </c>
      <c r="Y7540">
        <f>1-714-816-7370</f>
        <v>-8899</v>
      </c>
    </row>
    <row r="7541" spans="1:25" x14ac:dyDescent="0.35">
      <c r="A7541">
        <v>36.7696149320629</v>
      </c>
      <c r="B7541">
        <v>-124.33966690489601</v>
      </c>
      <c r="C7541" t="s">
        <v>34</v>
      </c>
      <c r="D7541">
        <v>26.7400140805718</v>
      </c>
      <c r="E7541">
        <v>6</v>
      </c>
      <c r="F7541">
        <v>2062</v>
      </c>
      <c r="G7541">
        <v>2</v>
      </c>
      <c r="H7541">
        <v>3</v>
      </c>
      <c r="I7541">
        <v>2007</v>
      </c>
      <c r="J7541">
        <v>0</v>
      </c>
      <c r="K7541">
        <v>1</v>
      </c>
      <c r="L7541">
        <v>0</v>
      </c>
      <c r="M7541">
        <v>13</v>
      </c>
      <c r="N7541" t="s">
        <v>35</v>
      </c>
      <c r="O7541" t="s">
        <v>32</v>
      </c>
      <c r="P7541">
        <v>6.25056434512328</v>
      </c>
      <c r="Q7541">
        <v>2.3047545870149699</v>
      </c>
      <c r="R7541">
        <v>6.4579475582357304</v>
      </c>
      <c r="S7541">
        <v>110</v>
      </c>
      <c r="T7541">
        <v>29</v>
      </c>
      <c r="U7541">
        <v>629.50952686177595</v>
      </c>
      <c r="V7541">
        <v>6.3045586808923304E-3</v>
      </c>
      <c r="W7541">
        <v>1575444.4934868501</v>
      </c>
      <c r="X7541" t="s">
        <v>36</v>
      </c>
      <c r="Y7541">
        <f>1-659-218-3058</f>
        <v>-3934</v>
      </c>
    </row>
    <row r="7542" spans="1:25" x14ac:dyDescent="0.35">
      <c r="A7542">
        <v>39.081122677803997</v>
      </c>
      <c r="B7542">
        <v>-122.79472139946201</v>
      </c>
      <c r="C7542" t="s">
        <v>29</v>
      </c>
      <c r="D7542">
        <v>25.469706579539199</v>
      </c>
      <c r="E7542">
        <v>6</v>
      </c>
      <c r="F7542">
        <v>1977</v>
      </c>
      <c r="G7542">
        <v>3</v>
      </c>
      <c r="H7542">
        <v>1</v>
      </c>
      <c r="I7542">
        <v>2005</v>
      </c>
      <c r="J7542">
        <v>0</v>
      </c>
      <c r="K7542">
        <v>0</v>
      </c>
      <c r="L7542">
        <v>0</v>
      </c>
      <c r="M7542">
        <v>11</v>
      </c>
      <c r="N7542" t="s">
        <v>41</v>
      </c>
      <c r="O7542" t="s">
        <v>30</v>
      </c>
      <c r="P7542">
        <v>5.12738416876328</v>
      </c>
      <c r="Q7542">
        <v>0.96210572979935005</v>
      </c>
      <c r="R7542">
        <v>5.2773964535442799</v>
      </c>
      <c r="S7542">
        <v>50</v>
      </c>
      <c r="T7542">
        <v>39</v>
      </c>
      <c r="U7542">
        <v>938.88545446878095</v>
      </c>
      <c r="V7542">
        <v>5.5639858371269602E-3</v>
      </c>
      <c r="W7542">
        <v>2011426.7907039099</v>
      </c>
      <c r="X7542" t="s">
        <v>44</v>
      </c>
      <c r="Y7542">
        <f>1-453-538-1039</f>
        <v>-2029</v>
      </c>
    </row>
    <row r="7543" spans="1:25" x14ac:dyDescent="0.35">
      <c r="A7543">
        <v>35.248032377139999</v>
      </c>
      <c r="B7543">
        <v>-123.578914273702</v>
      </c>
      <c r="C7543" t="s">
        <v>25</v>
      </c>
      <c r="D7543">
        <v>8.7172415052872196</v>
      </c>
      <c r="E7543">
        <v>7</v>
      </c>
      <c r="F7543">
        <v>4997</v>
      </c>
      <c r="G7543">
        <v>1</v>
      </c>
      <c r="H7543">
        <v>1</v>
      </c>
      <c r="I7543">
        <v>1963</v>
      </c>
      <c r="J7543">
        <v>0</v>
      </c>
      <c r="K7543">
        <v>1</v>
      </c>
      <c r="L7543">
        <v>0</v>
      </c>
      <c r="M7543">
        <v>13</v>
      </c>
      <c r="N7543" t="s">
        <v>35</v>
      </c>
      <c r="O7543" t="s">
        <v>32</v>
      </c>
      <c r="P7543">
        <v>14.8953541909425</v>
      </c>
      <c r="Q7543">
        <v>2.25041508032806</v>
      </c>
      <c r="R7543">
        <v>4.9375904340081798</v>
      </c>
      <c r="S7543">
        <v>12</v>
      </c>
      <c r="T7543">
        <v>29</v>
      </c>
      <c r="U7543">
        <v>915.19414030016696</v>
      </c>
      <c r="V7543">
        <v>2.6015609365619302E-3</v>
      </c>
      <c r="W7543">
        <v>4692597.4041873096</v>
      </c>
      <c r="X7543" t="s">
        <v>39</v>
      </c>
      <c r="Y7543">
        <f>1-705-191-5643</f>
        <v>-6538</v>
      </c>
    </row>
    <row r="7544" spans="1:25" x14ac:dyDescent="0.35">
      <c r="A7544">
        <v>35.202012761642997</v>
      </c>
      <c r="B7544">
        <v>-117.12031759426</v>
      </c>
      <c r="C7544" t="s">
        <v>25</v>
      </c>
      <c r="D7544">
        <v>21.169723338504699</v>
      </c>
      <c r="E7544">
        <v>1</v>
      </c>
      <c r="F7544">
        <v>1327</v>
      </c>
      <c r="G7544">
        <v>3</v>
      </c>
      <c r="H7544">
        <v>2</v>
      </c>
      <c r="I7544">
        <v>1978</v>
      </c>
      <c r="J7544">
        <v>0</v>
      </c>
      <c r="K7544">
        <v>0</v>
      </c>
      <c r="L7544">
        <v>0</v>
      </c>
      <c r="M7544">
        <v>9</v>
      </c>
      <c r="N7544" t="s">
        <v>26</v>
      </c>
      <c r="O7544" t="s">
        <v>30</v>
      </c>
      <c r="P7544">
        <v>11.962153016504001</v>
      </c>
      <c r="Q7544">
        <v>1.7609023260661401</v>
      </c>
      <c r="R7544">
        <v>5.2366753649181597</v>
      </c>
      <c r="S7544">
        <v>155</v>
      </c>
      <c r="T7544">
        <v>50</v>
      </c>
      <c r="U7544">
        <v>729.37093266105205</v>
      </c>
      <c r="V7544">
        <v>6.7822155237377496E-3</v>
      </c>
      <c r="W7544">
        <v>1138068.6144698199</v>
      </c>
      <c r="X7544" t="s">
        <v>36</v>
      </c>
      <c r="Y7544">
        <f>1-320-781-3809</f>
        <v>-4909</v>
      </c>
    </row>
    <row r="7545" spans="1:25" x14ac:dyDescent="0.35">
      <c r="A7545">
        <v>39.966512348856199</v>
      </c>
      <c r="B7545">
        <v>-122.762664919298</v>
      </c>
      <c r="C7545" t="s">
        <v>25</v>
      </c>
      <c r="D7545">
        <v>35.652113399298599</v>
      </c>
      <c r="E7545">
        <v>9</v>
      </c>
      <c r="F7545">
        <v>4482</v>
      </c>
      <c r="G7545">
        <v>3</v>
      </c>
      <c r="H7545">
        <v>1</v>
      </c>
      <c r="I7545">
        <v>2016</v>
      </c>
      <c r="J7545">
        <v>0</v>
      </c>
      <c r="K7545">
        <v>0</v>
      </c>
      <c r="L7545">
        <v>0</v>
      </c>
      <c r="M7545">
        <v>8</v>
      </c>
      <c r="N7545" t="s">
        <v>35</v>
      </c>
      <c r="O7545" t="s">
        <v>30</v>
      </c>
      <c r="P7545">
        <v>13.602304668201</v>
      </c>
      <c r="Q7545">
        <v>1.5592449082619599</v>
      </c>
      <c r="R7545">
        <v>1.1616608062165501</v>
      </c>
      <c r="S7545">
        <v>80</v>
      </c>
      <c r="T7545">
        <v>77</v>
      </c>
      <c r="U7545">
        <v>983.15145551405897</v>
      </c>
      <c r="V7545">
        <v>1.7849174475680499E-3</v>
      </c>
      <c r="W7545">
        <v>4727117.1806913298</v>
      </c>
      <c r="X7545" t="s">
        <v>39</v>
      </c>
      <c r="Y7545">
        <f>1-912-703-1431</f>
        <v>-3045</v>
      </c>
    </row>
    <row r="7546" spans="1:25" x14ac:dyDescent="0.35">
      <c r="A7546">
        <v>38.157104517459899</v>
      </c>
      <c r="B7546">
        <v>-116.76363023580799</v>
      </c>
      <c r="C7546" t="s">
        <v>29</v>
      </c>
      <c r="D7546">
        <v>32.324115391889499</v>
      </c>
      <c r="E7546">
        <v>1</v>
      </c>
      <c r="F7546">
        <v>622</v>
      </c>
      <c r="G7546">
        <v>3</v>
      </c>
      <c r="H7546">
        <v>1</v>
      </c>
      <c r="I7546">
        <v>1977</v>
      </c>
      <c r="J7546">
        <v>0</v>
      </c>
      <c r="K7546">
        <v>1</v>
      </c>
      <c r="L7546">
        <v>0</v>
      </c>
      <c r="M7546">
        <v>2</v>
      </c>
      <c r="N7546" t="s">
        <v>37</v>
      </c>
      <c r="O7546" t="s">
        <v>32</v>
      </c>
      <c r="P7546">
        <v>8.2310201176702797</v>
      </c>
      <c r="Q7546">
        <v>1.0582260369798999</v>
      </c>
      <c r="R7546">
        <v>9.9549827678619405</v>
      </c>
      <c r="S7546">
        <v>11</v>
      </c>
      <c r="T7546">
        <v>55</v>
      </c>
      <c r="U7546">
        <v>773.64242346548201</v>
      </c>
      <c r="V7546">
        <v>3.2154340836012801E-3</v>
      </c>
      <c r="W7546">
        <v>684129.22729315003</v>
      </c>
      <c r="X7546" t="s">
        <v>44</v>
      </c>
      <c r="Y7546">
        <f>1-597-391-3488</f>
        <v>-4475</v>
      </c>
    </row>
    <row r="7547" spans="1:25" x14ac:dyDescent="0.35">
      <c r="A7547">
        <v>40.271648937548598</v>
      </c>
      <c r="B7547">
        <v>-123.27510660636101</v>
      </c>
      <c r="C7547" t="s">
        <v>34</v>
      </c>
      <c r="D7547">
        <v>43.6166824740694</v>
      </c>
      <c r="E7547">
        <v>7</v>
      </c>
      <c r="F7547">
        <v>4174</v>
      </c>
      <c r="G7547">
        <v>1</v>
      </c>
      <c r="H7547">
        <v>2</v>
      </c>
      <c r="I7547">
        <v>1980</v>
      </c>
      <c r="J7547">
        <v>1</v>
      </c>
      <c r="K7547">
        <v>0</v>
      </c>
      <c r="L7547">
        <v>1</v>
      </c>
      <c r="M7547">
        <v>7</v>
      </c>
      <c r="N7547" t="s">
        <v>41</v>
      </c>
      <c r="O7547" t="s">
        <v>27</v>
      </c>
      <c r="P7547">
        <v>3.3681176837831299</v>
      </c>
      <c r="Q7547">
        <v>2.2362442581888402</v>
      </c>
      <c r="R7547">
        <v>6.1633328397646796</v>
      </c>
      <c r="S7547">
        <v>5</v>
      </c>
      <c r="T7547">
        <v>45</v>
      </c>
      <c r="U7547">
        <v>781.25218947545795</v>
      </c>
      <c r="V7547">
        <v>1.6770483948250999E-3</v>
      </c>
      <c r="W7547">
        <v>3354732.6170179001</v>
      </c>
      <c r="X7547" t="s">
        <v>43</v>
      </c>
      <c r="Y7547">
        <f>1-259-462-6287</f>
        <v>-7007</v>
      </c>
    </row>
    <row r="7548" spans="1:25" x14ac:dyDescent="0.35">
      <c r="A7548">
        <v>33.803900279356697</v>
      </c>
      <c r="B7548">
        <v>-117.82888929982001</v>
      </c>
      <c r="C7548" t="s">
        <v>34</v>
      </c>
      <c r="D7548">
        <v>7.5221329728270598</v>
      </c>
      <c r="E7548">
        <v>3</v>
      </c>
      <c r="F7548">
        <v>4832</v>
      </c>
      <c r="G7548">
        <v>4</v>
      </c>
      <c r="H7548">
        <v>2</v>
      </c>
      <c r="I7548">
        <v>1988</v>
      </c>
      <c r="J7548">
        <v>0</v>
      </c>
      <c r="K7548">
        <v>0</v>
      </c>
      <c r="L7548">
        <v>1</v>
      </c>
      <c r="M7548">
        <v>3</v>
      </c>
      <c r="N7548" t="s">
        <v>37</v>
      </c>
      <c r="O7548" t="s">
        <v>30</v>
      </c>
      <c r="P7548">
        <v>4.1762428148519897</v>
      </c>
      <c r="Q7548">
        <v>1.69238168401846</v>
      </c>
      <c r="R7548">
        <v>9.9685724122024695</v>
      </c>
      <c r="S7548">
        <v>171</v>
      </c>
      <c r="T7548">
        <v>27</v>
      </c>
      <c r="U7548">
        <v>569.12820668579695</v>
      </c>
      <c r="V7548">
        <v>6.2086092715231704E-4</v>
      </c>
      <c r="W7548">
        <v>2964234.5634016902</v>
      </c>
      <c r="X7548" t="s">
        <v>43</v>
      </c>
      <c r="Y7548">
        <f>1-294-967-3045</f>
        <v>-4305</v>
      </c>
    </row>
    <row r="7549" spans="1:25" x14ac:dyDescent="0.35">
      <c r="A7549">
        <v>33.541603348831799</v>
      </c>
      <c r="B7549">
        <v>-119.15823866609701</v>
      </c>
      <c r="C7549" t="s">
        <v>34</v>
      </c>
      <c r="D7549">
        <v>13.184142968654401</v>
      </c>
      <c r="E7549">
        <v>6</v>
      </c>
      <c r="F7549">
        <v>1878</v>
      </c>
      <c r="G7549">
        <v>5</v>
      </c>
      <c r="H7549">
        <v>3</v>
      </c>
      <c r="I7549">
        <v>2001</v>
      </c>
      <c r="J7549">
        <v>0</v>
      </c>
      <c r="K7549">
        <v>1</v>
      </c>
      <c r="L7549">
        <v>1</v>
      </c>
      <c r="M7549">
        <v>14</v>
      </c>
      <c r="N7549" t="s">
        <v>41</v>
      </c>
      <c r="O7549" t="s">
        <v>27</v>
      </c>
      <c r="P7549">
        <v>5.0543700594680603</v>
      </c>
      <c r="Q7549">
        <v>2.2569514599290299</v>
      </c>
      <c r="R7549">
        <v>5.9287692520860302</v>
      </c>
      <c r="S7549">
        <v>136</v>
      </c>
      <c r="T7549">
        <v>33</v>
      </c>
      <c r="U7549">
        <v>591.66991793390105</v>
      </c>
      <c r="V7549">
        <v>7.4547390841320496E-3</v>
      </c>
      <c r="W7549">
        <v>1553711.1059167001</v>
      </c>
      <c r="X7549" t="s">
        <v>42</v>
      </c>
      <c r="Y7549">
        <f>1-788-679-4657</f>
        <v>-6123</v>
      </c>
    </row>
    <row r="7550" spans="1:25" x14ac:dyDescent="0.35">
      <c r="A7550">
        <v>36.151779168209103</v>
      </c>
      <c r="B7550">
        <v>-121.571360288959</v>
      </c>
      <c r="C7550" t="s">
        <v>25</v>
      </c>
      <c r="D7550">
        <v>25.7350362781965</v>
      </c>
      <c r="E7550">
        <v>2</v>
      </c>
      <c r="F7550">
        <v>744</v>
      </c>
      <c r="G7550">
        <v>1</v>
      </c>
      <c r="H7550">
        <v>1</v>
      </c>
      <c r="I7550">
        <v>1980</v>
      </c>
      <c r="J7550">
        <v>1</v>
      </c>
      <c r="K7550">
        <v>0</v>
      </c>
      <c r="L7550">
        <v>0</v>
      </c>
      <c r="M7550">
        <v>6</v>
      </c>
      <c r="N7550" t="s">
        <v>26</v>
      </c>
      <c r="O7550" t="s">
        <v>32</v>
      </c>
      <c r="P7550">
        <v>9.5949758845008599</v>
      </c>
      <c r="Q7550">
        <v>0.787124704465608</v>
      </c>
      <c r="R7550">
        <v>7.6355481871340203</v>
      </c>
      <c r="S7550">
        <v>16</v>
      </c>
      <c r="T7550">
        <v>71</v>
      </c>
      <c r="U7550">
        <v>982.92058382995697</v>
      </c>
      <c r="V7550">
        <v>8.0645161290322492E-3</v>
      </c>
      <c r="W7550">
        <v>802696.30457516003</v>
      </c>
      <c r="X7550" t="s">
        <v>28</v>
      </c>
      <c r="Y7550">
        <f>1-503-249-4885</f>
        <v>-5636</v>
      </c>
    </row>
    <row r="7551" spans="1:25" x14ac:dyDescent="0.35">
      <c r="A7551">
        <v>32.750581664511401</v>
      </c>
      <c r="B7551">
        <v>-122.327848815504</v>
      </c>
      <c r="C7551" t="s">
        <v>25</v>
      </c>
      <c r="D7551">
        <v>45.931571082225503</v>
      </c>
      <c r="E7551">
        <v>0</v>
      </c>
      <c r="F7551">
        <v>1415</v>
      </c>
      <c r="G7551">
        <v>3</v>
      </c>
      <c r="H7551">
        <v>2</v>
      </c>
      <c r="I7551">
        <v>1999</v>
      </c>
      <c r="J7551">
        <v>0</v>
      </c>
      <c r="K7551">
        <v>1</v>
      </c>
      <c r="L7551">
        <v>1</v>
      </c>
      <c r="M7551">
        <v>13</v>
      </c>
      <c r="N7551" t="s">
        <v>37</v>
      </c>
      <c r="O7551" t="s">
        <v>30</v>
      </c>
      <c r="P7551">
        <v>13.179040506226301</v>
      </c>
      <c r="Q7551">
        <v>0.74156506172268299</v>
      </c>
      <c r="R7551">
        <v>3.967331640581</v>
      </c>
      <c r="S7551">
        <v>60</v>
      </c>
      <c r="T7551">
        <v>69</v>
      </c>
      <c r="U7551">
        <v>368.08570939012299</v>
      </c>
      <c r="V7551">
        <v>9.1872791519434591E-3</v>
      </c>
      <c r="W7551">
        <v>957824.21411052695</v>
      </c>
      <c r="X7551" t="s">
        <v>38</v>
      </c>
      <c r="Y7551">
        <f>1-674-420-2630</f>
        <v>-3723</v>
      </c>
    </row>
    <row r="7552" spans="1:25" x14ac:dyDescent="0.35">
      <c r="A7552">
        <v>36.994307727268797</v>
      </c>
      <c r="B7552">
        <v>-120.050440422196</v>
      </c>
      <c r="C7552" t="s">
        <v>25</v>
      </c>
      <c r="D7552">
        <v>45.535892716122298</v>
      </c>
      <c r="E7552">
        <v>1</v>
      </c>
      <c r="F7552">
        <v>596</v>
      </c>
      <c r="G7552">
        <v>4</v>
      </c>
      <c r="H7552">
        <v>3</v>
      </c>
      <c r="I7552">
        <v>1982</v>
      </c>
      <c r="J7552">
        <v>0</v>
      </c>
      <c r="K7552">
        <v>0</v>
      </c>
      <c r="L7552">
        <v>1</v>
      </c>
      <c r="M7552">
        <v>3</v>
      </c>
      <c r="N7552" t="s">
        <v>35</v>
      </c>
      <c r="O7552" t="s">
        <v>27</v>
      </c>
      <c r="P7552">
        <v>2.3069009703999201</v>
      </c>
      <c r="Q7552">
        <v>2.0596576781213201</v>
      </c>
      <c r="R7552">
        <v>3.8452945944360502</v>
      </c>
      <c r="S7552">
        <v>50</v>
      </c>
      <c r="T7552">
        <v>70</v>
      </c>
      <c r="U7552">
        <v>366.483485186179</v>
      </c>
      <c r="V7552">
        <v>5.0335570469798602E-3</v>
      </c>
      <c r="W7552">
        <v>459695.543988447</v>
      </c>
      <c r="X7552" t="s">
        <v>39</v>
      </c>
      <c r="Y7552">
        <f>1-331-839-9799</f>
        <v>-10968</v>
      </c>
    </row>
    <row r="7553" spans="1:25" x14ac:dyDescent="0.35">
      <c r="A7553">
        <v>36.513852579602002</v>
      </c>
      <c r="B7553">
        <v>-117.42855003466001</v>
      </c>
      <c r="C7553" t="s">
        <v>25</v>
      </c>
      <c r="D7553">
        <v>19.9981199725846</v>
      </c>
      <c r="E7553">
        <v>8</v>
      </c>
      <c r="F7553">
        <v>1125</v>
      </c>
      <c r="G7553">
        <v>2</v>
      </c>
      <c r="H7553">
        <v>1</v>
      </c>
      <c r="I7553">
        <v>1982</v>
      </c>
      <c r="J7553">
        <v>1</v>
      </c>
      <c r="K7553">
        <v>1</v>
      </c>
      <c r="L7553">
        <v>0</v>
      </c>
      <c r="M7553">
        <v>4</v>
      </c>
      <c r="N7553" t="s">
        <v>41</v>
      </c>
      <c r="O7553" t="s">
        <v>32</v>
      </c>
      <c r="P7553">
        <v>6.4570452675637497</v>
      </c>
      <c r="Q7553">
        <v>0.73744332426548298</v>
      </c>
      <c r="R7553">
        <v>4.7922256322639196</v>
      </c>
      <c r="S7553">
        <v>117</v>
      </c>
      <c r="T7553">
        <v>58</v>
      </c>
      <c r="U7553">
        <v>691.56098463866203</v>
      </c>
      <c r="V7553">
        <v>3.5555555555555501E-3</v>
      </c>
      <c r="W7553">
        <v>1012911.48236608</v>
      </c>
      <c r="X7553" t="s">
        <v>43</v>
      </c>
      <c r="Y7553">
        <f>1-287-182-9690</f>
        <v>-10158</v>
      </c>
    </row>
    <row r="7554" spans="1:25" x14ac:dyDescent="0.35">
      <c r="A7554">
        <v>36.198802093623797</v>
      </c>
      <c r="B7554">
        <v>-119.616941317433</v>
      </c>
      <c r="C7554" t="s">
        <v>34</v>
      </c>
      <c r="D7554">
        <v>30.198329361573599</v>
      </c>
      <c r="E7554">
        <v>6</v>
      </c>
      <c r="F7554">
        <v>812</v>
      </c>
      <c r="G7554">
        <v>1</v>
      </c>
      <c r="H7554">
        <v>2</v>
      </c>
      <c r="I7554">
        <v>2008</v>
      </c>
      <c r="J7554">
        <v>0</v>
      </c>
      <c r="K7554">
        <v>1</v>
      </c>
      <c r="L7554">
        <v>0</v>
      </c>
      <c r="M7554">
        <v>2</v>
      </c>
      <c r="N7554" t="s">
        <v>35</v>
      </c>
      <c r="O7554" t="s">
        <v>27</v>
      </c>
      <c r="P7554">
        <v>14.8108093803837</v>
      </c>
      <c r="Q7554">
        <v>1.64059260345562</v>
      </c>
      <c r="R7554">
        <v>6.0583194474032096</v>
      </c>
      <c r="S7554">
        <v>177</v>
      </c>
      <c r="T7554">
        <v>47</v>
      </c>
      <c r="U7554">
        <v>995.43423033664806</v>
      </c>
      <c r="V7554">
        <v>2.46305418719211E-3</v>
      </c>
      <c r="W7554">
        <v>1002201.73411238</v>
      </c>
      <c r="X7554" t="s">
        <v>44</v>
      </c>
      <c r="Y7554">
        <f>1-591-811-6826</f>
        <v>-8227</v>
      </c>
    </row>
    <row r="7555" spans="1:25" x14ac:dyDescent="0.35">
      <c r="A7555">
        <v>34.4264313766028</v>
      </c>
      <c r="B7555">
        <v>-118.518647570865</v>
      </c>
      <c r="C7555" t="s">
        <v>34</v>
      </c>
      <c r="D7555">
        <v>39.1579047683488</v>
      </c>
      <c r="E7555">
        <v>4</v>
      </c>
      <c r="F7555">
        <v>3229</v>
      </c>
      <c r="G7555">
        <v>1</v>
      </c>
      <c r="H7555">
        <v>1</v>
      </c>
      <c r="I7555">
        <v>1950</v>
      </c>
      <c r="J7555">
        <v>0</v>
      </c>
      <c r="K7555">
        <v>1</v>
      </c>
      <c r="L7555">
        <v>0</v>
      </c>
      <c r="M7555">
        <v>3</v>
      </c>
      <c r="N7555" t="s">
        <v>35</v>
      </c>
      <c r="O7555" t="s">
        <v>32</v>
      </c>
      <c r="P7555">
        <v>8.5676383968630194</v>
      </c>
      <c r="Q7555">
        <v>1.26657804669705</v>
      </c>
      <c r="R7555">
        <v>2.6276462383057502</v>
      </c>
      <c r="S7555">
        <v>90</v>
      </c>
      <c r="T7555">
        <v>69</v>
      </c>
      <c r="U7555">
        <v>622.81764718769102</v>
      </c>
      <c r="V7555">
        <v>9.2908021059151405E-4</v>
      </c>
      <c r="W7555">
        <v>2108777.8119775299</v>
      </c>
      <c r="X7555" t="s">
        <v>38</v>
      </c>
      <c r="Y7555">
        <f>1-389-706-3933</f>
        <v>-5027</v>
      </c>
    </row>
    <row r="7556" spans="1:25" x14ac:dyDescent="0.35">
      <c r="A7556">
        <v>36.669379415541599</v>
      </c>
      <c r="B7556">
        <v>-121.246372893776</v>
      </c>
      <c r="C7556" t="s">
        <v>34</v>
      </c>
      <c r="D7556">
        <v>48.798489875450301</v>
      </c>
      <c r="E7556">
        <v>0</v>
      </c>
      <c r="F7556">
        <v>2626</v>
      </c>
      <c r="G7556">
        <v>1</v>
      </c>
      <c r="H7556">
        <v>2</v>
      </c>
      <c r="I7556">
        <v>1964</v>
      </c>
      <c r="J7556">
        <v>0</v>
      </c>
      <c r="K7556">
        <v>0</v>
      </c>
      <c r="L7556">
        <v>1</v>
      </c>
      <c r="M7556">
        <v>4</v>
      </c>
      <c r="N7556" t="s">
        <v>41</v>
      </c>
      <c r="O7556" t="s">
        <v>32</v>
      </c>
      <c r="P7556">
        <v>11.945555875970401</v>
      </c>
      <c r="Q7556">
        <v>0.55536946936077902</v>
      </c>
      <c r="R7556">
        <v>4.2145935939374803</v>
      </c>
      <c r="S7556">
        <v>183</v>
      </c>
      <c r="T7556">
        <v>49</v>
      </c>
      <c r="U7556">
        <v>901.73784957241503</v>
      </c>
      <c r="V7556">
        <v>1.52322924600152E-3</v>
      </c>
      <c r="W7556">
        <v>2529071.51194807</v>
      </c>
      <c r="X7556" t="s">
        <v>31</v>
      </c>
      <c r="Y7556">
        <f>1-251-113-7306</f>
        <v>-7669</v>
      </c>
    </row>
    <row r="7557" spans="1:25" x14ac:dyDescent="0.35">
      <c r="A7557">
        <v>36.588771616038599</v>
      </c>
      <c r="B7557">
        <v>-115.753569784333</v>
      </c>
      <c r="C7557" t="s">
        <v>34</v>
      </c>
      <c r="D7557">
        <v>44.325109288432401</v>
      </c>
      <c r="E7557">
        <v>6</v>
      </c>
      <c r="F7557">
        <v>1954</v>
      </c>
      <c r="G7557">
        <v>3</v>
      </c>
      <c r="H7557">
        <v>2</v>
      </c>
      <c r="I7557">
        <v>1998</v>
      </c>
      <c r="J7557">
        <v>1</v>
      </c>
      <c r="K7557">
        <v>1</v>
      </c>
      <c r="L7557">
        <v>0</v>
      </c>
      <c r="M7557">
        <v>6</v>
      </c>
      <c r="N7557" t="s">
        <v>26</v>
      </c>
      <c r="O7557" t="s">
        <v>27</v>
      </c>
      <c r="P7557">
        <v>8.6918381437650893</v>
      </c>
      <c r="Q7557">
        <v>0.88141713703479896</v>
      </c>
      <c r="R7557">
        <v>3.5367407812694398</v>
      </c>
      <c r="S7557">
        <v>181</v>
      </c>
      <c r="T7557">
        <v>27</v>
      </c>
      <c r="U7557">
        <v>645.13458926144801</v>
      </c>
      <c r="V7557">
        <v>3.0706243602865902E-3</v>
      </c>
      <c r="W7557">
        <v>1658303.0072598299</v>
      </c>
      <c r="X7557" t="s">
        <v>42</v>
      </c>
      <c r="Y7557">
        <f>1-214-580-1213</f>
        <v>-2006</v>
      </c>
    </row>
    <row r="7558" spans="1:25" x14ac:dyDescent="0.35">
      <c r="A7558">
        <v>41.154998786354298</v>
      </c>
      <c r="B7558">
        <v>-120.672931755731</v>
      </c>
      <c r="C7558" t="s">
        <v>25</v>
      </c>
      <c r="D7558">
        <v>29.7130496194596</v>
      </c>
      <c r="E7558">
        <v>4</v>
      </c>
      <c r="F7558">
        <v>545</v>
      </c>
      <c r="G7558">
        <v>2</v>
      </c>
      <c r="H7558">
        <v>3</v>
      </c>
      <c r="I7558">
        <v>1981</v>
      </c>
      <c r="J7558">
        <v>1</v>
      </c>
      <c r="K7558">
        <v>1</v>
      </c>
      <c r="L7558">
        <v>1</v>
      </c>
      <c r="M7558">
        <v>2</v>
      </c>
      <c r="N7558" t="s">
        <v>35</v>
      </c>
      <c r="O7558" t="s">
        <v>27</v>
      </c>
      <c r="P7558">
        <v>2.8503104129856398</v>
      </c>
      <c r="Q7558">
        <v>0.98538140096395099</v>
      </c>
      <c r="R7558">
        <v>2.2242228818876102</v>
      </c>
      <c r="S7558">
        <v>188</v>
      </c>
      <c r="T7558">
        <v>33</v>
      </c>
      <c r="U7558">
        <v>528.27095610349795</v>
      </c>
      <c r="V7558">
        <v>3.6697247706421999E-3</v>
      </c>
      <c r="W7558">
        <v>456174.08914297703</v>
      </c>
      <c r="X7558" t="s">
        <v>43</v>
      </c>
      <c r="Y7558">
        <f>1-310-652-8386</f>
        <v>-9347</v>
      </c>
    </row>
    <row r="7559" spans="1:25" x14ac:dyDescent="0.35">
      <c r="A7559">
        <v>40.919168665706401</v>
      </c>
      <c r="B7559">
        <v>-122.80322721206301</v>
      </c>
      <c r="C7559" t="s">
        <v>25</v>
      </c>
      <c r="D7559">
        <v>1.4002202723667501</v>
      </c>
      <c r="E7559">
        <v>4</v>
      </c>
      <c r="F7559">
        <v>3051</v>
      </c>
      <c r="G7559">
        <v>3</v>
      </c>
      <c r="H7559">
        <v>2</v>
      </c>
      <c r="I7559">
        <v>1957</v>
      </c>
      <c r="J7559">
        <v>0</v>
      </c>
      <c r="K7559">
        <v>0</v>
      </c>
      <c r="L7559">
        <v>1</v>
      </c>
      <c r="M7559">
        <v>7</v>
      </c>
      <c r="N7559" t="s">
        <v>35</v>
      </c>
      <c r="O7559" t="s">
        <v>30</v>
      </c>
      <c r="P7559">
        <v>6.98708830397781</v>
      </c>
      <c r="Q7559">
        <v>0.82614724232544301</v>
      </c>
      <c r="R7559">
        <v>2.1447778453940001</v>
      </c>
      <c r="S7559">
        <v>19</v>
      </c>
      <c r="T7559">
        <v>50</v>
      </c>
      <c r="U7559">
        <v>932.36461468361097</v>
      </c>
      <c r="V7559">
        <v>2.2943297279580401E-3</v>
      </c>
      <c r="W7559">
        <v>2994169.3667465299</v>
      </c>
      <c r="X7559" t="s">
        <v>36</v>
      </c>
      <c r="Y7559">
        <f>1-301-281-5526</f>
        <v>-6107</v>
      </c>
    </row>
    <row r="7560" spans="1:25" x14ac:dyDescent="0.35">
      <c r="A7560">
        <v>40.842277275875603</v>
      </c>
      <c r="B7560">
        <v>-122.299607061182</v>
      </c>
      <c r="C7560" t="s">
        <v>25</v>
      </c>
      <c r="D7560">
        <v>33.850294570278201</v>
      </c>
      <c r="E7560">
        <v>1</v>
      </c>
      <c r="F7560">
        <v>4795</v>
      </c>
      <c r="G7560">
        <v>1</v>
      </c>
      <c r="H7560">
        <v>3</v>
      </c>
      <c r="I7560">
        <v>2016</v>
      </c>
      <c r="J7560">
        <v>0</v>
      </c>
      <c r="K7560">
        <v>1</v>
      </c>
      <c r="L7560">
        <v>0</v>
      </c>
      <c r="M7560">
        <v>4</v>
      </c>
      <c r="N7560" t="s">
        <v>26</v>
      </c>
      <c r="O7560" t="s">
        <v>27</v>
      </c>
      <c r="P7560">
        <v>5.6535434835547402</v>
      </c>
      <c r="Q7560">
        <v>0.954327007173981</v>
      </c>
      <c r="R7560">
        <v>2.0682446051799599</v>
      </c>
      <c r="S7560">
        <v>124</v>
      </c>
      <c r="T7560">
        <v>38</v>
      </c>
      <c r="U7560">
        <v>480.374299172463</v>
      </c>
      <c r="V7560">
        <v>8.3420229405630798E-4</v>
      </c>
      <c r="W7560">
        <v>2462303.1142595201</v>
      </c>
      <c r="X7560" t="s">
        <v>43</v>
      </c>
      <c r="Y7560">
        <f>1-853-375-4309</f>
        <v>-5536</v>
      </c>
    </row>
    <row r="7561" spans="1:25" x14ac:dyDescent="0.35">
      <c r="A7561">
        <v>33.4799091601597</v>
      </c>
      <c r="B7561">
        <v>-120.876458753995</v>
      </c>
      <c r="C7561" t="s">
        <v>34</v>
      </c>
      <c r="D7561">
        <v>25.907238498040002</v>
      </c>
      <c r="E7561">
        <v>4</v>
      </c>
      <c r="F7561">
        <v>2168</v>
      </c>
      <c r="G7561">
        <v>3</v>
      </c>
      <c r="H7561">
        <v>3</v>
      </c>
      <c r="I7561">
        <v>1981</v>
      </c>
      <c r="J7561">
        <v>0</v>
      </c>
      <c r="K7561">
        <v>0</v>
      </c>
      <c r="L7561">
        <v>0</v>
      </c>
      <c r="M7561">
        <v>7</v>
      </c>
      <c r="N7561" t="s">
        <v>35</v>
      </c>
      <c r="O7561" t="s">
        <v>30</v>
      </c>
      <c r="P7561">
        <v>4.7957554383357301</v>
      </c>
      <c r="Q7561">
        <v>0.62565309374497402</v>
      </c>
      <c r="R7561">
        <v>0.26546995027727299</v>
      </c>
      <c r="S7561">
        <v>198</v>
      </c>
      <c r="T7561">
        <v>66</v>
      </c>
      <c r="U7561">
        <v>977.64587630414303</v>
      </c>
      <c r="V7561">
        <v>3.2287822878228701E-3</v>
      </c>
      <c r="W7561">
        <v>2249227.4194443799</v>
      </c>
      <c r="X7561" t="s">
        <v>28</v>
      </c>
      <c r="Y7561">
        <f>1-779-153-1281</f>
        <v>-2212</v>
      </c>
    </row>
    <row r="7562" spans="1:25" x14ac:dyDescent="0.35">
      <c r="A7562">
        <v>38.184061649541697</v>
      </c>
      <c r="B7562">
        <v>-123.155344912164</v>
      </c>
      <c r="C7562" t="s">
        <v>34</v>
      </c>
      <c r="D7562">
        <v>36.172807780027597</v>
      </c>
      <c r="E7562">
        <v>0</v>
      </c>
      <c r="F7562">
        <v>1104</v>
      </c>
      <c r="G7562">
        <v>5</v>
      </c>
      <c r="H7562">
        <v>1</v>
      </c>
      <c r="I7562">
        <v>1976</v>
      </c>
      <c r="J7562">
        <v>1</v>
      </c>
      <c r="K7562">
        <v>0</v>
      </c>
      <c r="L7562">
        <v>1</v>
      </c>
      <c r="M7562">
        <v>14</v>
      </c>
      <c r="N7562" t="s">
        <v>26</v>
      </c>
      <c r="O7562" t="s">
        <v>30</v>
      </c>
      <c r="P7562">
        <v>5.6074031138344802</v>
      </c>
      <c r="Q7562">
        <v>0.68906914859222501</v>
      </c>
      <c r="R7562">
        <v>0.86079558458953198</v>
      </c>
      <c r="S7562">
        <v>181</v>
      </c>
      <c r="T7562">
        <v>30</v>
      </c>
      <c r="U7562">
        <v>955.27617856237498</v>
      </c>
      <c r="V7562">
        <v>1.26811594202898E-2</v>
      </c>
      <c r="W7562">
        <v>1374100.7003162601</v>
      </c>
      <c r="X7562" t="s">
        <v>40</v>
      </c>
      <c r="Y7562">
        <f>1-714-982-7039</f>
        <v>-8734</v>
      </c>
    </row>
    <row r="7563" spans="1:25" x14ac:dyDescent="0.35">
      <c r="A7563">
        <v>33.694557407083799</v>
      </c>
      <c r="B7563">
        <v>-117.835497119832</v>
      </c>
      <c r="C7563" t="s">
        <v>34</v>
      </c>
      <c r="D7563">
        <v>43.8810360616772</v>
      </c>
      <c r="E7563">
        <v>5</v>
      </c>
      <c r="F7563">
        <v>3320</v>
      </c>
      <c r="G7563">
        <v>5</v>
      </c>
      <c r="H7563">
        <v>2</v>
      </c>
      <c r="I7563">
        <v>1960</v>
      </c>
      <c r="J7563">
        <v>1</v>
      </c>
      <c r="K7563">
        <v>1</v>
      </c>
      <c r="L7563">
        <v>1</v>
      </c>
      <c r="M7563">
        <v>6</v>
      </c>
      <c r="N7563" t="s">
        <v>41</v>
      </c>
      <c r="O7563" t="s">
        <v>32</v>
      </c>
      <c r="P7563">
        <v>7.3132780965314499</v>
      </c>
      <c r="Q7563">
        <v>1.0217901182385201</v>
      </c>
      <c r="R7563">
        <v>2.4614994745102199</v>
      </c>
      <c r="S7563">
        <v>41</v>
      </c>
      <c r="T7563">
        <v>31</v>
      </c>
      <c r="U7563">
        <v>654.364448583323</v>
      </c>
      <c r="V7563">
        <v>1.80722891566265E-3</v>
      </c>
      <c r="W7563">
        <v>2539231.0493211499</v>
      </c>
      <c r="X7563" t="s">
        <v>36</v>
      </c>
      <c r="Y7563">
        <f>1-833-440-8833</f>
        <v>-10105</v>
      </c>
    </row>
    <row r="7564" spans="1:25" x14ac:dyDescent="0.35">
      <c r="A7564">
        <v>36.088131353696099</v>
      </c>
      <c r="B7564">
        <v>-120.339798773943</v>
      </c>
      <c r="C7564" t="s">
        <v>34</v>
      </c>
      <c r="D7564">
        <v>19.074999952159502</v>
      </c>
      <c r="E7564">
        <v>8</v>
      </c>
      <c r="F7564">
        <v>767</v>
      </c>
      <c r="G7564">
        <v>3</v>
      </c>
      <c r="H7564">
        <v>1</v>
      </c>
      <c r="I7564">
        <v>1968</v>
      </c>
      <c r="J7564">
        <v>0</v>
      </c>
      <c r="K7564">
        <v>1</v>
      </c>
      <c r="L7564">
        <v>1</v>
      </c>
      <c r="M7564">
        <v>8</v>
      </c>
      <c r="N7564" t="s">
        <v>35</v>
      </c>
      <c r="O7564" t="s">
        <v>27</v>
      </c>
      <c r="P7564">
        <v>10.356378966116401</v>
      </c>
      <c r="Q7564">
        <v>1.3593126483513001</v>
      </c>
      <c r="R7564">
        <v>0.50491427298705505</v>
      </c>
      <c r="S7564">
        <v>99</v>
      </c>
      <c r="T7564">
        <v>44</v>
      </c>
      <c r="U7564">
        <v>929.97683162449005</v>
      </c>
      <c r="V7564">
        <v>1.0430247718383299E-2</v>
      </c>
      <c r="W7564">
        <v>931486.46875482297</v>
      </c>
      <c r="X7564" t="s">
        <v>42</v>
      </c>
      <c r="Y7564">
        <f>1-733-734-6598</f>
        <v>-8064</v>
      </c>
    </row>
    <row r="7565" spans="1:25" x14ac:dyDescent="0.35">
      <c r="A7565">
        <v>34.295945893337503</v>
      </c>
      <c r="B7565">
        <v>-121.833477867664</v>
      </c>
      <c r="C7565" t="s">
        <v>34</v>
      </c>
      <c r="D7565">
        <v>45.363566369134297</v>
      </c>
      <c r="E7565">
        <v>1</v>
      </c>
      <c r="F7565">
        <v>2705</v>
      </c>
      <c r="G7565">
        <v>2</v>
      </c>
      <c r="H7565">
        <v>2</v>
      </c>
      <c r="I7565">
        <v>1973</v>
      </c>
      <c r="J7565">
        <v>0</v>
      </c>
      <c r="K7565">
        <v>0</v>
      </c>
      <c r="L7565">
        <v>0</v>
      </c>
      <c r="M7565">
        <v>11</v>
      </c>
      <c r="N7565" t="s">
        <v>37</v>
      </c>
      <c r="O7565" t="s">
        <v>27</v>
      </c>
      <c r="P7565">
        <v>4.3744874190517198</v>
      </c>
      <c r="Q7565">
        <v>1.11367463347229</v>
      </c>
      <c r="R7565">
        <v>5.9957281500251298</v>
      </c>
      <c r="S7565">
        <v>50</v>
      </c>
      <c r="T7565">
        <v>56</v>
      </c>
      <c r="U7565">
        <v>519.64353707800205</v>
      </c>
      <c r="V7565">
        <v>4.0665434380776303E-3</v>
      </c>
      <c r="W7565">
        <v>1556766.39957524</v>
      </c>
      <c r="X7565" t="s">
        <v>40</v>
      </c>
      <c r="Y7565">
        <f>1-644-471-3032</f>
        <v>-4146</v>
      </c>
    </row>
    <row r="7566" spans="1:25" x14ac:dyDescent="0.35">
      <c r="A7566">
        <v>39.019205867759297</v>
      </c>
      <c r="B7566">
        <v>-122.934974761832</v>
      </c>
      <c r="C7566" t="s">
        <v>25</v>
      </c>
      <c r="D7566">
        <v>18.3434899917435</v>
      </c>
      <c r="E7566">
        <v>2</v>
      </c>
      <c r="F7566">
        <v>4671</v>
      </c>
      <c r="G7566">
        <v>3</v>
      </c>
      <c r="H7566">
        <v>1</v>
      </c>
      <c r="I7566">
        <v>1954</v>
      </c>
      <c r="J7566">
        <v>1</v>
      </c>
      <c r="K7566">
        <v>1</v>
      </c>
      <c r="L7566">
        <v>1</v>
      </c>
      <c r="M7566">
        <v>2</v>
      </c>
      <c r="N7566" t="s">
        <v>35</v>
      </c>
      <c r="O7566" t="s">
        <v>32</v>
      </c>
      <c r="P7566">
        <v>12.2165771602478</v>
      </c>
      <c r="Q7566">
        <v>1.91679982774163</v>
      </c>
      <c r="R7566">
        <v>4.41014188794923</v>
      </c>
      <c r="S7566">
        <v>67</v>
      </c>
      <c r="T7566">
        <v>63</v>
      </c>
      <c r="U7566">
        <v>510.67261751753699</v>
      </c>
      <c r="V7566">
        <v>4.28173838578462E-4</v>
      </c>
      <c r="W7566">
        <v>2667209.6442493098</v>
      </c>
      <c r="X7566" t="s">
        <v>36</v>
      </c>
      <c r="Y7566">
        <f>1-717-278-7413</f>
        <v>-8407</v>
      </c>
    </row>
    <row r="7567" spans="1:25" x14ac:dyDescent="0.35">
      <c r="A7567">
        <v>40.373971027978897</v>
      </c>
      <c r="B7567">
        <v>-124.241349083862</v>
      </c>
      <c r="C7567" t="s">
        <v>29</v>
      </c>
      <c r="D7567">
        <v>23.964072001642201</v>
      </c>
      <c r="E7567">
        <v>2</v>
      </c>
      <c r="F7567">
        <v>2318</v>
      </c>
      <c r="G7567">
        <v>1</v>
      </c>
      <c r="H7567">
        <v>1</v>
      </c>
      <c r="I7567">
        <v>1962</v>
      </c>
      <c r="J7567">
        <v>1</v>
      </c>
      <c r="K7567">
        <v>1</v>
      </c>
      <c r="L7567">
        <v>0</v>
      </c>
      <c r="M7567">
        <v>13</v>
      </c>
      <c r="N7567" t="s">
        <v>41</v>
      </c>
      <c r="O7567" t="s">
        <v>32</v>
      </c>
      <c r="P7567">
        <v>8.7478141166822105</v>
      </c>
      <c r="Q7567">
        <v>1.2560631922394501</v>
      </c>
      <c r="R7567">
        <v>6.9267112068387</v>
      </c>
      <c r="S7567">
        <v>163</v>
      </c>
      <c r="T7567">
        <v>44</v>
      </c>
      <c r="U7567">
        <v>293.89884689605901</v>
      </c>
      <c r="V7567">
        <v>5.6082830025884298E-3</v>
      </c>
      <c r="W7567">
        <v>942161.75875754701</v>
      </c>
      <c r="X7567" t="s">
        <v>40</v>
      </c>
      <c r="Y7567">
        <f>1-568-276-2129</f>
        <v>-2972</v>
      </c>
    </row>
    <row r="7568" spans="1:25" x14ac:dyDescent="0.35">
      <c r="A7568">
        <v>40.915137774548299</v>
      </c>
      <c r="B7568">
        <v>-119.96536812082699</v>
      </c>
      <c r="C7568" t="s">
        <v>25</v>
      </c>
      <c r="D7568">
        <v>48.354973415219398</v>
      </c>
      <c r="E7568">
        <v>7</v>
      </c>
      <c r="F7568">
        <v>3770</v>
      </c>
      <c r="G7568">
        <v>4</v>
      </c>
      <c r="H7568">
        <v>3</v>
      </c>
      <c r="I7568">
        <v>2000</v>
      </c>
      <c r="J7568">
        <v>0</v>
      </c>
      <c r="K7568">
        <v>1</v>
      </c>
      <c r="L7568">
        <v>1</v>
      </c>
      <c r="M7568">
        <v>14</v>
      </c>
      <c r="N7568" t="s">
        <v>37</v>
      </c>
      <c r="O7568" t="s">
        <v>32</v>
      </c>
      <c r="P7568">
        <v>6.79673198261235</v>
      </c>
      <c r="Q7568">
        <v>0.82893226211692805</v>
      </c>
      <c r="R7568">
        <v>1.33519414190884</v>
      </c>
      <c r="S7568">
        <v>89</v>
      </c>
      <c r="T7568">
        <v>46</v>
      </c>
      <c r="U7568">
        <v>220.27952275785299</v>
      </c>
      <c r="V7568">
        <v>3.7135278514588799E-3</v>
      </c>
      <c r="W7568">
        <v>1295915.1082512699</v>
      </c>
      <c r="X7568" t="s">
        <v>31</v>
      </c>
      <c r="Y7568">
        <f>1-297-363-4261</f>
        <v>-4920</v>
      </c>
    </row>
    <row r="7569" spans="1:25" x14ac:dyDescent="0.35">
      <c r="A7569">
        <v>34.908743473426398</v>
      </c>
      <c r="B7569">
        <v>-116.39210092465299</v>
      </c>
      <c r="C7569" t="s">
        <v>34</v>
      </c>
      <c r="D7569">
        <v>26.8383270732601</v>
      </c>
      <c r="E7569">
        <v>7</v>
      </c>
      <c r="F7569">
        <v>539</v>
      </c>
      <c r="G7569">
        <v>3</v>
      </c>
      <c r="H7569">
        <v>2</v>
      </c>
      <c r="I7569">
        <v>1993</v>
      </c>
      <c r="J7569">
        <v>1</v>
      </c>
      <c r="K7569">
        <v>0</v>
      </c>
      <c r="L7569">
        <v>0</v>
      </c>
      <c r="M7569">
        <v>10</v>
      </c>
      <c r="N7569" t="s">
        <v>35</v>
      </c>
      <c r="O7569" t="s">
        <v>32</v>
      </c>
      <c r="P7569">
        <v>13.427008438720399</v>
      </c>
      <c r="Q7569">
        <v>1.1725383871426001</v>
      </c>
      <c r="R7569">
        <v>1.3569836506453801</v>
      </c>
      <c r="S7569">
        <v>92</v>
      </c>
      <c r="T7569">
        <v>58</v>
      </c>
      <c r="U7569">
        <v>431.45761142363398</v>
      </c>
      <c r="V7569">
        <v>1.8552875695732801E-2</v>
      </c>
      <c r="W7569">
        <v>486821.07615350798</v>
      </c>
      <c r="X7569" t="s">
        <v>38</v>
      </c>
      <c r="Y7569">
        <f>1-348-752-6745</f>
        <v>-7844</v>
      </c>
    </row>
    <row r="7570" spans="1:25" x14ac:dyDescent="0.35">
      <c r="A7570">
        <v>37.537462385495203</v>
      </c>
      <c r="B7570">
        <v>-116.376112001425</v>
      </c>
      <c r="C7570" t="s">
        <v>29</v>
      </c>
      <c r="D7570">
        <v>10.7177597441116</v>
      </c>
      <c r="E7570">
        <v>5</v>
      </c>
      <c r="F7570">
        <v>3249</v>
      </c>
      <c r="G7570">
        <v>4</v>
      </c>
      <c r="H7570">
        <v>2</v>
      </c>
      <c r="I7570">
        <v>1958</v>
      </c>
      <c r="J7570">
        <v>1</v>
      </c>
      <c r="K7570">
        <v>0</v>
      </c>
      <c r="L7570">
        <v>1</v>
      </c>
      <c r="M7570">
        <v>8</v>
      </c>
      <c r="N7570" t="s">
        <v>41</v>
      </c>
      <c r="O7570" t="s">
        <v>27</v>
      </c>
      <c r="P7570">
        <v>13.685086661216101</v>
      </c>
      <c r="Q7570">
        <v>1.18469883992997</v>
      </c>
      <c r="R7570">
        <v>9.6629674999700192</v>
      </c>
      <c r="S7570">
        <v>17</v>
      </c>
      <c r="T7570">
        <v>37</v>
      </c>
      <c r="U7570">
        <v>677.01526556847102</v>
      </c>
      <c r="V7570">
        <v>2.4622960911049501E-3</v>
      </c>
      <c r="W7570">
        <v>2548552.9421413601</v>
      </c>
      <c r="X7570" t="s">
        <v>28</v>
      </c>
      <c r="Y7570">
        <f>1-454-800-5140</f>
        <v>-6393</v>
      </c>
    </row>
    <row r="7571" spans="1:25" x14ac:dyDescent="0.35">
      <c r="A7571">
        <v>35.901545866448998</v>
      </c>
      <c r="B7571">
        <v>-119.90512473981499</v>
      </c>
      <c r="C7571" t="s">
        <v>25</v>
      </c>
      <c r="D7571">
        <v>22.099556947237499</v>
      </c>
      <c r="E7571">
        <v>9</v>
      </c>
      <c r="F7571">
        <v>3938</v>
      </c>
      <c r="G7571">
        <v>3</v>
      </c>
      <c r="H7571">
        <v>2</v>
      </c>
      <c r="I7571">
        <v>1958</v>
      </c>
      <c r="J7571">
        <v>1</v>
      </c>
      <c r="K7571">
        <v>0</v>
      </c>
      <c r="L7571">
        <v>1</v>
      </c>
      <c r="M7571">
        <v>5</v>
      </c>
      <c r="N7571" t="s">
        <v>41</v>
      </c>
      <c r="O7571" t="s">
        <v>27</v>
      </c>
      <c r="P7571">
        <v>8.7213169506481893</v>
      </c>
      <c r="Q7571">
        <v>1.94363890154973</v>
      </c>
      <c r="R7571">
        <v>7.3865139576154597</v>
      </c>
      <c r="S7571">
        <v>135</v>
      </c>
      <c r="T7571">
        <v>41</v>
      </c>
      <c r="U7571">
        <v>388.46760618684198</v>
      </c>
      <c r="V7571">
        <v>1.26968004062976E-3</v>
      </c>
      <c r="W7571">
        <v>1773730.93260063</v>
      </c>
      <c r="X7571" t="s">
        <v>28</v>
      </c>
      <c r="Y7571">
        <f>1-549-515-5786</f>
        <v>-6849</v>
      </c>
    </row>
    <row r="7572" spans="1:25" x14ac:dyDescent="0.35">
      <c r="A7572">
        <v>33.966183141483299</v>
      </c>
      <c r="B7572">
        <v>-121.63831837647901</v>
      </c>
      <c r="C7572" t="s">
        <v>25</v>
      </c>
      <c r="D7572">
        <v>23.632338929037299</v>
      </c>
      <c r="E7572">
        <v>8</v>
      </c>
      <c r="F7572">
        <v>2499</v>
      </c>
      <c r="G7572">
        <v>4</v>
      </c>
      <c r="H7572">
        <v>3</v>
      </c>
      <c r="I7572">
        <v>1987</v>
      </c>
      <c r="J7572">
        <v>0</v>
      </c>
      <c r="K7572">
        <v>1</v>
      </c>
      <c r="L7572">
        <v>0</v>
      </c>
      <c r="M7572">
        <v>9</v>
      </c>
      <c r="N7572" t="s">
        <v>37</v>
      </c>
      <c r="O7572" t="s">
        <v>27</v>
      </c>
      <c r="P7572">
        <v>7.7186040500613604</v>
      </c>
      <c r="Q7572">
        <v>2.1232006812414599</v>
      </c>
      <c r="R7572">
        <v>3.2930609187094402</v>
      </c>
      <c r="S7572">
        <v>126</v>
      </c>
      <c r="T7572">
        <v>72</v>
      </c>
      <c r="U7572">
        <v>940.47149665557004</v>
      </c>
      <c r="V7572">
        <v>3.60144057623049E-3</v>
      </c>
      <c r="W7572">
        <v>2670597.4999720901</v>
      </c>
      <c r="X7572" t="s">
        <v>36</v>
      </c>
      <c r="Y7572">
        <f>1-344-124-3020</f>
        <v>-3487</v>
      </c>
    </row>
    <row r="7573" spans="1:25" x14ac:dyDescent="0.35">
      <c r="A7573">
        <v>32.682404685457001</v>
      </c>
      <c r="B7573">
        <v>-119.615844912773</v>
      </c>
      <c r="C7573" t="s">
        <v>25</v>
      </c>
      <c r="D7573">
        <v>25.9907190443171</v>
      </c>
      <c r="E7573">
        <v>9</v>
      </c>
      <c r="F7573">
        <v>4981</v>
      </c>
      <c r="G7573">
        <v>1</v>
      </c>
      <c r="H7573">
        <v>1</v>
      </c>
      <c r="I7573">
        <v>1980</v>
      </c>
      <c r="J7573">
        <v>1</v>
      </c>
      <c r="K7573">
        <v>0</v>
      </c>
      <c r="L7573">
        <v>1</v>
      </c>
      <c r="M7573">
        <v>10</v>
      </c>
      <c r="N7573" t="s">
        <v>41</v>
      </c>
      <c r="O7573" t="s">
        <v>30</v>
      </c>
      <c r="P7573">
        <v>6.8990680436524796</v>
      </c>
      <c r="Q7573">
        <v>0.50912233784044603</v>
      </c>
      <c r="R7573">
        <v>6.3516911668544198</v>
      </c>
      <c r="S7573">
        <v>65</v>
      </c>
      <c r="T7573">
        <v>76</v>
      </c>
      <c r="U7573">
        <v>552.37203986459599</v>
      </c>
      <c r="V7573">
        <v>2.0076289901626099E-3</v>
      </c>
      <c r="W7573">
        <v>2876533.0148376799</v>
      </c>
      <c r="X7573" t="s">
        <v>28</v>
      </c>
      <c r="Y7573">
        <f>1-703-353-5234</f>
        <v>-6289</v>
      </c>
    </row>
    <row r="7574" spans="1:25" x14ac:dyDescent="0.35">
      <c r="A7574">
        <v>41.388085456589401</v>
      </c>
      <c r="B7574">
        <v>-114.86300826106201</v>
      </c>
      <c r="C7574" t="s">
        <v>29</v>
      </c>
      <c r="D7574">
        <v>14.9141497964268</v>
      </c>
      <c r="E7574">
        <v>1</v>
      </c>
      <c r="F7574">
        <v>516</v>
      </c>
      <c r="G7574">
        <v>1</v>
      </c>
      <c r="H7574">
        <v>2</v>
      </c>
      <c r="I7574">
        <v>1989</v>
      </c>
      <c r="J7574">
        <v>0</v>
      </c>
      <c r="K7574">
        <v>1</v>
      </c>
      <c r="L7574">
        <v>0</v>
      </c>
      <c r="M7574">
        <v>4</v>
      </c>
      <c r="N7574" t="s">
        <v>26</v>
      </c>
      <c r="O7574" t="s">
        <v>27</v>
      </c>
      <c r="P7574">
        <v>10.740271306981001</v>
      </c>
      <c r="Q7574">
        <v>1.6094939867595199</v>
      </c>
      <c r="R7574">
        <v>1.67619858110417</v>
      </c>
      <c r="S7574">
        <v>88</v>
      </c>
      <c r="T7574">
        <v>20</v>
      </c>
      <c r="U7574">
        <v>615.55197010633299</v>
      </c>
      <c r="V7574">
        <v>7.7519379844961196E-3</v>
      </c>
      <c r="W7574">
        <v>492500.42392271402</v>
      </c>
      <c r="X7574" t="s">
        <v>44</v>
      </c>
      <c r="Y7574">
        <f>1-496-457-4735</f>
        <v>-5687</v>
      </c>
    </row>
    <row r="7575" spans="1:25" x14ac:dyDescent="0.35">
      <c r="A7575">
        <v>41.406251483054199</v>
      </c>
      <c r="B7575">
        <v>-114.27187245275201</v>
      </c>
      <c r="C7575" t="s">
        <v>25</v>
      </c>
      <c r="D7575">
        <v>40.254296618340902</v>
      </c>
      <c r="E7575">
        <v>1</v>
      </c>
      <c r="F7575">
        <v>3436</v>
      </c>
      <c r="G7575">
        <v>2</v>
      </c>
      <c r="H7575">
        <v>3</v>
      </c>
      <c r="I7575">
        <v>1977</v>
      </c>
      <c r="J7575">
        <v>1</v>
      </c>
      <c r="K7575">
        <v>0</v>
      </c>
      <c r="L7575">
        <v>1</v>
      </c>
      <c r="M7575">
        <v>2</v>
      </c>
      <c r="N7575" t="s">
        <v>41</v>
      </c>
      <c r="O7575" t="s">
        <v>30</v>
      </c>
      <c r="P7575">
        <v>10.265844398118199</v>
      </c>
      <c r="Q7575">
        <v>1.1748635156382401</v>
      </c>
      <c r="R7575">
        <v>1.2545047562062099</v>
      </c>
      <c r="S7575">
        <v>112</v>
      </c>
      <c r="T7575">
        <v>31</v>
      </c>
      <c r="U7575">
        <v>522.27132282213995</v>
      </c>
      <c r="V7575">
        <v>5.8207217694994102E-4</v>
      </c>
      <c r="W7575">
        <v>2079024.3726051601</v>
      </c>
      <c r="X7575" t="s">
        <v>40</v>
      </c>
      <c r="Y7575">
        <f>1-593-735-1430</f>
        <v>-2757</v>
      </c>
    </row>
    <row r="7576" spans="1:25" x14ac:dyDescent="0.35">
      <c r="A7576">
        <v>33.293776588413202</v>
      </c>
      <c r="B7576">
        <v>-121.244338599203</v>
      </c>
      <c r="C7576" t="s">
        <v>34</v>
      </c>
      <c r="D7576">
        <v>8.5317406439207097</v>
      </c>
      <c r="E7576">
        <v>1</v>
      </c>
      <c r="F7576">
        <v>1063</v>
      </c>
      <c r="G7576">
        <v>5</v>
      </c>
      <c r="H7576">
        <v>1</v>
      </c>
      <c r="I7576">
        <v>1951</v>
      </c>
      <c r="J7576">
        <v>1</v>
      </c>
      <c r="K7576">
        <v>0</v>
      </c>
      <c r="L7576">
        <v>0</v>
      </c>
      <c r="M7576">
        <v>9</v>
      </c>
      <c r="N7576" t="s">
        <v>26</v>
      </c>
      <c r="O7576" t="s">
        <v>27</v>
      </c>
      <c r="P7576">
        <v>6.0114301183857703</v>
      </c>
      <c r="Q7576">
        <v>0.88475487695667099</v>
      </c>
      <c r="R7576">
        <v>2.0009219383806198</v>
      </c>
      <c r="S7576">
        <v>195</v>
      </c>
      <c r="T7576">
        <v>59</v>
      </c>
      <c r="U7576">
        <v>421.78162307798902</v>
      </c>
      <c r="V7576">
        <v>8.4666039510818396E-3</v>
      </c>
      <c r="W7576">
        <v>682989.45869139698</v>
      </c>
      <c r="X7576" t="s">
        <v>42</v>
      </c>
      <c r="Y7576">
        <f>1-770-841-8163</f>
        <v>-9773</v>
      </c>
    </row>
    <row r="7577" spans="1:25" x14ac:dyDescent="0.35">
      <c r="A7577">
        <v>35.4852498404492</v>
      </c>
      <c r="B7577">
        <v>-120.47926072172</v>
      </c>
      <c r="C7577" t="s">
        <v>29</v>
      </c>
      <c r="D7577">
        <v>48.565037517182901</v>
      </c>
      <c r="E7577">
        <v>1</v>
      </c>
      <c r="F7577">
        <v>1075</v>
      </c>
      <c r="G7577">
        <v>3</v>
      </c>
      <c r="H7577">
        <v>3</v>
      </c>
      <c r="I7577">
        <v>2011</v>
      </c>
      <c r="J7577">
        <v>1</v>
      </c>
      <c r="K7577">
        <v>1</v>
      </c>
      <c r="L7577">
        <v>1</v>
      </c>
      <c r="M7577">
        <v>2</v>
      </c>
      <c r="N7577" t="s">
        <v>35</v>
      </c>
      <c r="O7577" t="s">
        <v>30</v>
      </c>
      <c r="P7577">
        <v>2.0327172962348299</v>
      </c>
      <c r="Q7577">
        <v>1.43091012308673</v>
      </c>
      <c r="R7577">
        <v>1.15521204478035</v>
      </c>
      <c r="S7577">
        <v>45</v>
      </c>
      <c r="T7577">
        <v>65</v>
      </c>
      <c r="U7577">
        <v>219.34529600122599</v>
      </c>
      <c r="V7577">
        <v>1.8604651162790599E-3</v>
      </c>
      <c r="W7577">
        <v>671375.68956107902</v>
      </c>
      <c r="X7577" t="s">
        <v>36</v>
      </c>
      <c r="Y7577">
        <f>1-475-545-8532</f>
        <v>-9551</v>
      </c>
    </row>
    <row r="7578" spans="1:25" x14ac:dyDescent="0.35">
      <c r="A7578">
        <v>35.531564250840198</v>
      </c>
      <c r="B7578">
        <v>-117.456832986938</v>
      </c>
      <c r="C7578" t="s">
        <v>34</v>
      </c>
      <c r="D7578">
        <v>1.4261167502778</v>
      </c>
      <c r="E7578">
        <v>0</v>
      </c>
      <c r="F7578">
        <v>2141</v>
      </c>
      <c r="G7578">
        <v>1</v>
      </c>
      <c r="H7578">
        <v>1</v>
      </c>
      <c r="I7578">
        <v>2022</v>
      </c>
      <c r="J7578">
        <v>1</v>
      </c>
      <c r="K7578">
        <v>1</v>
      </c>
      <c r="L7578">
        <v>1</v>
      </c>
      <c r="M7578">
        <v>4</v>
      </c>
      <c r="N7578" t="s">
        <v>26</v>
      </c>
      <c r="O7578" t="s">
        <v>32</v>
      </c>
      <c r="P7578">
        <v>9.6216465620750693</v>
      </c>
      <c r="Q7578">
        <v>2.4924349585266898</v>
      </c>
      <c r="R7578">
        <v>0.102213401414711</v>
      </c>
      <c r="S7578">
        <v>2</v>
      </c>
      <c r="T7578">
        <v>23</v>
      </c>
      <c r="U7578">
        <v>423.08591329209003</v>
      </c>
      <c r="V7578">
        <v>1.8682858477347001E-3</v>
      </c>
      <c r="W7578">
        <v>1276193.40450081</v>
      </c>
      <c r="X7578" t="s">
        <v>43</v>
      </c>
      <c r="Y7578">
        <f>1-584-684-1070</f>
        <v>-2337</v>
      </c>
    </row>
    <row r="7579" spans="1:25" x14ac:dyDescent="0.35">
      <c r="A7579">
        <v>32.610045372124702</v>
      </c>
      <c r="B7579">
        <v>-116.936297434382</v>
      </c>
      <c r="C7579" t="s">
        <v>29</v>
      </c>
      <c r="D7579">
        <v>21.759972006814198</v>
      </c>
      <c r="E7579">
        <v>0</v>
      </c>
      <c r="F7579">
        <v>4296</v>
      </c>
      <c r="G7579">
        <v>3</v>
      </c>
      <c r="H7579">
        <v>1</v>
      </c>
      <c r="I7579">
        <v>2015</v>
      </c>
      <c r="J7579">
        <v>0</v>
      </c>
      <c r="K7579">
        <v>1</v>
      </c>
      <c r="L7579">
        <v>1</v>
      </c>
      <c r="M7579">
        <v>4</v>
      </c>
      <c r="N7579" t="s">
        <v>37</v>
      </c>
      <c r="O7579" t="s">
        <v>32</v>
      </c>
      <c r="P7579">
        <v>13.200147925158699</v>
      </c>
      <c r="Q7579">
        <v>1.5960526473530701</v>
      </c>
      <c r="R7579">
        <v>7.3491987831658401</v>
      </c>
      <c r="S7579">
        <v>184</v>
      </c>
      <c r="T7579">
        <v>35</v>
      </c>
      <c r="U7579">
        <v>995.61558308207304</v>
      </c>
      <c r="V7579">
        <v>9.3109869646182495E-4</v>
      </c>
      <c r="W7579">
        <v>4628383.4353024904</v>
      </c>
      <c r="X7579" t="s">
        <v>42</v>
      </c>
      <c r="Y7579">
        <f>1-440-135-8588</f>
        <v>-9162</v>
      </c>
    </row>
    <row r="7580" spans="1:25" x14ac:dyDescent="0.35">
      <c r="A7580">
        <v>41.726365983955297</v>
      </c>
      <c r="B7580">
        <v>-120.962338279094</v>
      </c>
      <c r="C7580" t="s">
        <v>29</v>
      </c>
      <c r="D7580">
        <v>44.704828081676197</v>
      </c>
      <c r="E7580">
        <v>4</v>
      </c>
      <c r="F7580">
        <v>1132</v>
      </c>
      <c r="G7580">
        <v>4</v>
      </c>
      <c r="H7580">
        <v>2</v>
      </c>
      <c r="I7580">
        <v>1959</v>
      </c>
      <c r="J7580">
        <v>0</v>
      </c>
      <c r="K7580">
        <v>0</v>
      </c>
      <c r="L7580">
        <v>1</v>
      </c>
      <c r="M7580">
        <v>11</v>
      </c>
      <c r="N7580" t="s">
        <v>41</v>
      </c>
      <c r="O7580" t="s">
        <v>32</v>
      </c>
      <c r="P7580">
        <v>14.039305296194</v>
      </c>
      <c r="Q7580">
        <v>1.7408708512751101</v>
      </c>
      <c r="R7580">
        <v>1.1970651538118799</v>
      </c>
      <c r="S7580">
        <v>8</v>
      </c>
      <c r="T7580">
        <v>76</v>
      </c>
      <c r="U7580">
        <v>302.33538629040999</v>
      </c>
      <c r="V7580">
        <v>9.7173144876324998E-3</v>
      </c>
      <c r="W7580">
        <v>615817.700644464</v>
      </c>
      <c r="X7580" t="s">
        <v>42</v>
      </c>
      <c r="Y7580">
        <f>1-691-942-2859</f>
        <v>-4491</v>
      </c>
    </row>
    <row r="7581" spans="1:25" x14ac:dyDescent="0.35">
      <c r="A7581">
        <v>34.2159215824706</v>
      </c>
      <c r="B7581">
        <v>-117.91771538673299</v>
      </c>
      <c r="C7581" t="s">
        <v>25</v>
      </c>
      <c r="D7581">
        <v>40.890357901774699</v>
      </c>
      <c r="E7581">
        <v>5</v>
      </c>
      <c r="F7581">
        <v>4660</v>
      </c>
      <c r="G7581">
        <v>2</v>
      </c>
      <c r="H7581">
        <v>1</v>
      </c>
      <c r="I7581">
        <v>2017</v>
      </c>
      <c r="J7581">
        <v>1</v>
      </c>
      <c r="K7581">
        <v>1</v>
      </c>
      <c r="L7581">
        <v>0</v>
      </c>
      <c r="M7581">
        <v>2</v>
      </c>
      <c r="N7581" t="s">
        <v>26</v>
      </c>
      <c r="O7581" t="s">
        <v>30</v>
      </c>
      <c r="P7581">
        <v>11.844795002304901</v>
      </c>
      <c r="Q7581">
        <v>1.6975234619965101</v>
      </c>
      <c r="R7581">
        <v>8.6897068645230107</v>
      </c>
      <c r="S7581">
        <v>61</v>
      </c>
      <c r="T7581">
        <v>74</v>
      </c>
      <c r="U7581">
        <v>768.41180840564095</v>
      </c>
      <c r="V7581">
        <v>4.2918454935622299E-4</v>
      </c>
      <c r="W7581">
        <v>3869608.5688061099</v>
      </c>
      <c r="X7581" t="s">
        <v>33</v>
      </c>
      <c r="Y7581">
        <f>1-438-568-9071</f>
        <v>-10076</v>
      </c>
    </row>
    <row r="7582" spans="1:25" x14ac:dyDescent="0.35">
      <c r="A7582">
        <v>33.738312597981498</v>
      </c>
      <c r="B7582">
        <v>-120.951132150493</v>
      </c>
      <c r="C7582" t="s">
        <v>29</v>
      </c>
      <c r="D7582">
        <v>47.511029472991098</v>
      </c>
      <c r="E7582">
        <v>6</v>
      </c>
      <c r="F7582">
        <v>4954</v>
      </c>
      <c r="G7582">
        <v>1</v>
      </c>
      <c r="H7582">
        <v>1</v>
      </c>
      <c r="I7582">
        <v>1958</v>
      </c>
      <c r="J7582">
        <v>1</v>
      </c>
      <c r="K7582">
        <v>0</v>
      </c>
      <c r="L7582">
        <v>1</v>
      </c>
      <c r="M7582">
        <v>11</v>
      </c>
      <c r="N7582" t="s">
        <v>41</v>
      </c>
      <c r="O7582" t="s">
        <v>27</v>
      </c>
      <c r="P7582">
        <v>5.9852732444144596</v>
      </c>
      <c r="Q7582">
        <v>1.1578877914444701</v>
      </c>
      <c r="R7582">
        <v>7.8247745863904603</v>
      </c>
      <c r="S7582">
        <v>66</v>
      </c>
      <c r="T7582">
        <v>68</v>
      </c>
      <c r="U7582">
        <v>612.26981662255798</v>
      </c>
      <c r="V7582">
        <v>2.2204279370205801E-3</v>
      </c>
      <c r="W7582">
        <v>3068956.77337415</v>
      </c>
      <c r="X7582" t="s">
        <v>36</v>
      </c>
      <c r="Y7582">
        <f>1-305-783-5904</f>
        <v>-6991</v>
      </c>
    </row>
    <row r="7583" spans="1:25" x14ac:dyDescent="0.35">
      <c r="A7583">
        <v>36.729124778740598</v>
      </c>
      <c r="B7583">
        <v>-118.412023601234</v>
      </c>
      <c r="C7583" t="s">
        <v>34</v>
      </c>
      <c r="D7583">
        <v>8.4475552374830905</v>
      </c>
      <c r="E7583">
        <v>3</v>
      </c>
      <c r="F7583">
        <v>4476</v>
      </c>
      <c r="G7583">
        <v>2</v>
      </c>
      <c r="H7583">
        <v>3</v>
      </c>
      <c r="I7583">
        <v>2001</v>
      </c>
      <c r="J7583">
        <v>0</v>
      </c>
      <c r="K7583">
        <v>0</v>
      </c>
      <c r="L7583">
        <v>1</v>
      </c>
      <c r="M7583">
        <v>3</v>
      </c>
      <c r="N7583" t="s">
        <v>26</v>
      </c>
      <c r="O7583" t="s">
        <v>32</v>
      </c>
      <c r="P7583">
        <v>7.7593327600061803</v>
      </c>
      <c r="Q7583">
        <v>1.27818168575484</v>
      </c>
      <c r="R7583">
        <v>1.0539942580893999</v>
      </c>
      <c r="S7583">
        <v>90</v>
      </c>
      <c r="T7583">
        <v>72</v>
      </c>
      <c r="U7583">
        <v>270.76647239176498</v>
      </c>
      <c r="V7583">
        <v>6.7024128686327003E-4</v>
      </c>
      <c r="W7583">
        <v>1400598.1306108299</v>
      </c>
      <c r="X7583" t="s">
        <v>28</v>
      </c>
      <c r="Y7583">
        <f>1-874-504-2767</f>
        <v>-4144</v>
      </c>
    </row>
    <row r="7584" spans="1:25" x14ac:dyDescent="0.35">
      <c r="A7584">
        <v>37.728479655828401</v>
      </c>
      <c r="B7584">
        <v>-124.285236202907</v>
      </c>
      <c r="C7584" t="s">
        <v>29</v>
      </c>
      <c r="D7584">
        <v>35.432625475389102</v>
      </c>
      <c r="E7584">
        <v>7</v>
      </c>
      <c r="F7584">
        <v>3983</v>
      </c>
      <c r="G7584">
        <v>3</v>
      </c>
      <c r="H7584">
        <v>2</v>
      </c>
      <c r="I7584">
        <v>1952</v>
      </c>
      <c r="J7584">
        <v>0</v>
      </c>
      <c r="K7584">
        <v>1</v>
      </c>
      <c r="L7584">
        <v>1</v>
      </c>
      <c r="M7584">
        <v>7</v>
      </c>
      <c r="N7584" t="s">
        <v>26</v>
      </c>
      <c r="O7584" t="s">
        <v>32</v>
      </c>
      <c r="P7584">
        <v>11.434663276677499</v>
      </c>
      <c r="Q7584">
        <v>1.0800917007328299</v>
      </c>
      <c r="R7584">
        <v>0.10753083785287</v>
      </c>
      <c r="S7584">
        <v>89</v>
      </c>
      <c r="T7584">
        <v>33</v>
      </c>
      <c r="U7584">
        <v>876.63040291607399</v>
      </c>
      <c r="V7584">
        <v>1.7574692442882201E-3</v>
      </c>
      <c r="W7584">
        <v>3771941.5881886599</v>
      </c>
      <c r="X7584" t="s">
        <v>31</v>
      </c>
      <c r="Y7584">
        <f>1-282-979-5589</f>
        <v>-6849</v>
      </c>
    </row>
    <row r="7585" spans="1:25" x14ac:dyDescent="0.35">
      <c r="A7585">
        <v>33.534219743996999</v>
      </c>
      <c r="B7585">
        <v>-117.011425158355</v>
      </c>
      <c r="C7585" t="s">
        <v>29</v>
      </c>
      <c r="D7585">
        <v>47.914626381009597</v>
      </c>
      <c r="E7585">
        <v>8</v>
      </c>
      <c r="F7585">
        <v>4378</v>
      </c>
      <c r="G7585">
        <v>2</v>
      </c>
      <c r="H7585">
        <v>3</v>
      </c>
      <c r="I7585">
        <v>2022</v>
      </c>
      <c r="J7585">
        <v>0</v>
      </c>
      <c r="K7585">
        <v>0</v>
      </c>
      <c r="L7585">
        <v>0</v>
      </c>
      <c r="M7585">
        <v>8</v>
      </c>
      <c r="N7585" t="s">
        <v>26</v>
      </c>
      <c r="O7585" t="s">
        <v>30</v>
      </c>
      <c r="P7585">
        <v>4.9160161204907196</v>
      </c>
      <c r="Q7585">
        <v>2.3022601890335399</v>
      </c>
      <c r="R7585">
        <v>2.3125292682173102</v>
      </c>
      <c r="S7585">
        <v>174</v>
      </c>
      <c r="T7585">
        <v>33</v>
      </c>
      <c r="U7585">
        <v>240.23836349042099</v>
      </c>
      <c r="V7585">
        <v>1.82731841023298E-3</v>
      </c>
      <c r="W7585">
        <v>1230495.58090444</v>
      </c>
      <c r="X7585" t="s">
        <v>28</v>
      </c>
      <c r="Y7585">
        <f>1-867-256-1801</f>
        <v>-2923</v>
      </c>
    </row>
    <row r="7586" spans="1:25" x14ac:dyDescent="0.35">
      <c r="A7586">
        <v>34.055092340089303</v>
      </c>
      <c r="B7586">
        <v>-116.691600744328</v>
      </c>
      <c r="C7586" t="s">
        <v>34</v>
      </c>
      <c r="D7586">
        <v>36.177752860672904</v>
      </c>
      <c r="E7586">
        <v>1</v>
      </c>
      <c r="F7586">
        <v>2957</v>
      </c>
      <c r="G7586">
        <v>5</v>
      </c>
      <c r="H7586">
        <v>2</v>
      </c>
      <c r="I7586">
        <v>2005</v>
      </c>
      <c r="J7586">
        <v>0</v>
      </c>
      <c r="K7586">
        <v>0</v>
      </c>
      <c r="L7586">
        <v>0</v>
      </c>
      <c r="M7586">
        <v>12</v>
      </c>
      <c r="N7586" t="s">
        <v>37</v>
      </c>
      <c r="O7586" t="s">
        <v>27</v>
      </c>
      <c r="P7586">
        <v>14.315500230374299</v>
      </c>
      <c r="Q7586">
        <v>1.35762051096679</v>
      </c>
      <c r="R7586">
        <v>8.6976644763634408</v>
      </c>
      <c r="S7586">
        <v>10</v>
      </c>
      <c r="T7586">
        <v>31</v>
      </c>
      <c r="U7586">
        <v>922.931143633749</v>
      </c>
      <c r="V7586">
        <v>4.0581670612106803E-3</v>
      </c>
      <c r="W7586">
        <v>3152088.0469050501</v>
      </c>
      <c r="X7586" t="s">
        <v>44</v>
      </c>
      <c r="Y7586">
        <f>1-557-937-2748</f>
        <v>-4241</v>
      </c>
    </row>
    <row r="7587" spans="1:25" x14ac:dyDescent="0.35">
      <c r="A7587">
        <v>39.362256965788902</v>
      </c>
      <c r="B7587">
        <v>-120.217441753912</v>
      </c>
      <c r="C7587" t="s">
        <v>25</v>
      </c>
      <c r="D7587">
        <v>46.571093381206701</v>
      </c>
      <c r="E7587">
        <v>8</v>
      </c>
      <c r="F7587">
        <v>4201</v>
      </c>
      <c r="G7587">
        <v>2</v>
      </c>
      <c r="H7587">
        <v>2</v>
      </c>
      <c r="I7587">
        <v>2016</v>
      </c>
      <c r="J7587">
        <v>1</v>
      </c>
      <c r="K7587">
        <v>0</v>
      </c>
      <c r="L7587">
        <v>1</v>
      </c>
      <c r="M7587">
        <v>3</v>
      </c>
      <c r="N7587" t="s">
        <v>26</v>
      </c>
      <c r="O7587" t="s">
        <v>32</v>
      </c>
      <c r="P7587">
        <v>4.0260033773779202</v>
      </c>
      <c r="Q7587">
        <v>1.57088842992295</v>
      </c>
      <c r="R7587">
        <v>1.0293349874522399</v>
      </c>
      <c r="S7587">
        <v>193</v>
      </c>
      <c r="T7587">
        <v>55</v>
      </c>
      <c r="U7587">
        <v>688.190679615416</v>
      </c>
      <c r="V7587">
        <v>7.1411568674125195E-4</v>
      </c>
      <c r="W7587">
        <v>3185375.5314766001</v>
      </c>
      <c r="X7587" t="s">
        <v>28</v>
      </c>
      <c r="Y7587">
        <f>1-661-187-7092</f>
        <v>-7939</v>
      </c>
    </row>
    <row r="7588" spans="1:25" x14ac:dyDescent="0.35">
      <c r="A7588">
        <v>41.129042117331103</v>
      </c>
      <c r="B7588">
        <v>-122.830568363639</v>
      </c>
      <c r="C7588" t="s">
        <v>34</v>
      </c>
      <c r="D7588">
        <v>17.163684319158801</v>
      </c>
      <c r="E7588">
        <v>1</v>
      </c>
      <c r="F7588">
        <v>1891</v>
      </c>
      <c r="G7588">
        <v>3</v>
      </c>
      <c r="H7588">
        <v>2</v>
      </c>
      <c r="I7588">
        <v>2013</v>
      </c>
      <c r="J7588">
        <v>1</v>
      </c>
      <c r="K7588">
        <v>1</v>
      </c>
      <c r="L7588">
        <v>0</v>
      </c>
      <c r="M7588">
        <v>3</v>
      </c>
      <c r="N7588" t="s">
        <v>35</v>
      </c>
      <c r="O7588" t="s">
        <v>30</v>
      </c>
      <c r="P7588">
        <v>6.4469872569323501</v>
      </c>
      <c r="Q7588">
        <v>2.26788054853909</v>
      </c>
      <c r="R7588">
        <v>4.49919988572017</v>
      </c>
      <c r="S7588">
        <v>70</v>
      </c>
      <c r="T7588">
        <v>66</v>
      </c>
      <c r="U7588">
        <v>923.69510880817404</v>
      </c>
      <c r="V7588">
        <v>1.58646218931782E-3</v>
      </c>
      <c r="W7588">
        <v>2207650.5759926001</v>
      </c>
      <c r="X7588" t="s">
        <v>40</v>
      </c>
      <c r="Y7588">
        <f>1-816-696-7782</f>
        <v>-9293</v>
      </c>
    </row>
    <row r="7589" spans="1:25" x14ac:dyDescent="0.35">
      <c r="A7589">
        <v>40.1028620615756</v>
      </c>
      <c r="B7589">
        <v>-117.70058243299501</v>
      </c>
      <c r="C7589" t="s">
        <v>29</v>
      </c>
      <c r="D7589">
        <v>6.7258037402307904</v>
      </c>
      <c r="E7589">
        <v>1</v>
      </c>
      <c r="F7589">
        <v>541</v>
      </c>
      <c r="G7589">
        <v>3</v>
      </c>
      <c r="H7589">
        <v>1</v>
      </c>
      <c r="I7589">
        <v>1976</v>
      </c>
      <c r="J7589">
        <v>1</v>
      </c>
      <c r="K7589">
        <v>0</v>
      </c>
      <c r="L7589">
        <v>1</v>
      </c>
      <c r="M7589">
        <v>4</v>
      </c>
      <c r="N7589" t="s">
        <v>37</v>
      </c>
      <c r="O7589" t="s">
        <v>27</v>
      </c>
      <c r="P7589">
        <v>2.0950137323918301</v>
      </c>
      <c r="Q7589">
        <v>1.08376638300599</v>
      </c>
      <c r="R7589">
        <v>6.2182587594921097</v>
      </c>
      <c r="S7589">
        <v>151</v>
      </c>
      <c r="T7589">
        <v>28</v>
      </c>
      <c r="U7589">
        <v>915.35668753222103</v>
      </c>
      <c r="V7589">
        <v>7.3937153419593301E-3</v>
      </c>
      <c r="W7589">
        <v>633978.65119815897</v>
      </c>
      <c r="X7589" t="s">
        <v>28</v>
      </c>
      <c r="Y7589">
        <f>1-475-423-6462</f>
        <v>-7359</v>
      </c>
    </row>
    <row r="7590" spans="1:25" x14ac:dyDescent="0.35">
      <c r="A7590">
        <v>41.350502915055699</v>
      </c>
      <c r="B7590">
        <v>-114.15290052754899</v>
      </c>
      <c r="C7590" t="s">
        <v>25</v>
      </c>
      <c r="D7590">
        <v>46.230557074367901</v>
      </c>
      <c r="E7590">
        <v>8</v>
      </c>
      <c r="F7590">
        <v>511</v>
      </c>
      <c r="G7590">
        <v>2</v>
      </c>
      <c r="H7590">
        <v>3</v>
      </c>
      <c r="I7590">
        <v>1999</v>
      </c>
      <c r="J7590">
        <v>0</v>
      </c>
      <c r="K7590">
        <v>0</v>
      </c>
      <c r="L7590">
        <v>1</v>
      </c>
      <c r="M7590">
        <v>5</v>
      </c>
      <c r="N7590" t="s">
        <v>26</v>
      </c>
      <c r="O7590" t="s">
        <v>32</v>
      </c>
      <c r="P7590">
        <v>11.2512552980475</v>
      </c>
      <c r="Q7590">
        <v>0.53782326069969399</v>
      </c>
      <c r="R7590">
        <v>6.2583504521580497</v>
      </c>
      <c r="S7590">
        <v>35</v>
      </c>
      <c r="T7590">
        <v>30</v>
      </c>
      <c r="U7590">
        <v>692.59573404176194</v>
      </c>
      <c r="V7590">
        <v>9.7847358121330701E-3</v>
      </c>
      <c r="W7590">
        <v>589576.24931872694</v>
      </c>
      <c r="X7590" t="s">
        <v>42</v>
      </c>
      <c r="Y7590">
        <f>1-627-475-1744</f>
        <v>-2845</v>
      </c>
    </row>
    <row r="7591" spans="1:25" x14ac:dyDescent="0.35">
      <c r="A7591">
        <v>33.743459389611097</v>
      </c>
      <c r="B7591">
        <v>-119.318388128492</v>
      </c>
      <c r="C7591" t="s">
        <v>25</v>
      </c>
      <c r="D7591">
        <v>40.989188300145003</v>
      </c>
      <c r="E7591">
        <v>1</v>
      </c>
      <c r="F7591">
        <v>1022</v>
      </c>
      <c r="G7591">
        <v>1</v>
      </c>
      <c r="H7591">
        <v>1</v>
      </c>
      <c r="I7591">
        <v>1971</v>
      </c>
      <c r="J7591">
        <v>0</v>
      </c>
      <c r="K7591">
        <v>0</v>
      </c>
      <c r="L7591">
        <v>1</v>
      </c>
      <c r="M7591">
        <v>10</v>
      </c>
      <c r="N7591" t="s">
        <v>26</v>
      </c>
      <c r="O7591" t="s">
        <v>27</v>
      </c>
      <c r="P7591">
        <v>4.4291243755596303</v>
      </c>
      <c r="Q7591">
        <v>2.2879117991303199</v>
      </c>
      <c r="R7591">
        <v>0.85251248070001695</v>
      </c>
      <c r="S7591">
        <v>173</v>
      </c>
      <c r="T7591">
        <v>67</v>
      </c>
      <c r="U7591">
        <v>748.21732653485503</v>
      </c>
      <c r="V7591">
        <v>9.7847358121330701E-3</v>
      </c>
      <c r="W7591">
        <v>760236.96882899897</v>
      </c>
      <c r="X7591" t="s">
        <v>38</v>
      </c>
      <c r="Y7591">
        <f>1-668-987-7699</f>
        <v>-9353</v>
      </c>
    </row>
    <row r="7592" spans="1:25" x14ac:dyDescent="0.35">
      <c r="A7592">
        <v>37.655917100136698</v>
      </c>
      <c r="B7592">
        <v>-120.034460393298</v>
      </c>
      <c r="C7592" t="s">
        <v>25</v>
      </c>
      <c r="D7592">
        <v>33.161844960799698</v>
      </c>
      <c r="E7592">
        <v>6</v>
      </c>
      <c r="F7592">
        <v>3163</v>
      </c>
      <c r="G7592">
        <v>2</v>
      </c>
      <c r="H7592">
        <v>1</v>
      </c>
      <c r="I7592">
        <v>2007</v>
      </c>
      <c r="J7592">
        <v>0</v>
      </c>
      <c r="K7592">
        <v>1</v>
      </c>
      <c r="L7592">
        <v>1</v>
      </c>
      <c r="M7592">
        <v>14</v>
      </c>
      <c r="N7592" t="s">
        <v>37</v>
      </c>
      <c r="O7592" t="s">
        <v>32</v>
      </c>
      <c r="P7592">
        <v>7.0822356874060102</v>
      </c>
      <c r="Q7592">
        <v>1.3880502901868299</v>
      </c>
      <c r="R7592">
        <v>1.61462598122205</v>
      </c>
      <c r="S7592">
        <v>51</v>
      </c>
      <c r="T7592">
        <v>70</v>
      </c>
      <c r="U7592">
        <v>232.70449663841299</v>
      </c>
      <c r="V7592">
        <v>4.4261776794182698E-3</v>
      </c>
      <c r="W7592">
        <v>966961.40507118497</v>
      </c>
      <c r="X7592" t="s">
        <v>36</v>
      </c>
      <c r="Y7592">
        <f>1-799-723-7943</f>
        <v>-9464</v>
      </c>
    </row>
    <row r="7593" spans="1:25" x14ac:dyDescent="0.35">
      <c r="A7593">
        <v>34.051587375605301</v>
      </c>
      <c r="B7593">
        <v>-121.04349146468</v>
      </c>
      <c r="C7593" t="s">
        <v>29</v>
      </c>
      <c r="D7593">
        <v>6.9487398452042699</v>
      </c>
      <c r="E7593">
        <v>0</v>
      </c>
      <c r="F7593">
        <v>1735</v>
      </c>
      <c r="G7593">
        <v>4</v>
      </c>
      <c r="H7593">
        <v>3</v>
      </c>
      <c r="I7593">
        <v>1996</v>
      </c>
      <c r="J7593">
        <v>0</v>
      </c>
      <c r="K7593">
        <v>0</v>
      </c>
      <c r="L7593">
        <v>0</v>
      </c>
      <c r="M7593">
        <v>5</v>
      </c>
      <c r="N7593" t="s">
        <v>41</v>
      </c>
      <c r="O7593" t="s">
        <v>30</v>
      </c>
      <c r="P7593">
        <v>11.892726452551701</v>
      </c>
      <c r="Q7593">
        <v>1.39265613199382</v>
      </c>
      <c r="R7593">
        <v>6.2217745072599699</v>
      </c>
      <c r="S7593">
        <v>177</v>
      </c>
      <c r="T7593">
        <v>33</v>
      </c>
      <c r="U7593">
        <v>835.45436518286101</v>
      </c>
      <c r="V7593">
        <v>2.8818443804034498E-3</v>
      </c>
      <c r="W7593">
        <v>1732010.7921021199</v>
      </c>
      <c r="X7593" t="s">
        <v>31</v>
      </c>
      <c r="Y7593">
        <f>1-609-374-7597</f>
        <v>-8579</v>
      </c>
    </row>
    <row r="7594" spans="1:25" x14ac:dyDescent="0.35">
      <c r="A7594">
        <v>37.9951562655204</v>
      </c>
      <c r="B7594">
        <v>-121.952027164938</v>
      </c>
      <c r="C7594" t="s">
        <v>25</v>
      </c>
      <c r="D7594">
        <v>29.566543452973299</v>
      </c>
      <c r="E7594">
        <v>1</v>
      </c>
      <c r="F7594">
        <v>824</v>
      </c>
      <c r="G7594">
        <v>5</v>
      </c>
      <c r="H7594">
        <v>1</v>
      </c>
      <c r="I7594">
        <v>2002</v>
      </c>
      <c r="J7594">
        <v>1</v>
      </c>
      <c r="K7594">
        <v>1</v>
      </c>
      <c r="L7594">
        <v>0</v>
      </c>
      <c r="M7594">
        <v>2</v>
      </c>
      <c r="N7594" t="s">
        <v>35</v>
      </c>
      <c r="O7594" t="s">
        <v>32</v>
      </c>
      <c r="P7594">
        <v>10.5734442437486</v>
      </c>
      <c r="Q7594">
        <v>0.56509151423414605</v>
      </c>
      <c r="R7594">
        <v>3.1316168646409701</v>
      </c>
      <c r="S7594">
        <v>196</v>
      </c>
      <c r="T7594">
        <v>46</v>
      </c>
      <c r="U7594">
        <v>910.743560648379</v>
      </c>
      <c r="V7594">
        <v>2.4271844660194099E-3</v>
      </c>
      <c r="W7594">
        <v>1223051.0088575</v>
      </c>
      <c r="X7594" t="s">
        <v>39</v>
      </c>
      <c r="Y7594">
        <f>1-662-698-6303</f>
        <v>-7662</v>
      </c>
    </row>
    <row r="7595" spans="1:25" x14ac:dyDescent="0.35">
      <c r="A7595">
        <v>35.787874070213903</v>
      </c>
      <c r="B7595">
        <v>-118.015443866783</v>
      </c>
      <c r="C7595" t="s">
        <v>25</v>
      </c>
      <c r="D7595">
        <v>22.3064563242588</v>
      </c>
      <c r="E7595">
        <v>6</v>
      </c>
      <c r="F7595">
        <v>1146</v>
      </c>
      <c r="G7595">
        <v>4</v>
      </c>
      <c r="H7595">
        <v>3</v>
      </c>
      <c r="I7595">
        <v>1953</v>
      </c>
      <c r="J7595">
        <v>1</v>
      </c>
      <c r="K7595">
        <v>0</v>
      </c>
      <c r="L7595">
        <v>0</v>
      </c>
      <c r="M7595">
        <v>12</v>
      </c>
      <c r="N7595" t="s">
        <v>35</v>
      </c>
      <c r="O7595" t="s">
        <v>30</v>
      </c>
      <c r="P7595">
        <v>3.4166235116440702</v>
      </c>
      <c r="Q7595">
        <v>1.2483830040308499</v>
      </c>
      <c r="R7595">
        <v>9.4148884439387093</v>
      </c>
      <c r="S7595">
        <v>18</v>
      </c>
      <c r="T7595">
        <v>49</v>
      </c>
      <c r="U7595">
        <v>447.88192408457797</v>
      </c>
      <c r="V7595">
        <v>1.04712041884816E-2</v>
      </c>
      <c r="W7595">
        <v>806503.153227648</v>
      </c>
      <c r="X7595" t="s">
        <v>28</v>
      </c>
      <c r="Y7595">
        <f>1-872-792-9826</f>
        <v>-11489</v>
      </c>
    </row>
    <row r="7596" spans="1:25" x14ac:dyDescent="0.35">
      <c r="A7596">
        <v>34.884647742868701</v>
      </c>
      <c r="B7596">
        <v>-124.460321956939</v>
      </c>
      <c r="C7596" t="s">
        <v>34</v>
      </c>
      <c r="D7596">
        <v>30.188356907185099</v>
      </c>
      <c r="E7596">
        <v>1</v>
      </c>
      <c r="F7596">
        <v>2223</v>
      </c>
      <c r="G7596">
        <v>1</v>
      </c>
      <c r="H7596">
        <v>3</v>
      </c>
      <c r="I7596">
        <v>2003</v>
      </c>
      <c r="J7596">
        <v>1</v>
      </c>
      <c r="K7596">
        <v>0</v>
      </c>
      <c r="L7596">
        <v>0</v>
      </c>
      <c r="M7596">
        <v>4</v>
      </c>
      <c r="N7596" t="s">
        <v>35</v>
      </c>
      <c r="O7596" t="s">
        <v>27</v>
      </c>
      <c r="P7596">
        <v>3.9862590086235099</v>
      </c>
      <c r="Q7596">
        <v>1.59425115780307</v>
      </c>
      <c r="R7596">
        <v>2.26031356810183</v>
      </c>
      <c r="S7596">
        <v>166</v>
      </c>
      <c r="T7596">
        <v>69</v>
      </c>
      <c r="U7596">
        <v>570.01480320533005</v>
      </c>
      <c r="V7596">
        <v>1.7993702204228499E-3</v>
      </c>
      <c r="W7596">
        <v>1410223.3167614201</v>
      </c>
      <c r="X7596" t="s">
        <v>39</v>
      </c>
      <c r="Y7596">
        <f>1-899-890-7653</f>
        <v>-9441</v>
      </c>
    </row>
    <row r="7597" spans="1:25" x14ac:dyDescent="0.35">
      <c r="A7597">
        <v>39.090770632348999</v>
      </c>
      <c r="B7597">
        <v>-114.302055865943</v>
      </c>
      <c r="C7597" t="s">
        <v>25</v>
      </c>
      <c r="D7597">
        <v>3.1266658150368598</v>
      </c>
      <c r="E7597">
        <v>2</v>
      </c>
      <c r="F7597">
        <v>4998</v>
      </c>
      <c r="G7597">
        <v>3</v>
      </c>
      <c r="H7597">
        <v>3</v>
      </c>
      <c r="I7597">
        <v>1963</v>
      </c>
      <c r="J7597">
        <v>0</v>
      </c>
      <c r="K7597">
        <v>0</v>
      </c>
      <c r="L7597">
        <v>1</v>
      </c>
      <c r="M7597">
        <v>6</v>
      </c>
      <c r="N7597" t="s">
        <v>26</v>
      </c>
      <c r="O7597" t="s">
        <v>30</v>
      </c>
      <c r="P7597">
        <v>12.220476264314099</v>
      </c>
      <c r="Q7597">
        <v>1.2020525298410401</v>
      </c>
      <c r="R7597">
        <v>3.0445114445776502</v>
      </c>
      <c r="S7597">
        <v>167</v>
      </c>
      <c r="T7597">
        <v>57</v>
      </c>
      <c r="U7597">
        <v>585.26830616601399</v>
      </c>
      <c r="V7597">
        <v>1.20048019207683E-3</v>
      </c>
      <c r="W7597">
        <v>3265546.8863957599</v>
      </c>
      <c r="X7597" t="s">
        <v>31</v>
      </c>
      <c r="Y7597">
        <f>1-752-905-6024</f>
        <v>-7680</v>
      </c>
    </row>
    <row r="7598" spans="1:25" x14ac:dyDescent="0.35">
      <c r="A7598">
        <v>41.424950052361801</v>
      </c>
      <c r="B7598">
        <v>-116.855927581401</v>
      </c>
      <c r="C7598" t="s">
        <v>25</v>
      </c>
      <c r="D7598">
        <v>40.534481629348598</v>
      </c>
      <c r="E7598">
        <v>6</v>
      </c>
      <c r="F7598">
        <v>3347</v>
      </c>
      <c r="G7598">
        <v>4</v>
      </c>
      <c r="H7598">
        <v>3</v>
      </c>
      <c r="I7598">
        <v>1977</v>
      </c>
      <c r="J7598">
        <v>0</v>
      </c>
      <c r="K7598">
        <v>1</v>
      </c>
      <c r="L7598">
        <v>0</v>
      </c>
      <c r="M7598">
        <v>14</v>
      </c>
      <c r="N7598" t="s">
        <v>37</v>
      </c>
      <c r="O7598" t="s">
        <v>30</v>
      </c>
      <c r="P7598">
        <v>8.3444504386646798</v>
      </c>
      <c r="Q7598">
        <v>2.3219056653912999</v>
      </c>
      <c r="R7598">
        <v>6.3868409198578497</v>
      </c>
      <c r="S7598">
        <v>2</v>
      </c>
      <c r="T7598">
        <v>40</v>
      </c>
      <c r="U7598">
        <v>719.92554131184602</v>
      </c>
      <c r="V7598">
        <v>4.1828503137137703E-3</v>
      </c>
      <c r="W7598">
        <v>2844714.37639684</v>
      </c>
      <c r="X7598" t="s">
        <v>38</v>
      </c>
      <c r="Y7598">
        <f>1-680-154-7134</f>
        <v>-7967</v>
      </c>
    </row>
    <row r="7599" spans="1:25" x14ac:dyDescent="0.35">
      <c r="A7599">
        <v>34.257244209339099</v>
      </c>
      <c r="B7599">
        <v>-122.392540155407</v>
      </c>
      <c r="C7599" t="s">
        <v>29</v>
      </c>
      <c r="D7599">
        <v>43.8048002200402</v>
      </c>
      <c r="E7599">
        <v>0</v>
      </c>
      <c r="F7599">
        <v>665</v>
      </c>
      <c r="G7599">
        <v>3</v>
      </c>
      <c r="H7599">
        <v>1</v>
      </c>
      <c r="I7599">
        <v>1951</v>
      </c>
      <c r="J7599">
        <v>0</v>
      </c>
      <c r="K7599">
        <v>1</v>
      </c>
      <c r="L7599">
        <v>0</v>
      </c>
      <c r="M7599">
        <v>2</v>
      </c>
      <c r="N7599" t="s">
        <v>37</v>
      </c>
      <c r="O7599" t="s">
        <v>30</v>
      </c>
      <c r="P7599">
        <v>12.204757611094101</v>
      </c>
      <c r="Q7599">
        <v>0.97379272051879695</v>
      </c>
      <c r="R7599">
        <v>8.6992063807525195</v>
      </c>
      <c r="S7599">
        <v>59</v>
      </c>
      <c r="T7599">
        <v>54</v>
      </c>
      <c r="U7599">
        <v>394.92187960118298</v>
      </c>
      <c r="V7599">
        <v>3.0075187969924801E-3</v>
      </c>
      <c r="W7599">
        <v>514191.01103565103</v>
      </c>
      <c r="X7599" t="s">
        <v>44</v>
      </c>
      <c r="Y7599">
        <f>1-952-240-4930</f>
        <v>-6121</v>
      </c>
    </row>
    <row r="7600" spans="1:25" x14ac:dyDescent="0.35">
      <c r="A7600">
        <v>36.789817876180003</v>
      </c>
      <c r="B7600">
        <v>-123.65196502714601</v>
      </c>
      <c r="C7600" t="s">
        <v>25</v>
      </c>
      <c r="D7600">
        <v>5.6392475094355898</v>
      </c>
      <c r="E7600">
        <v>6</v>
      </c>
      <c r="F7600">
        <v>501</v>
      </c>
      <c r="G7600">
        <v>1</v>
      </c>
      <c r="H7600">
        <v>1</v>
      </c>
      <c r="I7600">
        <v>2001</v>
      </c>
      <c r="J7600">
        <v>0</v>
      </c>
      <c r="K7600">
        <v>1</v>
      </c>
      <c r="L7600">
        <v>1</v>
      </c>
      <c r="M7600">
        <v>11</v>
      </c>
      <c r="N7600" t="s">
        <v>37</v>
      </c>
      <c r="O7600" t="s">
        <v>30</v>
      </c>
      <c r="P7600">
        <v>14.486873402752799</v>
      </c>
      <c r="Q7600">
        <v>0.94154143570283</v>
      </c>
      <c r="R7600">
        <v>4.53117485600779</v>
      </c>
      <c r="S7600">
        <v>51</v>
      </c>
      <c r="T7600">
        <v>34</v>
      </c>
      <c r="U7600">
        <v>424.97562073744899</v>
      </c>
      <c r="V7600">
        <v>2.1956087824351201E-2</v>
      </c>
      <c r="W7600">
        <v>547537.53766495304</v>
      </c>
      <c r="X7600" t="s">
        <v>33</v>
      </c>
      <c r="Y7600">
        <f>1-461-669-1608</f>
        <v>-2737</v>
      </c>
    </row>
    <row r="7601" spans="1:25" x14ac:dyDescent="0.35">
      <c r="A7601">
        <v>34.546796242523897</v>
      </c>
      <c r="B7601">
        <v>-120.599163270055</v>
      </c>
      <c r="C7601" t="s">
        <v>29</v>
      </c>
      <c r="D7601">
        <v>14.3119075375654</v>
      </c>
      <c r="E7601">
        <v>6</v>
      </c>
      <c r="F7601">
        <v>4877</v>
      </c>
      <c r="G7601">
        <v>1</v>
      </c>
      <c r="H7601">
        <v>1</v>
      </c>
      <c r="I7601">
        <v>1999</v>
      </c>
      <c r="J7601">
        <v>0</v>
      </c>
      <c r="K7601">
        <v>1</v>
      </c>
      <c r="L7601">
        <v>1</v>
      </c>
      <c r="M7601">
        <v>3</v>
      </c>
      <c r="N7601" t="s">
        <v>35</v>
      </c>
      <c r="O7601" t="s">
        <v>32</v>
      </c>
      <c r="P7601">
        <v>7.6785082653559398</v>
      </c>
      <c r="Q7601">
        <v>1.8516016957847401</v>
      </c>
      <c r="R7601">
        <v>6.3704915464389904</v>
      </c>
      <c r="S7601">
        <v>0</v>
      </c>
      <c r="T7601">
        <v>45</v>
      </c>
      <c r="U7601">
        <v>411.07197913969702</v>
      </c>
      <c r="V7601">
        <v>6.1513225343448803E-4</v>
      </c>
      <c r="W7601">
        <v>2211008.3391559999</v>
      </c>
      <c r="X7601" t="s">
        <v>31</v>
      </c>
      <c r="Y7601">
        <f>1-634-248-8671</f>
        <v>-9552</v>
      </c>
    </row>
    <row r="7602" spans="1:25" x14ac:dyDescent="0.35">
      <c r="A7602">
        <v>33.8203325209602</v>
      </c>
      <c r="B7602">
        <v>-116.711920775715</v>
      </c>
      <c r="C7602" t="s">
        <v>25</v>
      </c>
      <c r="D7602">
        <v>18.915015323482798</v>
      </c>
      <c r="E7602">
        <v>5</v>
      </c>
      <c r="F7602">
        <v>1518</v>
      </c>
      <c r="G7602">
        <v>3</v>
      </c>
      <c r="H7602">
        <v>1</v>
      </c>
      <c r="I7602">
        <v>1985</v>
      </c>
      <c r="J7602">
        <v>0</v>
      </c>
      <c r="K7602">
        <v>1</v>
      </c>
      <c r="L7602">
        <v>1</v>
      </c>
      <c r="M7602">
        <v>14</v>
      </c>
      <c r="N7602" t="s">
        <v>26</v>
      </c>
      <c r="O7602" t="s">
        <v>32</v>
      </c>
      <c r="P7602">
        <v>14.919168160507301</v>
      </c>
      <c r="Q7602">
        <v>2.27737793917631</v>
      </c>
      <c r="R7602">
        <v>8.9167732184839306</v>
      </c>
      <c r="S7602">
        <v>69</v>
      </c>
      <c r="T7602">
        <v>22</v>
      </c>
      <c r="U7602">
        <v>326.05938670965298</v>
      </c>
      <c r="V7602">
        <v>9.22266139657444E-3</v>
      </c>
      <c r="W7602">
        <v>884070.29680815001</v>
      </c>
      <c r="X7602" t="s">
        <v>43</v>
      </c>
      <c r="Y7602">
        <f>1-492-206-7726</f>
        <v>-8423</v>
      </c>
    </row>
    <row r="7603" spans="1:25" x14ac:dyDescent="0.35">
      <c r="A7603">
        <v>34.193642100133701</v>
      </c>
      <c r="B7603">
        <v>-124.478320814718</v>
      </c>
      <c r="C7603" t="s">
        <v>25</v>
      </c>
      <c r="D7603">
        <v>19.715533004388</v>
      </c>
      <c r="E7603">
        <v>1</v>
      </c>
      <c r="F7603">
        <v>877</v>
      </c>
      <c r="G7603">
        <v>5</v>
      </c>
      <c r="H7603">
        <v>2</v>
      </c>
      <c r="I7603">
        <v>1998</v>
      </c>
      <c r="J7603">
        <v>0</v>
      </c>
      <c r="K7603">
        <v>0</v>
      </c>
      <c r="L7603">
        <v>1</v>
      </c>
      <c r="M7603">
        <v>13</v>
      </c>
      <c r="N7603" t="s">
        <v>41</v>
      </c>
      <c r="O7603" t="s">
        <v>30</v>
      </c>
      <c r="P7603">
        <v>11.072581232204399</v>
      </c>
      <c r="Q7603">
        <v>1.12339387578794</v>
      </c>
      <c r="R7603">
        <v>4.2821481627473004</v>
      </c>
      <c r="S7603">
        <v>100</v>
      </c>
      <c r="T7603">
        <v>36</v>
      </c>
      <c r="U7603">
        <v>643.86422089323605</v>
      </c>
      <c r="V7603">
        <v>1.48232611174458E-2</v>
      </c>
      <c r="W7603">
        <v>981809.70826304494</v>
      </c>
      <c r="X7603" t="s">
        <v>42</v>
      </c>
      <c r="Y7603">
        <f>1-542-106-3981</f>
        <v>-4628</v>
      </c>
    </row>
    <row r="7604" spans="1:25" x14ac:dyDescent="0.35">
      <c r="A7604">
        <v>38.362744595429398</v>
      </c>
      <c r="B7604">
        <v>-116.635801871967</v>
      </c>
      <c r="C7604" t="s">
        <v>34</v>
      </c>
      <c r="D7604">
        <v>45.386113808870299</v>
      </c>
      <c r="E7604">
        <v>4</v>
      </c>
      <c r="F7604">
        <v>1510</v>
      </c>
      <c r="G7604">
        <v>3</v>
      </c>
      <c r="H7604">
        <v>3</v>
      </c>
      <c r="I7604">
        <v>1958</v>
      </c>
      <c r="J7604">
        <v>1</v>
      </c>
      <c r="K7604">
        <v>1</v>
      </c>
      <c r="L7604">
        <v>1</v>
      </c>
      <c r="M7604">
        <v>2</v>
      </c>
      <c r="N7604" t="s">
        <v>41</v>
      </c>
      <c r="O7604" t="s">
        <v>30</v>
      </c>
      <c r="P7604">
        <v>2.5882764674785199</v>
      </c>
      <c r="Q7604">
        <v>1.1577651838592999</v>
      </c>
      <c r="R7604">
        <v>3.3297570219838302</v>
      </c>
      <c r="S7604">
        <v>115</v>
      </c>
      <c r="T7604">
        <v>79</v>
      </c>
      <c r="U7604">
        <v>681.43068265056195</v>
      </c>
      <c r="V7604">
        <v>1.3245033112582699E-3</v>
      </c>
      <c r="W7604">
        <v>1380639.4863895299</v>
      </c>
      <c r="X7604" t="s">
        <v>31</v>
      </c>
      <c r="Y7604">
        <f>1-616-543-6967</f>
        <v>-8125</v>
      </c>
    </row>
    <row r="7605" spans="1:25" x14ac:dyDescent="0.35">
      <c r="A7605">
        <v>34.348971818701997</v>
      </c>
      <c r="B7605">
        <v>-117.44994311429301</v>
      </c>
      <c r="C7605" t="s">
        <v>34</v>
      </c>
      <c r="D7605">
        <v>17.109249581491099</v>
      </c>
      <c r="E7605">
        <v>1</v>
      </c>
      <c r="F7605">
        <v>3289</v>
      </c>
      <c r="G7605">
        <v>1</v>
      </c>
      <c r="H7605">
        <v>2</v>
      </c>
      <c r="I7605">
        <v>1956</v>
      </c>
      <c r="J7605">
        <v>1</v>
      </c>
      <c r="K7605">
        <v>1</v>
      </c>
      <c r="L7605">
        <v>1</v>
      </c>
      <c r="M7605">
        <v>4</v>
      </c>
      <c r="N7605" t="s">
        <v>37</v>
      </c>
      <c r="O7605" t="s">
        <v>30</v>
      </c>
      <c r="P7605">
        <v>7.5255311501459499</v>
      </c>
      <c r="Q7605">
        <v>2.0406377260726698</v>
      </c>
      <c r="R7605">
        <v>5.7632937631461196</v>
      </c>
      <c r="S7605">
        <v>69</v>
      </c>
      <c r="T7605">
        <v>32</v>
      </c>
      <c r="U7605">
        <v>875.25821128683197</v>
      </c>
      <c r="V7605">
        <v>1.2161751292185999E-3</v>
      </c>
      <c r="W7605">
        <v>3001259.0033151</v>
      </c>
      <c r="X7605" t="s">
        <v>36</v>
      </c>
      <c r="Y7605">
        <f>1-865-922-5173</f>
        <v>-6959</v>
      </c>
    </row>
    <row r="7606" spans="1:25" x14ac:dyDescent="0.35">
      <c r="A7606">
        <v>40.734026274125497</v>
      </c>
      <c r="B7606">
        <v>-122.925540304536</v>
      </c>
      <c r="C7606" t="s">
        <v>34</v>
      </c>
      <c r="D7606">
        <v>10.6918786725254</v>
      </c>
      <c r="E7606">
        <v>8</v>
      </c>
      <c r="F7606">
        <v>1725</v>
      </c>
      <c r="G7606">
        <v>1</v>
      </c>
      <c r="H7606">
        <v>3</v>
      </c>
      <c r="I7606">
        <v>1990</v>
      </c>
      <c r="J7606">
        <v>0</v>
      </c>
      <c r="K7606">
        <v>1</v>
      </c>
      <c r="L7606">
        <v>0</v>
      </c>
      <c r="M7606">
        <v>7</v>
      </c>
      <c r="N7606" t="s">
        <v>26</v>
      </c>
      <c r="O7606" t="s">
        <v>32</v>
      </c>
      <c r="P7606">
        <v>7.54664722179331</v>
      </c>
      <c r="Q7606">
        <v>0.77540404686632403</v>
      </c>
      <c r="R7606">
        <v>7.5166915024529297</v>
      </c>
      <c r="S7606">
        <v>163</v>
      </c>
      <c r="T7606">
        <v>48</v>
      </c>
      <c r="U7606">
        <v>928.62029607460101</v>
      </c>
      <c r="V7606">
        <v>4.0579710144927504E-3</v>
      </c>
      <c r="W7606">
        <v>1763766.80152876</v>
      </c>
      <c r="X7606" t="s">
        <v>36</v>
      </c>
      <c r="Y7606">
        <f>1-751-313-1318</f>
        <v>-2381</v>
      </c>
    </row>
    <row r="7607" spans="1:25" x14ac:dyDescent="0.35">
      <c r="A7607">
        <v>39.015319812324101</v>
      </c>
      <c r="B7607">
        <v>-120.98823444273199</v>
      </c>
      <c r="C7607" t="s">
        <v>34</v>
      </c>
      <c r="D7607">
        <v>31.302135981195299</v>
      </c>
      <c r="E7607">
        <v>5</v>
      </c>
      <c r="F7607">
        <v>2740</v>
      </c>
      <c r="G7607">
        <v>2</v>
      </c>
      <c r="H7607">
        <v>2</v>
      </c>
      <c r="I7607">
        <v>2006</v>
      </c>
      <c r="J7607">
        <v>0</v>
      </c>
      <c r="K7607">
        <v>0</v>
      </c>
      <c r="L7607">
        <v>0</v>
      </c>
      <c r="M7607">
        <v>4</v>
      </c>
      <c r="N7607" t="s">
        <v>35</v>
      </c>
      <c r="O7607" t="s">
        <v>27</v>
      </c>
      <c r="P7607">
        <v>13.4000635833725</v>
      </c>
      <c r="Q7607">
        <v>2.32914923547282</v>
      </c>
      <c r="R7607">
        <v>8.0040038778859302</v>
      </c>
      <c r="S7607">
        <v>38</v>
      </c>
      <c r="T7607">
        <v>49</v>
      </c>
      <c r="U7607">
        <v>971.82256588189898</v>
      </c>
      <c r="V7607">
        <v>1.4598540145985401E-3</v>
      </c>
      <c r="W7607">
        <v>2854560.8584898598</v>
      </c>
      <c r="X7607" t="s">
        <v>39</v>
      </c>
      <c r="Y7607">
        <f>1-421-420-3301</f>
        <v>-4141</v>
      </c>
    </row>
    <row r="7608" spans="1:25" x14ac:dyDescent="0.35">
      <c r="A7608">
        <v>34.696311308861397</v>
      </c>
      <c r="B7608">
        <v>-114.17876384321799</v>
      </c>
      <c r="C7608" t="s">
        <v>29</v>
      </c>
      <c r="D7608">
        <v>32.312819506657398</v>
      </c>
      <c r="E7608">
        <v>5</v>
      </c>
      <c r="F7608">
        <v>1657</v>
      </c>
      <c r="G7608">
        <v>1</v>
      </c>
      <c r="H7608">
        <v>3</v>
      </c>
      <c r="I7608">
        <v>2013</v>
      </c>
      <c r="J7608">
        <v>0</v>
      </c>
      <c r="K7608">
        <v>1</v>
      </c>
      <c r="L7608">
        <v>1</v>
      </c>
      <c r="M7608">
        <v>3</v>
      </c>
      <c r="N7608" t="s">
        <v>41</v>
      </c>
      <c r="O7608" t="s">
        <v>32</v>
      </c>
      <c r="P7608">
        <v>11.8073132347607</v>
      </c>
      <c r="Q7608">
        <v>0.87988827974560702</v>
      </c>
      <c r="R7608">
        <v>0.83243823514428705</v>
      </c>
      <c r="S7608">
        <v>106</v>
      </c>
      <c r="T7608">
        <v>54</v>
      </c>
      <c r="U7608">
        <v>615.66882445644296</v>
      </c>
      <c r="V7608">
        <v>1.8105009052504499E-3</v>
      </c>
      <c r="W7608">
        <v>1377773.91818238</v>
      </c>
      <c r="X7608" t="s">
        <v>31</v>
      </c>
      <c r="Y7608">
        <f>1-552-704-6275</f>
        <v>-7530</v>
      </c>
    </row>
    <row r="7609" spans="1:25" x14ac:dyDescent="0.35">
      <c r="A7609">
        <v>34.670019278217801</v>
      </c>
      <c r="B7609">
        <v>-121.856093308601</v>
      </c>
      <c r="C7609" t="s">
        <v>29</v>
      </c>
      <c r="D7609">
        <v>20.539137698512</v>
      </c>
      <c r="E7609">
        <v>7</v>
      </c>
      <c r="F7609">
        <v>4965</v>
      </c>
      <c r="G7609">
        <v>2</v>
      </c>
      <c r="H7609">
        <v>2</v>
      </c>
      <c r="I7609">
        <v>1955</v>
      </c>
      <c r="J7609">
        <v>0</v>
      </c>
      <c r="K7609">
        <v>0</v>
      </c>
      <c r="L7609">
        <v>0</v>
      </c>
      <c r="M7609">
        <v>13</v>
      </c>
      <c r="N7609" t="s">
        <v>35</v>
      </c>
      <c r="O7609" t="s">
        <v>27</v>
      </c>
      <c r="P7609">
        <v>12.906379394324301</v>
      </c>
      <c r="Q7609">
        <v>1.64965914898685</v>
      </c>
      <c r="R7609">
        <v>1.1056023457348501</v>
      </c>
      <c r="S7609">
        <v>158</v>
      </c>
      <c r="T7609">
        <v>56</v>
      </c>
      <c r="U7609">
        <v>628.37718632961003</v>
      </c>
      <c r="V7609">
        <v>2.6183282980866002E-3</v>
      </c>
      <c r="W7609">
        <v>3283033.7936994401</v>
      </c>
      <c r="X7609" t="s">
        <v>43</v>
      </c>
      <c r="Y7609">
        <f>1-741-434-8246</f>
        <v>-9420</v>
      </c>
    </row>
    <row r="7610" spans="1:25" x14ac:dyDescent="0.35">
      <c r="A7610">
        <v>41.411274573983697</v>
      </c>
      <c r="B7610">
        <v>-117.632193699838</v>
      </c>
      <c r="C7610" t="s">
        <v>25</v>
      </c>
      <c r="D7610">
        <v>26.743913103291899</v>
      </c>
      <c r="E7610">
        <v>6</v>
      </c>
      <c r="F7610">
        <v>3191</v>
      </c>
      <c r="G7610">
        <v>3</v>
      </c>
      <c r="H7610">
        <v>3</v>
      </c>
      <c r="I7610">
        <v>1959</v>
      </c>
      <c r="J7610">
        <v>1</v>
      </c>
      <c r="K7610">
        <v>0</v>
      </c>
      <c r="L7610">
        <v>1</v>
      </c>
      <c r="M7610">
        <v>6</v>
      </c>
      <c r="N7610" t="s">
        <v>26</v>
      </c>
      <c r="O7610" t="s">
        <v>27</v>
      </c>
      <c r="P7610">
        <v>12.0646936739107</v>
      </c>
      <c r="Q7610">
        <v>1.2014281871933301</v>
      </c>
      <c r="R7610">
        <v>9.9323211849495703</v>
      </c>
      <c r="S7610">
        <v>5</v>
      </c>
      <c r="T7610">
        <v>51</v>
      </c>
      <c r="U7610">
        <v>284.94645269624999</v>
      </c>
      <c r="V7610">
        <v>1.8802883108743299E-3</v>
      </c>
      <c r="W7610">
        <v>1235746.5019328301</v>
      </c>
      <c r="X7610" t="s">
        <v>33</v>
      </c>
      <c r="Y7610">
        <f>1-464-595-4754</f>
        <v>-5812</v>
      </c>
    </row>
    <row r="7611" spans="1:25" x14ac:dyDescent="0.35">
      <c r="A7611">
        <v>33.008769082257103</v>
      </c>
      <c r="B7611">
        <v>-115.20801739867299</v>
      </c>
      <c r="C7611" t="s">
        <v>25</v>
      </c>
      <c r="D7611">
        <v>22.141636888508401</v>
      </c>
      <c r="E7611">
        <v>8</v>
      </c>
      <c r="F7611">
        <v>1877</v>
      </c>
      <c r="G7611">
        <v>2</v>
      </c>
      <c r="H7611">
        <v>3</v>
      </c>
      <c r="I7611">
        <v>1952</v>
      </c>
      <c r="J7611">
        <v>0</v>
      </c>
      <c r="K7611">
        <v>1</v>
      </c>
      <c r="L7611">
        <v>1</v>
      </c>
      <c r="M7611">
        <v>12</v>
      </c>
      <c r="N7611" t="s">
        <v>35</v>
      </c>
      <c r="O7611" t="s">
        <v>27</v>
      </c>
      <c r="P7611">
        <v>4.0149833056460702</v>
      </c>
      <c r="Q7611">
        <v>1.9934510332275499</v>
      </c>
      <c r="R7611">
        <v>9.1691894076592302</v>
      </c>
      <c r="S7611">
        <v>152</v>
      </c>
      <c r="T7611">
        <v>33</v>
      </c>
      <c r="U7611">
        <v>792.37698215907801</v>
      </c>
      <c r="V7611">
        <v>6.3931806073521504E-3</v>
      </c>
      <c r="W7611">
        <v>1591919.73071015</v>
      </c>
      <c r="X7611" t="s">
        <v>44</v>
      </c>
      <c r="Y7611">
        <f>1-343-648-8094</f>
        <v>-9084</v>
      </c>
    </row>
    <row r="7612" spans="1:25" x14ac:dyDescent="0.35">
      <c r="A7612">
        <v>33.1378053775883</v>
      </c>
      <c r="B7612">
        <v>-123.08761692255899</v>
      </c>
      <c r="C7612" t="s">
        <v>34</v>
      </c>
      <c r="D7612">
        <v>11.395833072889999</v>
      </c>
      <c r="E7612">
        <v>1</v>
      </c>
      <c r="F7612">
        <v>4391</v>
      </c>
      <c r="G7612">
        <v>1</v>
      </c>
      <c r="H7612">
        <v>2</v>
      </c>
      <c r="I7612">
        <v>1970</v>
      </c>
      <c r="J7612">
        <v>0</v>
      </c>
      <c r="K7612">
        <v>0</v>
      </c>
      <c r="L7612">
        <v>1</v>
      </c>
      <c r="M7612">
        <v>10</v>
      </c>
      <c r="N7612" t="s">
        <v>41</v>
      </c>
      <c r="O7612" t="s">
        <v>30</v>
      </c>
      <c r="P7612">
        <v>13.5749176589367</v>
      </c>
      <c r="Q7612">
        <v>2.17011717658285</v>
      </c>
      <c r="R7612">
        <v>7.0218179383143902</v>
      </c>
      <c r="S7612">
        <v>112</v>
      </c>
      <c r="T7612">
        <v>53</v>
      </c>
      <c r="U7612">
        <v>403.54245852601099</v>
      </c>
      <c r="V7612">
        <v>2.2773855613755401E-3</v>
      </c>
      <c r="W7612">
        <v>1875660.40505381</v>
      </c>
      <c r="X7612" t="s">
        <v>33</v>
      </c>
      <c r="Y7612">
        <f>1-823-990-3339</f>
        <v>-5151</v>
      </c>
    </row>
    <row r="7613" spans="1:25" x14ac:dyDescent="0.35">
      <c r="A7613">
        <v>37.7960418601998</v>
      </c>
      <c r="B7613">
        <v>-114.348013449495</v>
      </c>
      <c r="C7613" t="s">
        <v>34</v>
      </c>
      <c r="D7613">
        <v>5.9161849740934098</v>
      </c>
      <c r="E7613">
        <v>6</v>
      </c>
      <c r="F7613">
        <v>1389</v>
      </c>
      <c r="G7613">
        <v>1</v>
      </c>
      <c r="H7613">
        <v>1</v>
      </c>
      <c r="I7613">
        <v>1993</v>
      </c>
      <c r="J7613">
        <v>1</v>
      </c>
      <c r="K7613">
        <v>0</v>
      </c>
      <c r="L7613">
        <v>1</v>
      </c>
      <c r="M7613">
        <v>10</v>
      </c>
      <c r="N7613" t="s">
        <v>37</v>
      </c>
      <c r="O7613" t="s">
        <v>27</v>
      </c>
      <c r="P7613">
        <v>4.5692990785185001</v>
      </c>
      <c r="Q7613">
        <v>1.7203656753398799</v>
      </c>
      <c r="R7613">
        <v>5.7346014069753499</v>
      </c>
      <c r="S7613">
        <v>112</v>
      </c>
      <c r="T7613">
        <v>74</v>
      </c>
      <c r="U7613">
        <v>392.52587421584201</v>
      </c>
      <c r="V7613">
        <v>7.1994240460763097E-3</v>
      </c>
      <c r="W7613">
        <v>619669.71083714301</v>
      </c>
      <c r="X7613" t="s">
        <v>28</v>
      </c>
      <c r="Y7613">
        <f>1-511-722-3191</f>
        <v>-4423</v>
      </c>
    </row>
    <row r="7614" spans="1:25" x14ac:dyDescent="0.35">
      <c r="A7614">
        <v>41.903727640463202</v>
      </c>
      <c r="B7614">
        <v>-117.24633305533099</v>
      </c>
      <c r="C7614" t="s">
        <v>25</v>
      </c>
      <c r="D7614">
        <v>34.659754759922698</v>
      </c>
      <c r="E7614">
        <v>4</v>
      </c>
      <c r="F7614">
        <v>1813</v>
      </c>
      <c r="G7614">
        <v>5</v>
      </c>
      <c r="H7614">
        <v>2</v>
      </c>
      <c r="I7614">
        <v>1976</v>
      </c>
      <c r="J7614">
        <v>0</v>
      </c>
      <c r="K7614">
        <v>0</v>
      </c>
      <c r="L7614">
        <v>0</v>
      </c>
      <c r="M7614">
        <v>8</v>
      </c>
      <c r="N7614" t="s">
        <v>41</v>
      </c>
      <c r="O7614" t="s">
        <v>27</v>
      </c>
      <c r="P7614">
        <v>5.34573195678038</v>
      </c>
      <c r="Q7614">
        <v>1.46484796446425</v>
      </c>
      <c r="R7614">
        <v>9.4990448691479799</v>
      </c>
      <c r="S7614">
        <v>108</v>
      </c>
      <c r="T7614">
        <v>46</v>
      </c>
      <c r="U7614">
        <v>822.407150033167</v>
      </c>
      <c r="V7614">
        <v>4.4125758411472701E-3</v>
      </c>
      <c r="W7614">
        <v>1708573.1781701299</v>
      </c>
      <c r="X7614" t="s">
        <v>42</v>
      </c>
      <c r="Y7614">
        <f>1-530-306-1349</f>
        <v>-2184</v>
      </c>
    </row>
    <row r="7615" spans="1:25" x14ac:dyDescent="0.35">
      <c r="A7615">
        <v>40.918523581743997</v>
      </c>
      <c r="B7615">
        <v>-122.10655101836301</v>
      </c>
      <c r="C7615" t="s">
        <v>29</v>
      </c>
      <c r="D7615">
        <v>39.848254730572599</v>
      </c>
      <c r="E7615">
        <v>8</v>
      </c>
      <c r="F7615">
        <v>2092</v>
      </c>
      <c r="G7615">
        <v>5</v>
      </c>
      <c r="H7615">
        <v>3</v>
      </c>
      <c r="I7615">
        <v>1986</v>
      </c>
      <c r="J7615">
        <v>1</v>
      </c>
      <c r="K7615">
        <v>1</v>
      </c>
      <c r="L7615">
        <v>0</v>
      </c>
      <c r="M7615">
        <v>9</v>
      </c>
      <c r="N7615" t="s">
        <v>35</v>
      </c>
      <c r="O7615" t="s">
        <v>32</v>
      </c>
      <c r="P7615">
        <v>2.3038014476223601</v>
      </c>
      <c r="Q7615">
        <v>1.74899756044209</v>
      </c>
      <c r="R7615">
        <v>1.0041690187652701</v>
      </c>
      <c r="S7615">
        <v>34</v>
      </c>
      <c r="T7615">
        <v>20</v>
      </c>
      <c r="U7615">
        <v>353.03419247605598</v>
      </c>
      <c r="V7615">
        <v>4.3021032504780097E-3</v>
      </c>
      <c r="W7615">
        <v>1239033.99353088</v>
      </c>
      <c r="X7615" t="s">
        <v>42</v>
      </c>
      <c r="Y7615">
        <f>1-625-844-8147</f>
        <v>-9615</v>
      </c>
    </row>
    <row r="7616" spans="1:25" x14ac:dyDescent="0.35">
      <c r="A7616">
        <v>35.604335934477398</v>
      </c>
      <c r="B7616">
        <v>-118.41358682187099</v>
      </c>
      <c r="C7616" t="s">
        <v>25</v>
      </c>
      <c r="D7616">
        <v>14.38178260382</v>
      </c>
      <c r="E7616">
        <v>3</v>
      </c>
      <c r="F7616">
        <v>4121</v>
      </c>
      <c r="G7616">
        <v>4</v>
      </c>
      <c r="H7616">
        <v>1</v>
      </c>
      <c r="I7616">
        <v>1958</v>
      </c>
      <c r="J7616">
        <v>0</v>
      </c>
      <c r="K7616">
        <v>1</v>
      </c>
      <c r="L7616">
        <v>1</v>
      </c>
      <c r="M7616">
        <v>8</v>
      </c>
      <c r="N7616" t="s">
        <v>37</v>
      </c>
      <c r="O7616" t="s">
        <v>32</v>
      </c>
      <c r="P7616">
        <v>9.2019254076639694</v>
      </c>
      <c r="Q7616">
        <v>1.75779041590358</v>
      </c>
      <c r="R7616">
        <v>6.2195299634200802</v>
      </c>
      <c r="S7616">
        <v>32</v>
      </c>
      <c r="T7616">
        <v>42</v>
      </c>
      <c r="U7616">
        <v>667.79034245723199</v>
      </c>
      <c r="V7616">
        <v>1.94127638922591E-3</v>
      </c>
      <c r="W7616">
        <v>3036582.4145824802</v>
      </c>
      <c r="X7616" t="s">
        <v>28</v>
      </c>
      <c r="Y7616">
        <f>1-440-166-9900</f>
        <v>-10505</v>
      </c>
    </row>
    <row r="7617" spans="1:25" x14ac:dyDescent="0.35">
      <c r="A7617">
        <v>39.008961791358502</v>
      </c>
      <c r="B7617">
        <v>-122.853402096867</v>
      </c>
      <c r="C7617" t="s">
        <v>29</v>
      </c>
      <c r="D7617">
        <v>17.014532847539598</v>
      </c>
      <c r="E7617">
        <v>8</v>
      </c>
      <c r="F7617">
        <v>536</v>
      </c>
      <c r="G7617">
        <v>1</v>
      </c>
      <c r="H7617">
        <v>1</v>
      </c>
      <c r="I7617">
        <v>1975</v>
      </c>
      <c r="J7617">
        <v>0</v>
      </c>
      <c r="K7617">
        <v>0</v>
      </c>
      <c r="L7617">
        <v>0</v>
      </c>
      <c r="M7617">
        <v>12</v>
      </c>
      <c r="N7617" t="s">
        <v>26</v>
      </c>
      <c r="O7617" t="s">
        <v>27</v>
      </c>
      <c r="P7617">
        <v>10.340198706780299</v>
      </c>
      <c r="Q7617">
        <v>1.2145823002727401</v>
      </c>
      <c r="R7617">
        <v>2.8414333998683099</v>
      </c>
      <c r="S7617">
        <v>155</v>
      </c>
      <c r="T7617">
        <v>22</v>
      </c>
      <c r="U7617">
        <v>538.41868412117196</v>
      </c>
      <c r="V7617">
        <v>2.2388059701492501E-2</v>
      </c>
      <c r="W7617">
        <v>327452.31586768798</v>
      </c>
      <c r="X7617" t="s">
        <v>33</v>
      </c>
      <c r="Y7617">
        <f>1-513-731-9351</f>
        <v>-10594</v>
      </c>
    </row>
    <row r="7618" spans="1:25" x14ac:dyDescent="0.35">
      <c r="A7618">
        <v>33.091537148099498</v>
      </c>
      <c r="B7618">
        <v>-115.87745621307801</v>
      </c>
      <c r="C7618" t="s">
        <v>29</v>
      </c>
      <c r="D7618">
        <v>10.8296514986466</v>
      </c>
      <c r="E7618">
        <v>9</v>
      </c>
      <c r="F7618">
        <v>853</v>
      </c>
      <c r="G7618">
        <v>2</v>
      </c>
      <c r="H7618">
        <v>3</v>
      </c>
      <c r="I7618">
        <v>1994</v>
      </c>
      <c r="J7618">
        <v>1</v>
      </c>
      <c r="K7618">
        <v>1</v>
      </c>
      <c r="L7618">
        <v>0</v>
      </c>
      <c r="M7618">
        <v>4</v>
      </c>
      <c r="N7618" t="s">
        <v>35</v>
      </c>
      <c r="O7618" t="s">
        <v>30</v>
      </c>
      <c r="P7618">
        <v>10.6146449399864</v>
      </c>
      <c r="Q7618">
        <v>0.54085166422498498</v>
      </c>
      <c r="R7618">
        <v>1.9904061771408099</v>
      </c>
      <c r="S7618">
        <v>165</v>
      </c>
      <c r="T7618">
        <v>64</v>
      </c>
      <c r="U7618">
        <v>884.61123999121696</v>
      </c>
      <c r="V7618">
        <v>4.6893317702227403E-3</v>
      </c>
      <c r="W7618">
        <v>1191893.52883938</v>
      </c>
      <c r="X7618" t="s">
        <v>38</v>
      </c>
      <c r="Y7618">
        <f>1-877-171-3256</f>
        <v>-4303</v>
      </c>
    </row>
    <row r="7619" spans="1:25" x14ac:dyDescent="0.35">
      <c r="A7619">
        <v>34.795345623777699</v>
      </c>
      <c r="B7619">
        <v>-123.927191884311</v>
      </c>
      <c r="C7619" t="s">
        <v>29</v>
      </c>
      <c r="D7619">
        <v>22.5146936310949</v>
      </c>
      <c r="E7619">
        <v>0</v>
      </c>
      <c r="F7619">
        <v>2403</v>
      </c>
      <c r="G7619">
        <v>3</v>
      </c>
      <c r="H7619">
        <v>2</v>
      </c>
      <c r="I7619">
        <v>2014</v>
      </c>
      <c r="J7619">
        <v>0</v>
      </c>
      <c r="K7619">
        <v>1</v>
      </c>
      <c r="L7619">
        <v>1</v>
      </c>
      <c r="M7619">
        <v>7</v>
      </c>
      <c r="N7619" t="s">
        <v>37</v>
      </c>
      <c r="O7619" t="s">
        <v>32</v>
      </c>
      <c r="P7619">
        <v>12.973482093846</v>
      </c>
      <c r="Q7619">
        <v>2.13181002029406</v>
      </c>
      <c r="R7619">
        <v>6.3658425578901401</v>
      </c>
      <c r="S7619">
        <v>189</v>
      </c>
      <c r="T7619">
        <v>39</v>
      </c>
      <c r="U7619">
        <v>594.577057143302</v>
      </c>
      <c r="V7619">
        <v>2.9130253849354898E-3</v>
      </c>
      <c r="W7619">
        <v>1803874.1446613099</v>
      </c>
      <c r="X7619" t="s">
        <v>31</v>
      </c>
      <c r="Y7619">
        <f>1-548-612-2656</f>
        <v>-3815</v>
      </c>
    </row>
    <row r="7620" spans="1:25" x14ac:dyDescent="0.35">
      <c r="A7620">
        <v>32.777427410200197</v>
      </c>
      <c r="B7620">
        <v>-122.473279792189</v>
      </c>
      <c r="C7620" t="s">
        <v>25</v>
      </c>
      <c r="D7620">
        <v>24.768232233254999</v>
      </c>
      <c r="E7620">
        <v>2</v>
      </c>
      <c r="F7620">
        <v>3423</v>
      </c>
      <c r="G7620">
        <v>3</v>
      </c>
      <c r="H7620">
        <v>2</v>
      </c>
      <c r="I7620">
        <v>1957</v>
      </c>
      <c r="J7620">
        <v>1</v>
      </c>
      <c r="K7620">
        <v>0</v>
      </c>
      <c r="L7620">
        <v>0</v>
      </c>
      <c r="M7620">
        <v>5</v>
      </c>
      <c r="N7620" t="s">
        <v>41</v>
      </c>
      <c r="O7620" t="s">
        <v>30</v>
      </c>
      <c r="P7620">
        <v>9.4824256813566006</v>
      </c>
      <c r="Q7620">
        <v>0.69259555280337703</v>
      </c>
      <c r="R7620">
        <v>7.0058091100077498</v>
      </c>
      <c r="S7620">
        <v>49</v>
      </c>
      <c r="T7620">
        <v>21</v>
      </c>
      <c r="U7620">
        <v>597.05854187613204</v>
      </c>
      <c r="V7620">
        <v>1.4607069821793699E-3</v>
      </c>
      <c r="W7620">
        <v>2183859.8132547899</v>
      </c>
      <c r="X7620" t="s">
        <v>43</v>
      </c>
      <c r="Y7620">
        <f>1-961-701-4320</f>
        <v>-5981</v>
      </c>
    </row>
    <row r="7621" spans="1:25" x14ac:dyDescent="0.35">
      <c r="A7621">
        <v>33.583880770264599</v>
      </c>
      <c r="B7621">
        <v>-119.223716534594</v>
      </c>
      <c r="C7621" t="s">
        <v>25</v>
      </c>
      <c r="D7621">
        <v>24.917247930804901</v>
      </c>
      <c r="E7621">
        <v>7</v>
      </c>
      <c r="F7621">
        <v>4236</v>
      </c>
      <c r="G7621">
        <v>4</v>
      </c>
      <c r="H7621">
        <v>1</v>
      </c>
      <c r="I7621">
        <v>2021</v>
      </c>
      <c r="J7621">
        <v>0</v>
      </c>
      <c r="K7621">
        <v>0</v>
      </c>
      <c r="L7621">
        <v>1</v>
      </c>
      <c r="M7621">
        <v>8</v>
      </c>
      <c r="N7621" t="s">
        <v>37</v>
      </c>
      <c r="O7621" t="s">
        <v>32</v>
      </c>
      <c r="P7621">
        <v>6.29253799832816</v>
      </c>
      <c r="Q7621">
        <v>2.4976079139258802</v>
      </c>
      <c r="R7621">
        <v>6.1547167380270498</v>
      </c>
      <c r="S7621">
        <v>192</v>
      </c>
      <c r="T7621">
        <v>68</v>
      </c>
      <c r="U7621">
        <v>698.12809001412404</v>
      </c>
      <c r="V7621">
        <v>1.8885741265344601E-3</v>
      </c>
      <c r="W7621">
        <v>3254061.5098278201</v>
      </c>
      <c r="X7621" t="s">
        <v>43</v>
      </c>
      <c r="Y7621">
        <f>1-542-555-3264</f>
        <v>-4360</v>
      </c>
    </row>
    <row r="7622" spans="1:25" x14ac:dyDescent="0.35">
      <c r="A7622">
        <v>41.680541721911197</v>
      </c>
      <c r="B7622">
        <v>-122.941117235981</v>
      </c>
      <c r="C7622" t="s">
        <v>29</v>
      </c>
      <c r="D7622">
        <v>30.034962291932999</v>
      </c>
      <c r="E7622">
        <v>4</v>
      </c>
      <c r="F7622">
        <v>4942</v>
      </c>
      <c r="G7622">
        <v>4</v>
      </c>
      <c r="H7622">
        <v>1</v>
      </c>
      <c r="I7622">
        <v>2002</v>
      </c>
      <c r="J7622">
        <v>0</v>
      </c>
      <c r="K7622">
        <v>0</v>
      </c>
      <c r="L7622">
        <v>0</v>
      </c>
      <c r="M7622">
        <v>4</v>
      </c>
      <c r="N7622" t="s">
        <v>26</v>
      </c>
      <c r="O7622" t="s">
        <v>27</v>
      </c>
      <c r="P7622">
        <v>3.05166135420219</v>
      </c>
      <c r="Q7622">
        <v>0.81883665265846395</v>
      </c>
      <c r="R7622">
        <v>6.2199928251427004</v>
      </c>
      <c r="S7622">
        <v>151</v>
      </c>
      <c r="T7622">
        <v>74</v>
      </c>
      <c r="U7622">
        <v>533.34439312570703</v>
      </c>
      <c r="V7622">
        <v>8.09388911371914E-4</v>
      </c>
      <c r="W7622">
        <v>2860808.8764336398</v>
      </c>
      <c r="X7622" t="s">
        <v>43</v>
      </c>
      <c r="Y7622">
        <f>1-313-701-2843</f>
        <v>-3856</v>
      </c>
    </row>
    <row r="7623" spans="1:25" x14ac:dyDescent="0.35">
      <c r="A7623">
        <v>36.0604207776626</v>
      </c>
      <c r="B7623">
        <v>-116.81306916163599</v>
      </c>
      <c r="C7623" t="s">
        <v>29</v>
      </c>
      <c r="D7623">
        <v>15.759394169882899</v>
      </c>
      <c r="E7623">
        <v>1</v>
      </c>
      <c r="F7623">
        <v>2759</v>
      </c>
      <c r="G7623">
        <v>1</v>
      </c>
      <c r="H7623">
        <v>1</v>
      </c>
      <c r="I7623">
        <v>2012</v>
      </c>
      <c r="J7623">
        <v>1</v>
      </c>
      <c r="K7623">
        <v>0</v>
      </c>
      <c r="L7623">
        <v>1</v>
      </c>
      <c r="M7623">
        <v>10</v>
      </c>
      <c r="N7623" t="s">
        <v>26</v>
      </c>
      <c r="O7623" t="s">
        <v>30</v>
      </c>
      <c r="P7623">
        <v>12.3793770338111</v>
      </c>
      <c r="Q7623">
        <v>0.81588539851015096</v>
      </c>
      <c r="R7623">
        <v>9.6106488911968508</v>
      </c>
      <c r="S7623">
        <v>196</v>
      </c>
      <c r="T7623">
        <v>65</v>
      </c>
      <c r="U7623">
        <v>810.143003459802</v>
      </c>
      <c r="V7623">
        <v>3.62450163102573E-3</v>
      </c>
      <c r="W7623">
        <v>2408535.0840026201</v>
      </c>
      <c r="X7623" t="s">
        <v>33</v>
      </c>
      <c r="Y7623">
        <f>1-653-543-3182</f>
        <v>-4377</v>
      </c>
    </row>
    <row r="7624" spans="1:25" x14ac:dyDescent="0.35">
      <c r="A7624">
        <v>41.820720566283001</v>
      </c>
      <c r="B7624">
        <v>-118.481100753248</v>
      </c>
      <c r="C7624" t="s">
        <v>34</v>
      </c>
      <c r="D7624">
        <v>46.088757948471397</v>
      </c>
      <c r="E7624">
        <v>3</v>
      </c>
      <c r="F7624">
        <v>983</v>
      </c>
      <c r="G7624">
        <v>5</v>
      </c>
      <c r="H7624">
        <v>1</v>
      </c>
      <c r="I7624">
        <v>2012</v>
      </c>
      <c r="J7624">
        <v>1</v>
      </c>
      <c r="K7624">
        <v>0</v>
      </c>
      <c r="L7624">
        <v>1</v>
      </c>
      <c r="M7624">
        <v>13</v>
      </c>
      <c r="N7624" t="s">
        <v>41</v>
      </c>
      <c r="O7624" t="s">
        <v>30</v>
      </c>
      <c r="P7624">
        <v>6.9476517846848802</v>
      </c>
      <c r="Q7624">
        <v>1.07800900044443</v>
      </c>
      <c r="R7624">
        <v>5.9859350754979799</v>
      </c>
      <c r="S7624">
        <v>83</v>
      </c>
      <c r="T7624">
        <v>31</v>
      </c>
      <c r="U7624">
        <v>518.653610711792</v>
      </c>
      <c r="V7624">
        <v>1.3224821973550301E-2</v>
      </c>
      <c r="W7624">
        <v>859495.53843032604</v>
      </c>
      <c r="X7624" t="s">
        <v>39</v>
      </c>
      <c r="Y7624">
        <f>1-469-616-8097</f>
        <v>-9181</v>
      </c>
    </row>
    <row r="7625" spans="1:25" x14ac:dyDescent="0.35">
      <c r="A7625">
        <v>35.4053454508337</v>
      </c>
      <c r="B7625">
        <v>-118.96996653493601</v>
      </c>
      <c r="C7625" t="s">
        <v>25</v>
      </c>
      <c r="D7625">
        <v>1.9117278676514999</v>
      </c>
      <c r="E7625">
        <v>8</v>
      </c>
      <c r="F7625">
        <v>4081</v>
      </c>
      <c r="G7625">
        <v>4</v>
      </c>
      <c r="H7625">
        <v>1</v>
      </c>
      <c r="I7625">
        <v>1986</v>
      </c>
      <c r="J7625">
        <v>0</v>
      </c>
      <c r="K7625">
        <v>1</v>
      </c>
      <c r="L7625">
        <v>1</v>
      </c>
      <c r="M7625">
        <v>8</v>
      </c>
      <c r="N7625" t="s">
        <v>26</v>
      </c>
      <c r="O7625" t="s">
        <v>32</v>
      </c>
      <c r="P7625">
        <v>11.154919732978501</v>
      </c>
      <c r="Q7625">
        <v>0.84580066844481605</v>
      </c>
      <c r="R7625">
        <v>2.8664610951924199</v>
      </c>
      <c r="S7625">
        <v>26</v>
      </c>
      <c r="T7625">
        <v>75</v>
      </c>
      <c r="U7625">
        <v>766.09868148467604</v>
      </c>
      <c r="V7625">
        <v>1.9603038470962998E-3</v>
      </c>
      <c r="W7625">
        <v>3598145.8334625601</v>
      </c>
      <c r="X7625" t="s">
        <v>40</v>
      </c>
      <c r="Y7625">
        <f>1-720-342-2957</f>
        <v>-4018</v>
      </c>
    </row>
    <row r="7626" spans="1:25" x14ac:dyDescent="0.35">
      <c r="A7626">
        <v>35.789418289712799</v>
      </c>
      <c r="B7626">
        <v>-121.729550045463</v>
      </c>
      <c r="C7626" t="s">
        <v>25</v>
      </c>
      <c r="D7626">
        <v>35.985683177218398</v>
      </c>
      <c r="E7626">
        <v>5</v>
      </c>
      <c r="F7626">
        <v>2717</v>
      </c>
      <c r="G7626">
        <v>1</v>
      </c>
      <c r="H7626">
        <v>2</v>
      </c>
      <c r="I7626">
        <v>2000</v>
      </c>
      <c r="J7626">
        <v>1</v>
      </c>
      <c r="K7626">
        <v>1</v>
      </c>
      <c r="L7626">
        <v>1</v>
      </c>
      <c r="M7626">
        <v>13</v>
      </c>
      <c r="N7626" t="s">
        <v>37</v>
      </c>
      <c r="O7626" t="s">
        <v>30</v>
      </c>
      <c r="P7626">
        <v>13.6804267119727</v>
      </c>
      <c r="Q7626">
        <v>2.28237258170333</v>
      </c>
      <c r="R7626">
        <v>1.31123403470385</v>
      </c>
      <c r="S7626">
        <v>125</v>
      </c>
      <c r="T7626">
        <v>78</v>
      </c>
      <c r="U7626">
        <v>576.06666113256301</v>
      </c>
      <c r="V7626">
        <v>4.78468899521531E-3</v>
      </c>
      <c r="W7626">
        <v>1960118.98866571</v>
      </c>
      <c r="X7626" t="s">
        <v>40</v>
      </c>
      <c r="Y7626">
        <f>1-798-974-1226</f>
        <v>-2997</v>
      </c>
    </row>
    <row r="7627" spans="1:25" x14ac:dyDescent="0.35">
      <c r="A7627">
        <v>36.5216785783457</v>
      </c>
      <c r="B7627">
        <v>-115.254000743983</v>
      </c>
      <c r="C7627" t="s">
        <v>34</v>
      </c>
      <c r="D7627">
        <v>3.8531632621164298</v>
      </c>
      <c r="E7627">
        <v>1</v>
      </c>
      <c r="F7627">
        <v>2709</v>
      </c>
      <c r="G7627">
        <v>5</v>
      </c>
      <c r="H7627">
        <v>1</v>
      </c>
      <c r="I7627">
        <v>2001</v>
      </c>
      <c r="J7627">
        <v>1</v>
      </c>
      <c r="K7627">
        <v>1</v>
      </c>
      <c r="L7627">
        <v>0</v>
      </c>
      <c r="M7627">
        <v>14</v>
      </c>
      <c r="N7627" t="s">
        <v>37</v>
      </c>
      <c r="O7627" t="s">
        <v>27</v>
      </c>
      <c r="P7627">
        <v>14.1038003049882</v>
      </c>
      <c r="Q7627">
        <v>2.0240376946066698</v>
      </c>
      <c r="R7627">
        <v>4.5006438304989498</v>
      </c>
      <c r="S7627">
        <v>146</v>
      </c>
      <c r="T7627">
        <v>25</v>
      </c>
      <c r="U7627">
        <v>991.133647957123</v>
      </c>
      <c r="V7627">
        <v>5.1679586563307496E-3</v>
      </c>
      <c r="W7627">
        <v>3112542.4571613502</v>
      </c>
      <c r="X7627" t="s">
        <v>40</v>
      </c>
      <c r="Y7627">
        <f>1-885-867-1922</f>
        <v>-3673</v>
      </c>
    </row>
    <row r="7628" spans="1:25" x14ac:dyDescent="0.35">
      <c r="A7628">
        <v>35.669724909908297</v>
      </c>
      <c r="B7628">
        <v>-119.147883581774</v>
      </c>
      <c r="C7628" t="s">
        <v>34</v>
      </c>
      <c r="D7628">
        <v>8.4534061824545699</v>
      </c>
      <c r="E7628">
        <v>7</v>
      </c>
      <c r="F7628">
        <v>1392</v>
      </c>
      <c r="G7628">
        <v>3</v>
      </c>
      <c r="H7628">
        <v>2</v>
      </c>
      <c r="I7628">
        <v>2017</v>
      </c>
      <c r="J7628">
        <v>0</v>
      </c>
      <c r="K7628">
        <v>0</v>
      </c>
      <c r="L7628">
        <v>1</v>
      </c>
      <c r="M7628">
        <v>7</v>
      </c>
      <c r="N7628" t="s">
        <v>26</v>
      </c>
      <c r="O7628" t="s">
        <v>27</v>
      </c>
      <c r="P7628">
        <v>5.6789679715259096</v>
      </c>
      <c r="Q7628">
        <v>1.5248191033710301</v>
      </c>
      <c r="R7628">
        <v>2.2355897892315801</v>
      </c>
      <c r="S7628">
        <v>86</v>
      </c>
      <c r="T7628">
        <v>73</v>
      </c>
      <c r="U7628">
        <v>535.69944485677001</v>
      </c>
      <c r="V7628">
        <v>5.0287356321839002E-3</v>
      </c>
      <c r="W7628">
        <v>1027356.8585728999</v>
      </c>
      <c r="X7628" t="s">
        <v>33</v>
      </c>
      <c r="Y7628">
        <f>1-500-809-4058</f>
        <v>-5366</v>
      </c>
    </row>
    <row r="7629" spans="1:25" x14ac:dyDescent="0.35">
      <c r="A7629">
        <v>41.935146324434498</v>
      </c>
      <c r="B7629">
        <v>-116.49818690591</v>
      </c>
      <c r="C7629" t="s">
        <v>29</v>
      </c>
      <c r="D7629">
        <v>16.8390031241359</v>
      </c>
      <c r="E7629">
        <v>0</v>
      </c>
      <c r="F7629">
        <v>1032</v>
      </c>
      <c r="G7629">
        <v>2</v>
      </c>
      <c r="H7629">
        <v>2</v>
      </c>
      <c r="I7629">
        <v>1995</v>
      </c>
      <c r="J7629">
        <v>0</v>
      </c>
      <c r="K7629">
        <v>0</v>
      </c>
      <c r="L7629">
        <v>0</v>
      </c>
      <c r="M7629">
        <v>8</v>
      </c>
      <c r="N7629" t="s">
        <v>35</v>
      </c>
      <c r="O7629" t="s">
        <v>32</v>
      </c>
      <c r="P7629">
        <v>11.468166843353201</v>
      </c>
      <c r="Q7629">
        <v>2.4452093382703799</v>
      </c>
      <c r="R7629">
        <v>8.5114704303199797</v>
      </c>
      <c r="S7629">
        <v>13</v>
      </c>
      <c r="T7629">
        <v>33</v>
      </c>
      <c r="U7629">
        <v>333.320018127195</v>
      </c>
      <c r="V7629">
        <v>7.7519379844961196E-3</v>
      </c>
      <c r="W7629">
        <v>503248.979351749</v>
      </c>
      <c r="X7629" t="s">
        <v>40</v>
      </c>
      <c r="Y7629">
        <f>1-629-798-9711</f>
        <v>-11137</v>
      </c>
    </row>
    <row r="7630" spans="1:25" x14ac:dyDescent="0.35">
      <c r="A7630">
        <v>36.379946947387701</v>
      </c>
      <c r="B7630">
        <v>-122.985617934551</v>
      </c>
      <c r="C7630" t="s">
        <v>34</v>
      </c>
      <c r="D7630">
        <v>47.454953436480203</v>
      </c>
      <c r="E7630">
        <v>6</v>
      </c>
      <c r="F7630">
        <v>1068</v>
      </c>
      <c r="G7630">
        <v>4</v>
      </c>
      <c r="H7630">
        <v>2</v>
      </c>
      <c r="I7630">
        <v>2000</v>
      </c>
      <c r="J7630">
        <v>0</v>
      </c>
      <c r="K7630">
        <v>0</v>
      </c>
      <c r="L7630">
        <v>0</v>
      </c>
      <c r="M7630">
        <v>2</v>
      </c>
      <c r="N7630" t="s">
        <v>37</v>
      </c>
      <c r="O7630" t="s">
        <v>32</v>
      </c>
      <c r="P7630">
        <v>10.117910003399899</v>
      </c>
      <c r="Q7630">
        <v>2.1130303709691001</v>
      </c>
      <c r="R7630">
        <v>5.7217057742542599</v>
      </c>
      <c r="S7630">
        <v>6</v>
      </c>
      <c r="T7630">
        <v>71</v>
      </c>
      <c r="U7630">
        <v>843.09489782944195</v>
      </c>
      <c r="V7630">
        <v>1.87265917602996E-3</v>
      </c>
      <c r="W7630">
        <v>1183192.7836368601</v>
      </c>
      <c r="X7630" t="s">
        <v>44</v>
      </c>
      <c r="Y7630">
        <f>1-721-979-9443</f>
        <v>-11142</v>
      </c>
    </row>
    <row r="7631" spans="1:25" x14ac:dyDescent="0.35">
      <c r="A7631">
        <v>34.149331054389599</v>
      </c>
      <c r="B7631">
        <v>-115.95249122110199</v>
      </c>
      <c r="C7631" t="s">
        <v>29</v>
      </c>
      <c r="D7631">
        <v>30.695276530267101</v>
      </c>
      <c r="E7631">
        <v>1</v>
      </c>
      <c r="F7631">
        <v>2382</v>
      </c>
      <c r="G7631">
        <v>3</v>
      </c>
      <c r="H7631">
        <v>2</v>
      </c>
      <c r="I7631">
        <v>1979</v>
      </c>
      <c r="J7631">
        <v>1</v>
      </c>
      <c r="K7631">
        <v>0</v>
      </c>
      <c r="L7631">
        <v>0</v>
      </c>
      <c r="M7631">
        <v>13</v>
      </c>
      <c r="N7631" t="s">
        <v>37</v>
      </c>
      <c r="O7631" t="s">
        <v>30</v>
      </c>
      <c r="P7631">
        <v>6.1331785738623399</v>
      </c>
      <c r="Q7631">
        <v>1.2094649064844001</v>
      </c>
      <c r="R7631">
        <v>2.3182082097494798</v>
      </c>
      <c r="S7631">
        <v>136</v>
      </c>
      <c r="T7631">
        <v>53</v>
      </c>
      <c r="U7631">
        <v>605.38569069231403</v>
      </c>
      <c r="V7631">
        <v>5.4575986565911002E-3</v>
      </c>
      <c r="W7631">
        <v>1666614.3843239199</v>
      </c>
      <c r="X7631" t="s">
        <v>42</v>
      </c>
      <c r="Y7631">
        <f>1-542-603-7506</f>
        <v>-8650</v>
      </c>
    </row>
    <row r="7632" spans="1:25" x14ac:dyDescent="0.35">
      <c r="A7632">
        <v>38.592858697325397</v>
      </c>
      <c r="B7632">
        <v>-116.331284162502</v>
      </c>
      <c r="C7632" t="s">
        <v>29</v>
      </c>
      <c r="D7632">
        <v>19.8627138326543</v>
      </c>
      <c r="E7632">
        <v>6</v>
      </c>
      <c r="F7632">
        <v>2262</v>
      </c>
      <c r="G7632">
        <v>4</v>
      </c>
      <c r="H7632">
        <v>2</v>
      </c>
      <c r="I7632">
        <v>1963</v>
      </c>
      <c r="J7632">
        <v>0</v>
      </c>
      <c r="K7632">
        <v>1</v>
      </c>
      <c r="L7632">
        <v>0</v>
      </c>
      <c r="M7632">
        <v>11</v>
      </c>
      <c r="N7632" t="s">
        <v>41</v>
      </c>
      <c r="O7632" t="s">
        <v>27</v>
      </c>
      <c r="P7632">
        <v>10.5063008931852</v>
      </c>
      <c r="Q7632">
        <v>1.8475025170622601</v>
      </c>
      <c r="R7632">
        <v>4.0667647056463299</v>
      </c>
      <c r="S7632">
        <v>140</v>
      </c>
      <c r="T7632">
        <v>48</v>
      </c>
      <c r="U7632">
        <v>608.87867228549396</v>
      </c>
      <c r="V7632">
        <v>4.8629531388152004E-3</v>
      </c>
      <c r="W7632">
        <v>1632557.6587703601</v>
      </c>
      <c r="X7632" t="s">
        <v>31</v>
      </c>
      <c r="Y7632">
        <f>1-817-377-3446</f>
        <v>-4639</v>
      </c>
    </row>
    <row r="7633" spans="1:25" x14ac:dyDescent="0.35">
      <c r="A7633">
        <v>37.156554931050103</v>
      </c>
      <c r="B7633">
        <v>-118.897479368464</v>
      </c>
      <c r="C7633" t="s">
        <v>25</v>
      </c>
      <c r="D7633">
        <v>26.6656497520929</v>
      </c>
      <c r="E7633">
        <v>2</v>
      </c>
      <c r="F7633">
        <v>2228</v>
      </c>
      <c r="G7633">
        <v>2</v>
      </c>
      <c r="H7633">
        <v>3</v>
      </c>
      <c r="I7633">
        <v>1965</v>
      </c>
      <c r="J7633">
        <v>0</v>
      </c>
      <c r="K7633">
        <v>1</v>
      </c>
      <c r="L7633">
        <v>1</v>
      </c>
      <c r="M7633">
        <v>8</v>
      </c>
      <c r="N7633" t="s">
        <v>37</v>
      </c>
      <c r="O7633" t="s">
        <v>30</v>
      </c>
      <c r="P7633">
        <v>2.4073669275236198</v>
      </c>
      <c r="Q7633">
        <v>1.0797688802034999</v>
      </c>
      <c r="R7633">
        <v>6.8733284389017602</v>
      </c>
      <c r="S7633">
        <v>163</v>
      </c>
      <c r="T7633">
        <v>63</v>
      </c>
      <c r="U7633">
        <v>739.15013626990105</v>
      </c>
      <c r="V7633">
        <v>3.5906642728904801E-3</v>
      </c>
      <c r="W7633">
        <v>1832896.3509103199</v>
      </c>
      <c r="X7633" t="s">
        <v>31</v>
      </c>
      <c r="Y7633">
        <f>1-360-699-5328</f>
        <v>-6386</v>
      </c>
    </row>
    <row r="7634" spans="1:25" x14ac:dyDescent="0.35">
      <c r="A7634">
        <v>41.3328844344042</v>
      </c>
      <c r="B7634">
        <v>-114.413430150388</v>
      </c>
      <c r="C7634" t="s">
        <v>34</v>
      </c>
      <c r="D7634">
        <v>38.151121008363297</v>
      </c>
      <c r="E7634">
        <v>7</v>
      </c>
      <c r="F7634">
        <v>4969</v>
      </c>
      <c r="G7634">
        <v>1</v>
      </c>
      <c r="H7634">
        <v>2</v>
      </c>
      <c r="I7634">
        <v>1952</v>
      </c>
      <c r="J7634">
        <v>1</v>
      </c>
      <c r="K7634">
        <v>1</v>
      </c>
      <c r="L7634">
        <v>0</v>
      </c>
      <c r="M7634">
        <v>4</v>
      </c>
      <c r="N7634" t="s">
        <v>37</v>
      </c>
      <c r="O7634" t="s">
        <v>32</v>
      </c>
      <c r="P7634">
        <v>9.6075743205385304</v>
      </c>
      <c r="Q7634">
        <v>0.96611741245926497</v>
      </c>
      <c r="R7634">
        <v>6.9447916269928802</v>
      </c>
      <c r="S7634">
        <v>13</v>
      </c>
      <c r="T7634">
        <v>59</v>
      </c>
      <c r="U7634">
        <v>905.91477195308596</v>
      </c>
      <c r="V7634">
        <v>8.0499094385188099E-4</v>
      </c>
      <c r="W7634">
        <v>4751734.6280479301</v>
      </c>
      <c r="X7634" t="s">
        <v>40</v>
      </c>
      <c r="Y7634">
        <f>1-313-757-6528</f>
        <v>-7597</v>
      </c>
    </row>
    <row r="7635" spans="1:25" x14ac:dyDescent="0.35">
      <c r="A7635">
        <v>35.7465652611873</v>
      </c>
      <c r="B7635">
        <v>-118.07626108953001</v>
      </c>
      <c r="C7635" t="s">
        <v>25</v>
      </c>
      <c r="D7635">
        <v>6.4941171085203804</v>
      </c>
      <c r="E7635">
        <v>7</v>
      </c>
      <c r="F7635">
        <v>2225</v>
      </c>
      <c r="G7635">
        <v>3</v>
      </c>
      <c r="H7635">
        <v>2</v>
      </c>
      <c r="I7635">
        <v>1961</v>
      </c>
      <c r="J7635">
        <v>0</v>
      </c>
      <c r="K7635">
        <v>0</v>
      </c>
      <c r="L7635">
        <v>0</v>
      </c>
      <c r="M7635">
        <v>6</v>
      </c>
      <c r="N7635" t="s">
        <v>35</v>
      </c>
      <c r="O7635" t="s">
        <v>27</v>
      </c>
      <c r="P7635">
        <v>10.909451112457701</v>
      </c>
      <c r="Q7635">
        <v>1.2751959772541199</v>
      </c>
      <c r="R7635">
        <v>2.0572987418002802</v>
      </c>
      <c r="S7635">
        <v>130</v>
      </c>
      <c r="T7635">
        <v>52</v>
      </c>
      <c r="U7635">
        <v>579.49736554137098</v>
      </c>
      <c r="V7635">
        <v>2.6966292134831399E-3</v>
      </c>
      <c r="W7635">
        <v>1468140.68732773</v>
      </c>
      <c r="X7635" t="s">
        <v>44</v>
      </c>
      <c r="Y7635">
        <f>1-397-925-7304</f>
        <v>-8625</v>
      </c>
    </row>
    <row r="7636" spans="1:25" x14ac:dyDescent="0.35">
      <c r="A7636">
        <v>39.798947357423998</v>
      </c>
      <c r="B7636">
        <v>-119.591903979842</v>
      </c>
      <c r="C7636" t="s">
        <v>34</v>
      </c>
      <c r="D7636">
        <v>45.8335877301067</v>
      </c>
      <c r="E7636">
        <v>4</v>
      </c>
      <c r="F7636">
        <v>2587</v>
      </c>
      <c r="G7636">
        <v>1</v>
      </c>
      <c r="H7636">
        <v>1</v>
      </c>
      <c r="I7636">
        <v>1962</v>
      </c>
      <c r="J7636">
        <v>1</v>
      </c>
      <c r="K7636">
        <v>1</v>
      </c>
      <c r="L7636">
        <v>0</v>
      </c>
      <c r="M7636">
        <v>12</v>
      </c>
      <c r="N7636" t="s">
        <v>26</v>
      </c>
      <c r="O7636" t="s">
        <v>32</v>
      </c>
      <c r="P7636">
        <v>6.6727257076150401</v>
      </c>
      <c r="Q7636">
        <v>2.41253028587994</v>
      </c>
      <c r="R7636">
        <v>5.3624338340961097</v>
      </c>
      <c r="S7636">
        <v>17</v>
      </c>
      <c r="T7636">
        <v>41</v>
      </c>
      <c r="U7636">
        <v>559.50397532325599</v>
      </c>
      <c r="V7636">
        <v>4.63857750289911E-3</v>
      </c>
      <c r="W7636">
        <v>1723769.21005191</v>
      </c>
      <c r="X7636" t="s">
        <v>38</v>
      </c>
      <c r="Y7636">
        <f>1-955-693-4965</f>
        <v>-6612</v>
      </c>
    </row>
    <row r="7637" spans="1:25" x14ac:dyDescent="0.35">
      <c r="A7637">
        <v>33.660265950804899</v>
      </c>
      <c r="B7637">
        <v>-123.76858834634599</v>
      </c>
      <c r="C7637" t="s">
        <v>34</v>
      </c>
      <c r="D7637">
        <v>26.755575595438199</v>
      </c>
      <c r="E7637">
        <v>3</v>
      </c>
      <c r="F7637">
        <v>3001</v>
      </c>
      <c r="G7637">
        <v>5</v>
      </c>
      <c r="H7637">
        <v>3</v>
      </c>
      <c r="I7637">
        <v>1972</v>
      </c>
      <c r="J7637">
        <v>1</v>
      </c>
      <c r="K7637">
        <v>1</v>
      </c>
      <c r="L7637">
        <v>1</v>
      </c>
      <c r="M7637">
        <v>4</v>
      </c>
      <c r="N7637" t="s">
        <v>37</v>
      </c>
      <c r="O7637" t="s">
        <v>27</v>
      </c>
      <c r="P7637">
        <v>5.6518679814825603</v>
      </c>
      <c r="Q7637">
        <v>1.4372635231392801</v>
      </c>
      <c r="R7637">
        <v>7.9426388926187501</v>
      </c>
      <c r="S7637">
        <v>76</v>
      </c>
      <c r="T7637">
        <v>38</v>
      </c>
      <c r="U7637">
        <v>766.88520672137895</v>
      </c>
      <c r="V7637">
        <v>1.33288903698767E-3</v>
      </c>
      <c r="W7637">
        <v>2701672.10241846</v>
      </c>
      <c r="X7637" t="s">
        <v>33</v>
      </c>
      <c r="Y7637">
        <f>1-743-516-8790</f>
        <v>-10048</v>
      </c>
    </row>
    <row r="7638" spans="1:25" x14ac:dyDescent="0.35">
      <c r="A7638">
        <v>39.947835024081201</v>
      </c>
      <c r="B7638">
        <v>-120.683927778399</v>
      </c>
      <c r="C7638" t="s">
        <v>25</v>
      </c>
      <c r="D7638">
        <v>42.011529570560803</v>
      </c>
      <c r="E7638">
        <v>8</v>
      </c>
      <c r="F7638">
        <v>4793</v>
      </c>
      <c r="G7638">
        <v>2</v>
      </c>
      <c r="H7638">
        <v>1</v>
      </c>
      <c r="I7638">
        <v>2018</v>
      </c>
      <c r="J7638">
        <v>1</v>
      </c>
      <c r="K7638">
        <v>1</v>
      </c>
      <c r="L7638">
        <v>0</v>
      </c>
      <c r="M7638">
        <v>10</v>
      </c>
      <c r="N7638" t="s">
        <v>26</v>
      </c>
      <c r="O7638" t="s">
        <v>30</v>
      </c>
      <c r="P7638">
        <v>6.3535374189041898</v>
      </c>
      <c r="Q7638">
        <v>1.69964673513054</v>
      </c>
      <c r="R7638">
        <v>7.0383785923174296</v>
      </c>
      <c r="S7638">
        <v>14</v>
      </c>
      <c r="T7638">
        <v>55</v>
      </c>
      <c r="U7638">
        <v>662.87700952865396</v>
      </c>
      <c r="V7638">
        <v>2.08637596494888E-3</v>
      </c>
      <c r="W7638">
        <v>3469921.9000801002</v>
      </c>
      <c r="X7638" t="s">
        <v>42</v>
      </c>
      <c r="Y7638">
        <f>1-806-561-2005</f>
        <v>-3371</v>
      </c>
    </row>
    <row r="7639" spans="1:25" x14ac:dyDescent="0.35">
      <c r="A7639">
        <v>41.206143053427702</v>
      </c>
      <c r="B7639">
        <v>-122.05358972982999</v>
      </c>
      <c r="C7639" t="s">
        <v>34</v>
      </c>
      <c r="D7639">
        <v>37.596952751812502</v>
      </c>
      <c r="E7639">
        <v>3</v>
      </c>
      <c r="F7639">
        <v>2769</v>
      </c>
      <c r="G7639">
        <v>3</v>
      </c>
      <c r="H7639">
        <v>2</v>
      </c>
      <c r="I7639">
        <v>2015</v>
      </c>
      <c r="J7639">
        <v>0</v>
      </c>
      <c r="K7639">
        <v>1</v>
      </c>
      <c r="L7639">
        <v>0</v>
      </c>
      <c r="M7639">
        <v>11</v>
      </c>
      <c r="N7639" t="s">
        <v>37</v>
      </c>
      <c r="O7639" t="s">
        <v>32</v>
      </c>
      <c r="P7639">
        <v>9.2657372566429093</v>
      </c>
      <c r="Q7639">
        <v>0.67725679616003198</v>
      </c>
      <c r="R7639">
        <v>1.24083871300868</v>
      </c>
      <c r="S7639">
        <v>12</v>
      </c>
      <c r="T7639">
        <v>20</v>
      </c>
      <c r="U7639">
        <v>930.43859363927299</v>
      </c>
      <c r="V7639">
        <v>3.9725532683279104E-3</v>
      </c>
      <c r="W7639">
        <v>2971882.0420588702</v>
      </c>
      <c r="X7639" t="s">
        <v>36</v>
      </c>
      <c r="Y7639">
        <f>1-443-590-3012</f>
        <v>-4044</v>
      </c>
    </row>
    <row r="7640" spans="1:25" x14ac:dyDescent="0.35">
      <c r="A7640">
        <v>41.100391357553796</v>
      </c>
      <c r="B7640">
        <v>-116.03137979264</v>
      </c>
      <c r="C7640" t="s">
        <v>25</v>
      </c>
      <c r="D7640">
        <v>38.553912192306399</v>
      </c>
      <c r="E7640">
        <v>0</v>
      </c>
      <c r="F7640">
        <v>1884</v>
      </c>
      <c r="G7640">
        <v>3</v>
      </c>
      <c r="H7640">
        <v>1</v>
      </c>
      <c r="I7640">
        <v>1973</v>
      </c>
      <c r="J7640">
        <v>0</v>
      </c>
      <c r="K7640">
        <v>0</v>
      </c>
      <c r="L7640">
        <v>1</v>
      </c>
      <c r="M7640">
        <v>7</v>
      </c>
      <c r="N7640" t="s">
        <v>37</v>
      </c>
      <c r="O7640" t="s">
        <v>32</v>
      </c>
      <c r="P7640">
        <v>12.261014069641201</v>
      </c>
      <c r="Q7640">
        <v>1.14211473790617</v>
      </c>
      <c r="R7640">
        <v>5.9061178236073903</v>
      </c>
      <c r="S7640">
        <v>69</v>
      </c>
      <c r="T7640">
        <v>47</v>
      </c>
      <c r="U7640">
        <v>589.27902458496601</v>
      </c>
      <c r="V7640">
        <v>3.71549893842887E-3</v>
      </c>
      <c r="W7640">
        <v>1375887.1883372001</v>
      </c>
      <c r="X7640" t="s">
        <v>43</v>
      </c>
      <c r="Y7640">
        <f>1-462-394-6509</f>
        <v>-7364</v>
      </c>
    </row>
    <row r="7641" spans="1:25" x14ac:dyDescent="0.35">
      <c r="A7641">
        <v>40.297973231235602</v>
      </c>
      <c r="B7641">
        <v>-123.59539629175799</v>
      </c>
      <c r="C7641" t="s">
        <v>25</v>
      </c>
      <c r="D7641">
        <v>37.5253798247969</v>
      </c>
      <c r="E7641">
        <v>9</v>
      </c>
      <c r="F7641">
        <v>4279</v>
      </c>
      <c r="G7641">
        <v>5</v>
      </c>
      <c r="H7641">
        <v>2</v>
      </c>
      <c r="I7641">
        <v>2001</v>
      </c>
      <c r="J7641">
        <v>1</v>
      </c>
      <c r="K7641">
        <v>0</v>
      </c>
      <c r="L7641">
        <v>1</v>
      </c>
      <c r="M7641">
        <v>12</v>
      </c>
      <c r="N7641" t="s">
        <v>26</v>
      </c>
      <c r="O7641" t="s">
        <v>32</v>
      </c>
      <c r="P7641">
        <v>4.6935459262077996</v>
      </c>
      <c r="Q7641">
        <v>0.63637719225647404</v>
      </c>
      <c r="R7641">
        <v>5.8719119313574701</v>
      </c>
      <c r="S7641">
        <v>87</v>
      </c>
      <c r="T7641">
        <v>42</v>
      </c>
      <c r="U7641">
        <v>232.69834589312001</v>
      </c>
      <c r="V7641">
        <v>2.8043935498948298E-3</v>
      </c>
      <c r="W7641">
        <v>1334498.01271679</v>
      </c>
      <c r="X7641" t="s">
        <v>38</v>
      </c>
      <c r="Y7641">
        <f>1-519-687-1066</f>
        <v>-2271</v>
      </c>
    </row>
    <row r="7642" spans="1:25" x14ac:dyDescent="0.35">
      <c r="A7642">
        <v>33.655899482238198</v>
      </c>
      <c r="B7642">
        <v>-119.155237254106</v>
      </c>
      <c r="C7642" t="s">
        <v>25</v>
      </c>
      <c r="D7642">
        <v>23.396426684683401</v>
      </c>
      <c r="E7642">
        <v>3</v>
      </c>
      <c r="F7642">
        <v>3433</v>
      </c>
      <c r="G7642">
        <v>3</v>
      </c>
      <c r="H7642">
        <v>1</v>
      </c>
      <c r="I7642">
        <v>1980</v>
      </c>
      <c r="J7642">
        <v>0</v>
      </c>
      <c r="K7642">
        <v>0</v>
      </c>
      <c r="L7642">
        <v>0</v>
      </c>
      <c r="M7642">
        <v>5</v>
      </c>
      <c r="N7642" t="s">
        <v>37</v>
      </c>
      <c r="O7642" t="s">
        <v>27</v>
      </c>
      <c r="P7642">
        <v>4.27315662333916</v>
      </c>
      <c r="Q7642">
        <v>1.06322694111829</v>
      </c>
      <c r="R7642">
        <v>6.7417711923463397</v>
      </c>
      <c r="S7642">
        <v>157</v>
      </c>
      <c r="T7642">
        <v>38</v>
      </c>
      <c r="U7642">
        <v>719.58039233403099</v>
      </c>
      <c r="V7642">
        <v>1.45645208272647E-3</v>
      </c>
      <c r="W7642">
        <v>2563421.6701733102</v>
      </c>
      <c r="X7642" t="s">
        <v>43</v>
      </c>
      <c r="Y7642">
        <f>1-327-193-7410</f>
        <v>-7929</v>
      </c>
    </row>
    <row r="7643" spans="1:25" x14ac:dyDescent="0.35">
      <c r="A7643">
        <v>36.762484372250803</v>
      </c>
      <c r="B7643">
        <v>-115.76245180596</v>
      </c>
      <c r="C7643" t="s">
        <v>29</v>
      </c>
      <c r="D7643">
        <v>25.732795909443499</v>
      </c>
      <c r="E7643">
        <v>6</v>
      </c>
      <c r="F7643">
        <v>2680</v>
      </c>
      <c r="G7643">
        <v>4</v>
      </c>
      <c r="H7643">
        <v>2</v>
      </c>
      <c r="I7643">
        <v>1951</v>
      </c>
      <c r="J7643">
        <v>0</v>
      </c>
      <c r="K7643">
        <v>1</v>
      </c>
      <c r="L7643">
        <v>1</v>
      </c>
      <c r="M7643">
        <v>5</v>
      </c>
      <c r="N7643" t="s">
        <v>37</v>
      </c>
      <c r="O7643" t="s">
        <v>27</v>
      </c>
      <c r="P7643">
        <v>3.7160891553669302</v>
      </c>
      <c r="Q7643">
        <v>0.663368672473583</v>
      </c>
      <c r="R7643">
        <v>7.8087729428407497</v>
      </c>
      <c r="S7643">
        <v>93</v>
      </c>
      <c r="T7643">
        <v>69</v>
      </c>
      <c r="U7643">
        <v>719.81057193204401</v>
      </c>
      <c r="V7643">
        <v>1.86567164179104E-3</v>
      </c>
      <c r="W7643">
        <v>2196436.45865562</v>
      </c>
      <c r="X7643" t="s">
        <v>36</v>
      </c>
      <c r="Y7643">
        <f>1-310-302-7120</f>
        <v>-7731</v>
      </c>
    </row>
    <row r="7644" spans="1:25" x14ac:dyDescent="0.35">
      <c r="A7644">
        <v>34.809115818017602</v>
      </c>
      <c r="B7644">
        <v>-123.104075494705</v>
      </c>
      <c r="C7644" t="s">
        <v>34</v>
      </c>
      <c r="D7644">
        <v>37.408529814615399</v>
      </c>
      <c r="E7644">
        <v>8</v>
      </c>
      <c r="F7644">
        <v>4894</v>
      </c>
      <c r="G7644">
        <v>5</v>
      </c>
      <c r="H7644">
        <v>3</v>
      </c>
      <c r="I7644">
        <v>1992</v>
      </c>
      <c r="J7644">
        <v>1</v>
      </c>
      <c r="K7644">
        <v>0</v>
      </c>
      <c r="L7644">
        <v>0</v>
      </c>
      <c r="M7644">
        <v>2</v>
      </c>
      <c r="N7644" t="s">
        <v>35</v>
      </c>
      <c r="O7644" t="s">
        <v>32</v>
      </c>
      <c r="P7644">
        <v>11.979573029271201</v>
      </c>
      <c r="Q7644">
        <v>1.51722368216615</v>
      </c>
      <c r="R7644">
        <v>5.2086599777318199</v>
      </c>
      <c r="S7644">
        <v>27</v>
      </c>
      <c r="T7644">
        <v>27</v>
      </c>
      <c r="U7644">
        <v>946.984031913384</v>
      </c>
      <c r="V7644">
        <v>4.0866366979975399E-4</v>
      </c>
      <c r="W7644">
        <v>5128193.9575596899</v>
      </c>
      <c r="X7644" t="s">
        <v>36</v>
      </c>
      <c r="Y7644">
        <f>1-607-466-6303</f>
        <v>-7375</v>
      </c>
    </row>
    <row r="7645" spans="1:25" x14ac:dyDescent="0.35">
      <c r="A7645">
        <v>36.414593138307602</v>
      </c>
      <c r="B7645">
        <v>-117.41436941633999</v>
      </c>
      <c r="C7645" t="s">
        <v>29</v>
      </c>
      <c r="D7645">
        <v>13.1160634452583</v>
      </c>
      <c r="E7645">
        <v>9</v>
      </c>
      <c r="F7645">
        <v>3003</v>
      </c>
      <c r="G7645">
        <v>1</v>
      </c>
      <c r="H7645">
        <v>3</v>
      </c>
      <c r="I7645">
        <v>1953</v>
      </c>
      <c r="J7645">
        <v>0</v>
      </c>
      <c r="K7645">
        <v>0</v>
      </c>
      <c r="L7645">
        <v>1</v>
      </c>
      <c r="M7645">
        <v>4</v>
      </c>
      <c r="N7645" t="s">
        <v>35</v>
      </c>
      <c r="O7645" t="s">
        <v>32</v>
      </c>
      <c r="P7645">
        <v>2.26865441984725</v>
      </c>
      <c r="Q7645">
        <v>1.5074668789344901</v>
      </c>
      <c r="R7645">
        <v>0.487245250882826</v>
      </c>
      <c r="S7645">
        <v>97</v>
      </c>
      <c r="T7645">
        <v>71</v>
      </c>
      <c r="U7645">
        <v>326.04596499147999</v>
      </c>
      <c r="V7645">
        <v>1.33200133200133E-3</v>
      </c>
      <c r="W7645">
        <v>973494.22202957701</v>
      </c>
      <c r="X7645" t="s">
        <v>42</v>
      </c>
      <c r="Y7645">
        <f>1-868-395-8646</f>
        <v>-9908</v>
      </c>
    </row>
    <row r="7646" spans="1:25" x14ac:dyDescent="0.35">
      <c r="A7646">
        <v>39.2113908123589</v>
      </c>
      <c r="B7646">
        <v>-119.93967322594899</v>
      </c>
      <c r="C7646" t="s">
        <v>34</v>
      </c>
      <c r="D7646">
        <v>22.3494352909449</v>
      </c>
      <c r="E7646">
        <v>0</v>
      </c>
      <c r="F7646">
        <v>1481</v>
      </c>
      <c r="G7646">
        <v>3</v>
      </c>
      <c r="H7646">
        <v>2</v>
      </c>
      <c r="I7646">
        <v>1971</v>
      </c>
      <c r="J7646">
        <v>0</v>
      </c>
      <c r="K7646">
        <v>0</v>
      </c>
      <c r="L7646">
        <v>0</v>
      </c>
      <c r="M7646">
        <v>14</v>
      </c>
      <c r="N7646" t="s">
        <v>41</v>
      </c>
      <c r="O7646" t="s">
        <v>32</v>
      </c>
      <c r="P7646">
        <v>11.809759684752301</v>
      </c>
      <c r="Q7646">
        <v>1.2864141866490799</v>
      </c>
      <c r="R7646">
        <v>2.7342591276566699</v>
      </c>
      <c r="S7646">
        <v>33</v>
      </c>
      <c r="T7646">
        <v>22</v>
      </c>
      <c r="U7646">
        <v>897.01618409991704</v>
      </c>
      <c r="V7646">
        <v>9.4530722484807497E-3</v>
      </c>
      <c r="W7646">
        <v>1565986.5999729401</v>
      </c>
      <c r="X7646" t="s">
        <v>38</v>
      </c>
      <c r="Y7646">
        <f>1-634-553-6283</f>
        <v>-7469</v>
      </c>
    </row>
    <row r="7647" spans="1:25" x14ac:dyDescent="0.35">
      <c r="A7647">
        <v>33.733813682073901</v>
      </c>
      <c r="B7647">
        <v>-124.365084302322</v>
      </c>
      <c r="C7647" t="s">
        <v>34</v>
      </c>
      <c r="D7647">
        <v>16.4826334968071</v>
      </c>
      <c r="E7647">
        <v>4</v>
      </c>
      <c r="F7647">
        <v>1355</v>
      </c>
      <c r="G7647">
        <v>5</v>
      </c>
      <c r="H7647">
        <v>3</v>
      </c>
      <c r="I7647">
        <v>2000</v>
      </c>
      <c r="J7647">
        <v>1</v>
      </c>
      <c r="K7647">
        <v>0</v>
      </c>
      <c r="L7647">
        <v>0</v>
      </c>
      <c r="M7647">
        <v>9</v>
      </c>
      <c r="N7647" t="s">
        <v>41</v>
      </c>
      <c r="O7647" t="s">
        <v>30</v>
      </c>
      <c r="P7647">
        <v>9.6041662138381803</v>
      </c>
      <c r="Q7647">
        <v>1.9628707260601901</v>
      </c>
      <c r="R7647">
        <v>6.0477745522503099</v>
      </c>
      <c r="S7647">
        <v>0</v>
      </c>
      <c r="T7647">
        <v>22</v>
      </c>
      <c r="U7647">
        <v>776.59202191075303</v>
      </c>
      <c r="V7647">
        <v>6.6420664206641999E-3</v>
      </c>
      <c r="W7647">
        <v>1418781.1835590301</v>
      </c>
      <c r="X7647" t="s">
        <v>28</v>
      </c>
      <c r="Y7647">
        <f>1-685-823-2468</f>
        <v>-3975</v>
      </c>
    </row>
    <row r="7648" spans="1:25" x14ac:dyDescent="0.35">
      <c r="A7648">
        <v>41.703299274553899</v>
      </c>
      <c r="B7648">
        <v>-114.156978909735</v>
      </c>
      <c r="C7648" t="s">
        <v>29</v>
      </c>
      <c r="D7648">
        <v>11.0114766951991</v>
      </c>
      <c r="E7648">
        <v>3</v>
      </c>
      <c r="F7648">
        <v>4757</v>
      </c>
      <c r="G7648">
        <v>4</v>
      </c>
      <c r="H7648">
        <v>2</v>
      </c>
      <c r="I7648">
        <v>1999</v>
      </c>
      <c r="J7648">
        <v>1</v>
      </c>
      <c r="K7648">
        <v>0</v>
      </c>
      <c r="L7648">
        <v>0</v>
      </c>
      <c r="M7648">
        <v>14</v>
      </c>
      <c r="N7648" t="s">
        <v>37</v>
      </c>
      <c r="O7648" t="s">
        <v>32</v>
      </c>
      <c r="P7648">
        <v>3.9455017219909898</v>
      </c>
      <c r="Q7648">
        <v>0.65593689592900295</v>
      </c>
      <c r="R7648">
        <v>6.2958908835098697</v>
      </c>
      <c r="S7648">
        <v>198</v>
      </c>
      <c r="T7648">
        <v>49</v>
      </c>
      <c r="U7648">
        <v>709.54934109325905</v>
      </c>
      <c r="V7648">
        <v>2.9430313222619298E-3</v>
      </c>
      <c r="W7648">
        <v>3591271.1752601</v>
      </c>
      <c r="X7648" t="s">
        <v>39</v>
      </c>
      <c r="Y7648">
        <f>1-587-440-5590</f>
        <v>-6616</v>
      </c>
    </row>
    <row r="7649" spans="1:25" x14ac:dyDescent="0.35">
      <c r="A7649">
        <v>39.288023908615202</v>
      </c>
      <c r="B7649">
        <v>-116.904624732061</v>
      </c>
      <c r="C7649" t="s">
        <v>29</v>
      </c>
      <c r="D7649">
        <v>30.7080886969765</v>
      </c>
      <c r="E7649">
        <v>8</v>
      </c>
      <c r="F7649">
        <v>4500</v>
      </c>
      <c r="G7649">
        <v>1</v>
      </c>
      <c r="H7649">
        <v>3</v>
      </c>
      <c r="I7649">
        <v>1960</v>
      </c>
      <c r="J7649">
        <v>0</v>
      </c>
      <c r="K7649">
        <v>1</v>
      </c>
      <c r="L7649">
        <v>1</v>
      </c>
      <c r="M7649">
        <v>2</v>
      </c>
      <c r="N7649" t="s">
        <v>26</v>
      </c>
      <c r="O7649" t="s">
        <v>32</v>
      </c>
      <c r="P7649">
        <v>4.1567750857679604</v>
      </c>
      <c r="Q7649">
        <v>1.19228371225402</v>
      </c>
      <c r="R7649">
        <v>5.64589356019194</v>
      </c>
      <c r="S7649">
        <v>164</v>
      </c>
      <c r="T7649">
        <v>68</v>
      </c>
      <c r="U7649">
        <v>831.47664228929398</v>
      </c>
      <c r="V7649">
        <v>4.4444444444444398E-4</v>
      </c>
      <c r="W7649">
        <v>3961967.5678693401</v>
      </c>
      <c r="X7649" t="s">
        <v>42</v>
      </c>
      <c r="Y7649">
        <f>1-614-334-9937</f>
        <v>-10884</v>
      </c>
    </row>
    <row r="7650" spans="1:25" x14ac:dyDescent="0.35">
      <c r="A7650">
        <v>32.625313284980201</v>
      </c>
      <c r="B7650">
        <v>-122.43665343653799</v>
      </c>
      <c r="C7650" t="s">
        <v>29</v>
      </c>
      <c r="D7650">
        <v>3.0187279281166801</v>
      </c>
      <c r="E7650">
        <v>5</v>
      </c>
      <c r="F7650">
        <v>4178</v>
      </c>
      <c r="G7650">
        <v>1</v>
      </c>
      <c r="H7650">
        <v>2</v>
      </c>
      <c r="I7650">
        <v>2001</v>
      </c>
      <c r="J7650">
        <v>0</v>
      </c>
      <c r="K7650">
        <v>1</v>
      </c>
      <c r="L7650">
        <v>0</v>
      </c>
      <c r="M7650">
        <v>7</v>
      </c>
      <c r="N7650" t="s">
        <v>35</v>
      </c>
      <c r="O7650" t="s">
        <v>30</v>
      </c>
      <c r="P7650">
        <v>10.062259898169099</v>
      </c>
      <c r="Q7650">
        <v>2.19929827249068</v>
      </c>
      <c r="R7650">
        <v>8.5677154741099404</v>
      </c>
      <c r="S7650">
        <v>131</v>
      </c>
      <c r="T7650">
        <v>30</v>
      </c>
      <c r="U7650">
        <v>660.28889413909701</v>
      </c>
      <c r="V7650">
        <v>1.67544279559597E-3</v>
      </c>
      <c r="W7650">
        <v>2943603.9450037498</v>
      </c>
      <c r="X7650" t="s">
        <v>38</v>
      </c>
      <c r="Y7650">
        <f>1-936-217-7244</f>
        <v>-8396</v>
      </c>
    </row>
    <row r="7651" spans="1:25" x14ac:dyDescent="0.35">
      <c r="A7651">
        <v>34.1260012375445</v>
      </c>
      <c r="B7651">
        <v>-116.376996958015</v>
      </c>
      <c r="C7651" t="s">
        <v>25</v>
      </c>
      <c r="D7651">
        <v>8.2955264401852595</v>
      </c>
      <c r="E7651">
        <v>3</v>
      </c>
      <c r="F7651">
        <v>892</v>
      </c>
      <c r="G7651">
        <v>5</v>
      </c>
      <c r="H7651">
        <v>3</v>
      </c>
      <c r="I7651">
        <v>2022</v>
      </c>
      <c r="J7651">
        <v>1</v>
      </c>
      <c r="K7651">
        <v>0</v>
      </c>
      <c r="L7651">
        <v>0</v>
      </c>
      <c r="M7651">
        <v>14</v>
      </c>
      <c r="N7651" t="s">
        <v>26</v>
      </c>
      <c r="O7651" t="s">
        <v>30</v>
      </c>
      <c r="P7651">
        <v>8.2649751500797706</v>
      </c>
      <c r="Q7651">
        <v>1.0542971432869901</v>
      </c>
      <c r="R7651">
        <v>5.8067155827377404</v>
      </c>
      <c r="S7651">
        <v>11</v>
      </c>
      <c r="T7651">
        <v>51</v>
      </c>
      <c r="U7651">
        <v>668.94716340108505</v>
      </c>
      <c r="V7651">
        <v>1.5695067264573901E-2</v>
      </c>
      <c r="W7651">
        <v>1027212.58285891</v>
      </c>
      <c r="X7651" t="s">
        <v>36</v>
      </c>
      <c r="Y7651">
        <f>1-263-481-2605</f>
        <v>-3348</v>
      </c>
    </row>
    <row r="7652" spans="1:25" x14ac:dyDescent="0.35">
      <c r="A7652">
        <v>35.622632666330901</v>
      </c>
      <c r="B7652">
        <v>-117.982864835665</v>
      </c>
      <c r="C7652" t="s">
        <v>34</v>
      </c>
      <c r="D7652">
        <v>22.3749407787198</v>
      </c>
      <c r="E7652">
        <v>3</v>
      </c>
      <c r="F7652">
        <v>3313</v>
      </c>
      <c r="G7652">
        <v>1</v>
      </c>
      <c r="H7652">
        <v>3</v>
      </c>
      <c r="I7652">
        <v>2006</v>
      </c>
      <c r="J7652">
        <v>1</v>
      </c>
      <c r="K7652">
        <v>1</v>
      </c>
      <c r="L7652">
        <v>1</v>
      </c>
      <c r="M7652">
        <v>8</v>
      </c>
      <c r="N7652" t="s">
        <v>35</v>
      </c>
      <c r="O7652" t="s">
        <v>32</v>
      </c>
      <c r="P7652">
        <v>4.8931944934515901</v>
      </c>
      <c r="Q7652">
        <v>0.88784292650867402</v>
      </c>
      <c r="R7652">
        <v>1.53197500185692</v>
      </c>
      <c r="S7652">
        <v>193</v>
      </c>
      <c r="T7652">
        <v>54</v>
      </c>
      <c r="U7652">
        <v>625.04425399202103</v>
      </c>
      <c r="V7652">
        <v>2.4147298520977899E-3</v>
      </c>
      <c r="W7652">
        <v>2349853.6390315099</v>
      </c>
      <c r="X7652" t="s">
        <v>43</v>
      </c>
      <c r="Y7652">
        <f>1-351-600-6320</f>
        <v>-7270</v>
      </c>
    </row>
    <row r="7653" spans="1:25" x14ac:dyDescent="0.35">
      <c r="A7653">
        <v>36.3954476489114</v>
      </c>
      <c r="B7653">
        <v>-122.50856343208601</v>
      </c>
      <c r="C7653" t="s">
        <v>29</v>
      </c>
      <c r="D7653">
        <v>41.4916815878045</v>
      </c>
      <c r="E7653">
        <v>1</v>
      </c>
      <c r="F7653">
        <v>1230</v>
      </c>
      <c r="G7653">
        <v>2</v>
      </c>
      <c r="H7653">
        <v>3</v>
      </c>
      <c r="I7653">
        <v>1981</v>
      </c>
      <c r="J7653">
        <v>1</v>
      </c>
      <c r="K7653">
        <v>0</v>
      </c>
      <c r="L7653">
        <v>0</v>
      </c>
      <c r="M7653">
        <v>3</v>
      </c>
      <c r="N7653" t="s">
        <v>35</v>
      </c>
      <c r="O7653" t="s">
        <v>27</v>
      </c>
      <c r="P7653">
        <v>10.1117966472583</v>
      </c>
      <c r="Q7653">
        <v>1.97218775262608</v>
      </c>
      <c r="R7653">
        <v>0.23222517303614901</v>
      </c>
      <c r="S7653">
        <v>1</v>
      </c>
      <c r="T7653">
        <v>65</v>
      </c>
      <c r="U7653">
        <v>745.84775785786496</v>
      </c>
      <c r="V7653">
        <v>2.4390243902438998E-3</v>
      </c>
      <c r="W7653">
        <v>1107468.61271934</v>
      </c>
      <c r="X7653" t="s">
        <v>28</v>
      </c>
      <c r="Y7653">
        <f>1-577-156-6308</f>
        <v>-7040</v>
      </c>
    </row>
    <row r="7654" spans="1:25" x14ac:dyDescent="0.35">
      <c r="A7654">
        <v>32.619190364520399</v>
      </c>
      <c r="B7654">
        <v>-120.75491809213</v>
      </c>
      <c r="C7654" t="s">
        <v>25</v>
      </c>
      <c r="D7654">
        <v>3.3875457981229098</v>
      </c>
      <c r="E7654">
        <v>4</v>
      </c>
      <c r="F7654">
        <v>3963</v>
      </c>
      <c r="G7654">
        <v>4</v>
      </c>
      <c r="H7654">
        <v>2</v>
      </c>
      <c r="I7654">
        <v>2001</v>
      </c>
      <c r="J7654">
        <v>0</v>
      </c>
      <c r="K7654">
        <v>1</v>
      </c>
      <c r="L7654">
        <v>0</v>
      </c>
      <c r="M7654">
        <v>7</v>
      </c>
      <c r="N7654" t="s">
        <v>26</v>
      </c>
      <c r="O7654" t="s">
        <v>32</v>
      </c>
      <c r="P7654">
        <v>9.3183958704643892</v>
      </c>
      <c r="Q7654">
        <v>1.4938224755509</v>
      </c>
      <c r="R7654">
        <v>5.7877592302750003</v>
      </c>
      <c r="S7654">
        <v>114</v>
      </c>
      <c r="T7654">
        <v>79</v>
      </c>
      <c r="U7654">
        <v>299.57801589418699</v>
      </c>
      <c r="V7654">
        <v>1.7663386323492299E-3</v>
      </c>
      <c r="W7654">
        <v>1512978.0064093301</v>
      </c>
      <c r="X7654" t="s">
        <v>44</v>
      </c>
      <c r="Y7654">
        <f>1-914-666-6042</f>
        <v>-7621</v>
      </c>
    </row>
    <row r="7655" spans="1:25" x14ac:dyDescent="0.35">
      <c r="A7655">
        <v>34.750225512362697</v>
      </c>
      <c r="B7655">
        <v>-118.904175205729</v>
      </c>
      <c r="C7655" t="s">
        <v>34</v>
      </c>
      <c r="D7655">
        <v>34.901487223131802</v>
      </c>
      <c r="E7655">
        <v>8</v>
      </c>
      <c r="F7655">
        <v>3503</v>
      </c>
      <c r="G7655">
        <v>4</v>
      </c>
      <c r="H7655">
        <v>2</v>
      </c>
      <c r="I7655">
        <v>1987</v>
      </c>
      <c r="J7655">
        <v>1</v>
      </c>
      <c r="K7655">
        <v>0</v>
      </c>
      <c r="L7655">
        <v>0</v>
      </c>
      <c r="M7655">
        <v>2</v>
      </c>
      <c r="N7655" t="s">
        <v>41</v>
      </c>
      <c r="O7655" t="s">
        <v>32</v>
      </c>
      <c r="P7655">
        <v>4.8333642361391904</v>
      </c>
      <c r="Q7655">
        <v>2.2529245148455699</v>
      </c>
      <c r="R7655">
        <v>4.6738690526697297</v>
      </c>
      <c r="S7655">
        <v>162</v>
      </c>
      <c r="T7655">
        <v>69</v>
      </c>
      <c r="U7655">
        <v>382.43813415139198</v>
      </c>
      <c r="V7655">
        <v>5.7093919497573501E-4</v>
      </c>
      <c r="W7655">
        <v>1663218.9098389701</v>
      </c>
      <c r="X7655" t="s">
        <v>38</v>
      </c>
      <c r="Y7655">
        <f>1-827-767-5620</f>
        <v>-7213</v>
      </c>
    </row>
    <row r="7656" spans="1:25" x14ac:dyDescent="0.35">
      <c r="A7656">
        <v>34.375708445086403</v>
      </c>
      <c r="B7656">
        <v>-114.424756727267</v>
      </c>
      <c r="C7656" t="s">
        <v>25</v>
      </c>
      <c r="D7656">
        <v>23.295119548741098</v>
      </c>
      <c r="E7656">
        <v>1</v>
      </c>
      <c r="F7656">
        <v>3127</v>
      </c>
      <c r="G7656">
        <v>3</v>
      </c>
      <c r="H7656">
        <v>1</v>
      </c>
      <c r="I7656">
        <v>1958</v>
      </c>
      <c r="J7656">
        <v>0</v>
      </c>
      <c r="K7656">
        <v>0</v>
      </c>
      <c r="L7656">
        <v>0</v>
      </c>
      <c r="M7656">
        <v>4</v>
      </c>
      <c r="N7656" t="s">
        <v>41</v>
      </c>
      <c r="O7656" t="s">
        <v>32</v>
      </c>
      <c r="P7656">
        <v>12.9036299713026</v>
      </c>
      <c r="Q7656">
        <v>0.56171911632796701</v>
      </c>
      <c r="R7656">
        <v>3.75673767710563</v>
      </c>
      <c r="S7656">
        <v>43</v>
      </c>
      <c r="T7656">
        <v>50</v>
      </c>
      <c r="U7656">
        <v>973.90760809380799</v>
      </c>
      <c r="V7656">
        <v>1.2791813239526699E-3</v>
      </c>
      <c r="W7656">
        <v>3213484.42519749</v>
      </c>
      <c r="X7656" t="s">
        <v>39</v>
      </c>
      <c r="Y7656">
        <f>1-442-974-1736</f>
        <v>-3151</v>
      </c>
    </row>
    <row r="7657" spans="1:25" x14ac:dyDescent="0.35">
      <c r="A7657">
        <v>34.938202522397397</v>
      </c>
      <c r="B7657">
        <v>-120.76758613135399</v>
      </c>
      <c r="C7657" t="s">
        <v>34</v>
      </c>
      <c r="D7657">
        <v>20.7827797958414</v>
      </c>
      <c r="E7657">
        <v>4</v>
      </c>
      <c r="F7657">
        <v>4023</v>
      </c>
      <c r="G7657">
        <v>1</v>
      </c>
      <c r="H7657">
        <v>2</v>
      </c>
      <c r="I7657">
        <v>2009</v>
      </c>
      <c r="J7657">
        <v>1</v>
      </c>
      <c r="K7657">
        <v>0</v>
      </c>
      <c r="L7657">
        <v>1</v>
      </c>
      <c r="M7657">
        <v>4</v>
      </c>
      <c r="N7657" t="s">
        <v>37</v>
      </c>
      <c r="O7657" t="s">
        <v>30</v>
      </c>
      <c r="P7657">
        <v>2.3528155263127499</v>
      </c>
      <c r="Q7657">
        <v>1.87080524191842</v>
      </c>
      <c r="R7657">
        <v>1.68555922746887</v>
      </c>
      <c r="S7657">
        <v>177</v>
      </c>
      <c r="T7657">
        <v>68</v>
      </c>
      <c r="U7657">
        <v>244.51381599188699</v>
      </c>
      <c r="V7657">
        <v>9.9428287347750406E-4</v>
      </c>
      <c r="W7657">
        <v>1121850.7874177799</v>
      </c>
      <c r="X7657" t="s">
        <v>43</v>
      </c>
      <c r="Y7657">
        <f>1-557-197-3652</f>
        <v>-4405</v>
      </c>
    </row>
    <row r="7658" spans="1:25" x14ac:dyDescent="0.35">
      <c r="A7658">
        <v>37.027898894909796</v>
      </c>
      <c r="B7658">
        <v>-122.77917859650999</v>
      </c>
      <c r="C7658" t="s">
        <v>25</v>
      </c>
      <c r="D7658">
        <v>26.948817696997999</v>
      </c>
      <c r="E7658">
        <v>7</v>
      </c>
      <c r="F7658">
        <v>1656</v>
      </c>
      <c r="G7658">
        <v>5</v>
      </c>
      <c r="H7658">
        <v>2</v>
      </c>
      <c r="I7658">
        <v>1978</v>
      </c>
      <c r="J7658">
        <v>1</v>
      </c>
      <c r="K7658">
        <v>1</v>
      </c>
      <c r="L7658">
        <v>1</v>
      </c>
      <c r="M7658">
        <v>14</v>
      </c>
      <c r="N7658" t="s">
        <v>37</v>
      </c>
      <c r="O7658" t="s">
        <v>30</v>
      </c>
      <c r="P7658">
        <v>6.5888494978876597</v>
      </c>
      <c r="Q7658">
        <v>0.521032059876255</v>
      </c>
      <c r="R7658">
        <v>7.6020530594892302</v>
      </c>
      <c r="S7658">
        <v>85</v>
      </c>
      <c r="T7658">
        <v>29</v>
      </c>
      <c r="U7658">
        <v>977.44632747402397</v>
      </c>
      <c r="V7658">
        <v>8.4541062801932292E-3</v>
      </c>
      <c r="W7658">
        <v>2058597.88430689</v>
      </c>
      <c r="X7658" t="s">
        <v>39</v>
      </c>
      <c r="Y7658">
        <f>1-989-582-6784</f>
        <v>-8354</v>
      </c>
    </row>
    <row r="7659" spans="1:25" x14ac:dyDescent="0.35">
      <c r="A7659">
        <v>37.1666960014296</v>
      </c>
      <c r="B7659">
        <v>-117.31215859165199</v>
      </c>
      <c r="C7659" t="s">
        <v>29</v>
      </c>
      <c r="D7659">
        <v>47.203670169476403</v>
      </c>
      <c r="E7659">
        <v>4</v>
      </c>
      <c r="F7659">
        <v>988</v>
      </c>
      <c r="G7659">
        <v>1</v>
      </c>
      <c r="H7659">
        <v>3</v>
      </c>
      <c r="I7659">
        <v>1987</v>
      </c>
      <c r="J7659">
        <v>1</v>
      </c>
      <c r="K7659">
        <v>1</v>
      </c>
      <c r="L7659">
        <v>0</v>
      </c>
      <c r="M7659">
        <v>14</v>
      </c>
      <c r="N7659" t="s">
        <v>35</v>
      </c>
      <c r="O7659" t="s">
        <v>30</v>
      </c>
      <c r="P7659">
        <v>11.542961608359599</v>
      </c>
      <c r="Q7659">
        <v>2.1952607641070001</v>
      </c>
      <c r="R7659">
        <v>9.0444889112353604</v>
      </c>
      <c r="S7659">
        <v>54</v>
      </c>
      <c r="T7659">
        <v>72</v>
      </c>
      <c r="U7659">
        <v>571.68176107758302</v>
      </c>
      <c r="V7659">
        <v>1.4170040485829901E-2</v>
      </c>
      <c r="W7659">
        <v>932842.57573377201</v>
      </c>
      <c r="X7659" t="s">
        <v>43</v>
      </c>
      <c r="Y7659">
        <f>1-547-207-7423</f>
        <v>-8176</v>
      </c>
    </row>
    <row r="7660" spans="1:25" x14ac:dyDescent="0.35">
      <c r="A7660">
        <v>39.689617188597602</v>
      </c>
      <c r="B7660">
        <v>-120.59400113240901</v>
      </c>
      <c r="C7660" t="s">
        <v>34</v>
      </c>
      <c r="D7660">
        <v>2.3390905514740901</v>
      </c>
      <c r="E7660">
        <v>1</v>
      </c>
      <c r="F7660">
        <v>1621</v>
      </c>
      <c r="G7660">
        <v>1</v>
      </c>
      <c r="H7660">
        <v>1</v>
      </c>
      <c r="I7660">
        <v>2006</v>
      </c>
      <c r="J7660">
        <v>1</v>
      </c>
      <c r="K7660">
        <v>0</v>
      </c>
      <c r="L7660">
        <v>1</v>
      </c>
      <c r="M7660">
        <v>14</v>
      </c>
      <c r="N7660" t="s">
        <v>26</v>
      </c>
      <c r="O7660" t="s">
        <v>27</v>
      </c>
      <c r="P7660">
        <v>12.2510212825411</v>
      </c>
      <c r="Q7660">
        <v>1.3591999494662099</v>
      </c>
      <c r="R7660">
        <v>0.94401127813168595</v>
      </c>
      <c r="S7660">
        <v>46</v>
      </c>
      <c r="T7660">
        <v>38</v>
      </c>
      <c r="U7660">
        <v>795.72939681692799</v>
      </c>
      <c r="V7660">
        <v>8.6366440468846391E-3</v>
      </c>
      <c r="W7660">
        <v>1508500.9115967101</v>
      </c>
      <c r="X7660" t="s">
        <v>40</v>
      </c>
      <c r="Y7660">
        <f>1-961-163-2377</f>
        <v>-3500</v>
      </c>
    </row>
    <row r="7661" spans="1:25" x14ac:dyDescent="0.35">
      <c r="A7661">
        <v>34.117888399990797</v>
      </c>
      <c r="B7661">
        <v>-120.66733943618</v>
      </c>
      <c r="C7661" t="s">
        <v>25</v>
      </c>
      <c r="D7661">
        <v>7.73732458096082</v>
      </c>
      <c r="E7661">
        <v>0</v>
      </c>
      <c r="F7661">
        <v>4414</v>
      </c>
      <c r="G7661">
        <v>3</v>
      </c>
      <c r="H7661">
        <v>1</v>
      </c>
      <c r="I7661">
        <v>2007</v>
      </c>
      <c r="J7661">
        <v>0</v>
      </c>
      <c r="K7661">
        <v>0</v>
      </c>
      <c r="L7661">
        <v>0</v>
      </c>
      <c r="M7661">
        <v>8</v>
      </c>
      <c r="N7661" t="s">
        <v>26</v>
      </c>
      <c r="O7661" t="s">
        <v>32</v>
      </c>
      <c r="P7661">
        <v>7.7536766059715498</v>
      </c>
      <c r="Q7661">
        <v>0.83759930433282304</v>
      </c>
      <c r="R7661">
        <v>2.9988452198056499</v>
      </c>
      <c r="S7661">
        <v>197</v>
      </c>
      <c r="T7661">
        <v>68</v>
      </c>
      <c r="U7661">
        <v>247.75343557941599</v>
      </c>
      <c r="V7661">
        <v>1.81241504304485E-3</v>
      </c>
      <c r="W7661">
        <v>1248782.7604322999</v>
      </c>
      <c r="X7661" t="s">
        <v>43</v>
      </c>
      <c r="Y7661">
        <f>1-806-998-3018</f>
        <v>-4821</v>
      </c>
    </row>
    <row r="7662" spans="1:25" x14ac:dyDescent="0.35">
      <c r="A7662">
        <v>35.113700615086302</v>
      </c>
      <c r="B7662">
        <v>-117.494732424022</v>
      </c>
      <c r="C7662" t="s">
        <v>34</v>
      </c>
      <c r="D7662">
        <v>36.688154194295301</v>
      </c>
      <c r="E7662">
        <v>6</v>
      </c>
      <c r="F7662">
        <v>3771</v>
      </c>
      <c r="G7662">
        <v>1</v>
      </c>
      <c r="H7662">
        <v>3</v>
      </c>
      <c r="I7662">
        <v>1962</v>
      </c>
      <c r="J7662">
        <v>1</v>
      </c>
      <c r="K7662">
        <v>0</v>
      </c>
      <c r="L7662">
        <v>0</v>
      </c>
      <c r="M7662">
        <v>9</v>
      </c>
      <c r="N7662" t="s">
        <v>26</v>
      </c>
      <c r="O7662" t="s">
        <v>27</v>
      </c>
      <c r="P7662">
        <v>8.1943329906471298</v>
      </c>
      <c r="Q7662">
        <v>1.5591919959298799</v>
      </c>
      <c r="R7662">
        <v>0.84912256312747103</v>
      </c>
      <c r="S7662">
        <v>14</v>
      </c>
      <c r="T7662">
        <v>64</v>
      </c>
      <c r="U7662">
        <v>338.82441371263599</v>
      </c>
      <c r="V7662">
        <v>2.38663484486873E-3</v>
      </c>
      <c r="W7662">
        <v>1469604.9059452601</v>
      </c>
      <c r="X7662" t="s">
        <v>39</v>
      </c>
      <c r="Y7662">
        <f>1-571-487-4758</f>
        <v>-5815</v>
      </c>
    </row>
    <row r="7663" spans="1:25" x14ac:dyDescent="0.35">
      <c r="A7663">
        <v>38.824644871834501</v>
      </c>
      <c r="B7663">
        <v>-116.387475998135</v>
      </c>
      <c r="C7663" t="s">
        <v>25</v>
      </c>
      <c r="D7663">
        <v>49.486314951688001</v>
      </c>
      <c r="E7663">
        <v>6</v>
      </c>
      <c r="F7663">
        <v>2862</v>
      </c>
      <c r="G7663">
        <v>3</v>
      </c>
      <c r="H7663">
        <v>2</v>
      </c>
      <c r="I7663">
        <v>2012</v>
      </c>
      <c r="J7663">
        <v>1</v>
      </c>
      <c r="K7663">
        <v>1</v>
      </c>
      <c r="L7663">
        <v>0</v>
      </c>
      <c r="M7663">
        <v>8</v>
      </c>
      <c r="N7663" t="s">
        <v>37</v>
      </c>
      <c r="O7663" t="s">
        <v>27</v>
      </c>
      <c r="P7663">
        <v>13.4119578494245</v>
      </c>
      <c r="Q7663">
        <v>1.57511403848503</v>
      </c>
      <c r="R7663">
        <v>6.2000696832323303</v>
      </c>
      <c r="S7663">
        <v>8</v>
      </c>
      <c r="T7663">
        <v>42</v>
      </c>
      <c r="U7663">
        <v>418.91485757823301</v>
      </c>
      <c r="V7663">
        <v>2.79524807826694E-3</v>
      </c>
      <c r="W7663">
        <v>1705628.6060996901</v>
      </c>
      <c r="X7663" t="s">
        <v>42</v>
      </c>
      <c r="Y7663">
        <f>1-560-907-4805</f>
        <v>-6271</v>
      </c>
    </row>
    <row r="7664" spans="1:25" x14ac:dyDescent="0.35">
      <c r="A7664">
        <v>38.8210715760451</v>
      </c>
      <c r="B7664">
        <v>-122.620340815883</v>
      </c>
      <c r="C7664" t="s">
        <v>25</v>
      </c>
      <c r="D7664">
        <v>43.178870651602999</v>
      </c>
      <c r="E7664">
        <v>5</v>
      </c>
      <c r="F7664">
        <v>2095</v>
      </c>
      <c r="G7664">
        <v>5</v>
      </c>
      <c r="H7664">
        <v>2</v>
      </c>
      <c r="I7664">
        <v>2013</v>
      </c>
      <c r="J7664">
        <v>1</v>
      </c>
      <c r="K7664">
        <v>0</v>
      </c>
      <c r="L7664">
        <v>1</v>
      </c>
      <c r="M7664">
        <v>5</v>
      </c>
      <c r="N7664" t="s">
        <v>41</v>
      </c>
      <c r="O7664" t="s">
        <v>32</v>
      </c>
      <c r="P7664">
        <v>4.7044248452239996</v>
      </c>
      <c r="Q7664">
        <v>1.22121549049263</v>
      </c>
      <c r="R7664">
        <v>6.8927096639576098</v>
      </c>
      <c r="S7664">
        <v>189</v>
      </c>
      <c r="T7664">
        <v>67</v>
      </c>
      <c r="U7664">
        <v>819.12998759696904</v>
      </c>
      <c r="V7664">
        <v>2.38663484486873E-3</v>
      </c>
      <c r="W7664">
        <v>2102822.81151821</v>
      </c>
      <c r="X7664" t="s">
        <v>39</v>
      </c>
      <c r="Y7664">
        <f>1-735-327-6530</f>
        <v>-7591</v>
      </c>
    </row>
    <row r="7665" spans="1:25" x14ac:dyDescent="0.35">
      <c r="A7665">
        <v>38.491630122478199</v>
      </c>
      <c r="B7665">
        <v>-115.77505745888401</v>
      </c>
      <c r="C7665" t="s">
        <v>34</v>
      </c>
      <c r="D7665">
        <v>33.727844158918003</v>
      </c>
      <c r="E7665">
        <v>3</v>
      </c>
      <c r="F7665">
        <v>2409</v>
      </c>
      <c r="G7665">
        <v>1</v>
      </c>
      <c r="H7665">
        <v>3</v>
      </c>
      <c r="I7665">
        <v>1961</v>
      </c>
      <c r="J7665">
        <v>0</v>
      </c>
      <c r="K7665">
        <v>0</v>
      </c>
      <c r="L7665">
        <v>1</v>
      </c>
      <c r="M7665">
        <v>6</v>
      </c>
      <c r="N7665" t="s">
        <v>41</v>
      </c>
      <c r="O7665" t="s">
        <v>30</v>
      </c>
      <c r="P7665">
        <v>2.3565900999692699</v>
      </c>
      <c r="Q7665">
        <v>1.22113163284238</v>
      </c>
      <c r="R7665">
        <v>8.8801209466844</v>
      </c>
      <c r="S7665">
        <v>5</v>
      </c>
      <c r="T7665">
        <v>70</v>
      </c>
      <c r="U7665">
        <v>791.94300709001595</v>
      </c>
      <c r="V7665">
        <v>2.4906600249065998E-3</v>
      </c>
      <c r="W7665">
        <v>2045871.1896309699</v>
      </c>
      <c r="X7665" t="s">
        <v>42</v>
      </c>
      <c r="Y7665">
        <f>1-960-617-5707</f>
        <v>-7283</v>
      </c>
    </row>
    <row r="7666" spans="1:25" x14ac:dyDescent="0.35">
      <c r="A7666">
        <v>35.435543698379298</v>
      </c>
      <c r="B7666">
        <v>-119.16391246257101</v>
      </c>
      <c r="C7666" t="s">
        <v>29</v>
      </c>
      <c r="D7666">
        <v>28.707811042677701</v>
      </c>
      <c r="E7666">
        <v>0</v>
      </c>
      <c r="F7666">
        <v>3157</v>
      </c>
      <c r="G7666">
        <v>2</v>
      </c>
      <c r="H7666">
        <v>1</v>
      </c>
      <c r="I7666">
        <v>1998</v>
      </c>
      <c r="J7666">
        <v>0</v>
      </c>
      <c r="K7666">
        <v>0</v>
      </c>
      <c r="L7666">
        <v>1</v>
      </c>
      <c r="M7666">
        <v>13</v>
      </c>
      <c r="N7666" t="s">
        <v>41</v>
      </c>
      <c r="O7666" t="s">
        <v>32</v>
      </c>
      <c r="P7666">
        <v>6.16369956882592</v>
      </c>
      <c r="Q7666">
        <v>0.85654059611796596</v>
      </c>
      <c r="R7666">
        <v>7.4092703758982301</v>
      </c>
      <c r="S7666">
        <v>105</v>
      </c>
      <c r="T7666">
        <v>44</v>
      </c>
      <c r="U7666">
        <v>597.86510958499605</v>
      </c>
      <c r="V7666">
        <v>4.1178333861260604E-3</v>
      </c>
      <c r="W7666">
        <v>1984423.1782654601</v>
      </c>
      <c r="X7666" t="s">
        <v>31</v>
      </c>
      <c r="Y7666">
        <f>1-418-932-7866</f>
        <v>-9215</v>
      </c>
    </row>
    <row r="7667" spans="1:25" x14ac:dyDescent="0.35">
      <c r="A7667">
        <v>40.219358556027402</v>
      </c>
      <c r="B7667">
        <v>-115.782610887952</v>
      </c>
      <c r="C7667" t="s">
        <v>29</v>
      </c>
      <c r="D7667">
        <v>6.0701209845139497</v>
      </c>
      <c r="E7667">
        <v>7</v>
      </c>
      <c r="F7667">
        <v>1444</v>
      </c>
      <c r="G7667">
        <v>3</v>
      </c>
      <c r="H7667">
        <v>3</v>
      </c>
      <c r="I7667">
        <v>1960</v>
      </c>
      <c r="J7667">
        <v>1</v>
      </c>
      <c r="K7667">
        <v>0</v>
      </c>
      <c r="L7667">
        <v>0</v>
      </c>
      <c r="M7667">
        <v>5</v>
      </c>
      <c r="N7667" t="s">
        <v>41</v>
      </c>
      <c r="O7667" t="s">
        <v>30</v>
      </c>
      <c r="P7667">
        <v>12.480717559760301</v>
      </c>
      <c r="Q7667">
        <v>1.2105961860984</v>
      </c>
      <c r="R7667">
        <v>2.2906241514543999</v>
      </c>
      <c r="S7667">
        <v>163</v>
      </c>
      <c r="T7667">
        <v>49</v>
      </c>
      <c r="U7667">
        <v>880.55769510905702</v>
      </c>
      <c r="V7667">
        <v>3.4626038781163399E-3</v>
      </c>
      <c r="W7667">
        <v>1421016.0460888401</v>
      </c>
      <c r="X7667" t="s">
        <v>36</v>
      </c>
      <c r="Y7667">
        <f>1-531-694-7441</f>
        <v>-8665</v>
      </c>
    </row>
    <row r="7668" spans="1:25" x14ac:dyDescent="0.35">
      <c r="A7668">
        <v>35.322605316917198</v>
      </c>
      <c r="B7668">
        <v>-114.878849045387</v>
      </c>
      <c r="C7668" t="s">
        <v>34</v>
      </c>
      <c r="D7668">
        <v>35.9124524161778</v>
      </c>
      <c r="E7668">
        <v>5</v>
      </c>
      <c r="F7668">
        <v>1556</v>
      </c>
      <c r="G7668">
        <v>5</v>
      </c>
      <c r="H7668">
        <v>1</v>
      </c>
      <c r="I7668">
        <v>1950</v>
      </c>
      <c r="J7668">
        <v>0</v>
      </c>
      <c r="K7668">
        <v>1</v>
      </c>
      <c r="L7668">
        <v>0</v>
      </c>
      <c r="M7668">
        <v>12</v>
      </c>
      <c r="N7668" t="s">
        <v>26</v>
      </c>
      <c r="O7668" t="s">
        <v>27</v>
      </c>
      <c r="P7668">
        <v>5.2465396604901198</v>
      </c>
      <c r="Q7668">
        <v>2.0038766728833202</v>
      </c>
      <c r="R7668">
        <v>2.0364121076008601</v>
      </c>
      <c r="S7668">
        <v>62</v>
      </c>
      <c r="T7668">
        <v>46</v>
      </c>
      <c r="U7668">
        <v>398.73039926025399</v>
      </c>
      <c r="V7668">
        <v>7.7120822622107899E-3</v>
      </c>
      <c r="W7668">
        <v>922326.21512131603</v>
      </c>
      <c r="X7668" t="s">
        <v>40</v>
      </c>
      <c r="Y7668">
        <f>1-928-862-4981</f>
        <v>-6770</v>
      </c>
    </row>
    <row r="7669" spans="1:25" x14ac:dyDescent="0.35">
      <c r="A7669">
        <v>39.796946943256501</v>
      </c>
      <c r="B7669">
        <v>-121.64341989012701</v>
      </c>
      <c r="C7669" t="s">
        <v>29</v>
      </c>
      <c r="D7669">
        <v>43.814192594017896</v>
      </c>
      <c r="E7669">
        <v>6</v>
      </c>
      <c r="F7669">
        <v>4488</v>
      </c>
      <c r="G7669">
        <v>2</v>
      </c>
      <c r="H7669">
        <v>3</v>
      </c>
      <c r="I7669">
        <v>2005</v>
      </c>
      <c r="J7669">
        <v>1</v>
      </c>
      <c r="K7669">
        <v>0</v>
      </c>
      <c r="L7669">
        <v>1</v>
      </c>
      <c r="M7669">
        <v>13</v>
      </c>
      <c r="N7669" t="s">
        <v>37</v>
      </c>
      <c r="O7669" t="s">
        <v>30</v>
      </c>
      <c r="P7669">
        <v>8.9416759976104192</v>
      </c>
      <c r="Q7669">
        <v>1.46653256211842</v>
      </c>
      <c r="R7669">
        <v>0.97198229328299901</v>
      </c>
      <c r="S7669">
        <v>62</v>
      </c>
      <c r="T7669">
        <v>54</v>
      </c>
      <c r="U7669">
        <v>651.98996300152396</v>
      </c>
      <c r="V7669">
        <v>2.8966131907308301E-3</v>
      </c>
      <c r="W7669">
        <v>3205273.9558047899</v>
      </c>
      <c r="X7669" t="s">
        <v>36</v>
      </c>
      <c r="Y7669">
        <f>1-545-872-5020</f>
        <v>-6436</v>
      </c>
    </row>
    <row r="7670" spans="1:25" x14ac:dyDescent="0.35">
      <c r="A7670">
        <v>41.5561624031062</v>
      </c>
      <c r="B7670">
        <v>-123.842465416986</v>
      </c>
      <c r="C7670" t="s">
        <v>25</v>
      </c>
      <c r="D7670">
        <v>27.025787277197399</v>
      </c>
      <c r="E7670">
        <v>8</v>
      </c>
      <c r="F7670">
        <v>4941</v>
      </c>
      <c r="G7670">
        <v>2</v>
      </c>
      <c r="H7670">
        <v>2</v>
      </c>
      <c r="I7670">
        <v>1961</v>
      </c>
      <c r="J7670">
        <v>0</v>
      </c>
      <c r="K7670">
        <v>0</v>
      </c>
      <c r="L7670">
        <v>1</v>
      </c>
      <c r="M7670">
        <v>14</v>
      </c>
      <c r="N7670" t="s">
        <v>41</v>
      </c>
      <c r="O7670" t="s">
        <v>32</v>
      </c>
      <c r="P7670">
        <v>12.9190250842331</v>
      </c>
      <c r="Q7670">
        <v>2.0236408871776099</v>
      </c>
      <c r="R7670">
        <v>9.3237370573535596</v>
      </c>
      <c r="S7670">
        <v>126</v>
      </c>
      <c r="T7670">
        <v>68</v>
      </c>
      <c r="U7670">
        <v>469.10011007676297</v>
      </c>
      <c r="V7670">
        <v>2.8334345274235902E-3</v>
      </c>
      <c r="W7670">
        <v>2452436.3870184999</v>
      </c>
      <c r="X7670" t="s">
        <v>39</v>
      </c>
      <c r="Y7670">
        <f>1-394-917-2077</f>
        <v>-3387</v>
      </c>
    </row>
    <row r="7671" spans="1:25" x14ac:dyDescent="0.35">
      <c r="A7671">
        <v>33.4010573559191</v>
      </c>
      <c r="B7671">
        <v>-119.296121701285</v>
      </c>
      <c r="C7671" t="s">
        <v>29</v>
      </c>
      <c r="D7671">
        <v>3.7219573542604101</v>
      </c>
      <c r="E7671">
        <v>1</v>
      </c>
      <c r="F7671">
        <v>3379</v>
      </c>
      <c r="G7671">
        <v>1</v>
      </c>
      <c r="H7671">
        <v>1</v>
      </c>
      <c r="I7671">
        <v>1989</v>
      </c>
      <c r="J7671">
        <v>0</v>
      </c>
      <c r="K7671">
        <v>1</v>
      </c>
      <c r="L7671">
        <v>1</v>
      </c>
      <c r="M7671">
        <v>7</v>
      </c>
      <c r="N7671" t="s">
        <v>26</v>
      </c>
      <c r="O7671" t="s">
        <v>32</v>
      </c>
      <c r="P7671">
        <v>8.7126316320517194</v>
      </c>
      <c r="Q7671">
        <v>1.2081581268875199</v>
      </c>
      <c r="R7671">
        <v>0.256684706966192</v>
      </c>
      <c r="S7671">
        <v>36</v>
      </c>
      <c r="T7671">
        <v>60</v>
      </c>
      <c r="U7671">
        <v>571.99337067670797</v>
      </c>
      <c r="V7671">
        <v>2.0716188221367201E-3</v>
      </c>
      <c r="W7671">
        <v>2202816.1913490798</v>
      </c>
      <c r="X7671" t="s">
        <v>40</v>
      </c>
      <c r="Y7671">
        <f>1-330-958-4646</f>
        <v>-5933</v>
      </c>
    </row>
    <row r="7672" spans="1:25" x14ac:dyDescent="0.35">
      <c r="A7672">
        <v>34.6646657537352</v>
      </c>
      <c r="B7672">
        <v>-123.09090226977</v>
      </c>
      <c r="C7672" t="s">
        <v>25</v>
      </c>
      <c r="D7672">
        <v>6.1864352760630403</v>
      </c>
      <c r="E7672">
        <v>9</v>
      </c>
      <c r="F7672">
        <v>4757</v>
      </c>
      <c r="G7672">
        <v>1</v>
      </c>
      <c r="H7672">
        <v>3</v>
      </c>
      <c r="I7672">
        <v>1959</v>
      </c>
      <c r="J7672">
        <v>0</v>
      </c>
      <c r="K7672">
        <v>0</v>
      </c>
      <c r="L7672">
        <v>0</v>
      </c>
      <c r="M7672">
        <v>6</v>
      </c>
      <c r="N7672" t="s">
        <v>26</v>
      </c>
      <c r="O7672" t="s">
        <v>27</v>
      </c>
      <c r="P7672">
        <v>10.5534428601263</v>
      </c>
      <c r="Q7672">
        <v>0.53190959843158803</v>
      </c>
      <c r="R7672">
        <v>2.17316455026927</v>
      </c>
      <c r="S7672">
        <v>61</v>
      </c>
      <c r="T7672">
        <v>63</v>
      </c>
      <c r="U7672">
        <v>505.53939404519002</v>
      </c>
      <c r="V7672">
        <v>1.2612991381122499E-3</v>
      </c>
      <c r="W7672">
        <v>2496977.6781947399</v>
      </c>
      <c r="X7672" t="s">
        <v>39</v>
      </c>
      <c r="Y7672">
        <f>1-576-759-2023</f>
        <v>-3357</v>
      </c>
    </row>
    <row r="7673" spans="1:25" x14ac:dyDescent="0.35">
      <c r="A7673">
        <v>36.414783237921597</v>
      </c>
      <c r="B7673">
        <v>-119.830963808259</v>
      </c>
      <c r="C7673" t="s">
        <v>29</v>
      </c>
      <c r="D7673">
        <v>4.29238641130845</v>
      </c>
      <c r="E7673">
        <v>6</v>
      </c>
      <c r="F7673">
        <v>2976</v>
      </c>
      <c r="G7673">
        <v>5</v>
      </c>
      <c r="H7673">
        <v>3</v>
      </c>
      <c r="I7673">
        <v>1951</v>
      </c>
      <c r="J7673">
        <v>1</v>
      </c>
      <c r="K7673">
        <v>0</v>
      </c>
      <c r="L7673">
        <v>0</v>
      </c>
      <c r="M7673">
        <v>12</v>
      </c>
      <c r="N7673" t="s">
        <v>35</v>
      </c>
      <c r="O7673" t="s">
        <v>32</v>
      </c>
      <c r="P7673">
        <v>11.457712924395199</v>
      </c>
      <c r="Q7673">
        <v>1.69212839607693</v>
      </c>
      <c r="R7673">
        <v>5.4039155579161999</v>
      </c>
      <c r="S7673">
        <v>90</v>
      </c>
      <c r="T7673">
        <v>51</v>
      </c>
      <c r="U7673">
        <v>855.60667954658004</v>
      </c>
      <c r="V7673">
        <v>4.0322580645161202E-3</v>
      </c>
      <c r="W7673">
        <v>2866249.0686007198</v>
      </c>
      <c r="X7673" t="s">
        <v>43</v>
      </c>
      <c r="Y7673">
        <f>1-415-378-1508</f>
        <v>-2300</v>
      </c>
    </row>
    <row r="7674" spans="1:25" x14ac:dyDescent="0.35">
      <c r="A7674">
        <v>39.035934863803</v>
      </c>
      <c r="B7674">
        <v>-122.682461922163</v>
      </c>
      <c r="C7674" t="s">
        <v>25</v>
      </c>
      <c r="D7674">
        <v>19.0179531401701</v>
      </c>
      <c r="E7674">
        <v>8</v>
      </c>
      <c r="F7674">
        <v>3273</v>
      </c>
      <c r="G7674">
        <v>5</v>
      </c>
      <c r="H7674">
        <v>3</v>
      </c>
      <c r="I7674">
        <v>2011</v>
      </c>
      <c r="J7674">
        <v>1</v>
      </c>
      <c r="K7674">
        <v>0</v>
      </c>
      <c r="L7674">
        <v>0</v>
      </c>
      <c r="M7674">
        <v>12</v>
      </c>
      <c r="N7674" t="s">
        <v>35</v>
      </c>
      <c r="O7674" t="s">
        <v>27</v>
      </c>
      <c r="P7674">
        <v>10.865491016625899</v>
      </c>
      <c r="Q7674">
        <v>1.15857214214632</v>
      </c>
      <c r="R7674">
        <v>5.20102372756305</v>
      </c>
      <c r="S7674">
        <v>124</v>
      </c>
      <c r="T7674">
        <v>21</v>
      </c>
      <c r="U7674">
        <v>308.05933025565201</v>
      </c>
      <c r="V7674">
        <v>3.6663611365719499E-3</v>
      </c>
      <c r="W7674">
        <v>1431846.61402203</v>
      </c>
      <c r="X7674" t="s">
        <v>43</v>
      </c>
      <c r="Y7674">
        <f>1-407-380-3632</f>
        <v>-4418</v>
      </c>
    </row>
    <row r="7675" spans="1:25" x14ac:dyDescent="0.35">
      <c r="A7675">
        <v>37.0397692766905</v>
      </c>
      <c r="B7675">
        <v>-115.26129360636401</v>
      </c>
      <c r="C7675" t="s">
        <v>29</v>
      </c>
      <c r="D7675">
        <v>28.203595732248299</v>
      </c>
      <c r="E7675">
        <v>9</v>
      </c>
      <c r="F7675">
        <v>1356</v>
      </c>
      <c r="G7675">
        <v>2</v>
      </c>
      <c r="H7675">
        <v>1</v>
      </c>
      <c r="I7675">
        <v>2018</v>
      </c>
      <c r="J7675">
        <v>0</v>
      </c>
      <c r="K7675">
        <v>0</v>
      </c>
      <c r="L7675">
        <v>0</v>
      </c>
      <c r="M7675">
        <v>3</v>
      </c>
      <c r="N7675" t="s">
        <v>41</v>
      </c>
      <c r="O7675" t="s">
        <v>27</v>
      </c>
      <c r="P7675">
        <v>10.8687435640842</v>
      </c>
      <c r="Q7675">
        <v>1.18068083811498</v>
      </c>
      <c r="R7675">
        <v>2.17366006959322</v>
      </c>
      <c r="S7675">
        <v>58</v>
      </c>
      <c r="T7675">
        <v>43</v>
      </c>
      <c r="U7675">
        <v>358.72187062362002</v>
      </c>
      <c r="V7675">
        <v>2.21238938053097E-3</v>
      </c>
      <c r="W7675">
        <v>691451.77827168396</v>
      </c>
      <c r="X7675" t="s">
        <v>43</v>
      </c>
      <c r="Y7675">
        <f>1-335-752-3064</f>
        <v>-4150</v>
      </c>
    </row>
    <row r="7676" spans="1:25" x14ac:dyDescent="0.35">
      <c r="A7676">
        <v>33.381352724545401</v>
      </c>
      <c r="B7676">
        <v>-115.176973701119</v>
      </c>
      <c r="C7676" t="s">
        <v>25</v>
      </c>
      <c r="D7676">
        <v>37.451117562619601</v>
      </c>
      <c r="E7676">
        <v>2</v>
      </c>
      <c r="F7676">
        <v>4153</v>
      </c>
      <c r="G7676">
        <v>2</v>
      </c>
      <c r="H7676">
        <v>3</v>
      </c>
      <c r="I7676">
        <v>1987</v>
      </c>
      <c r="J7676">
        <v>0</v>
      </c>
      <c r="K7676">
        <v>0</v>
      </c>
      <c r="L7676">
        <v>0</v>
      </c>
      <c r="M7676">
        <v>5</v>
      </c>
      <c r="N7676" t="s">
        <v>35</v>
      </c>
      <c r="O7676" t="s">
        <v>27</v>
      </c>
      <c r="P7676">
        <v>10.152423507697</v>
      </c>
      <c r="Q7676">
        <v>0.76796735229536595</v>
      </c>
      <c r="R7676">
        <v>0.88467288812020395</v>
      </c>
      <c r="S7676">
        <v>170</v>
      </c>
      <c r="T7676">
        <v>62</v>
      </c>
      <c r="U7676">
        <v>709.71318412145604</v>
      </c>
      <c r="V7676">
        <v>1.20394895256441E-3</v>
      </c>
      <c r="W7676">
        <v>3147776.5811080802</v>
      </c>
      <c r="X7676" t="s">
        <v>36</v>
      </c>
      <c r="Y7676">
        <f>1-430-133-7753</f>
        <v>-8315</v>
      </c>
    </row>
    <row r="7677" spans="1:25" x14ac:dyDescent="0.35">
      <c r="A7677">
        <v>37.125401650104699</v>
      </c>
      <c r="B7677">
        <v>-123.998052402186</v>
      </c>
      <c r="C7677" t="s">
        <v>34</v>
      </c>
      <c r="D7677">
        <v>31.247911077557902</v>
      </c>
      <c r="E7677">
        <v>3</v>
      </c>
      <c r="F7677">
        <v>4679</v>
      </c>
      <c r="G7677">
        <v>5</v>
      </c>
      <c r="H7677">
        <v>1</v>
      </c>
      <c r="I7677">
        <v>1951</v>
      </c>
      <c r="J7677">
        <v>0</v>
      </c>
      <c r="K7677">
        <v>1</v>
      </c>
      <c r="L7677">
        <v>1</v>
      </c>
      <c r="M7677">
        <v>6</v>
      </c>
      <c r="N7677" t="s">
        <v>41</v>
      </c>
      <c r="O7677" t="s">
        <v>30</v>
      </c>
      <c r="P7677">
        <v>10.889128905229001</v>
      </c>
      <c r="Q7677">
        <v>2.4300968263683602</v>
      </c>
      <c r="R7677">
        <v>7.5432033135142902</v>
      </c>
      <c r="S7677">
        <v>182</v>
      </c>
      <c r="T7677">
        <v>26</v>
      </c>
      <c r="U7677">
        <v>200.673060815551</v>
      </c>
      <c r="V7677">
        <v>1.2823252831801601E-3</v>
      </c>
      <c r="W7677">
        <v>1274407.4602447301</v>
      </c>
      <c r="X7677" t="s">
        <v>39</v>
      </c>
      <c r="Y7677">
        <f>1-377-530-6615</f>
        <v>-7521</v>
      </c>
    </row>
    <row r="7678" spans="1:25" x14ac:dyDescent="0.35">
      <c r="A7678">
        <v>37.042215350850299</v>
      </c>
      <c r="B7678">
        <v>-121.948272443352</v>
      </c>
      <c r="C7678" t="s">
        <v>29</v>
      </c>
      <c r="D7678">
        <v>27.569243143111901</v>
      </c>
      <c r="E7678">
        <v>6</v>
      </c>
      <c r="F7678">
        <v>4348</v>
      </c>
      <c r="G7678">
        <v>2</v>
      </c>
      <c r="H7678">
        <v>2</v>
      </c>
      <c r="I7678">
        <v>1989</v>
      </c>
      <c r="J7678">
        <v>0</v>
      </c>
      <c r="K7678">
        <v>1</v>
      </c>
      <c r="L7678">
        <v>0</v>
      </c>
      <c r="M7678">
        <v>10</v>
      </c>
      <c r="N7678" t="s">
        <v>41</v>
      </c>
      <c r="O7678" t="s">
        <v>27</v>
      </c>
      <c r="P7678">
        <v>10.4923272637292</v>
      </c>
      <c r="Q7678">
        <v>2.17560517625156</v>
      </c>
      <c r="R7678">
        <v>4.7226384486934503</v>
      </c>
      <c r="S7678">
        <v>122</v>
      </c>
      <c r="T7678">
        <v>68</v>
      </c>
      <c r="U7678">
        <v>604.52309468852104</v>
      </c>
      <c r="V7678">
        <v>2.2999080036798501E-3</v>
      </c>
      <c r="W7678">
        <v>2843713.0715854801</v>
      </c>
      <c r="X7678" t="s">
        <v>42</v>
      </c>
      <c r="Y7678">
        <f>1-806-117-5666</f>
        <v>-6588</v>
      </c>
    </row>
    <row r="7679" spans="1:25" x14ac:dyDescent="0.35">
      <c r="A7679">
        <v>41.183934876869202</v>
      </c>
      <c r="B7679">
        <v>-114.75708805767</v>
      </c>
      <c r="C7679" t="s">
        <v>29</v>
      </c>
      <c r="D7679">
        <v>15.003851978672399</v>
      </c>
      <c r="E7679">
        <v>8</v>
      </c>
      <c r="F7679">
        <v>3744</v>
      </c>
      <c r="G7679">
        <v>4</v>
      </c>
      <c r="H7679">
        <v>1</v>
      </c>
      <c r="I7679">
        <v>2016</v>
      </c>
      <c r="J7679">
        <v>1</v>
      </c>
      <c r="K7679">
        <v>1</v>
      </c>
      <c r="L7679">
        <v>1</v>
      </c>
      <c r="M7679">
        <v>12</v>
      </c>
      <c r="N7679" t="s">
        <v>41</v>
      </c>
      <c r="O7679" t="s">
        <v>30</v>
      </c>
      <c r="P7679">
        <v>2.3256231416395901</v>
      </c>
      <c r="Q7679">
        <v>1.8546534621891499</v>
      </c>
      <c r="R7679">
        <v>4.0545916331503999</v>
      </c>
      <c r="S7679">
        <v>179</v>
      </c>
      <c r="T7679">
        <v>50</v>
      </c>
      <c r="U7679">
        <v>477.61246694290298</v>
      </c>
      <c r="V7679">
        <v>3.2051282051281998E-3</v>
      </c>
      <c r="W7679">
        <v>2083405.18313218</v>
      </c>
      <c r="X7679" t="s">
        <v>42</v>
      </c>
      <c r="Y7679">
        <f>1-664-648-7546</f>
        <v>-8857</v>
      </c>
    </row>
    <row r="7680" spans="1:25" x14ac:dyDescent="0.35">
      <c r="A7680">
        <v>35.017895754627602</v>
      </c>
      <c r="B7680">
        <v>-115.20828629539101</v>
      </c>
      <c r="C7680" t="s">
        <v>34</v>
      </c>
      <c r="D7680">
        <v>6.3469247037599903</v>
      </c>
      <c r="E7680">
        <v>2</v>
      </c>
      <c r="F7680">
        <v>2085</v>
      </c>
      <c r="G7680">
        <v>2</v>
      </c>
      <c r="H7680">
        <v>3</v>
      </c>
      <c r="I7680">
        <v>1955</v>
      </c>
      <c r="J7680">
        <v>1</v>
      </c>
      <c r="K7680">
        <v>1</v>
      </c>
      <c r="L7680">
        <v>1</v>
      </c>
      <c r="M7680">
        <v>10</v>
      </c>
      <c r="N7680" t="s">
        <v>26</v>
      </c>
      <c r="O7680" t="s">
        <v>32</v>
      </c>
      <c r="P7680">
        <v>11.7254354318477</v>
      </c>
      <c r="Q7680">
        <v>1.75223857666517</v>
      </c>
      <c r="R7680">
        <v>9.6131765306725097</v>
      </c>
      <c r="S7680">
        <v>154</v>
      </c>
      <c r="T7680">
        <v>78</v>
      </c>
      <c r="U7680">
        <v>500.50984659070201</v>
      </c>
      <c r="V7680">
        <v>4.7961630695443598E-3</v>
      </c>
      <c r="W7680">
        <v>1457660.1602789301</v>
      </c>
      <c r="X7680" t="s">
        <v>28</v>
      </c>
      <c r="Y7680">
        <f>1-649-132-1035</f>
        <v>-1815</v>
      </c>
    </row>
    <row r="7681" spans="1:25" x14ac:dyDescent="0.35">
      <c r="A7681">
        <v>33.961010869635402</v>
      </c>
      <c r="B7681">
        <v>-119.296670344072</v>
      </c>
      <c r="C7681" t="s">
        <v>29</v>
      </c>
      <c r="D7681">
        <v>31.2133368966768</v>
      </c>
      <c r="E7681">
        <v>5</v>
      </c>
      <c r="F7681">
        <v>4809</v>
      </c>
      <c r="G7681">
        <v>2</v>
      </c>
      <c r="H7681">
        <v>2</v>
      </c>
      <c r="I7681">
        <v>2012</v>
      </c>
      <c r="J7681">
        <v>1</v>
      </c>
      <c r="K7681">
        <v>0</v>
      </c>
      <c r="L7681">
        <v>1</v>
      </c>
      <c r="M7681">
        <v>12</v>
      </c>
      <c r="N7681" t="s">
        <v>26</v>
      </c>
      <c r="O7681" t="s">
        <v>30</v>
      </c>
      <c r="P7681">
        <v>7.1599269843704603</v>
      </c>
      <c r="Q7681">
        <v>0.67934066071782095</v>
      </c>
      <c r="R7681">
        <v>6.8059309621756698</v>
      </c>
      <c r="S7681">
        <v>112</v>
      </c>
      <c r="T7681">
        <v>57</v>
      </c>
      <c r="U7681">
        <v>364.61475364558498</v>
      </c>
      <c r="V7681">
        <v>2.4953212726138399E-3</v>
      </c>
      <c r="W7681">
        <v>1974475.42668176</v>
      </c>
      <c r="X7681" t="s">
        <v>40</v>
      </c>
      <c r="Y7681">
        <f>1-369-199-1940</f>
        <v>-2507</v>
      </c>
    </row>
    <row r="7682" spans="1:25" x14ac:dyDescent="0.35">
      <c r="A7682">
        <v>35.458494558806002</v>
      </c>
      <c r="B7682">
        <v>-116.967298174375</v>
      </c>
      <c r="C7682" t="s">
        <v>34</v>
      </c>
      <c r="D7682">
        <v>21.759745724477501</v>
      </c>
      <c r="E7682">
        <v>5</v>
      </c>
      <c r="F7682">
        <v>3812</v>
      </c>
      <c r="G7682">
        <v>4</v>
      </c>
      <c r="H7682">
        <v>2</v>
      </c>
      <c r="I7682">
        <v>1955</v>
      </c>
      <c r="J7682">
        <v>1</v>
      </c>
      <c r="K7682">
        <v>1</v>
      </c>
      <c r="L7682">
        <v>0</v>
      </c>
      <c r="M7682">
        <v>2</v>
      </c>
      <c r="N7682" t="s">
        <v>41</v>
      </c>
      <c r="O7682" t="s">
        <v>30</v>
      </c>
      <c r="P7682">
        <v>11.4675110091733</v>
      </c>
      <c r="Q7682">
        <v>1.4176728367791001</v>
      </c>
      <c r="R7682">
        <v>1.2317588009264899</v>
      </c>
      <c r="S7682">
        <v>198</v>
      </c>
      <c r="T7682">
        <v>75</v>
      </c>
      <c r="U7682">
        <v>611.02547068954505</v>
      </c>
      <c r="V7682">
        <v>5.24658971668415E-4</v>
      </c>
      <c r="W7682">
        <v>2635643.46839274</v>
      </c>
      <c r="X7682" t="s">
        <v>36</v>
      </c>
      <c r="Y7682">
        <f>1-389-824-1808</f>
        <v>-3020</v>
      </c>
    </row>
    <row r="7683" spans="1:25" x14ac:dyDescent="0.35">
      <c r="A7683">
        <v>33.055614293987603</v>
      </c>
      <c r="B7683">
        <v>-120.425000806439</v>
      </c>
      <c r="C7683" t="s">
        <v>25</v>
      </c>
      <c r="D7683">
        <v>11.391957463899701</v>
      </c>
      <c r="E7683">
        <v>4</v>
      </c>
      <c r="F7683">
        <v>1002</v>
      </c>
      <c r="G7683">
        <v>2</v>
      </c>
      <c r="H7683">
        <v>3</v>
      </c>
      <c r="I7683">
        <v>1993</v>
      </c>
      <c r="J7683">
        <v>0</v>
      </c>
      <c r="K7683">
        <v>0</v>
      </c>
      <c r="L7683">
        <v>0</v>
      </c>
      <c r="M7683">
        <v>9</v>
      </c>
      <c r="N7683" t="s">
        <v>35</v>
      </c>
      <c r="O7683" t="s">
        <v>27</v>
      </c>
      <c r="P7683">
        <v>12.588512149604</v>
      </c>
      <c r="Q7683">
        <v>2.26519864111581</v>
      </c>
      <c r="R7683">
        <v>0.72953716505445099</v>
      </c>
      <c r="S7683">
        <v>19</v>
      </c>
      <c r="T7683">
        <v>31</v>
      </c>
      <c r="U7683">
        <v>348.14997723370601</v>
      </c>
      <c r="V7683">
        <v>8.9820359281437105E-3</v>
      </c>
      <c r="W7683">
        <v>577300.25114206295</v>
      </c>
      <c r="X7683" t="s">
        <v>28</v>
      </c>
      <c r="Y7683">
        <f>1-929-958-3874</f>
        <v>-5760</v>
      </c>
    </row>
    <row r="7684" spans="1:25" x14ac:dyDescent="0.35">
      <c r="A7684">
        <v>41.523467113305202</v>
      </c>
      <c r="B7684">
        <v>-116.638089128243</v>
      </c>
      <c r="C7684" t="s">
        <v>25</v>
      </c>
      <c r="D7684">
        <v>23.222046216906001</v>
      </c>
      <c r="E7684">
        <v>3</v>
      </c>
      <c r="F7684">
        <v>3921</v>
      </c>
      <c r="G7684">
        <v>2</v>
      </c>
      <c r="H7684">
        <v>1</v>
      </c>
      <c r="I7684">
        <v>1982</v>
      </c>
      <c r="J7684">
        <v>0</v>
      </c>
      <c r="K7684">
        <v>1</v>
      </c>
      <c r="L7684">
        <v>0</v>
      </c>
      <c r="M7684">
        <v>13</v>
      </c>
      <c r="N7684" t="s">
        <v>26</v>
      </c>
      <c r="O7684" t="s">
        <v>30</v>
      </c>
      <c r="P7684">
        <v>7.8514561873034001</v>
      </c>
      <c r="Q7684">
        <v>0.57817377301377904</v>
      </c>
      <c r="R7684">
        <v>9.1413106205564301</v>
      </c>
      <c r="S7684">
        <v>72</v>
      </c>
      <c r="T7684">
        <v>78</v>
      </c>
      <c r="U7684">
        <v>749.57291338430696</v>
      </c>
      <c r="V7684">
        <v>3.3154807447079802E-3</v>
      </c>
      <c r="W7684">
        <v>3047221.8257805901</v>
      </c>
      <c r="X7684" t="s">
        <v>40</v>
      </c>
      <c r="Y7684">
        <f>1-898-683-6654</f>
        <v>-8234</v>
      </c>
    </row>
    <row r="7685" spans="1:25" x14ac:dyDescent="0.35">
      <c r="A7685">
        <v>41.987833101080597</v>
      </c>
      <c r="B7685">
        <v>-115.53492208794999</v>
      </c>
      <c r="C7685" t="s">
        <v>29</v>
      </c>
      <c r="D7685">
        <v>40.058260421340002</v>
      </c>
      <c r="E7685">
        <v>1</v>
      </c>
      <c r="F7685">
        <v>3648</v>
      </c>
      <c r="G7685">
        <v>2</v>
      </c>
      <c r="H7685">
        <v>1</v>
      </c>
      <c r="I7685">
        <v>2021</v>
      </c>
      <c r="J7685">
        <v>0</v>
      </c>
      <c r="K7685">
        <v>1</v>
      </c>
      <c r="L7685">
        <v>0</v>
      </c>
      <c r="M7685">
        <v>4</v>
      </c>
      <c r="N7685" t="s">
        <v>37</v>
      </c>
      <c r="O7685" t="s">
        <v>30</v>
      </c>
      <c r="P7685">
        <v>10.1112094317737</v>
      </c>
      <c r="Q7685">
        <v>2.4717384527635402</v>
      </c>
      <c r="R7685">
        <v>4.8056884871095704</v>
      </c>
      <c r="S7685">
        <v>84</v>
      </c>
      <c r="T7685">
        <v>65</v>
      </c>
      <c r="U7685">
        <v>446.38425613309101</v>
      </c>
      <c r="V7685">
        <v>1.09649122807017E-3</v>
      </c>
      <c r="W7685">
        <v>1876663.92910052</v>
      </c>
      <c r="X7685" t="s">
        <v>36</v>
      </c>
      <c r="Y7685">
        <f>1-763-807-4219</f>
        <v>-5788</v>
      </c>
    </row>
    <row r="7686" spans="1:25" x14ac:dyDescent="0.35">
      <c r="A7686">
        <v>34.228720387996198</v>
      </c>
      <c r="B7686">
        <v>-116.614738480293</v>
      </c>
      <c r="C7686" t="s">
        <v>34</v>
      </c>
      <c r="D7686">
        <v>16.199586412497801</v>
      </c>
      <c r="E7686">
        <v>5</v>
      </c>
      <c r="F7686">
        <v>2720</v>
      </c>
      <c r="G7686">
        <v>5</v>
      </c>
      <c r="H7686">
        <v>2</v>
      </c>
      <c r="I7686">
        <v>1957</v>
      </c>
      <c r="J7686">
        <v>0</v>
      </c>
      <c r="K7686">
        <v>0</v>
      </c>
      <c r="L7686">
        <v>0</v>
      </c>
      <c r="M7686">
        <v>10</v>
      </c>
      <c r="N7686" t="s">
        <v>26</v>
      </c>
      <c r="O7686" t="s">
        <v>30</v>
      </c>
      <c r="P7686">
        <v>9.8815849806485296</v>
      </c>
      <c r="Q7686">
        <v>1.8335877326418299</v>
      </c>
      <c r="R7686">
        <v>6.5653175711188796</v>
      </c>
      <c r="S7686">
        <v>51</v>
      </c>
      <c r="T7686">
        <v>42</v>
      </c>
      <c r="U7686">
        <v>442.06054190902898</v>
      </c>
      <c r="V7686">
        <v>3.6764705882352902E-3</v>
      </c>
      <c r="W7686">
        <v>1426249.9106439401</v>
      </c>
      <c r="X7686" t="s">
        <v>36</v>
      </c>
      <c r="Y7686">
        <f>1-692-433-3331</f>
        <v>-4455</v>
      </c>
    </row>
    <row r="7687" spans="1:25" x14ac:dyDescent="0.35">
      <c r="A7687">
        <v>34.446768463545602</v>
      </c>
      <c r="B7687">
        <v>-119.152798627983</v>
      </c>
      <c r="C7687" t="s">
        <v>34</v>
      </c>
      <c r="D7687">
        <v>7.9943980026926198</v>
      </c>
      <c r="E7687">
        <v>8</v>
      </c>
      <c r="F7687">
        <v>2163</v>
      </c>
      <c r="G7687">
        <v>1</v>
      </c>
      <c r="H7687">
        <v>3</v>
      </c>
      <c r="I7687">
        <v>1991</v>
      </c>
      <c r="J7687">
        <v>1</v>
      </c>
      <c r="K7687">
        <v>1</v>
      </c>
      <c r="L7687">
        <v>0</v>
      </c>
      <c r="M7687">
        <v>3</v>
      </c>
      <c r="N7687" t="s">
        <v>41</v>
      </c>
      <c r="O7687" t="s">
        <v>27</v>
      </c>
      <c r="P7687">
        <v>3.5339484157120502</v>
      </c>
      <c r="Q7687">
        <v>0.74350555963721399</v>
      </c>
      <c r="R7687">
        <v>5.2640722701854399</v>
      </c>
      <c r="S7687">
        <v>113</v>
      </c>
      <c r="T7687">
        <v>34</v>
      </c>
      <c r="U7687">
        <v>949.58400009101399</v>
      </c>
      <c r="V7687">
        <v>1.3869625520110901E-3</v>
      </c>
      <c r="W7687">
        <v>2301050.8773985002</v>
      </c>
      <c r="X7687" t="s">
        <v>31</v>
      </c>
      <c r="Y7687">
        <f>1-586-183-4927</f>
        <v>-5695</v>
      </c>
    </row>
    <row r="7688" spans="1:25" x14ac:dyDescent="0.35">
      <c r="A7688">
        <v>41.187527623780298</v>
      </c>
      <c r="B7688">
        <v>-122.008287200917</v>
      </c>
      <c r="C7688" t="s">
        <v>29</v>
      </c>
      <c r="D7688">
        <v>4.0870028872230497</v>
      </c>
      <c r="E7688">
        <v>1</v>
      </c>
      <c r="F7688">
        <v>2279</v>
      </c>
      <c r="G7688">
        <v>5</v>
      </c>
      <c r="H7688">
        <v>1</v>
      </c>
      <c r="I7688">
        <v>1998</v>
      </c>
      <c r="J7688">
        <v>0</v>
      </c>
      <c r="K7688">
        <v>0</v>
      </c>
      <c r="L7688">
        <v>1</v>
      </c>
      <c r="M7688">
        <v>9</v>
      </c>
      <c r="N7688" t="s">
        <v>26</v>
      </c>
      <c r="O7688" t="s">
        <v>32</v>
      </c>
      <c r="P7688">
        <v>11.345217914846099</v>
      </c>
      <c r="Q7688">
        <v>1.75754435607828</v>
      </c>
      <c r="R7688">
        <v>3.2138895344780098</v>
      </c>
      <c r="S7688">
        <v>110</v>
      </c>
      <c r="T7688">
        <v>27</v>
      </c>
      <c r="U7688">
        <v>455.986408836024</v>
      </c>
      <c r="V7688">
        <v>3.9491004826678298E-3</v>
      </c>
      <c r="W7688">
        <v>1376418.9084222601</v>
      </c>
      <c r="X7688" t="s">
        <v>33</v>
      </c>
      <c r="Y7688">
        <f>1-601-575-1729</f>
        <v>-2904</v>
      </c>
    </row>
    <row r="7689" spans="1:25" x14ac:dyDescent="0.35">
      <c r="A7689">
        <v>37.303743670929101</v>
      </c>
      <c r="B7689">
        <v>-117.514509629934</v>
      </c>
      <c r="C7689" t="s">
        <v>29</v>
      </c>
      <c r="D7689">
        <v>49.0467684353411</v>
      </c>
      <c r="E7689">
        <v>5</v>
      </c>
      <c r="F7689">
        <v>3102</v>
      </c>
      <c r="G7689">
        <v>4</v>
      </c>
      <c r="H7689">
        <v>2</v>
      </c>
      <c r="I7689">
        <v>2004</v>
      </c>
      <c r="J7689">
        <v>0</v>
      </c>
      <c r="K7689">
        <v>0</v>
      </c>
      <c r="L7689">
        <v>0</v>
      </c>
      <c r="M7689">
        <v>4</v>
      </c>
      <c r="N7689" t="s">
        <v>41</v>
      </c>
      <c r="O7689" t="s">
        <v>30</v>
      </c>
      <c r="P7689">
        <v>11.979083263738</v>
      </c>
      <c r="Q7689">
        <v>2.1828181169562901</v>
      </c>
      <c r="R7689">
        <v>9.5859021352350897</v>
      </c>
      <c r="S7689">
        <v>85</v>
      </c>
      <c r="T7689">
        <v>59</v>
      </c>
      <c r="U7689">
        <v>318.12975968299099</v>
      </c>
      <c r="V7689">
        <v>1.28949065119277E-3</v>
      </c>
      <c r="W7689">
        <v>1288950.62744759</v>
      </c>
      <c r="X7689" t="s">
        <v>44</v>
      </c>
      <c r="Y7689">
        <f>1-287-443-2310</f>
        <v>-3039</v>
      </c>
    </row>
    <row r="7690" spans="1:25" x14ac:dyDescent="0.35">
      <c r="A7690">
        <v>40.5518878424785</v>
      </c>
      <c r="B7690">
        <v>-121.47090469122401</v>
      </c>
      <c r="C7690" t="s">
        <v>34</v>
      </c>
      <c r="D7690">
        <v>16.219195118818199</v>
      </c>
      <c r="E7690">
        <v>6</v>
      </c>
      <c r="F7690">
        <v>2079</v>
      </c>
      <c r="G7690">
        <v>5</v>
      </c>
      <c r="H7690">
        <v>3</v>
      </c>
      <c r="I7690">
        <v>2004</v>
      </c>
      <c r="J7690">
        <v>0</v>
      </c>
      <c r="K7690">
        <v>0</v>
      </c>
      <c r="L7690">
        <v>1</v>
      </c>
      <c r="M7690">
        <v>8</v>
      </c>
      <c r="N7690" t="s">
        <v>37</v>
      </c>
      <c r="O7690" t="s">
        <v>30</v>
      </c>
      <c r="P7690">
        <v>10.1661852341837</v>
      </c>
      <c r="Q7690">
        <v>1.1907419451260699</v>
      </c>
      <c r="R7690">
        <v>9.7133364825704902</v>
      </c>
      <c r="S7690">
        <v>143</v>
      </c>
      <c r="T7690">
        <v>49</v>
      </c>
      <c r="U7690">
        <v>881.77487221430897</v>
      </c>
      <c r="V7690">
        <v>3.8480038480038399E-3</v>
      </c>
      <c r="W7690">
        <v>2183353.4494913798</v>
      </c>
      <c r="X7690" t="s">
        <v>44</v>
      </c>
      <c r="Y7690">
        <f>1-543-262-5254</f>
        <v>-6058</v>
      </c>
    </row>
    <row r="7691" spans="1:25" x14ac:dyDescent="0.35">
      <c r="A7691">
        <v>39.3441837784518</v>
      </c>
      <c r="B7691">
        <v>-119.59939733110799</v>
      </c>
      <c r="C7691" t="s">
        <v>29</v>
      </c>
      <c r="D7691">
        <v>48.4818295945323</v>
      </c>
      <c r="E7691">
        <v>8</v>
      </c>
      <c r="F7691">
        <v>2610</v>
      </c>
      <c r="G7691">
        <v>3</v>
      </c>
      <c r="H7691">
        <v>2</v>
      </c>
      <c r="I7691">
        <v>2012</v>
      </c>
      <c r="J7691">
        <v>0</v>
      </c>
      <c r="K7691">
        <v>0</v>
      </c>
      <c r="L7691">
        <v>0</v>
      </c>
      <c r="M7691">
        <v>4</v>
      </c>
      <c r="N7691" t="s">
        <v>35</v>
      </c>
      <c r="O7691" t="s">
        <v>30</v>
      </c>
      <c r="P7691">
        <v>9.7708939196779792</v>
      </c>
      <c r="Q7691">
        <v>2.1949785836986799</v>
      </c>
      <c r="R7691">
        <v>4.5152871302089803</v>
      </c>
      <c r="S7691">
        <v>184</v>
      </c>
      <c r="T7691">
        <v>33</v>
      </c>
      <c r="U7691">
        <v>640.55723659824798</v>
      </c>
      <c r="V7691">
        <v>1.5325670498084201E-3</v>
      </c>
      <c r="W7691">
        <v>1880156.4488231901</v>
      </c>
      <c r="X7691" t="s">
        <v>43</v>
      </c>
      <c r="Y7691">
        <f>1-548-629-1431</f>
        <v>-2607</v>
      </c>
    </row>
    <row r="7692" spans="1:25" x14ac:dyDescent="0.35">
      <c r="A7692">
        <v>33.5949929472607</v>
      </c>
      <c r="B7692">
        <v>-118.56278482498701</v>
      </c>
      <c r="C7692" t="s">
        <v>25</v>
      </c>
      <c r="D7692">
        <v>42.422095335321501</v>
      </c>
      <c r="E7692">
        <v>8</v>
      </c>
      <c r="F7692">
        <v>3261</v>
      </c>
      <c r="G7692">
        <v>3</v>
      </c>
      <c r="H7692">
        <v>1</v>
      </c>
      <c r="I7692">
        <v>2005</v>
      </c>
      <c r="J7692">
        <v>0</v>
      </c>
      <c r="K7692">
        <v>1</v>
      </c>
      <c r="L7692">
        <v>1</v>
      </c>
      <c r="M7692">
        <v>3</v>
      </c>
      <c r="N7692" t="s">
        <v>37</v>
      </c>
      <c r="O7692" t="s">
        <v>30</v>
      </c>
      <c r="P7692">
        <v>10.871911461180799</v>
      </c>
      <c r="Q7692">
        <v>1.1200538238344999</v>
      </c>
      <c r="R7692">
        <v>8.11204014283601</v>
      </c>
      <c r="S7692">
        <v>149</v>
      </c>
      <c r="T7692">
        <v>39</v>
      </c>
      <c r="U7692">
        <v>442.48964162369703</v>
      </c>
      <c r="V7692">
        <v>9.1996320147194101E-4</v>
      </c>
      <c r="W7692">
        <v>1731384.30144335</v>
      </c>
      <c r="X7692" t="s">
        <v>42</v>
      </c>
      <c r="Y7692">
        <f>1-600-518-4223</f>
        <v>-5340</v>
      </c>
    </row>
    <row r="7693" spans="1:25" x14ac:dyDescent="0.35">
      <c r="A7693">
        <v>36.814486800636999</v>
      </c>
      <c r="B7693">
        <v>-116.541910271796</v>
      </c>
      <c r="C7693" t="s">
        <v>34</v>
      </c>
      <c r="D7693">
        <v>35.005018017881497</v>
      </c>
      <c r="E7693">
        <v>2</v>
      </c>
      <c r="F7693">
        <v>2445</v>
      </c>
      <c r="G7693">
        <v>3</v>
      </c>
      <c r="H7693">
        <v>1</v>
      </c>
      <c r="I7693">
        <v>1959</v>
      </c>
      <c r="J7693">
        <v>1</v>
      </c>
      <c r="K7693">
        <v>0</v>
      </c>
      <c r="L7693">
        <v>1</v>
      </c>
      <c r="M7693">
        <v>2</v>
      </c>
      <c r="N7693" t="s">
        <v>41</v>
      </c>
      <c r="O7693" t="s">
        <v>30</v>
      </c>
      <c r="P7693">
        <v>7.6167990259639797</v>
      </c>
      <c r="Q7693">
        <v>0.86035156416997904</v>
      </c>
      <c r="R7693">
        <v>0.63522483823595699</v>
      </c>
      <c r="S7693">
        <v>44</v>
      </c>
      <c r="T7693">
        <v>71</v>
      </c>
      <c r="U7693">
        <v>574.48194646712602</v>
      </c>
      <c r="V7693">
        <v>8.1799591002044904E-4</v>
      </c>
      <c r="W7693">
        <v>1546610.4786100399</v>
      </c>
      <c r="X7693" t="s">
        <v>40</v>
      </c>
      <c r="Y7693">
        <f>1-657-293-3100</f>
        <v>-4049</v>
      </c>
    </row>
    <row r="7694" spans="1:25" x14ac:dyDescent="0.35">
      <c r="A7694">
        <v>34.304152129218501</v>
      </c>
      <c r="B7694">
        <v>-118.64812830448901</v>
      </c>
      <c r="C7694" t="s">
        <v>25</v>
      </c>
      <c r="D7694">
        <v>10.828218025016699</v>
      </c>
      <c r="E7694">
        <v>2</v>
      </c>
      <c r="F7694">
        <v>1222</v>
      </c>
      <c r="G7694">
        <v>2</v>
      </c>
      <c r="H7694">
        <v>3</v>
      </c>
      <c r="I7694">
        <v>2008</v>
      </c>
      <c r="J7694">
        <v>1</v>
      </c>
      <c r="K7694">
        <v>1</v>
      </c>
      <c r="L7694">
        <v>1</v>
      </c>
      <c r="M7694">
        <v>14</v>
      </c>
      <c r="N7694" t="s">
        <v>35</v>
      </c>
      <c r="O7694" t="s">
        <v>27</v>
      </c>
      <c r="P7694">
        <v>14.914264240121501</v>
      </c>
      <c r="Q7694">
        <v>1.96910720838456</v>
      </c>
      <c r="R7694">
        <v>1.8790415400815099</v>
      </c>
      <c r="S7694">
        <v>42</v>
      </c>
      <c r="T7694">
        <v>30</v>
      </c>
      <c r="U7694">
        <v>828.91298584388596</v>
      </c>
      <c r="V7694">
        <v>1.1456628477905E-2</v>
      </c>
      <c r="W7694">
        <v>1391475.01538162</v>
      </c>
      <c r="X7694" t="s">
        <v>31</v>
      </c>
      <c r="Y7694">
        <f>1-749-607-2149</f>
        <v>-3504</v>
      </c>
    </row>
    <row r="7695" spans="1:25" x14ac:dyDescent="0.35">
      <c r="A7695">
        <v>32.895518803499897</v>
      </c>
      <c r="B7695">
        <v>-115.413748273862</v>
      </c>
      <c r="C7695" t="s">
        <v>34</v>
      </c>
      <c r="D7695">
        <v>39.392642704446601</v>
      </c>
      <c r="E7695">
        <v>6</v>
      </c>
      <c r="F7695">
        <v>3144</v>
      </c>
      <c r="G7695">
        <v>3</v>
      </c>
      <c r="H7695">
        <v>1</v>
      </c>
      <c r="I7695">
        <v>1998</v>
      </c>
      <c r="J7695">
        <v>1</v>
      </c>
      <c r="K7695">
        <v>0</v>
      </c>
      <c r="L7695">
        <v>0</v>
      </c>
      <c r="M7695">
        <v>5</v>
      </c>
      <c r="N7695" t="s">
        <v>41</v>
      </c>
      <c r="O7695" t="s">
        <v>27</v>
      </c>
      <c r="P7695">
        <v>2.4357354776022699</v>
      </c>
      <c r="Q7695">
        <v>0.70378087312112503</v>
      </c>
      <c r="R7695">
        <v>0.14150034303988901</v>
      </c>
      <c r="S7695">
        <v>185</v>
      </c>
      <c r="T7695">
        <v>46</v>
      </c>
      <c r="U7695">
        <v>747.99372284681499</v>
      </c>
      <c r="V7695">
        <v>1.5903307888040701E-3</v>
      </c>
      <c r="W7695">
        <v>2552219.28913998</v>
      </c>
      <c r="X7695" t="s">
        <v>36</v>
      </c>
      <c r="Y7695">
        <f>1-373-669-6371</f>
        <v>-7412</v>
      </c>
    </row>
    <row r="7696" spans="1:25" x14ac:dyDescent="0.35">
      <c r="A7696">
        <v>33.1863976178998</v>
      </c>
      <c r="B7696">
        <v>-121.587022369962</v>
      </c>
      <c r="C7696" t="s">
        <v>34</v>
      </c>
      <c r="D7696">
        <v>12.498877473205599</v>
      </c>
      <c r="E7696">
        <v>1</v>
      </c>
      <c r="F7696">
        <v>4190</v>
      </c>
      <c r="G7696">
        <v>2</v>
      </c>
      <c r="H7696">
        <v>1</v>
      </c>
      <c r="I7696">
        <v>2006</v>
      </c>
      <c r="J7696">
        <v>0</v>
      </c>
      <c r="K7696">
        <v>1</v>
      </c>
      <c r="L7696">
        <v>0</v>
      </c>
      <c r="M7696">
        <v>12</v>
      </c>
      <c r="N7696" t="s">
        <v>41</v>
      </c>
      <c r="O7696" t="s">
        <v>32</v>
      </c>
      <c r="P7696">
        <v>6.3803661860834904</v>
      </c>
      <c r="Q7696">
        <v>2.4689037480906699</v>
      </c>
      <c r="R7696">
        <v>7.8235057579483698</v>
      </c>
      <c r="S7696">
        <v>9</v>
      </c>
      <c r="T7696">
        <v>35</v>
      </c>
      <c r="U7696">
        <v>462.25586579063003</v>
      </c>
      <c r="V7696">
        <v>2.8639618138424799E-3</v>
      </c>
      <c r="W7696">
        <v>2164301.6850088402</v>
      </c>
      <c r="X7696" t="s">
        <v>28</v>
      </c>
      <c r="Y7696">
        <f>1-905-799-8336</f>
        <v>-10039</v>
      </c>
    </row>
    <row r="7697" spans="1:25" x14ac:dyDescent="0.35">
      <c r="A7697">
        <v>38.078645778137798</v>
      </c>
      <c r="B7697">
        <v>-121.029505386541</v>
      </c>
      <c r="C7697" t="s">
        <v>25</v>
      </c>
      <c r="D7697">
        <v>8.7284364867594704</v>
      </c>
      <c r="E7697">
        <v>0</v>
      </c>
      <c r="F7697">
        <v>2282</v>
      </c>
      <c r="G7697">
        <v>3</v>
      </c>
      <c r="H7697">
        <v>3</v>
      </c>
      <c r="I7697">
        <v>1984</v>
      </c>
      <c r="J7697">
        <v>0</v>
      </c>
      <c r="K7697">
        <v>0</v>
      </c>
      <c r="L7697">
        <v>0</v>
      </c>
      <c r="M7697">
        <v>5</v>
      </c>
      <c r="N7697" t="s">
        <v>35</v>
      </c>
      <c r="O7697" t="s">
        <v>27</v>
      </c>
      <c r="P7697">
        <v>4.0235322025346303</v>
      </c>
      <c r="Q7697">
        <v>2.2578516425970099</v>
      </c>
      <c r="R7697">
        <v>7.1150480478723104</v>
      </c>
      <c r="S7697">
        <v>166</v>
      </c>
      <c r="T7697">
        <v>39</v>
      </c>
      <c r="U7697">
        <v>838.34640406809206</v>
      </c>
      <c r="V7697">
        <v>2.1910604732690601E-3</v>
      </c>
      <c r="W7697">
        <v>2073096.34545723</v>
      </c>
      <c r="X7697" t="s">
        <v>40</v>
      </c>
      <c r="Y7697">
        <f>1-649-799-7859</f>
        <v>-9306</v>
      </c>
    </row>
    <row r="7698" spans="1:25" x14ac:dyDescent="0.35">
      <c r="A7698">
        <v>34.650259552128503</v>
      </c>
      <c r="B7698">
        <v>-118.67600695633899</v>
      </c>
      <c r="C7698" t="s">
        <v>34</v>
      </c>
      <c r="D7698">
        <v>8.2108335574195195</v>
      </c>
      <c r="E7698">
        <v>4</v>
      </c>
      <c r="F7698">
        <v>923</v>
      </c>
      <c r="G7698">
        <v>2</v>
      </c>
      <c r="H7698">
        <v>1</v>
      </c>
      <c r="I7698">
        <v>1952</v>
      </c>
      <c r="J7698">
        <v>0</v>
      </c>
      <c r="K7698">
        <v>0</v>
      </c>
      <c r="L7698">
        <v>0</v>
      </c>
      <c r="M7698">
        <v>8</v>
      </c>
      <c r="N7698" t="s">
        <v>35</v>
      </c>
      <c r="O7698" t="s">
        <v>30</v>
      </c>
      <c r="P7698">
        <v>12.6136122792979</v>
      </c>
      <c r="Q7698">
        <v>0.69950497622001395</v>
      </c>
      <c r="R7698">
        <v>5.2665590205908703</v>
      </c>
      <c r="S7698">
        <v>40</v>
      </c>
      <c r="T7698">
        <v>44</v>
      </c>
      <c r="U7698">
        <v>454.20836015189002</v>
      </c>
      <c r="V7698">
        <v>8.6673889490790895E-3</v>
      </c>
      <c r="W7698">
        <v>589943.96908720594</v>
      </c>
      <c r="X7698" t="s">
        <v>36</v>
      </c>
      <c r="Y7698">
        <f>1-943-665-8026</f>
        <v>-9633</v>
      </c>
    </row>
    <row r="7699" spans="1:25" x14ac:dyDescent="0.35">
      <c r="A7699">
        <v>39.0176097705343</v>
      </c>
      <c r="B7699">
        <v>-122.851437683268</v>
      </c>
      <c r="C7699" t="s">
        <v>29</v>
      </c>
      <c r="D7699">
        <v>24.336001928071902</v>
      </c>
      <c r="E7699">
        <v>7</v>
      </c>
      <c r="F7699">
        <v>4082</v>
      </c>
      <c r="G7699">
        <v>2</v>
      </c>
      <c r="H7699">
        <v>1</v>
      </c>
      <c r="I7699">
        <v>2010</v>
      </c>
      <c r="J7699">
        <v>1</v>
      </c>
      <c r="K7699">
        <v>1</v>
      </c>
      <c r="L7699">
        <v>1</v>
      </c>
      <c r="M7699">
        <v>3</v>
      </c>
      <c r="N7699" t="s">
        <v>35</v>
      </c>
      <c r="O7699" t="s">
        <v>30</v>
      </c>
      <c r="P7699">
        <v>7.9589830969175202</v>
      </c>
      <c r="Q7699">
        <v>1.06780175577911</v>
      </c>
      <c r="R7699">
        <v>2.4984261505412899</v>
      </c>
      <c r="S7699">
        <v>98</v>
      </c>
      <c r="T7699">
        <v>67</v>
      </c>
      <c r="U7699">
        <v>325.40911293993798</v>
      </c>
      <c r="V7699">
        <v>7.34933855952964E-4</v>
      </c>
      <c r="W7699">
        <v>1660714.2108566801</v>
      </c>
      <c r="X7699" t="s">
        <v>44</v>
      </c>
      <c r="Y7699">
        <f>1-355-576-2353</f>
        <v>-3283</v>
      </c>
    </row>
    <row r="7700" spans="1:25" x14ac:dyDescent="0.35">
      <c r="A7700">
        <v>35.809791317777901</v>
      </c>
      <c r="B7700">
        <v>-121.21149949165699</v>
      </c>
      <c r="C7700" t="s">
        <v>29</v>
      </c>
      <c r="D7700">
        <v>39.599725426458903</v>
      </c>
      <c r="E7700">
        <v>8</v>
      </c>
      <c r="F7700">
        <v>2758</v>
      </c>
      <c r="G7700">
        <v>2</v>
      </c>
      <c r="H7700">
        <v>2</v>
      </c>
      <c r="I7700">
        <v>2005</v>
      </c>
      <c r="J7700">
        <v>0</v>
      </c>
      <c r="K7700">
        <v>0</v>
      </c>
      <c r="L7700">
        <v>0</v>
      </c>
      <c r="M7700">
        <v>7</v>
      </c>
      <c r="N7700" t="s">
        <v>41</v>
      </c>
      <c r="O7700" t="s">
        <v>32</v>
      </c>
      <c r="P7700">
        <v>6.7752121094581002</v>
      </c>
      <c r="Q7700">
        <v>2.21090520529589</v>
      </c>
      <c r="R7700">
        <v>1.04435239488803</v>
      </c>
      <c r="S7700">
        <v>108</v>
      </c>
      <c r="T7700">
        <v>67</v>
      </c>
      <c r="U7700">
        <v>643.59100852574102</v>
      </c>
      <c r="V7700">
        <v>2.5380710659898401E-3</v>
      </c>
      <c r="W7700">
        <v>1929455.8003907299</v>
      </c>
      <c r="X7700" t="s">
        <v>31</v>
      </c>
      <c r="Y7700">
        <f>1-607-857-2475</f>
        <v>-3938</v>
      </c>
    </row>
    <row r="7701" spans="1:25" x14ac:dyDescent="0.35">
      <c r="A7701">
        <v>33.632914883264696</v>
      </c>
      <c r="B7701">
        <v>-116.984391739408</v>
      </c>
      <c r="C7701" t="s">
        <v>25</v>
      </c>
      <c r="D7701">
        <v>7.8125807883650698</v>
      </c>
      <c r="E7701">
        <v>4</v>
      </c>
      <c r="F7701">
        <v>3976</v>
      </c>
      <c r="G7701">
        <v>4</v>
      </c>
      <c r="H7701">
        <v>3</v>
      </c>
      <c r="I7701">
        <v>2007</v>
      </c>
      <c r="J7701">
        <v>0</v>
      </c>
      <c r="K7701">
        <v>1</v>
      </c>
      <c r="L7701">
        <v>0</v>
      </c>
      <c r="M7701">
        <v>2</v>
      </c>
      <c r="N7701" t="s">
        <v>41</v>
      </c>
      <c r="O7701" t="s">
        <v>32</v>
      </c>
      <c r="P7701">
        <v>12.737299358662099</v>
      </c>
      <c r="Q7701">
        <v>2.2226338551196401</v>
      </c>
      <c r="R7701">
        <v>7.3730576774619902E-2</v>
      </c>
      <c r="S7701">
        <v>43</v>
      </c>
      <c r="T7701">
        <v>27</v>
      </c>
      <c r="U7701">
        <v>547.60582048158801</v>
      </c>
      <c r="V7701">
        <v>5.0301810865191097E-4</v>
      </c>
      <c r="W7701">
        <v>2632621.8327492299</v>
      </c>
      <c r="X7701" t="s">
        <v>39</v>
      </c>
      <c r="Y7701">
        <f>1-876-125-7050</f>
        <v>-8050</v>
      </c>
    </row>
    <row r="7702" spans="1:25" x14ac:dyDescent="0.35">
      <c r="A7702">
        <v>32.789465472160899</v>
      </c>
      <c r="B7702">
        <v>-116.89947712145</v>
      </c>
      <c r="C7702" t="s">
        <v>25</v>
      </c>
      <c r="D7702">
        <v>7.3722188336485699</v>
      </c>
      <c r="E7702">
        <v>0</v>
      </c>
      <c r="F7702">
        <v>3344</v>
      </c>
      <c r="G7702">
        <v>5</v>
      </c>
      <c r="H7702">
        <v>2</v>
      </c>
      <c r="I7702">
        <v>2008</v>
      </c>
      <c r="J7702">
        <v>1</v>
      </c>
      <c r="K7702">
        <v>0</v>
      </c>
      <c r="L7702">
        <v>1</v>
      </c>
      <c r="M7702">
        <v>2</v>
      </c>
      <c r="N7702" t="s">
        <v>41</v>
      </c>
      <c r="O7702" t="s">
        <v>30</v>
      </c>
      <c r="P7702">
        <v>9.1253277482368595</v>
      </c>
      <c r="Q7702">
        <v>0.66947001704304598</v>
      </c>
      <c r="R7702">
        <v>7.1759589270195603</v>
      </c>
      <c r="S7702">
        <v>9</v>
      </c>
      <c r="T7702">
        <v>55</v>
      </c>
      <c r="U7702">
        <v>728.12919505556602</v>
      </c>
      <c r="V7702">
        <v>5.9808612440191298E-4</v>
      </c>
      <c r="W7702">
        <v>2797423.3152807201</v>
      </c>
      <c r="X7702" t="s">
        <v>31</v>
      </c>
      <c r="Y7702">
        <f>1-630-428-2670</f>
        <v>-3727</v>
      </c>
    </row>
    <row r="7703" spans="1:25" x14ac:dyDescent="0.35">
      <c r="A7703">
        <v>39.458358992658397</v>
      </c>
      <c r="B7703">
        <v>-120.807465838265</v>
      </c>
      <c r="C7703" t="s">
        <v>29</v>
      </c>
      <c r="D7703">
        <v>4.1061295930716497</v>
      </c>
      <c r="E7703">
        <v>1</v>
      </c>
      <c r="F7703">
        <v>764</v>
      </c>
      <c r="G7703">
        <v>1</v>
      </c>
      <c r="H7703">
        <v>1</v>
      </c>
      <c r="I7703">
        <v>2004</v>
      </c>
      <c r="J7703">
        <v>0</v>
      </c>
      <c r="K7703">
        <v>0</v>
      </c>
      <c r="L7703">
        <v>1</v>
      </c>
      <c r="M7703">
        <v>10</v>
      </c>
      <c r="N7703" t="s">
        <v>26</v>
      </c>
      <c r="O7703" t="s">
        <v>32</v>
      </c>
      <c r="P7703">
        <v>2.33882506034869</v>
      </c>
      <c r="Q7703">
        <v>1.15861332300719</v>
      </c>
      <c r="R7703">
        <v>5.6360309261485098</v>
      </c>
      <c r="S7703">
        <v>174</v>
      </c>
      <c r="T7703">
        <v>52</v>
      </c>
      <c r="U7703">
        <v>942.97900396907903</v>
      </c>
      <c r="V7703">
        <v>1.3089005235602E-2</v>
      </c>
      <c r="W7703">
        <v>780717.89178909</v>
      </c>
      <c r="X7703" t="s">
        <v>42</v>
      </c>
      <c r="Y7703">
        <f>1-579-451-3497</f>
        <v>-4526</v>
      </c>
    </row>
    <row r="7704" spans="1:25" x14ac:dyDescent="0.35">
      <c r="A7704">
        <v>35.187684994287501</v>
      </c>
      <c r="B7704">
        <v>-119.5586791278</v>
      </c>
      <c r="C7704" t="s">
        <v>29</v>
      </c>
      <c r="D7704">
        <v>45.266613872423399</v>
      </c>
      <c r="E7704">
        <v>2</v>
      </c>
      <c r="F7704">
        <v>2403</v>
      </c>
      <c r="G7704">
        <v>5</v>
      </c>
      <c r="H7704">
        <v>2</v>
      </c>
      <c r="I7704">
        <v>1951</v>
      </c>
      <c r="J7704">
        <v>0</v>
      </c>
      <c r="K7704">
        <v>0</v>
      </c>
      <c r="L7704">
        <v>0</v>
      </c>
      <c r="M7704">
        <v>13</v>
      </c>
      <c r="N7704" t="s">
        <v>35</v>
      </c>
      <c r="O7704" t="s">
        <v>32</v>
      </c>
      <c r="P7704">
        <v>3.45803552085752</v>
      </c>
      <c r="Q7704">
        <v>1.92945829348634</v>
      </c>
      <c r="R7704">
        <v>6.2976938596899403</v>
      </c>
      <c r="S7704">
        <v>191</v>
      </c>
      <c r="T7704">
        <v>79</v>
      </c>
      <c r="U7704">
        <v>242.72890628047799</v>
      </c>
      <c r="V7704">
        <v>5.4099042863087797E-3</v>
      </c>
      <c r="W7704">
        <v>752590.72660778405</v>
      </c>
      <c r="X7704" t="s">
        <v>39</v>
      </c>
      <c r="Y7704">
        <f>1-545-931-4516</f>
        <v>-5991</v>
      </c>
    </row>
    <row r="7705" spans="1:25" x14ac:dyDescent="0.35">
      <c r="A7705">
        <v>41.6227746795646</v>
      </c>
      <c r="B7705">
        <v>-119.853030668221</v>
      </c>
      <c r="C7705" t="s">
        <v>34</v>
      </c>
      <c r="D7705">
        <v>10.9142290041137</v>
      </c>
      <c r="E7705">
        <v>5</v>
      </c>
      <c r="F7705">
        <v>4563</v>
      </c>
      <c r="G7705">
        <v>1</v>
      </c>
      <c r="H7705">
        <v>1</v>
      </c>
      <c r="I7705">
        <v>2006</v>
      </c>
      <c r="J7705">
        <v>0</v>
      </c>
      <c r="K7705">
        <v>1</v>
      </c>
      <c r="L7705">
        <v>0</v>
      </c>
      <c r="M7705">
        <v>3</v>
      </c>
      <c r="N7705" t="s">
        <v>37</v>
      </c>
      <c r="O7705" t="s">
        <v>32</v>
      </c>
      <c r="P7705">
        <v>10.5953029957933</v>
      </c>
      <c r="Q7705">
        <v>2.12415360674908</v>
      </c>
      <c r="R7705">
        <v>6.1050652852646898</v>
      </c>
      <c r="S7705">
        <v>180</v>
      </c>
      <c r="T7705">
        <v>76</v>
      </c>
      <c r="U7705">
        <v>996.627370466971</v>
      </c>
      <c r="V7705">
        <v>6.5746219592373398E-4</v>
      </c>
      <c r="W7705">
        <v>4763757.0898059802</v>
      </c>
      <c r="X7705" t="s">
        <v>31</v>
      </c>
      <c r="Y7705">
        <f>1-979-791-1933</f>
        <v>-3702</v>
      </c>
    </row>
    <row r="7706" spans="1:25" x14ac:dyDescent="0.35">
      <c r="A7706">
        <v>36.083082100484198</v>
      </c>
      <c r="B7706">
        <v>-122.351345614081</v>
      </c>
      <c r="C7706" t="s">
        <v>25</v>
      </c>
      <c r="D7706">
        <v>44.299872532671102</v>
      </c>
      <c r="E7706">
        <v>8</v>
      </c>
      <c r="F7706">
        <v>3934</v>
      </c>
      <c r="G7706">
        <v>1</v>
      </c>
      <c r="H7706">
        <v>3</v>
      </c>
      <c r="I7706">
        <v>1998</v>
      </c>
      <c r="J7706">
        <v>0</v>
      </c>
      <c r="K7706">
        <v>1</v>
      </c>
      <c r="L7706">
        <v>0</v>
      </c>
      <c r="M7706">
        <v>4</v>
      </c>
      <c r="N7706" t="s">
        <v>37</v>
      </c>
      <c r="O7706" t="s">
        <v>32</v>
      </c>
      <c r="P7706">
        <v>7.9508121151142603</v>
      </c>
      <c r="Q7706">
        <v>1.60753048448981</v>
      </c>
      <c r="R7706">
        <v>1.66065043159773</v>
      </c>
      <c r="S7706">
        <v>117</v>
      </c>
      <c r="T7706">
        <v>62</v>
      </c>
      <c r="U7706">
        <v>402.03578177217901</v>
      </c>
      <c r="V7706">
        <v>1.01677681748856E-3</v>
      </c>
      <c r="W7706">
        <v>1807612.7723397601</v>
      </c>
      <c r="X7706" t="s">
        <v>38</v>
      </c>
      <c r="Y7706">
        <f>1-957-499-1903</f>
        <v>-3358</v>
      </c>
    </row>
    <row r="7707" spans="1:25" x14ac:dyDescent="0.35">
      <c r="A7707">
        <v>36.612282044362303</v>
      </c>
      <c r="B7707">
        <v>-119.666422443415</v>
      </c>
      <c r="C7707" t="s">
        <v>34</v>
      </c>
      <c r="D7707">
        <v>33.394919581561503</v>
      </c>
      <c r="E7707">
        <v>3</v>
      </c>
      <c r="F7707">
        <v>3091</v>
      </c>
      <c r="G7707">
        <v>4</v>
      </c>
      <c r="H7707">
        <v>2</v>
      </c>
      <c r="I7707">
        <v>1960</v>
      </c>
      <c r="J7707">
        <v>1</v>
      </c>
      <c r="K7707">
        <v>1</v>
      </c>
      <c r="L7707">
        <v>0</v>
      </c>
      <c r="M7707">
        <v>8</v>
      </c>
      <c r="N7707" t="s">
        <v>26</v>
      </c>
      <c r="O7707" t="s">
        <v>32</v>
      </c>
      <c r="P7707">
        <v>9.8369161282273598</v>
      </c>
      <c r="Q7707">
        <v>1.5324159049619901</v>
      </c>
      <c r="R7707">
        <v>8.6755161737585205</v>
      </c>
      <c r="S7707">
        <v>28</v>
      </c>
      <c r="T7707">
        <v>38</v>
      </c>
      <c r="U7707">
        <v>633.97469487484</v>
      </c>
      <c r="V7707">
        <v>2.58815917178906E-3</v>
      </c>
      <c r="W7707">
        <v>2291553.6076949202</v>
      </c>
      <c r="X7707" t="s">
        <v>33</v>
      </c>
      <c r="Y7707">
        <f>1-973-407-4963</f>
        <v>-6342</v>
      </c>
    </row>
    <row r="7708" spans="1:25" x14ac:dyDescent="0.35">
      <c r="A7708">
        <v>33.178297574768401</v>
      </c>
      <c r="B7708">
        <v>-118.296136702071</v>
      </c>
      <c r="C7708" t="s">
        <v>34</v>
      </c>
      <c r="D7708">
        <v>35.745879632570599</v>
      </c>
      <c r="E7708">
        <v>9</v>
      </c>
      <c r="F7708">
        <v>2936</v>
      </c>
      <c r="G7708">
        <v>1</v>
      </c>
      <c r="H7708">
        <v>1</v>
      </c>
      <c r="I7708">
        <v>1951</v>
      </c>
      <c r="J7708">
        <v>1</v>
      </c>
      <c r="K7708">
        <v>1</v>
      </c>
      <c r="L7708">
        <v>1</v>
      </c>
      <c r="M7708">
        <v>4</v>
      </c>
      <c r="N7708" t="s">
        <v>41</v>
      </c>
      <c r="O7708" t="s">
        <v>32</v>
      </c>
      <c r="P7708">
        <v>9.1993095953279198</v>
      </c>
      <c r="Q7708">
        <v>1.23849570528209</v>
      </c>
      <c r="R7708">
        <v>4.3837908532338901</v>
      </c>
      <c r="S7708">
        <v>117</v>
      </c>
      <c r="T7708">
        <v>47</v>
      </c>
      <c r="U7708">
        <v>901.51733336236498</v>
      </c>
      <c r="V7708">
        <v>1.3623978201634801E-3</v>
      </c>
      <c r="W7708">
        <v>2867396.9536926202</v>
      </c>
      <c r="X7708" t="s">
        <v>43</v>
      </c>
      <c r="Y7708">
        <f>1-508-760-9123</f>
        <v>-10390</v>
      </c>
    </row>
    <row r="7709" spans="1:25" x14ac:dyDescent="0.35">
      <c r="A7709">
        <v>41.0271052725084</v>
      </c>
      <c r="B7709">
        <v>-115.125891167793</v>
      </c>
      <c r="C7709" t="s">
        <v>34</v>
      </c>
      <c r="D7709">
        <v>41.236725559413301</v>
      </c>
      <c r="E7709">
        <v>7</v>
      </c>
      <c r="F7709">
        <v>3300</v>
      </c>
      <c r="G7709">
        <v>5</v>
      </c>
      <c r="H7709">
        <v>3</v>
      </c>
      <c r="I7709">
        <v>2011</v>
      </c>
      <c r="J7709">
        <v>0</v>
      </c>
      <c r="K7709">
        <v>0</v>
      </c>
      <c r="L7709">
        <v>1</v>
      </c>
      <c r="M7709">
        <v>2</v>
      </c>
      <c r="N7709" t="s">
        <v>26</v>
      </c>
      <c r="O7709" t="s">
        <v>30</v>
      </c>
      <c r="P7709">
        <v>5.6742039160272304</v>
      </c>
      <c r="Q7709">
        <v>2.0567949943867001</v>
      </c>
      <c r="R7709">
        <v>9.6575375035206097</v>
      </c>
      <c r="S7709">
        <v>175</v>
      </c>
      <c r="T7709">
        <v>62</v>
      </c>
      <c r="U7709">
        <v>631.641167309666</v>
      </c>
      <c r="V7709">
        <v>6.0606060606060595E-4</v>
      </c>
      <c r="W7709">
        <v>2394898.8857205501</v>
      </c>
      <c r="X7709" t="s">
        <v>31</v>
      </c>
      <c r="Y7709">
        <f>1-973-356-2354</f>
        <v>-3682</v>
      </c>
    </row>
    <row r="7710" spans="1:25" x14ac:dyDescent="0.35">
      <c r="A7710">
        <v>41.747113679334603</v>
      </c>
      <c r="B7710">
        <v>-114.327063644894</v>
      </c>
      <c r="C7710" t="s">
        <v>29</v>
      </c>
      <c r="D7710">
        <v>15.346580262074699</v>
      </c>
      <c r="E7710">
        <v>3</v>
      </c>
      <c r="F7710">
        <v>2762</v>
      </c>
      <c r="G7710">
        <v>5</v>
      </c>
      <c r="H7710">
        <v>1</v>
      </c>
      <c r="I7710">
        <v>1956</v>
      </c>
      <c r="J7710">
        <v>1</v>
      </c>
      <c r="K7710">
        <v>1</v>
      </c>
      <c r="L7710">
        <v>1</v>
      </c>
      <c r="M7710">
        <v>10</v>
      </c>
      <c r="N7710" t="s">
        <v>35</v>
      </c>
      <c r="O7710" t="s">
        <v>32</v>
      </c>
      <c r="P7710">
        <v>12.7345038554905</v>
      </c>
      <c r="Q7710">
        <v>0.85480003178420405</v>
      </c>
      <c r="R7710">
        <v>6.5281523547214499</v>
      </c>
      <c r="S7710">
        <v>21</v>
      </c>
      <c r="T7710">
        <v>36</v>
      </c>
      <c r="U7710">
        <v>752.69106788082297</v>
      </c>
      <c r="V7710">
        <v>3.6205648081100599E-3</v>
      </c>
      <c r="W7710">
        <v>2558218.4368936899</v>
      </c>
      <c r="X7710" t="s">
        <v>28</v>
      </c>
      <c r="Y7710">
        <f>1-767-633-5983</f>
        <v>-7382</v>
      </c>
    </row>
    <row r="7711" spans="1:25" x14ac:dyDescent="0.35">
      <c r="A7711">
        <v>35.959570518857099</v>
      </c>
      <c r="B7711">
        <v>-121.447494704631</v>
      </c>
      <c r="C7711" t="s">
        <v>29</v>
      </c>
      <c r="D7711">
        <v>20.459237249113301</v>
      </c>
      <c r="E7711">
        <v>0</v>
      </c>
      <c r="F7711">
        <v>539</v>
      </c>
      <c r="G7711">
        <v>5</v>
      </c>
      <c r="H7711">
        <v>1</v>
      </c>
      <c r="I7711">
        <v>1950</v>
      </c>
      <c r="J7711">
        <v>1</v>
      </c>
      <c r="K7711">
        <v>0</v>
      </c>
      <c r="L7711">
        <v>0</v>
      </c>
      <c r="M7711">
        <v>2</v>
      </c>
      <c r="N7711" t="s">
        <v>35</v>
      </c>
      <c r="O7711" t="s">
        <v>27</v>
      </c>
      <c r="P7711">
        <v>4.6405234137139999</v>
      </c>
      <c r="Q7711">
        <v>2.1790931568448801</v>
      </c>
      <c r="R7711">
        <v>8.6107022533287196</v>
      </c>
      <c r="S7711">
        <v>4</v>
      </c>
      <c r="T7711">
        <v>48</v>
      </c>
      <c r="U7711">
        <v>327.53674226188502</v>
      </c>
      <c r="V7711">
        <v>3.71057513914656E-3</v>
      </c>
      <c r="W7711">
        <v>510138.788260534</v>
      </c>
      <c r="X7711" t="s">
        <v>42</v>
      </c>
      <c r="Y7711">
        <f>1-750-949-6020</f>
        <v>-7718</v>
      </c>
    </row>
    <row r="7712" spans="1:25" x14ac:dyDescent="0.35">
      <c r="A7712">
        <v>38.334252840032597</v>
      </c>
      <c r="B7712">
        <v>-117.262152549268</v>
      </c>
      <c r="C7712" t="s">
        <v>29</v>
      </c>
      <c r="D7712">
        <v>49.050469170020797</v>
      </c>
      <c r="E7712">
        <v>7</v>
      </c>
      <c r="F7712">
        <v>4650</v>
      </c>
      <c r="G7712">
        <v>2</v>
      </c>
      <c r="H7712">
        <v>2</v>
      </c>
      <c r="I7712">
        <v>1967</v>
      </c>
      <c r="J7712">
        <v>1</v>
      </c>
      <c r="K7712">
        <v>1</v>
      </c>
      <c r="L7712">
        <v>1</v>
      </c>
      <c r="M7712">
        <v>7</v>
      </c>
      <c r="N7712" t="s">
        <v>35</v>
      </c>
      <c r="O7712" t="s">
        <v>30</v>
      </c>
      <c r="P7712">
        <v>7.8366481143457296</v>
      </c>
      <c r="Q7712">
        <v>0.89469426775196503</v>
      </c>
      <c r="R7712">
        <v>1.54167222939895</v>
      </c>
      <c r="S7712">
        <v>37</v>
      </c>
      <c r="T7712">
        <v>53</v>
      </c>
      <c r="U7712">
        <v>899.84589040936305</v>
      </c>
      <c r="V7712">
        <v>1.50537634408602E-3</v>
      </c>
      <c r="W7712">
        <v>4536748.9898654604</v>
      </c>
      <c r="X7712" t="s">
        <v>44</v>
      </c>
      <c r="Y7712">
        <f>1-232-256-8323</f>
        <v>-8810</v>
      </c>
    </row>
    <row r="7713" spans="1:25" x14ac:dyDescent="0.35">
      <c r="A7713">
        <v>41.845182527560503</v>
      </c>
      <c r="B7713">
        <v>-122.332829809201</v>
      </c>
      <c r="C7713" t="s">
        <v>25</v>
      </c>
      <c r="D7713">
        <v>4.8362307874864303</v>
      </c>
      <c r="E7713">
        <v>2</v>
      </c>
      <c r="F7713">
        <v>2896</v>
      </c>
      <c r="G7713">
        <v>4</v>
      </c>
      <c r="H7713">
        <v>2</v>
      </c>
      <c r="I7713">
        <v>1988</v>
      </c>
      <c r="J7713">
        <v>1</v>
      </c>
      <c r="K7713">
        <v>1</v>
      </c>
      <c r="L7713">
        <v>1</v>
      </c>
      <c r="M7713">
        <v>5</v>
      </c>
      <c r="N7713" t="s">
        <v>41</v>
      </c>
      <c r="O7713" t="s">
        <v>27</v>
      </c>
      <c r="P7713">
        <v>14.0554616422368</v>
      </c>
      <c r="Q7713">
        <v>0.68901970601000495</v>
      </c>
      <c r="R7713">
        <v>0.101797414468632</v>
      </c>
      <c r="S7713">
        <v>97</v>
      </c>
      <c r="T7713">
        <v>41</v>
      </c>
      <c r="U7713">
        <v>688.20793457721902</v>
      </c>
      <c r="V7713">
        <v>1.72651933701657E-3</v>
      </c>
      <c r="W7713">
        <v>2440698.4327190099</v>
      </c>
      <c r="X7713" t="s">
        <v>40</v>
      </c>
      <c r="Y7713">
        <f>1-810-382-3167</f>
        <v>-4358</v>
      </c>
    </row>
    <row r="7714" spans="1:25" x14ac:dyDescent="0.35">
      <c r="A7714">
        <v>37.8721329688479</v>
      </c>
      <c r="B7714">
        <v>-116.05289920529999</v>
      </c>
      <c r="C7714" t="s">
        <v>25</v>
      </c>
      <c r="D7714">
        <v>36.190188994745903</v>
      </c>
      <c r="E7714">
        <v>2</v>
      </c>
      <c r="F7714">
        <v>1516</v>
      </c>
      <c r="G7714">
        <v>3</v>
      </c>
      <c r="H7714">
        <v>1</v>
      </c>
      <c r="I7714">
        <v>1989</v>
      </c>
      <c r="J7714">
        <v>1</v>
      </c>
      <c r="K7714">
        <v>1</v>
      </c>
      <c r="L7714">
        <v>1</v>
      </c>
      <c r="M7714">
        <v>7</v>
      </c>
      <c r="N7714" t="s">
        <v>41</v>
      </c>
      <c r="O7714" t="s">
        <v>30</v>
      </c>
      <c r="P7714">
        <v>9.8532274540394305</v>
      </c>
      <c r="Q7714">
        <v>2.1856872030602301</v>
      </c>
      <c r="R7714">
        <v>2.2565907896201902</v>
      </c>
      <c r="S7714">
        <v>176</v>
      </c>
      <c r="T7714">
        <v>46</v>
      </c>
      <c r="U7714">
        <v>274.39196361193802</v>
      </c>
      <c r="V7714">
        <v>4.6174142480211004E-3</v>
      </c>
      <c r="W7714">
        <v>718419.20785537502</v>
      </c>
      <c r="X7714" t="s">
        <v>33</v>
      </c>
      <c r="Y7714">
        <f>1-217-327-3075</f>
        <v>-3618</v>
      </c>
    </row>
    <row r="7715" spans="1:25" x14ac:dyDescent="0.35">
      <c r="A7715">
        <v>34.964086327918103</v>
      </c>
      <c r="B7715">
        <v>-122.42509063585599</v>
      </c>
      <c r="C7715" t="s">
        <v>34</v>
      </c>
      <c r="D7715">
        <v>40.893501931720898</v>
      </c>
      <c r="E7715">
        <v>7</v>
      </c>
      <c r="F7715">
        <v>3695</v>
      </c>
      <c r="G7715">
        <v>5</v>
      </c>
      <c r="H7715">
        <v>1</v>
      </c>
      <c r="I7715">
        <v>1963</v>
      </c>
      <c r="J7715">
        <v>1</v>
      </c>
      <c r="K7715">
        <v>0</v>
      </c>
      <c r="L7715">
        <v>1</v>
      </c>
      <c r="M7715">
        <v>4</v>
      </c>
      <c r="N7715" t="s">
        <v>26</v>
      </c>
      <c r="O7715" t="s">
        <v>27</v>
      </c>
      <c r="P7715">
        <v>6.8561387304394703</v>
      </c>
      <c r="Q7715">
        <v>1.03205203938213</v>
      </c>
      <c r="R7715">
        <v>6.5391524326316004</v>
      </c>
      <c r="S7715">
        <v>81</v>
      </c>
      <c r="T7715">
        <v>23</v>
      </c>
      <c r="U7715">
        <v>679.40034148740301</v>
      </c>
      <c r="V7715">
        <v>1.0825439783491201E-3</v>
      </c>
      <c r="W7715">
        <v>2827145.8508309098</v>
      </c>
      <c r="X7715" t="s">
        <v>39</v>
      </c>
      <c r="Y7715">
        <f>1-366-976-8455</f>
        <v>-9796</v>
      </c>
    </row>
    <row r="7716" spans="1:25" x14ac:dyDescent="0.35">
      <c r="A7716">
        <v>35.059985390189098</v>
      </c>
      <c r="B7716">
        <v>-116.586410041753</v>
      </c>
      <c r="C7716" t="s">
        <v>29</v>
      </c>
      <c r="D7716">
        <v>41.985261533804703</v>
      </c>
      <c r="E7716">
        <v>1</v>
      </c>
      <c r="F7716">
        <v>2144</v>
      </c>
      <c r="G7716">
        <v>4</v>
      </c>
      <c r="H7716">
        <v>2</v>
      </c>
      <c r="I7716">
        <v>1992</v>
      </c>
      <c r="J7716">
        <v>1</v>
      </c>
      <c r="K7716">
        <v>0</v>
      </c>
      <c r="L7716">
        <v>1</v>
      </c>
      <c r="M7716">
        <v>3</v>
      </c>
      <c r="N7716" t="s">
        <v>37</v>
      </c>
      <c r="O7716" t="s">
        <v>32</v>
      </c>
      <c r="P7716">
        <v>13.4252460013817</v>
      </c>
      <c r="Q7716">
        <v>2.1174035478947002</v>
      </c>
      <c r="R7716">
        <v>9.1942295630755098</v>
      </c>
      <c r="S7716">
        <v>177</v>
      </c>
      <c r="T7716">
        <v>67</v>
      </c>
      <c r="U7716">
        <v>728.19360677817099</v>
      </c>
      <c r="V7716">
        <v>1.39925373134328E-3</v>
      </c>
      <c r="W7716">
        <v>1942515.2900314899</v>
      </c>
      <c r="X7716" t="s">
        <v>40</v>
      </c>
      <c r="Y7716">
        <f>1-670-230-9667</f>
        <v>-10566</v>
      </c>
    </row>
    <row r="7717" spans="1:25" x14ac:dyDescent="0.35">
      <c r="A7717">
        <v>33.714936158528097</v>
      </c>
      <c r="B7717">
        <v>-122.620475927301</v>
      </c>
      <c r="C7717" t="s">
        <v>29</v>
      </c>
      <c r="D7717">
        <v>49.229335499320896</v>
      </c>
      <c r="E7717">
        <v>4</v>
      </c>
      <c r="F7717">
        <v>3940</v>
      </c>
      <c r="G7717">
        <v>4</v>
      </c>
      <c r="H7717">
        <v>3</v>
      </c>
      <c r="I7717">
        <v>1957</v>
      </c>
      <c r="J7717">
        <v>1</v>
      </c>
      <c r="K7717">
        <v>0</v>
      </c>
      <c r="L7717">
        <v>1</v>
      </c>
      <c r="M7717">
        <v>7</v>
      </c>
      <c r="N7717" t="s">
        <v>41</v>
      </c>
      <c r="O7717" t="s">
        <v>32</v>
      </c>
      <c r="P7717">
        <v>3.9580274734580398</v>
      </c>
      <c r="Q7717">
        <v>1.9333931458001199</v>
      </c>
      <c r="R7717">
        <v>9.0285376618383193</v>
      </c>
      <c r="S7717">
        <v>146</v>
      </c>
      <c r="T7717">
        <v>57</v>
      </c>
      <c r="U7717">
        <v>909.25199993046704</v>
      </c>
      <c r="V7717">
        <v>1.77664974619289E-3</v>
      </c>
      <c r="W7717">
        <v>3839532.9412903399</v>
      </c>
      <c r="X7717" t="s">
        <v>33</v>
      </c>
      <c r="Y7717">
        <f>1-278-968-3551</f>
        <v>-4796</v>
      </c>
    </row>
    <row r="7718" spans="1:25" x14ac:dyDescent="0.35">
      <c r="A7718">
        <v>33.345769691699097</v>
      </c>
      <c r="B7718">
        <v>-121.68715195318801</v>
      </c>
      <c r="C7718" t="s">
        <v>34</v>
      </c>
      <c r="D7718">
        <v>26.345108892082099</v>
      </c>
      <c r="E7718">
        <v>5</v>
      </c>
      <c r="F7718">
        <v>1833</v>
      </c>
      <c r="G7718">
        <v>2</v>
      </c>
      <c r="H7718">
        <v>1</v>
      </c>
      <c r="I7718">
        <v>2018</v>
      </c>
      <c r="J7718">
        <v>0</v>
      </c>
      <c r="K7718">
        <v>1</v>
      </c>
      <c r="L7718">
        <v>0</v>
      </c>
      <c r="M7718">
        <v>4</v>
      </c>
      <c r="N7718" t="s">
        <v>41</v>
      </c>
      <c r="O7718" t="s">
        <v>30</v>
      </c>
      <c r="P7718">
        <v>11.157341968440299</v>
      </c>
      <c r="Q7718">
        <v>0.67904876186597296</v>
      </c>
      <c r="R7718">
        <v>8.5843153883496299</v>
      </c>
      <c r="S7718">
        <v>147</v>
      </c>
      <c r="T7718">
        <v>67</v>
      </c>
      <c r="U7718">
        <v>861.99977253816303</v>
      </c>
      <c r="V7718">
        <v>2.18221494817239E-3</v>
      </c>
      <c r="W7718">
        <v>1831562.65259212</v>
      </c>
      <c r="X7718" t="s">
        <v>40</v>
      </c>
      <c r="Y7718">
        <f>1-328-397-4463</f>
        <v>-5187</v>
      </c>
    </row>
    <row r="7719" spans="1:25" x14ac:dyDescent="0.35">
      <c r="A7719">
        <v>37.701885785053499</v>
      </c>
      <c r="B7719">
        <v>-124.25831777411101</v>
      </c>
      <c r="C7719" t="s">
        <v>25</v>
      </c>
      <c r="D7719">
        <v>40.108130492589098</v>
      </c>
      <c r="E7719">
        <v>8</v>
      </c>
      <c r="F7719">
        <v>777</v>
      </c>
      <c r="G7719">
        <v>4</v>
      </c>
      <c r="H7719">
        <v>2</v>
      </c>
      <c r="I7719">
        <v>2001</v>
      </c>
      <c r="J7719">
        <v>0</v>
      </c>
      <c r="K7719">
        <v>0</v>
      </c>
      <c r="L7719">
        <v>0</v>
      </c>
      <c r="M7719">
        <v>2</v>
      </c>
      <c r="N7719" t="s">
        <v>26</v>
      </c>
      <c r="O7719" t="s">
        <v>30</v>
      </c>
      <c r="P7719">
        <v>8.9646650667477008</v>
      </c>
      <c r="Q7719">
        <v>1.2929066510339999</v>
      </c>
      <c r="R7719">
        <v>2.8313129271812301</v>
      </c>
      <c r="S7719">
        <v>116</v>
      </c>
      <c r="T7719">
        <v>73</v>
      </c>
      <c r="U7719">
        <v>475.89424704547599</v>
      </c>
      <c r="V7719">
        <v>2.57400257400257E-3</v>
      </c>
      <c r="W7719">
        <v>595602.66571038205</v>
      </c>
      <c r="X7719" t="s">
        <v>42</v>
      </c>
      <c r="Y7719">
        <f>1-569-322-4759</f>
        <v>-5649</v>
      </c>
    </row>
    <row r="7720" spans="1:25" x14ac:dyDescent="0.35">
      <c r="A7720">
        <v>36.329531965925</v>
      </c>
      <c r="B7720">
        <v>-124.05810233648199</v>
      </c>
      <c r="C7720" t="s">
        <v>34</v>
      </c>
      <c r="D7720">
        <v>17.9973622643165</v>
      </c>
      <c r="E7720">
        <v>2</v>
      </c>
      <c r="F7720">
        <v>2429</v>
      </c>
      <c r="G7720">
        <v>4</v>
      </c>
      <c r="H7720">
        <v>2</v>
      </c>
      <c r="I7720">
        <v>1967</v>
      </c>
      <c r="J7720">
        <v>1</v>
      </c>
      <c r="K7720">
        <v>0</v>
      </c>
      <c r="L7720">
        <v>0</v>
      </c>
      <c r="M7720">
        <v>11</v>
      </c>
      <c r="N7720" t="s">
        <v>41</v>
      </c>
      <c r="O7720" t="s">
        <v>32</v>
      </c>
      <c r="P7720">
        <v>5.4073359543170199</v>
      </c>
      <c r="Q7720">
        <v>2.4820594277449</v>
      </c>
      <c r="R7720">
        <v>7.74019393840749</v>
      </c>
      <c r="S7720">
        <v>91</v>
      </c>
      <c r="T7720">
        <v>32</v>
      </c>
      <c r="U7720">
        <v>483.56671388470397</v>
      </c>
      <c r="V7720">
        <v>4.5286125977768597E-3</v>
      </c>
      <c r="W7720">
        <v>1471154.13682701</v>
      </c>
      <c r="X7720" t="s">
        <v>38</v>
      </c>
      <c r="Y7720">
        <f>1-307-193-4464</f>
        <v>-4963</v>
      </c>
    </row>
    <row r="7721" spans="1:25" x14ac:dyDescent="0.35">
      <c r="A7721">
        <v>36.431814214134597</v>
      </c>
      <c r="B7721">
        <v>-122.923025846174</v>
      </c>
      <c r="C7721" t="s">
        <v>25</v>
      </c>
      <c r="D7721">
        <v>36.343656834767998</v>
      </c>
      <c r="E7721">
        <v>0</v>
      </c>
      <c r="F7721">
        <v>4052</v>
      </c>
      <c r="G7721">
        <v>4</v>
      </c>
      <c r="H7721">
        <v>3</v>
      </c>
      <c r="I7721">
        <v>1957</v>
      </c>
      <c r="J7721">
        <v>1</v>
      </c>
      <c r="K7721">
        <v>1</v>
      </c>
      <c r="L7721">
        <v>1</v>
      </c>
      <c r="M7721">
        <v>9</v>
      </c>
      <c r="N7721" t="s">
        <v>35</v>
      </c>
      <c r="O7721" t="s">
        <v>32</v>
      </c>
      <c r="P7721">
        <v>13.7020443709724</v>
      </c>
      <c r="Q7721">
        <v>1.88735412591994</v>
      </c>
      <c r="R7721">
        <v>3.9098899432603198</v>
      </c>
      <c r="S7721">
        <v>89</v>
      </c>
      <c r="T7721">
        <v>65</v>
      </c>
      <c r="U7721">
        <v>551.62081858681199</v>
      </c>
      <c r="V7721">
        <v>2.2211253701875599E-3</v>
      </c>
      <c r="W7721">
        <v>2698384.4336943198</v>
      </c>
      <c r="X7721" t="s">
        <v>28</v>
      </c>
      <c r="Y7721">
        <f>1-880-462-2296</f>
        <v>-3637</v>
      </c>
    </row>
    <row r="7722" spans="1:25" x14ac:dyDescent="0.35">
      <c r="A7722">
        <v>32.538713087826103</v>
      </c>
      <c r="B7722">
        <v>-117.116437697001</v>
      </c>
      <c r="C7722" t="s">
        <v>29</v>
      </c>
      <c r="D7722">
        <v>37.705721589502403</v>
      </c>
      <c r="E7722">
        <v>6</v>
      </c>
      <c r="F7722">
        <v>1865</v>
      </c>
      <c r="G7722">
        <v>2</v>
      </c>
      <c r="H7722">
        <v>1</v>
      </c>
      <c r="I7722">
        <v>2012</v>
      </c>
      <c r="J7722">
        <v>1</v>
      </c>
      <c r="K7722">
        <v>0</v>
      </c>
      <c r="L7722">
        <v>1</v>
      </c>
      <c r="M7722">
        <v>5</v>
      </c>
      <c r="N7722" t="s">
        <v>26</v>
      </c>
      <c r="O7722" t="s">
        <v>27</v>
      </c>
      <c r="P7722">
        <v>2.5400467655826602</v>
      </c>
      <c r="Q7722">
        <v>2.1598485778563501</v>
      </c>
      <c r="R7722">
        <v>5.6176157995429596</v>
      </c>
      <c r="S7722">
        <v>178</v>
      </c>
      <c r="T7722">
        <v>26</v>
      </c>
      <c r="U7722">
        <v>973.91440558403303</v>
      </c>
      <c r="V7722">
        <v>2.6809651474530801E-3</v>
      </c>
      <c r="W7722">
        <v>1992398.3952273401</v>
      </c>
      <c r="X7722" t="s">
        <v>39</v>
      </c>
      <c r="Y7722">
        <f>1-278-149-5482</f>
        <v>-5908</v>
      </c>
    </row>
    <row r="7723" spans="1:25" x14ac:dyDescent="0.35">
      <c r="A7723">
        <v>37.721168982645302</v>
      </c>
      <c r="B7723">
        <v>-114.161885849873</v>
      </c>
      <c r="C7723" t="s">
        <v>34</v>
      </c>
      <c r="D7723">
        <v>9.0757125824788005</v>
      </c>
      <c r="E7723">
        <v>1</v>
      </c>
      <c r="F7723">
        <v>1410</v>
      </c>
      <c r="G7723">
        <v>2</v>
      </c>
      <c r="H7723">
        <v>3</v>
      </c>
      <c r="I7723">
        <v>2017</v>
      </c>
      <c r="J7723">
        <v>0</v>
      </c>
      <c r="K7723">
        <v>0</v>
      </c>
      <c r="L7723">
        <v>0</v>
      </c>
      <c r="M7723">
        <v>5</v>
      </c>
      <c r="N7723" t="s">
        <v>26</v>
      </c>
      <c r="O7723" t="s">
        <v>27</v>
      </c>
      <c r="P7723">
        <v>13.589645309529599</v>
      </c>
      <c r="Q7723">
        <v>0.64972643415931797</v>
      </c>
      <c r="R7723">
        <v>6.2190230491380998</v>
      </c>
      <c r="S7723">
        <v>174</v>
      </c>
      <c r="T7723">
        <v>60</v>
      </c>
      <c r="U7723">
        <v>894.27503549246001</v>
      </c>
      <c r="V7723">
        <v>3.54609929078014E-3</v>
      </c>
      <c r="W7723">
        <v>1460775.7216482901</v>
      </c>
      <c r="X7723" t="s">
        <v>39</v>
      </c>
      <c r="Y7723">
        <f>1-353-346-9188</f>
        <v>-9886</v>
      </c>
    </row>
    <row r="7724" spans="1:25" x14ac:dyDescent="0.35">
      <c r="A7724">
        <v>35.019829924487098</v>
      </c>
      <c r="B7724">
        <v>-118.244264025012</v>
      </c>
      <c r="C7724" t="s">
        <v>34</v>
      </c>
      <c r="D7724">
        <v>19.4019136058198</v>
      </c>
      <c r="E7724">
        <v>1</v>
      </c>
      <c r="F7724">
        <v>1480</v>
      </c>
      <c r="G7724">
        <v>2</v>
      </c>
      <c r="H7724">
        <v>3</v>
      </c>
      <c r="I7724">
        <v>1968</v>
      </c>
      <c r="J7724">
        <v>1</v>
      </c>
      <c r="K7724">
        <v>1</v>
      </c>
      <c r="L7724">
        <v>1</v>
      </c>
      <c r="M7724">
        <v>9</v>
      </c>
      <c r="N7724" t="s">
        <v>26</v>
      </c>
      <c r="O7724" t="s">
        <v>27</v>
      </c>
      <c r="P7724">
        <v>7.3724693628895404</v>
      </c>
      <c r="Q7724">
        <v>1.1279052156773199</v>
      </c>
      <c r="R7724">
        <v>9.8431045308589393</v>
      </c>
      <c r="S7724">
        <v>99</v>
      </c>
      <c r="T7724">
        <v>30</v>
      </c>
      <c r="U7724">
        <v>662.03180414746498</v>
      </c>
      <c r="V7724">
        <v>6.0810810810810797E-3</v>
      </c>
      <c r="W7724">
        <v>1278278.0719902599</v>
      </c>
      <c r="X7724" t="s">
        <v>33</v>
      </c>
      <c r="Y7724">
        <f>1-429-135-6425</f>
        <v>-6988</v>
      </c>
    </row>
    <row r="7725" spans="1:25" x14ac:dyDescent="0.35">
      <c r="A7725">
        <v>41.115005374782797</v>
      </c>
      <c r="B7725">
        <v>-123.72483258496101</v>
      </c>
      <c r="C7725" t="s">
        <v>29</v>
      </c>
      <c r="D7725">
        <v>25.826149806775401</v>
      </c>
      <c r="E7725">
        <v>6</v>
      </c>
      <c r="F7725">
        <v>4294</v>
      </c>
      <c r="G7725">
        <v>1</v>
      </c>
      <c r="H7725">
        <v>3</v>
      </c>
      <c r="I7725">
        <v>2013</v>
      </c>
      <c r="J7725">
        <v>0</v>
      </c>
      <c r="K7725">
        <v>1</v>
      </c>
      <c r="L7725">
        <v>0</v>
      </c>
      <c r="M7725">
        <v>10</v>
      </c>
      <c r="N7725" t="s">
        <v>37</v>
      </c>
      <c r="O7725" t="s">
        <v>27</v>
      </c>
      <c r="P7725">
        <v>7.9742042348164803</v>
      </c>
      <c r="Q7725">
        <v>1.40542274635331</v>
      </c>
      <c r="R7725">
        <v>5.81847209261936</v>
      </c>
      <c r="S7725">
        <v>64</v>
      </c>
      <c r="T7725">
        <v>65</v>
      </c>
      <c r="U7725">
        <v>727.49028817952001</v>
      </c>
      <c r="V7725">
        <v>2.3288309268746999E-3</v>
      </c>
      <c r="W7725">
        <v>3376794.8632938499</v>
      </c>
      <c r="X7725" t="s">
        <v>36</v>
      </c>
      <c r="Y7725">
        <f>1-231-270-5176</f>
        <v>-5676</v>
      </c>
    </row>
    <row r="7726" spans="1:25" x14ac:dyDescent="0.35">
      <c r="A7726">
        <v>37.925171250796701</v>
      </c>
      <c r="B7726">
        <v>-124.011526326506</v>
      </c>
      <c r="C7726" t="s">
        <v>25</v>
      </c>
      <c r="D7726">
        <v>2.4339568236948299</v>
      </c>
      <c r="E7726">
        <v>6</v>
      </c>
      <c r="F7726">
        <v>1886</v>
      </c>
      <c r="G7726">
        <v>4</v>
      </c>
      <c r="H7726">
        <v>2</v>
      </c>
      <c r="I7726">
        <v>1971</v>
      </c>
      <c r="J7726">
        <v>1</v>
      </c>
      <c r="K7726">
        <v>1</v>
      </c>
      <c r="L7726">
        <v>1</v>
      </c>
      <c r="M7726">
        <v>7</v>
      </c>
      <c r="N7726" t="s">
        <v>35</v>
      </c>
      <c r="O7726" t="s">
        <v>30</v>
      </c>
      <c r="P7726">
        <v>14.270042702198101</v>
      </c>
      <c r="Q7726">
        <v>1.49347486033629</v>
      </c>
      <c r="R7726">
        <v>0.61424673889843695</v>
      </c>
      <c r="S7726">
        <v>52</v>
      </c>
      <c r="T7726">
        <v>61</v>
      </c>
      <c r="U7726">
        <v>948.72896355471005</v>
      </c>
      <c r="V7726">
        <v>3.7115588547189798E-3</v>
      </c>
      <c r="W7726">
        <v>2235115.1080181901</v>
      </c>
      <c r="X7726" t="s">
        <v>31</v>
      </c>
      <c r="Y7726">
        <f>1-360-572-1390</f>
        <v>-2321</v>
      </c>
    </row>
    <row r="7727" spans="1:25" x14ac:dyDescent="0.35">
      <c r="A7727">
        <v>33.210340118440797</v>
      </c>
      <c r="B7727">
        <v>-117.723725661242</v>
      </c>
      <c r="C7727" t="s">
        <v>34</v>
      </c>
      <c r="D7727">
        <v>36.912975121154702</v>
      </c>
      <c r="E7727">
        <v>9</v>
      </c>
      <c r="F7727">
        <v>3162</v>
      </c>
      <c r="G7727">
        <v>3</v>
      </c>
      <c r="H7727">
        <v>3</v>
      </c>
      <c r="I7727">
        <v>1983</v>
      </c>
      <c r="J7727">
        <v>0</v>
      </c>
      <c r="K7727">
        <v>1</v>
      </c>
      <c r="L7727">
        <v>1</v>
      </c>
      <c r="M7727">
        <v>14</v>
      </c>
      <c r="N7727" t="s">
        <v>37</v>
      </c>
      <c r="O7727" t="s">
        <v>27</v>
      </c>
      <c r="P7727">
        <v>14.843163013211999</v>
      </c>
      <c r="Q7727">
        <v>1.8623794764668899</v>
      </c>
      <c r="R7727">
        <v>1.4504219158476199</v>
      </c>
      <c r="S7727">
        <v>90</v>
      </c>
      <c r="T7727">
        <v>66</v>
      </c>
      <c r="U7727">
        <v>932.48738467210705</v>
      </c>
      <c r="V7727">
        <v>4.4275774826059398E-3</v>
      </c>
      <c r="W7727">
        <v>3405406.1488489402</v>
      </c>
      <c r="X7727" t="s">
        <v>36</v>
      </c>
      <c r="Y7727">
        <f>1-687-226-1467</f>
        <v>-2379</v>
      </c>
    </row>
    <row r="7728" spans="1:25" x14ac:dyDescent="0.35">
      <c r="A7728">
        <v>36.928211134905503</v>
      </c>
      <c r="B7728">
        <v>-116.685954714084</v>
      </c>
      <c r="C7728" t="s">
        <v>25</v>
      </c>
      <c r="D7728">
        <v>7.1754924048326698</v>
      </c>
      <c r="E7728">
        <v>0</v>
      </c>
      <c r="F7728">
        <v>2054</v>
      </c>
      <c r="G7728">
        <v>2</v>
      </c>
      <c r="H7728">
        <v>2</v>
      </c>
      <c r="I7728">
        <v>1993</v>
      </c>
      <c r="J7728">
        <v>1</v>
      </c>
      <c r="K7728">
        <v>0</v>
      </c>
      <c r="L7728">
        <v>1</v>
      </c>
      <c r="M7728">
        <v>8</v>
      </c>
      <c r="N7728" t="s">
        <v>35</v>
      </c>
      <c r="O7728" t="s">
        <v>27</v>
      </c>
      <c r="P7728">
        <v>3.3414065807576598</v>
      </c>
      <c r="Q7728">
        <v>1.1124722481057401</v>
      </c>
      <c r="R7728">
        <v>3.8029889944620301</v>
      </c>
      <c r="S7728">
        <v>73</v>
      </c>
      <c r="T7728">
        <v>58</v>
      </c>
      <c r="U7728">
        <v>247.25775549995501</v>
      </c>
      <c r="V7728">
        <v>3.8948393378773101E-3</v>
      </c>
      <c r="W7728">
        <v>710481.91259507195</v>
      </c>
      <c r="X7728" t="s">
        <v>39</v>
      </c>
      <c r="Y7728">
        <f>1-372-149-9588</f>
        <v>-10108</v>
      </c>
    </row>
    <row r="7729" spans="1:25" x14ac:dyDescent="0.35">
      <c r="A7729">
        <v>37.163569722391998</v>
      </c>
      <c r="B7729">
        <v>-121.06922875798</v>
      </c>
      <c r="C7729" t="s">
        <v>34</v>
      </c>
      <c r="D7729">
        <v>22.214237714133201</v>
      </c>
      <c r="E7729">
        <v>2</v>
      </c>
      <c r="F7729">
        <v>2555</v>
      </c>
      <c r="G7729">
        <v>4</v>
      </c>
      <c r="H7729">
        <v>1</v>
      </c>
      <c r="I7729">
        <v>1957</v>
      </c>
      <c r="J7729">
        <v>1</v>
      </c>
      <c r="K7729">
        <v>1</v>
      </c>
      <c r="L7729">
        <v>1</v>
      </c>
      <c r="M7729">
        <v>12</v>
      </c>
      <c r="N7729" t="s">
        <v>35</v>
      </c>
      <c r="O7729" t="s">
        <v>30</v>
      </c>
      <c r="P7729">
        <v>14.851143498690901</v>
      </c>
      <c r="Q7729">
        <v>1.48478618505798</v>
      </c>
      <c r="R7729">
        <v>9.4969759655229105</v>
      </c>
      <c r="S7729">
        <v>152</v>
      </c>
      <c r="T7729">
        <v>66</v>
      </c>
      <c r="U7729">
        <v>204.350879061039</v>
      </c>
      <c r="V7729">
        <v>4.6966731898238703E-3</v>
      </c>
      <c r="W7729">
        <v>883127.88624968601</v>
      </c>
      <c r="X7729" t="s">
        <v>31</v>
      </c>
      <c r="Y7729">
        <f>1-890-870-7520</f>
        <v>-9279</v>
      </c>
    </row>
    <row r="7730" spans="1:25" x14ac:dyDescent="0.35">
      <c r="A7730">
        <v>34.203955634803002</v>
      </c>
      <c r="B7730">
        <v>-120.12328627233801</v>
      </c>
      <c r="C7730" t="s">
        <v>34</v>
      </c>
      <c r="D7730">
        <v>26.508716840531299</v>
      </c>
      <c r="E7730">
        <v>2</v>
      </c>
      <c r="F7730">
        <v>3162</v>
      </c>
      <c r="G7730">
        <v>3</v>
      </c>
      <c r="H7730">
        <v>2</v>
      </c>
      <c r="I7730">
        <v>1960</v>
      </c>
      <c r="J7730">
        <v>1</v>
      </c>
      <c r="K7730">
        <v>1</v>
      </c>
      <c r="L7730">
        <v>1</v>
      </c>
      <c r="M7730">
        <v>12</v>
      </c>
      <c r="N7730" t="s">
        <v>41</v>
      </c>
      <c r="O7730" t="s">
        <v>30</v>
      </c>
      <c r="P7730">
        <v>6.8534649167018102</v>
      </c>
      <c r="Q7730">
        <v>1.0907190378823499</v>
      </c>
      <c r="R7730">
        <v>5.2144363523173203</v>
      </c>
      <c r="S7730">
        <v>158</v>
      </c>
      <c r="T7730">
        <v>76</v>
      </c>
      <c r="U7730">
        <v>981.19294933700803</v>
      </c>
      <c r="V7730">
        <v>3.7950664136622301E-3</v>
      </c>
      <c r="W7730">
        <v>3521253.4981171601</v>
      </c>
      <c r="X7730" t="s">
        <v>28</v>
      </c>
      <c r="Y7730">
        <f>1-310-974-4002</f>
        <v>-5285</v>
      </c>
    </row>
    <row r="7731" spans="1:25" x14ac:dyDescent="0.35">
      <c r="A7731">
        <v>38.924882410908801</v>
      </c>
      <c r="B7731">
        <v>-115.499061634227</v>
      </c>
      <c r="C7731" t="s">
        <v>34</v>
      </c>
      <c r="D7731">
        <v>6.6437746145160101</v>
      </c>
      <c r="E7731">
        <v>9</v>
      </c>
      <c r="F7731">
        <v>4544</v>
      </c>
      <c r="G7731">
        <v>2</v>
      </c>
      <c r="H7731">
        <v>3</v>
      </c>
      <c r="I7731">
        <v>1958</v>
      </c>
      <c r="J7731">
        <v>0</v>
      </c>
      <c r="K7731">
        <v>0</v>
      </c>
      <c r="L7731">
        <v>0</v>
      </c>
      <c r="M7731">
        <v>10</v>
      </c>
      <c r="N7731" t="s">
        <v>26</v>
      </c>
      <c r="O7731" t="s">
        <v>27</v>
      </c>
      <c r="P7731">
        <v>6.70868458053656</v>
      </c>
      <c r="Q7731">
        <v>0.81868798343376104</v>
      </c>
      <c r="R7731">
        <v>7.7739804007342199</v>
      </c>
      <c r="S7731">
        <v>160</v>
      </c>
      <c r="T7731">
        <v>42</v>
      </c>
      <c r="U7731">
        <v>681.13295746963001</v>
      </c>
      <c r="V7731">
        <v>2.2007042253521102E-3</v>
      </c>
      <c r="W7731">
        <v>3304675.4885303802</v>
      </c>
      <c r="X7731" t="s">
        <v>44</v>
      </c>
      <c r="Y7731">
        <f>1-709-347-7660</f>
        <v>-8715</v>
      </c>
    </row>
    <row r="7732" spans="1:25" x14ac:dyDescent="0.35">
      <c r="A7732">
        <v>33.5492503343838</v>
      </c>
      <c r="B7732">
        <v>-115.03465313024</v>
      </c>
      <c r="C7732" t="s">
        <v>34</v>
      </c>
      <c r="D7732">
        <v>8.6217027826603996</v>
      </c>
      <c r="E7732">
        <v>9</v>
      </c>
      <c r="F7732">
        <v>3740</v>
      </c>
      <c r="G7732">
        <v>2</v>
      </c>
      <c r="H7732">
        <v>3</v>
      </c>
      <c r="I7732">
        <v>2020</v>
      </c>
      <c r="J7732">
        <v>1</v>
      </c>
      <c r="K7732">
        <v>0</v>
      </c>
      <c r="L7732">
        <v>1</v>
      </c>
      <c r="M7732">
        <v>2</v>
      </c>
      <c r="N7732" t="s">
        <v>26</v>
      </c>
      <c r="O7732" t="s">
        <v>32</v>
      </c>
      <c r="P7732">
        <v>3.2116508793489702</v>
      </c>
      <c r="Q7732">
        <v>0.65833178741508402</v>
      </c>
      <c r="R7732">
        <v>2.6351966122489201</v>
      </c>
      <c r="S7732">
        <v>158</v>
      </c>
      <c r="T7732">
        <v>76</v>
      </c>
      <c r="U7732">
        <v>758.13304718069298</v>
      </c>
      <c r="V7732">
        <v>5.3475935828876996E-4</v>
      </c>
      <c r="W7732">
        <v>3080428.5575399399</v>
      </c>
      <c r="X7732" t="s">
        <v>31</v>
      </c>
      <c r="Y7732">
        <f>1-550-512-3132</f>
        <v>-4193</v>
      </c>
    </row>
    <row r="7733" spans="1:25" x14ac:dyDescent="0.35">
      <c r="A7733">
        <v>38.602935812103901</v>
      </c>
      <c r="B7733">
        <v>-122.15666304383601</v>
      </c>
      <c r="C7733" t="s">
        <v>34</v>
      </c>
      <c r="D7733">
        <v>32.309935676388001</v>
      </c>
      <c r="E7733">
        <v>7</v>
      </c>
      <c r="F7733">
        <v>4310</v>
      </c>
      <c r="G7733">
        <v>5</v>
      </c>
      <c r="H7733">
        <v>3</v>
      </c>
      <c r="I7733">
        <v>1950</v>
      </c>
      <c r="J7733">
        <v>0</v>
      </c>
      <c r="K7733">
        <v>0</v>
      </c>
      <c r="L7733">
        <v>1</v>
      </c>
      <c r="M7733">
        <v>3</v>
      </c>
      <c r="N7733" t="s">
        <v>26</v>
      </c>
      <c r="O7733" t="s">
        <v>27</v>
      </c>
      <c r="P7733">
        <v>12.2664201020786</v>
      </c>
      <c r="Q7733">
        <v>1.05658005946738</v>
      </c>
      <c r="R7733">
        <v>8.8033055710674706</v>
      </c>
      <c r="S7733">
        <v>156</v>
      </c>
      <c r="T7733">
        <v>57</v>
      </c>
      <c r="U7733">
        <v>988.43609337001703</v>
      </c>
      <c r="V7733">
        <v>6.96055684454756E-4</v>
      </c>
      <c r="W7733">
        <v>4472957.84629831</v>
      </c>
      <c r="X7733" t="s">
        <v>42</v>
      </c>
      <c r="Y7733">
        <f>1-639-403-1627</f>
        <v>-2668</v>
      </c>
    </row>
    <row r="7734" spans="1:25" x14ac:dyDescent="0.35">
      <c r="A7734">
        <v>40.150827210287098</v>
      </c>
      <c r="B7734">
        <v>-115.36847064002799</v>
      </c>
      <c r="C7734" t="s">
        <v>29</v>
      </c>
      <c r="D7734">
        <v>42.693397938051099</v>
      </c>
      <c r="E7734">
        <v>8</v>
      </c>
      <c r="F7734">
        <v>1893</v>
      </c>
      <c r="G7734">
        <v>4</v>
      </c>
      <c r="H7734">
        <v>3</v>
      </c>
      <c r="I7734">
        <v>1975</v>
      </c>
      <c r="J7734">
        <v>1</v>
      </c>
      <c r="K7734">
        <v>0</v>
      </c>
      <c r="L7734">
        <v>0</v>
      </c>
      <c r="M7734">
        <v>7</v>
      </c>
      <c r="N7734" t="s">
        <v>37</v>
      </c>
      <c r="O7734" t="s">
        <v>30</v>
      </c>
      <c r="P7734">
        <v>6.5552872323067701</v>
      </c>
      <c r="Q7734">
        <v>2.0069961527990499</v>
      </c>
      <c r="R7734">
        <v>4.5000490569236504</v>
      </c>
      <c r="S7734">
        <v>22</v>
      </c>
      <c r="T7734">
        <v>63</v>
      </c>
      <c r="U7734">
        <v>885.77474104256601</v>
      </c>
      <c r="V7734">
        <v>3.69783412572636E-3</v>
      </c>
      <c r="W7734">
        <v>1977355.8162742699</v>
      </c>
      <c r="X7734" t="s">
        <v>44</v>
      </c>
      <c r="Y7734">
        <f>1-638-452-8431</f>
        <v>-9520</v>
      </c>
    </row>
    <row r="7735" spans="1:25" x14ac:dyDescent="0.35">
      <c r="A7735">
        <v>40.9881878368288</v>
      </c>
      <c r="B7735">
        <v>-120.12592934471201</v>
      </c>
      <c r="C7735" t="s">
        <v>25</v>
      </c>
      <c r="D7735">
        <v>9.0685766563208805</v>
      </c>
      <c r="E7735">
        <v>7</v>
      </c>
      <c r="F7735">
        <v>1421</v>
      </c>
      <c r="G7735">
        <v>5</v>
      </c>
      <c r="H7735">
        <v>3</v>
      </c>
      <c r="I7735">
        <v>1975</v>
      </c>
      <c r="J7735">
        <v>1</v>
      </c>
      <c r="K7735">
        <v>0</v>
      </c>
      <c r="L7735">
        <v>1</v>
      </c>
      <c r="M7735">
        <v>5</v>
      </c>
      <c r="N7735" t="s">
        <v>35</v>
      </c>
      <c r="O7735" t="s">
        <v>32</v>
      </c>
      <c r="P7735">
        <v>8.9114532890400895</v>
      </c>
      <c r="Q7735">
        <v>0.96351595212026897</v>
      </c>
      <c r="R7735">
        <v>2.1285681431901202</v>
      </c>
      <c r="S7735">
        <v>31</v>
      </c>
      <c r="T7735">
        <v>20</v>
      </c>
      <c r="U7735">
        <v>925.28336099886201</v>
      </c>
      <c r="V7735">
        <v>3.51864883884588E-3</v>
      </c>
      <c r="W7735">
        <v>1804606.88236641</v>
      </c>
      <c r="X7735" t="s">
        <v>38</v>
      </c>
      <c r="Y7735">
        <f>1-307-111-7527</f>
        <v>-7944</v>
      </c>
    </row>
    <row r="7736" spans="1:25" x14ac:dyDescent="0.35">
      <c r="A7736">
        <v>33.005837760239899</v>
      </c>
      <c r="B7736">
        <v>-115.015058348454</v>
      </c>
      <c r="C7736" t="s">
        <v>25</v>
      </c>
      <c r="D7736">
        <v>49.2044650657772</v>
      </c>
      <c r="E7736">
        <v>5</v>
      </c>
      <c r="F7736">
        <v>2538</v>
      </c>
      <c r="G7736">
        <v>5</v>
      </c>
      <c r="H7736">
        <v>1</v>
      </c>
      <c r="I7736">
        <v>2014</v>
      </c>
      <c r="J7736">
        <v>0</v>
      </c>
      <c r="K7736">
        <v>1</v>
      </c>
      <c r="L7736">
        <v>0</v>
      </c>
      <c r="M7736">
        <v>12</v>
      </c>
      <c r="N7736" t="s">
        <v>26</v>
      </c>
      <c r="O7736" t="s">
        <v>32</v>
      </c>
      <c r="P7736">
        <v>10.126240324643</v>
      </c>
      <c r="Q7736">
        <v>1.7037940378056999</v>
      </c>
      <c r="R7736">
        <v>1.36492676306575</v>
      </c>
      <c r="S7736">
        <v>199</v>
      </c>
      <c r="T7736">
        <v>21</v>
      </c>
      <c r="U7736">
        <v>652.651810920196</v>
      </c>
      <c r="V7736">
        <v>4.7281323877068496E-3</v>
      </c>
      <c r="W7736">
        <v>1996976.6530532499</v>
      </c>
      <c r="X7736" t="s">
        <v>44</v>
      </c>
      <c r="Y7736">
        <f>1-905-837-4062</f>
        <v>-5803</v>
      </c>
    </row>
    <row r="7737" spans="1:25" x14ac:dyDescent="0.35">
      <c r="A7737">
        <v>40.069941979187902</v>
      </c>
      <c r="B7737">
        <v>-123.54735507385701</v>
      </c>
      <c r="C7737" t="s">
        <v>34</v>
      </c>
      <c r="D7737">
        <v>48.166935698056498</v>
      </c>
      <c r="E7737">
        <v>8</v>
      </c>
      <c r="F7737">
        <v>675</v>
      </c>
      <c r="G7737">
        <v>1</v>
      </c>
      <c r="H7737">
        <v>3</v>
      </c>
      <c r="I7737">
        <v>2014</v>
      </c>
      <c r="J7737">
        <v>0</v>
      </c>
      <c r="K7737">
        <v>0</v>
      </c>
      <c r="L7737">
        <v>1</v>
      </c>
      <c r="M7737">
        <v>5</v>
      </c>
      <c r="N7737" t="s">
        <v>41</v>
      </c>
      <c r="O7737" t="s">
        <v>30</v>
      </c>
      <c r="P7737">
        <v>4.89838703831352</v>
      </c>
      <c r="Q7737">
        <v>1.36504622202186</v>
      </c>
      <c r="R7737">
        <v>5.4589929282560199</v>
      </c>
      <c r="S7737">
        <v>80</v>
      </c>
      <c r="T7737">
        <v>61</v>
      </c>
      <c r="U7737">
        <v>902.98615654437003</v>
      </c>
      <c r="V7737">
        <v>7.4074074074073999E-3</v>
      </c>
      <c r="W7737">
        <v>744752.60627952695</v>
      </c>
      <c r="X7737" t="s">
        <v>40</v>
      </c>
      <c r="Y7737">
        <f>1-569-293-7654</f>
        <v>-8515</v>
      </c>
    </row>
    <row r="7738" spans="1:25" x14ac:dyDescent="0.35">
      <c r="A7738">
        <v>33.405155599630902</v>
      </c>
      <c r="B7738">
        <v>-118.62934055300499</v>
      </c>
      <c r="C7738" t="s">
        <v>25</v>
      </c>
      <c r="D7738">
        <v>49.552307007868201</v>
      </c>
      <c r="E7738">
        <v>6</v>
      </c>
      <c r="F7738">
        <v>3389</v>
      </c>
      <c r="G7738">
        <v>4</v>
      </c>
      <c r="H7738">
        <v>2</v>
      </c>
      <c r="I7738">
        <v>1954</v>
      </c>
      <c r="J7738">
        <v>0</v>
      </c>
      <c r="K7738">
        <v>1</v>
      </c>
      <c r="L7738">
        <v>0</v>
      </c>
      <c r="M7738">
        <v>10</v>
      </c>
      <c r="N7738" t="s">
        <v>35</v>
      </c>
      <c r="O7738" t="s">
        <v>32</v>
      </c>
      <c r="P7738">
        <v>8.00194398991278</v>
      </c>
      <c r="Q7738">
        <v>1.8983520662836999</v>
      </c>
      <c r="R7738">
        <v>5.1353653169566504</v>
      </c>
      <c r="S7738">
        <v>142</v>
      </c>
      <c r="T7738">
        <v>43</v>
      </c>
      <c r="U7738">
        <v>258.18660759035998</v>
      </c>
      <c r="V7738">
        <v>2.9507229271171398E-3</v>
      </c>
      <c r="W7738">
        <v>1203161.85011533</v>
      </c>
      <c r="X7738" t="s">
        <v>42</v>
      </c>
      <c r="Y7738">
        <f>1-700-233-6339</f>
        <v>-7271</v>
      </c>
    </row>
    <row r="7739" spans="1:25" x14ac:dyDescent="0.35">
      <c r="A7739">
        <v>35.396004280445801</v>
      </c>
      <c r="B7739">
        <v>-116.197943017466</v>
      </c>
      <c r="C7739" t="s">
        <v>34</v>
      </c>
      <c r="D7739">
        <v>20.3742380772944</v>
      </c>
      <c r="E7739">
        <v>9</v>
      </c>
      <c r="F7739">
        <v>4953</v>
      </c>
      <c r="G7739">
        <v>5</v>
      </c>
      <c r="H7739">
        <v>3</v>
      </c>
      <c r="I7739">
        <v>1959</v>
      </c>
      <c r="J7739">
        <v>1</v>
      </c>
      <c r="K7739">
        <v>0</v>
      </c>
      <c r="L7739">
        <v>0</v>
      </c>
      <c r="M7739">
        <v>5</v>
      </c>
      <c r="N7739" t="s">
        <v>35</v>
      </c>
      <c r="O7739" t="s">
        <v>30</v>
      </c>
      <c r="P7739">
        <v>8.9608779598631401</v>
      </c>
      <c r="Q7739">
        <v>0.63302094406793497</v>
      </c>
      <c r="R7739">
        <v>3.94854254930606</v>
      </c>
      <c r="S7739">
        <v>160</v>
      </c>
      <c r="T7739">
        <v>22</v>
      </c>
      <c r="U7739">
        <v>685.53887003226998</v>
      </c>
      <c r="V7739">
        <v>1.0094891984655701E-3</v>
      </c>
      <c r="W7739">
        <v>3753132.8531554001</v>
      </c>
      <c r="X7739" t="s">
        <v>28</v>
      </c>
      <c r="Y7739">
        <f>1-455-124-7420</f>
        <v>-7998</v>
      </c>
    </row>
    <row r="7740" spans="1:25" x14ac:dyDescent="0.35">
      <c r="A7740">
        <v>39.435082928359201</v>
      </c>
      <c r="B7740">
        <v>-120.38933864731899</v>
      </c>
      <c r="C7740" t="s">
        <v>34</v>
      </c>
      <c r="D7740">
        <v>29.069022671863301</v>
      </c>
      <c r="E7740">
        <v>8</v>
      </c>
      <c r="F7740">
        <v>1224</v>
      </c>
      <c r="G7740">
        <v>5</v>
      </c>
      <c r="H7740">
        <v>2</v>
      </c>
      <c r="I7740">
        <v>1964</v>
      </c>
      <c r="J7740">
        <v>0</v>
      </c>
      <c r="K7740">
        <v>1</v>
      </c>
      <c r="L7740">
        <v>1</v>
      </c>
      <c r="M7740">
        <v>9</v>
      </c>
      <c r="N7740" t="s">
        <v>35</v>
      </c>
      <c r="O7740" t="s">
        <v>27</v>
      </c>
      <c r="P7740">
        <v>2.6872711960146001</v>
      </c>
      <c r="Q7740">
        <v>1.6529823275308499</v>
      </c>
      <c r="R7740">
        <v>6.1651547381278</v>
      </c>
      <c r="S7740">
        <v>5</v>
      </c>
      <c r="T7740">
        <v>43</v>
      </c>
      <c r="U7740">
        <v>999.12589408797203</v>
      </c>
      <c r="V7740">
        <v>7.3529411764705803E-3</v>
      </c>
      <c r="W7740">
        <v>1544567.1731633199</v>
      </c>
      <c r="X7740" t="s">
        <v>36</v>
      </c>
      <c r="Y7740">
        <f>1-605-233-2160</f>
        <v>-2997</v>
      </c>
    </row>
    <row r="7741" spans="1:25" x14ac:dyDescent="0.35">
      <c r="A7741">
        <v>34.270368966236099</v>
      </c>
      <c r="B7741">
        <v>-121.77091608416499</v>
      </c>
      <c r="C7741" t="s">
        <v>25</v>
      </c>
      <c r="D7741">
        <v>30.666340253779499</v>
      </c>
      <c r="E7741">
        <v>5</v>
      </c>
      <c r="F7741">
        <v>1364</v>
      </c>
      <c r="G7741">
        <v>3</v>
      </c>
      <c r="H7741">
        <v>1</v>
      </c>
      <c r="I7741">
        <v>1977</v>
      </c>
      <c r="J7741">
        <v>1</v>
      </c>
      <c r="K7741">
        <v>0</v>
      </c>
      <c r="L7741">
        <v>1</v>
      </c>
      <c r="M7741">
        <v>3</v>
      </c>
      <c r="N7741" t="s">
        <v>26</v>
      </c>
      <c r="O7741" t="s">
        <v>27</v>
      </c>
      <c r="P7741">
        <v>7.6013613049804496</v>
      </c>
      <c r="Q7741">
        <v>0.93389676942479305</v>
      </c>
      <c r="R7741">
        <v>2.3781423205163801</v>
      </c>
      <c r="S7741">
        <v>150</v>
      </c>
      <c r="T7741">
        <v>38</v>
      </c>
      <c r="U7741">
        <v>291.40011889451802</v>
      </c>
      <c r="V7741">
        <v>2.1994134897360702E-3</v>
      </c>
      <c r="W7741">
        <v>600008.39554204303</v>
      </c>
      <c r="X7741" t="s">
        <v>40</v>
      </c>
      <c r="Y7741">
        <f>1-668-499-8015</f>
        <v>-9181</v>
      </c>
    </row>
    <row r="7742" spans="1:25" x14ac:dyDescent="0.35">
      <c r="A7742">
        <v>33.040018437339803</v>
      </c>
      <c r="B7742">
        <v>-117.524751099499</v>
      </c>
      <c r="C7742" t="s">
        <v>34</v>
      </c>
      <c r="D7742">
        <v>11.4603522210716</v>
      </c>
      <c r="E7742">
        <v>7</v>
      </c>
      <c r="F7742">
        <v>774</v>
      </c>
      <c r="G7742">
        <v>1</v>
      </c>
      <c r="H7742">
        <v>1</v>
      </c>
      <c r="I7742">
        <v>2006</v>
      </c>
      <c r="J7742">
        <v>1</v>
      </c>
      <c r="K7742">
        <v>0</v>
      </c>
      <c r="L7742">
        <v>1</v>
      </c>
      <c r="M7742">
        <v>11</v>
      </c>
      <c r="N7742" t="s">
        <v>37</v>
      </c>
      <c r="O7742" t="s">
        <v>30</v>
      </c>
      <c r="P7742">
        <v>8.2680699624054093</v>
      </c>
      <c r="Q7742">
        <v>2.4382212207417902</v>
      </c>
      <c r="R7742">
        <v>4.4111732479508197</v>
      </c>
      <c r="S7742">
        <v>153</v>
      </c>
      <c r="T7742">
        <v>53</v>
      </c>
      <c r="U7742">
        <v>264.59935316807503</v>
      </c>
      <c r="V7742">
        <v>1.42118863049095E-2</v>
      </c>
      <c r="W7742">
        <v>378551.697851645</v>
      </c>
      <c r="X7742" t="s">
        <v>28</v>
      </c>
      <c r="Y7742">
        <f>1-714-767-1217</f>
        <v>-2697</v>
      </c>
    </row>
    <row r="7743" spans="1:25" x14ac:dyDescent="0.35">
      <c r="A7743">
        <v>34.183771634533898</v>
      </c>
      <c r="B7743">
        <v>-114.598613663457</v>
      </c>
      <c r="C7743" t="s">
        <v>25</v>
      </c>
      <c r="D7743">
        <v>20.231242420156999</v>
      </c>
      <c r="E7743">
        <v>4</v>
      </c>
      <c r="F7743">
        <v>2854</v>
      </c>
      <c r="G7743">
        <v>5</v>
      </c>
      <c r="H7743">
        <v>1</v>
      </c>
      <c r="I7743">
        <v>2016</v>
      </c>
      <c r="J7743">
        <v>1</v>
      </c>
      <c r="K7743">
        <v>1</v>
      </c>
      <c r="L7743">
        <v>0</v>
      </c>
      <c r="M7743">
        <v>7</v>
      </c>
      <c r="N7743" t="s">
        <v>26</v>
      </c>
      <c r="O7743" t="s">
        <v>30</v>
      </c>
      <c r="P7743">
        <v>14.198448896767401</v>
      </c>
      <c r="Q7743">
        <v>1.9034695448030901</v>
      </c>
      <c r="R7743">
        <v>8.5061821148558998</v>
      </c>
      <c r="S7743">
        <v>161</v>
      </c>
      <c r="T7743">
        <v>69</v>
      </c>
      <c r="U7743">
        <v>261.47190891574701</v>
      </c>
      <c r="V7743">
        <v>2.4526979677645402E-3</v>
      </c>
      <c r="W7743">
        <v>1234959.4887973301</v>
      </c>
      <c r="X7743" t="s">
        <v>42</v>
      </c>
      <c r="Y7743">
        <f>1-823-471-4918</f>
        <v>-6211</v>
      </c>
    </row>
    <row r="7744" spans="1:25" x14ac:dyDescent="0.35">
      <c r="A7744">
        <v>36.357429662620497</v>
      </c>
      <c r="B7744">
        <v>-116.75521055551199</v>
      </c>
      <c r="C7744" t="s">
        <v>25</v>
      </c>
      <c r="D7744">
        <v>11.308435686580699</v>
      </c>
      <c r="E7744">
        <v>4</v>
      </c>
      <c r="F7744">
        <v>1062</v>
      </c>
      <c r="G7744">
        <v>3</v>
      </c>
      <c r="H7744">
        <v>2</v>
      </c>
      <c r="I7744">
        <v>1963</v>
      </c>
      <c r="J7744">
        <v>0</v>
      </c>
      <c r="K7744">
        <v>0</v>
      </c>
      <c r="L7744">
        <v>1</v>
      </c>
      <c r="M7744">
        <v>12</v>
      </c>
      <c r="N7744" t="s">
        <v>26</v>
      </c>
      <c r="O7744" t="s">
        <v>27</v>
      </c>
      <c r="P7744">
        <v>8.2550708591941202</v>
      </c>
      <c r="Q7744">
        <v>2.4030907781457098</v>
      </c>
      <c r="R7744">
        <v>4.4629312069812297</v>
      </c>
      <c r="S7744">
        <v>149</v>
      </c>
      <c r="T7744">
        <v>58</v>
      </c>
      <c r="U7744">
        <v>835.45016126942198</v>
      </c>
      <c r="V7744">
        <v>1.1299435028248501E-2</v>
      </c>
      <c r="W7744">
        <v>1034662.3518576</v>
      </c>
      <c r="X7744" t="s">
        <v>36</v>
      </c>
      <c r="Y7744">
        <f>1-283-731-8367</f>
        <v>-9380</v>
      </c>
    </row>
    <row r="7745" spans="1:25" x14ac:dyDescent="0.35">
      <c r="A7745">
        <v>33.502318115204197</v>
      </c>
      <c r="B7745">
        <v>-117.278729169484</v>
      </c>
      <c r="C7745" t="s">
        <v>34</v>
      </c>
      <c r="D7745">
        <v>21.3807720158342</v>
      </c>
      <c r="E7745">
        <v>7</v>
      </c>
      <c r="F7745">
        <v>2116</v>
      </c>
      <c r="G7745">
        <v>3</v>
      </c>
      <c r="H7745">
        <v>1</v>
      </c>
      <c r="I7745">
        <v>1995</v>
      </c>
      <c r="J7745">
        <v>1</v>
      </c>
      <c r="K7745">
        <v>1</v>
      </c>
      <c r="L7745">
        <v>1</v>
      </c>
      <c r="M7745">
        <v>10</v>
      </c>
      <c r="N7745" t="s">
        <v>41</v>
      </c>
      <c r="O7745" t="s">
        <v>27</v>
      </c>
      <c r="P7745">
        <v>12.7430294816792</v>
      </c>
      <c r="Q7745">
        <v>1.3951576579604099</v>
      </c>
      <c r="R7745">
        <v>9.9570598022612593</v>
      </c>
      <c r="S7745">
        <v>168</v>
      </c>
      <c r="T7745">
        <v>28</v>
      </c>
      <c r="U7745">
        <v>352.34850003128298</v>
      </c>
      <c r="V7745">
        <v>4.7258979206049097E-3</v>
      </c>
      <c r="W7745">
        <v>1065195.46522862</v>
      </c>
      <c r="X7745" t="s">
        <v>42</v>
      </c>
      <c r="Y7745">
        <f>1-949-151-5622</f>
        <v>-6721</v>
      </c>
    </row>
    <row r="7746" spans="1:25" x14ac:dyDescent="0.35">
      <c r="A7746">
        <v>37.068517875038502</v>
      </c>
      <c r="B7746">
        <v>-120.076996588353</v>
      </c>
      <c r="C7746" t="s">
        <v>25</v>
      </c>
      <c r="D7746">
        <v>14.046987655932</v>
      </c>
      <c r="E7746">
        <v>0</v>
      </c>
      <c r="F7746">
        <v>3526</v>
      </c>
      <c r="G7746">
        <v>1</v>
      </c>
      <c r="H7746">
        <v>1</v>
      </c>
      <c r="I7746">
        <v>1950</v>
      </c>
      <c r="J7746">
        <v>1</v>
      </c>
      <c r="K7746">
        <v>1</v>
      </c>
      <c r="L7746">
        <v>0</v>
      </c>
      <c r="M7746">
        <v>8</v>
      </c>
      <c r="N7746" t="s">
        <v>26</v>
      </c>
      <c r="O7746" t="s">
        <v>32</v>
      </c>
      <c r="P7746">
        <v>14.8902269699278</v>
      </c>
      <c r="Q7746">
        <v>0.60829596973522904</v>
      </c>
      <c r="R7746">
        <v>2.9758670763681301</v>
      </c>
      <c r="S7746">
        <v>11</v>
      </c>
      <c r="T7746">
        <v>28</v>
      </c>
      <c r="U7746">
        <v>833.04172053813795</v>
      </c>
      <c r="V7746">
        <v>2.2688598979013E-3</v>
      </c>
      <c r="W7746">
        <v>3183741.5973585998</v>
      </c>
      <c r="X7746" t="s">
        <v>40</v>
      </c>
      <c r="Y7746">
        <f>1-571-265-9015</f>
        <v>-9850</v>
      </c>
    </row>
    <row r="7747" spans="1:25" x14ac:dyDescent="0.35">
      <c r="A7747">
        <v>39.270981786150998</v>
      </c>
      <c r="B7747">
        <v>-122.900894768162</v>
      </c>
      <c r="C7747" t="s">
        <v>34</v>
      </c>
      <c r="D7747">
        <v>31.129826517011399</v>
      </c>
      <c r="E7747">
        <v>0</v>
      </c>
      <c r="F7747">
        <v>4013</v>
      </c>
      <c r="G7747">
        <v>3</v>
      </c>
      <c r="H7747">
        <v>3</v>
      </c>
      <c r="I7747">
        <v>1972</v>
      </c>
      <c r="J7747">
        <v>0</v>
      </c>
      <c r="K7747">
        <v>0</v>
      </c>
      <c r="L7747">
        <v>0</v>
      </c>
      <c r="M7747">
        <v>3</v>
      </c>
      <c r="N7747" t="s">
        <v>35</v>
      </c>
      <c r="O7747" t="s">
        <v>32</v>
      </c>
      <c r="P7747">
        <v>13.2160791337045</v>
      </c>
      <c r="Q7747">
        <v>0.77102487014116505</v>
      </c>
      <c r="R7747">
        <v>3.20654438788941</v>
      </c>
      <c r="S7747">
        <v>148</v>
      </c>
      <c r="T7747">
        <v>41</v>
      </c>
      <c r="U7747">
        <v>286.59402418716201</v>
      </c>
      <c r="V7747">
        <v>7.4757039621230995E-4</v>
      </c>
      <c r="W7747">
        <v>1402676.04989686</v>
      </c>
      <c r="X7747" t="s">
        <v>38</v>
      </c>
      <c r="Y7747">
        <f>1-667-636-1839</f>
        <v>-3141</v>
      </c>
    </row>
    <row r="7748" spans="1:25" x14ac:dyDescent="0.35">
      <c r="A7748">
        <v>36.658128667461</v>
      </c>
      <c r="B7748">
        <v>-121.627887645645</v>
      </c>
      <c r="C7748" t="s">
        <v>29</v>
      </c>
      <c r="D7748">
        <v>17.427385265373601</v>
      </c>
      <c r="E7748">
        <v>2</v>
      </c>
      <c r="F7748">
        <v>2580</v>
      </c>
      <c r="G7748">
        <v>5</v>
      </c>
      <c r="H7748">
        <v>1</v>
      </c>
      <c r="I7748">
        <v>1982</v>
      </c>
      <c r="J7748">
        <v>1</v>
      </c>
      <c r="K7748">
        <v>0</v>
      </c>
      <c r="L7748">
        <v>1</v>
      </c>
      <c r="M7748">
        <v>12</v>
      </c>
      <c r="N7748" t="s">
        <v>37</v>
      </c>
      <c r="O7748" t="s">
        <v>27</v>
      </c>
      <c r="P7748">
        <v>6.3856713926432196</v>
      </c>
      <c r="Q7748">
        <v>2.0305427301123302</v>
      </c>
      <c r="R7748">
        <v>8.7778563580118902</v>
      </c>
      <c r="S7748">
        <v>148</v>
      </c>
      <c r="T7748">
        <v>30</v>
      </c>
      <c r="U7748">
        <v>243.554539392225</v>
      </c>
      <c r="V7748">
        <v>4.65116279069767E-3</v>
      </c>
      <c r="W7748">
        <v>949285.423355815</v>
      </c>
      <c r="X7748" t="s">
        <v>43</v>
      </c>
      <c r="Y7748">
        <f>1-816-548-2326</f>
        <v>-3689</v>
      </c>
    </row>
    <row r="7749" spans="1:25" x14ac:dyDescent="0.35">
      <c r="A7749">
        <v>40.2529641744106</v>
      </c>
      <c r="B7749">
        <v>-123.04059876497899</v>
      </c>
      <c r="C7749" t="s">
        <v>29</v>
      </c>
      <c r="D7749">
        <v>42.907287735640203</v>
      </c>
      <c r="E7749">
        <v>9</v>
      </c>
      <c r="F7749">
        <v>3529</v>
      </c>
      <c r="G7749">
        <v>2</v>
      </c>
      <c r="H7749">
        <v>1</v>
      </c>
      <c r="I7749">
        <v>1982</v>
      </c>
      <c r="J7749">
        <v>1</v>
      </c>
      <c r="K7749">
        <v>1</v>
      </c>
      <c r="L7749">
        <v>0</v>
      </c>
      <c r="M7749">
        <v>11</v>
      </c>
      <c r="N7749" t="s">
        <v>41</v>
      </c>
      <c r="O7749" t="s">
        <v>30</v>
      </c>
      <c r="P7749">
        <v>5.3593993963984801</v>
      </c>
      <c r="Q7749">
        <v>0.922567284514338</v>
      </c>
      <c r="R7749">
        <v>5.9699722177108701</v>
      </c>
      <c r="S7749">
        <v>23</v>
      </c>
      <c r="T7749">
        <v>73</v>
      </c>
      <c r="U7749">
        <v>885.51741715761898</v>
      </c>
      <c r="V7749">
        <v>3.1170303202040198E-3</v>
      </c>
      <c r="W7749">
        <v>3389474.4247503998</v>
      </c>
      <c r="X7749" t="s">
        <v>31</v>
      </c>
      <c r="Y7749">
        <f>1-571-353-9635</f>
        <v>-10558</v>
      </c>
    </row>
    <row r="7750" spans="1:25" x14ac:dyDescent="0.35">
      <c r="A7750">
        <v>39.243779241816299</v>
      </c>
      <c r="B7750">
        <v>-123.100368614168</v>
      </c>
      <c r="C7750" t="s">
        <v>25</v>
      </c>
      <c r="D7750">
        <v>33.1193221989829</v>
      </c>
      <c r="E7750">
        <v>4</v>
      </c>
      <c r="F7750">
        <v>2395</v>
      </c>
      <c r="G7750">
        <v>4</v>
      </c>
      <c r="H7750">
        <v>3</v>
      </c>
      <c r="I7750">
        <v>1978</v>
      </c>
      <c r="J7750">
        <v>1</v>
      </c>
      <c r="K7750">
        <v>0</v>
      </c>
      <c r="L7750">
        <v>0</v>
      </c>
      <c r="M7750">
        <v>2</v>
      </c>
      <c r="N7750" t="s">
        <v>26</v>
      </c>
      <c r="O7750" t="s">
        <v>27</v>
      </c>
      <c r="P7750">
        <v>3.0141482140190501</v>
      </c>
      <c r="Q7750">
        <v>2.17626756953144</v>
      </c>
      <c r="R7750">
        <v>6.5227580829665497</v>
      </c>
      <c r="S7750">
        <v>109</v>
      </c>
      <c r="T7750">
        <v>33</v>
      </c>
      <c r="U7750">
        <v>537.153427498979</v>
      </c>
      <c r="V7750">
        <v>8.3507306889352801E-4</v>
      </c>
      <c r="W7750">
        <v>1530587.7904998299</v>
      </c>
      <c r="X7750" t="s">
        <v>31</v>
      </c>
      <c r="Y7750">
        <f>1-566-317-3615</f>
        <v>-4497</v>
      </c>
    </row>
    <row r="7751" spans="1:25" x14ac:dyDescent="0.35">
      <c r="A7751">
        <v>34.332844961504499</v>
      </c>
      <c r="B7751">
        <v>-119.44192982963</v>
      </c>
      <c r="C7751" t="s">
        <v>34</v>
      </c>
      <c r="D7751">
        <v>48.322455867331101</v>
      </c>
      <c r="E7751">
        <v>7</v>
      </c>
      <c r="F7751">
        <v>896</v>
      </c>
      <c r="G7751">
        <v>2</v>
      </c>
      <c r="H7751">
        <v>1</v>
      </c>
      <c r="I7751">
        <v>2002</v>
      </c>
      <c r="J7751">
        <v>0</v>
      </c>
      <c r="K7751">
        <v>1</v>
      </c>
      <c r="L7751">
        <v>1</v>
      </c>
      <c r="M7751">
        <v>4</v>
      </c>
      <c r="N7751" t="s">
        <v>26</v>
      </c>
      <c r="O7751" t="s">
        <v>30</v>
      </c>
      <c r="P7751">
        <v>14.359286503334699</v>
      </c>
      <c r="Q7751">
        <v>0.76695916280626797</v>
      </c>
      <c r="R7751">
        <v>8.9376722185195803</v>
      </c>
      <c r="S7751">
        <v>87</v>
      </c>
      <c r="T7751">
        <v>50</v>
      </c>
      <c r="U7751">
        <v>202.60608804770399</v>
      </c>
      <c r="V7751">
        <v>4.4642857142857097E-3</v>
      </c>
      <c r="W7751">
        <v>454661.23239922401</v>
      </c>
      <c r="X7751" t="s">
        <v>33</v>
      </c>
      <c r="Y7751">
        <f>1-573-772-5310</f>
        <v>-6654</v>
      </c>
    </row>
    <row r="7752" spans="1:25" x14ac:dyDescent="0.35">
      <c r="A7752">
        <v>34.951753353835599</v>
      </c>
      <c r="B7752">
        <v>-121.08843488988001</v>
      </c>
      <c r="C7752" t="s">
        <v>25</v>
      </c>
      <c r="D7752">
        <v>19.041891194759501</v>
      </c>
      <c r="E7752">
        <v>6</v>
      </c>
      <c r="F7752">
        <v>961</v>
      </c>
      <c r="G7752">
        <v>5</v>
      </c>
      <c r="H7752">
        <v>2</v>
      </c>
      <c r="I7752">
        <v>1989</v>
      </c>
      <c r="J7752">
        <v>0</v>
      </c>
      <c r="K7752">
        <v>1</v>
      </c>
      <c r="L7752">
        <v>1</v>
      </c>
      <c r="M7752">
        <v>2</v>
      </c>
      <c r="N7752" t="s">
        <v>26</v>
      </c>
      <c r="O7752" t="s">
        <v>32</v>
      </c>
      <c r="P7752">
        <v>11.181794957269901</v>
      </c>
      <c r="Q7752">
        <v>0.66916705747971295</v>
      </c>
      <c r="R7752">
        <v>5.5790609120006502</v>
      </c>
      <c r="S7752">
        <v>127</v>
      </c>
      <c r="T7752">
        <v>34</v>
      </c>
      <c r="U7752">
        <v>540.13112782197902</v>
      </c>
      <c r="V7752">
        <v>2.0811654526534801E-3</v>
      </c>
      <c r="W7752">
        <v>944538.45796135894</v>
      </c>
      <c r="X7752" t="s">
        <v>36</v>
      </c>
      <c r="Y7752">
        <f>1-540-180-4184</f>
        <v>-4903</v>
      </c>
    </row>
    <row r="7753" spans="1:25" x14ac:dyDescent="0.35">
      <c r="A7753">
        <v>34.820075354599503</v>
      </c>
      <c r="B7753">
        <v>-123.80058348692</v>
      </c>
      <c r="C7753" t="s">
        <v>25</v>
      </c>
      <c r="D7753">
        <v>25.139126140689999</v>
      </c>
      <c r="E7753">
        <v>4</v>
      </c>
      <c r="F7753">
        <v>2650</v>
      </c>
      <c r="G7753">
        <v>4</v>
      </c>
      <c r="H7753">
        <v>2</v>
      </c>
      <c r="I7753">
        <v>1952</v>
      </c>
      <c r="J7753">
        <v>1</v>
      </c>
      <c r="K7753">
        <v>1</v>
      </c>
      <c r="L7753">
        <v>0</v>
      </c>
      <c r="M7753">
        <v>2</v>
      </c>
      <c r="N7753" t="s">
        <v>37</v>
      </c>
      <c r="O7753" t="s">
        <v>32</v>
      </c>
      <c r="P7753">
        <v>8.5119332100330105</v>
      </c>
      <c r="Q7753">
        <v>2.4012092783588699</v>
      </c>
      <c r="R7753">
        <v>5.5210504038185997</v>
      </c>
      <c r="S7753">
        <v>71</v>
      </c>
      <c r="T7753">
        <v>20</v>
      </c>
      <c r="U7753">
        <v>993.97315681374096</v>
      </c>
      <c r="V7753">
        <v>7.54716981132075E-4</v>
      </c>
      <c r="W7753">
        <v>3066172.43269923</v>
      </c>
      <c r="X7753" t="s">
        <v>38</v>
      </c>
      <c r="Y7753">
        <f>1-688-500-6196</f>
        <v>-7383</v>
      </c>
    </row>
    <row r="7754" spans="1:25" x14ac:dyDescent="0.35">
      <c r="A7754">
        <v>36.527655158195898</v>
      </c>
      <c r="B7754">
        <v>-115.323465887377</v>
      </c>
      <c r="C7754" t="s">
        <v>25</v>
      </c>
      <c r="D7754">
        <v>3.18187765429421</v>
      </c>
      <c r="E7754">
        <v>9</v>
      </c>
      <c r="F7754">
        <v>3161</v>
      </c>
      <c r="G7754">
        <v>5</v>
      </c>
      <c r="H7754">
        <v>2</v>
      </c>
      <c r="I7754">
        <v>1992</v>
      </c>
      <c r="J7754">
        <v>1</v>
      </c>
      <c r="K7754">
        <v>1</v>
      </c>
      <c r="L7754">
        <v>0</v>
      </c>
      <c r="M7754">
        <v>6</v>
      </c>
      <c r="N7754" t="s">
        <v>37</v>
      </c>
      <c r="O7754" t="s">
        <v>30</v>
      </c>
      <c r="P7754">
        <v>5.6844819520746803</v>
      </c>
      <c r="Q7754">
        <v>2.00604188126889</v>
      </c>
      <c r="R7754">
        <v>3.4041992120928399</v>
      </c>
      <c r="S7754">
        <v>175</v>
      </c>
      <c r="T7754">
        <v>60</v>
      </c>
      <c r="U7754">
        <v>248.083238192941</v>
      </c>
      <c r="V7754">
        <v>1.8981335020563099E-3</v>
      </c>
      <c r="W7754">
        <v>1195115.9328500601</v>
      </c>
      <c r="X7754" t="s">
        <v>42</v>
      </c>
      <c r="Y7754">
        <f>1-660-453-9465</f>
        <v>-10577</v>
      </c>
    </row>
    <row r="7755" spans="1:25" x14ac:dyDescent="0.35">
      <c r="A7755">
        <v>36.247207798538398</v>
      </c>
      <c r="B7755">
        <v>-119.217717290349</v>
      </c>
      <c r="C7755" t="s">
        <v>29</v>
      </c>
      <c r="D7755">
        <v>46.375004301302098</v>
      </c>
      <c r="E7755">
        <v>1</v>
      </c>
      <c r="F7755">
        <v>3151</v>
      </c>
      <c r="G7755">
        <v>1</v>
      </c>
      <c r="H7755">
        <v>2</v>
      </c>
      <c r="I7755">
        <v>1969</v>
      </c>
      <c r="J7755">
        <v>0</v>
      </c>
      <c r="K7755">
        <v>1</v>
      </c>
      <c r="L7755">
        <v>0</v>
      </c>
      <c r="M7755">
        <v>8</v>
      </c>
      <c r="N7755" t="s">
        <v>37</v>
      </c>
      <c r="O7755" t="s">
        <v>27</v>
      </c>
      <c r="P7755">
        <v>5.4200643988923201</v>
      </c>
      <c r="Q7755">
        <v>2.3837032005468299</v>
      </c>
      <c r="R7755">
        <v>7.34817913612389</v>
      </c>
      <c r="S7755">
        <v>152</v>
      </c>
      <c r="T7755">
        <v>61</v>
      </c>
      <c r="U7755">
        <v>900.52476710935798</v>
      </c>
      <c r="V7755">
        <v>2.5388765471278901E-3</v>
      </c>
      <c r="W7755">
        <v>2887223.3572773598</v>
      </c>
      <c r="X7755" t="s">
        <v>43</v>
      </c>
      <c r="Y7755">
        <f>1-620-749-2538</f>
        <v>-3906</v>
      </c>
    </row>
    <row r="7756" spans="1:25" x14ac:dyDescent="0.35">
      <c r="A7756">
        <v>38.439885914170198</v>
      </c>
      <c r="B7756">
        <v>-119.581157622836</v>
      </c>
      <c r="C7756" t="s">
        <v>29</v>
      </c>
      <c r="D7756">
        <v>19.8481949255847</v>
      </c>
      <c r="E7756">
        <v>1</v>
      </c>
      <c r="F7756">
        <v>1003</v>
      </c>
      <c r="G7756">
        <v>5</v>
      </c>
      <c r="H7756">
        <v>3</v>
      </c>
      <c r="I7756">
        <v>1961</v>
      </c>
      <c r="J7756">
        <v>1</v>
      </c>
      <c r="K7756">
        <v>1</v>
      </c>
      <c r="L7756">
        <v>1</v>
      </c>
      <c r="M7756">
        <v>9</v>
      </c>
      <c r="N7756" t="s">
        <v>41</v>
      </c>
      <c r="O7756" t="s">
        <v>32</v>
      </c>
      <c r="P7756">
        <v>9.0707256182909806</v>
      </c>
      <c r="Q7756">
        <v>0.56243830350875701</v>
      </c>
      <c r="R7756">
        <v>0.95474300571225401</v>
      </c>
      <c r="S7756">
        <v>5</v>
      </c>
      <c r="T7756">
        <v>24</v>
      </c>
      <c r="U7756">
        <v>991.79623771015201</v>
      </c>
      <c r="V7756">
        <v>8.9730807577268201E-3</v>
      </c>
      <c r="W7756">
        <v>1467000.1274592101</v>
      </c>
      <c r="X7756" t="s">
        <v>40</v>
      </c>
      <c r="Y7756">
        <f>1-791-901-3623</f>
        <v>-5314</v>
      </c>
    </row>
    <row r="7757" spans="1:25" x14ac:dyDescent="0.35">
      <c r="A7757">
        <v>38.535419794601999</v>
      </c>
      <c r="B7757">
        <v>-122.698798687314</v>
      </c>
      <c r="C7757" t="s">
        <v>34</v>
      </c>
      <c r="D7757">
        <v>48.840088737539098</v>
      </c>
      <c r="E7757">
        <v>8</v>
      </c>
      <c r="F7757">
        <v>2978</v>
      </c>
      <c r="G7757">
        <v>3</v>
      </c>
      <c r="H7757">
        <v>1</v>
      </c>
      <c r="I7757">
        <v>1997</v>
      </c>
      <c r="J7757">
        <v>0</v>
      </c>
      <c r="K7757">
        <v>0</v>
      </c>
      <c r="L7757">
        <v>1</v>
      </c>
      <c r="M7757">
        <v>5</v>
      </c>
      <c r="N7757" t="s">
        <v>37</v>
      </c>
      <c r="O7757" t="s">
        <v>30</v>
      </c>
      <c r="P7757">
        <v>4.3892823481165504</v>
      </c>
      <c r="Q7757">
        <v>1.3506743261270899</v>
      </c>
      <c r="R7757">
        <v>4.2640815696866401</v>
      </c>
      <c r="S7757">
        <v>137</v>
      </c>
      <c r="T7757">
        <v>65</v>
      </c>
      <c r="U7757">
        <v>375.393260957123</v>
      </c>
      <c r="V7757">
        <v>1.67897918065815E-3</v>
      </c>
      <c r="W7757">
        <v>1283383.0196149901</v>
      </c>
      <c r="X7757" t="s">
        <v>31</v>
      </c>
      <c r="Y7757">
        <f>1-843-139-3227</f>
        <v>-4208</v>
      </c>
    </row>
    <row r="7758" spans="1:25" x14ac:dyDescent="0.35">
      <c r="A7758">
        <v>41.760052192799101</v>
      </c>
      <c r="B7758">
        <v>-117.042837759405</v>
      </c>
      <c r="C7758" t="s">
        <v>29</v>
      </c>
      <c r="D7758">
        <v>27.261949198438199</v>
      </c>
      <c r="E7758">
        <v>9</v>
      </c>
      <c r="F7758">
        <v>762</v>
      </c>
      <c r="G7758">
        <v>1</v>
      </c>
      <c r="H7758">
        <v>2</v>
      </c>
      <c r="I7758">
        <v>2003</v>
      </c>
      <c r="J7758">
        <v>0</v>
      </c>
      <c r="K7758">
        <v>0</v>
      </c>
      <c r="L7758">
        <v>1</v>
      </c>
      <c r="M7758">
        <v>14</v>
      </c>
      <c r="N7758" t="s">
        <v>35</v>
      </c>
      <c r="O7758" t="s">
        <v>27</v>
      </c>
      <c r="P7758">
        <v>6.3002333217476796</v>
      </c>
      <c r="Q7758">
        <v>1.63696483171259</v>
      </c>
      <c r="R7758">
        <v>5.7907830435538399</v>
      </c>
      <c r="S7758">
        <v>106</v>
      </c>
      <c r="T7758">
        <v>48</v>
      </c>
      <c r="U7758">
        <v>989.703537586165</v>
      </c>
      <c r="V7758">
        <v>1.83727034120734E-2</v>
      </c>
      <c r="W7758">
        <v>873900.07714279997</v>
      </c>
      <c r="X7758" t="s">
        <v>33</v>
      </c>
      <c r="Y7758">
        <f>1-818-773-8300</f>
        <v>-9890</v>
      </c>
    </row>
    <row r="7759" spans="1:25" x14ac:dyDescent="0.35">
      <c r="A7759">
        <v>36.339298870542699</v>
      </c>
      <c r="B7759">
        <v>-117.51006307231501</v>
      </c>
      <c r="C7759" t="s">
        <v>25</v>
      </c>
      <c r="D7759">
        <v>33.6648518924599</v>
      </c>
      <c r="E7759">
        <v>4</v>
      </c>
      <c r="F7759">
        <v>1368</v>
      </c>
      <c r="G7759">
        <v>5</v>
      </c>
      <c r="H7759">
        <v>3</v>
      </c>
      <c r="I7759">
        <v>2006</v>
      </c>
      <c r="J7759">
        <v>0</v>
      </c>
      <c r="K7759">
        <v>1</v>
      </c>
      <c r="L7759">
        <v>0</v>
      </c>
      <c r="M7759">
        <v>13</v>
      </c>
      <c r="N7759" t="s">
        <v>26</v>
      </c>
      <c r="O7759" t="s">
        <v>32</v>
      </c>
      <c r="P7759">
        <v>3.4939230656424498</v>
      </c>
      <c r="Q7759">
        <v>1.04457763750162</v>
      </c>
      <c r="R7759">
        <v>8.6885669649499793</v>
      </c>
      <c r="S7759">
        <v>106</v>
      </c>
      <c r="T7759">
        <v>30</v>
      </c>
      <c r="U7759">
        <v>669.76731336239902</v>
      </c>
      <c r="V7759">
        <v>9.5029239766081797E-3</v>
      </c>
      <c r="W7759">
        <v>1155203.4447109301</v>
      </c>
      <c r="X7759" t="s">
        <v>44</v>
      </c>
      <c r="Y7759">
        <f>1-500-761-3285</f>
        <v>-4545</v>
      </c>
    </row>
    <row r="7760" spans="1:25" x14ac:dyDescent="0.35">
      <c r="A7760">
        <v>41.018240789545303</v>
      </c>
      <c r="B7760">
        <v>-121.157142304234</v>
      </c>
      <c r="C7760" t="s">
        <v>29</v>
      </c>
      <c r="D7760">
        <v>17.7181848336757</v>
      </c>
      <c r="E7760">
        <v>4</v>
      </c>
      <c r="F7760">
        <v>1125</v>
      </c>
      <c r="G7760">
        <v>5</v>
      </c>
      <c r="H7760">
        <v>2</v>
      </c>
      <c r="I7760">
        <v>1987</v>
      </c>
      <c r="J7760">
        <v>0</v>
      </c>
      <c r="K7760">
        <v>1</v>
      </c>
      <c r="L7760">
        <v>1</v>
      </c>
      <c r="M7760">
        <v>8</v>
      </c>
      <c r="N7760" t="s">
        <v>26</v>
      </c>
      <c r="O7760" t="s">
        <v>32</v>
      </c>
      <c r="P7760">
        <v>9.3697023133630797</v>
      </c>
      <c r="Q7760">
        <v>0.77253669413328296</v>
      </c>
      <c r="R7760">
        <v>9.1933636775008907</v>
      </c>
      <c r="S7760">
        <v>0</v>
      </c>
      <c r="T7760">
        <v>71</v>
      </c>
      <c r="U7760">
        <v>570.42759460799095</v>
      </c>
      <c r="V7760">
        <v>7.1111111111111097E-3</v>
      </c>
      <c r="W7760">
        <v>1101144.5987068401</v>
      </c>
      <c r="X7760" t="s">
        <v>44</v>
      </c>
      <c r="Y7760">
        <f>1-404-903-8480</f>
        <v>-9786</v>
      </c>
    </row>
    <row r="7761" spans="1:25" x14ac:dyDescent="0.35">
      <c r="A7761">
        <v>33.173149953231999</v>
      </c>
      <c r="B7761">
        <v>-121.38000835401699</v>
      </c>
      <c r="C7761" t="s">
        <v>29</v>
      </c>
      <c r="D7761">
        <v>11.5938556997246</v>
      </c>
      <c r="E7761">
        <v>8</v>
      </c>
      <c r="F7761">
        <v>3557</v>
      </c>
      <c r="G7761">
        <v>3</v>
      </c>
      <c r="H7761">
        <v>2</v>
      </c>
      <c r="I7761">
        <v>1971</v>
      </c>
      <c r="J7761">
        <v>1</v>
      </c>
      <c r="K7761">
        <v>0</v>
      </c>
      <c r="L7761">
        <v>1</v>
      </c>
      <c r="M7761">
        <v>7</v>
      </c>
      <c r="N7761" t="s">
        <v>41</v>
      </c>
      <c r="O7761" t="s">
        <v>32</v>
      </c>
      <c r="P7761">
        <v>13.786294369852699</v>
      </c>
      <c r="Q7761">
        <v>1.5420540376788401</v>
      </c>
      <c r="R7761">
        <v>7.1371769470077799</v>
      </c>
      <c r="S7761">
        <v>13</v>
      </c>
      <c r="T7761">
        <v>36</v>
      </c>
      <c r="U7761">
        <v>576.09083365794299</v>
      </c>
      <c r="V7761">
        <v>1.9679505201011999E-3</v>
      </c>
      <c r="W7761">
        <v>2353905.0652788701</v>
      </c>
      <c r="X7761" t="s">
        <v>31</v>
      </c>
      <c r="Y7761">
        <f>1-799-227-7979</f>
        <v>-9004</v>
      </c>
    </row>
    <row r="7762" spans="1:25" x14ac:dyDescent="0.35">
      <c r="A7762">
        <v>40.2449602313771</v>
      </c>
      <c r="B7762">
        <v>-114.087008116587</v>
      </c>
      <c r="C7762" t="s">
        <v>25</v>
      </c>
      <c r="D7762">
        <v>46.7037088561977</v>
      </c>
      <c r="E7762">
        <v>7</v>
      </c>
      <c r="F7762">
        <v>4203</v>
      </c>
      <c r="G7762">
        <v>3</v>
      </c>
      <c r="H7762">
        <v>3</v>
      </c>
      <c r="I7762">
        <v>2002</v>
      </c>
      <c r="J7762">
        <v>0</v>
      </c>
      <c r="K7762">
        <v>0</v>
      </c>
      <c r="L7762">
        <v>1</v>
      </c>
      <c r="M7762">
        <v>14</v>
      </c>
      <c r="N7762" t="s">
        <v>37</v>
      </c>
      <c r="O7762" t="s">
        <v>32</v>
      </c>
      <c r="P7762">
        <v>5.1520679549935799</v>
      </c>
      <c r="Q7762">
        <v>0.59804352798850402</v>
      </c>
      <c r="R7762">
        <v>8.0382572269959809</v>
      </c>
      <c r="S7762">
        <v>126</v>
      </c>
      <c r="T7762">
        <v>45</v>
      </c>
      <c r="U7762">
        <v>431.78226690169902</v>
      </c>
      <c r="V7762">
        <v>3.3309540804187399E-3</v>
      </c>
      <c r="W7762">
        <v>2073051.2934387401</v>
      </c>
      <c r="X7762" t="s">
        <v>42</v>
      </c>
      <c r="Y7762">
        <f>1-649-757-4275</f>
        <v>-5680</v>
      </c>
    </row>
    <row r="7763" spans="1:25" x14ac:dyDescent="0.35">
      <c r="A7763">
        <v>38.099590805353003</v>
      </c>
      <c r="B7763">
        <v>-123.551353256049</v>
      </c>
      <c r="C7763" t="s">
        <v>29</v>
      </c>
      <c r="D7763">
        <v>31.325415050013099</v>
      </c>
      <c r="E7763">
        <v>8</v>
      </c>
      <c r="F7763">
        <v>4950</v>
      </c>
      <c r="G7763">
        <v>4</v>
      </c>
      <c r="H7763">
        <v>3</v>
      </c>
      <c r="I7763">
        <v>1987</v>
      </c>
      <c r="J7763">
        <v>1</v>
      </c>
      <c r="K7763">
        <v>1</v>
      </c>
      <c r="L7763">
        <v>0</v>
      </c>
      <c r="M7763">
        <v>6</v>
      </c>
      <c r="N7763" t="s">
        <v>26</v>
      </c>
      <c r="O7763" t="s">
        <v>30</v>
      </c>
      <c r="P7763">
        <v>7.0184135414785302</v>
      </c>
      <c r="Q7763">
        <v>1.5654214126768899</v>
      </c>
      <c r="R7763">
        <v>8.9861221876497499</v>
      </c>
      <c r="S7763">
        <v>27</v>
      </c>
      <c r="T7763">
        <v>38</v>
      </c>
      <c r="U7763">
        <v>587.04437844239999</v>
      </c>
      <c r="V7763">
        <v>1.21212121212121E-3</v>
      </c>
      <c r="W7763">
        <v>3239374.6034084801</v>
      </c>
      <c r="X7763" t="s">
        <v>28</v>
      </c>
      <c r="Y7763">
        <f>1-570-423-3061</f>
        <v>-4053</v>
      </c>
    </row>
    <row r="7764" spans="1:25" x14ac:dyDescent="0.35">
      <c r="A7764">
        <v>36.225082182018298</v>
      </c>
      <c r="B7764">
        <v>-114.456387660752</v>
      </c>
      <c r="C7764" t="s">
        <v>29</v>
      </c>
      <c r="D7764">
        <v>43.862942141832903</v>
      </c>
      <c r="E7764">
        <v>8</v>
      </c>
      <c r="F7764">
        <v>1981</v>
      </c>
      <c r="G7764">
        <v>5</v>
      </c>
      <c r="H7764">
        <v>2</v>
      </c>
      <c r="I7764">
        <v>1999</v>
      </c>
      <c r="J7764">
        <v>1</v>
      </c>
      <c r="K7764">
        <v>0</v>
      </c>
      <c r="L7764">
        <v>1</v>
      </c>
      <c r="M7764">
        <v>2</v>
      </c>
      <c r="N7764" t="s">
        <v>26</v>
      </c>
      <c r="O7764" t="s">
        <v>30</v>
      </c>
      <c r="P7764">
        <v>5.8247542372782597</v>
      </c>
      <c r="Q7764">
        <v>1.7185144456679899</v>
      </c>
      <c r="R7764">
        <v>9.7403928579712193</v>
      </c>
      <c r="S7764">
        <v>196</v>
      </c>
      <c r="T7764">
        <v>74</v>
      </c>
      <c r="U7764">
        <v>850.22035840946501</v>
      </c>
      <c r="V7764">
        <v>1.0095911155981799E-3</v>
      </c>
      <c r="W7764">
        <v>1954319.9817386901</v>
      </c>
      <c r="X7764" t="s">
        <v>43</v>
      </c>
      <c r="Y7764">
        <f>1-761-195-8308</f>
        <v>-9263</v>
      </c>
    </row>
    <row r="7765" spans="1:25" x14ac:dyDescent="0.35">
      <c r="A7765">
        <v>33.299015025249297</v>
      </c>
      <c r="B7765">
        <v>-119.515793056476</v>
      </c>
      <c r="C7765" t="s">
        <v>29</v>
      </c>
      <c r="D7765">
        <v>4.7150940506475099</v>
      </c>
      <c r="E7765">
        <v>8</v>
      </c>
      <c r="F7765">
        <v>3647</v>
      </c>
      <c r="G7765">
        <v>1</v>
      </c>
      <c r="H7765">
        <v>3</v>
      </c>
      <c r="I7765">
        <v>1995</v>
      </c>
      <c r="J7765">
        <v>0</v>
      </c>
      <c r="K7765">
        <v>1</v>
      </c>
      <c r="L7765">
        <v>1</v>
      </c>
      <c r="M7765">
        <v>4</v>
      </c>
      <c r="N7765" t="s">
        <v>37</v>
      </c>
      <c r="O7765" t="s">
        <v>30</v>
      </c>
      <c r="P7765">
        <v>7.41158209700985</v>
      </c>
      <c r="Q7765">
        <v>0.91708481636925299</v>
      </c>
      <c r="R7765">
        <v>8.8201812414887293</v>
      </c>
      <c r="S7765">
        <v>80</v>
      </c>
      <c r="T7765">
        <v>58</v>
      </c>
      <c r="U7765">
        <v>497.72362731947101</v>
      </c>
      <c r="V7765">
        <v>1.09679188374006E-3</v>
      </c>
      <c r="W7765">
        <v>2161132.8257583799</v>
      </c>
      <c r="X7765" t="s">
        <v>42</v>
      </c>
      <c r="Y7765">
        <f>1-673-115-8080</f>
        <v>-8867</v>
      </c>
    </row>
    <row r="7766" spans="1:25" x14ac:dyDescent="0.35">
      <c r="A7766">
        <v>33.8774512146421</v>
      </c>
      <c r="B7766">
        <v>-118.01284570435099</v>
      </c>
      <c r="C7766" t="s">
        <v>34</v>
      </c>
      <c r="D7766">
        <v>18.304888163190601</v>
      </c>
      <c r="E7766">
        <v>7</v>
      </c>
      <c r="F7766">
        <v>2066</v>
      </c>
      <c r="G7766">
        <v>1</v>
      </c>
      <c r="H7766">
        <v>3</v>
      </c>
      <c r="I7766">
        <v>2003</v>
      </c>
      <c r="J7766">
        <v>1</v>
      </c>
      <c r="K7766">
        <v>0</v>
      </c>
      <c r="L7766">
        <v>0</v>
      </c>
      <c r="M7766">
        <v>2</v>
      </c>
      <c r="N7766" t="s">
        <v>26</v>
      </c>
      <c r="O7766" t="s">
        <v>30</v>
      </c>
      <c r="P7766">
        <v>11.896859079411101</v>
      </c>
      <c r="Q7766">
        <v>2.1351591592864501</v>
      </c>
      <c r="R7766">
        <v>6.7140247361233696</v>
      </c>
      <c r="S7766">
        <v>14</v>
      </c>
      <c r="T7766">
        <v>21</v>
      </c>
      <c r="U7766">
        <v>908.96351395757199</v>
      </c>
      <c r="V7766">
        <v>9.6805421103581804E-4</v>
      </c>
      <c r="W7766">
        <v>2111862.7090311502</v>
      </c>
      <c r="X7766" t="s">
        <v>44</v>
      </c>
      <c r="Y7766">
        <f>1-466-384-5981</f>
        <v>-6830</v>
      </c>
    </row>
    <row r="7767" spans="1:25" x14ac:dyDescent="0.35">
      <c r="A7767">
        <v>37.581490841825797</v>
      </c>
      <c r="B7767">
        <v>-123.10549534915999</v>
      </c>
      <c r="C7767" t="s">
        <v>25</v>
      </c>
      <c r="D7767">
        <v>19.595482895626098</v>
      </c>
      <c r="E7767">
        <v>8</v>
      </c>
      <c r="F7767">
        <v>4481</v>
      </c>
      <c r="G7767">
        <v>1</v>
      </c>
      <c r="H7767">
        <v>1</v>
      </c>
      <c r="I7767">
        <v>1989</v>
      </c>
      <c r="J7767">
        <v>0</v>
      </c>
      <c r="K7767">
        <v>1</v>
      </c>
      <c r="L7767">
        <v>0</v>
      </c>
      <c r="M7767">
        <v>13</v>
      </c>
      <c r="N7767" t="s">
        <v>35</v>
      </c>
      <c r="O7767" t="s">
        <v>32</v>
      </c>
      <c r="P7767">
        <v>7.4431052719308299</v>
      </c>
      <c r="Q7767">
        <v>0.72055351394216804</v>
      </c>
      <c r="R7767">
        <v>8.3757192880608091</v>
      </c>
      <c r="S7767">
        <v>177</v>
      </c>
      <c r="T7767">
        <v>44</v>
      </c>
      <c r="U7767">
        <v>285.71651627635299</v>
      </c>
      <c r="V7767">
        <v>2.9011381388083001E-3</v>
      </c>
      <c r="W7767">
        <v>1482067.9406826301</v>
      </c>
      <c r="X7767" t="s">
        <v>38</v>
      </c>
      <c r="Y7767">
        <f>1-247-534-8643</f>
        <v>-9423</v>
      </c>
    </row>
    <row r="7768" spans="1:25" x14ac:dyDescent="0.35">
      <c r="A7768">
        <v>34.447488496621702</v>
      </c>
      <c r="B7768">
        <v>-119.898481947655</v>
      </c>
      <c r="C7768" t="s">
        <v>29</v>
      </c>
      <c r="D7768">
        <v>46.195525484212901</v>
      </c>
      <c r="E7768">
        <v>8</v>
      </c>
      <c r="F7768">
        <v>3739</v>
      </c>
      <c r="G7768">
        <v>4</v>
      </c>
      <c r="H7768">
        <v>3</v>
      </c>
      <c r="I7768">
        <v>1992</v>
      </c>
      <c r="J7768">
        <v>0</v>
      </c>
      <c r="K7768">
        <v>0</v>
      </c>
      <c r="L7768">
        <v>0</v>
      </c>
      <c r="M7768">
        <v>13</v>
      </c>
      <c r="N7768" t="s">
        <v>26</v>
      </c>
      <c r="O7768" t="s">
        <v>32</v>
      </c>
      <c r="P7768">
        <v>3.2937559228562101</v>
      </c>
      <c r="Q7768">
        <v>1.0264503925331401</v>
      </c>
      <c r="R7768">
        <v>1.89667167277128</v>
      </c>
      <c r="S7768">
        <v>188</v>
      </c>
      <c r="T7768">
        <v>78</v>
      </c>
      <c r="U7768">
        <v>454.91560315204401</v>
      </c>
      <c r="V7768">
        <v>3.4768654720513498E-3</v>
      </c>
      <c r="W7768">
        <v>1881564.0084852199</v>
      </c>
      <c r="X7768" t="s">
        <v>31</v>
      </c>
      <c r="Y7768">
        <f>1-801-939-7896</f>
        <v>-9635</v>
      </c>
    </row>
    <row r="7769" spans="1:25" x14ac:dyDescent="0.35">
      <c r="A7769">
        <v>35.938674943666797</v>
      </c>
      <c r="B7769">
        <v>-118.023661732116</v>
      </c>
      <c r="C7769" t="s">
        <v>25</v>
      </c>
      <c r="D7769">
        <v>5.4783929598287404</v>
      </c>
      <c r="E7769">
        <v>3</v>
      </c>
      <c r="F7769">
        <v>3416</v>
      </c>
      <c r="G7769">
        <v>4</v>
      </c>
      <c r="H7769">
        <v>2</v>
      </c>
      <c r="I7769">
        <v>1975</v>
      </c>
      <c r="J7769">
        <v>0</v>
      </c>
      <c r="K7769">
        <v>0</v>
      </c>
      <c r="L7769">
        <v>1</v>
      </c>
      <c r="M7769">
        <v>6</v>
      </c>
      <c r="N7769" t="s">
        <v>35</v>
      </c>
      <c r="O7769" t="s">
        <v>27</v>
      </c>
      <c r="P7769">
        <v>6.6997042101260096</v>
      </c>
      <c r="Q7769">
        <v>2.07627433818294</v>
      </c>
      <c r="R7769">
        <v>5.9243835845522597</v>
      </c>
      <c r="S7769">
        <v>2</v>
      </c>
      <c r="T7769">
        <v>24</v>
      </c>
      <c r="U7769">
        <v>919.68380958595799</v>
      </c>
      <c r="V7769">
        <v>1.75644028103044E-3</v>
      </c>
      <c r="W7769">
        <v>3440385.8359934702</v>
      </c>
      <c r="X7769" t="s">
        <v>44</v>
      </c>
      <c r="Y7769">
        <f>1-804-930-7145</f>
        <v>-8878</v>
      </c>
    </row>
    <row r="7770" spans="1:25" x14ac:dyDescent="0.35">
      <c r="A7770">
        <v>40.388814179609902</v>
      </c>
      <c r="B7770">
        <v>-120.51150849370801</v>
      </c>
      <c r="C7770" t="s">
        <v>25</v>
      </c>
      <c r="D7770">
        <v>39.537285457778601</v>
      </c>
      <c r="E7770">
        <v>2</v>
      </c>
      <c r="F7770">
        <v>812</v>
      </c>
      <c r="G7770">
        <v>1</v>
      </c>
      <c r="H7770">
        <v>1</v>
      </c>
      <c r="I7770">
        <v>1985</v>
      </c>
      <c r="J7770">
        <v>1</v>
      </c>
      <c r="K7770">
        <v>0</v>
      </c>
      <c r="L7770">
        <v>0</v>
      </c>
      <c r="M7770">
        <v>2</v>
      </c>
      <c r="N7770" t="s">
        <v>35</v>
      </c>
      <c r="O7770" t="s">
        <v>27</v>
      </c>
      <c r="P7770">
        <v>10.2197223670561</v>
      </c>
      <c r="Q7770">
        <v>1.7390485915057701</v>
      </c>
      <c r="R7770">
        <v>7.5109805359752198</v>
      </c>
      <c r="S7770">
        <v>130</v>
      </c>
      <c r="T7770">
        <v>75</v>
      </c>
      <c r="U7770">
        <v>973.57380019970105</v>
      </c>
      <c r="V7770">
        <v>2.46305418719211E-3</v>
      </c>
      <c r="W7770">
        <v>854589.01621255104</v>
      </c>
      <c r="X7770" t="s">
        <v>28</v>
      </c>
      <c r="Y7770">
        <f>1-488-276-1613</f>
        <v>-2376</v>
      </c>
    </row>
    <row r="7771" spans="1:25" x14ac:dyDescent="0.35">
      <c r="A7771">
        <v>41.8087744054816</v>
      </c>
      <c r="B7771">
        <v>-114.595286154353</v>
      </c>
      <c r="C7771" t="s">
        <v>29</v>
      </c>
      <c r="D7771">
        <v>27.809247179549502</v>
      </c>
      <c r="E7771">
        <v>3</v>
      </c>
      <c r="F7771">
        <v>3153</v>
      </c>
      <c r="G7771">
        <v>5</v>
      </c>
      <c r="H7771">
        <v>1</v>
      </c>
      <c r="I7771">
        <v>1996</v>
      </c>
      <c r="J7771">
        <v>1</v>
      </c>
      <c r="K7771">
        <v>0</v>
      </c>
      <c r="L7771">
        <v>0</v>
      </c>
      <c r="M7771">
        <v>14</v>
      </c>
      <c r="N7771" t="s">
        <v>41</v>
      </c>
      <c r="O7771" t="s">
        <v>30</v>
      </c>
      <c r="P7771">
        <v>9.9666893811736106</v>
      </c>
      <c r="Q7771">
        <v>0.99204545811610001</v>
      </c>
      <c r="R7771">
        <v>2.6505381134350099</v>
      </c>
      <c r="S7771">
        <v>166</v>
      </c>
      <c r="T7771">
        <v>66</v>
      </c>
      <c r="U7771">
        <v>798.00047694515695</v>
      </c>
      <c r="V7771">
        <v>4.4402156676181404E-3</v>
      </c>
      <c r="W7771">
        <v>2882837.0450847801</v>
      </c>
      <c r="X7771" t="s">
        <v>43</v>
      </c>
      <c r="Y7771">
        <f>1-440-192-4177</f>
        <v>-4808</v>
      </c>
    </row>
    <row r="7772" spans="1:25" x14ac:dyDescent="0.35">
      <c r="A7772">
        <v>34.250185558623002</v>
      </c>
      <c r="B7772">
        <v>-121.127872032052</v>
      </c>
      <c r="C7772" t="s">
        <v>29</v>
      </c>
      <c r="D7772">
        <v>9.9463134463606995</v>
      </c>
      <c r="E7772">
        <v>2</v>
      </c>
      <c r="F7772">
        <v>1620</v>
      </c>
      <c r="G7772">
        <v>4</v>
      </c>
      <c r="H7772">
        <v>1</v>
      </c>
      <c r="I7772">
        <v>2008</v>
      </c>
      <c r="J7772">
        <v>0</v>
      </c>
      <c r="K7772">
        <v>0</v>
      </c>
      <c r="L7772">
        <v>0</v>
      </c>
      <c r="M7772">
        <v>5</v>
      </c>
      <c r="N7772" t="s">
        <v>37</v>
      </c>
      <c r="O7772" t="s">
        <v>30</v>
      </c>
      <c r="P7772">
        <v>10.7986013110902</v>
      </c>
      <c r="Q7772">
        <v>1.6383160837086701</v>
      </c>
      <c r="R7772">
        <v>1.12688697797767</v>
      </c>
      <c r="S7772">
        <v>114</v>
      </c>
      <c r="T7772">
        <v>24</v>
      </c>
      <c r="U7772">
        <v>791.64595904828298</v>
      </c>
      <c r="V7772">
        <v>3.08641975308641E-3</v>
      </c>
      <c r="W7772">
        <v>1610213.15783266</v>
      </c>
      <c r="X7772" t="s">
        <v>40</v>
      </c>
      <c r="Y7772">
        <f>1-526-498-7193</f>
        <v>-8216</v>
      </c>
    </row>
    <row r="7773" spans="1:25" x14ac:dyDescent="0.35">
      <c r="A7773">
        <v>35.317229570641999</v>
      </c>
      <c r="B7773">
        <v>-121.858125266512</v>
      </c>
      <c r="C7773" t="s">
        <v>29</v>
      </c>
      <c r="D7773">
        <v>32.924920067468101</v>
      </c>
      <c r="E7773">
        <v>1</v>
      </c>
      <c r="F7773">
        <v>3385</v>
      </c>
      <c r="G7773">
        <v>4</v>
      </c>
      <c r="H7773">
        <v>1</v>
      </c>
      <c r="I7773">
        <v>1993</v>
      </c>
      <c r="J7773">
        <v>1</v>
      </c>
      <c r="K7773">
        <v>0</v>
      </c>
      <c r="L7773">
        <v>0</v>
      </c>
      <c r="M7773">
        <v>10</v>
      </c>
      <c r="N7773" t="s">
        <v>41</v>
      </c>
      <c r="O7773" t="s">
        <v>32</v>
      </c>
      <c r="P7773">
        <v>10.188812251797</v>
      </c>
      <c r="Q7773">
        <v>0.89756497379543498</v>
      </c>
      <c r="R7773">
        <v>1.2625454392436199</v>
      </c>
      <c r="S7773">
        <v>126</v>
      </c>
      <c r="T7773">
        <v>20</v>
      </c>
      <c r="U7773">
        <v>274.61449112024701</v>
      </c>
      <c r="V7773">
        <v>2.9542097488921698E-3</v>
      </c>
      <c r="W7773">
        <v>1196372.1977685201</v>
      </c>
      <c r="X7773" t="s">
        <v>40</v>
      </c>
      <c r="Y7773">
        <f>1-294-707-7025</f>
        <v>-8025</v>
      </c>
    </row>
    <row r="7774" spans="1:25" x14ac:dyDescent="0.35">
      <c r="A7774">
        <v>35.269266826296203</v>
      </c>
      <c r="B7774">
        <v>-117.095381760512</v>
      </c>
      <c r="C7774" t="s">
        <v>29</v>
      </c>
      <c r="D7774">
        <v>39.9672497941676</v>
      </c>
      <c r="E7774">
        <v>7</v>
      </c>
      <c r="F7774">
        <v>3585</v>
      </c>
      <c r="G7774">
        <v>4</v>
      </c>
      <c r="H7774">
        <v>1</v>
      </c>
      <c r="I7774">
        <v>2009</v>
      </c>
      <c r="J7774">
        <v>0</v>
      </c>
      <c r="K7774">
        <v>0</v>
      </c>
      <c r="L7774">
        <v>0</v>
      </c>
      <c r="M7774">
        <v>11</v>
      </c>
      <c r="N7774" t="s">
        <v>26</v>
      </c>
      <c r="O7774" t="s">
        <v>27</v>
      </c>
      <c r="P7774">
        <v>3.15459046964199</v>
      </c>
      <c r="Q7774">
        <v>1.12354882622778</v>
      </c>
      <c r="R7774">
        <v>7.0774635577760003</v>
      </c>
      <c r="S7774">
        <v>117</v>
      </c>
      <c r="T7774">
        <v>69</v>
      </c>
      <c r="U7774">
        <v>505.266789325361</v>
      </c>
      <c r="V7774">
        <v>3.0683403068340301E-3</v>
      </c>
      <c r="W7774">
        <v>1963959.0558138101</v>
      </c>
      <c r="X7774" t="s">
        <v>39</v>
      </c>
      <c r="Y7774">
        <f>1-296-465-4178</f>
        <v>-4938</v>
      </c>
    </row>
    <row r="7775" spans="1:25" x14ac:dyDescent="0.35">
      <c r="A7775">
        <v>32.759916132785101</v>
      </c>
      <c r="B7775">
        <v>-115.396952003</v>
      </c>
      <c r="C7775" t="s">
        <v>29</v>
      </c>
      <c r="D7775">
        <v>32.255507539280401</v>
      </c>
      <c r="E7775">
        <v>0</v>
      </c>
      <c r="F7775">
        <v>4369</v>
      </c>
      <c r="G7775">
        <v>4</v>
      </c>
      <c r="H7775">
        <v>3</v>
      </c>
      <c r="I7775">
        <v>1999</v>
      </c>
      <c r="J7775">
        <v>0</v>
      </c>
      <c r="K7775">
        <v>0</v>
      </c>
      <c r="L7775">
        <v>1</v>
      </c>
      <c r="M7775">
        <v>8</v>
      </c>
      <c r="N7775" t="s">
        <v>35</v>
      </c>
      <c r="O7775" t="s">
        <v>30</v>
      </c>
      <c r="P7775">
        <v>11.688390516488401</v>
      </c>
      <c r="Q7775">
        <v>1.4815506842444599</v>
      </c>
      <c r="R7775">
        <v>2.7671999566374401</v>
      </c>
      <c r="S7775">
        <v>117</v>
      </c>
      <c r="T7775">
        <v>52</v>
      </c>
      <c r="U7775">
        <v>757.41408601549995</v>
      </c>
      <c r="V7775">
        <v>1.83108262760357E-3</v>
      </c>
      <c r="W7775">
        <v>3686560.4414681699</v>
      </c>
      <c r="X7775" t="s">
        <v>43</v>
      </c>
      <c r="Y7775">
        <f>1-787-983-8932</f>
        <v>-10701</v>
      </c>
    </row>
    <row r="7776" spans="1:25" x14ac:dyDescent="0.35">
      <c r="A7776">
        <v>35.855320429475398</v>
      </c>
      <c r="B7776">
        <v>-121.059138107823</v>
      </c>
      <c r="C7776" t="s">
        <v>25</v>
      </c>
      <c r="D7776">
        <v>5.8966414359859298</v>
      </c>
      <c r="E7776">
        <v>8</v>
      </c>
      <c r="F7776">
        <v>4741</v>
      </c>
      <c r="G7776">
        <v>5</v>
      </c>
      <c r="H7776">
        <v>2</v>
      </c>
      <c r="I7776">
        <v>2021</v>
      </c>
      <c r="J7776">
        <v>1</v>
      </c>
      <c r="K7776">
        <v>0</v>
      </c>
      <c r="L7776">
        <v>0</v>
      </c>
      <c r="M7776">
        <v>7</v>
      </c>
      <c r="N7776" t="s">
        <v>37</v>
      </c>
      <c r="O7776" t="s">
        <v>32</v>
      </c>
      <c r="P7776">
        <v>10.3853945646193</v>
      </c>
      <c r="Q7776">
        <v>1.0170757524137</v>
      </c>
      <c r="R7776">
        <v>1.4987911958029201</v>
      </c>
      <c r="S7776">
        <v>114</v>
      </c>
      <c r="T7776">
        <v>49</v>
      </c>
      <c r="U7776">
        <v>735.18741826080304</v>
      </c>
      <c r="V7776">
        <v>1.4764817549040199E-3</v>
      </c>
      <c r="W7776">
        <v>3960876.1920312098</v>
      </c>
      <c r="X7776" t="s">
        <v>43</v>
      </c>
      <c r="Y7776">
        <f>1-438-710-7640</f>
        <v>-8787</v>
      </c>
    </row>
    <row r="7777" spans="1:25" x14ac:dyDescent="0.35">
      <c r="A7777">
        <v>38.163810168818898</v>
      </c>
      <c r="B7777">
        <v>-117.787533562815</v>
      </c>
      <c r="C7777" t="s">
        <v>25</v>
      </c>
      <c r="D7777">
        <v>5.1609048030124898</v>
      </c>
      <c r="E7777">
        <v>3</v>
      </c>
      <c r="F7777">
        <v>1974</v>
      </c>
      <c r="G7777">
        <v>4</v>
      </c>
      <c r="H7777">
        <v>2</v>
      </c>
      <c r="I7777">
        <v>1957</v>
      </c>
      <c r="J7777">
        <v>1</v>
      </c>
      <c r="K7777">
        <v>1</v>
      </c>
      <c r="L7777">
        <v>0</v>
      </c>
      <c r="M7777">
        <v>10</v>
      </c>
      <c r="N7777" t="s">
        <v>26</v>
      </c>
      <c r="O7777" t="s">
        <v>27</v>
      </c>
      <c r="P7777">
        <v>4.93574687075259</v>
      </c>
      <c r="Q7777">
        <v>1.1579312314732799</v>
      </c>
      <c r="R7777">
        <v>8.8280359063363694</v>
      </c>
      <c r="S7777">
        <v>113</v>
      </c>
      <c r="T7777">
        <v>48</v>
      </c>
      <c r="U7777">
        <v>944.26614525193895</v>
      </c>
      <c r="V7777">
        <v>5.0658561296859101E-3</v>
      </c>
      <c r="W7777">
        <v>2200529.1041942099</v>
      </c>
      <c r="X7777" t="s">
        <v>43</v>
      </c>
      <c r="Y7777">
        <f>1-958-785-8442</f>
        <v>-10184</v>
      </c>
    </row>
    <row r="7778" spans="1:25" x14ac:dyDescent="0.35">
      <c r="A7778">
        <v>40.429761979093101</v>
      </c>
      <c r="B7778">
        <v>-122.45422979407</v>
      </c>
      <c r="C7778" t="s">
        <v>34</v>
      </c>
      <c r="D7778">
        <v>6.7292973324185397</v>
      </c>
      <c r="E7778">
        <v>9</v>
      </c>
      <c r="F7778">
        <v>2961</v>
      </c>
      <c r="G7778">
        <v>1</v>
      </c>
      <c r="H7778">
        <v>1</v>
      </c>
      <c r="I7778">
        <v>2000</v>
      </c>
      <c r="J7778">
        <v>0</v>
      </c>
      <c r="K7778">
        <v>0</v>
      </c>
      <c r="L7778">
        <v>1</v>
      </c>
      <c r="M7778">
        <v>6</v>
      </c>
      <c r="N7778" t="s">
        <v>35</v>
      </c>
      <c r="O7778" t="s">
        <v>27</v>
      </c>
      <c r="P7778">
        <v>9.1820191098667099</v>
      </c>
      <c r="Q7778">
        <v>0.69256938057347395</v>
      </c>
      <c r="R7778">
        <v>6.1459568204686201</v>
      </c>
      <c r="S7778">
        <v>92</v>
      </c>
      <c r="T7778">
        <v>59</v>
      </c>
      <c r="U7778">
        <v>772.74705812546199</v>
      </c>
      <c r="V7778">
        <v>2.02634245187436E-3</v>
      </c>
      <c r="W7778">
        <v>2442020.2900221101</v>
      </c>
      <c r="X7778" t="s">
        <v>40</v>
      </c>
      <c r="Y7778">
        <f>1-251-985-9200</f>
        <v>-10435</v>
      </c>
    </row>
    <row r="7779" spans="1:25" x14ac:dyDescent="0.35">
      <c r="A7779">
        <v>41.157945492588397</v>
      </c>
      <c r="B7779">
        <v>-115.35522547149201</v>
      </c>
      <c r="C7779" t="s">
        <v>25</v>
      </c>
      <c r="D7779">
        <v>40.585680458787998</v>
      </c>
      <c r="E7779">
        <v>9</v>
      </c>
      <c r="F7779">
        <v>607</v>
      </c>
      <c r="G7779">
        <v>4</v>
      </c>
      <c r="H7779">
        <v>2</v>
      </c>
      <c r="I7779">
        <v>2005</v>
      </c>
      <c r="J7779">
        <v>0</v>
      </c>
      <c r="K7779">
        <v>0</v>
      </c>
      <c r="L7779">
        <v>0</v>
      </c>
      <c r="M7779">
        <v>12</v>
      </c>
      <c r="N7779" t="s">
        <v>26</v>
      </c>
      <c r="O7779" t="s">
        <v>30</v>
      </c>
      <c r="P7779">
        <v>5.6279918317000002</v>
      </c>
      <c r="Q7779">
        <v>0.60312321446218098</v>
      </c>
      <c r="R7779">
        <v>0.119417428462451</v>
      </c>
      <c r="S7779">
        <v>146</v>
      </c>
      <c r="T7779">
        <v>24</v>
      </c>
      <c r="U7779">
        <v>456.18575056351301</v>
      </c>
      <c r="V7779">
        <v>1.9769357495881299E-2</v>
      </c>
      <c r="W7779">
        <v>501638.35068779998</v>
      </c>
      <c r="X7779" t="s">
        <v>44</v>
      </c>
      <c r="Y7779">
        <f>1-859-388-9388</f>
        <v>-10634</v>
      </c>
    </row>
    <row r="7780" spans="1:25" x14ac:dyDescent="0.35">
      <c r="A7780">
        <v>40.926564510166699</v>
      </c>
      <c r="B7780">
        <v>-117.36584569263501</v>
      </c>
      <c r="C7780" t="s">
        <v>29</v>
      </c>
      <c r="D7780">
        <v>9.4535757748035998</v>
      </c>
      <c r="E7780">
        <v>3</v>
      </c>
      <c r="F7780">
        <v>3880</v>
      </c>
      <c r="G7780">
        <v>4</v>
      </c>
      <c r="H7780">
        <v>2</v>
      </c>
      <c r="I7780">
        <v>1990</v>
      </c>
      <c r="J7780">
        <v>1</v>
      </c>
      <c r="K7780">
        <v>0</v>
      </c>
      <c r="L7780">
        <v>1</v>
      </c>
      <c r="M7780">
        <v>14</v>
      </c>
      <c r="N7780" t="s">
        <v>37</v>
      </c>
      <c r="O7780" t="s">
        <v>32</v>
      </c>
      <c r="P7780">
        <v>4.3650653016886496</v>
      </c>
      <c r="Q7780">
        <v>1.6211347442892201</v>
      </c>
      <c r="R7780">
        <v>8.5671433513933497</v>
      </c>
      <c r="S7780">
        <v>77</v>
      </c>
      <c r="T7780">
        <v>77</v>
      </c>
      <c r="U7780">
        <v>943.17021102847104</v>
      </c>
      <c r="V7780">
        <v>3.60824742268041E-3</v>
      </c>
      <c r="W7780">
        <v>3965097.7822471899</v>
      </c>
      <c r="X7780" t="s">
        <v>38</v>
      </c>
      <c r="Y7780">
        <f>1-485-708-2003</f>
        <v>-3195</v>
      </c>
    </row>
    <row r="7781" spans="1:25" x14ac:dyDescent="0.35">
      <c r="A7781">
        <v>34.155335335464699</v>
      </c>
      <c r="B7781">
        <v>-117.173404788133</v>
      </c>
      <c r="C7781" t="s">
        <v>25</v>
      </c>
      <c r="D7781">
        <v>24.664677044637699</v>
      </c>
      <c r="E7781">
        <v>2</v>
      </c>
      <c r="F7781">
        <v>1976</v>
      </c>
      <c r="G7781">
        <v>2</v>
      </c>
      <c r="H7781">
        <v>1</v>
      </c>
      <c r="I7781">
        <v>1964</v>
      </c>
      <c r="J7781">
        <v>0</v>
      </c>
      <c r="K7781">
        <v>0</v>
      </c>
      <c r="L7781">
        <v>1</v>
      </c>
      <c r="M7781">
        <v>4</v>
      </c>
      <c r="N7781" t="s">
        <v>26</v>
      </c>
      <c r="O7781" t="s">
        <v>27</v>
      </c>
      <c r="P7781">
        <v>3.477728980887</v>
      </c>
      <c r="Q7781">
        <v>2.4382214128637898</v>
      </c>
      <c r="R7781">
        <v>9.1840868581415904</v>
      </c>
      <c r="S7781">
        <v>129</v>
      </c>
      <c r="T7781">
        <v>50</v>
      </c>
      <c r="U7781">
        <v>994.10292910774206</v>
      </c>
      <c r="V7781">
        <v>2.0242914979756998E-3</v>
      </c>
      <c r="W7781">
        <v>2030787.09690516</v>
      </c>
      <c r="X7781" t="s">
        <v>44</v>
      </c>
      <c r="Y7781">
        <f>1-643-122-9969</f>
        <v>-10733</v>
      </c>
    </row>
    <row r="7782" spans="1:25" x14ac:dyDescent="0.35">
      <c r="A7782">
        <v>32.776517622586702</v>
      </c>
      <c r="B7782">
        <v>-120.270430749799</v>
      </c>
      <c r="C7782" t="s">
        <v>34</v>
      </c>
      <c r="D7782">
        <v>20.222054132968999</v>
      </c>
      <c r="E7782">
        <v>7</v>
      </c>
      <c r="F7782">
        <v>2505</v>
      </c>
      <c r="G7782">
        <v>3</v>
      </c>
      <c r="H7782">
        <v>2</v>
      </c>
      <c r="I7782">
        <v>2002</v>
      </c>
      <c r="J7782">
        <v>1</v>
      </c>
      <c r="K7782">
        <v>1</v>
      </c>
      <c r="L7782">
        <v>1</v>
      </c>
      <c r="M7782">
        <v>2</v>
      </c>
      <c r="N7782" t="s">
        <v>26</v>
      </c>
      <c r="O7782" t="s">
        <v>30</v>
      </c>
      <c r="P7782">
        <v>5.8090894330621596</v>
      </c>
      <c r="Q7782">
        <v>1.3316842286367701</v>
      </c>
      <c r="R7782">
        <v>0.28759815294368302</v>
      </c>
      <c r="S7782">
        <v>46</v>
      </c>
      <c r="T7782">
        <v>63</v>
      </c>
      <c r="U7782">
        <v>203.40606842720501</v>
      </c>
      <c r="V7782">
        <v>7.9840319361277397E-4</v>
      </c>
      <c r="W7782">
        <v>976733.01129002206</v>
      </c>
      <c r="X7782" t="s">
        <v>38</v>
      </c>
      <c r="Y7782">
        <f>1-249-266-4221</f>
        <v>-4735</v>
      </c>
    </row>
    <row r="7783" spans="1:25" x14ac:dyDescent="0.35">
      <c r="A7783">
        <v>33.300029383667997</v>
      </c>
      <c r="B7783">
        <v>-123.66660790417301</v>
      </c>
      <c r="C7783" t="s">
        <v>29</v>
      </c>
      <c r="D7783">
        <v>4.8562353047709399</v>
      </c>
      <c r="E7783">
        <v>4</v>
      </c>
      <c r="F7783">
        <v>4642</v>
      </c>
      <c r="G7783">
        <v>4</v>
      </c>
      <c r="H7783">
        <v>3</v>
      </c>
      <c r="I7783">
        <v>1984</v>
      </c>
      <c r="J7783">
        <v>0</v>
      </c>
      <c r="K7783">
        <v>1</v>
      </c>
      <c r="L7783">
        <v>0</v>
      </c>
      <c r="M7783">
        <v>7</v>
      </c>
      <c r="N7783" t="s">
        <v>37</v>
      </c>
      <c r="O7783" t="s">
        <v>27</v>
      </c>
      <c r="P7783">
        <v>12.782716057237</v>
      </c>
      <c r="Q7783">
        <v>2.24611381756187</v>
      </c>
      <c r="R7783">
        <v>4.8806495815688802</v>
      </c>
      <c r="S7783">
        <v>52</v>
      </c>
      <c r="T7783">
        <v>35</v>
      </c>
      <c r="U7783">
        <v>707.240206714382</v>
      </c>
      <c r="V7783">
        <v>1.50797070228349E-3</v>
      </c>
      <c r="W7783">
        <v>3700467.24371154</v>
      </c>
      <c r="X7783" t="s">
        <v>43</v>
      </c>
      <c r="Y7783">
        <f>1-420-228-7507</f>
        <v>-8154</v>
      </c>
    </row>
    <row r="7784" spans="1:25" x14ac:dyDescent="0.35">
      <c r="A7784">
        <v>33.298016671298903</v>
      </c>
      <c r="B7784">
        <v>-120.975684637656</v>
      </c>
      <c r="C7784" t="s">
        <v>25</v>
      </c>
      <c r="D7784">
        <v>28.126504662678599</v>
      </c>
      <c r="E7784">
        <v>7</v>
      </c>
      <c r="F7784">
        <v>3297</v>
      </c>
      <c r="G7784">
        <v>5</v>
      </c>
      <c r="H7784">
        <v>1</v>
      </c>
      <c r="I7784">
        <v>2013</v>
      </c>
      <c r="J7784">
        <v>0</v>
      </c>
      <c r="K7784">
        <v>0</v>
      </c>
      <c r="L7784">
        <v>1</v>
      </c>
      <c r="M7784">
        <v>5</v>
      </c>
      <c r="N7784" t="s">
        <v>26</v>
      </c>
      <c r="O7784" t="s">
        <v>32</v>
      </c>
      <c r="P7784">
        <v>3.8799320119640401</v>
      </c>
      <c r="Q7784">
        <v>0.69599200707050501</v>
      </c>
      <c r="R7784">
        <v>1.25985211340562</v>
      </c>
      <c r="S7784">
        <v>21</v>
      </c>
      <c r="T7784">
        <v>48</v>
      </c>
      <c r="U7784">
        <v>647.55345878308503</v>
      </c>
      <c r="V7784">
        <v>1.51653017895056E-3</v>
      </c>
      <c r="W7784">
        <v>2525543.35086847</v>
      </c>
      <c r="X7784" t="s">
        <v>40</v>
      </c>
      <c r="Y7784">
        <f>1-393-568-1485</f>
        <v>-2445</v>
      </c>
    </row>
    <row r="7785" spans="1:25" x14ac:dyDescent="0.35">
      <c r="A7785">
        <v>40.223003883196398</v>
      </c>
      <c r="B7785">
        <v>-120.39340269862601</v>
      </c>
      <c r="C7785" t="s">
        <v>25</v>
      </c>
      <c r="D7785">
        <v>42.1476339273988</v>
      </c>
      <c r="E7785">
        <v>1</v>
      </c>
      <c r="F7785">
        <v>3204</v>
      </c>
      <c r="G7785">
        <v>2</v>
      </c>
      <c r="H7785">
        <v>2</v>
      </c>
      <c r="I7785">
        <v>1971</v>
      </c>
      <c r="J7785">
        <v>0</v>
      </c>
      <c r="K7785">
        <v>1</v>
      </c>
      <c r="L7785">
        <v>0</v>
      </c>
      <c r="M7785">
        <v>12</v>
      </c>
      <c r="N7785" t="s">
        <v>35</v>
      </c>
      <c r="O7785" t="s">
        <v>30</v>
      </c>
      <c r="P7785">
        <v>5.8852991029780597</v>
      </c>
      <c r="Q7785">
        <v>0.62600096386208004</v>
      </c>
      <c r="R7785">
        <v>8.96963204094593</v>
      </c>
      <c r="S7785">
        <v>13</v>
      </c>
      <c r="T7785">
        <v>32</v>
      </c>
      <c r="U7785">
        <v>349.61235504647499</v>
      </c>
      <c r="V7785">
        <v>3.7453183520599199E-3</v>
      </c>
      <c r="W7785">
        <v>1321490.4608896901</v>
      </c>
      <c r="X7785" t="s">
        <v>38</v>
      </c>
      <c r="Y7785">
        <f>1-690-875-9814</f>
        <v>-11378</v>
      </c>
    </row>
    <row r="7786" spans="1:25" x14ac:dyDescent="0.35">
      <c r="A7786">
        <v>39.677842431826299</v>
      </c>
      <c r="B7786">
        <v>-121.44029492236101</v>
      </c>
      <c r="C7786" t="s">
        <v>34</v>
      </c>
      <c r="D7786">
        <v>8.3713742556822304</v>
      </c>
      <c r="E7786">
        <v>1</v>
      </c>
      <c r="F7786">
        <v>1509</v>
      </c>
      <c r="G7786">
        <v>3</v>
      </c>
      <c r="H7786">
        <v>3</v>
      </c>
      <c r="I7786">
        <v>1966</v>
      </c>
      <c r="J7786">
        <v>0</v>
      </c>
      <c r="K7786">
        <v>0</v>
      </c>
      <c r="L7786">
        <v>1</v>
      </c>
      <c r="M7786">
        <v>7</v>
      </c>
      <c r="N7786" t="s">
        <v>41</v>
      </c>
      <c r="O7786" t="s">
        <v>27</v>
      </c>
      <c r="P7786">
        <v>11.3656669766739</v>
      </c>
      <c r="Q7786">
        <v>1.6865708012106799</v>
      </c>
      <c r="R7786">
        <v>8.2162811475278001</v>
      </c>
      <c r="S7786">
        <v>94</v>
      </c>
      <c r="T7786">
        <v>56</v>
      </c>
      <c r="U7786">
        <v>671.06006771991599</v>
      </c>
      <c r="V7786">
        <v>4.6388336646785901E-3</v>
      </c>
      <c r="W7786">
        <v>1297983.27297971</v>
      </c>
      <c r="X7786" t="s">
        <v>28</v>
      </c>
      <c r="Y7786">
        <f>1-473-770-6059</f>
        <v>-7301</v>
      </c>
    </row>
    <row r="7787" spans="1:25" x14ac:dyDescent="0.35">
      <c r="A7787">
        <v>35.820648545114899</v>
      </c>
      <c r="B7787">
        <v>-118.73414539903899</v>
      </c>
      <c r="C7787" t="s">
        <v>29</v>
      </c>
      <c r="D7787">
        <v>41.913944070506503</v>
      </c>
      <c r="E7787">
        <v>8</v>
      </c>
      <c r="F7787">
        <v>907</v>
      </c>
      <c r="G7787">
        <v>3</v>
      </c>
      <c r="H7787">
        <v>1</v>
      </c>
      <c r="I7787">
        <v>1963</v>
      </c>
      <c r="J7787">
        <v>1</v>
      </c>
      <c r="K7787">
        <v>1</v>
      </c>
      <c r="L7787">
        <v>0</v>
      </c>
      <c r="M7787">
        <v>12</v>
      </c>
      <c r="N7787" t="s">
        <v>41</v>
      </c>
      <c r="O7787" t="s">
        <v>30</v>
      </c>
      <c r="P7787">
        <v>4.7090909550602804</v>
      </c>
      <c r="Q7787">
        <v>0.75629944139409699</v>
      </c>
      <c r="R7787">
        <v>1.97356734443021</v>
      </c>
      <c r="S7787">
        <v>11</v>
      </c>
      <c r="T7787">
        <v>24</v>
      </c>
      <c r="U7787">
        <v>266.68667524489302</v>
      </c>
      <c r="V7787">
        <v>1.32304299889746E-2</v>
      </c>
      <c r="W7787">
        <v>571491.21813050797</v>
      </c>
      <c r="X7787" t="s">
        <v>39</v>
      </c>
      <c r="Y7787">
        <f>1-931-672-5796</f>
        <v>-7398</v>
      </c>
    </row>
    <row r="7788" spans="1:25" x14ac:dyDescent="0.35">
      <c r="A7788">
        <v>40.954139858199298</v>
      </c>
      <c r="B7788">
        <v>-120.036355310894</v>
      </c>
      <c r="C7788" t="s">
        <v>25</v>
      </c>
      <c r="D7788">
        <v>28.6888223178488</v>
      </c>
      <c r="E7788">
        <v>7</v>
      </c>
      <c r="F7788">
        <v>3252</v>
      </c>
      <c r="G7788">
        <v>2</v>
      </c>
      <c r="H7788">
        <v>3</v>
      </c>
      <c r="I7788">
        <v>2003</v>
      </c>
      <c r="J7788">
        <v>0</v>
      </c>
      <c r="K7788">
        <v>0</v>
      </c>
      <c r="L7788">
        <v>0</v>
      </c>
      <c r="M7788">
        <v>13</v>
      </c>
      <c r="N7788" t="s">
        <v>37</v>
      </c>
      <c r="O7788" t="s">
        <v>30</v>
      </c>
      <c r="P7788">
        <v>14.9106923830832</v>
      </c>
      <c r="Q7788">
        <v>1.0087032488487799</v>
      </c>
      <c r="R7788">
        <v>6.8487779164331997</v>
      </c>
      <c r="S7788">
        <v>8</v>
      </c>
      <c r="T7788">
        <v>22</v>
      </c>
      <c r="U7788">
        <v>663.37504204959896</v>
      </c>
      <c r="V7788">
        <v>3.9975399753997502E-3</v>
      </c>
      <c r="W7788">
        <v>2357579.0148584899</v>
      </c>
      <c r="X7788" t="s">
        <v>36</v>
      </c>
      <c r="Y7788">
        <f>1-280-730-7369</f>
        <v>-8378</v>
      </c>
    </row>
    <row r="7789" spans="1:25" x14ac:dyDescent="0.35">
      <c r="A7789">
        <v>37.506069299911701</v>
      </c>
      <c r="B7789">
        <v>-118.906923438527</v>
      </c>
      <c r="C7789" t="s">
        <v>29</v>
      </c>
      <c r="D7789">
        <v>2.4231363332345102</v>
      </c>
      <c r="E7789">
        <v>1</v>
      </c>
      <c r="F7789">
        <v>1568</v>
      </c>
      <c r="G7789">
        <v>3</v>
      </c>
      <c r="H7789">
        <v>2</v>
      </c>
      <c r="I7789">
        <v>1950</v>
      </c>
      <c r="J7789">
        <v>0</v>
      </c>
      <c r="K7789">
        <v>0</v>
      </c>
      <c r="L7789">
        <v>1</v>
      </c>
      <c r="M7789">
        <v>7</v>
      </c>
      <c r="N7789" t="s">
        <v>41</v>
      </c>
      <c r="O7789" t="s">
        <v>30</v>
      </c>
      <c r="P7789">
        <v>2.2980383009565499</v>
      </c>
      <c r="Q7789">
        <v>0.99310733911575</v>
      </c>
      <c r="R7789">
        <v>9.7338432030375301</v>
      </c>
      <c r="S7789">
        <v>85</v>
      </c>
      <c r="T7789">
        <v>73</v>
      </c>
      <c r="U7789">
        <v>617.22202468663102</v>
      </c>
      <c r="V7789">
        <v>4.4642857142857097E-3</v>
      </c>
      <c r="W7789">
        <v>1042866.38108446</v>
      </c>
      <c r="X7789" t="s">
        <v>28</v>
      </c>
      <c r="Y7789">
        <f>1-331-137-7378</f>
        <v>-7845</v>
      </c>
    </row>
    <row r="7790" spans="1:25" x14ac:dyDescent="0.35">
      <c r="A7790">
        <v>36.6182880642016</v>
      </c>
      <c r="B7790">
        <v>-115.111397561326</v>
      </c>
      <c r="C7790" t="s">
        <v>29</v>
      </c>
      <c r="D7790">
        <v>29.8692430934959</v>
      </c>
      <c r="E7790">
        <v>5</v>
      </c>
      <c r="F7790">
        <v>3599</v>
      </c>
      <c r="G7790">
        <v>3</v>
      </c>
      <c r="H7790">
        <v>2</v>
      </c>
      <c r="I7790">
        <v>1967</v>
      </c>
      <c r="J7790">
        <v>1</v>
      </c>
      <c r="K7790">
        <v>1</v>
      </c>
      <c r="L7790">
        <v>0</v>
      </c>
      <c r="M7790">
        <v>3</v>
      </c>
      <c r="N7790" t="s">
        <v>41</v>
      </c>
      <c r="O7790" t="s">
        <v>32</v>
      </c>
      <c r="P7790">
        <v>4.5024143637761798</v>
      </c>
      <c r="Q7790">
        <v>2.0625823480909502</v>
      </c>
      <c r="R7790">
        <v>0.42039689402723002</v>
      </c>
      <c r="S7790">
        <v>112</v>
      </c>
      <c r="T7790">
        <v>37</v>
      </c>
      <c r="U7790">
        <v>838.42141842599005</v>
      </c>
      <c r="V7790">
        <v>8.3356487913309203E-4</v>
      </c>
      <c r="W7790">
        <v>3321692.2811780102</v>
      </c>
      <c r="X7790" t="s">
        <v>33</v>
      </c>
      <c r="Y7790">
        <f>1-968-577-6357</f>
        <v>-7901</v>
      </c>
    </row>
    <row r="7791" spans="1:25" x14ac:dyDescent="0.35">
      <c r="A7791">
        <v>38.596352559330299</v>
      </c>
      <c r="B7791">
        <v>-114.584323521439</v>
      </c>
      <c r="C7791" t="s">
        <v>25</v>
      </c>
      <c r="D7791">
        <v>21.098875309064301</v>
      </c>
      <c r="E7791">
        <v>0</v>
      </c>
      <c r="F7791">
        <v>750</v>
      </c>
      <c r="G7791">
        <v>5</v>
      </c>
      <c r="H7791">
        <v>1</v>
      </c>
      <c r="I7791">
        <v>1990</v>
      </c>
      <c r="J7791">
        <v>1</v>
      </c>
      <c r="K7791">
        <v>1</v>
      </c>
      <c r="L7791">
        <v>0</v>
      </c>
      <c r="M7791">
        <v>9</v>
      </c>
      <c r="N7791" t="s">
        <v>37</v>
      </c>
      <c r="O7791" t="s">
        <v>32</v>
      </c>
      <c r="P7791">
        <v>11.7171979401295</v>
      </c>
      <c r="Q7791">
        <v>2.0036450544928699</v>
      </c>
      <c r="R7791">
        <v>6.7143379049174996</v>
      </c>
      <c r="S7791">
        <v>35</v>
      </c>
      <c r="T7791">
        <v>32</v>
      </c>
      <c r="U7791">
        <v>709.19170825226502</v>
      </c>
      <c r="V7791">
        <v>1.2E-2</v>
      </c>
      <c r="W7791">
        <v>1042043.87833855</v>
      </c>
      <c r="X7791" t="s">
        <v>36</v>
      </c>
      <c r="Y7791">
        <f>1-512-980-3486</f>
        <v>-4977</v>
      </c>
    </row>
    <row r="7792" spans="1:25" x14ac:dyDescent="0.35">
      <c r="A7792">
        <v>35.747054851923401</v>
      </c>
      <c r="B7792">
        <v>-118.499512467278</v>
      </c>
      <c r="C7792" t="s">
        <v>34</v>
      </c>
      <c r="D7792">
        <v>33.354469955060601</v>
      </c>
      <c r="E7792">
        <v>9</v>
      </c>
      <c r="F7792">
        <v>3031</v>
      </c>
      <c r="G7792">
        <v>3</v>
      </c>
      <c r="H7792">
        <v>1</v>
      </c>
      <c r="I7792">
        <v>1954</v>
      </c>
      <c r="J7792">
        <v>1</v>
      </c>
      <c r="K7792">
        <v>0</v>
      </c>
      <c r="L7792">
        <v>1</v>
      </c>
      <c r="M7792">
        <v>5</v>
      </c>
      <c r="N7792" t="s">
        <v>35</v>
      </c>
      <c r="O7792" t="s">
        <v>32</v>
      </c>
      <c r="P7792">
        <v>9.3315892107491596</v>
      </c>
      <c r="Q7792">
        <v>1.28658646897299</v>
      </c>
      <c r="R7792">
        <v>7.5517253416549801</v>
      </c>
      <c r="S7792">
        <v>136</v>
      </c>
      <c r="T7792">
        <v>35</v>
      </c>
      <c r="U7792">
        <v>831.39519967415504</v>
      </c>
      <c r="V7792">
        <v>1.6496205872649199E-3</v>
      </c>
      <c r="W7792">
        <v>2784297.58384006</v>
      </c>
      <c r="X7792" t="s">
        <v>28</v>
      </c>
      <c r="Y7792">
        <f>1-819-247-7581</f>
        <v>-8646</v>
      </c>
    </row>
    <row r="7793" spans="1:25" x14ac:dyDescent="0.35">
      <c r="A7793">
        <v>37.988471523034796</v>
      </c>
      <c r="B7793">
        <v>-118.02894709218501</v>
      </c>
      <c r="C7793" t="s">
        <v>29</v>
      </c>
      <c r="D7793">
        <v>41.948893022775202</v>
      </c>
      <c r="E7793">
        <v>7</v>
      </c>
      <c r="F7793">
        <v>820</v>
      </c>
      <c r="G7793">
        <v>1</v>
      </c>
      <c r="H7793">
        <v>3</v>
      </c>
      <c r="I7793">
        <v>2014</v>
      </c>
      <c r="J7793">
        <v>0</v>
      </c>
      <c r="K7793">
        <v>1</v>
      </c>
      <c r="L7793">
        <v>0</v>
      </c>
      <c r="M7793">
        <v>10</v>
      </c>
      <c r="N7793" t="s">
        <v>26</v>
      </c>
      <c r="O7793" t="s">
        <v>32</v>
      </c>
      <c r="P7793">
        <v>9.3906281913867797</v>
      </c>
      <c r="Q7793">
        <v>2.1392971264926199</v>
      </c>
      <c r="R7793">
        <v>4.8621600910467002</v>
      </c>
      <c r="S7793">
        <v>101</v>
      </c>
      <c r="T7793">
        <v>78</v>
      </c>
      <c r="U7793">
        <v>455.47468290494498</v>
      </c>
      <c r="V7793">
        <v>1.21951219512195E-2</v>
      </c>
      <c r="W7793">
        <v>630762.69187361898</v>
      </c>
      <c r="X7793" t="s">
        <v>44</v>
      </c>
      <c r="Y7793">
        <f>1-972-196-3360</f>
        <v>-4527</v>
      </c>
    </row>
    <row r="7794" spans="1:25" x14ac:dyDescent="0.35">
      <c r="A7794">
        <v>40.506924643944799</v>
      </c>
      <c r="B7794">
        <v>-122.57738431192099</v>
      </c>
      <c r="C7794" t="s">
        <v>34</v>
      </c>
      <c r="D7794">
        <v>19.233240223373802</v>
      </c>
      <c r="E7794">
        <v>4</v>
      </c>
      <c r="F7794">
        <v>2264</v>
      </c>
      <c r="G7794">
        <v>2</v>
      </c>
      <c r="H7794">
        <v>2</v>
      </c>
      <c r="I7794">
        <v>1991</v>
      </c>
      <c r="J7794">
        <v>1</v>
      </c>
      <c r="K7794">
        <v>0</v>
      </c>
      <c r="L7794">
        <v>1</v>
      </c>
      <c r="M7794">
        <v>4</v>
      </c>
      <c r="N7794" t="s">
        <v>37</v>
      </c>
      <c r="O7794" t="s">
        <v>27</v>
      </c>
      <c r="P7794">
        <v>2.9418622782667501</v>
      </c>
      <c r="Q7794">
        <v>1.47698590753554</v>
      </c>
      <c r="R7794">
        <v>7.6193111827686399</v>
      </c>
      <c r="S7794">
        <v>182</v>
      </c>
      <c r="T7794">
        <v>37</v>
      </c>
      <c r="U7794">
        <v>987.81106654218797</v>
      </c>
      <c r="V7794">
        <v>1.76678445229681E-3</v>
      </c>
      <c r="W7794">
        <v>2360256.0104268799</v>
      </c>
      <c r="X7794" t="s">
        <v>44</v>
      </c>
      <c r="Y7794">
        <f>1-440-264-2327</f>
        <v>-3030</v>
      </c>
    </row>
    <row r="7795" spans="1:25" x14ac:dyDescent="0.35">
      <c r="A7795">
        <v>37.069282216955401</v>
      </c>
      <c r="B7795">
        <v>-124.458005740895</v>
      </c>
      <c r="C7795" t="s">
        <v>34</v>
      </c>
      <c r="D7795">
        <v>32.236662771333499</v>
      </c>
      <c r="E7795">
        <v>0</v>
      </c>
      <c r="F7795">
        <v>4612</v>
      </c>
      <c r="G7795">
        <v>3</v>
      </c>
      <c r="H7795">
        <v>1</v>
      </c>
      <c r="I7795">
        <v>1986</v>
      </c>
      <c r="J7795">
        <v>0</v>
      </c>
      <c r="K7795">
        <v>0</v>
      </c>
      <c r="L7795">
        <v>0</v>
      </c>
      <c r="M7795">
        <v>5</v>
      </c>
      <c r="N7795" t="s">
        <v>26</v>
      </c>
      <c r="O7795" t="s">
        <v>30</v>
      </c>
      <c r="P7795">
        <v>2.5462508366746999</v>
      </c>
      <c r="Q7795">
        <v>1.0598083338644899</v>
      </c>
      <c r="R7795">
        <v>6.9540953417921596</v>
      </c>
      <c r="S7795">
        <v>166</v>
      </c>
      <c r="T7795">
        <v>35</v>
      </c>
      <c r="U7795">
        <v>524.80214595101097</v>
      </c>
      <c r="V7795">
        <v>1.08412836079791E-3</v>
      </c>
      <c r="W7795">
        <v>2506259.7938021598</v>
      </c>
      <c r="X7795" t="s">
        <v>33</v>
      </c>
      <c r="Y7795">
        <f>1-241-106-7659</f>
        <v>-8005</v>
      </c>
    </row>
    <row r="7796" spans="1:25" x14ac:dyDescent="0.35">
      <c r="A7796">
        <v>36.0038427279475</v>
      </c>
      <c r="B7796">
        <v>-122.116439718206</v>
      </c>
      <c r="C7796" t="s">
        <v>34</v>
      </c>
      <c r="D7796">
        <v>43.871158952755401</v>
      </c>
      <c r="E7796">
        <v>9</v>
      </c>
      <c r="F7796">
        <v>2128</v>
      </c>
      <c r="G7796">
        <v>3</v>
      </c>
      <c r="H7796">
        <v>3</v>
      </c>
      <c r="I7796">
        <v>1991</v>
      </c>
      <c r="J7796">
        <v>0</v>
      </c>
      <c r="K7796">
        <v>1</v>
      </c>
      <c r="L7796">
        <v>0</v>
      </c>
      <c r="M7796">
        <v>13</v>
      </c>
      <c r="N7796" t="s">
        <v>35</v>
      </c>
      <c r="O7796" t="s">
        <v>27</v>
      </c>
      <c r="P7796">
        <v>14.0612498385692</v>
      </c>
      <c r="Q7796">
        <v>1.5918965920195201</v>
      </c>
      <c r="R7796">
        <v>7.84439908752364</v>
      </c>
      <c r="S7796">
        <v>26</v>
      </c>
      <c r="T7796">
        <v>34</v>
      </c>
      <c r="U7796">
        <v>639.80563168864899</v>
      </c>
      <c r="V7796">
        <v>6.1090225563909702E-3</v>
      </c>
      <c r="W7796">
        <v>1685304.68057968</v>
      </c>
      <c r="X7796" t="s">
        <v>33</v>
      </c>
      <c r="Y7796">
        <f>1-746-668-6291</f>
        <v>-7704</v>
      </c>
    </row>
    <row r="7797" spans="1:25" x14ac:dyDescent="0.35">
      <c r="A7797">
        <v>40.579108640325401</v>
      </c>
      <c r="B7797">
        <v>-119.335372062468</v>
      </c>
      <c r="C7797" t="s">
        <v>34</v>
      </c>
      <c r="D7797">
        <v>48.7622056049983</v>
      </c>
      <c r="E7797">
        <v>8</v>
      </c>
      <c r="F7797">
        <v>2809</v>
      </c>
      <c r="G7797">
        <v>3</v>
      </c>
      <c r="H7797">
        <v>1</v>
      </c>
      <c r="I7797">
        <v>1993</v>
      </c>
      <c r="J7797">
        <v>0</v>
      </c>
      <c r="K7797">
        <v>1</v>
      </c>
      <c r="L7797">
        <v>0</v>
      </c>
      <c r="M7797">
        <v>11</v>
      </c>
      <c r="N7797" t="s">
        <v>26</v>
      </c>
      <c r="O7797" t="s">
        <v>27</v>
      </c>
      <c r="P7797">
        <v>5.3370555730504101</v>
      </c>
      <c r="Q7797">
        <v>1.3295220844221201</v>
      </c>
      <c r="R7797">
        <v>5.3208012739242E-2</v>
      </c>
      <c r="S7797">
        <v>82</v>
      </c>
      <c r="T7797">
        <v>64</v>
      </c>
      <c r="U7797">
        <v>752.27556925318095</v>
      </c>
      <c r="V7797">
        <v>3.9159843360626499E-3</v>
      </c>
      <c r="W7797">
        <v>2380119.7968830201</v>
      </c>
      <c r="X7797" t="s">
        <v>43</v>
      </c>
      <c r="Y7797">
        <f>1-458-890-9316</f>
        <v>-10663</v>
      </c>
    </row>
    <row r="7798" spans="1:25" x14ac:dyDescent="0.35">
      <c r="A7798">
        <v>39.523315165286299</v>
      </c>
      <c r="B7798">
        <v>-121.391993875707</v>
      </c>
      <c r="C7798" t="s">
        <v>25</v>
      </c>
      <c r="D7798">
        <v>22.1527689484559</v>
      </c>
      <c r="E7798">
        <v>7</v>
      </c>
      <c r="F7798">
        <v>4099</v>
      </c>
      <c r="G7798">
        <v>2</v>
      </c>
      <c r="H7798">
        <v>2</v>
      </c>
      <c r="I7798">
        <v>2005</v>
      </c>
      <c r="J7798">
        <v>1</v>
      </c>
      <c r="K7798">
        <v>0</v>
      </c>
      <c r="L7798">
        <v>1</v>
      </c>
      <c r="M7798">
        <v>13</v>
      </c>
      <c r="N7798" t="s">
        <v>37</v>
      </c>
      <c r="O7798" t="s">
        <v>30</v>
      </c>
      <c r="P7798">
        <v>10.6247137151198</v>
      </c>
      <c r="Q7798">
        <v>2.1967931911851499</v>
      </c>
      <c r="R7798">
        <v>1.46687308446609</v>
      </c>
      <c r="S7798">
        <v>148</v>
      </c>
      <c r="T7798">
        <v>33</v>
      </c>
      <c r="U7798">
        <v>294.39080924338703</v>
      </c>
      <c r="V7798">
        <v>3.1715052451817501E-3</v>
      </c>
      <c r="W7798">
        <v>1534722.90757159</v>
      </c>
      <c r="X7798" t="s">
        <v>44</v>
      </c>
      <c r="Y7798">
        <f>1-945-814-7392</f>
        <v>-9150</v>
      </c>
    </row>
    <row r="7799" spans="1:25" x14ac:dyDescent="0.35">
      <c r="A7799">
        <v>33.379307986181097</v>
      </c>
      <c r="B7799">
        <v>-116.768553123727</v>
      </c>
      <c r="C7799" t="s">
        <v>34</v>
      </c>
      <c r="D7799">
        <v>10.1535506801896</v>
      </c>
      <c r="E7799">
        <v>1</v>
      </c>
      <c r="F7799">
        <v>3995</v>
      </c>
      <c r="G7799">
        <v>3</v>
      </c>
      <c r="H7799">
        <v>3</v>
      </c>
      <c r="I7799">
        <v>1955</v>
      </c>
      <c r="J7799">
        <v>0</v>
      </c>
      <c r="K7799">
        <v>0</v>
      </c>
      <c r="L7799">
        <v>0</v>
      </c>
      <c r="M7799">
        <v>4</v>
      </c>
      <c r="N7799" t="s">
        <v>37</v>
      </c>
      <c r="O7799" t="s">
        <v>27</v>
      </c>
      <c r="P7799">
        <v>12.537182883059399</v>
      </c>
      <c r="Q7799">
        <v>1.3485239003732199</v>
      </c>
      <c r="R7799">
        <v>9.5882260502531604</v>
      </c>
      <c r="S7799">
        <v>23</v>
      </c>
      <c r="T7799">
        <v>49</v>
      </c>
      <c r="U7799">
        <v>711.81578228939804</v>
      </c>
      <c r="V7799">
        <v>1.0012515644555601E-3</v>
      </c>
      <c r="W7799">
        <v>3147222.8162654401</v>
      </c>
      <c r="X7799" t="s">
        <v>33</v>
      </c>
      <c r="Y7799">
        <f>1-522-896-3494</f>
        <v>-4911</v>
      </c>
    </row>
    <row r="7800" spans="1:25" x14ac:dyDescent="0.35">
      <c r="A7800">
        <v>39.412161618381298</v>
      </c>
      <c r="B7800">
        <v>-120.765731072153</v>
      </c>
      <c r="C7800" t="s">
        <v>34</v>
      </c>
      <c r="D7800">
        <v>2.71768863039896</v>
      </c>
      <c r="E7800">
        <v>3</v>
      </c>
      <c r="F7800">
        <v>4198</v>
      </c>
      <c r="G7800">
        <v>5</v>
      </c>
      <c r="H7800">
        <v>2</v>
      </c>
      <c r="I7800">
        <v>1963</v>
      </c>
      <c r="J7800">
        <v>0</v>
      </c>
      <c r="K7800">
        <v>0</v>
      </c>
      <c r="L7800">
        <v>1</v>
      </c>
      <c r="M7800">
        <v>14</v>
      </c>
      <c r="N7800" t="s">
        <v>35</v>
      </c>
      <c r="O7800" t="s">
        <v>32</v>
      </c>
      <c r="P7800">
        <v>7.6521842553804698</v>
      </c>
      <c r="Q7800">
        <v>1.6376187587126301</v>
      </c>
      <c r="R7800">
        <v>5.5411291159817697</v>
      </c>
      <c r="S7800">
        <v>84</v>
      </c>
      <c r="T7800">
        <v>42</v>
      </c>
      <c r="U7800">
        <v>307.49052926918699</v>
      </c>
      <c r="V7800">
        <v>3.33492139113863E-3</v>
      </c>
      <c r="W7800">
        <v>1567584.4324282201</v>
      </c>
      <c r="X7800" t="s">
        <v>38</v>
      </c>
      <c r="Y7800">
        <f>1-939-588-4571</f>
        <v>-6097</v>
      </c>
    </row>
    <row r="7801" spans="1:25" x14ac:dyDescent="0.35">
      <c r="A7801">
        <v>32.557841106112299</v>
      </c>
      <c r="B7801">
        <v>-116.403252934842</v>
      </c>
      <c r="C7801" t="s">
        <v>25</v>
      </c>
      <c r="D7801">
        <v>15.9851070636501</v>
      </c>
      <c r="E7801">
        <v>5</v>
      </c>
      <c r="F7801">
        <v>897</v>
      </c>
      <c r="G7801">
        <v>1</v>
      </c>
      <c r="H7801">
        <v>2</v>
      </c>
      <c r="I7801">
        <v>1981</v>
      </c>
      <c r="J7801">
        <v>1</v>
      </c>
      <c r="K7801">
        <v>1</v>
      </c>
      <c r="L7801">
        <v>1</v>
      </c>
      <c r="M7801">
        <v>7</v>
      </c>
      <c r="N7801" t="s">
        <v>37</v>
      </c>
      <c r="O7801" t="s">
        <v>30</v>
      </c>
      <c r="P7801">
        <v>6.2963562167727698</v>
      </c>
      <c r="Q7801">
        <v>1.51833352279512</v>
      </c>
      <c r="R7801">
        <v>3.1013816103255598</v>
      </c>
      <c r="S7801">
        <v>177</v>
      </c>
      <c r="T7801">
        <v>40</v>
      </c>
      <c r="U7801">
        <v>606.05384111921501</v>
      </c>
      <c r="V7801">
        <v>7.8037904124860598E-3</v>
      </c>
      <c r="W7801">
        <v>722265.06221253495</v>
      </c>
      <c r="X7801" t="s">
        <v>31</v>
      </c>
      <c r="Y7801">
        <f>1-774-981-1880</f>
        <v>-3634</v>
      </c>
    </row>
    <row r="7802" spans="1:25" x14ac:dyDescent="0.35">
      <c r="A7802">
        <v>33.1804452856422</v>
      </c>
      <c r="B7802">
        <v>-120.143500548869</v>
      </c>
      <c r="C7802" t="s">
        <v>34</v>
      </c>
      <c r="D7802">
        <v>33.208347989070703</v>
      </c>
      <c r="E7802">
        <v>7</v>
      </c>
      <c r="F7802">
        <v>2497</v>
      </c>
      <c r="G7802">
        <v>3</v>
      </c>
      <c r="H7802">
        <v>2</v>
      </c>
      <c r="I7802">
        <v>1999</v>
      </c>
      <c r="J7802">
        <v>1</v>
      </c>
      <c r="K7802">
        <v>1</v>
      </c>
      <c r="L7802">
        <v>0</v>
      </c>
      <c r="M7802">
        <v>13</v>
      </c>
      <c r="N7802" t="s">
        <v>37</v>
      </c>
      <c r="O7802" t="s">
        <v>30</v>
      </c>
      <c r="P7802">
        <v>10.7630357925685</v>
      </c>
      <c r="Q7802">
        <v>2.05278268320057</v>
      </c>
      <c r="R7802">
        <v>3.9452472936910499</v>
      </c>
      <c r="S7802">
        <v>82</v>
      </c>
      <c r="T7802">
        <v>51</v>
      </c>
      <c r="U7802">
        <v>903.33553605021598</v>
      </c>
      <c r="V7802">
        <v>5.20624749699639E-3</v>
      </c>
      <c r="W7802">
        <v>2671014.0266233501</v>
      </c>
      <c r="X7802" t="s">
        <v>38</v>
      </c>
      <c r="Y7802">
        <f>1-603-627-2387</f>
        <v>-3616</v>
      </c>
    </row>
    <row r="7803" spans="1:25" x14ac:dyDescent="0.35">
      <c r="A7803">
        <v>37.396166499787299</v>
      </c>
      <c r="B7803">
        <v>-119.829252398986</v>
      </c>
      <c r="C7803" t="s">
        <v>29</v>
      </c>
      <c r="D7803">
        <v>36.9442066811174</v>
      </c>
      <c r="E7803">
        <v>0</v>
      </c>
      <c r="F7803">
        <v>711</v>
      </c>
      <c r="G7803">
        <v>2</v>
      </c>
      <c r="H7803">
        <v>1</v>
      </c>
      <c r="I7803">
        <v>1987</v>
      </c>
      <c r="J7803">
        <v>0</v>
      </c>
      <c r="K7803">
        <v>1</v>
      </c>
      <c r="L7803">
        <v>1</v>
      </c>
      <c r="M7803">
        <v>4</v>
      </c>
      <c r="N7803" t="s">
        <v>26</v>
      </c>
      <c r="O7803" t="s">
        <v>27</v>
      </c>
      <c r="P7803">
        <v>2.2407688704689401</v>
      </c>
      <c r="Q7803">
        <v>2.3450858821615599</v>
      </c>
      <c r="R7803">
        <v>7.5401459935248099</v>
      </c>
      <c r="S7803">
        <v>50</v>
      </c>
      <c r="T7803">
        <v>77</v>
      </c>
      <c r="U7803">
        <v>311.23760376650898</v>
      </c>
      <c r="V7803">
        <v>5.6258790436005601E-3</v>
      </c>
      <c r="W7803">
        <v>355668.50195216801</v>
      </c>
      <c r="X7803" t="s">
        <v>33</v>
      </c>
      <c r="Y7803">
        <f>1-284-984-8564</f>
        <v>-9831</v>
      </c>
    </row>
    <row r="7804" spans="1:25" x14ac:dyDescent="0.35">
      <c r="A7804">
        <v>36.198506770454699</v>
      </c>
      <c r="B7804">
        <v>-114.679728741654</v>
      </c>
      <c r="C7804" t="s">
        <v>34</v>
      </c>
      <c r="D7804">
        <v>36.217440702867599</v>
      </c>
      <c r="E7804">
        <v>8</v>
      </c>
      <c r="F7804">
        <v>4893</v>
      </c>
      <c r="G7804">
        <v>5</v>
      </c>
      <c r="H7804">
        <v>2</v>
      </c>
      <c r="I7804">
        <v>1995</v>
      </c>
      <c r="J7804">
        <v>1</v>
      </c>
      <c r="K7804">
        <v>0</v>
      </c>
      <c r="L7804">
        <v>1</v>
      </c>
      <c r="M7804">
        <v>5</v>
      </c>
      <c r="N7804" t="s">
        <v>37</v>
      </c>
      <c r="O7804" t="s">
        <v>32</v>
      </c>
      <c r="P7804">
        <v>6.8350609532346196</v>
      </c>
      <c r="Q7804">
        <v>2.2410096655608198</v>
      </c>
      <c r="R7804">
        <v>7.61096480201667</v>
      </c>
      <c r="S7804">
        <v>20</v>
      </c>
      <c r="T7804">
        <v>30</v>
      </c>
      <c r="U7804">
        <v>421.47923015587003</v>
      </c>
      <c r="V7804">
        <v>1.02186797465767E-3</v>
      </c>
      <c r="W7804">
        <v>2425757.75112864</v>
      </c>
      <c r="X7804" t="s">
        <v>44</v>
      </c>
      <c r="Y7804">
        <f>1-665-997-6119</f>
        <v>-7780</v>
      </c>
    </row>
    <row r="7805" spans="1:25" x14ac:dyDescent="0.35">
      <c r="A7805">
        <v>38.950201946958003</v>
      </c>
      <c r="B7805">
        <v>-123.53490740875399</v>
      </c>
      <c r="C7805" t="s">
        <v>34</v>
      </c>
      <c r="D7805">
        <v>48.231277470719299</v>
      </c>
      <c r="E7805">
        <v>7</v>
      </c>
      <c r="F7805">
        <v>3327</v>
      </c>
      <c r="G7805">
        <v>2</v>
      </c>
      <c r="H7805">
        <v>3</v>
      </c>
      <c r="I7805">
        <v>1977</v>
      </c>
      <c r="J7805">
        <v>1</v>
      </c>
      <c r="K7805">
        <v>1</v>
      </c>
      <c r="L7805">
        <v>1</v>
      </c>
      <c r="M7805">
        <v>12</v>
      </c>
      <c r="N7805" t="s">
        <v>37</v>
      </c>
      <c r="O7805" t="s">
        <v>32</v>
      </c>
      <c r="P7805">
        <v>10.186317643032901</v>
      </c>
      <c r="Q7805">
        <v>1.2315194321643901</v>
      </c>
      <c r="R7805">
        <v>4.9999644807190604</v>
      </c>
      <c r="S7805">
        <v>37</v>
      </c>
      <c r="T7805">
        <v>33</v>
      </c>
      <c r="U7805">
        <v>474.74769009936102</v>
      </c>
      <c r="V7805">
        <v>3.6068530207393999E-3</v>
      </c>
      <c r="W7805">
        <v>2019592.9382573999</v>
      </c>
      <c r="X7805" t="s">
        <v>43</v>
      </c>
      <c r="Y7805">
        <f>1-568-285-5965</f>
        <v>-6817</v>
      </c>
    </row>
    <row r="7806" spans="1:25" x14ac:dyDescent="0.35">
      <c r="A7806">
        <v>38.261153551362597</v>
      </c>
      <c r="B7806">
        <v>-121.430167787873</v>
      </c>
      <c r="C7806" t="s">
        <v>25</v>
      </c>
      <c r="D7806">
        <v>27.746272331232799</v>
      </c>
      <c r="E7806">
        <v>9</v>
      </c>
      <c r="F7806">
        <v>1134</v>
      </c>
      <c r="G7806">
        <v>2</v>
      </c>
      <c r="H7806">
        <v>1</v>
      </c>
      <c r="I7806">
        <v>2001</v>
      </c>
      <c r="J7806">
        <v>1</v>
      </c>
      <c r="K7806">
        <v>1</v>
      </c>
      <c r="L7806">
        <v>1</v>
      </c>
      <c r="M7806">
        <v>9</v>
      </c>
      <c r="N7806" t="s">
        <v>41</v>
      </c>
      <c r="O7806" t="s">
        <v>27</v>
      </c>
      <c r="P7806">
        <v>11.411219752421401</v>
      </c>
      <c r="Q7806">
        <v>1.62960095868389</v>
      </c>
      <c r="R7806">
        <v>0.21290200994657199</v>
      </c>
      <c r="S7806">
        <v>98</v>
      </c>
      <c r="T7806">
        <v>79</v>
      </c>
      <c r="U7806">
        <v>726.60128280191202</v>
      </c>
      <c r="V7806">
        <v>7.9365079365079309E-3</v>
      </c>
      <c r="W7806">
        <v>1218193.9130448001</v>
      </c>
      <c r="X7806" t="s">
        <v>43</v>
      </c>
      <c r="Y7806">
        <f>1-378-423-3380</f>
        <v>-4180</v>
      </c>
    </row>
    <row r="7807" spans="1:25" x14ac:dyDescent="0.35">
      <c r="A7807">
        <v>38.351167648602001</v>
      </c>
      <c r="B7807">
        <v>-116.391002927977</v>
      </c>
      <c r="C7807" t="s">
        <v>34</v>
      </c>
      <c r="D7807">
        <v>2.0247995159680499</v>
      </c>
      <c r="E7807">
        <v>2</v>
      </c>
      <c r="F7807">
        <v>4499</v>
      </c>
      <c r="G7807">
        <v>1</v>
      </c>
      <c r="H7807">
        <v>1</v>
      </c>
      <c r="I7807">
        <v>1972</v>
      </c>
      <c r="J7807">
        <v>0</v>
      </c>
      <c r="K7807">
        <v>0</v>
      </c>
      <c r="L7807">
        <v>1</v>
      </c>
      <c r="M7807">
        <v>13</v>
      </c>
      <c r="N7807" t="s">
        <v>37</v>
      </c>
      <c r="O7807" t="s">
        <v>30</v>
      </c>
      <c r="P7807">
        <v>3.4864226170046901</v>
      </c>
      <c r="Q7807">
        <v>1.7770508138094701</v>
      </c>
      <c r="R7807">
        <v>6.25104996676178</v>
      </c>
      <c r="S7807">
        <v>144</v>
      </c>
      <c r="T7807">
        <v>57</v>
      </c>
      <c r="U7807">
        <v>630.70432138367596</v>
      </c>
      <c r="V7807">
        <v>2.88953100689042E-3</v>
      </c>
      <c r="W7807">
        <v>2831088.9265892701</v>
      </c>
      <c r="X7807" t="s">
        <v>43</v>
      </c>
      <c r="Y7807">
        <f>1-702-276-6023</f>
        <v>-7000</v>
      </c>
    </row>
    <row r="7808" spans="1:25" x14ac:dyDescent="0.35">
      <c r="A7808">
        <v>35.405766264062599</v>
      </c>
      <c r="B7808">
        <v>-119.604907856948</v>
      </c>
      <c r="C7808" t="s">
        <v>34</v>
      </c>
      <c r="D7808">
        <v>49.242761080397699</v>
      </c>
      <c r="E7808">
        <v>4</v>
      </c>
      <c r="F7808">
        <v>2567</v>
      </c>
      <c r="G7808">
        <v>3</v>
      </c>
      <c r="H7808">
        <v>1</v>
      </c>
      <c r="I7808">
        <v>1991</v>
      </c>
      <c r="J7808">
        <v>0</v>
      </c>
      <c r="K7808">
        <v>0</v>
      </c>
      <c r="L7808">
        <v>0</v>
      </c>
      <c r="M7808">
        <v>6</v>
      </c>
      <c r="N7808" t="s">
        <v>37</v>
      </c>
      <c r="O7808" t="s">
        <v>27</v>
      </c>
      <c r="P7808">
        <v>10.046167858536799</v>
      </c>
      <c r="Q7808">
        <v>2.1997743864147301</v>
      </c>
      <c r="R7808">
        <v>9.5528012677850906</v>
      </c>
      <c r="S7808">
        <v>135</v>
      </c>
      <c r="T7808">
        <v>20</v>
      </c>
      <c r="U7808">
        <v>774.64014232853197</v>
      </c>
      <c r="V7808">
        <v>2.33735878457343E-3</v>
      </c>
      <c r="W7808">
        <v>2205236.7347391201</v>
      </c>
      <c r="X7808" t="s">
        <v>44</v>
      </c>
      <c r="Y7808">
        <f>1-639-884-8294</f>
        <v>-9816</v>
      </c>
    </row>
    <row r="7809" spans="1:25" x14ac:dyDescent="0.35">
      <c r="A7809">
        <v>34.081889130370897</v>
      </c>
      <c r="B7809">
        <v>-119.369859093259</v>
      </c>
      <c r="C7809" t="s">
        <v>34</v>
      </c>
      <c r="D7809">
        <v>42.2230566325808</v>
      </c>
      <c r="E7809">
        <v>7</v>
      </c>
      <c r="F7809">
        <v>4862</v>
      </c>
      <c r="G7809">
        <v>4</v>
      </c>
      <c r="H7809">
        <v>3</v>
      </c>
      <c r="I7809">
        <v>1996</v>
      </c>
      <c r="J7809">
        <v>0</v>
      </c>
      <c r="K7809">
        <v>0</v>
      </c>
      <c r="L7809">
        <v>0</v>
      </c>
      <c r="M7809">
        <v>10</v>
      </c>
      <c r="N7809" t="s">
        <v>26</v>
      </c>
      <c r="O7809" t="s">
        <v>30</v>
      </c>
      <c r="P7809">
        <v>9.1798453416205898</v>
      </c>
      <c r="Q7809">
        <v>2.4433564986157998</v>
      </c>
      <c r="R7809">
        <v>9.7615998882599708</v>
      </c>
      <c r="S7809">
        <v>61</v>
      </c>
      <c r="T7809">
        <v>60</v>
      </c>
      <c r="U7809">
        <v>937.95158955308602</v>
      </c>
      <c r="V7809">
        <v>2.0567667626491099E-3</v>
      </c>
      <c r="W7809">
        <v>4871773.1335694296</v>
      </c>
      <c r="X7809" t="s">
        <v>33</v>
      </c>
      <c r="Y7809">
        <f>1-646-261-9851</f>
        <v>-10757</v>
      </c>
    </row>
    <row r="7810" spans="1:25" x14ac:dyDescent="0.35">
      <c r="A7810">
        <v>36.008214062233399</v>
      </c>
      <c r="B7810">
        <v>-118.11160017989501</v>
      </c>
      <c r="C7810" t="s">
        <v>25</v>
      </c>
      <c r="D7810">
        <v>29.099024306106099</v>
      </c>
      <c r="E7810">
        <v>5</v>
      </c>
      <c r="F7810">
        <v>4952</v>
      </c>
      <c r="G7810">
        <v>5</v>
      </c>
      <c r="H7810">
        <v>1</v>
      </c>
      <c r="I7810">
        <v>1967</v>
      </c>
      <c r="J7810">
        <v>1</v>
      </c>
      <c r="K7810">
        <v>1</v>
      </c>
      <c r="L7810">
        <v>1</v>
      </c>
      <c r="M7810">
        <v>5</v>
      </c>
      <c r="N7810" t="s">
        <v>35</v>
      </c>
      <c r="O7810" t="s">
        <v>27</v>
      </c>
      <c r="P7810">
        <v>3.9157582063630998</v>
      </c>
      <c r="Q7810">
        <v>0.82996292132105898</v>
      </c>
      <c r="R7810">
        <v>7.3336061818000902</v>
      </c>
      <c r="S7810">
        <v>139</v>
      </c>
      <c r="T7810">
        <v>73</v>
      </c>
      <c r="U7810">
        <v>449.62498611900401</v>
      </c>
      <c r="V7810">
        <v>1.00969305331179E-3</v>
      </c>
      <c r="W7810">
        <v>2574745.3797585401</v>
      </c>
      <c r="X7810" t="s">
        <v>33</v>
      </c>
      <c r="Y7810">
        <f>1-806-109-4139</f>
        <v>-5053</v>
      </c>
    </row>
    <row r="7811" spans="1:25" x14ac:dyDescent="0.35">
      <c r="A7811">
        <v>41.275196161593499</v>
      </c>
      <c r="B7811">
        <v>-114.58615229130601</v>
      </c>
      <c r="C7811" t="s">
        <v>34</v>
      </c>
      <c r="D7811">
        <v>21.4414885647078</v>
      </c>
      <c r="E7811">
        <v>6</v>
      </c>
      <c r="F7811">
        <v>3481</v>
      </c>
      <c r="G7811">
        <v>1</v>
      </c>
      <c r="H7811">
        <v>3</v>
      </c>
      <c r="I7811">
        <v>2019</v>
      </c>
      <c r="J7811">
        <v>0</v>
      </c>
      <c r="K7811">
        <v>1</v>
      </c>
      <c r="L7811">
        <v>1</v>
      </c>
      <c r="M7811">
        <v>11</v>
      </c>
      <c r="N7811" t="s">
        <v>41</v>
      </c>
      <c r="O7811" t="s">
        <v>30</v>
      </c>
      <c r="P7811">
        <v>6.2967037588373298</v>
      </c>
      <c r="Q7811">
        <v>0.83382295925442096</v>
      </c>
      <c r="R7811">
        <v>6.4490362826520098</v>
      </c>
      <c r="S7811">
        <v>126</v>
      </c>
      <c r="T7811">
        <v>68</v>
      </c>
      <c r="U7811">
        <v>218.150413250806</v>
      </c>
      <c r="V7811">
        <v>3.1600114909508701E-3</v>
      </c>
      <c r="W7811">
        <v>1017881.12392583</v>
      </c>
      <c r="X7811" t="s">
        <v>42</v>
      </c>
      <c r="Y7811">
        <f>1-579-729-9991</f>
        <v>-11298</v>
      </c>
    </row>
    <row r="7812" spans="1:25" x14ac:dyDescent="0.35">
      <c r="A7812">
        <v>36.805571757813603</v>
      </c>
      <c r="B7812">
        <v>-116.785594551527</v>
      </c>
      <c r="C7812" t="s">
        <v>34</v>
      </c>
      <c r="D7812">
        <v>33.798811588774697</v>
      </c>
      <c r="E7812">
        <v>3</v>
      </c>
      <c r="F7812">
        <v>3309</v>
      </c>
      <c r="G7812">
        <v>3</v>
      </c>
      <c r="H7812">
        <v>3</v>
      </c>
      <c r="I7812">
        <v>1952</v>
      </c>
      <c r="J7812">
        <v>1</v>
      </c>
      <c r="K7812">
        <v>0</v>
      </c>
      <c r="L7812">
        <v>0</v>
      </c>
      <c r="M7812">
        <v>2</v>
      </c>
      <c r="N7812" t="s">
        <v>37</v>
      </c>
      <c r="O7812" t="s">
        <v>27</v>
      </c>
      <c r="P7812">
        <v>13.2374493321395</v>
      </c>
      <c r="Q7812">
        <v>0.783834261584065</v>
      </c>
      <c r="R7812">
        <v>1.67556290191948</v>
      </c>
      <c r="S7812">
        <v>183</v>
      </c>
      <c r="T7812">
        <v>70</v>
      </c>
      <c r="U7812">
        <v>318.38072070035702</v>
      </c>
      <c r="V7812">
        <v>6.0441220912662403E-4</v>
      </c>
      <c r="W7812">
        <v>1252457.3219618399</v>
      </c>
      <c r="X7812" t="s">
        <v>38</v>
      </c>
      <c r="Y7812">
        <f>1-434-836-8138</f>
        <v>-9407</v>
      </c>
    </row>
    <row r="7813" spans="1:25" x14ac:dyDescent="0.35">
      <c r="A7813">
        <v>41.582707583776603</v>
      </c>
      <c r="B7813">
        <v>-123.842421301277</v>
      </c>
      <c r="C7813" t="s">
        <v>29</v>
      </c>
      <c r="D7813">
        <v>29.105793564106801</v>
      </c>
      <c r="E7813">
        <v>7</v>
      </c>
      <c r="F7813">
        <v>2751</v>
      </c>
      <c r="G7813">
        <v>3</v>
      </c>
      <c r="H7813">
        <v>1</v>
      </c>
      <c r="I7813">
        <v>2009</v>
      </c>
      <c r="J7813">
        <v>0</v>
      </c>
      <c r="K7813">
        <v>1</v>
      </c>
      <c r="L7813">
        <v>1</v>
      </c>
      <c r="M7813">
        <v>4</v>
      </c>
      <c r="N7813" t="s">
        <v>35</v>
      </c>
      <c r="O7813" t="s">
        <v>27</v>
      </c>
      <c r="P7813">
        <v>7.4630431760540796</v>
      </c>
      <c r="Q7813">
        <v>1.62767147117029</v>
      </c>
      <c r="R7813">
        <v>8.0690984613792907</v>
      </c>
      <c r="S7813">
        <v>160</v>
      </c>
      <c r="T7813">
        <v>31</v>
      </c>
      <c r="U7813">
        <v>791.77366235489501</v>
      </c>
      <c r="V7813">
        <v>1.4540167211922899E-3</v>
      </c>
      <c r="W7813">
        <v>2370095.0093510598</v>
      </c>
      <c r="X7813" t="s">
        <v>33</v>
      </c>
      <c r="Y7813">
        <f>1-513-921-5280</f>
        <v>-6713</v>
      </c>
    </row>
    <row r="7814" spans="1:25" x14ac:dyDescent="0.35">
      <c r="A7814">
        <v>34.946283881480397</v>
      </c>
      <c r="B7814">
        <v>-117.91949554473899</v>
      </c>
      <c r="C7814" t="s">
        <v>25</v>
      </c>
      <c r="D7814">
        <v>7.4354646085808804</v>
      </c>
      <c r="E7814">
        <v>4</v>
      </c>
      <c r="F7814">
        <v>2367</v>
      </c>
      <c r="G7814">
        <v>2</v>
      </c>
      <c r="H7814">
        <v>3</v>
      </c>
      <c r="I7814">
        <v>1969</v>
      </c>
      <c r="J7814">
        <v>1</v>
      </c>
      <c r="K7814">
        <v>1</v>
      </c>
      <c r="L7814">
        <v>0</v>
      </c>
      <c r="M7814">
        <v>3</v>
      </c>
      <c r="N7814" t="s">
        <v>41</v>
      </c>
      <c r="O7814" t="s">
        <v>32</v>
      </c>
      <c r="P7814">
        <v>13.3039063808033</v>
      </c>
      <c r="Q7814">
        <v>1.1341358749069399</v>
      </c>
      <c r="R7814">
        <v>5.0839494806655097</v>
      </c>
      <c r="S7814">
        <v>163</v>
      </c>
      <c r="T7814">
        <v>53</v>
      </c>
      <c r="U7814">
        <v>547.12467374223502</v>
      </c>
      <c r="V7814">
        <v>1.26742712294043E-3</v>
      </c>
      <c r="W7814">
        <v>1711551.4445093099</v>
      </c>
      <c r="X7814" t="s">
        <v>36</v>
      </c>
      <c r="Y7814">
        <f>1-744-315-8259</f>
        <v>-9317</v>
      </c>
    </row>
    <row r="7815" spans="1:25" x14ac:dyDescent="0.35">
      <c r="A7815">
        <v>38.2870744539564</v>
      </c>
      <c r="B7815">
        <v>-119.07079846064801</v>
      </c>
      <c r="C7815" t="s">
        <v>34</v>
      </c>
      <c r="D7815">
        <v>28.700397829659401</v>
      </c>
      <c r="E7815">
        <v>6</v>
      </c>
      <c r="F7815">
        <v>3694</v>
      </c>
      <c r="G7815">
        <v>3</v>
      </c>
      <c r="H7815">
        <v>3</v>
      </c>
      <c r="I7815">
        <v>1986</v>
      </c>
      <c r="J7815">
        <v>0</v>
      </c>
      <c r="K7815">
        <v>0</v>
      </c>
      <c r="L7815">
        <v>1</v>
      </c>
      <c r="M7815">
        <v>6</v>
      </c>
      <c r="N7815" t="s">
        <v>41</v>
      </c>
      <c r="O7815" t="s">
        <v>30</v>
      </c>
      <c r="P7815">
        <v>5.7962098043344401</v>
      </c>
      <c r="Q7815">
        <v>0.72183583760299097</v>
      </c>
      <c r="R7815">
        <v>2.2606061764258598</v>
      </c>
      <c r="S7815">
        <v>41</v>
      </c>
      <c r="T7815">
        <v>67</v>
      </c>
      <c r="U7815">
        <v>271.11719119576298</v>
      </c>
      <c r="V7815">
        <v>1.62425554953979E-3</v>
      </c>
      <c r="W7815">
        <v>1238250.2274970899</v>
      </c>
      <c r="X7815" t="s">
        <v>40</v>
      </c>
      <c r="Y7815">
        <f>1-357-365-6683</f>
        <v>-7404</v>
      </c>
    </row>
    <row r="7816" spans="1:25" x14ac:dyDescent="0.35">
      <c r="A7816">
        <v>34.630833905478497</v>
      </c>
      <c r="B7816">
        <v>-119.08481777642901</v>
      </c>
      <c r="C7816" t="s">
        <v>25</v>
      </c>
      <c r="D7816">
        <v>40.382686715905699</v>
      </c>
      <c r="E7816">
        <v>8</v>
      </c>
      <c r="F7816">
        <v>3305</v>
      </c>
      <c r="G7816">
        <v>2</v>
      </c>
      <c r="H7816">
        <v>2</v>
      </c>
      <c r="I7816">
        <v>2010</v>
      </c>
      <c r="J7816">
        <v>0</v>
      </c>
      <c r="K7816">
        <v>0</v>
      </c>
      <c r="L7816">
        <v>0</v>
      </c>
      <c r="M7816">
        <v>10</v>
      </c>
      <c r="N7816" t="s">
        <v>35</v>
      </c>
      <c r="O7816" t="s">
        <v>32</v>
      </c>
      <c r="P7816">
        <v>3.5840612999156298</v>
      </c>
      <c r="Q7816">
        <v>1.06312441687089</v>
      </c>
      <c r="R7816">
        <v>1.73525922538316</v>
      </c>
      <c r="S7816">
        <v>169</v>
      </c>
      <c r="T7816">
        <v>48</v>
      </c>
      <c r="U7816">
        <v>616.77848258270501</v>
      </c>
      <c r="V7816">
        <v>3.0257186081694399E-3</v>
      </c>
      <c r="W7816">
        <v>2177352.3824896999</v>
      </c>
      <c r="X7816" t="s">
        <v>33</v>
      </c>
      <c r="Y7816">
        <f>1-472-586-7296</f>
        <v>-8353</v>
      </c>
    </row>
    <row r="7817" spans="1:25" x14ac:dyDescent="0.35">
      <c r="A7817">
        <v>40.8000806705926</v>
      </c>
      <c r="B7817">
        <v>-122.274096873537</v>
      </c>
      <c r="C7817" t="s">
        <v>34</v>
      </c>
      <c r="D7817">
        <v>45.707602802577497</v>
      </c>
      <c r="E7817">
        <v>7</v>
      </c>
      <c r="F7817">
        <v>715</v>
      </c>
      <c r="G7817">
        <v>5</v>
      </c>
      <c r="H7817">
        <v>1</v>
      </c>
      <c r="I7817">
        <v>2017</v>
      </c>
      <c r="J7817">
        <v>0</v>
      </c>
      <c r="K7817">
        <v>0</v>
      </c>
      <c r="L7817">
        <v>1</v>
      </c>
      <c r="M7817">
        <v>5</v>
      </c>
      <c r="N7817" t="s">
        <v>37</v>
      </c>
      <c r="O7817" t="s">
        <v>30</v>
      </c>
      <c r="P7817">
        <v>13.775621251327401</v>
      </c>
      <c r="Q7817">
        <v>2.0309252953720498</v>
      </c>
      <c r="R7817">
        <v>9.1052474092173608</v>
      </c>
      <c r="S7817">
        <v>65</v>
      </c>
      <c r="T7817">
        <v>61</v>
      </c>
      <c r="U7817">
        <v>210.58968153612699</v>
      </c>
      <c r="V7817">
        <v>6.9930069930069904E-3</v>
      </c>
      <c r="W7817">
        <v>485775.08654403099</v>
      </c>
      <c r="X7817" t="s">
        <v>38</v>
      </c>
      <c r="Y7817">
        <f>1-832-165-9618</f>
        <v>-10614</v>
      </c>
    </row>
    <row r="7818" spans="1:25" x14ac:dyDescent="0.35">
      <c r="A7818">
        <v>38.444651440420401</v>
      </c>
      <c r="B7818">
        <v>-114.860056929715</v>
      </c>
      <c r="C7818" t="s">
        <v>25</v>
      </c>
      <c r="D7818">
        <v>1.01175600867713</v>
      </c>
      <c r="E7818">
        <v>9</v>
      </c>
      <c r="F7818">
        <v>4125</v>
      </c>
      <c r="G7818">
        <v>2</v>
      </c>
      <c r="H7818">
        <v>3</v>
      </c>
      <c r="I7818">
        <v>2017</v>
      </c>
      <c r="J7818">
        <v>1</v>
      </c>
      <c r="K7818">
        <v>0</v>
      </c>
      <c r="L7818">
        <v>0</v>
      </c>
      <c r="M7818">
        <v>9</v>
      </c>
      <c r="N7818" t="s">
        <v>41</v>
      </c>
      <c r="O7818" t="s">
        <v>32</v>
      </c>
      <c r="P7818">
        <v>14.963378293262799</v>
      </c>
      <c r="Q7818">
        <v>1.91086168838948</v>
      </c>
      <c r="R7818">
        <v>9.9281903120187298</v>
      </c>
      <c r="S7818">
        <v>66</v>
      </c>
      <c r="T7818">
        <v>73</v>
      </c>
      <c r="U7818">
        <v>328.320031009285</v>
      </c>
      <c r="V7818">
        <v>2.1818181818181802E-3</v>
      </c>
      <c r="W7818">
        <v>1759118.4301318601</v>
      </c>
      <c r="X7818" t="s">
        <v>38</v>
      </c>
      <c r="Y7818">
        <f>1-447-497-8482</f>
        <v>-9425</v>
      </c>
    </row>
    <row r="7819" spans="1:25" x14ac:dyDescent="0.35">
      <c r="A7819">
        <v>35.051851512007801</v>
      </c>
      <c r="B7819">
        <v>-115.177449558913</v>
      </c>
      <c r="C7819" t="s">
        <v>29</v>
      </c>
      <c r="D7819">
        <v>9.8566406515729099</v>
      </c>
      <c r="E7819">
        <v>4</v>
      </c>
      <c r="F7819">
        <v>4454</v>
      </c>
      <c r="G7819">
        <v>1</v>
      </c>
      <c r="H7819">
        <v>3</v>
      </c>
      <c r="I7819">
        <v>2012</v>
      </c>
      <c r="J7819">
        <v>1</v>
      </c>
      <c r="K7819">
        <v>1</v>
      </c>
      <c r="L7819">
        <v>0</v>
      </c>
      <c r="M7819">
        <v>6</v>
      </c>
      <c r="N7819" t="s">
        <v>35</v>
      </c>
      <c r="O7819" t="s">
        <v>30</v>
      </c>
      <c r="P7819">
        <v>11.65052793133</v>
      </c>
      <c r="Q7819">
        <v>0.50104203947343595</v>
      </c>
      <c r="R7819">
        <v>8.3617769586338895</v>
      </c>
      <c r="S7819">
        <v>34</v>
      </c>
      <c r="T7819">
        <v>77</v>
      </c>
      <c r="U7819">
        <v>774.80561118584001</v>
      </c>
      <c r="V7819">
        <v>1.3471037269869701E-3</v>
      </c>
      <c r="W7819">
        <v>3734029.7609572699</v>
      </c>
      <c r="X7819" t="s">
        <v>38</v>
      </c>
      <c r="Y7819">
        <f>1-912-877-7713</f>
        <v>-9501</v>
      </c>
    </row>
    <row r="7820" spans="1:25" x14ac:dyDescent="0.35">
      <c r="A7820">
        <v>39.702760003687402</v>
      </c>
      <c r="B7820">
        <v>-119.86407750976799</v>
      </c>
      <c r="C7820" t="s">
        <v>34</v>
      </c>
      <c r="D7820">
        <v>42.385151545991597</v>
      </c>
      <c r="E7820">
        <v>8</v>
      </c>
      <c r="F7820">
        <v>1845</v>
      </c>
      <c r="G7820">
        <v>2</v>
      </c>
      <c r="H7820">
        <v>1</v>
      </c>
      <c r="I7820">
        <v>1968</v>
      </c>
      <c r="J7820">
        <v>1</v>
      </c>
      <c r="K7820">
        <v>0</v>
      </c>
      <c r="L7820">
        <v>0</v>
      </c>
      <c r="M7820">
        <v>5</v>
      </c>
      <c r="N7820" t="s">
        <v>37</v>
      </c>
      <c r="O7820" t="s">
        <v>32</v>
      </c>
      <c r="P7820">
        <v>12.940337723491201</v>
      </c>
      <c r="Q7820">
        <v>0.51598017089022397</v>
      </c>
      <c r="R7820">
        <v>4.45760786851117</v>
      </c>
      <c r="S7820">
        <v>119</v>
      </c>
      <c r="T7820">
        <v>33</v>
      </c>
      <c r="U7820">
        <v>335.34708091490597</v>
      </c>
      <c r="V7820">
        <v>2.7100271002710001E-3</v>
      </c>
      <c r="W7820">
        <v>791881.80606816802</v>
      </c>
      <c r="X7820" t="s">
        <v>42</v>
      </c>
      <c r="Y7820">
        <f>1-881-929-4946</f>
        <v>-6755</v>
      </c>
    </row>
    <row r="7821" spans="1:25" x14ac:dyDescent="0.35">
      <c r="A7821">
        <v>35.253243120066699</v>
      </c>
      <c r="B7821">
        <v>-114.15626641904799</v>
      </c>
      <c r="C7821" t="s">
        <v>29</v>
      </c>
      <c r="D7821">
        <v>10.353739963352499</v>
      </c>
      <c r="E7821">
        <v>2</v>
      </c>
      <c r="F7821">
        <v>696</v>
      </c>
      <c r="G7821">
        <v>5</v>
      </c>
      <c r="H7821">
        <v>3</v>
      </c>
      <c r="I7821">
        <v>2006</v>
      </c>
      <c r="J7821">
        <v>0</v>
      </c>
      <c r="K7821">
        <v>1</v>
      </c>
      <c r="L7821">
        <v>1</v>
      </c>
      <c r="M7821">
        <v>2</v>
      </c>
      <c r="N7821" t="s">
        <v>41</v>
      </c>
      <c r="O7821" t="s">
        <v>32</v>
      </c>
      <c r="P7821">
        <v>10.1473160982096</v>
      </c>
      <c r="Q7821">
        <v>1.98326864103005</v>
      </c>
      <c r="R7821">
        <v>7.6112399160761504</v>
      </c>
      <c r="S7821">
        <v>120</v>
      </c>
      <c r="T7821">
        <v>46</v>
      </c>
      <c r="U7821">
        <v>683.501363508601</v>
      </c>
      <c r="V7821">
        <v>2.8735632183907998E-3</v>
      </c>
      <c r="W7821">
        <v>954666.80290314695</v>
      </c>
      <c r="X7821" t="s">
        <v>44</v>
      </c>
      <c r="Y7821">
        <f>1-954-686-7430</f>
        <v>-9069</v>
      </c>
    </row>
    <row r="7822" spans="1:25" x14ac:dyDescent="0.35">
      <c r="A7822">
        <v>39.428627801970798</v>
      </c>
      <c r="B7822">
        <v>-122.207830075923</v>
      </c>
      <c r="C7822" t="s">
        <v>29</v>
      </c>
      <c r="D7822">
        <v>47.015065415271799</v>
      </c>
      <c r="E7822">
        <v>5</v>
      </c>
      <c r="F7822">
        <v>3507</v>
      </c>
      <c r="G7822">
        <v>3</v>
      </c>
      <c r="H7822">
        <v>2</v>
      </c>
      <c r="I7822">
        <v>1977</v>
      </c>
      <c r="J7822">
        <v>0</v>
      </c>
      <c r="K7822">
        <v>1</v>
      </c>
      <c r="L7822">
        <v>1</v>
      </c>
      <c r="M7822">
        <v>10</v>
      </c>
      <c r="N7822" t="s">
        <v>41</v>
      </c>
      <c r="O7822" t="s">
        <v>27</v>
      </c>
      <c r="P7822">
        <v>2.8285444879690802</v>
      </c>
      <c r="Q7822">
        <v>1.17762693867396</v>
      </c>
      <c r="R7822">
        <v>4.6170332770565503</v>
      </c>
      <c r="S7822">
        <v>91</v>
      </c>
      <c r="T7822">
        <v>76</v>
      </c>
      <c r="U7822">
        <v>548.75258145055204</v>
      </c>
      <c r="V7822">
        <v>2.8514399771884802E-3</v>
      </c>
      <c r="W7822">
        <v>2272863.2438582098</v>
      </c>
      <c r="X7822" t="s">
        <v>28</v>
      </c>
      <c r="Y7822">
        <f>1-804-551-5560</f>
        <v>-6914</v>
      </c>
    </row>
    <row r="7823" spans="1:25" x14ac:dyDescent="0.35">
      <c r="A7823">
        <v>34.462606809722402</v>
      </c>
      <c r="B7823">
        <v>-123.8529647379</v>
      </c>
      <c r="C7823" t="s">
        <v>34</v>
      </c>
      <c r="D7823">
        <v>15.648325574010499</v>
      </c>
      <c r="E7823">
        <v>9</v>
      </c>
      <c r="F7823">
        <v>2094</v>
      </c>
      <c r="G7823">
        <v>2</v>
      </c>
      <c r="H7823">
        <v>1</v>
      </c>
      <c r="I7823">
        <v>2018</v>
      </c>
      <c r="J7823">
        <v>1</v>
      </c>
      <c r="K7823">
        <v>0</v>
      </c>
      <c r="L7823">
        <v>0</v>
      </c>
      <c r="M7823">
        <v>13</v>
      </c>
      <c r="N7823" t="s">
        <v>37</v>
      </c>
      <c r="O7823" t="s">
        <v>27</v>
      </c>
      <c r="P7823">
        <v>10.991602002809501</v>
      </c>
      <c r="Q7823">
        <v>2.41125092784113</v>
      </c>
      <c r="R7823">
        <v>7.4844118300076197</v>
      </c>
      <c r="S7823">
        <v>198</v>
      </c>
      <c r="T7823">
        <v>67</v>
      </c>
      <c r="U7823">
        <v>691.220651577995</v>
      </c>
      <c r="V7823">
        <v>6.2082139446036199E-3</v>
      </c>
      <c r="W7823">
        <v>1656756.3228047299</v>
      </c>
      <c r="X7823" t="s">
        <v>38</v>
      </c>
      <c r="Y7823">
        <f>1-384-988-4208</f>
        <v>-5579</v>
      </c>
    </row>
    <row r="7824" spans="1:25" x14ac:dyDescent="0.35">
      <c r="A7824">
        <v>32.580873862129003</v>
      </c>
      <c r="B7824">
        <v>-121.06895351095601</v>
      </c>
      <c r="C7824" t="s">
        <v>34</v>
      </c>
      <c r="D7824">
        <v>37.059667177172699</v>
      </c>
      <c r="E7824">
        <v>1</v>
      </c>
      <c r="F7824">
        <v>2762</v>
      </c>
      <c r="G7824">
        <v>3</v>
      </c>
      <c r="H7824">
        <v>2</v>
      </c>
      <c r="I7824">
        <v>1988</v>
      </c>
      <c r="J7824">
        <v>1</v>
      </c>
      <c r="K7824">
        <v>0</v>
      </c>
      <c r="L7824">
        <v>1</v>
      </c>
      <c r="M7824">
        <v>3</v>
      </c>
      <c r="N7824" t="s">
        <v>41</v>
      </c>
      <c r="O7824" t="s">
        <v>32</v>
      </c>
      <c r="P7824">
        <v>4.1803951402452704</v>
      </c>
      <c r="Q7824">
        <v>2.3609528086984199</v>
      </c>
      <c r="R7824">
        <v>3.25473972514036</v>
      </c>
      <c r="S7824">
        <v>104</v>
      </c>
      <c r="T7824">
        <v>76</v>
      </c>
      <c r="U7824">
        <v>267.09430473698501</v>
      </c>
      <c r="V7824">
        <v>1.08616944243301E-3</v>
      </c>
      <c r="W7824">
        <v>992622.33280294505</v>
      </c>
      <c r="X7824" t="s">
        <v>42</v>
      </c>
      <c r="Y7824">
        <f>1-855-139-6156</f>
        <v>-7149</v>
      </c>
    </row>
    <row r="7825" spans="1:25" x14ac:dyDescent="0.35">
      <c r="A7825">
        <v>35.720306586866698</v>
      </c>
      <c r="B7825">
        <v>-119.52166999144799</v>
      </c>
      <c r="C7825" t="s">
        <v>29</v>
      </c>
      <c r="D7825">
        <v>27.206054105331798</v>
      </c>
      <c r="E7825">
        <v>7</v>
      </c>
      <c r="F7825">
        <v>2647</v>
      </c>
      <c r="G7825">
        <v>5</v>
      </c>
      <c r="H7825">
        <v>3</v>
      </c>
      <c r="I7825">
        <v>2008</v>
      </c>
      <c r="J7825">
        <v>1</v>
      </c>
      <c r="K7825">
        <v>0</v>
      </c>
      <c r="L7825">
        <v>1</v>
      </c>
      <c r="M7825">
        <v>5</v>
      </c>
      <c r="N7825" t="s">
        <v>26</v>
      </c>
      <c r="O7825" t="s">
        <v>30</v>
      </c>
      <c r="P7825">
        <v>4.7127075973859904</v>
      </c>
      <c r="Q7825">
        <v>1.8550989489827101</v>
      </c>
      <c r="R7825">
        <v>3.22560778129432</v>
      </c>
      <c r="S7825">
        <v>172</v>
      </c>
      <c r="T7825">
        <v>58</v>
      </c>
      <c r="U7825">
        <v>398.39629726536498</v>
      </c>
      <c r="V7825">
        <v>1.88893086513033E-3</v>
      </c>
      <c r="W7825">
        <v>1385869.1493907999</v>
      </c>
      <c r="X7825" t="s">
        <v>39</v>
      </c>
      <c r="Y7825">
        <f>1-401-749-9745</f>
        <v>-10894</v>
      </c>
    </row>
    <row r="7826" spans="1:25" x14ac:dyDescent="0.35">
      <c r="A7826">
        <v>34.033840222025503</v>
      </c>
      <c r="B7826">
        <v>-123.81989903793399</v>
      </c>
      <c r="C7826" t="s">
        <v>25</v>
      </c>
      <c r="D7826">
        <v>46.652002355287401</v>
      </c>
      <c r="E7826">
        <v>5</v>
      </c>
      <c r="F7826">
        <v>2781</v>
      </c>
      <c r="G7826">
        <v>3</v>
      </c>
      <c r="H7826">
        <v>3</v>
      </c>
      <c r="I7826">
        <v>2005</v>
      </c>
      <c r="J7826">
        <v>1</v>
      </c>
      <c r="K7826">
        <v>1</v>
      </c>
      <c r="L7826">
        <v>1</v>
      </c>
      <c r="M7826">
        <v>6</v>
      </c>
      <c r="N7826" t="s">
        <v>26</v>
      </c>
      <c r="O7826" t="s">
        <v>32</v>
      </c>
      <c r="P7826">
        <v>12.4772749392422</v>
      </c>
      <c r="Q7826">
        <v>2.0672252078691198</v>
      </c>
      <c r="R7826">
        <v>9.9573480317739307</v>
      </c>
      <c r="S7826">
        <v>66</v>
      </c>
      <c r="T7826">
        <v>24</v>
      </c>
      <c r="U7826">
        <v>429.06746111883803</v>
      </c>
      <c r="V7826">
        <v>2.15749730312837E-3</v>
      </c>
      <c r="W7826">
        <v>1608165.43788311</v>
      </c>
      <c r="X7826" t="s">
        <v>38</v>
      </c>
      <c r="Y7826">
        <f>1-674-915-8723</f>
        <v>-10311</v>
      </c>
    </row>
    <row r="7827" spans="1:25" x14ac:dyDescent="0.35">
      <c r="A7827">
        <v>41.548071915778799</v>
      </c>
      <c r="B7827">
        <v>-118.150779600913</v>
      </c>
      <c r="C7827" t="s">
        <v>34</v>
      </c>
      <c r="D7827">
        <v>46.082530587904998</v>
      </c>
      <c r="E7827">
        <v>6</v>
      </c>
      <c r="F7827">
        <v>2559</v>
      </c>
      <c r="G7827">
        <v>5</v>
      </c>
      <c r="H7827">
        <v>3</v>
      </c>
      <c r="I7827">
        <v>1984</v>
      </c>
      <c r="J7827">
        <v>0</v>
      </c>
      <c r="K7827">
        <v>1</v>
      </c>
      <c r="L7827">
        <v>1</v>
      </c>
      <c r="M7827">
        <v>10</v>
      </c>
      <c r="N7827" t="s">
        <v>26</v>
      </c>
      <c r="O7827" t="s">
        <v>30</v>
      </c>
      <c r="P7827">
        <v>8.4311038566484005</v>
      </c>
      <c r="Q7827">
        <v>1.3278952927694201</v>
      </c>
      <c r="R7827">
        <v>1.74527510478572</v>
      </c>
      <c r="S7827">
        <v>141</v>
      </c>
      <c r="T7827">
        <v>20</v>
      </c>
      <c r="U7827">
        <v>733.27487170219604</v>
      </c>
      <c r="V7827">
        <v>3.9077764751856096E-3</v>
      </c>
      <c r="W7827">
        <v>2356840.5773035199</v>
      </c>
      <c r="X7827" t="s">
        <v>44</v>
      </c>
      <c r="Y7827">
        <f>1-533-852-9203</f>
        <v>-10587</v>
      </c>
    </row>
    <row r="7828" spans="1:25" x14ac:dyDescent="0.35">
      <c r="A7828">
        <v>33.403918742773598</v>
      </c>
      <c r="B7828">
        <v>-119.67282158566999</v>
      </c>
      <c r="C7828" t="s">
        <v>29</v>
      </c>
      <c r="D7828">
        <v>39.796505168692399</v>
      </c>
      <c r="E7828">
        <v>0</v>
      </c>
      <c r="F7828">
        <v>4360</v>
      </c>
      <c r="G7828">
        <v>5</v>
      </c>
      <c r="H7828">
        <v>2</v>
      </c>
      <c r="I7828">
        <v>1985</v>
      </c>
      <c r="J7828">
        <v>0</v>
      </c>
      <c r="K7828">
        <v>0</v>
      </c>
      <c r="L7828">
        <v>0</v>
      </c>
      <c r="M7828">
        <v>9</v>
      </c>
      <c r="N7828" t="s">
        <v>35</v>
      </c>
      <c r="O7828" t="s">
        <v>32</v>
      </c>
      <c r="P7828">
        <v>4.7262714882089796</v>
      </c>
      <c r="Q7828">
        <v>1.38030046334828</v>
      </c>
      <c r="R7828">
        <v>9.8903657867200607</v>
      </c>
      <c r="S7828">
        <v>157</v>
      </c>
      <c r="T7828">
        <v>42</v>
      </c>
      <c r="U7828">
        <v>415.12088194931999</v>
      </c>
      <c r="V7828">
        <v>2.06422018348623E-3</v>
      </c>
      <c r="W7828">
        <v>1991738.49688554</v>
      </c>
      <c r="X7828" t="s">
        <v>42</v>
      </c>
      <c r="Y7828">
        <f>1-683-486-1063</f>
        <v>-2231</v>
      </c>
    </row>
    <row r="7829" spans="1:25" x14ac:dyDescent="0.35">
      <c r="A7829">
        <v>41.471307301762501</v>
      </c>
      <c r="B7829">
        <v>-114.970915038043</v>
      </c>
      <c r="C7829" t="s">
        <v>34</v>
      </c>
      <c r="D7829">
        <v>26.358178134258701</v>
      </c>
      <c r="E7829">
        <v>4</v>
      </c>
      <c r="F7829">
        <v>2023</v>
      </c>
      <c r="G7829">
        <v>2</v>
      </c>
      <c r="H7829">
        <v>3</v>
      </c>
      <c r="I7829">
        <v>1984</v>
      </c>
      <c r="J7829">
        <v>1</v>
      </c>
      <c r="K7829">
        <v>1</v>
      </c>
      <c r="L7829">
        <v>1</v>
      </c>
      <c r="M7829">
        <v>14</v>
      </c>
      <c r="N7829" t="s">
        <v>26</v>
      </c>
      <c r="O7829" t="s">
        <v>27</v>
      </c>
      <c r="P7829">
        <v>3.2248141652289699</v>
      </c>
      <c r="Q7829">
        <v>1.17487430498293</v>
      </c>
      <c r="R7829">
        <v>1.1890037438080401</v>
      </c>
      <c r="S7829">
        <v>183</v>
      </c>
      <c r="T7829">
        <v>65</v>
      </c>
      <c r="U7829">
        <v>261.28866410676198</v>
      </c>
      <c r="V7829">
        <v>6.9204152249134898E-3</v>
      </c>
      <c r="W7829">
        <v>779326.95890041196</v>
      </c>
      <c r="X7829" t="s">
        <v>38</v>
      </c>
      <c r="Y7829">
        <f>1-250-719-2932</f>
        <v>-3900</v>
      </c>
    </row>
    <row r="7830" spans="1:25" x14ac:dyDescent="0.35">
      <c r="A7830">
        <v>32.780009170827</v>
      </c>
      <c r="B7830">
        <v>-123.89391567246101</v>
      </c>
      <c r="C7830" t="s">
        <v>25</v>
      </c>
      <c r="D7830">
        <v>42.192123058879602</v>
      </c>
      <c r="E7830">
        <v>0</v>
      </c>
      <c r="F7830">
        <v>2506</v>
      </c>
      <c r="G7830">
        <v>5</v>
      </c>
      <c r="H7830">
        <v>3</v>
      </c>
      <c r="I7830">
        <v>1962</v>
      </c>
      <c r="J7830">
        <v>1</v>
      </c>
      <c r="K7830">
        <v>1</v>
      </c>
      <c r="L7830">
        <v>0</v>
      </c>
      <c r="M7830">
        <v>5</v>
      </c>
      <c r="N7830" t="s">
        <v>41</v>
      </c>
      <c r="O7830" t="s">
        <v>32</v>
      </c>
      <c r="P7830">
        <v>10.685083433525</v>
      </c>
      <c r="Q7830">
        <v>0.51456429192489195</v>
      </c>
      <c r="R7830">
        <v>7.5425723764975396</v>
      </c>
      <c r="S7830">
        <v>22</v>
      </c>
      <c r="T7830">
        <v>49</v>
      </c>
      <c r="U7830">
        <v>203.259742748647</v>
      </c>
      <c r="V7830">
        <v>1.9952114924181902E-3</v>
      </c>
      <c r="W7830">
        <v>1056990.2735236001</v>
      </c>
      <c r="X7830" t="s">
        <v>36</v>
      </c>
      <c r="Y7830">
        <f>1-581-885-3072</f>
        <v>-4537</v>
      </c>
    </row>
    <row r="7831" spans="1:25" x14ac:dyDescent="0.35">
      <c r="A7831">
        <v>39.072970545026202</v>
      </c>
      <c r="B7831">
        <v>-118.84789426208501</v>
      </c>
      <c r="C7831" t="s">
        <v>34</v>
      </c>
      <c r="D7831">
        <v>41.027381409883702</v>
      </c>
      <c r="E7831">
        <v>9</v>
      </c>
      <c r="F7831">
        <v>4614</v>
      </c>
      <c r="G7831">
        <v>1</v>
      </c>
      <c r="H7831">
        <v>3</v>
      </c>
      <c r="I7831">
        <v>1998</v>
      </c>
      <c r="J7831">
        <v>1</v>
      </c>
      <c r="K7831">
        <v>1</v>
      </c>
      <c r="L7831">
        <v>0</v>
      </c>
      <c r="M7831">
        <v>3</v>
      </c>
      <c r="N7831" t="s">
        <v>41</v>
      </c>
      <c r="O7831" t="s">
        <v>30</v>
      </c>
      <c r="P7831">
        <v>7.62781284237224</v>
      </c>
      <c r="Q7831">
        <v>1.0343186608533299</v>
      </c>
      <c r="R7831">
        <v>6.9898130594766297</v>
      </c>
      <c r="S7831">
        <v>107</v>
      </c>
      <c r="T7831">
        <v>37</v>
      </c>
      <c r="U7831">
        <v>453.023428278388</v>
      </c>
      <c r="V7831">
        <v>6.5019505851755496E-4</v>
      </c>
      <c r="W7831">
        <v>2399313.3575768201</v>
      </c>
      <c r="X7831" t="s">
        <v>28</v>
      </c>
      <c r="Y7831">
        <f>1-455-274-3263</f>
        <v>-3991</v>
      </c>
    </row>
    <row r="7832" spans="1:25" x14ac:dyDescent="0.35">
      <c r="A7832">
        <v>34.835506562935599</v>
      </c>
      <c r="B7832">
        <v>-117.182021737597</v>
      </c>
      <c r="C7832" t="s">
        <v>34</v>
      </c>
      <c r="D7832">
        <v>9.7002597858338699</v>
      </c>
      <c r="E7832">
        <v>8</v>
      </c>
      <c r="F7832">
        <v>3103</v>
      </c>
      <c r="G7832">
        <v>3</v>
      </c>
      <c r="H7832">
        <v>2</v>
      </c>
      <c r="I7832">
        <v>1951</v>
      </c>
      <c r="J7832">
        <v>1</v>
      </c>
      <c r="K7832">
        <v>1</v>
      </c>
      <c r="L7832">
        <v>1</v>
      </c>
      <c r="M7832">
        <v>14</v>
      </c>
      <c r="N7832" t="s">
        <v>41</v>
      </c>
      <c r="O7832" t="s">
        <v>27</v>
      </c>
      <c r="P7832">
        <v>4.7811894806496502</v>
      </c>
      <c r="Q7832">
        <v>2.2051844473267401</v>
      </c>
      <c r="R7832">
        <v>7.7905840939187403</v>
      </c>
      <c r="S7832">
        <v>128</v>
      </c>
      <c r="T7832">
        <v>44</v>
      </c>
      <c r="U7832">
        <v>595.69187160397405</v>
      </c>
      <c r="V7832">
        <v>4.51176281018369E-3</v>
      </c>
      <c r="W7832">
        <v>2148558.72982236</v>
      </c>
      <c r="X7832" t="s">
        <v>38</v>
      </c>
      <c r="Y7832">
        <f>1-757-361-4125</f>
        <v>-5242</v>
      </c>
    </row>
    <row r="7833" spans="1:25" x14ac:dyDescent="0.35">
      <c r="A7833">
        <v>37.821423739954703</v>
      </c>
      <c r="B7833">
        <v>-124.01923474876401</v>
      </c>
      <c r="C7833" t="s">
        <v>29</v>
      </c>
      <c r="D7833">
        <v>31.602315132875201</v>
      </c>
      <c r="E7833">
        <v>0</v>
      </c>
      <c r="F7833">
        <v>2873</v>
      </c>
      <c r="G7833">
        <v>1</v>
      </c>
      <c r="H7833">
        <v>1</v>
      </c>
      <c r="I7833">
        <v>2009</v>
      </c>
      <c r="J7833">
        <v>1</v>
      </c>
      <c r="K7833">
        <v>0</v>
      </c>
      <c r="L7833">
        <v>1</v>
      </c>
      <c r="M7833">
        <v>12</v>
      </c>
      <c r="N7833" t="s">
        <v>41</v>
      </c>
      <c r="O7833" t="s">
        <v>27</v>
      </c>
      <c r="P7833">
        <v>13.306768962548899</v>
      </c>
      <c r="Q7833">
        <v>1.5234226430928</v>
      </c>
      <c r="R7833">
        <v>5.1527124256526804</v>
      </c>
      <c r="S7833">
        <v>115</v>
      </c>
      <c r="T7833">
        <v>78</v>
      </c>
      <c r="U7833">
        <v>863.84500435628104</v>
      </c>
      <c r="V7833">
        <v>4.1768186564566604E-3</v>
      </c>
      <c r="W7833">
        <v>2679420.0470088501</v>
      </c>
      <c r="X7833" t="s">
        <v>36</v>
      </c>
      <c r="Y7833">
        <f>1-793-726-3116</f>
        <v>-4634</v>
      </c>
    </row>
    <row r="7834" spans="1:25" x14ac:dyDescent="0.35">
      <c r="A7834">
        <v>39.874374511674901</v>
      </c>
      <c r="B7834">
        <v>-114.087585675423</v>
      </c>
      <c r="C7834" t="s">
        <v>34</v>
      </c>
      <c r="D7834">
        <v>34.6784623917113</v>
      </c>
      <c r="E7834">
        <v>8</v>
      </c>
      <c r="F7834">
        <v>4464</v>
      </c>
      <c r="G7834">
        <v>2</v>
      </c>
      <c r="H7834">
        <v>3</v>
      </c>
      <c r="I7834">
        <v>2018</v>
      </c>
      <c r="J7834">
        <v>0</v>
      </c>
      <c r="K7834">
        <v>0</v>
      </c>
      <c r="L7834">
        <v>1</v>
      </c>
      <c r="M7834">
        <v>3</v>
      </c>
      <c r="N7834" t="s">
        <v>41</v>
      </c>
      <c r="O7834" t="s">
        <v>30</v>
      </c>
      <c r="P7834">
        <v>5.2226946896509503</v>
      </c>
      <c r="Q7834">
        <v>2.21598008243698</v>
      </c>
      <c r="R7834">
        <v>7.2522200579448004</v>
      </c>
      <c r="S7834">
        <v>170</v>
      </c>
      <c r="T7834">
        <v>79</v>
      </c>
      <c r="U7834">
        <v>319.33523407333399</v>
      </c>
      <c r="V7834">
        <v>6.7204301075268801E-4</v>
      </c>
      <c r="W7834">
        <v>1584147.36355627</v>
      </c>
      <c r="X7834" t="s">
        <v>40</v>
      </c>
      <c r="Y7834">
        <f>1-333-587-2070</f>
        <v>-2989</v>
      </c>
    </row>
    <row r="7835" spans="1:25" x14ac:dyDescent="0.35">
      <c r="A7835">
        <v>39.629882163781403</v>
      </c>
      <c r="B7835">
        <v>-117.70988276737501</v>
      </c>
      <c r="C7835" t="s">
        <v>29</v>
      </c>
      <c r="D7835">
        <v>15.580520696181299</v>
      </c>
      <c r="E7835">
        <v>2</v>
      </c>
      <c r="F7835">
        <v>3814</v>
      </c>
      <c r="G7835">
        <v>1</v>
      </c>
      <c r="H7835">
        <v>2</v>
      </c>
      <c r="I7835">
        <v>2006</v>
      </c>
      <c r="J7835">
        <v>0</v>
      </c>
      <c r="K7835">
        <v>1</v>
      </c>
      <c r="L7835">
        <v>1</v>
      </c>
      <c r="M7835">
        <v>7</v>
      </c>
      <c r="N7835" t="s">
        <v>26</v>
      </c>
      <c r="O7835" t="s">
        <v>32</v>
      </c>
      <c r="P7835">
        <v>11.243663424602699</v>
      </c>
      <c r="Q7835">
        <v>0.79162915602761597</v>
      </c>
      <c r="R7835">
        <v>4.2929376199105196</v>
      </c>
      <c r="S7835">
        <v>60</v>
      </c>
      <c r="T7835">
        <v>55</v>
      </c>
      <c r="U7835">
        <v>312.85758844653702</v>
      </c>
      <c r="V7835">
        <v>1.83534347142108E-3</v>
      </c>
      <c r="W7835">
        <v>1465971.7089088501</v>
      </c>
      <c r="X7835" t="s">
        <v>42</v>
      </c>
      <c r="Y7835">
        <f>1-484-729-7884</f>
        <v>-9096</v>
      </c>
    </row>
    <row r="7836" spans="1:25" x14ac:dyDescent="0.35">
      <c r="A7836">
        <v>38.212165324305403</v>
      </c>
      <c r="B7836">
        <v>-121.910703910123</v>
      </c>
      <c r="C7836" t="s">
        <v>29</v>
      </c>
      <c r="D7836">
        <v>43.2305887213817</v>
      </c>
      <c r="E7836">
        <v>7</v>
      </c>
      <c r="F7836">
        <v>4283</v>
      </c>
      <c r="G7836">
        <v>3</v>
      </c>
      <c r="H7836">
        <v>3</v>
      </c>
      <c r="I7836">
        <v>1966</v>
      </c>
      <c r="J7836">
        <v>0</v>
      </c>
      <c r="K7836">
        <v>1</v>
      </c>
      <c r="L7836">
        <v>0</v>
      </c>
      <c r="M7836">
        <v>10</v>
      </c>
      <c r="N7836" t="s">
        <v>37</v>
      </c>
      <c r="O7836" t="s">
        <v>32</v>
      </c>
      <c r="P7836">
        <v>9.3497167613963104</v>
      </c>
      <c r="Q7836">
        <v>1.9925303406858501</v>
      </c>
      <c r="R7836">
        <v>2.8483806769640601</v>
      </c>
      <c r="S7836">
        <v>15</v>
      </c>
      <c r="T7836">
        <v>43</v>
      </c>
      <c r="U7836">
        <v>508.84872654949299</v>
      </c>
      <c r="V7836">
        <v>2.3348120476301601E-3</v>
      </c>
      <c r="W7836">
        <v>2596543.6979251299</v>
      </c>
      <c r="X7836" t="s">
        <v>44</v>
      </c>
      <c r="Y7836">
        <f>1-341-643-4952</f>
        <v>-5935</v>
      </c>
    </row>
    <row r="7837" spans="1:25" x14ac:dyDescent="0.35">
      <c r="A7837">
        <v>36.124125876295501</v>
      </c>
      <c r="B7837">
        <v>-122.79702148098301</v>
      </c>
      <c r="C7837" t="s">
        <v>25</v>
      </c>
      <c r="D7837">
        <v>27.265292103332801</v>
      </c>
      <c r="E7837">
        <v>0</v>
      </c>
      <c r="F7837">
        <v>1333</v>
      </c>
      <c r="G7837">
        <v>3</v>
      </c>
      <c r="H7837">
        <v>2</v>
      </c>
      <c r="I7837">
        <v>2022</v>
      </c>
      <c r="J7837">
        <v>1</v>
      </c>
      <c r="K7837">
        <v>1</v>
      </c>
      <c r="L7837">
        <v>1</v>
      </c>
      <c r="M7837">
        <v>3</v>
      </c>
      <c r="N7837" t="s">
        <v>26</v>
      </c>
      <c r="O7837" t="s">
        <v>30</v>
      </c>
      <c r="P7837">
        <v>6.0230446652698104</v>
      </c>
      <c r="Q7837">
        <v>1.55784918709496</v>
      </c>
      <c r="R7837">
        <v>6.7260548308552099</v>
      </c>
      <c r="S7837">
        <v>35</v>
      </c>
      <c r="T7837">
        <v>36</v>
      </c>
      <c r="U7837">
        <v>588.49625361498602</v>
      </c>
      <c r="V7837">
        <v>2.2505626406601601E-3</v>
      </c>
      <c r="W7837">
        <v>1218790.7273999299</v>
      </c>
      <c r="X7837" t="s">
        <v>33</v>
      </c>
      <c r="Y7837">
        <f>1-721-828-9477</f>
        <v>-11025</v>
      </c>
    </row>
    <row r="7838" spans="1:25" x14ac:dyDescent="0.35">
      <c r="A7838">
        <v>32.550485090610799</v>
      </c>
      <c r="B7838">
        <v>-118.51960842967399</v>
      </c>
      <c r="C7838" t="s">
        <v>25</v>
      </c>
      <c r="D7838">
        <v>21.5190688199006</v>
      </c>
      <c r="E7838">
        <v>6</v>
      </c>
      <c r="F7838">
        <v>2865</v>
      </c>
      <c r="G7838">
        <v>2</v>
      </c>
      <c r="H7838">
        <v>1</v>
      </c>
      <c r="I7838">
        <v>1958</v>
      </c>
      <c r="J7838">
        <v>0</v>
      </c>
      <c r="K7838">
        <v>0</v>
      </c>
      <c r="L7838">
        <v>0</v>
      </c>
      <c r="M7838">
        <v>4</v>
      </c>
      <c r="N7838" t="s">
        <v>26</v>
      </c>
      <c r="O7838" t="s">
        <v>30</v>
      </c>
      <c r="P7838">
        <v>12.407371986940699</v>
      </c>
      <c r="Q7838">
        <v>2.36530775915534</v>
      </c>
      <c r="R7838">
        <v>7.5856666844631899</v>
      </c>
      <c r="S7838">
        <v>55</v>
      </c>
      <c r="T7838">
        <v>79</v>
      </c>
      <c r="U7838">
        <v>911.41088999377098</v>
      </c>
      <c r="V7838">
        <v>1.39616055846422E-3</v>
      </c>
      <c r="W7838">
        <v>2779696.5264987499</v>
      </c>
      <c r="X7838" t="s">
        <v>43</v>
      </c>
      <c r="Y7838">
        <f>1-498-251-5870</f>
        <v>-6618</v>
      </c>
    </row>
    <row r="7839" spans="1:25" x14ac:dyDescent="0.35">
      <c r="A7839">
        <v>36.555477310247497</v>
      </c>
      <c r="B7839">
        <v>-120.71166293098</v>
      </c>
      <c r="C7839" t="s">
        <v>34</v>
      </c>
      <c r="D7839">
        <v>34.065764993877501</v>
      </c>
      <c r="E7839">
        <v>2</v>
      </c>
      <c r="F7839">
        <v>4263</v>
      </c>
      <c r="G7839">
        <v>2</v>
      </c>
      <c r="H7839">
        <v>3</v>
      </c>
      <c r="I7839">
        <v>2003</v>
      </c>
      <c r="J7839">
        <v>1</v>
      </c>
      <c r="K7839">
        <v>1</v>
      </c>
      <c r="L7839">
        <v>1</v>
      </c>
      <c r="M7839">
        <v>11</v>
      </c>
      <c r="N7839" t="s">
        <v>37</v>
      </c>
      <c r="O7839" t="s">
        <v>32</v>
      </c>
      <c r="P7839">
        <v>12.9859487112504</v>
      </c>
      <c r="Q7839">
        <v>1.8804187502377301</v>
      </c>
      <c r="R7839">
        <v>9.8193914706524693E-2</v>
      </c>
      <c r="S7839">
        <v>182</v>
      </c>
      <c r="T7839">
        <v>78</v>
      </c>
      <c r="U7839">
        <v>214.115533265545</v>
      </c>
      <c r="V7839">
        <v>2.58034248182031E-3</v>
      </c>
      <c r="W7839">
        <v>1378823.0524484401</v>
      </c>
      <c r="X7839" t="s">
        <v>40</v>
      </c>
      <c r="Y7839">
        <f>1-796-445-5702</f>
        <v>-6942</v>
      </c>
    </row>
    <row r="7840" spans="1:25" x14ac:dyDescent="0.35">
      <c r="A7840">
        <v>32.690051219292698</v>
      </c>
      <c r="B7840">
        <v>-119.918500378663</v>
      </c>
      <c r="C7840" t="s">
        <v>34</v>
      </c>
      <c r="D7840">
        <v>28.3806006438076</v>
      </c>
      <c r="E7840">
        <v>2</v>
      </c>
      <c r="F7840">
        <v>3517</v>
      </c>
      <c r="G7840">
        <v>5</v>
      </c>
      <c r="H7840">
        <v>1</v>
      </c>
      <c r="I7840">
        <v>1966</v>
      </c>
      <c r="J7840">
        <v>0</v>
      </c>
      <c r="K7840">
        <v>1</v>
      </c>
      <c r="L7840">
        <v>0</v>
      </c>
      <c r="M7840">
        <v>11</v>
      </c>
      <c r="N7840" t="s">
        <v>26</v>
      </c>
      <c r="O7840" t="s">
        <v>30</v>
      </c>
      <c r="P7840">
        <v>9.5502662365859798</v>
      </c>
      <c r="Q7840">
        <v>1.9745634045635201</v>
      </c>
      <c r="R7840">
        <v>8.0202743045921903</v>
      </c>
      <c r="S7840">
        <v>126</v>
      </c>
      <c r="T7840">
        <v>27</v>
      </c>
      <c r="U7840">
        <v>413.14949124013799</v>
      </c>
      <c r="V7840">
        <v>3.12766562411145E-3</v>
      </c>
      <c r="W7840">
        <v>1754148.5646836199</v>
      </c>
      <c r="X7840" t="s">
        <v>40</v>
      </c>
      <c r="Y7840">
        <f>1-450-386-9760</f>
        <v>-10595</v>
      </c>
    </row>
    <row r="7841" spans="1:25" x14ac:dyDescent="0.35">
      <c r="A7841">
        <v>33.1420076588144</v>
      </c>
      <c r="B7841">
        <v>-124.32259518701299</v>
      </c>
      <c r="C7841" t="s">
        <v>29</v>
      </c>
      <c r="D7841">
        <v>14.171770619185899</v>
      </c>
      <c r="E7841">
        <v>9</v>
      </c>
      <c r="F7841">
        <v>2927</v>
      </c>
      <c r="G7841">
        <v>2</v>
      </c>
      <c r="H7841">
        <v>3</v>
      </c>
      <c r="I7841">
        <v>1984</v>
      </c>
      <c r="J7841">
        <v>1</v>
      </c>
      <c r="K7841">
        <v>0</v>
      </c>
      <c r="L7841">
        <v>0</v>
      </c>
      <c r="M7841">
        <v>12</v>
      </c>
      <c r="N7841" t="s">
        <v>37</v>
      </c>
      <c r="O7841" t="s">
        <v>32</v>
      </c>
      <c r="P7841">
        <v>3.49482188003849</v>
      </c>
      <c r="Q7841">
        <v>2.4133292204254699</v>
      </c>
      <c r="R7841">
        <v>4.0752839046384599</v>
      </c>
      <c r="S7841">
        <v>134</v>
      </c>
      <c r="T7841">
        <v>32</v>
      </c>
      <c r="U7841">
        <v>999.33306878451106</v>
      </c>
      <c r="V7841">
        <v>4.0997608472839002E-3</v>
      </c>
      <c r="W7841">
        <v>3045717.36510411</v>
      </c>
      <c r="X7841" t="s">
        <v>42</v>
      </c>
      <c r="Y7841">
        <f>1-848-900-1014</f>
        <v>-2761</v>
      </c>
    </row>
    <row r="7842" spans="1:25" x14ac:dyDescent="0.35">
      <c r="A7842">
        <v>35.430973281512102</v>
      </c>
      <c r="B7842">
        <v>-117.55955153605299</v>
      </c>
      <c r="C7842" t="s">
        <v>34</v>
      </c>
      <c r="D7842">
        <v>26.364171743115101</v>
      </c>
      <c r="E7842">
        <v>3</v>
      </c>
      <c r="F7842">
        <v>2381</v>
      </c>
      <c r="G7842">
        <v>5</v>
      </c>
      <c r="H7842">
        <v>2</v>
      </c>
      <c r="I7842">
        <v>1974</v>
      </c>
      <c r="J7842">
        <v>1</v>
      </c>
      <c r="K7842">
        <v>0</v>
      </c>
      <c r="L7842">
        <v>0</v>
      </c>
      <c r="M7842">
        <v>9</v>
      </c>
      <c r="N7842" t="s">
        <v>37</v>
      </c>
      <c r="O7842" t="s">
        <v>27</v>
      </c>
      <c r="P7842">
        <v>2.8409856341749302</v>
      </c>
      <c r="Q7842">
        <v>1.8697111704635601</v>
      </c>
      <c r="R7842">
        <v>0.28884244987640301</v>
      </c>
      <c r="S7842">
        <v>117</v>
      </c>
      <c r="T7842">
        <v>50</v>
      </c>
      <c r="U7842">
        <v>586.42846286215797</v>
      </c>
      <c r="V7842">
        <v>3.77992440151196E-3</v>
      </c>
      <c r="W7842">
        <v>1723637.3253843901</v>
      </c>
      <c r="X7842" t="s">
        <v>28</v>
      </c>
      <c r="Y7842">
        <f>1-767-370-6753</f>
        <v>-7889</v>
      </c>
    </row>
    <row r="7843" spans="1:25" x14ac:dyDescent="0.35">
      <c r="A7843">
        <v>34.364984800969097</v>
      </c>
      <c r="B7843">
        <v>-116.729256631154</v>
      </c>
      <c r="C7843" t="s">
        <v>29</v>
      </c>
      <c r="D7843">
        <v>1.3584621479762999</v>
      </c>
      <c r="E7843">
        <v>6</v>
      </c>
      <c r="F7843">
        <v>1629</v>
      </c>
      <c r="G7843">
        <v>3</v>
      </c>
      <c r="H7843">
        <v>1</v>
      </c>
      <c r="I7843">
        <v>1989</v>
      </c>
      <c r="J7843">
        <v>0</v>
      </c>
      <c r="K7843">
        <v>1</v>
      </c>
      <c r="L7843">
        <v>0</v>
      </c>
      <c r="M7843">
        <v>11</v>
      </c>
      <c r="N7843" t="s">
        <v>26</v>
      </c>
      <c r="O7843" t="s">
        <v>30</v>
      </c>
      <c r="P7843">
        <v>6.0207423313769199</v>
      </c>
      <c r="Q7843">
        <v>1.8872957670705399</v>
      </c>
      <c r="R7843">
        <v>7.5317050962292003</v>
      </c>
      <c r="S7843">
        <v>81</v>
      </c>
      <c r="T7843">
        <v>42</v>
      </c>
      <c r="U7843">
        <v>715.66245598482203</v>
      </c>
      <c r="V7843">
        <v>6.7526089625537097E-3</v>
      </c>
      <c r="W7843">
        <v>1448112.95285852</v>
      </c>
      <c r="X7843" t="s">
        <v>38</v>
      </c>
      <c r="Y7843">
        <f>1-818-984-9459</f>
        <v>-11260</v>
      </c>
    </row>
    <row r="7844" spans="1:25" x14ac:dyDescent="0.35">
      <c r="A7844">
        <v>36.929344356309301</v>
      </c>
      <c r="B7844">
        <v>-116.741794679926</v>
      </c>
      <c r="C7844" t="s">
        <v>34</v>
      </c>
      <c r="D7844">
        <v>38.400523979366099</v>
      </c>
      <c r="E7844">
        <v>4</v>
      </c>
      <c r="F7844">
        <v>799</v>
      </c>
      <c r="G7844">
        <v>4</v>
      </c>
      <c r="H7844">
        <v>2</v>
      </c>
      <c r="I7844">
        <v>2020</v>
      </c>
      <c r="J7844">
        <v>0</v>
      </c>
      <c r="K7844">
        <v>0</v>
      </c>
      <c r="L7844">
        <v>0</v>
      </c>
      <c r="M7844">
        <v>5</v>
      </c>
      <c r="N7844" t="s">
        <v>37</v>
      </c>
      <c r="O7844" t="s">
        <v>32</v>
      </c>
      <c r="P7844">
        <v>2.7712602876191701</v>
      </c>
      <c r="Q7844">
        <v>2.3483943164328198</v>
      </c>
      <c r="R7844">
        <v>9.2487663654084091</v>
      </c>
      <c r="S7844">
        <v>115</v>
      </c>
      <c r="T7844">
        <v>75</v>
      </c>
      <c r="U7844">
        <v>311.31595469637898</v>
      </c>
      <c r="V7844">
        <v>6.2578222778473004E-3</v>
      </c>
      <c r="W7844">
        <v>456114.03384662402</v>
      </c>
      <c r="X7844" t="s">
        <v>38</v>
      </c>
      <c r="Y7844">
        <f>1-833-235-3340</f>
        <v>-4407</v>
      </c>
    </row>
    <row r="7845" spans="1:25" x14ac:dyDescent="0.35">
      <c r="A7845">
        <v>41.925805059534397</v>
      </c>
      <c r="B7845">
        <v>-117.34587515453499</v>
      </c>
      <c r="C7845" t="s">
        <v>29</v>
      </c>
      <c r="D7845">
        <v>33.486222513169601</v>
      </c>
      <c r="E7845">
        <v>8</v>
      </c>
      <c r="F7845">
        <v>4103</v>
      </c>
      <c r="G7845">
        <v>1</v>
      </c>
      <c r="H7845">
        <v>1</v>
      </c>
      <c r="I7845">
        <v>1975</v>
      </c>
      <c r="J7845">
        <v>1</v>
      </c>
      <c r="K7845">
        <v>1</v>
      </c>
      <c r="L7845">
        <v>1</v>
      </c>
      <c r="M7845">
        <v>4</v>
      </c>
      <c r="N7845" t="s">
        <v>26</v>
      </c>
      <c r="O7845" t="s">
        <v>27</v>
      </c>
      <c r="P7845">
        <v>8.5941747098625907</v>
      </c>
      <c r="Q7845">
        <v>2.4810023941617101</v>
      </c>
      <c r="R7845">
        <v>2.6494464546926402</v>
      </c>
      <c r="S7845">
        <v>189</v>
      </c>
      <c r="T7845">
        <v>31</v>
      </c>
      <c r="U7845">
        <v>717.43046351501198</v>
      </c>
      <c r="V7845">
        <v>9.7489641725566605E-4</v>
      </c>
      <c r="W7845">
        <v>3096266.1331991702</v>
      </c>
      <c r="X7845" t="s">
        <v>39</v>
      </c>
      <c r="Y7845">
        <f>1-645-946-1909</f>
        <v>-3499</v>
      </c>
    </row>
    <row r="7846" spans="1:25" x14ac:dyDescent="0.35">
      <c r="A7846">
        <v>41.556641869787804</v>
      </c>
      <c r="B7846">
        <v>-121.58221139734501</v>
      </c>
      <c r="C7846" t="s">
        <v>29</v>
      </c>
      <c r="D7846">
        <v>12.728572037426501</v>
      </c>
      <c r="E7846">
        <v>2</v>
      </c>
      <c r="F7846">
        <v>4680</v>
      </c>
      <c r="G7846">
        <v>5</v>
      </c>
      <c r="H7846">
        <v>1</v>
      </c>
      <c r="I7846">
        <v>1951</v>
      </c>
      <c r="J7846">
        <v>1</v>
      </c>
      <c r="K7846">
        <v>1</v>
      </c>
      <c r="L7846">
        <v>0</v>
      </c>
      <c r="M7846">
        <v>3</v>
      </c>
      <c r="N7846" t="s">
        <v>26</v>
      </c>
      <c r="O7846" t="s">
        <v>30</v>
      </c>
      <c r="P7846">
        <v>11.149980043103399</v>
      </c>
      <c r="Q7846">
        <v>0.59786868103775204</v>
      </c>
      <c r="R7846">
        <v>5.64868127257132</v>
      </c>
      <c r="S7846">
        <v>12</v>
      </c>
      <c r="T7846">
        <v>45</v>
      </c>
      <c r="U7846">
        <v>654.98718921050204</v>
      </c>
      <c r="V7846">
        <v>6.4102564102564103E-4</v>
      </c>
      <c r="W7846">
        <v>3487309.0027787699</v>
      </c>
      <c r="X7846" t="s">
        <v>28</v>
      </c>
      <c r="Y7846">
        <f>1-658-300-1963</f>
        <v>-2920</v>
      </c>
    </row>
    <row r="7847" spans="1:25" x14ac:dyDescent="0.35">
      <c r="A7847">
        <v>33.371931222310202</v>
      </c>
      <c r="B7847">
        <v>-120.79586129680401</v>
      </c>
      <c r="C7847" t="s">
        <v>34</v>
      </c>
      <c r="D7847">
        <v>34.302207919044498</v>
      </c>
      <c r="E7847">
        <v>2</v>
      </c>
      <c r="F7847">
        <v>2493</v>
      </c>
      <c r="G7847">
        <v>2</v>
      </c>
      <c r="H7847">
        <v>2</v>
      </c>
      <c r="I7847">
        <v>2008</v>
      </c>
      <c r="J7847">
        <v>0</v>
      </c>
      <c r="K7847">
        <v>0</v>
      </c>
      <c r="L7847">
        <v>1</v>
      </c>
      <c r="M7847">
        <v>8</v>
      </c>
      <c r="N7847" t="s">
        <v>41</v>
      </c>
      <c r="O7847" t="s">
        <v>30</v>
      </c>
      <c r="P7847">
        <v>8.5336800288717107</v>
      </c>
      <c r="Q7847">
        <v>2.0431976876091298</v>
      </c>
      <c r="R7847">
        <v>4.2749740227222697</v>
      </c>
      <c r="S7847">
        <v>0</v>
      </c>
      <c r="T7847">
        <v>31</v>
      </c>
      <c r="U7847">
        <v>734.49665628003595</v>
      </c>
      <c r="V7847">
        <v>3.2089851584436399E-3</v>
      </c>
      <c r="W7847">
        <v>1980743.30460527</v>
      </c>
      <c r="X7847" t="s">
        <v>40</v>
      </c>
      <c r="Y7847">
        <f>1-507-456-9215</f>
        <v>-10177</v>
      </c>
    </row>
    <row r="7848" spans="1:25" x14ac:dyDescent="0.35">
      <c r="A7848">
        <v>38.6061763410883</v>
      </c>
      <c r="B7848">
        <v>-115.53231315511999</v>
      </c>
      <c r="C7848" t="s">
        <v>34</v>
      </c>
      <c r="D7848">
        <v>16.433769098374</v>
      </c>
      <c r="E7848">
        <v>9</v>
      </c>
      <c r="F7848">
        <v>4489</v>
      </c>
      <c r="G7848">
        <v>2</v>
      </c>
      <c r="H7848">
        <v>3</v>
      </c>
      <c r="I7848">
        <v>1995</v>
      </c>
      <c r="J7848">
        <v>0</v>
      </c>
      <c r="K7848">
        <v>1</v>
      </c>
      <c r="L7848">
        <v>1</v>
      </c>
      <c r="M7848">
        <v>14</v>
      </c>
      <c r="N7848" t="s">
        <v>35</v>
      </c>
      <c r="O7848" t="s">
        <v>32</v>
      </c>
      <c r="P7848">
        <v>2.9874438156532799</v>
      </c>
      <c r="Q7848">
        <v>1.6513648510766801</v>
      </c>
      <c r="R7848">
        <v>9.6640073957004393</v>
      </c>
      <c r="S7848">
        <v>75</v>
      </c>
      <c r="T7848">
        <v>57</v>
      </c>
      <c r="U7848">
        <v>524.24095860173497</v>
      </c>
      <c r="V7848">
        <v>3.1187346847850301E-3</v>
      </c>
      <c r="W7848">
        <v>2599601.4160462799</v>
      </c>
      <c r="X7848" t="s">
        <v>42</v>
      </c>
      <c r="Y7848">
        <f>1-638-963-1827</f>
        <v>-3427</v>
      </c>
    </row>
    <row r="7849" spans="1:25" x14ac:dyDescent="0.35">
      <c r="A7849">
        <v>41.0783090712846</v>
      </c>
      <c r="B7849">
        <v>-117.672121143552</v>
      </c>
      <c r="C7849" t="s">
        <v>25</v>
      </c>
      <c r="D7849">
        <v>15.7983302209181</v>
      </c>
      <c r="E7849">
        <v>0</v>
      </c>
      <c r="F7849">
        <v>1079</v>
      </c>
      <c r="G7849">
        <v>3</v>
      </c>
      <c r="H7849">
        <v>1</v>
      </c>
      <c r="I7849">
        <v>2006</v>
      </c>
      <c r="J7849">
        <v>0</v>
      </c>
      <c r="K7849">
        <v>0</v>
      </c>
      <c r="L7849">
        <v>0</v>
      </c>
      <c r="M7849">
        <v>12</v>
      </c>
      <c r="N7849" t="s">
        <v>37</v>
      </c>
      <c r="O7849" t="s">
        <v>27</v>
      </c>
      <c r="P7849">
        <v>13.0337065617961</v>
      </c>
      <c r="Q7849">
        <v>2.0092497162354501</v>
      </c>
      <c r="R7849">
        <v>3.7194457559373602</v>
      </c>
      <c r="S7849">
        <v>61</v>
      </c>
      <c r="T7849">
        <v>76</v>
      </c>
      <c r="U7849">
        <v>488.22566757907202</v>
      </c>
      <c r="V7849">
        <v>1.11214087117701E-2</v>
      </c>
      <c r="W7849">
        <v>786309.37830266205</v>
      </c>
      <c r="X7849" t="s">
        <v>39</v>
      </c>
      <c r="Y7849">
        <f>1-624-421-2542</f>
        <v>-3586</v>
      </c>
    </row>
    <row r="7850" spans="1:25" x14ac:dyDescent="0.35">
      <c r="A7850">
        <v>36.508695696308799</v>
      </c>
      <c r="B7850">
        <v>-120.237102389001</v>
      </c>
      <c r="C7850" t="s">
        <v>25</v>
      </c>
      <c r="D7850">
        <v>8.8375765740373993</v>
      </c>
      <c r="E7850">
        <v>5</v>
      </c>
      <c r="F7850">
        <v>2046</v>
      </c>
      <c r="G7850">
        <v>3</v>
      </c>
      <c r="H7850">
        <v>1</v>
      </c>
      <c r="I7850">
        <v>2011</v>
      </c>
      <c r="J7850">
        <v>0</v>
      </c>
      <c r="K7850">
        <v>1</v>
      </c>
      <c r="L7850">
        <v>1</v>
      </c>
      <c r="M7850">
        <v>13</v>
      </c>
      <c r="N7850" t="s">
        <v>26</v>
      </c>
      <c r="O7850" t="s">
        <v>27</v>
      </c>
      <c r="P7850">
        <v>7.6637734749445698</v>
      </c>
      <c r="Q7850">
        <v>1.9056010667259</v>
      </c>
      <c r="R7850">
        <v>3.6606096580132701</v>
      </c>
      <c r="S7850">
        <v>47</v>
      </c>
      <c r="T7850">
        <v>35</v>
      </c>
      <c r="U7850">
        <v>317.45063249553499</v>
      </c>
      <c r="V7850">
        <v>6.3538611925708704E-3</v>
      </c>
      <c r="W7850">
        <v>976062.98070047796</v>
      </c>
      <c r="X7850" t="s">
        <v>33</v>
      </c>
      <c r="Y7850">
        <f>1-671-110-8723</f>
        <v>-9503</v>
      </c>
    </row>
    <row r="7851" spans="1:25" x14ac:dyDescent="0.35">
      <c r="A7851">
        <v>37.580526386428701</v>
      </c>
      <c r="B7851">
        <v>-115.34058402769099</v>
      </c>
      <c r="C7851" t="s">
        <v>34</v>
      </c>
      <c r="D7851">
        <v>46.138691503665903</v>
      </c>
      <c r="E7851">
        <v>4</v>
      </c>
      <c r="F7851">
        <v>776</v>
      </c>
      <c r="G7851">
        <v>4</v>
      </c>
      <c r="H7851">
        <v>3</v>
      </c>
      <c r="I7851">
        <v>1997</v>
      </c>
      <c r="J7851">
        <v>0</v>
      </c>
      <c r="K7851">
        <v>1</v>
      </c>
      <c r="L7851">
        <v>0</v>
      </c>
      <c r="M7851">
        <v>6</v>
      </c>
      <c r="N7851" t="s">
        <v>35</v>
      </c>
      <c r="O7851" t="s">
        <v>27</v>
      </c>
      <c r="P7851">
        <v>4.8058988207825104</v>
      </c>
      <c r="Q7851">
        <v>2.47918143856465</v>
      </c>
      <c r="R7851">
        <v>4.8752971252305599</v>
      </c>
      <c r="S7851">
        <v>177</v>
      </c>
      <c r="T7851">
        <v>21</v>
      </c>
      <c r="U7851">
        <v>722.54701302519697</v>
      </c>
      <c r="V7851">
        <v>7.7319587628865904E-3</v>
      </c>
      <c r="W7851">
        <v>786178.55057782703</v>
      </c>
      <c r="X7851" t="s">
        <v>31</v>
      </c>
      <c r="Y7851">
        <f>1-867-378-3457</f>
        <v>-4701</v>
      </c>
    </row>
    <row r="7852" spans="1:25" x14ac:dyDescent="0.35">
      <c r="A7852">
        <v>37.334426558960601</v>
      </c>
      <c r="B7852">
        <v>-120.28537830530701</v>
      </c>
      <c r="C7852" t="s">
        <v>34</v>
      </c>
      <c r="D7852">
        <v>6.2253064021772797</v>
      </c>
      <c r="E7852">
        <v>2</v>
      </c>
      <c r="F7852">
        <v>4902</v>
      </c>
      <c r="G7852">
        <v>4</v>
      </c>
      <c r="H7852">
        <v>2</v>
      </c>
      <c r="I7852">
        <v>1973</v>
      </c>
      <c r="J7852">
        <v>1</v>
      </c>
      <c r="K7852">
        <v>1</v>
      </c>
      <c r="L7852">
        <v>0</v>
      </c>
      <c r="M7852">
        <v>9</v>
      </c>
      <c r="N7852" t="s">
        <v>35</v>
      </c>
      <c r="O7852" t="s">
        <v>32</v>
      </c>
      <c r="P7852">
        <v>4.1106379982514101</v>
      </c>
      <c r="Q7852">
        <v>2.3626736176591598</v>
      </c>
      <c r="R7852">
        <v>6.4612405135571898</v>
      </c>
      <c r="S7852">
        <v>141</v>
      </c>
      <c r="T7852">
        <v>52</v>
      </c>
      <c r="U7852">
        <v>590.05108109710102</v>
      </c>
      <c r="V7852">
        <v>1.8359853121175001E-3</v>
      </c>
      <c r="W7852">
        <v>3162203.8525785501</v>
      </c>
      <c r="X7852" t="s">
        <v>36</v>
      </c>
      <c r="Y7852">
        <f>1-719-765-9605</f>
        <v>-11088</v>
      </c>
    </row>
    <row r="7853" spans="1:25" x14ac:dyDescent="0.35">
      <c r="A7853">
        <v>35.806182626386899</v>
      </c>
      <c r="B7853">
        <v>-123.001684438732</v>
      </c>
      <c r="C7853" t="s">
        <v>29</v>
      </c>
      <c r="D7853">
        <v>41.8481230176629</v>
      </c>
      <c r="E7853">
        <v>9</v>
      </c>
      <c r="F7853">
        <v>3961</v>
      </c>
      <c r="G7853">
        <v>5</v>
      </c>
      <c r="H7853">
        <v>3</v>
      </c>
      <c r="I7853">
        <v>2013</v>
      </c>
      <c r="J7853">
        <v>0</v>
      </c>
      <c r="K7853">
        <v>0</v>
      </c>
      <c r="L7853">
        <v>1</v>
      </c>
      <c r="M7853">
        <v>12</v>
      </c>
      <c r="N7853" t="s">
        <v>35</v>
      </c>
      <c r="O7853" t="s">
        <v>27</v>
      </c>
      <c r="P7853">
        <v>7.4035699053738302</v>
      </c>
      <c r="Q7853">
        <v>1.16673239678531</v>
      </c>
      <c r="R7853">
        <v>5.9344793816198198</v>
      </c>
      <c r="S7853">
        <v>24</v>
      </c>
      <c r="T7853">
        <v>37</v>
      </c>
      <c r="U7853">
        <v>207.832882979619</v>
      </c>
      <c r="V7853">
        <v>3.0295379954556902E-3</v>
      </c>
      <c r="W7853">
        <v>1150933.0455801799</v>
      </c>
      <c r="X7853" t="s">
        <v>43</v>
      </c>
      <c r="Y7853">
        <f>1-356-117-2303</f>
        <v>-2775</v>
      </c>
    </row>
    <row r="7854" spans="1:25" x14ac:dyDescent="0.35">
      <c r="A7854">
        <v>35.332224028481399</v>
      </c>
      <c r="B7854">
        <v>-118.903405576892</v>
      </c>
      <c r="C7854" t="s">
        <v>34</v>
      </c>
      <c r="D7854">
        <v>9.2103750153479709</v>
      </c>
      <c r="E7854">
        <v>8</v>
      </c>
      <c r="F7854">
        <v>3307</v>
      </c>
      <c r="G7854">
        <v>5</v>
      </c>
      <c r="H7854">
        <v>1</v>
      </c>
      <c r="I7854">
        <v>1995</v>
      </c>
      <c r="J7854">
        <v>1</v>
      </c>
      <c r="K7854">
        <v>1</v>
      </c>
      <c r="L7854">
        <v>1</v>
      </c>
      <c r="M7854">
        <v>13</v>
      </c>
      <c r="N7854" t="s">
        <v>37</v>
      </c>
      <c r="O7854" t="s">
        <v>30</v>
      </c>
      <c r="P7854">
        <v>13.1366533484802</v>
      </c>
      <c r="Q7854">
        <v>1.2851618610004001</v>
      </c>
      <c r="R7854">
        <v>1.00865695767161</v>
      </c>
      <c r="S7854">
        <v>32</v>
      </c>
      <c r="T7854">
        <v>63</v>
      </c>
      <c r="U7854">
        <v>570.300389144223</v>
      </c>
      <c r="V7854">
        <v>3.9310553371635897E-3</v>
      </c>
      <c r="W7854">
        <v>2597493.26108489</v>
      </c>
      <c r="X7854" t="s">
        <v>42</v>
      </c>
      <c r="Y7854">
        <f>1-597-388-4352</f>
        <v>-5336</v>
      </c>
    </row>
    <row r="7855" spans="1:25" x14ac:dyDescent="0.35">
      <c r="A7855">
        <v>34.749126237976697</v>
      </c>
      <c r="B7855">
        <v>-119.358999952612</v>
      </c>
      <c r="C7855" t="s">
        <v>25</v>
      </c>
      <c r="D7855">
        <v>25.4446367302826</v>
      </c>
      <c r="E7855">
        <v>0</v>
      </c>
      <c r="F7855">
        <v>2935</v>
      </c>
      <c r="G7855">
        <v>1</v>
      </c>
      <c r="H7855">
        <v>1</v>
      </c>
      <c r="I7855">
        <v>2005</v>
      </c>
      <c r="J7855">
        <v>1</v>
      </c>
      <c r="K7855">
        <v>0</v>
      </c>
      <c r="L7855">
        <v>0</v>
      </c>
      <c r="M7855">
        <v>5</v>
      </c>
      <c r="N7855" t="s">
        <v>41</v>
      </c>
      <c r="O7855" t="s">
        <v>30</v>
      </c>
      <c r="P7855">
        <v>4.79840087638902</v>
      </c>
      <c r="Q7855">
        <v>0.78987460762353201</v>
      </c>
      <c r="R7855">
        <v>5.3753876394436197</v>
      </c>
      <c r="S7855">
        <v>12</v>
      </c>
      <c r="T7855">
        <v>30</v>
      </c>
      <c r="U7855">
        <v>288.95495266373399</v>
      </c>
      <c r="V7855">
        <v>1.7035775127768301E-3</v>
      </c>
      <c r="W7855">
        <v>881790.65760912502</v>
      </c>
      <c r="X7855" t="s">
        <v>33</v>
      </c>
      <c r="Y7855">
        <f>1-730-237-9388</f>
        <v>-10354</v>
      </c>
    </row>
    <row r="7856" spans="1:25" x14ac:dyDescent="0.35">
      <c r="A7856">
        <v>39.963651660175202</v>
      </c>
      <c r="B7856">
        <v>-118.08435146971</v>
      </c>
      <c r="C7856" t="s">
        <v>34</v>
      </c>
      <c r="D7856">
        <v>26.5163279005356</v>
      </c>
      <c r="E7856">
        <v>6</v>
      </c>
      <c r="F7856">
        <v>4287</v>
      </c>
      <c r="G7856">
        <v>4</v>
      </c>
      <c r="H7856">
        <v>1</v>
      </c>
      <c r="I7856">
        <v>1990</v>
      </c>
      <c r="J7856">
        <v>1</v>
      </c>
      <c r="K7856">
        <v>1</v>
      </c>
      <c r="L7856">
        <v>0</v>
      </c>
      <c r="M7856">
        <v>10</v>
      </c>
      <c r="N7856" t="s">
        <v>26</v>
      </c>
      <c r="O7856" t="s">
        <v>27</v>
      </c>
      <c r="P7856">
        <v>10.8057206091318</v>
      </c>
      <c r="Q7856">
        <v>2.4863820462556001</v>
      </c>
      <c r="R7856">
        <v>4.2779283656439704</v>
      </c>
      <c r="S7856">
        <v>189</v>
      </c>
      <c r="T7856">
        <v>68</v>
      </c>
      <c r="U7856">
        <v>740.47681633684897</v>
      </c>
      <c r="V7856">
        <v>2.3326335432703499E-3</v>
      </c>
      <c r="W7856">
        <v>3504142.3491988401</v>
      </c>
      <c r="X7856" t="s">
        <v>44</v>
      </c>
      <c r="Y7856">
        <f>1-233-968-1165</f>
        <v>-2365</v>
      </c>
    </row>
    <row r="7857" spans="1:25" x14ac:dyDescent="0.35">
      <c r="A7857">
        <v>39.928415959589003</v>
      </c>
      <c r="B7857">
        <v>-122.779027748853</v>
      </c>
      <c r="C7857" t="s">
        <v>25</v>
      </c>
      <c r="D7857">
        <v>7.8058961424818198</v>
      </c>
      <c r="E7857">
        <v>3</v>
      </c>
      <c r="F7857">
        <v>2011</v>
      </c>
      <c r="G7857">
        <v>5</v>
      </c>
      <c r="H7857">
        <v>1</v>
      </c>
      <c r="I7857">
        <v>1994</v>
      </c>
      <c r="J7857">
        <v>0</v>
      </c>
      <c r="K7857">
        <v>1</v>
      </c>
      <c r="L7857">
        <v>1</v>
      </c>
      <c r="M7857">
        <v>8</v>
      </c>
      <c r="N7857" t="s">
        <v>37</v>
      </c>
      <c r="O7857" t="s">
        <v>30</v>
      </c>
      <c r="P7857">
        <v>6.7091638730634298</v>
      </c>
      <c r="Q7857">
        <v>1.2508186703136199</v>
      </c>
      <c r="R7857">
        <v>5.6574082336054001</v>
      </c>
      <c r="S7857">
        <v>66</v>
      </c>
      <c r="T7857">
        <v>41</v>
      </c>
      <c r="U7857">
        <v>871.94847168615797</v>
      </c>
      <c r="V7857">
        <v>3.9781203381402197E-3</v>
      </c>
      <c r="W7857">
        <v>2158801.81281392</v>
      </c>
      <c r="X7857" t="s">
        <v>43</v>
      </c>
      <c r="Y7857">
        <f>1-707-333-2048</f>
        <v>-3087</v>
      </c>
    </row>
    <row r="7858" spans="1:25" x14ac:dyDescent="0.35">
      <c r="A7858">
        <v>36.399117316086603</v>
      </c>
      <c r="B7858">
        <v>-114.87164612167101</v>
      </c>
      <c r="C7858" t="s">
        <v>25</v>
      </c>
      <c r="D7858">
        <v>28.011138162663102</v>
      </c>
      <c r="E7858">
        <v>4</v>
      </c>
      <c r="F7858">
        <v>3579</v>
      </c>
      <c r="G7858">
        <v>4</v>
      </c>
      <c r="H7858">
        <v>1</v>
      </c>
      <c r="I7858">
        <v>2006</v>
      </c>
      <c r="J7858">
        <v>0</v>
      </c>
      <c r="K7858">
        <v>0</v>
      </c>
      <c r="L7858">
        <v>1</v>
      </c>
      <c r="M7858">
        <v>2</v>
      </c>
      <c r="N7858" t="s">
        <v>37</v>
      </c>
      <c r="O7858" t="s">
        <v>27</v>
      </c>
      <c r="P7858">
        <v>9.2305147463855501</v>
      </c>
      <c r="Q7858">
        <v>2.3232317267100502</v>
      </c>
      <c r="R7858">
        <v>3.2590694400993301</v>
      </c>
      <c r="S7858">
        <v>190</v>
      </c>
      <c r="T7858">
        <v>53</v>
      </c>
      <c r="U7858">
        <v>238.81254207346399</v>
      </c>
      <c r="V7858">
        <v>5.5881531153953597E-4</v>
      </c>
      <c r="W7858">
        <v>1166982.6617141599</v>
      </c>
      <c r="X7858" t="s">
        <v>28</v>
      </c>
      <c r="Y7858">
        <f>1-704-335-8588</f>
        <v>-9626</v>
      </c>
    </row>
    <row r="7859" spans="1:25" x14ac:dyDescent="0.35">
      <c r="A7859">
        <v>40.873302984724297</v>
      </c>
      <c r="B7859">
        <v>-121.49011948102699</v>
      </c>
      <c r="C7859" t="s">
        <v>25</v>
      </c>
      <c r="D7859">
        <v>24.4075321045861</v>
      </c>
      <c r="E7859">
        <v>4</v>
      </c>
      <c r="F7859">
        <v>4681</v>
      </c>
      <c r="G7859">
        <v>3</v>
      </c>
      <c r="H7859">
        <v>2</v>
      </c>
      <c r="I7859">
        <v>2018</v>
      </c>
      <c r="J7859">
        <v>0</v>
      </c>
      <c r="K7859">
        <v>0</v>
      </c>
      <c r="L7859">
        <v>1</v>
      </c>
      <c r="M7859">
        <v>12</v>
      </c>
      <c r="N7859" t="s">
        <v>26</v>
      </c>
      <c r="O7859" t="s">
        <v>27</v>
      </c>
      <c r="P7859">
        <v>11.8492911586989</v>
      </c>
      <c r="Q7859">
        <v>2.2637943030018102</v>
      </c>
      <c r="R7859">
        <v>4.9110508200331902</v>
      </c>
      <c r="S7859">
        <v>33</v>
      </c>
      <c r="T7859">
        <v>64</v>
      </c>
      <c r="U7859">
        <v>457.89687285192502</v>
      </c>
      <c r="V7859">
        <v>2.5635547959837598E-3</v>
      </c>
      <c r="W7859">
        <v>2512243.8891105098</v>
      </c>
      <c r="X7859" t="s">
        <v>36</v>
      </c>
      <c r="Y7859">
        <f>1-570-527-4698</f>
        <v>-5794</v>
      </c>
    </row>
    <row r="7860" spans="1:25" x14ac:dyDescent="0.35">
      <c r="A7860">
        <v>34.658050464980199</v>
      </c>
      <c r="B7860">
        <v>-122.589270712596</v>
      </c>
      <c r="C7860" t="s">
        <v>34</v>
      </c>
      <c r="D7860">
        <v>39.305780267219198</v>
      </c>
      <c r="E7860">
        <v>3</v>
      </c>
      <c r="F7860">
        <v>2672</v>
      </c>
      <c r="G7860">
        <v>4</v>
      </c>
      <c r="H7860">
        <v>3</v>
      </c>
      <c r="I7860">
        <v>2022</v>
      </c>
      <c r="J7860">
        <v>0</v>
      </c>
      <c r="K7860">
        <v>0</v>
      </c>
      <c r="L7860">
        <v>0</v>
      </c>
      <c r="M7860">
        <v>13</v>
      </c>
      <c r="N7860" t="s">
        <v>35</v>
      </c>
      <c r="O7860" t="s">
        <v>32</v>
      </c>
      <c r="P7860">
        <v>9.39050018922436</v>
      </c>
      <c r="Q7860">
        <v>1.8870216943720399</v>
      </c>
      <c r="R7860">
        <v>9.1778596181911301</v>
      </c>
      <c r="S7860">
        <v>173</v>
      </c>
      <c r="T7860">
        <v>49</v>
      </c>
      <c r="U7860">
        <v>248.127732141613</v>
      </c>
      <c r="V7860">
        <v>4.8652694610778402E-3</v>
      </c>
      <c r="W7860">
        <v>939010.15484027495</v>
      </c>
      <c r="X7860" t="s">
        <v>39</v>
      </c>
      <c r="Y7860">
        <f>1-251-809-3756</f>
        <v>-4815</v>
      </c>
    </row>
    <row r="7861" spans="1:25" x14ac:dyDescent="0.35">
      <c r="A7861">
        <v>34.085484735464398</v>
      </c>
      <c r="B7861">
        <v>-117.36493711545199</v>
      </c>
      <c r="C7861" t="s">
        <v>29</v>
      </c>
      <c r="D7861">
        <v>39.846847818722999</v>
      </c>
      <c r="E7861">
        <v>4</v>
      </c>
      <c r="F7861">
        <v>3071</v>
      </c>
      <c r="G7861">
        <v>1</v>
      </c>
      <c r="H7861">
        <v>2</v>
      </c>
      <c r="I7861">
        <v>1962</v>
      </c>
      <c r="J7861">
        <v>0</v>
      </c>
      <c r="K7861">
        <v>0</v>
      </c>
      <c r="L7861">
        <v>1</v>
      </c>
      <c r="M7861">
        <v>8</v>
      </c>
      <c r="N7861" t="s">
        <v>35</v>
      </c>
      <c r="O7861" t="s">
        <v>30</v>
      </c>
      <c r="P7861">
        <v>5.0780933103763601</v>
      </c>
      <c r="Q7861">
        <v>1.1405604300116801</v>
      </c>
      <c r="R7861">
        <v>4.5649586923324801</v>
      </c>
      <c r="S7861">
        <v>72</v>
      </c>
      <c r="T7861">
        <v>37</v>
      </c>
      <c r="U7861">
        <v>898.85317728271502</v>
      </c>
      <c r="V7861">
        <v>2.6050146532074201E-3</v>
      </c>
      <c r="W7861">
        <v>2793641.37802799</v>
      </c>
      <c r="X7861" t="s">
        <v>31</v>
      </c>
      <c r="Y7861">
        <f>1-712-249-7466</f>
        <v>-8426</v>
      </c>
    </row>
    <row r="7862" spans="1:25" x14ac:dyDescent="0.35">
      <c r="A7862">
        <v>39.048137622139301</v>
      </c>
      <c r="B7862">
        <v>-117.58822071498901</v>
      </c>
      <c r="C7862" t="s">
        <v>34</v>
      </c>
      <c r="D7862">
        <v>46.587625585789802</v>
      </c>
      <c r="E7862">
        <v>3</v>
      </c>
      <c r="F7862">
        <v>764</v>
      </c>
      <c r="G7862">
        <v>2</v>
      </c>
      <c r="H7862">
        <v>2</v>
      </c>
      <c r="I7862">
        <v>1980</v>
      </c>
      <c r="J7862">
        <v>1</v>
      </c>
      <c r="K7862">
        <v>1</v>
      </c>
      <c r="L7862">
        <v>1</v>
      </c>
      <c r="M7862">
        <v>11</v>
      </c>
      <c r="N7862" t="s">
        <v>26</v>
      </c>
      <c r="O7862" t="s">
        <v>32</v>
      </c>
      <c r="P7862">
        <v>2.8349741779804498</v>
      </c>
      <c r="Q7862">
        <v>2.2309443460571701</v>
      </c>
      <c r="R7862">
        <v>9.8521019647578001</v>
      </c>
      <c r="S7862">
        <v>137</v>
      </c>
      <c r="T7862">
        <v>40</v>
      </c>
      <c r="U7862">
        <v>695.57803341784495</v>
      </c>
      <c r="V7862">
        <v>1.43979057591623E-2</v>
      </c>
      <c r="W7862">
        <v>831946.71475572605</v>
      </c>
      <c r="X7862" t="s">
        <v>28</v>
      </c>
      <c r="Y7862">
        <f>1-843-580-5961</f>
        <v>-7383</v>
      </c>
    </row>
    <row r="7863" spans="1:25" x14ac:dyDescent="0.35">
      <c r="A7863">
        <v>38.300424564356597</v>
      </c>
      <c r="B7863">
        <v>-121.96890392570801</v>
      </c>
      <c r="C7863" t="s">
        <v>34</v>
      </c>
      <c r="D7863">
        <v>30.281198679027</v>
      </c>
      <c r="E7863">
        <v>8</v>
      </c>
      <c r="F7863">
        <v>2012</v>
      </c>
      <c r="G7863">
        <v>3</v>
      </c>
      <c r="H7863">
        <v>1</v>
      </c>
      <c r="I7863">
        <v>2004</v>
      </c>
      <c r="J7863">
        <v>1</v>
      </c>
      <c r="K7863">
        <v>0</v>
      </c>
      <c r="L7863">
        <v>0</v>
      </c>
      <c r="M7863">
        <v>11</v>
      </c>
      <c r="N7863" t="s">
        <v>26</v>
      </c>
      <c r="O7863" t="s">
        <v>27</v>
      </c>
      <c r="P7863">
        <v>13.434654343617</v>
      </c>
      <c r="Q7863">
        <v>1.7983902325936301</v>
      </c>
      <c r="R7863">
        <v>7.3175961943746097</v>
      </c>
      <c r="S7863">
        <v>157</v>
      </c>
      <c r="T7863">
        <v>58</v>
      </c>
      <c r="U7863">
        <v>286.15798153874601</v>
      </c>
      <c r="V7863">
        <v>5.4671968190854797E-3</v>
      </c>
      <c r="W7863">
        <v>861668.45132625999</v>
      </c>
      <c r="X7863" t="s">
        <v>42</v>
      </c>
      <c r="Y7863">
        <f>1-346-102-3476</f>
        <v>-3923</v>
      </c>
    </row>
    <row r="7864" spans="1:25" x14ac:dyDescent="0.35">
      <c r="A7864">
        <v>38.061271232511501</v>
      </c>
      <c r="B7864">
        <v>-123.69847674165</v>
      </c>
      <c r="C7864" t="s">
        <v>29</v>
      </c>
      <c r="D7864">
        <v>42.231978949499499</v>
      </c>
      <c r="E7864">
        <v>2</v>
      </c>
      <c r="F7864">
        <v>3008</v>
      </c>
      <c r="G7864">
        <v>2</v>
      </c>
      <c r="H7864">
        <v>1</v>
      </c>
      <c r="I7864">
        <v>1985</v>
      </c>
      <c r="J7864">
        <v>0</v>
      </c>
      <c r="K7864">
        <v>1</v>
      </c>
      <c r="L7864">
        <v>1</v>
      </c>
      <c r="M7864">
        <v>3</v>
      </c>
      <c r="N7864" t="s">
        <v>26</v>
      </c>
      <c r="O7864" t="s">
        <v>30</v>
      </c>
      <c r="P7864">
        <v>7.3917876711498103</v>
      </c>
      <c r="Q7864">
        <v>2.0353888062214698</v>
      </c>
      <c r="R7864">
        <v>9.5517682420850498</v>
      </c>
      <c r="S7864">
        <v>40</v>
      </c>
      <c r="T7864">
        <v>30</v>
      </c>
      <c r="U7864">
        <v>817.305072619979</v>
      </c>
      <c r="V7864">
        <v>9.9734042553191395E-4</v>
      </c>
      <c r="W7864">
        <v>2672910.4596776799</v>
      </c>
      <c r="X7864" t="s">
        <v>31</v>
      </c>
      <c r="Y7864">
        <f>1-735-302-3847</f>
        <v>-4883</v>
      </c>
    </row>
    <row r="7865" spans="1:25" x14ac:dyDescent="0.35">
      <c r="A7865">
        <v>37.165434754703803</v>
      </c>
      <c r="B7865">
        <v>-121.83064769318101</v>
      </c>
      <c r="C7865" t="s">
        <v>34</v>
      </c>
      <c r="D7865">
        <v>20.7078487326797</v>
      </c>
      <c r="E7865">
        <v>3</v>
      </c>
      <c r="F7865">
        <v>641</v>
      </c>
      <c r="G7865">
        <v>4</v>
      </c>
      <c r="H7865">
        <v>3</v>
      </c>
      <c r="I7865">
        <v>1971</v>
      </c>
      <c r="J7865">
        <v>1</v>
      </c>
      <c r="K7865">
        <v>1</v>
      </c>
      <c r="L7865">
        <v>0</v>
      </c>
      <c r="M7865">
        <v>9</v>
      </c>
      <c r="N7865" t="s">
        <v>26</v>
      </c>
      <c r="O7865" t="s">
        <v>27</v>
      </c>
      <c r="P7865">
        <v>9.2867127337875299</v>
      </c>
      <c r="Q7865">
        <v>1.56181529267271</v>
      </c>
      <c r="R7865">
        <v>5.9152122344897604</v>
      </c>
      <c r="S7865">
        <v>171</v>
      </c>
      <c r="T7865">
        <v>67</v>
      </c>
      <c r="U7865">
        <v>332.274064023221</v>
      </c>
      <c r="V7865">
        <v>1.40405616224648E-2</v>
      </c>
      <c r="W7865">
        <v>592445.10145709605</v>
      </c>
      <c r="X7865" t="s">
        <v>36</v>
      </c>
      <c r="Y7865">
        <f>1-629-711-9821</f>
        <v>-11160</v>
      </c>
    </row>
    <row r="7866" spans="1:25" x14ac:dyDescent="0.35">
      <c r="A7866">
        <v>37.289301880627498</v>
      </c>
      <c r="B7866">
        <v>-122.012743229506</v>
      </c>
      <c r="C7866" t="s">
        <v>29</v>
      </c>
      <c r="D7866">
        <v>33.428277423670004</v>
      </c>
      <c r="E7866">
        <v>8</v>
      </c>
      <c r="F7866">
        <v>3478</v>
      </c>
      <c r="G7866">
        <v>5</v>
      </c>
      <c r="H7866">
        <v>2</v>
      </c>
      <c r="I7866">
        <v>2010</v>
      </c>
      <c r="J7866">
        <v>1</v>
      </c>
      <c r="K7866">
        <v>1</v>
      </c>
      <c r="L7866">
        <v>1</v>
      </c>
      <c r="M7866">
        <v>8</v>
      </c>
      <c r="N7866" t="s">
        <v>35</v>
      </c>
      <c r="O7866" t="s">
        <v>27</v>
      </c>
      <c r="P7866">
        <v>14.690279822930099</v>
      </c>
      <c r="Q7866">
        <v>2.4243286391928698</v>
      </c>
      <c r="R7866">
        <v>8.0018404132219594</v>
      </c>
      <c r="S7866">
        <v>163</v>
      </c>
      <c r="T7866">
        <v>21</v>
      </c>
      <c r="U7866">
        <v>925.76801907783499</v>
      </c>
      <c r="V7866">
        <v>2.30017251293847E-3</v>
      </c>
      <c r="W7866">
        <v>3801763.7569020502</v>
      </c>
      <c r="X7866" t="s">
        <v>43</v>
      </c>
      <c r="Y7866">
        <f>1-665-207-6857</f>
        <v>-7728</v>
      </c>
    </row>
    <row r="7867" spans="1:25" x14ac:dyDescent="0.35">
      <c r="A7867">
        <v>33.024891893897603</v>
      </c>
      <c r="B7867">
        <v>-120.799812134175</v>
      </c>
      <c r="C7867" t="s">
        <v>29</v>
      </c>
      <c r="D7867">
        <v>29.1070947379425</v>
      </c>
      <c r="E7867">
        <v>6</v>
      </c>
      <c r="F7867">
        <v>2473</v>
      </c>
      <c r="G7867">
        <v>4</v>
      </c>
      <c r="H7867">
        <v>1</v>
      </c>
      <c r="I7867">
        <v>1960</v>
      </c>
      <c r="J7867">
        <v>0</v>
      </c>
      <c r="K7867">
        <v>0</v>
      </c>
      <c r="L7867">
        <v>1</v>
      </c>
      <c r="M7867">
        <v>2</v>
      </c>
      <c r="N7867" t="s">
        <v>35</v>
      </c>
      <c r="O7867" t="s">
        <v>27</v>
      </c>
      <c r="P7867">
        <v>8.4453413059948694</v>
      </c>
      <c r="Q7867">
        <v>1.0578169532417301</v>
      </c>
      <c r="R7867">
        <v>4.64593747126019</v>
      </c>
      <c r="S7867">
        <v>110</v>
      </c>
      <c r="T7867">
        <v>37</v>
      </c>
      <c r="U7867">
        <v>705.81343354874798</v>
      </c>
      <c r="V7867">
        <v>8.0873433077234102E-4</v>
      </c>
      <c r="W7867">
        <v>1853000.0189449401</v>
      </c>
      <c r="X7867" t="s">
        <v>36</v>
      </c>
      <c r="Y7867">
        <f>1-920-190-3415</f>
        <v>-4524</v>
      </c>
    </row>
    <row r="7868" spans="1:25" x14ac:dyDescent="0.35">
      <c r="A7868">
        <v>36.052565385612098</v>
      </c>
      <c r="B7868">
        <v>-114.564315443807</v>
      </c>
      <c r="C7868" t="s">
        <v>25</v>
      </c>
      <c r="D7868">
        <v>3.9612886336256699</v>
      </c>
      <c r="E7868">
        <v>8</v>
      </c>
      <c r="F7868">
        <v>4344</v>
      </c>
      <c r="G7868">
        <v>3</v>
      </c>
      <c r="H7868">
        <v>2</v>
      </c>
      <c r="I7868">
        <v>1983</v>
      </c>
      <c r="J7868">
        <v>0</v>
      </c>
      <c r="K7868">
        <v>0</v>
      </c>
      <c r="L7868">
        <v>1</v>
      </c>
      <c r="M7868">
        <v>5</v>
      </c>
      <c r="N7868" t="s">
        <v>41</v>
      </c>
      <c r="O7868" t="s">
        <v>27</v>
      </c>
      <c r="P7868">
        <v>12.819703068274301</v>
      </c>
      <c r="Q7868">
        <v>1.2083569659309401</v>
      </c>
      <c r="R7868">
        <v>9.62994835016754</v>
      </c>
      <c r="S7868">
        <v>188</v>
      </c>
      <c r="T7868">
        <v>77</v>
      </c>
      <c r="U7868">
        <v>401.16530392079898</v>
      </c>
      <c r="V7868">
        <v>1.1510128913443799E-3</v>
      </c>
      <c r="W7868">
        <v>2007000.56147647</v>
      </c>
      <c r="X7868" t="s">
        <v>31</v>
      </c>
      <c r="Y7868">
        <f>1-455-234-9273</f>
        <v>-9961</v>
      </c>
    </row>
    <row r="7869" spans="1:25" x14ac:dyDescent="0.35">
      <c r="A7869">
        <v>34.491956531135202</v>
      </c>
      <c r="B7869">
        <v>-118.032627758217</v>
      </c>
      <c r="C7869" t="s">
        <v>34</v>
      </c>
      <c r="D7869">
        <v>18.206059201786498</v>
      </c>
      <c r="E7869">
        <v>9</v>
      </c>
      <c r="F7869">
        <v>1009</v>
      </c>
      <c r="G7869">
        <v>2</v>
      </c>
      <c r="H7869">
        <v>2</v>
      </c>
      <c r="I7869">
        <v>1984</v>
      </c>
      <c r="J7869">
        <v>1</v>
      </c>
      <c r="K7869">
        <v>1</v>
      </c>
      <c r="L7869">
        <v>0</v>
      </c>
      <c r="M7869">
        <v>3</v>
      </c>
      <c r="N7869" t="s">
        <v>37</v>
      </c>
      <c r="O7869" t="s">
        <v>30</v>
      </c>
      <c r="P7869">
        <v>9.9557953908440506</v>
      </c>
      <c r="Q7869">
        <v>0.51200590692816705</v>
      </c>
      <c r="R7869">
        <v>8.7693868208103591</v>
      </c>
      <c r="S7869">
        <v>9</v>
      </c>
      <c r="T7869">
        <v>39</v>
      </c>
      <c r="U7869">
        <v>249.528332045875</v>
      </c>
      <c r="V7869">
        <v>2.97324083250743E-3</v>
      </c>
      <c r="W7869">
        <v>569380.72114786005</v>
      </c>
      <c r="X7869" t="s">
        <v>31</v>
      </c>
      <c r="Y7869">
        <f>1-690-540-9867</f>
        <v>-11096</v>
      </c>
    </row>
    <row r="7870" spans="1:25" x14ac:dyDescent="0.35">
      <c r="A7870">
        <v>32.760667518011601</v>
      </c>
      <c r="B7870">
        <v>-121.640582881494</v>
      </c>
      <c r="C7870" t="s">
        <v>34</v>
      </c>
      <c r="D7870">
        <v>4.1778169815704498</v>
      </c>
      <c r="E7870">
        <v>5</v>
      </c>
      <c r="F7870">
        <v>1410</v>
      </c>
      <c r="G7870">
        <v>2</v>
      </c>
      <c r="H7870">
        <v>1</v>
      </c>
      <c r="I7870">
        <v>1997</v>
      </c>
      <c r="J7870">
        <v>1</v>
      </c>
      <c r="K7870">
        <v>1</v>
      </c>
      <c r="L7870">
        <v>1</v>
      </c>
      <c r="M7870">
        <v>9</v>
      </c>
      <c r="N7870" t="s">
        <v>41</v>
      </c>
      <c r="O7870" t="s">
        <v>30</v>
      </c>
      <c r="P7870">
        <v>11.568913527395001</v>
      </c>
      <c r="Q7870">
        <v>0.79284443574599395</v>
      </c>
      <c r="R7870">
        <v>4.4261753873304999</v>
      </c>
      <c r="S7870">
        <v>93</v>
      </c>
      <c r="T7870">
        <v>35</v>
      </c>
      <c r="U7870">
        <v>499.88966319135301</v>
      </c>
      <c r="V7870">
        <v>6.3829787234042498E-3</v>
      </c>
      <c r="W7870">
        <v>1084228.9085604399</v>
      </c>
      <c r="X7870" t="s">
        <v>33</v>
      </c>
      <c r="Y7870">
        <f>1-608-377-9057</f>
        <v>-10041</v>
      </c>
    </row>
    <row r="7871" spans="1:25" x14ac:dyDescent="0.35">
      <c r="A7871">
        <v>32.602022193436099</v>
      </c>
      <c r="B7871">
        <v>-117.680060088221</v>
      </c>
      <c r="C7871" t="s">
        <v>34</v>
      </c>
      <c r="D7871">
        <v>15.419229957165401</v>
      </c>
      <c r="E7871">
        <v>6</v>
      </c>
      <c r="F7871">
        <v>3284</v>
      </c>
      <c r="G7871">
        <v>2</v>
      </c>
      <c r="H7871">
        <v>1</v>
      </c>
      <c r="I7871">
        <v>2014</v>
      </c>
      <c r="J7871">
        <v>1</v>
      </c>
      <c r="K7871">
        <v>0</v>
      </c>
      <c r="L7871">
        <v>1</v>
      </c>
      <c r="M7871">
        <v>5</v>
      </c>
      <c r="N7871" t="s">
        <v>35</v>
      </c>
      <c r="O7871" t="s">
        <v>30</v>
      </c>
      <c r="P7871">
        <v>2.2779503775001499</v>
      </c>
      <c r="Q7871">
        <v>2.10229461124842</v>
      </c>
      <c r="R7871">
        <v>9.6613196248484901</v>
      </c>
      <c r="S7871">
        <v>114</v>
      </c>
      <c r="T7871">
        <v>59</v>
      </c>
      <c r="U7871">
        <v>319.988856178596</v>
      </c>
      <c r="V7871">
        <v>1.5225334957369001E-3</v>
      </c>
      <c r="W7871">
        <v>1252834.41477764</v>
      </c>
      <c r="X7871" t="s">
        <v>28</v>
      </c>
      <c r="Y7871">
        <f>1-760-265-6386</f>
        <v>-7410</v>
      </c>
    </row>
    <row r="7872" spans="1:25" x14ac:dyDescent="0.35">
      <c r="A7872">
        <v>33.724855333200701</v>
      </c>
      <c r="B7872">
        <v>-120.11133232019</v>
      </c>
      <c r="C7872" t="s">
        <v>25</v>
      </c>
      <c r="D7872">
        <v>1.3963505816792201</v>
      </c>
      <c r="E7872">
        <v>6</v>
      </c>
      <c r="F7872">
        <v>3460</v>
      </c>
      <c r="G7872">
        <v>3</v>
      </c>
      <c r="H7872">
        <v>2</v>
      </c>
      <c r="I7872">
        <v>1956</v>
      </c>
      <c r="J7872">
        <v>0</v>
      </c>
      <c r="K7872">
        <v>0</v>
      </c>
      <c r="L7872">
        <v>1</v>
      </c>
      <c r="M7872">
        <v>5</v>
      </c>
      <c r="N7872" t="s">
        <v>37</v>
      </c>
      <c r="O7872" t="s">
        <v>27</v>
      </c>
      <c r="P7872">
        <v>9.5728001612204991</v>
      </c>
      <c r="Q7872">
        <v>2.4013929588429499</v>
      </c>
      <c r="R7872">
        <v>4.4484051301546801</v>
      </c>
      <c r="S7872">
        <v>184</v>
      </c>
      <c r="T7872">
        <v>29</v>
      </c>
      <c r="U7872">
        <v>276.49388685933201</v>
      </c>
      <c r="V7872">
        <v>1.4450867052023099E-3</v>
      </c>
      <c r="W7872">
        <v>1081444.28354399</v>
      </c>
      <c r="X7872" t="s">
        <v>43</v>
      </c>
      <c r="Y7872">
        <f>1-287-637-3655</f>
        <v>-4578</v>
      </c>
    </row>
    <row r="7873" spans="1:25" x14ac:dyDescent="0.35">
      <c r="A7873">
        <v>35.8510314689862</v>
      </c>
      <c r="B7873">
        <v>-115.7796534184</v>
      </c>
      <c r="C7873" t="s">
        <v>25</v>
      </c>
      <c r="D7873">
        <v>15.036892662081399</v>
      </c>
      <c r="E7873">
        <v>9</v>
      </c>
      <c r="F7873">
        <v>1402</v>
      </c>
      <c r="G7873">
        <v>4</v>
      </c>
      <c r="H7873">
        <v>2</v>
      </c>
      <c r="I7873">
        <v>1966</v>
      </c>
      <c r="J7873">
        <v>1</v>
      </c>
      <c r="K7873">
        <v>1</v>
      </c>
      <c r="L7873">
        <v>1</v>
      </c>
      <c r="M7873">
        <v>2</v>
      </c>
      <c r="N7873" t="s">
        <v>37</v>
      </c>
      <c r="O7873" t="s">
        <v>32</v>
      </c>
      <c r="P7873">
        <v>10.413753651904701</v>
      </c>
      <c r="Q7873">
        <v>2.3816264281983899</v>
      </c>
      <c r="R7873">
        <v>0.77911325490046701</v>
      </c>
      <c r="S7873">
        <v>29</v>
      </c>
      <c r="T7873">
        <v>57</v>
      </c>
      <c r="U7873">
        <v>984.66472875080899</v>
      </c>
      <c r="V7873">
        <v>1.4265335235377999E-3</v>
      </c>
      <c r="W7873">
        <v>1752145.3534929601</v>
      </c>
      <c r="X7873" t="s">
        <v>39</v>
      </c>
      <c r="Y7873">
        <f>1-793-873-6464</f>
        <v>-8129</v>
      </c>
    </row>
    <row r="7874" spans="1:25" x14ac:dyDescent="0.35">
      <c r="A7874">
        <v>36.969896214453399</v>
      </c>
      <c r="B7874">
        <v>-117.32141996246899</v>
      </c>
      <c r="C7874" t="s">
        <v>34</v>
      </c>
      <c r="D7874">
        <v>7.7870253659839097</v>
      </c>
      <c r="E7874">
        <v>6</v>
      </c>
      <c r="F7874">
        <v>1273</v>
      </c>
      <c r="G7874">
        <v>1</v>
      </c>
      <c r="H7874">
        <v>1</v>
      </c>
      <c r="I7874">
        <v>1956</v>
      </c>
      <c r="J7874">
        <v>1</v>
      </c>
      <c r="K7874">
        <v>1</v>
      </c>
      <c r="L7874">
        <v>0</v>
      </c>
      <c r="M7874">
        <v>10</v>
      </c>
      <c r="N7874" t="s">
        <v>41</v>
      </c>
      <c r="O7874" t="s">
        <v>27</v>
      </c>
      <c r="P7874">
        <v>7.7875337223353398</v>
      </c>
      <c r="Q7874">
        <v>1.7713594513517701</v>
      </c>
      <c r="R7874">
        <v>4.8005381606659103</v>
      </c>
      <c r="S7874">
        <v>69</v>
      </c>
      <c r="T7874">
        <v>72</v>
      </c>
      <c r="U7874">
        <v>282.983705554023</v>
      </c>
      <c r="V7874">
        <v>7.8554595443833392E-3</v>
      </c>
      <c r="W7874">
        <v>471954.53823632601</v>
      </c>
      <c r="X7874" t="s">
        <v>28</v>
      </c>
      <c r="Y7874">
        <f>1-668-897-4572</f>
        <v>-6136</v>
      </c>
    </row>
    <row r="7875" spans="1:25" x14ac:dyDescent="0.35">
      <c r="A7875">
        <v>33.268561221588399</v>
      </c>
      <c r="B7875">
        <v>-120.89137737034601</v>
      </c>
      <c r="C7875" t="s">
        <v>25</v>
      </c>
      <c r="D7875">
        <v>48.6465977897154</v>
      </c>
      <c r="E7875">
        <v>1</v>
      </c>
      <c r="F7875">
        <v>2719</v>
      </c>
      <c r="G7875">
        <v>1</v>
      </c>
      <c r="H7875">
        <v>2</v>
      </c>
      <c r="I7875">
        <v>1983</v>
      </c>
      <c r="J7875">
        <v>1</v>
      </c>
      <c r="K7875">
        <v>0</v>
      </c>
      <c r="L7875">
        <v>1</v>
      </c>
      <c r="M7875">
        <v>2</v>
      </c>
      <c r="N7875" t="s">
        <v>26</v>
      </c>
      <c r="O7875" t="s">
        <v>32</v>
      </c>
      <c r="P7875">
        <v>8.8899001986885597</v>
      </c>
      <c r="Q7875">
        <v>1.8752653564661601</v>
      </c>
      <c r="R7875">
        <v>9.6646204258345492</v>
      </c>
      <c r="S7875">
        <v>67</v>
      </c>
      <c r="T7875">
        <v>24</v>
      </c>
      <c r="U7875">
        <v>313.73422456582301</v>
      </c>
      <c r="V7875">
        <v>7.35564545788893E-4</v>
      </c>
      <c r="W7875">
        <v>1102693.87418194</v>
      </c>
      <c r="X7875" t="s">
        <v>31</v>
      </c>
      <c r="Y7875">
        <f>1-576-280-8876</f>
        <v>-9731</v>
      </c>
    </row>
    <row r="7876" spans="1:25" x14ac:dyDescent="0.35">
      <c r="A7876">
        <v>39.545426769733901</v>
      </c>
      <c r="B7876">
        <v>-117.19952350779501</v>
      </c>
      <c r="C7876" t="s">
        <v>25</v>
      </c>
      <c r="D7876">
        <v>29.914683940674301</v>
      </c>
      <c r="E7876">
        <v>7</v>
      </c>
      <c r="F7876">
        <v>2552</v>
      </c>
      <c r="G7876">
        <v>4</v>
      </c>
      <c r="H7876">
        <v>1</v>
      </c>
      <c r="I7876">
        <v>2019</v>
      </c>
      <c r="J7876">
        <v>1</v>
      </c>
      <c r="K7876">
        <v>0</v>
      </c>
      <c r="L7876">
        <v>0</v>
      </c>
      <c r="M7876">
        <v>2</v>
      </c>
      <c r="N7876" t="s">
        <v>35</v>
      </c>
      <c r="O7876" t="s">
        <v>32</v>
      </c>
      <c r="P7876">
        <v>10.533163774954801</v>
      </c>
      <c r="Q7876">
        <v>1.7197409342875001</v>
      </c>
      <c r="R7876">
        <v>9.1529400578914597</v>
      </c>
      <c r="S7876">
        <v>61</v>
      </c>
      <c r="T7876">
        <v>62</v>
      </c>
      <c r="U7876">
        <v>374.54801516638702</v>
      </c>
      <c r="V7876">
        <v>7.8369905956112795E-4</v>
      </c>
      <c r="W7876">
        <v>1227009.42393951</v>
      </c>
      <c r="X7876" t="s">
        <v>43</v>
      </c>
      <c r="Y7876">
        <f>1-319-701-2550</f>
        <v>-3569</v>
      </c>
    </row>
    <row r="7877" spans="1:25" x14ac:dyDescent="0.35">
      <c r="A7877">
        <v>36.370765559032201</v>
      </c>
      <c r="B7877">
        <v>-117.12436929723199</v>
      </c>
      <c r="C7877" t="s">
        <v>34</v>
      </c>
      <c r="D7877">
        <v>26.542416850337698</v>
      </c>
      <c r="E7877">
        <v>7</v>
      </c>
      <c r="F7877">
        <v>2309</v>
      </c>
      <c r="G7877">
        <v>2</v>
      </c>
      <c r="H7877">
        <v>1</v>
      </c>
      <c r="I7877">
        <v>2021</v>
      </c>
      <c r="J7877">
        <v>0</v>
      </c>
      <c r="K7877">
        <v>0</v>
      </c>
      <c r="L7877">
        <v>1</v>
      </c>
      <c r="M7877">
        <v>6</v>
      </c>
      <c r="N7877" t="s">
        <v>26</v>
      </c>
      <c r="O7877" t="s">
        <v>32</v>
      </c>
      <c r="P7877">
        <v>14.231432852219999</v>
      </c>
      <c r="Q7877">
        <v>1.7570276441681201</v>
      </c>
      <c r="R7877">
        <v>9.7914409966817502</v>
      </c>
      <c r="S7877">
        <v>143</v>
      </c>
      <c r="T7877">
        <v>23</v>
      </c>
      <c r="U7877">
        <v>264.58547191119601</v>
      </c>
      <c r="V7877">
        <v>2.5985275010827198E-3</v>
      </c>
      <c r="W7877">
        <v>834498.15830135497</v>
      </c>
      <c r="X7877" t="s">
        <v>42</v>
      </c>
      <c r="Y7877">
        <f>1-811-624-1425</f>
        <v>-2859</v>
      </c>
    </row>
    <row r="7878" spans="1:25" x14ac:dyDescent="0.35">
      <c r="A7878">
        <v>35.717835091898898</v>
      </c>
      <c r="B7878">
        <v>-121.347599862219</v>
      </c>
      <c r="C7878" t="s">
        <v>25</v>
      </c>
      <c r="D7878">
        <v>12.937336955059999</v>
      </c>
      <c r="E7878">
        <v>5</v>
      </c>
      <c r="F7878">
        <v>4721</v>
      </c>
      <c r="G7878">
        <v>1</v>
      </c>
      <c r="H7878">
        <v>1</v>
      </c>
      <c r="I7878">
        <v>1962</v>
      </c>
      <c r="J7878">
        <v>0</v>
      </c>
      <c r="K7878">
        <v>1</v>
      </c>
      <c r="L7878">
        <v>1</v>
      </c>
      <c r="M7878">
        <v>9</v>
      </c>
      <c r="N7878" t="s">
        <v>35</v>
      </c>
      <c r="O7878" t="s">
        <v>27</v>
      </c>
      <c r="P7878">
        <v>8.6840531414328908</v>
      </c>
      <c r="Q7878">
        <v>0.64213965968947195</v>
      </c>
      <c r="R7878">
        <v>6.2510193084963301</v>
      </c>
      <c r="S7878">
        <v>89</v>
      </c>
      <c r="T7878">
        <v>60</v>
      </c>
      <c r="U7878">
        <v>234.075301251892</v>
      </c>
      <c r="V7878">
        <v>1.9063757678457901E-3</v>
      </c>
      <c r="W7878">
        <v>1223357.77258172</v>
      </c>
      <c r="X7878" t="s">
        <v>40</v>
      </c>
      <c r="Y7878">
        <f>1-719-857-3912</f>
        <v>-5487</v>
      </c>
    </row>
    <row r="7879" spans="1:25" x14ac:dyDescent="0.35">
      <c r="A7879">
        <v>41.188809651611002</v>
      </c>
      <c r="B7879">
        <v>-114.584472475846</v>
      </c>
      <c r="C7879" t="s">
        <v>25</v>
      </c>
      <c r="D7879">
        <v>33.547078319904301</v>
      </c>
      <c r="E7879">
        <v>9</v>
      </c>
      <c r="F7879">
        <v>765</v>
      </c>
      <c r="G7879">
        <v>3</v>
      </c>
      <c r="H7879">
        <v>1</v>
      </c>
      <c r="I7879">
        <v>2017</v>
      </c>
      <c r="J7879">
        <v>1</v>
      </c>
      <c r="K7879">
        <v>1</v>
      </c>
      <c r="L7879">
        <v>1</v>
      </c>
      <c r="M7879">
        <v>12</v>
      </c>
      <c r="N7879" t="s">
        <v>37</v>
      </c>
      <c r="O7879" t="s">
        <v>32</v>
      </c>
      <c r="P7879">
        <v>12.6501096426388</v>
      </c>
      <c r="Q7879">
        <v>1.9995147259481501</v>
      </c>
      <c r="R7879">
        <v>3.1281424132201998</v>
      </c>
      <c r="S7879">
        <v>169</v>
      </c>
      <c r="T7879">
        <v>78</v>
      </c>
      <c r="U7879">
        <v>266.891477399287</v>
      </c>
      <c r="V7879">
        <v>1.5686274509803901E-2</v>
      </c>
      <c r="W7879">
        <v>701964.08794069104</v>
      </c>
      <c r="X7879" t="s">
        <v>42</v>
      </c>
      <c r="Y7879">
        <f>1-549-304-4448</f>
        <v>-5300</v>
      </c>
    </row>
    <row r="7880" spans="1:25" x14ac:dyDescent="0.35">
      <c r="A7880">
        <v>35.009586432578502</v>
      </c>
      <c r="B7880">
        <v>-124.375347681338</v>
      </c>
      <c r="C7880" t="s">
        <v>25</v>
      </c>
      <c r="D7880">
        <v>31.6354152298956</v>
      </c>
      <c r="E7880">
        <v>4</v>
      </c>
      <c r="F7880">
        <v>3488</v>
      </c>
      <c r="G7880">
        <v>1</v>
      </c>
      <c r="H7880">
        <v>2</v>
      </c>
      <c r="I7880">
        <v>2022</v>
      </c>
      <c r="J7880">
        <v>0</v>
      </c>
      <c r="K7880">
        <v>1</v>
      </c>
      <c r="L7880">
        <v>0</v>
      </c>
      <c r="M7880">
        <v>12</v>
      </c>
      <c r="N7880" t="s">
        <v>37</v>
      </c>
      <c r="O7880" t="s">
        <v>30</v>
      </c>
      <c r="P7880">
        <v>11.6499768744116</v>
      </c>
      <c r="Q7880">
        <v>0.76869819218981394</v>
      </c>
      <c r="R7880">
        <v>2.4568654612488698</v>
      </c>
      <c r="S7880">
        <v>18</v>
      </c>
      <c r="T7880">
        <v>67</v>
      </c>
      <c r="U7880">
        <v>701.40354437025098</v>
      </c>
      <c r="V7880">
        <v>3.4403669724770601E-3</v>
      </c>
      <c r="W7880">
        <v>2756143.95507723</v>
      </c>
      <c r="X7880" t="s">
        <v>33</v>
      </c>
      <c r="Y7880">
        <f>1-789-177-1510</f>
        <v>-2475</v>
      </c>
    </row>
    <row r="7881" spans="1:25" x14ac:dyDescent="0.35">
      <c r="A7881">
        <v>37.645479343163203</v>
      </c>
      <c r="B7881">
        <v>-117.223301379068</v>
      </c>
      <c r="C7881" t="s">
        <v>29</v>
      </c>
      <c r="D7881">
        <v>9.0336135639693396</v>
      </c>
      <c r="E7881">
        <v>7</v>
      </c>
      <c r="F7881">
        <v>1473</v>
      </c>
      <c r="G7881">
        <v>4</v>
      </c>
      <c r="H7881">
        <v>1</v>
      </c>
      <c r="I7881">
        <v>1987</v>
      </c>
      <c r="J7881">
        <v>1</v>
      </c>
      <c r="K7881">
        <v>1</v>
      </c>
      <c r="L7881">
        <v>0</v>
      </c>
      <c r="M7881">
        <v>6</v>
      </c>
      <c r="N7881" t="s">
        <v>37</v>
      </c>
      <c r="O7881" t="s">
        <v>32</v>
      </c>
      <c r="P7881">
        <v>10.211208530446999</v>
      </c>
      <c r="Q7881">
        <v>1.0647474995992201</v>
      </c>
      <c r="R7881">
        <v>0.84261191582693096</v>
      </c>
      <c r="S7881">
        <v>125</v>
      </c>
      <c r="T7881">
        <v>38</v>
      </c>
      <c r="U7881">
        <v>837.60122471769898</v>
      </c>
      <c r="V7881">
        <v>4.0733197556008099E-3</v>
      </c>
      <c r="W7881">
        <v>1762680.04805272</v>
      </c>
      <c r="X7881" t="s">
        <v>38</v>
      </c>
      <c r="Y7881">
        <f>1-581-333-5701</f>
        <v>-6614</v>
      </c>
    </row>
    <row r="7882" spans="1:25" x14ac:dyDescent="0.35">
      <c r="A7882">
        <v>41.613205630646</v>
      </c>
      <c r="B7882">
        <v>-120.488871230149</v>
      </c>
      <c r="C7882" t="s">
        <v>25</v>
      </c>
      <c r="D7882">
        <v>18.149375438232401</v>
      </c>
      <c r="E7882">
        <v>0</v>
      </c>
      <c r="F7882">
        <v>3761</v>
      </c>
      <c r="G7882">
        <v>2</v>
      </c>
      <c r="H7882">
        <v>2</v>
      </c>
      <c r="I7882">
        <v>1983</v>
      </c>
      <c r="J7882">
        <v>0</v>
      </c>
      <c r="K7882">
        <v>1</v>
      </c>
      <c r="L7882">
        <v>0</v>
      </c>
      <c r="M7882">
        <v>12</v>
      </c>
      <c r="N7882" t="s">
        <v>26</v>
      </c>
      <c r="O7882" t="s">
        <v>27</v>
      </c>
      <c r="P7882">
        <v>10.5820909256911</v>
      </c>
      <c r="Q7882">
        <v>1.5701357108401</v>
      </c>
      <c r="R7882">
        <v>5.6857769021504199</v>
      </c>
      <c r="S7882">
        <v>12</v>
      </c>
      <c r="T7882">
        <v>45</v>
      </c>
      <c r="U7882">
        <v>508.93444635382599</v>
      </c>
      <c r="V7882">
        <v>3.1906407870247199E-3</v>
      </c>
      <c r="W7882">
        <v>2163992.17072073</v>
      </c>
      <c r="X7882" t="s">
        <v>28</v>
      </c>
      <c r="Y7882">
        <f>1-919-265-5693</f>
        <v>-6876</v>
      </c>
    </row>
    <row r="7883" spans="1:25" x14ac:dyDescent="0.35">
      <c r="A7883">
        <v>36.158143615248299</v>
      </c>
      <c r="B7883">
        <v>-118.712177057986</v>
      </c>
      <c r="C7883" t="s">
        <v>29</v>
      </c>
      <c r="D7883">
        <v>4.4921022648504696</v>
      </c>
      <c r="E7883">
        <v>8</v>
      </c>
      <c r="F7883">
        <v>2822</v>
      </c>
      <c r="G7883">
        <v>3</v>
      </c>
      <c r="H7883">
        <v>3</v>
      </c>
      <c r="I7883">
        <v>1991</v>
      </c>
      <c r="J7883">
        <v>1</v>
      </c>
      <c r="K7883">
        <v>1</v>
      </c>
      <c r="L7883">
        <v>0</v>
      </c>
      <c r="M7883">
        <v>9</v>
      </c>
      <c r="N7883" t="s">
        <v>41</v>
      </c>
      <c r="O7883" t="s">
        <v>30</v>
      </c>
      <c r="P7883">
        <v>8.06400159582995</v>
      </c>
      <c r="Q7883">
        <v>0.99095640528641304</v>
      </c>
      <c r="R7883">
        <v>8.7766222341265205</v>
      </c>
      <c r="S7883">
        <v>115</v>
      </c>
      <c r="T7883">
        <v>48</v>
      </c>
      <c r="U7883">
        <v>758.83723361403202</v>
      </c>
      <c r="V7883">
        <v>3.1892274982281998E-3</v>
      </c>
      <c r="W7883">
        <v>2465579.7743703201</v>
      </c>
      <c r="X7883" t="s">
        <v>38</v>
      </c>
      <c r="Y7883">
        <f>1-404-408-4524</f>
        <v>-5335</v>
      </c>
    </row>
    <row r="7884" spans="1:25" x14ac:dyDescent="0.35">
      <c r="A7884">
        <v>41.314196522981597</v>
      </c>
      <c r="B7884">
        <v>-120.620911595636</v>
      </c>
      <c r="C7884" t="s">
        <v>34</v>
      </c>
      <c r="D7884">
        <v>44.661786121515902</v>
      </c>
      <c r="E7884">
        <v>2</v>
      </c>
      <c r="F7884">
        <v>665</v>
      </c>
      <c r="G7884">
        <v>3</v>
      </c>
      <c r="H7884">
        <v>3</v>
      </c>
      <c r="I7884">
        <v>1981</v>
      </c>
      <c r="J7884">
        <v>1</v>
      </c>
      <c r="K7884">
        <v>0</v>
      </c>
      <c r="L7884">
        <v>1</v>
      </c>
      <c r="M7884">
        <v>11</v>
      </c>
      <c r="N7884" t="s">
        <v>37</v>
      </c>
      <c r="O7884" t="s">
        <v>27</v>
      </c>
      <c r="P7884">
        <v>4.3011337536216603</v>
      </c>
      <c r="Q7884">
        <v>0.67968801235467602</v>
      </c>
      <c r="R7884">
        <v>7.41826388845511</v>
      </c>
      <c r="S7884">
        <v>160</v>
      </c>
      <c r="T7884">
        <v>58</v>
      </c>
      <c r="U7884">
        <v>971.75003784774594</v>
      </c>
      <c r="V7884">
        <v>1.65413533834586E-2</v>
      </c>
      <c r="W7884">
        <v>832479.90398986195</v>
      </c>
      <c r="X7884" t="s">
        <v>33</v>
      </c>
      <c r="Y7884">
        <f>1-378-641-8593</f>
        <v>-9611</v>
      </c>
    </row>
    <row r="7885" spans="1:25" x14ac:dyDescent="0.35">
      <c r="A7885">
        <v>39.917041754486299</v>
      </c>
      <c r="B7885">
        <v>-118.93666631081</v>
      </c>
      <c r="C7885" t="s">
        <v>34</v>
      </c>
      <c r="D7885">
        <v>4.6820229772350404</v>
      </c>
      <c r="E7885">
        <v>0</v>
      </c>
      <c r="F7885">
        <v>3765</v>
      </c>
      <c r="G7885">
        <v>4</v>
      </c>
      <c r="H7885">
        <v>3</v>
      </c>
      <c r="I7885">
        <v>1962</v>
      </c>
      <c r="J7885">
        <v>0</v>
      </c>
      <c r="K7885">
        <v>1</v>
      </c>
      <c r="L7885">
        <v>1</v>
      </c>
      <c r="M7885">
        <v>6</v>
      </c>
      <c r="N7885" t="s">
        <v>35</v>
      </c>
      <c r="O7885" t="s">
        <v>30</v>
      </c>
      <c r="P7885">
        <v>10.8294879089548</v>
      </c>
      <c r="Q7885">
        <v>1.8422434137566901</v>
      </c>
      <c r="R7885">
        <v>3.2245623762396001</v>
      </c>
      <c r="S7885">
        <v>199</v>
      </c>
      <c r="T7885">
        <v>56</v>
      </c>
      <c r="U7885">
        <v>846.315957977273</v>
      </c>
      <c r="V7885">
        <v>1.5936254980079599E-3</v>
      </c>
      <c r="W7885">
        <v>3572178.4113531699</v>
      </c>
      <c r="X7885" t="s">
        <v>42</v>
      </c>
      <c r="Y7885">
        <f>1-962-123-3976</f>
        <v>-5060</v>
      </c>
    </row>
    <row r="7886" spans="1:25" x14ac:dyDescent="0.35">
      <c r="A7886">
        <v>36.461419705342301</v>
      </c>
      <c r="B7886">
        <v>-117.23511057729399</v>
      </c>
      <c r="C7886" t="s">
        <v>34</v>
      </c>
      <c r="D7886">
        <v>48.355753279821101</v>
      </c>
      <c r="E7886">
        <v>2</v>
      </c>
      <c r="F7886">
        <v>1713</v>
      </c>
      <c r="G7886">
        <v>4</v>
      </c>
      <c r="H7886">
        <v>2</v>
      </c>
      <c r="I7886">
        <v>2020</v>
      </c>
      <c r="J7886">
        <v>0</v>
      </c>
      <c r="K7886">
        <v>1</v>
      </c>
      <c r="L7886">
        <v>1</v>
      </c>
      <c r="M7886">
        <v>7</v>
      </c>
      <c r="N7886" t="s">
        <v>26</v>
      </c>
      <c r="O7886" t="s">
        <v>30</v>
      </c>
      <c r="P7886">
        <v>9.1758128441349402</v>
      </c>
      <c r="Q7886">
        <v>0.84557353624004605</v>
      </c>
      <c r="R7886">
        <v>4.6892397108690203</v>
      </c>
      <c r="S7886">
        <v>28</v>
      </c>
      <c r="T7886">
        <v>50</v>
      </c>
      <c r="U7886">
        <v>408.35849739073598</v>
      </c>
      <c r="V7886">
        <v>4.08639813193228E-3</v>
      </c>
      <c r="W7886">
        <v>1164789.6118510801</v>
      </c>
      <c r="X7886" t="s">
        <v>33</v>
      </c>
      <c r="Y7886">
        <f>1-942-699-1719</f>
        <v>-3359</v>
      </c>
    </row>
    <row r="7887" spans="1:25" x14ac:dyDescent="0.35">
      <c r="A7887">
        <v>36.677013469769399</v>
      </c>
      <c r="B7887">
        <v>-123.471333572332</v>
      </c>
      <c r="C7887" t="s">
        <v>29</v>
      </c>
      <c r="D7887">
        <v>7.8097687748094398</v>
      </c>
      <c r="E7887">
        <v>0</v>
      </c>
      <c r="F7887">
        <v>4909</v>
      </c>
      <c r="G7887">
        <v>3</v>
      </c>
      <c r="H7887">
        <v>2</v>
      </c>
      <c r="I7887">
        <v>2003</v>
      </c>
      <c r="J7887">
        <v>1</v>
      </c>
      <c r="K7887">
        <v>1</v>
      </c>
      <c r="L7887">
        <v>1</v>
      </c>
      <c r="M7887">
        <v>11</v>
      </c>
      <c r="N7887" t="s">
        <v>37</v>
      </c>
      <c r="O7887" t="s">
        <v>27</v>
      </c>
      <c r="P7887">
        <v>2.33234278533897</v>
      </c>
      <c r="Q7887">
        <v>2.0753727456526998</v>
      </c>
      <c r="R7887">
        <v>9.08623466347556</v>
      </c>
      <c r="S7887">
        <v>144</v>
      </c>
      <c r="T7887">
        <v>21</v>
      </c>
      <c r="U7887">
        <v>838.68484776563901</v>
      </c>
      <c r="V7887">
        <v>2.24078223670808E-3</v>
      </c>
      <c r="W7887">
        <v>4388163.0168185197</v>
      </c>
      <c r="X7887" t="s">
        <v>36</v>
      </c>
      <c r="Y7887">
        <f>1-321-251-6596</f>
        <v>-7167</v>
      </c>
    </row>
    <row r="7888" spans="1:25" x14ac:dyDescent="0.35">
      <c r="A7888">
        <v>38.172674899162701</v>
      </c>
      <c r="B7888">
        <v>-115.608132885816</v>
      </c>
      <c r="C7888" t="s">
        <v>29</v>
      </c>
      <c r="D7888">
        <v>41.7154039026018</v>
      </c>
      <c r="E7888">
        <v>2</v>
      </c>
      <c r="F7888">
        <v>3002</v>
      </c>
      <c r="G7888">
        <v>5</v>
      </c>
      <c r="H7888">
        <v>1</v>
      </c>
      <c r="I7888">
        <v>2002</v>
      </c>
      <c r="J7888">
        <v>0</v>
      </c>
      <c r="K7888">
        <v>1</v>
      </c>
      <c r="L7888">
        <v>1</v>
      </c>
      <c r="M7888">
        <v>12</v>
      </c>
      <c r="N7888" t="s">
        <v>41</v>
      </c>
      <c r="O7888" t="s">
        <v>32</v>
      </c>
      <c r="P7888">
        <v>7.3295811205628096</v>
      </c>
      <c r="Q7888">
        <v>1.60788041367867</v>
      </c>
      <c r="R7888">
        <v>4.1479605105209796</v>
      </c>
      <c r="S7888">
        <v>183</v>
      </c>
      <c r="T7888">
        <v>77</v>
      </c>
      <c r="U7888">
        <v>547.36461719955901</v>
      </c>
      <c r="V7888">
        <v>3.9973351099267104E-3</v>
      </c>
      <c r="W7888">
        <v>2019659.7557029801</v>
      </c>
      <c r="X7888" t="s">
        <v>36</v>
      </c>
      <c r="Y7888">
        <f>1-237-840-4693</f>
        <v>-5769</v>
      </c>
    </row>
    <row r="7889" spans="1:25" x14ac:dyDescent="0.35">
      <c r="A7889">
        <v>36.119891797717301</v>
      </c>
      <c r="B7889">
        <v>-122.261464280659</v>
      </c>
      <c r="C7889" t="s">
        <v>25</v>
      </c>
      <c r="D7889">
        <v>23.7822389821734</v>
      </c>
      <c r="E7889">
        <v>8</v>
      </c>
      <c r="F7889">
        <v>4710</v>
      </c>
      <c r="G7889">
        <v>2</v>
      </c>
      <c r="H7889">
        <v>1</v>
      </c>
      <c r="I7889">
        <v>1995</v>
      </c>
      <c r="J7889">
        <v>0</v>
      </c>
      <c r="K7889">
        <v>0</v>
      </c>
      <c r="L7889">
        <v>0</v>
      </c>
      <c r="M7889">
        <v>8</v>
      </c>
      <c r="N7889" t="s">
        <v>37</v>
      </c>
      <c r="O7889" t="s">
        <v>27</v>
      </c>
      <c r="P7889">
        <v>10.5008020669693</v>
      </c>
      <c r="Q7889">
        <v>0.68255503181269495</v>
      </c>
      <c r="R7889">
        <v>5.3192657554519496</v>
      </c>
      <c r="S7889">
        <v>89</v>
      </c>
      <c r="T7889">
        <v>27</v>
      </c>
      <c r="U7889">
        <v>933.09610630769805</v>
      </c>
      <c r="V7889">
        <v>1.69851380042462E-3</v>
      </c>
      <c r="W7889">
        <v>4540174.5192066301</v>
      </c>
      <c r="X7889" t="s">
        <v>44</v>
      </c>
      <c r="Y7889">
        <f>1-415-980-9959</f>
        <v>-11353</v>
      </c>
    </row>
    <row r="7890" spans="1:25" x14ac:dyDescent="0.35">
      <c r="A7890">
        <v>36.060497530871302</v>
      </c>
      <c r="B7890">
        <v>-118.377980838905</v>
      </c>
      <c r="C7890" t="s">
        <v>25</v>
      </c>
      <c r="D7890">
        <v>26.299619846483299</v>
      </c>
      <c r="E7890">
        <v>6</v>
      </c>
      <c r="F7890">
        <v>864</v>
      </c>
      <c r="G7890">
        <v>1</v>
      </c>
      <c r="H7890">
        <v>3</v>
      </c>
      <c r="I7890">
        <v>1978</v>
      </c>
      <c r="J7890">
        <v>1</v>
      </c>
      <c r="K7890">
        <v>1</v>
      </c>
      <c r="L7890">
        <v>0</v>
      </c>
      <c r="M7890">
        <v>5</v>
      </c>
      <c r="N7890" t="s">
        <v>26</v>
      </c>
      <c r="O7890" t="s">
        <v>30</v>
      </c>
      <c r="P7890">
        <v>8.3645698777420598</v>
      </c>
      <c r="Q7890">
        <v>1.44490209660402</v>
      </c>
      <c r="R7890">
        <v>2.2585147568241801</v>
      </c>
      <c r="S7890">
        <v>93</v>
      </c>
      <c r="T7890">
        <v>42</v>
      </c>
      <c r="U7890">
        <v>500.92758827781302</v>
      </c>
      <c r="V7890">
        <v>5.7870370370370298E-3</v>
      </c>
      <c r="W7890">
        <v>758127.14287576894</v>
      </c>
      <c r="X7890" t="s">
        <v>28</v>
      </c>
      <c r="Y7890">
        <f>1-915-753-8785</f>
        <v>-10452</v>
      </c>
    </row>
    <row r="7891" spans="1:25" x14ac:dyDescent="0.35">
      <c r="A7891">
        <v>36.288376440726203</v>
      </c>
      <c r="B7891">
        <v>-119.18143193664601</v>
      </c>
      <c r="C7891" t="s">
        <v>25</v>
      </c>
      <c r="D7891">
        <v>13.567219250792499</v>
      </c>
      <c r="E7891">
        <v>3</v>
      </c>
      <c r="F7891">
        <v>748</v>
      </c>
      <c r="G7891">
        <v>3</v>
      </c>
      <c r="H7891">
        <v>2</v>
      </c>
      <c r="I7891">
        <v>1963</v>
      </c>
      <c r="J7891">
        <v>1</v>
      </c>
      <c r="K7891">
        <v>1</v>
      </c>
      <c r="L7891">
        <v>1</v>
      </c>
      <c r="M7891">
        <v>5</v>
      </c>
      <c r="N7891" t="s">
        <v>37</v>
      </c>
      <c r="O7891" t="s">
        <v>32</v>
      </c>
      <c r="P7891">
        <v>11.4642622031564</v>
      </c>
      <c r="Q7891">
        <v>0.64699382041509601</v>
      </c>
      <c r="R7891">
        <v>6.6780851700264003</v>
      </c>
      <c r="S7891">
        <v>132</v>
      </c>
      <c r="T7891">
        <v>42</v>
      </c>
      <c r="U7891">
        <v>815.16247902664895</v>
      </c>
      <c r="V7891">
        <v>6.6844919786096203E-3</v>
      </c>
      <c r="W7891">
        <v>1023742.92153713</v>
      </c>
      <c r="X7891" t="s">
        <v>40</v>
      </c>
      <c r="Y7891">
        <f>1-586-589-3447</f>
        <v>-4621</v>
      </c>
    </row>
    <row r="7892" spans="1:25" x14ac:dyDescent="0.35">
      <c r="A7892">
        <v>38.692005715129802</v>
      </c>
      <c r="B7892">
        <v>-117.438827611188</v>
      </c>
      <c r="C7892" t="s">
        <v>25</v>
      </c>
      <c r="D7892">
        <v>22.371090845473599</v>
      </c>
      <c r="E7892">
        <v>1</v>
      </c>
      <c r="F7892">
        <v>4856</v>
      </c>
      <c r="G7892">
        <v>3</v>
      </c>
      <c r="H7892">
        <v>2</v>
      </c>
      <c r="I7892">
        <v>2018</v>
      </c>
      <c r="J7892">
        <v>0</v>
      </c>
      <c r="K7892">
        <v>0</v>
      </c>
      <c r="L7892">
        <v>1</v>
      </c>
      <c r="M7892">
        <v>10</v>
      </c>
      <c r="N7892" t="s">
        <v>37</v>
      </c>
      <c r="O7892" t="s">
        <v>27</v>
      </c>
      <c r="P7892">
        <v>14.822775282124899</v>
      </c>
      <c r="Q7892">
        <v>2.4817908714162802</v>
      </c>
      <c r="R7892">
        <v>2.92911436730556</v>
      </c>
      <c r="S7892">
        <v>102</v>
      </c>
      <c r="T7892">
        <v>67</v>
      </c>
      <c r="U7892">
        <v>217.44844539550201</v>
      </c>
      <c r="V7892">
        <v>2.0593080724876402E-3</v>
      </c>
      <c r="W7892">
        <v>1367101.78095476</v>
      </c>
      <c r="X7892" t="s">
        <v>36</v>
      </c>
      <c r="Y7892">
        <f>1-751-935-2781</f>
        <v>-4466</v>
      </c>
    </row>
    <row r="7893" spans="1:25" x14ac:dyDescent="0.35">
      <c r="A7893">
        <v>35.6307394317136</v>
      </c>
      <c r="B7893">
        <v>-120.21859159090801</v>
      </c>
      <c r="C7893" t="s">
        <v>29</v>
      </c>
      <c r="D7893">
        <v>14.600966457259</v>
      </c>
      <c r="E7893">
        <v>5</v>
      </c>
      <c r="F7893">
        <v>2261</v>
      </c>
      <c r="G7893">
        <v>2</v>
      </c>
      <c r="H7893">
        <v>1</v>
      </c>
      <c r="I7893">
        <v>1952</v>
      </c>
      <c r="J7893">
        <v>0</v>
      </c>
      <c r="K7893">
        <v>1</v>
      </c>
      <c r="L7893">
        <v>0</v>
      </c>
      <c r="M7893">
        <v>6</v>
      </c>
      <c r="N7893" t="s">
        <v>35</v>
      </c>
      <c r="O7893" t="s">
        <v>32</v>
      </c>
      <c r="P7893">
        <v>8.1509530465599802</v>
      </c>
      <c r="Q7893">
        <v>2.20876745983283</v>
      </c>
      <c r="R7893">
        <v>2.1434869499284401</v>
      </c>
      <c r="S7893">
        <v>7</v>
      </c>
      <c r="T7893">
        <v>20</v>
      </c>
      <c r="U7893">
        <v>418.29802133114299</v>
      </c>
      <c r="V7893">
        <v>2.65369305616983E-3</v>
      </c>
      <c r="W7893">
        <v>1137492.5019620401</v>
      </c>
      <c r="X7893" t="s">
        <v>33</v>
      </c>
      <c r="Y7893">
        <f>1-989-994-8848</f>
        <v>-10830</v>
      </c>
    </row>
    <row r="7894" spans="1:25" x14ac:dyDescent="0.35">
      <c r="A7894">
        <v>33.090387860518597</v>
      </c>
      <c r="B7894">
        <v>-114.043254759642</v>
      </c>
      <c r="C7894" t="s">
        <v>34</v>
      </c>
      <c r="D7894">
        <v>15.070644132741901</v>
      </c>
      <c r="E7894">
        <v>2</v>
      </c>
      <c r="F7894">
        <v>1924</v>
      </c>
      <c r="G7894">
        <v>5</v>
      </c>
      <c r="H7894">
        <v>1</v>
      </c>
      <c r="I7894">
        <v>2019</v>
      </c>
      <c r="J7894">
        <v>1</v>
      </c>
      <c r="K7894">
        <v>1</v>
      </c>
      <c r="L7894">
        <v>1</v>
      </c>
      <c r="M7894">
        <v>10</v>
      </c>
      <c r="N7894" t="s">
        <v>41</v>
      </c>
      <c r="O7894" t="s">
        <v>32</v>
      </c>
      <c r="P7894">
        <v>5.4940004623656398</v>
      </c>
      <c r="Q7894">
        <v>2.2214747603110299</v>
      </c>
      <c r="R7894">
        <v>7.4445474076962501</v>
      </c>
      <c r="S7894">
        <v>72</v>
      </c>
      <c r="T7894">
        <v>69</v>
      </c>
      <c r="U7894">
        <v>954.16244732097505</v>
      </c>
      <c r="V7894">
        <v>5.19750519750519E-3</v>
      </c>
      <c r="W7894">
        <v>2256554.5101674702</v>
      </c>
      <c r="X7894" t="s">
        <v>38</v>
      </c>
      <c r="Y7894">
        <f>1-274-140-1591</f>
        <v>-2004</v>
      </c>
    </row>
    <row r="7895" spans="1:25" x14ac:dyDescent="0.35">
      <c r="A7895">
        <v>38.8193383516141</v>
      </c>
      <c r="B7895">
        <v>-116.37629461582701</v>
      </c>
      <c r="C7895" t="s">
        <v>25</v>
      </c>
      <c r="D7895">
        <v>4.2703304553548103</v>
      </c>
      <c r="E7895">
        <v>8</v>
      </c>
      <c r="F7895">
        <v>3612</v>
      </c>
      <c r="G7895">
        <v>1</v>
      </c>
      <c r="H7895">
        <v>3</v>
      </c>
      <c r="I7895">
        <v>1984</v>
      </c>
      <c r="J7895">
        <v>1</v>
      </c>
      <c r="K7895">
        <v>1</v>
      </c>
      <c r="L7895">
        <v>1</v>
      </c>
      <c r="M7895">
        <v>10</v>
      </c>
      <c r="N7895" t="s">
        <v>35</v>
      </c>
      <c r="O7895" t="s">
        <v>27</v>
      </c>
      <c r="P7895">
        <v>14.749756078640401</v>
      </c>
      <c r="Q7895">
        <v>0.62027312539208002</v>
      </c>
      <c r="R7895">
        <v>5.0468146480915701</v>
      </c>
      <c r="S7895">
        <v>125</v>
      </c>
      <c r="T7895">
        <v>22</v>
      </c>
      <c r="U7895">
        <v>785.19954148124805</v>
      </c>
      <c r="V7895">
        <v>2.76854928017718E-3</v>
      </c>
      <c r="W7895">
        <v>3160531.0100408099</v>
      </c>
      <c r="X7895" t="s">
        <v>42</v>
      </c>
      <c r="Y7895">
        <f>1-662-474-8901</f>
        <v>-10036</v>
      </c>
    </row>
    <row r="7896" spans="1:25" x14ac:dyDescent="0.35">
      <c r="A7896">
        <v>34.862373049309099</v>
      </c>
      <c r="B7896">
        <v>-123.281164332752</v>
      </c>
      <c r="C7896" t="s">
        <v>25</v>
      </c>
      <c r="D7896">
        <v>26.679550174988101</v>
      </c>
      <c r="E7896">
        <v>0</v>
      </c>
      <c r="F7896">
        <v>994</v>
      </c>
      <c r="G7896">
        <v>4</v>
      </c>
      <c r="H7896">
        <v>3</v>
      </c>
      <c r="I7896">
        <v>2019</v>
      </c>
      <c r="J7896">
        <v>0</v>
      </c>
      <c r="K7896">
        <v>1</v>
      </c>
      <c r="L7896">
        <v>0</v>
      </c>
      <c r="M7896">
        <v>13</v>
      </c>
      <c r="N7896" t="s">
        <v>37</v>
      </c>
      <c r="O7896" t="s">
        <v>32</v>
      </c>
      <c r="P7896">
        <v>12.9619132439274</v>
      </c>
      <c r="Q7896">
        <v>2.3884991994255098</v>
      </c>
      <c r="R7896">
        <v>5.6333706586163697</v>
      </c>
      <c r="S7896">
        <v>65</v>
      </c>
      <c r="T7896">
        <v>49</v>
      </c>
      <c r="U7896">
        <v>522.67995510581295</v>
      </c>
      <c r="V7896">
        <v>1.30784708249496E-2</v>
      </c>
      <c r="W7896">
        <v>943186.95981056697</v>
      </c>
      <c r="X7896" t="s">
        <v>42</v>
      </c>
      <c r="Y7896">
        <f>1-969-554-8091</f>
        <v>-9613</v>
      </c>
    </row>
    <row r="7897" spans="1:25" x14ac:dyDescent="0.35">
      <c r="A7897">
        <v>40.918720215867999</v>
      </c>
      <c r="B7897">
        <v>-120.430554561645</v>
      </c>
      <c r="C7897" t="s">
        <v>25</v>
      </c>
      <c r="D7897">
        <v>29.679586697001401</v>
      </c>
      <c r="E7897">
        <v>8</v>
      </c>
      <c r="F7897">
        <v>4929</v>
      </c>
      <c r="G7897">
        <v>3</v>
      </c>
      <c r="H7897">
        <v>1</v>
      </c>
      <c r="I7897">
        <v>1962</v>
      </c>
      <c r="J7897">
        <v>0</v>
      </c>
      <c r="K7897">
        <v>0</v>
      </c>
      <c r="L7897">
        <v>1</v>
      </c>
      <c r="M7897">
        <v>4</v>
      </c>
      <c r="N7897" t="s">
        <v>35</v>
      </c>
      <c r="O7897" t="s">
        <v>27</v>
      </c>
      <c r="P7897">
        <v>8.65957995144338</v>
      </c>
      <c r="Q7897">
        <v>1.79128623217474</v>
      </c>
      <c r="R7897">
        <v>6.1871712465242696</v>
      </c>
      <c r="S7897">
        <v>4</v>
      </c>
      <c r="T7897">
        <v>72</v>
      </c>
      <c r="U7897">
        <v>662.00996195427297</v>
      </c>
      <c r="V7897">
        <v>8.1152363562588697E-4</v>
      </c>
      <c r="W7897">
        <v>3396462.8659632201</v>
      </c>
      <c r="X7897" t="s">
        <v>28</v>
      </c>
      <c r="Y7897">
        <f>1-751-929-3280</f>
        <v>-4959</v>
      </c>
    </row>
    <row r="7898" spans="1:25" x14ac:dyDescent="0.35">
      <c r="A7898">
        <v>32.700842523656398</v>
      </c>
      <c r="B7898">
        <v>-119.354090208109</v>
      </c>
      <c r="C7898" t="s">
        <v>29</v>
      </c>
      <c r="D7898">
        <v>14.8314122890503</v>
      </c>
      <c r="E7898">
        <v>2</v>
      </c>
      <c r="F7898">
        <v>3020</v>
      </c>
      <c r="G7898">
        <v>2</v>
      </c>
      <c r="H7898">
        <v>1</v>
      </c>
      <c r="I7898">
        <v>1992</v>
      </c>
      <c r="J7898">
        <v>1</v>
      </c>
      <c r="K7898">
        <v>0</v>
      </c>
      <c r="L7898">
        <v>0</v>
      </c>
      <c r="M7898">
        <v>5</v>
      </c>
      <c r="N7898" t="s">
        <v>37</v>
      </c>
      <c r="O7898" t="s">
        <v>32</v>
      </c>
      <c r="P7898">
        <v>10.8196469385323</v>
      </c>
      <c r="Q7898">
        <v>1.65592099864651</v>
      </c>
      <c r="R7898">
        <v>4.3671402682299698</v>
      </c>
      <c r="S7898">
        <v>41</v>
      </c>
      <c r="T7898">
        <v>46</v>
      </c>
      <c r="U7898">
        <v>865.46910036111205</v>
      </c>
      <c r="V7898">
        <v>1.6556291390728401E-3</v>
      </c>
      <c r="W7898">
        <v>2777789.0529700601</v>
      </c>
      <c r="X7898" t="s">
        <v>43</v>
      </c>
      <c r="Y7898">
        <f>1-465-372-1289</f>
        <v>-2125</v>
      </c>
    </row>
    <row r="7899" spans="1:25" x14ac:dyDescent="0.35">
      <c r="A7899">
        <v>40.654340573637498</v>
      </c>
      <c r="B7899">
        <v>-124.142124864802</v>
      </c>
      <c r="C7899" t="s">
        <v>25</v>
      </c>
      <c r="D7899">
        <v>22.448204836786601</v>
      </c>
      <c r="E7899">
        <v>1</v>
      </c>
      <c r="F7899">
        <v>1740</v>
      </c>
      <c r="G7899">
        <v>4</v>
      </c>
      <c r="H7899">
        <v>3</v>
      </c>
      <c r="I7899">
        <v>1970</v>
      </c>
      <c r="J7899">
        <v>1</v>
      </c>
      <c r="K7899">
        <v>0</v>
      </c>
      <c r="L7899">
        <v>0</v>
      </c>
      <c r="M7899">
        <v>3</v>
      </c>
      <c r="N7899" t="s">
        <v>35</v>
      </c>
      <c r="O7899" t="s">
        <v>27</v>
      </c>
      <c r="P7899">
        <v>8.8145114697023796</v>
      </c>
      <c r="Q7899">
        <v>0.57057010511258699</v>
      </c>
      <c r="R7899">
        <v>1.0020483435605601</v>
      </c>
      <c r="S7899">
        <v>195</v>
      </c>
      <c r="T7899">
        <v>61</v>
      </c>
      <c r="U7899">
        <v>915.15295136752002</v>
      </c>
      <c r="V7899">
        <v>1.7241379310344799E-3</v>
      </c>
      <c r="W7899">
        <v>1908321.32614754</v>
      </c>
      <c r="X7899" t="s">
        <v>39</v>
      </c>
      <c r="Y7899">
        <f>1-539-873-5276</f>
        <v>-6687</v>
      </c>
    </row>
    <row r="7900" spans="1:25" x14ac:dyDescent="0.35">
      <c r="A7900">
        <v>38.901542947445797</v>
      </c>
      <c r="B7900">
        <v>-114.671924861148</v>
      </c>
      <c r="C7900" t="s">
        <v>25</v>
      </c>
      <c r="D7900">
        <v>29.886412702839799</v>
      </c>
      <c r="E7900">
        <v>7</v>
      </c>
      <c r="F7900">
        <v>2183</v>
      </c>
      <c r="G7900">
        <v>5</v>
      </c>
      <c r="H7900">
        <v>1</v>
      </c>
      <c r="I7900">
        <v>2020</v>
      </c>
      <c r="J7900">
        <v>1</v>
      </c>
      <c r="K7900">
        <v>0</v>
      </c>
      <c r="L7900">
        <v>1</v>
      </c>
      <c r="M7900">
        <v>8</v>
      </c>
      <c r="N7900" t="s">
        <v>35</v>
      </c>
      <c r="O7900" t="s">
        <v>27</v>
      </c>
      <c r="P7900">
        <v>13.523194083042799</v>
      </c>
      <c r="Q7900">
        <v>1.08118139823304</v>
      </c>
      <c r="R7900">
        <v>2.7688399930409502</v>
      </c>
      <c r="S7900">
        <v>86</v>
      </c>
      <c r="T7900">
        <v>33</v>
      </c>
      <c r="U7900">
        <v>693.03295002108098</v>
      </c>
      <c r="V7900">
        <v>3.66468163078332E-3</v>
      </c>
      <c r="W7900">
        <v>2014083.9770982901</v>
      </c>
      <c r="X7900" t="s">
        <v>31</v>
      </c>
      <c r="Y7900">
        <f>1-971-221-9512</f>
        <v>-10703</v>
      </c>
    </row>
    <row r="7901" spans="1:25" x14ac:dyDescent="0.35">
      <c r="A7901">
        <v>36.254401227733197</v>
      </c>
      <c r="B7901">
        <v>-120.433484758039</v>
      </c>
      <c r="C7901" t="s">
        <v>25</v>
      </c>
      <c r="D7901">
        <v>46.427806414853301</v>
      </c>
      <c r="E7901">
        <v>1</v>
      </c>
      <c r="F7901">
        <v>3207</v>
      </c>
      <c r="G7901">
        <v>1</v>
      </c>
      <c r="H7901">
        <v>3</v>
      </c>
      <c r="I7901">
        <v>1966</v>
      </c>
      <c r="J7901">
        <v>0</v>
      </c>
      <c r="K7901">
        <v>0</v>
      </c>
      <c r="L7901">
        <v>0</v>
      </c>
      <c r="M7901">
        <v>9</v>
      </c>
      <c r="N7901" t="s">
        <v>37</v>
      </c>
      <c r="O7901" t="s">
        <v>30</v>
      </c>
      <c r="P7901">
        <v>7.2142586840309599</v>
      </c>
      <c r="Q7901">
        <v>1.1553888130929</v>
      </c>
      <c r="R7901">
        <v>1.9616928853951501</v>
      </c>
      <c r="S7901">
        <v>116</v>
      </c>
      <c r="T7901">
        <v>32</v>
      </c>
      <c r="U7901">
        <v>445.38031997537797</v>
      </c>
      <c r="V7901">
        <v>2.80636108512628E-3</v>
      </c>
      <c r="W7901">
        <v>1557515.62784419</v>
      </c>
      <c r="X7901" t="s">
        <v>44</v>
      </c>
      <c r="Y7901">
        <f>1-706-809-2283</f>
        <v>-3797</v>
      </c>
    </row>
    <row r="7902" spans="1:25" x14ac:dyDescent="0.35">
      <c r="A7902">
        <v>41.706306925990198</v>
      </c>
      <c r="B7902">
        <v>-122.07667711118</v>
      </c>
      <c r="C7902" t="s">
        <v>25</v>
      </c>
      <c r="D7902">
        <v>16.066088219630601</v>
      </c>
      <c r="E7902">
        <v>5</v>
      </c>
      <c r="F7902">
        <v>3849</v>
      </c>
      <c r="G7902">
        <v>2</v>
      </c>
      <c r="H7902">
        <v>1</v>
      </c>
      <c r="I7902">
        <v>1999</v>
      </c>
      <c r="J7902">
        <v>0</v>
      </c>
      <c r="K7902">
        <v>0</v>
      </c>
      <c r="L7902">
        <v>1</v>
      </c>
      <c r="M7902">
        <v>13</v>
      </c>
      <c r="N7902" t="s">
        <v>35</v>
      </c>
      <c r="O7902" t="s">
        <v>30</v>
      </c>
      <c r="P7902">
        <v>2.2054560754438501</v>
      </c>
      <c r="Q7902">
        <v>0.95277300821835198</v>
      </c>
      <c r="R7902">
        <v>8.2217848942574108</v>
      </c>
      <c r="S7902">
        <v>119</v>
      </c>
      <c r="T7902">
        <v>36</v>
      </c>
      <c r="U7902">
        <v>530.61281749401905</v>
      </c>
      <c r="V7902">
        <v>3.3775006495193501E-3</v>
      </c>
      <c r="W7902">
        <v>2212421.3448393601</v>
      </c>
      <c r="X7902" t="s">
        <v>42</v>
      </c>
      <c r="Y7902">
        <f>1-491-726-2021</f>
        <v>-3237</v>
      </c>
    </row>
    <row r="7903" spans="1:25" x14ac:dyDescent="0.35">
      <c r="A7903">
        <v>40.607748493134899</v>
      </c>
      <c r="B7903">
        <v>-121.564690842334</v>
      </c>
      <c r="C7903" t="s">
        <v>29</v>
      </c>
      <c r="D7903">
        <v>3.75641052356172</v>
      </c>
      <c r="E7903">
        <v>1</v>
      </c>
      <c r="F7903">
        <v>1037</v>
      </c>
      <c r="G7903">
        <v>4</v>
      </c>
      <c r="H7903">
        <v>1</v>
      </c>
      <c r="I7903">
        <v>1966</v>
      </c>
      <c r="J7903">
        <v>0</v>
      </c>
      <c r="K7903">
        <v>1</v>
      </c>
      <c r="L7903">
        <v>0</v>
      </c>
      <c r="M7903">
        <v>10</v>
      </c>
      <c r="N7903" t="s">
        <v>26</v>
      </c>
      <c r="O7903" t="s">
        <v>27</v>
      </c>
      <c r="P7903">
        <v>3.7139930022957399</v>
      </c>
      <c r="Q7903">
        <v>1.12058714316181</v>
      </c>
      <c r="R7903">
        <v>6.8745406232448296</v>
      </c>
      <c r="S7903">
        <v>30</v>
      </c>
      <c r="T7903">
        <v>62</v>
      </c>
      <c r="U7903">
        <v>890.13412386462596</v>
      </c>
      <c r="V7903">
        <v>9.64320154291224E-3</v>
      </c>
      <c r="W7903">
        <v>1046126.61138041</v>
      </c>
      <c r="X7903" t="s">
        <v>42</v>
      </c>
      <c r="Y7903">
        <f>1-299-892-1669</f>
        <v>-2859</v>
      </c>
    </row>
    <row r="7904" spans="1:25" x14ac:dyDescent="0.35">
      <c r="A7904">
        <v>40.275389715634901</v>
      </c>
      <c r="B7904">
        <v>-114.814983581981</v>
      </c>
      <c r="C7904" t="s">
        <v>29</v>
      </c>
      <c r="D7904">
        <v>37.967013597323799</v>
      </c>
      <c r="E7904">
        <v>3</v>
      </c>
      <c r="F7904">
        <v>1061</v>
      </c>
      <c r="G7904">
        <v>4</v>
      </c>
      <c r="H7904">
        <v>1</v>
      </c>
      <c r="I7904">
        <v>1991</v>
      </c>
      <c r="J7904">
        <v>1</v>
      </c>
      <c r="K7904">
        <v>1</v>
      </c>
      <c r="L7904">
        <v>0</v>
      </c>
      <c r="M7904">
        <v>7</v>
      </c>
      <c r="N7904" t="s">
        <v>41</v>
      </c>
      <c r="O7904" t="s">
        <v>30</v>
      </c>
      <c r="P7904">
        <v>4.5131704806178199</v>
      </c>
      <c r="Q7904">
        <v>2.3768274776825802</v>
      </c>
      <c r="R7904">
        <v>7.5022378130161202</v>
      </c>
      <c r="S7904">
        <v>141</v>
      </c>
      <c r="T7904">
        <v>52</v>
      </c>
      <c r="U7904">
        <v>332.643138583211</v>
      </c>
      <c r="V7904">
        <v>6.5975494816211096E-3</v>
      </c>
      <c r="W7904">
        <v>692835.75771221402</v>
      </c>
      <c r="X7904" t="s">
        <v>33</v>
      </c>
      <c r="Y7904">
        <f>1-302-947-4744</f>
        <v>-5992</v>
      </c>
    </row>
    <row r="7905" spans="1:25" x14ac:dyDescent="0.35">
      <c r="A7905">
        <v>33.354133906445803</v>
      </c>
      <c r="B7905">
        <v>-118.774925356948</v>
      </c>
      <c r="C7905" t="s">
        <v>34</v>
      </c>
      <c r="D7905">
        <v>44.893292220269799</v>
      </c>
      <c r="E7905">
        <v>9</v>
      </c>
      <c r="F7905">
        <v>1952</v>
      </c>
      <c r="G7905">
        <v>4</v>
      </c>
      <c r="H7905">
        <v>3</v>
      </c>
      <c r="I7905">
        <v>2003</v>
      </c>
      <c r="J7905">
        <v>0</v>
      </c>
      <c r="K7905">
        <v>0</v>
      </c>
      <c r="L7905">
        <v>1</v>
      </c>
      <c r="M7905">
        <v>10</v>
      </c>
      <c r="N7905" t="s">
        <v>35</v>
      </c>
      <c r="O7905" t="s">
        <v>27</v>
      </c>
      <c r="P7905">
        <v>11.4147369761354</v>
      </c>
      <c r="Q7905">
        <v>0.96978709932587903</v>
      </c>
      <c r="R7905">
        <v>9.4502456738121605</v>
      </c>
      <c r="S7905">
        <v>76</v>
      </c>
      <c r="T7905">
        <v>50</v>
      </c>
      <c r="U7905">
        <v>689.23996610475399</v>
      </c>
      <c r="V7905">
        <v>5.1229508196721299E-3</v>
      </c>
      <c r="W7905">
        <v>1635710.8975013399</v>
      </c>
      <c r="X7905" t="s">
        <v>36</v>
      </c>
      <c r="Y7905">
        <f>1-714-660-5643</f>
        <v>-7016</v>
      </c>
    </row>
    <row r="7906" spans="1:25" x14ac:dyDescent="0.35">
      <c r="A7906">
        <v>38.782908939191699</v>
      </c>
      <c r="B7906">
        <v>-118.325195734663</v>
      </c>
      <c r="C7906" t="s">
        <v>34</v>
      </c>
      <c r="D7906">
        <v>10.568580768494</v>
      </c>
      <c r="E7906">
        <v>6</v>
      </c>
      <c r="F7906">
        <v>507</v>
      </c>
      <c r="G7906">
        <v>3</v>
      </c>
      <c r="H7906">
        <v>2</v>
      </c>
      <c r="I7906">
        <v>1953</v>
      </c>
      <c r="J7906">
        <v>1</v>
      </c>
      <c r="K7906">
        <v>1</v>
      </c>
      <c r="L7906">
        <v>0</v>
      </c>
      <c r="M7906">
        <v>7</v>
      </c>
      <c r="N7906" t="s">
        <v>41</v>
      </c>
      <c r="O7906" t="s">
        <v>30</v>
      </c>
      <c r="P7906">
        <v>2.2689895865800702</v>
      </c>
      <c r="Q7906">
        <v>0.572297787025281</v>
      </c>
      <c r="R7906">
        <v>1.21623221312726</v>
      </c>
      <c r="S7906">
        <v>175</v>
      </c>
      <c r="T7906">
        <v>61</v>
      </c>
      <c r="U7906">
        <v>264.049028413065</v>
      </c>
      <c r="V7906">
        <v>1.3806706114398401E-2</v>
      </c>
      <c r="W7906">
        <v>332872.31229939498</v>
      </c>
      <c r="X7906" t="s">
        <v>38</v>
      </c>
      <c r="Y7906">
        <f>1-422-383-3669</f>
        <v>-4473</v>
      </c>
    </row>
    <row r="7907" spans="1:25" x14ac:dyDescent="0.35">
      <c r="A7907">
        <v>38.744041910794003</v>
      </c>
      <c r="B7907">
        <v>-122.248929496774</v>
      </c>
      <c r="C7907" t="s">
        <v>34</v>
      </c>
      <c r="D7907">
        <v>45.206562088309298</v>
      </c>
      <c r="E7907">
        <v>7</v>
      </c>
      <c r="F7907">
        <v>4293</v>
      </c>
      <c r="G7907">
        <v>3</v>
      </c>
      <c r="H7907">
        <v>1</v>
      </c>
      <c r="I7907">
        <v>1980</v>
      </c>
      <c r="J7907">
        <v>0</v>
      </c>
      <c r="K7907">
        <v>0</v>
      </c>
      <c r="L7907">
        <v>1</v>
      </c>
      <c r="M7907">
        <v>12</v>
      </c>
      <c r="N7907" t="s">
        <v>35</v>
      </c>
      <c r="O7907" t="s">
        <v>27</v>
      </c>
      <c r="P7907">
        <v>3.16414719906366</v>
      </c>
      <c r="Q7907">
        <v>0.72193600171915595</v>
      </c>
      <c r="R7907">
        <v>7.7146423112723399</v>
      </c>
      <c r="S7907">
        <v>126</v>
      </c>
      <c r="T7907">
        <v>23</v>
      </c>
      <c r="U7907">
        <v>815.59143961313805</v>
      </c>
      <c r="V7907">
        <v>2.79524807826694E-3</v>
      </c>
      <c r="W7907">
        <v>3727594.9236425199</v>
      </c>
      <c r="X7907" t="s">
        <v>44</v>
      </c>
      <c r="Y7907">
        <f>1-275-708-1653</f>
        <v>-2635</v>
      </c>
    </row>
    <row r="7908" spans="1:25" x14ac:dyDescent="0.35">
      <c r="A7908">
        <v>39.357548072077797</v>
      </c>
      <c r="B7908">
        <v>-120.598784461804</v>
      </c>
      <c r="C7908" t="s">
        <v>34</v>
      </c>
      <c r="D7908">
        <v>20.688176996822499</v>
      </c>
      <c r="E7908">
        <v>9</v>
      </c>
      <c r="F7908">
        <v>4296</v>
      </c>
      <c r="G7908">
        <v>5</v>
      </c>
      <c r="H7908">
        <v>2</v>
      </c>
      <c r="I7908">
        <v>1968</v>
      </c>
      <c r="J7908">
        <v>1</v>
      </c>
      <c r="K7908">
        <v>1</v>
      </c>
      <c r="L7908">
        <v>1</v>
      </c>
      <c r="M7908">
        <v>4</v>
      </c>
      <c r="N7908" t="s">
        <v>35</v>
      </c>
      <c r="O7908" t="s">
        <v>27</v>
      </c>
      <c r="P7908">
        <v>7.0957882931123102</v>
      </c>
      <c r="Q7908">
        <v>0.76300903457646396</v>
      </c>
      <c r="R7908">
        <v>3.8205086633043099</v>
      </c>
      <c r="S7908">
        <v>94</v>
      </c>
      <c r="T7908">
        <v>29</v>
      </c>
      <c r="U7908">
        <v>765.64292395652603</v>
      </c>
      <c r="V7908">
        <v>9.3109869646182495E-4</v>
      </c>
      <c r="W7908">
        <v>3777915.2509708898</v>
      </c>
      <c r="X7908" t="s">
        <v>43</v>
      </c>
      <c r="Y7908">
        <f>1-290-414-5543</f>
        <v>-6246</v>
      </c>
    </row>
    <row r="7909" spans="1:25" x14ac:dyDescent="0.35">
      <c r="A7909">
        <v>40.591376376085101</v>
      </c>
      <c r="B7909">
        <v>-115.097633461496</v>
      </c>
      <c r="C7909" t="s">
        <v>29</v>
      </c>
      <c r="D7909">
        <v>4.7391264981232997</v>
      </c>
      <c r="E7909">
        <v>2</v>
      </c>
      <c r="F7909">
        <v>3586</v>
      </c>
      <c r="G7909">
        <v>5</v>
      </c>
      <c r="H7909">
        <v>2</v>
      </c>
      <c r="I7909">
        <v>1964</v>
      </c>
      <c r="J7909">
        <v>0</v>
      </c>
      <c r="K7909">
        <v>0</v>
      </c>
      <c r="L7909">
        <v>0</v>
      </c>
      <c r="M7909">
        <v>2</v>
      </c>
      <c r="N7909" t="s">
        <v>26</v>
      </c>
      <c r="O7909" t="s">
        <v>30</v>
      </c>
      <c r="P7909">
        <v>11.761125917501801</v>
      </c>
      <c r="Q7909">
        <v>2.1666902858583801</v>
      </c>
      <c r="R7909">
        <v>2.2668920258451899</v>
      </c>
      <c r="S7909">
        <v>157</v>
      </c>
      <c r="T7909">
        <v>63</v>
      </c>
      <c r="U7909">
        <v>741.43321819814105</v>
      </c>
      <c r="V7909">
        <v>5.5772448410485202E-4</v>
      </c>
      <c r="W7909">
        <v>2853163.3794782399</v>
      </c>
      <c r="X7909" t="s">
        <v>31</v>
      </c>
      <c r="Y7909">
        <f>1-993-480-2972</f>
        <v>-4444</v>
      </c>
    </row>
    <row r="7910" spans="1:25" x14ac:dyDescent="0.35">
      <c r="A7910">
        <v>40.220138598330799</v>
      </c>
      <c r="B7910">
        <v>-120.044691042479</v>
      </c>
      <c r="C7910" t="s">
        <v>34</v>
      </c>
      <c r="D7910">
        <v>26.248313843325501</v>
      </c>
      <c r="E7910">
        <v>8</v>
      </c>
      <c r="F7910">
        <v>1670</v>
      </c>
      <c r="G7910">
        <v>2</v>
      </c>
      <c r="H7910">
        <v>2</v>
      </c>
      <c r="I7910">
        <v>1961</v>
      </c>
      <c r="J7910">
        <v>0</v>
      </c>
      <c r="K7910">
        <v>1</v>
      </c>
      <c r="L7910">
        <v>0</v>
      </c>
      <c r="M7910">
        <v>13</v>
      </c>
      <c r="N7910" t="s">
        <v>35</v>
      </c>
      <c r="O7910" t="s">
        <v>32</v>
      </c>
      <c r="P7910">
        <v>5.9942877385809901</v>
      </c>
      <c r="Q7910">
        <v>2.2279335415636599</v>
      </c>
      <c r="R7910">
        <v>6.3413219238228997</v>
      </c>
      <c r="S7910">
        <v>52</v>
      </c>
      <c r="T7910">
        <v>26</v>
      </c>
      <c r="U7910">
        <v>510.535162982435</v>
      </c>
      <c r="V7910">
        <v>7.7844311377245502E-3</v>
      </c>
      <c r="W7910">
        <v>1020686.5665835401</v>
      </c>
      <c r="X7910" t="s">
        <v>42</v>
      </c>
      <c r="Y7910">
        <f>1-648-704-4278</f>
        <v>-5629</v>
      </c>
    </row>
    <row r="7911" spans="1:25" x14ac:dyDescent="0.35">
      <c r="A7911">
        <v>37.336474094527702</v>
      </c>
      <c r="B7911">
        <v>-121.51784827997101</v>
      </c>
      <c r="C7911" t="s">
        <v>34</v>
      </c>
      <c r="D7911">
        <v>36.925754704321399</v>
      </c>
      <c r="E7911">
        <v>9</v>
      </c>
      <c r="F7911">
        <v>3681</v>
      </c>
      <c r="G7911">
        <v>1</v>
      </c>
      <c r="H7911">
        <v>1</v>
      </c>
      <c r="I7911">
        <v>1982</v>
      </c>
      <c r="J7911">
        <v>1</v>
      </c>
      <c r="K7911">
        <v>1</v>
      </c>
      <c r="L7911">
        <v>1</v>
      </c>
      <c r="M7911">
        <v>8</v>
      </c>
      <c r="N7911" t="s">
        <v>26</v>
      </c>
      <c r="O7911" t="s">
        <v>32</v>
      </c>
      <c r="P7911">
        <v>10.1359077272043</v>
      </c>
      <c r="Q7911">
        <v>1.2776327224216</v>
      </c>
      <c r="R7911">
        <v>7.6093396973261704</v>
      </c>
      <c r="S7911">
        <v>78</v>
      </c>
      <c r="T7911">
        <v>45</v>
      </c>
      <c r="U7911">
        <v>773.21480522759896</v>
      </c>
      <c r="V7911">
        <v>2.1733224667209901E-3</v>
      </c>
      <c r="W7911">
        <v>3157349.5151735102</v>
      </c>
      <c r="X7911" t="s">
        <v>31</v>
      </c>
      <c r="Y7911">
        <f>1-683-370-7933</f>
        <v>-8985</v>
      </c>
    </row>
    <row r="7912" spans="1:25" x14ac:dyDescent="0.35">
      <c r="A7912">
        <v>40.587151168924301</v>
      </c>
      <c r="B7912">
        <v>-118.973409603574</v>
      </c>
      <c r="C7912" t="s">
        <v>25</v>
      </c>
      <c r="D7912">
        <v>41.554367730520099</v>
      </c>
      <c r="E7912">
        <v>9</v>
      </c>
      <c r="F7912">
        <v>4768</v>
      </c>
      <c r="G7912">
        <v>3</v>
      </c>
      <c r="H7912">
        <v>2</v>
      </c>
      <c r="I7912">
        <v>1988</v>
      </c>
      <c r="J7912">
        <v>1</v>
      </c>
      <c r="K7912">
        <v>1</v>
      </c>
      <c r="L7912">
        <v>0</v>
      </c>
      <c r="M7912">
        <v>2</v>
      </c>
      <c r="N7912" t="s">
        <v>35</v>
      </c>
      <c r="O7912" t="s">
        <v>27</v>
      </c>
      <c r="P7912">
        <v>4.0463092097961901</v>
      </c>
      <c r="Q7912">
        <v>1.8399040576119801</v>
      </c>
      <c r="R7912">
        <v>5.8130333629753599</v>
      </c>
      <c r="S7912">
        <v>192</v>
      </c>
      <c r="T7912">
        <v>41</v>
      </c>
      <c r="U7912">
        <v>586.53156529029502</v>
      </c>
      <c r="V7912">
        <v>4.1946308724832198E-4</v>
      </c>
      <c r="W7912">
        <v>3091541.3306411998</v>
      </c>
      <c r="X7912" t="s">
        <v>44</v>
      </c>
      <c r="Y7912">
        <f>1-928-143-6075</f>
        <v>-7145</v>
      </c>
    </row>
    <row r="7913" spans="1:25" x14ac:dyDescent="0.35">
      <c r="A7913">
        <v>41.151283686846199</v>
      </c>
      <c r="B7913">
        <v>-116.237527425617</v>
      </c>
      <c r="C7913" t="s">
        <v>34</v>
      </c>
      <c r="D7913">
        <v>19.031157529814699</v>
      </c>
      <c r="E7913">
        <v>9</v>
      </c>
      <c r="F7913">
        <v>888</v>
      </c>
      <c r="G7913">
        <v>4</v>
      </c>
      <c r="H7913">
        <v>2</v>
      </c>
      <c r="I7913">
        <v>2019</v>
      </c>
      <c r="J7913">
        <v>0</v>
      </c>
      <c r="K7913">
        <v>0</v>
      </c>
      <c r="L7913">
        <v>1</v>
      </c>
      <c r="M7913">
        <v>9</v>
      </c>
      <c r="N7913" t="s">
        <v>41</v>
      </c>
      <c r="O7913" t="s">
        <v>27</v>
      </c>
      <c r="P7913">
        <v>5.7488177515522096</v>
      </c>
      <c r="Q7913">
        <v>2.1914243748092601</v>
      </c>
      <c r="R7913">
        <v>6.3052245583890203</v>
      </c>
      <c r="S7913">
        <v>129</v>
      </c>
      <c r="T7913">
        <v>50</v>
      </c>
      <c r="U7913">
        <v>953.59915982153598</v>
      </c>
      <c r="V7913">
        <v>1.0135135135135099E-2</v>
      </c>
      <c r="W7913">
        <v>1078963.43608902</v>
      </c>
      <c r="X7913" t="s">
        <v>40</v>
      </c>
      <c r="Y7913">
        <f>1-347-720-1212</f>
        <v>-2278</v>
      </c>
    </row>
    <row r="7914" spans="1:25" x14ac:dyDescent="0.35">
      <c r="A7914">
        <v>35.963540221602599</v>
      </c>
      <c r="B7914">
        <v>-114.70379674042</v>
      </c>
      <c r="C7914" t="s">
        <v>25</v>
      </c>
      <c r="D7914">
        <v>6.3713231029206803</v>
      </c>
      <c r="E7914">
        <v>9</v>
      </c>
      <c r="F7914">
        <v>4964</v>
      </c>
      <c r="G7914">
        <v>2</v>
      </c>
      <c r="H7914">
        <v>1</v>
      </c>
      <c r="I7914">
        <v>1959</v>
      </c>
      <c r="J7914">
        <v>1</v>
      </c>
      <c r="K7914">
        <v>0</v>
      </c>
      <c r="L7914">
        <v>0</v>
      </c>
      <c r="M7914">
        <v>10</v>
      </c>
      <c r="N7914" t="s">
        <v>41</v>
      </c>
      <c r="O7914" t="s">
        <v>27</v>
      </c>
      <c r="P7914">
        <v>6.0161567906236897</v>
      </c>
      <c r="Q7914">
        <v>0.93090613558387303</v>
      </c>
      <c r="R7914">
        <v>5.1215341690736098</v>
      </c>
      <c r="S7914">
        <v>193</v>
      </c>
      <c r="T7914">
        <v>78</v>
      </c>
      <c r="U7914">
        <v>512.19597015891395</v>
      </c>
      <c r="V7914">
        <v>2.01450443190975E-3</v>
      </c>
      <c r="W7914">
        <v>2622833.0637586</v>
      </c>
      <c r="X7914" t="s">
        <v>43</v>
      </c>
      <c r="Y7914">
        <f>1-332-380-4468</f>
        <v>-5179</v>
      </c>
    </row>
    <row r="7915" spans="1:25" x14ac:dyDescent="0.35">
      <c r="A7915">
        <v>36.646925962244097</v>
      </c>
      <c r="B7915">
        <v>-115.057123929971</v>
      </c>
      <c r="C7915" t="s">
        <v>25</v>
      </c>
      <c r="D7915">
        <v>19.1753863989147</v>
      </c>
      <c r="E7915">
        <v>3</v>
      </c>
      <c r="F7915">
        <v>3326</v>
      </c>
      <c r="G7915">
        <v>4</v>
      </c>
      <c r="H7915">
        <v>2</v>
      </c>
      <c r="I7915">
        <v>1971</v>
      </c>
      <c r="J7915">
        <v>0</v>
      </c>
      <c r="K7915">
        <v>1</v>
      </c>
      <c r="L7915">
        <v>0</v>
      </c>
      <c r="M7915">
        <v>12</v>
      </c>
      <c r="N7915" t="s">
        <v>26</v>
      </c>
      <c r="O7915" t="s">
        <v>32</v>
      </c>
      <c r="P7915">
        <v>11.2937832382138</v>
      </c>
      <c r="Q7915">
        <v>1.93389468199139</v>
      </c>
      <c r="R7915">
        <v>6.03598780343727</v>
      </c>
      <c r="S7915">
        <v>189</v>
      </c>
      <c r="T7915">
        <v>61</v>
      </c>
      <c r="U7915">
        <v>278.11118977998501</v>
      </c>
      <c r="V7915">
        <v>3.60793746241731E-3</v>
      </c>
      <c r="W7915">
        <v>1284326.92268447</v>
      </c>
      <c r="X7915" t="s">
        <v>40</v>
      </c>
      <c r="Y7915">
        <f>1-245-339-4689</f>
        <v>-5272</v>
      </c>
    </row>
    <row r="7916" spans="1:25" x14ac:dyDescent="0.35">
      <c r="A7916">
        <v>35.615050795020601</v>
      </c>
      <c r="B7916">
        <v>-114.70744390181601</v>
      </c>
      <c r="C7916" t="s">
        <v>25</v>
      </c>
      <c r="D7916">
        <v>23.961045987083999</v>
      </c>
      <c r="E7916">
        <v>8</v>
      </c>
      <c r="F7916">
        <v>919</v>
      </c>
      <c r="G7916">
        <v>4</v>
      </c>
      <c r="H7916">
        <v>2</v>
      </c>
      <c r="I7916">
        <v>2008</v>
      </c>
      <c r="J7916">
        <v>0</v>
      </c>
      <c r="K7916">
        <v>1</v>
      </c>
      <c r="L7916">
        <v>1</v>
      </c>
      <c r="M7916">
        <v>7</v>
      </c>
      <c r="N7916" t="s">
        <v>37</v>
      </c>
      <c r="O7916" t="s">
        <v>30</v>
      </c>
      <c r="P7916">
        <v>3.3902703163730901</v>
      </c>
      <c r="Q7916">
        <v>2.00198130067387</v>
      </c>
      <c r="R7916">
        <v>3.1163396315187102</v>
      </c>
      <c r="S7916">
        <v>96</v>
      </c>
      <c r="T7916">
        <v>38</v>
      </c>
      <c r="U7916">
        <v>481.60759858116199</v>
      </c>
      <c r="V7916">
        <v>7.6169749727965103E-3</v>
      </c>
      <c r="W7916">
        <v>868550.314482513</v>
      </c>
      <c r="X7916" t="s">
        <v>31</v>
      </c>
      <c r="Y7916">
        <f>1-253-700-3862</f>
        <v>-4814</v>
      </c>
    </row>
    <row r="7917" spans="1:25" x14ac:dyDescent="0.35">
      <c r="A7917">
        <v>41.139595361548501</v>
      </c>
      <c r="B7917">
        <v>-117.795441070824</v>
      </c>
      <c r="C7917" t="s">
        <v>25</v>
      </c>
      <c r="D7917">
        <v>16.545453844938699</v>
      </c>
      <c r="E7917">
        <v>3</v>
      </c>
      <c r="F7917">
        <v>1000</v>
      </c>
      <c r="G7917">
        <v>1</v>
      </c>
      <c r="H7917">
        <v>3</v>
      </c>
      <c r="I7917">
        <v>2009</v>
      </c>
      <c r="J7917">
        <v>1</v>
      </c>
      <c r="K7917">
        <v>1</v>
      </c>
      <c r="L7917">
        <v>1</v>
      </c>
      <c r="M7917">
        <v>13</v>
      </c>
      <c r="N7917" t="s">
        <v>41</v>
      </c>
      <c r="O7917" t="s">
        <v>27</v>
      </c>
      <c r="P7917">
        <v>7.7399135507038102</v>
      </c>
      <c r="Q7917">
        <v>2.3627957212549102</v>
      </c>
      <c r="R7917">
        <v>3.8094364728771999</v>
      </c>
      <c r="S7917">
        <v>194</v>
      </c>
      <c r="T7917">
        <v>75</v>
      </c>
      <c r="U7917">
        <v>538.50233152531302</v>
      </c>
      <c r="V7917">
        <v>1.2999999999999999E-2</v>
      </c>
      <c r="W7917">
        <v>865046.58251478802</v>
      </c>
      <c r="X7917" t="s">
        <v>31</v>
      </c>
      <c r="Y7917">
        <f>1-220-466-9130</f>
        <v>-9815</v>
      </c>
    </row>
    <row r="7918" spans="1:25" x14ac:dyDescent="0.35">
      <c r="A7918">
        <v>35.762720587437499</v>
      </c>
      <c r="B7918">
        <v>-123.216099816594</v>
      </c>
      <c r="C7918" t="s">
        <v>29</v>
      </c>
      <c r="D7918">
        <v>33.565657878439801</v>
      </c>
      <c r="E7918">
        <v>0</v>
      </c>
      <c r="F7918">
        <v>1235</v>
      </c>
      <c r="G7918">
        <v>5</v>
      </c>
      <c r="H7918">
        <v>1</v>
      </c>
      <c r="I7918">
        <v>1984</v>
      </c>
      <c r="J7918">
        <v>0</v>
      </c>
      <c r="K7918">
        <v>1</v>
      </c>
      <c r="L7918">
        <v>0</v>
      </c>
      <c r="M7918">
        <v>5</v>
      </c>
      <c r="N7918" t="s">
        <v>35</v>
      </c>
      <c r="O7918" t="s">
        <v>27</v>
      </c>
      <c r="P7918">
        <v>8.8104003148712202</v>
      </c>
      <c r="Q7918">
        <v>0.65414634437888597</v>
      </c>
      <c r="R7918">
        <v>0.81475743187986105</v>
      </c>
      <c r="S7918">
        <v>186</v>
      </c>
      <c r="T7918">
        <v>43</v>
      </c>
      <c r="U7918">
        <v>709.52214146620202</v>
      </c>
      <c r="V7918">
        <v>4.0485829959514101E-3</v>
      </c>
      <c r="W7918">
        <v>1247157.6027739099</v>
      </c>
      <c r="X7918" t="s">
        <v>31</v>
      </c>
      <c r="Y7918">
        <f>1-861-985-5681</f>
        <v>-7526</v>
      </c>
    </row>
    <row r="7919" spans="1:25" x14ac:dyDescent="0.35">
      <c r="A7919">
        <v>40.761157458807901</v>
      </c>
      <c r="B7919">
        <v>-121.289932831559</v>
      </c>
      <c r="C7919" t="s">
        <v>25</v>
      </c>
      <c r="D7919">
        <v>6.3677554053082703</v>
      </c>
      <c r="E7919">
        <v>1</v>
      </c>
      <c r="F7919">
        <v>3342</v>
      </c>
      <c r="G7919">
        <v>5</v>
      </c>
      <c r="H7919">
        <v>3</v>
      </c>
      <c r="I7919">
        <v>1959</v>
      </c>
      <c r="J7919">
        <v>1</v>
      </c>
      <c r="K7919">
        <v>0</v>
      </c>
      <c r="L7919">
        <v>0</v>
      </c>
      <c r="M7919">
        <v>7</v>
      </c>
      <c r="N7919" t="s">
        <v>41</v>
      </c>
      <c r="O7919" t="s">
        <v>32</v>
      </c>
      <c r="P7919">
        <v>4.8908888515566096</v>
      </c>
      <c r="Q7919">
        <v>2.4077639988933002</v>
      </c>
      <c r="R7919">
        <v>6.4917837930252196</v>
      </c>
      <c r="S7919">
        <v>100</v>
      </c>
      <c r="T7919">
        <v>21</v>
      </c>
      <c r="U7919">
        <v>329.767237107342</v>
      </c>
      <c r="V7919">
        <v>2.0945541591861098E-3</v>
      </c>
      <c r="W7919">
        <v>1410557.69328219</v>
      </c>
      <c r="X7919" t="s">
        <v>31</v>
      </c>
      <c r="Y7919">
        <f>1-844-756-6119</f>
        <v>-7718</v>
      </c>
    </row>
    <row r="7920" spans="1:25" x14ac:dyDescent="0.35">
      <c r="A7920">
        <v>36.422229694161203</v>
      </c>
      <c r="B7920">
        <v>-119.94150513530499</v>
      </c>
      <c r="C7920" t="s">
        <v>29</v>
      </c>
      <c r="D7920">
        <v>20.233478290036398</v>
      </c>
      <c r="E7920">
        <v>8</v>
      </c>
      <c r="F7920">
        <v>1000</v>
      </c>
      <c r="G7920">
        <v>1</v>
      </c>
      <c r="H7920">
        <v>3</v>
      </c>
      <c r="I7920">
        <v>2005</v>
      </c>
      <c r="J7920">
        <v>0</v>
      </c>
      <c r="K7920">
        <v>0</v>
      </c>
      <c r="L7920">
        <v>0</v>
      </c>
      <c r="M7920">
        <v>9</v>
      </c>
      <c r="N7920" t="s">
        <v>41</v>
      </c>
      <c r="O7920" t="s">
        <v>32</v>
      </c>
      <c r="P7920">
        <v>4.8054999329272796</v>
      </c>
      <c r="Q7920">
        <v>0.89067006900841394</v>
      </c>
      <c r="R7920">
        <v>1.3944143645977201</v>
      </c>
      <c r="S7920">
        <v>166</v>
      </c>
      <c r="T7920">
        <v>55</v>
      </c>
      <c r="U7920">
        <v>534.45601856272299</v>
      </c>
      <c r="V7920">
        <v>8.9999999999999993E-3</v>
      </c>
      <c r="W7920">
        <v>578491.77287984802</v>
      </c>
      <c r="X7920" t="s">
        <v>36</v>
      </c>
      <c r="Y7920">
        <f>1-308-372-7344</f>
        <v>-8023</v>
      </c>
    </row>
    <row r="7921" spans="1:25" x14ac:dyDescent="0.35">
      <c r="A7921">
        <v>37.346453456989998</v>
      </c>
      <c r="B7921">
        <v>-116.964305714093</v>
      </c>
      <c r="C7921" t="s">
        <v>34</v>
      </c>
      <c r="D7921">
        <v>29.734940367257799</v>
      </c>
      <c r="E7921">
        <v>2</v>
      </c>
      <c r="F7921">
        <v>3052</v>
      </c>
      <c r="G7921">
        <v>4</v>
      </c>
      <c r="H7921">
        <v>2</v>
      </c>
      <c r="I7921">
        <v>1974</v>
      </c>
      <c r="J7921">
        <v>1</v>
      </c>
      <c r="K7921">
        <v>0</v>
      </c>
      <c r="L7921">
        <v>1</v>
      </c>
      <c r="M7921">
        <v>6</v>
      </c>
      <c r="N7921" t="s">
        <v>26</v>
      </c>
      <c r="O7921" t="s">
        <v>30</v>
      </c>
      <c r="P7921">
        <v>4.6121497223135304</v>
      </c>
      <c r="Q7921">
        <v>1.9728304327261501</v>
      </c>
      <c r="R7921">
        <v>8.9243524889023398</v>
      </c>
      <c r="S7921">
        <v>194</v>
      </c>
      <c r="T7921">
        <v>76</v>
      </c>
      <c r="U7921">
        <v>652.65634624892095</v>
      </c>
      <c r="V7921">
        <v>1.9659239842726001E-3</v>
      </c>
      <c r="W7921">
        <v>2203419.6069896198</v>
      </c>
      <c r="X7921" t="s">
        <v>36</v>
      </c>
      <c r="Y7921">
        <f>1-794-584-2387</f>
        <v>-3764</v>
      </c>
    </row>
    <row r="7922" spans="1:25" x14ac:dyDescent="0.35">
      <c r="A7922">
        <v>32.708249306434503</v>
      </c>
      <c r="B7922">
        <v>-124.38928986071301</v>
      </c>
      <c r="C7922" t="s">
        <v>25</v>
      </c>
      <c r="D7922">
        <v>4.2035434834772003</v>
      </c>
      <c r="E7922">
        <v>0</v>
      </c>
      <c r="F7922">
        <v>3150</v>
      </c>
      <c r="G7922">
        <v>3</v>
      </c>
      <c r="H7922">
        <v>1</v>
      </c>
      <c r="I7922">
        <v>1967</v>
      </c>
      <c r="J7922">
        <v>1</v>
      </c>
      <c r="K7922">
        <v>1</v>
      </c>
      <c r="L7922">
        <v>1</v>
      </c>
      <c r="M7922">
        <v>4</v>
      </c>
      <c r="N7922" t="s">
        <v>35</v>
      </c>
      <c r="O7922" t="s">
        <v>27</v>
      </c>
      <c r="P7922">
        <v>11.3957978941891</v>
      </c>
      <c r="Q7922">
        <v>2.3826176988522199</v>
      </c>
      <c r="R7922">
        <v>7.1515929317721598</v>
      </c>
      <c r="S7922">
        <v>16</v>
      </c>
      <c r="T7922">
        <v>20</v>
      </c>
      <c r="U7922">
        <v>676.90547794238</v>
      </c>
      <c r="V7922">
        <v>1.2698412698412601E-3</v>
      </c>
      <c r="W7922">
        <v>2480026.80318119</v>
      </c>
      <c r="X7922" t="s">
        <v>43</v>
      </c>
      <c r="Y7922">
        <f>1-874-434-1280</f>
        <v>-2587</v>
      </c>
    </row>
    <row r="7923" spans="1:25" x14ac:dyDescent="0.35">
      <c r="A7923">
        <v>37.730654036055697</v>
      </c>
      <c r="B7923">
        <v>-120.872261429479</v>
      </c>
      <c r="C7923" t="s">
        <v>29</v>
      </c>
      <c r="D7923">
        <v>26.782587280704099</v>
      </c>
      <c r="E7923">
        <v>9</v>
      </c>
      <c r="F7923">
        <v>2409</v>
      </c>
      <c r="G7923">
        <v>4</v>
      </c>
      <c r="H7923">
        <v>1</v>
      </c>
      <c r="I7923">
        <v>1978</v>
      </c>
      <c r="J7923">
        <v>1</v>
      </c>
      <c r="K7923">
        <v>1</v>
      </c>
      <c r="L7923">
        <v>0</v>
      </c>
      <c r="M7923">
        <v>11</v>
      </c>
      <c r="N7923" t="s">
        <v>37</v>
      </c>
      <c r="O7923" t="s">
        <v>27</v>
      </c>
      <c r="P7923">
        <v>14.0809654809475</v>
      </c>
      <c r="Q7923">
        <v>1.0293803869932101</v>
      </c>
      <c r="R7923">
        <v>2.41261604083524</v>
      </c>
      <c r="S7923">
        <v>100</v>
      </c>
      <c r="T7923">
        <v>40</v>
      </c>
      <c r="U7923">
        <v>688.36424358520605</v>
      </c>
      <c r="V7923">
        <v>4.5662100456621002E-3</v>
      </c>
      <c r="W7923">
        <v>2047663.2464713401</v>
      </c>
      <c r="X7923" t="s">
        <v>44</v>
      </c>
      <c r="Y7923">
        <f>1-801-610-1307</f>
        <v>-2717</v>
      </c>
    </row>
    <row r="7924" spans="1:25" x14ac:dyDescent="0.35">
      <c r="A7924">
        <v>40.558619173507999</v>
      </c>
      <c r="B7924">
        <v>-119.097285359021</v>
      </c>
      <c r="C7924" t="s">
        <v>34</v>
      </c>
      <c r="D7924">
        <v>44.254600182586202</v>
      </c>
      <c r="E7924">
        <v>5</v>
      </c>
      <c r="F7924">
        <v>692</v>
      </c>
      <c r="G7924">
        <v>5</v>
      </c>
      <c r="H7924">
        <v>1</v>
      </c>
      <c r="I7924">
        <v>1989</v>
      </c>
      <c r="J7924">
        <v>1</v>
      </c>
      <c r="K7924">
        <v>0</v>
      </c>
      <c r="L7924">
        <v>1</v>
      </c>
      <c r="M7924">
        <v>5</v>
      </c>
      <c r="N7924" t="s">
        <v>41</v>
      </c>
      <c r="O7924" t="s">
        <v>27</v>
      </c>
      <c r="P7924">
        <v>8.1672273491015392</v>
      </c>
      <c r="Q7924">
        <v>2.0032362715615002</v>
      </c>
      <c r="R7924">
        <v>9.5779081550124801</v>
      </c>
      <c r="S7924">
        <v>39</v>
      </c>
      <c r="T7924">
        <v>21</v>
      </c>
      <c r="U7924">
        <v>733.40182140657305</v>
      </c>
      <c r="V7924">
        <v>7.2254335260115597E-3</v>
      </c>
      <c r="W7924">
        <v>731985.49474308395</v>
      </c>
      <c r="X7924" t="s">
        <v>44</v>
      </c>
      <c r="Y7924">
        <f>1-426-652-2128</f>
        <v>-3205</v>
      </c>
    </row>
    <row r="7925" spans="1:25" x14ac:dyDescent="0.35">
      <c r="A7925">
        <v>40.284076448170197</v>
      </c>
      <c r="B7925">
        <v>-118.203843364172</v>
      </c>
      <c r="C7925" t="s">
        <v>34</v>
      </c>
      <c r="D7925">
        <v>26.780303827154899</v>
      </c>
      <c r="E7925">
        <v>8</v>
      </c>
      <c r="F7925">
        <v>611</v>
      </c>
      <c r="G7925">
        <v>5</v>
      </c>
      <c r="H7925">
        <v>1</v>
      </c>
      <c r="I7925">
        <v>2006</v>
      </c>
      <c r="J7925">
        <v>1</v>
      </c>
      <c r="K7925">
        <v>0</v>
      </c>
      <c r="L7925">
        <v>1</v>
      </c>
      <c r="M7925">
        <v>2</v>
      </c>
      <c r="N7925" t="s">
        <v>26</v>
      </c>
      <c r="O7925" t="s">
        <v>27</v>
      </c>
      <c r="P7925">
        <v>9.1969875947545301</v>
      </c>
      <c r="Q7925">
        <v>2.32682418627543</v>
      </c>
      <c r="R7925">
        <v>7.1535979749335397</v>
      </c>
      <c r="S7925">
        <v>150</v>
      </c>
      <c r="T7925">
        <v>71</v>
      </c>
      <c r="U7925">
        <v>815.06371610044596</v>
      </c>
      <c r="V7925">
        <v>3.27332242225859E-3</v>
      </c>
      <c r="W7925">
        <v>824936.62566969404</v>
      </c>
      <c r="X7925" t="s">
        <v>28</v>
      </c>
      <c r="Y7925">
        <f>1-625-856-5504</f>
        <v>-6984</v>
      </c>
    </row>
    <row r="7926" spans="1:25" x14ac:dyDescent="0.35">
      <c r="A7926">
        <v>41.476099297415999</v>
      </c>
      <c r="B7926">
        <v>-120.75637165978701</v>
      </c>
      <c r="C7926" t="s">
        <v>25</v>
      </c>
      <c r="D7926">
        <v>13.4687785775004</v>
      </c>
      <c r="E7926">
        <v>2</v>
      </c>
      <c r="F7926">
        <v>563</v>
      </c>
      <c r="G7926">
        <v>4</v>
      </c>
      <c r="H7926">
        <v>2</v>
      </c>
      <c r="I7926">
        <v>2007</v>
      </c>
      <c r="J7926">
        <v>1</v>
      </c>
      <c r="K7926">
        <v>1</v>
      </c>
      <c r="L7926">
        <v>0</v>
      </c>
      <c r="M7926">
        <v>8</v>
      </c>
      <c r="N7926" t="s">
        <v>41</v>
      </c>
      <c r="O7926" t="s">
        <v>32</v>
      </c>
      <c r="P7926">
        <v>14.7555595886262</v>
      </c>
      <c r="Q7926">
        <v>0.82018905768392403</v>
      </c>
      <c r="R7926">
        <v>9.8476698191087504</v>
      </c>
      <c r="S7926">
        <v>151</v>
      </c>
      <c r="T7926">
        <v>20</v>
      </c>
      <c r="U7926">
        <v>535.01439106685905</v>
      </c>
      <c r="V7926">
        <v>1.42095914742451E-2</v>
      </c>
      <c r="W7926">
        <v>766548.98432876496</v>
      </c>
      <c r="X7926" t="s">
        <v>31</v>
      </c>
      <c r="Y7926">
        <f>1-988-638-2415</f>
        <v>-4040</v>
      </c>
    </row>
    <row r="7927" spans="1:25" x14ac:dyDescent="0.35">
      <c r="A7927">
        <v>33.322371570047402</v>
      </c>
      <c r="B7927">
        <v>-116.01429825965801</v>
      </c>
      <c r="C7927" t="s">
        <v>29</v>
      </c>
      <c r="D7927">
        <v>47.932773091741304</v>
      </c>
      <c r="E7927">
        <v>7</v>
      </c>
      <c r="F7927">
        <v>2917</v>
      </c>
      <c r="G7927">
        <v>2</v>
      </c>
      <c r="H7927">
        <v>1</v>
      </c>
      <c r="I7927">
        <v>1984</v>
      </c>
      <c r="J7927">
        <v>1</v>
      </c>
      <c r="K7927">
        <v>1</v>
      </c>
      <c r="L7927">
        <v>0</v>
      </c>
      <c r="M7927">
        <v>10</v>
      </c>
      <c r="N7927" t="s">
        <v>26</v>
      </c>
      <c r="O7927" t="s">
        <v>30</v>
      </c>
      <c r="P7927">
        <v>10.983210006936799</v>
      </c>
      <c r="Q7927">
        <v>2.4964662136998998</v>
      </c>
      <c r="R7927">
        <v>8.0363021367463094</v>
      </c>
      <c r="S7927">
        <v>24</v>
      </c>
      <c r="T7927">
        <v>70</v>
      </c>
      <c r="U7927">
        <v>660.82590392266002</v>
      </c>
      <c r="V7927">
        <v>3.4281796366129498E-3</v>
      </c>
      <c r="W7927">
        <v>2230094.5710950899</v>
      </c>
      <c r="X7927" t="s">
        <v>33</v>
      </c>
      <c r="Y7927">
        <f>1-260-244-8008</f>
        <v>-8511</v>
      </c>
    </row>
    <row r="7928" spans="1:25" x14ac:dyDescent="0.35">
      <c r="A7928">
        <v>33.531693111851801</v>
      </c>
      <c r="B7928">
        <v>-121.928392355835</v>
      </c>
      <c r="C7928" t="s">
        <v>29</v>
      </c>
      <c r="D7928">
        <v>5.9781997578782002</v>
      </c>
      <c r="E7928">
        <v>3</v>
      </c>
      <c r="F7928">
        <v>2952</v>
      </c>
      <c r="G7928">
        <v>3</v>
      </c>
      <c r="H7928">
        <v>1</v>
      </c>
      <c r="I7928">
        <v>2016</v>
      </c>
      <c r="J7928">
        <v>0</v>
      </c>
      <c r="K7928">
        <v>1</v>
      </c>
      <c r="L7928">
        <v>1</v>
      </c>
      <c r="M7928">
        <v>8</v>
      </c>
      <c r="N7928" t="s">
        <v>26</v>
      </c>
      <c r="O7928" t="s">
        <v>30</v>
      </c>
      <c r="P7928">
        <v>7.3865780192694102</v>
      </c>
      <c r="Q7928">
        <v>1.1073988117737501</v>
      </c>
      <c r="R7928">
        <v>0.99273036326860797</v>
      </c>
      <c r="S7928">
        <v>36</v>
      </c>
      <c r="T7928">
        <v>44</v>
      </c>
      <c r="U7928">
        <v>294.96411838327703</v>
      </c>
      <c r="V7928">
        <v>2.7100271002710001E-3</v>
      </c>
      <c r="W7928">
        <v>1191374.57744624</v>
      </c>
      <c r="X7928" t="s">
        <v>38</v>
      </c>
      <c r="Y7928">
        <f>1-893-558-7870</f>
        <v>-9320</v>
      </c>
    </row>
    <row r="7929" spans="1:25" x14ac:dyDescent="0.35">
      <c r="A7929">
        <v>41.653684728478702</v>
      </c>
      <c r="B7929">
        <v>-118.39254459671299</v>
      </c>
      <c r="C7929" t="s">
        <v>25</v>
      </c>
      <c r="D7929">
        <v>31.675708206536999</v>
      </c>
      <c r="E7929">
        <v>1</v>
      </c>
      <c r="F7929">
        <v>2405</v>
      </c>
      <c r="G7929">
        <v>4</v>
      </c>
      <c r="H7929">
        <v>1</v>
      </c>
      <c r="I7929">
        <v>1990</v>
      </c>
      <c r="J7929">
        <v>0</v>
      </c>
      <c r="K7929">
        <v>1</v>
      </c>
      <c r="L7929">
        <v>1</v>
      </c>
      <c r="M7929">
        <v>14</v>
      </c>
      <c r="N7929" t="s">
        <v>41</v>
      </c>
      <c r="O7929" t="s">
        <v>30</v>
      </c>
      <c r="P7929">
        <v>11.961185140010301</v>
      </c>
      <c r="Q7929">
        <v>1.08005733051952</v>
      </c>
      <c r="R7929">
        <v>3.9339327590000601</v>
      </c>
      <c r="S7929">
        <v>10</v>
      </c>
      <c r="T7929">
        <v>59</v>
      </c>
      <c r="U7929">
        <v>760.29356934006296</v>
      </c>
      <c r="V7929">
        <v>5.8212058212058198E-3</v>
      </c>
      <c r="W7929">
        <v>2174106.0841017701</v>
      </c>
      <c r="X7929" t="s">
        <v>43</v>
      </c>
      <c r="Y7929">
        <f>1-436-845-7100</f>
        <v>-8380</v>
      </c>
    </row>
    <row r="7930" spans="1:25" x14ac:dyDescent="0.35">
      <c r="A7930">
        <v>33.664881455563297</v>
      </c>
      <c r="B7930">
        <v>-119.473458285711</v>
      </c>
      <c r="C7930" t="s">
        <v>34</v>
      </c>
      <c r="D7930">
        <v>19.910422593284501</v>
      </c>
      <c r="E7930">
        <v>1</v>
      </c>
      <c r="F7930">
        <v>1962</v>
      </c>
      <c r="G7930">
        <v>1</v>
      </c>
      <c r="H7930">
        <v>3</v>
      </c>
      <c r="I7930">
        <v>1952</v>
      </c>
      <c r="J7930">
        <v>0</v>
      </c>
      <c r="K7930">
        <v>1</v>
      </c>
      <c r="L7930">
        <v>0</v>
      </c>
      <c r="M7930">
        <v>4</v>
      </c>
      <c r="N7930" t="s">
        <v>26</v>
      </c>
      <c r="O7930" t="s">
        <v>27</v>
      </c>
      <c r="P7930">
        <v>7.8327433223774801</v>
      </c>
      <c r="Q7930">
        <v>1.06912286323064</v>
      </c>
      <c r="R7930">
        <v>3.16763981724334</v>
      </c>
      <c r="S7930">
        <v>195</v>
      </c>
      <c r="T7930">
        <v>51</v>
      </c>
      <c r="U7930">
        <v>365.34845906970702</v>
      </c>
      <c r="V7930">
        <v>2.0387359836901101E-3</v>
      </c>
      <c r="W7930">
        <v>956344.13303259597</v>
      </c>
      <c r="X7930" t="s">
        <v>28</v>
      </c>
      <c r="Y7930">
        <f>1-360-576-5058</f>
        <v>-5993</v>
      </c>
    </row>
    <row r="7931" spans="1:25" x14ac:dyDescent="0.35">
      <c r="A7931">
        <v>38.588807595858</v>
      </c>
      <c r="B7931">
        <v>-121.900167132783</v>
      </c>
      <c r="C7931" t="s">
        <v>34</v>
      </c>
      <c r="D7931">
        <v>39.558987901846102</v>
      </c>
      <c r="E7931">
        <v>6</v>
      </c>
      <c r="F7931">
        <v>4390</v>
      </c>
      <c r="G7931">
        <v>3</v>
      </c>
      <c r="H7931">
        <v>3</v>
      </c>
      <c r="I7931">
        <v>1972</v>
      </c>
      <c r="J7931">
        <v>1</v>
      </c>
      <c r="K7931">
        <v>0</v>
      </c>
      <c r="L7931">
        <v>1</v>
      </c>
      <c r="M7931">
        <v>12</v>
      </c>
      <c r="N7931" t="s">
        <v>35</v>
      </c>
      <c r="O7931" t="s">
        <v>27</v>
      </c>
      <c r="P7931">
        <v>2.0714594678335998</v>
      </c>
      <c r="Q7931">
        <v>0.97958981312892601</v>
      </c>
      <c r="R7931">
        <v>2.7163180038674901</v>
      </c>
      <c r="S7931">
        <v>177</v>
      </c>
      <c r="T7931">
        <v>64</v>
      </c>
      <c r="U7931">
        <v>427.05351691535299</v>
      </c>
      <c r="V7931">
        <v>2.7334851936218602E-3</v>
      </c>
      <c r="W7931">
        <v>2065211.87412589</v>
      </c>
      <c r="X7931" t="s">
        <v>31</v>
      </c>
      <c r="Y7931">
        <f>1-536-987-5999</f>
        <v>-7521</v>
      </c>
    </row>
    <row r="7932" spans="1:25" x14ac:dyDescent="0.35">
      <c r="A7932">
        <v>37.325290973561302</v>
      </c>
      <c r="B7932">
        <v>-118.012314215659</v>
      </c>
      <c r="C7932" t="s">
        <v>29</v>
      </c>
      <c r="D7932">
        <v>44.766929298103797</v>
      </c>
      <c r="E7932">
        <v>9</v>
      </c>
      <c r="F7932">
        <v>3376</v>
      </c>
      <c r="G7932">
        <v>5</v>
      </c>
      <c r="H7932">
        <v>3</v>
      </c>
      <c r="I7932">
        <v>1961</v>
      </c>
      <c r="J7932">
        <v>0</v>
      </c>
      <c r="K7932">
        <v>1</v>
      </c>
      <c r="L7932">
        <v>1</v>
      </c>
      <c r="M7932">
        <v>13</v>
      </c>
      <c r="N7932" t="s">
        <v>35</v>
      </c>
      <c r="O7932" t="s">
        <v>30</v>
      </c>
      <c r="P7932">
        <v>2.65942906002963</v>
      </c>
      <c r="Q7932">
        <v>1.3264457692773199</v>
      </c>
      <c r="R7932">
        <v>5.1608116632124696</v>
      </c>
      <c r="S7932">
        <v>181</v>
      </c>
      <c r="T7932">
        <v>48</v>
      </c>
      <c r="U7932">
        <v>718.80910271006701</v>
      </c>
      <c r="V7932">
        <v>3.85071090047393E-3</v>
      </c>
      <c r="W7932">
        <v>2751628.5365769099</v>
      </c>
      <c r="X7932" t="s">
        <v>38</v>
      </c>
      <c r="Y7932">
        <f>1-436-426-4554</f>
        <v>-5415</v>
      </c>
    </row>
    <row r="7933" spans="1:25" x14ac:dyDescent="0.35">
      <c r="A7933">
        <v>41.262026349227298</v>
      </c>
      <c r="B7933">
        <v>-116.708999719489</v>
      </c>
      <c r="C7933" t="s">
        <v>29</v>
      </c>
      <c r="D7933">
        <v>28.376766242205601</v>
      </c>
      <c r="E7933">
        <v>4</v>
      </c>
      <c r="F7933">
        <v>2371</v>
      </c>
      <c r="G7933">
        <v>2</v>
      </c>
      <c r="H7933">
        <v>1</v>
      </c>
      <c r="I7933">
        <v>1995</v>
      </c>
      <c r="J7933">
        <v>0</v>
      </c>
      <c r="K7933">
        <v>0</v>
      </c>
      <c r="L7933">
        <v>1</v>
      </c>
      <c r="M7933">
        <v>11</v>
      </c>
      <c r="N7933" t="s">
        <v>35</v>
      </c>
      <c r="O7933" t="s">
        <v>30</v>
      </c>
      <c r="P7933">
        <v>9.3270912823375802</v>
      </c>
      <c r="Q7933">
        <v>1.5074736248896301</v>
      </c>
      <c r="R7933">
        <v>7.0585326169926201</v>
      </c>
      <c r="S7933">
        <v>5</v>
      </c>
      <c r="T7933">
        <v>39</v>
      </c>
      <c r="U7933">
        <v>631.18424497977105</v>
      </c>
      <c r="V7933">
        <v>4.6393926613243304E-3</v>
      </c>
      <c r="W7933">
        <v>1700430.95216926</v>
      </c>
      <c r="X7933" t="s">
        <v>31</v>
      </c>
      <c r="Y7933">
        <f>1-597-373-5707</f>
        <v>-6676</v>
      </c>
    </row>
    <row r="7934" spans="1:25" x14ac:dyDescent="0.35">
      <c r="A7934">
        <v>35.269076341118897</v>
      </c>
      <c r="B7934">
        <v>-124.055583360916</v>
      </c>
      <c r="C7934" t="s">
        <v>34</v>
      </c>
      <c r="D7934">
        <v>42.887862798708298</v>
      </c>
      <c r="E7934">
        <v>5</v>
      </c>
      <c r="F7934">
        <v>4361</v>
      </c>
      <c r="G7934">
        <v>5</v>
      </c>
      <c r="H7934">
        <v>3</v>
      </c>
      <c r="I7934">
        <v>2021</v>
      </c>
      <c r="J7934">
        <v>0</v>
      </c>
      <c r="K7934">
        <v>1</v>
      </c>
      <c r="L7934">
        <v>0</v>
      </c>
      <c r="M7934">
        <v>4</v>
      </c>
      <c r="N7934" t="s">
        <v>37</v>
      </c>
      <c r="O7934" t="s">
        <v>30</v>
      </c>
      <c r="P7934">
        <v>9.4431703859303706</v>
      </c>
      <c r="Q7934">
        <v>1.0620677547808499</v>
      </c>
      <c r="R7934">
        <v>4.9607596588372997</v>
      </c>
      <c r="S7934">
        <v>130</v>
      </c>
      <c r="T7934">
        <v>52</v>
      </c>
      <c r="U7934">
        <v>725.29851626324603</v>
      </c>
      <c r="V7934">
        <v>9.1722082091263404E-4</v>
      </c>
      <c r="W7934">
        <v>3714992.5013475702</v>
      </c>
      <c r="X7934" t="s">
        <v>40</v>
      </c>
      <c r="Y7934">
        <f>1-328-159-7669</f>
        <v>-8155</v>
      </c>
    </row>
    <row r="7935" spans="1:25" x14ac:dyDescent="0.35">
      <c r="A7935">
        <v>40.9442807691551</v>
      </c>
      <c r="B7935">
        <v>-116.433970335488</v>
      </c>
      <c r="C7935" t="s">
        <v>29</v>
      </c>
      <c r="D7935">
        <v>39.877334912147198</v>
      </c>
      <c r="E7935">
        <v>5</v>
      </c>
      <c r="F7935">
        <v>1151</v>
      </c>
      <c r="G7935">
        <v>3</v>
      </c>
      <c r="H7935">
        <v>2</v>
      </c>
      <c r="I7935">
        <v>1960</v>
      </c>
      <c r="J7935">
        <v>1</v>
      </c>
      <c r="K7935">
        <v>0</v>
      </c>
      <c r="L7935">
        <v>0</v>
      </c>
      <c r="M7935">
        <v>4</v>
      </c>
      <c r="N7935" t="s">
        <v>26</v>
      </c>
      <c r="O7935" t="s">
        <v>27</v>
      </c>
      <c r="P7935">
        <v>8.2250614920720793</v>
      </c>
      <c r="Q7935">
        <v>1.3674597707571601</v>
      </c>
      <c r="R7935">
        <v>8.8341275457167807</v>
      </c>
      <c r="S7935">
        <v>91</v>
      </c>
      <c r="T7935">
        <v>67</v>
      </c>
      <c r="U7935">
        <v>421.70578654227</v>
      </c>
      <c r="V7935">
        <v>3.4752389226759299E-3</v>
      </c>
      <c r="W7935">
        <v>671546.73341265705</v>
      </c>
      <c r="X7935" t="s">
        <v>33</v>
      </c>
      <c r="Y7935">
        <f>1-342-586-6009</f>
        <v>-6936</v>
      </c>
    </row>
    <row r="7936" spans="1:25" x14ac:dyDescent="0.35">
      <c r="A7936">
        <v>35.199144357121199</v>
      </c>
      <c r="B7936">
        <v>-123.47572265781</v>
      </c>
      <c r="C7936" t="s">
        <v>29</v>
      </c>
      <c r="D7936">
        <v>4.4338563706596599</v>
      </c>
      <c r="E7936">
        <v>5</v>
      </c>
      <c r="F7936">
        <v>4701</v>
      </c>
      <c r="G7936">
        <v>1</v>
      </c>
      <c r="H7936">
        <v>1</v>
      </c>
      <c r="I7936">
        <v>1969</v>
      </c>
      <c r="J7936">
        <v>1</v>
      </c>
      <c r="K7936">
        <v>0</v>
      </c>
      <c r="L7936">
        <v>1</v>
      </c>
      <c r="M7936">
        <v>7</v>
      </c>
      <c r="N7936" t="s">
        <v>35</v>
      </c>
      <c r="O7936" t="s">
        <v>30</v>
      </c>
      <c r="P7936">
        <v>10.3692240389367</v>
      </c>
      <c r="Q7936">
        <v>2.38748813663641</v>
      </c>
      <c r="R7936">
        <v>5.5524862736505396</v>
      </c>
      <c r="S7936">
        <v>32</v>
      </c>
      <c r="T7936">
        <v>41</v>
      </c>
      <c r="U7936">
        <v>311.961171385586</v>
      </c>
      <c r="V7936">
        <v>1.48904488406721E-3</v>
      </c>
      <c r="W7936">
        <v>1696335.5156970299</v>
      </c>
      <c r="X7936" t="s">
        <v>33</v>
      </c>
      <c r="Y7936">
        <f>1-851-115-1418</f>
        <v>-2383</v>
      </c>
    </row>
    <row r="7937" spans="1:25" x14ac:dyDescent="0.35">
      <c r="A7937">
        <v>35.701954460257497</v>
      </c>
      <c r="B7937">
        <v>-114.740686540171</v>
      </c>
      <c r="C7937" t="s">
        <v>34</v>
      </c>
      <c r="D7937">
        <v>22.214118201171999</v>
      </c>
      <c r="E7937">
        <v>5</v>
      </c>
      <c r="F7937">
        <v>908</v>
      </c>
      <c r="G7937">
        <v>4</v>
      </c>
      <c r="H7937">
        <v>3</v>
      </c>
      <c r="I7937">
        <v>1982</v>
      </c>
      <c r="J7937">
        <v>1</v>
      </c>
      <c r="K7937">
        <v>1</v>
      </c>
      <c r="L7937">
        <v>1</v>
      </c>
      <c r="M7937">
        <v>9</v>
      </c>
      <c r="N7937" t="s">
        <v>37</v>
      </c>
      <c r="O7937" t="s">
        <v>32</v>
      </c>
      <c r="P7937">
        <v>11.670803415222499</v>
      </c>
      <c r="Q7937">
        <v>0.64751718588909701</v>
      </c>
      <c r="R7937">
        <v>3.1907840948129702</v>
      </c>
      <c r="S7937">
        <v>13</v>
      </c>
      <c r="T7937">
        <v>57</v>
      </c>
      <c r="U7937">
        <v>737.93365469131095</v>
      </c>
      <c r="V7937">
        <v>9.9118942731277505E-3</v>
      </c>
      <c r="W7937">
        <v>1191025.9611804299</v>
      </c>
      <c r="X7937" t="s">
        <v>44</v>
      </c>
      <c r="Y7937">
        <f>1-717-329-9424</f>
        <v>-10469</v>
      </c>
    </row>
    <row r="7938" spans="1:25" x14ac:dyDescent="0.35">
      <c r="A7938">
        <v>38.062954575914098</v>
      </c>
      <c r="B7938">
        <v>-121.818411055315</v>
      </c>
      <c r="C7938" t="s">
        <v>25</v>
      </c>
      <c r="D7938">
        <v>47.007368989293902</v>
      </c>
      <c r="E7938">
        <v>2</v>
      </c>
      <c r="F7938">
        <v>4576</v>
      </c>
      <c r="G7938">
        <v>2</v>
      </c>
      <c r="H7938">
        <v>2</v>
      </c>
      <c r="I7938">
        <v>1961</v>
      </c>
      <c r="J7938">
        <v>1</v>
      </c>
      <c r="K7938">
        <v>0</v>
      </c>
      <c r="L7938">
        <v>1</v>
      </c>
      <c r="M7938">
        <v>12</v>
      </c>
      <c r="N7938" t="s">
        <v>37</v>
      </c>
      <c r="O7938" t="s">
        <v>32</v>
      </c>
      <c r="P7938">
        <v>4.0788024025760503</v>
      </c>
      <c r="Q7938">
        <v>1.68465477174388</v>
      </c>
      <c r="R7938">
        <v>4.1156172176843704</v>
      </c>
      <c r="S7938">
        <v>17</v>
      </c>
      <c r="T7938">
        <v>53</v>
      </c>
      <c r="U7938">
        <v>743.216466537207</v>
      </c>
      <c r="V7938">
        <v>2.6223776223776199E-3</v>
      </c>
      <c r="W7938">
        <v>3523054.47540625</v>
      </c>
      <c r="X7938" t="s">
        <v>36</v>
      </c>
      <c r="Y7938">
        <f>1-583-167-5805</f>
        <v>-6554</v>
      </c>
    </row>
    <row r="7939" spans="1:25" x14ac:dyDescent="0.35">
      <c r="A7939">
        <v>33.938781082462</v>
      </c>
      <c r="B7939">
        <v>-119.40871114977701</v>
      </c>
      <c r="C7939" t="s">
        <v>25</v>
      </c>
      <c r="D7939">
        <v>15.1599961376522</v>
      </c>
      <c r="E7939">
        <v>6</v>
      </c>
      <c r="F7939">
        <v>1005</v>
      </c>
      <c r="G7939">
        <v>3</v>
      </c>
      <c r="H7939">
        <v>3</v>
      </c>
      <c r="I7939">
        <v>1985</v>
      </c>
      <c r="J7939">
        <v>1</v>
      </c>
      <c r="K7939">
        <v>0</v>
      </c>
      <c r="L7939">
        <v>1</v>
      </c>
      <c r="M7939">
        <v>14</v>
      </c>
      <c r="N7939" t="s">
        <v>35</v>
      </c>
      <c r="O7939" t="s">
        <v>32</v>
      </c>
      <c r="P7939">
        <v>7.5045957188757297</v>
      </c>
      <c r="Q7939">
        <v>1.54309612533415</v>
      </c>
      <c r="R7939">
        <v>6.0349861573065304</v>
      </c>
      <c r="S7939">
        <v>159</v>
      </c>
      <c r="T7939">
        <v>25</v>
      </c>
      <c r="U7939">
        <v>590.876748581063</v>
      </c>
      <c r="V7939">
        <v>1.39303482587064E-2</v>
      </c>
      <c r="W7939">
        <v>829356.86199635197</v>
      </c>
      <c r="X7939" t="s">
        <v>31</v>
      </c>
      <c r="Y7939">
        <f>1-270-764-8622</f>
        <v>-9655</v>
      </c>
    </row>
    <row r="7940" spans="1:25" x14ac:dyDescent="0.35">
      <c r="A7940">
        <v>40.731724072112101</v>
      </c>
      <c r="B7940">
        <v>-119.404347012958</v>
      </c>
      <c r="C7940" t="s">
        <v>34</v>
      </c>
      <c r="D7940">
        <v>21.617176708687101</v>
      </c>
      <c r="E7940">
        <v>8</v>
      </c>
      <c r="F7940">
        <v>961</v>
      </c>
      <c r="G7940">
        <v>5</v>
      </c>
      <c r="H7940">
        <v>3</v>
      </c>
      <c r="I7940">
        <v>1996</v>
      </c>
      <c r="J7940">
        <v>0</v>
      </c>
      <c r="K7940">
        <v>1</v>
      </c>
      <c r="L7940">
        <v>0</v>
      </c>
      <c r="M7940">
        <v>8</v>
      </c>
      <c r="N7940" t="s">
        <v>26</v>
      </c>
      <c r="O7940" t="s">
        <v>30</v>
      </c>
      <c r="P7940">
        <v>4.7453632637951602</v>
      </c>
      <c r="Q7940">
        <v>1.8472384087565099</v>
      </c>
      <c r="R7940">
        <v>2.7275013158566002</v>
      </c>
      <c r="S7940">
        <v>51</v>
      </c>
      <c r="T7940">
        <v>70</v>
      </c>
      <c r="U7940">
        <v>593.16907220469204</v>
      </c>
      <c r="V7940">
        <v>8.3246618106139394E-3</v>
      </c>
      <c r="W7940">
        <v>905466.60085289401</v>
      </c>
      <c r="X7940" t="s">
        <v>28</v>
      </c>
      <c r="Y7940">
        <f>1-273-229-8902</f>
        <v>-9403</v>
      </c>
    </row>
    <row r="7941" spans="1:25" x14ac:dyDescent="0.35">
      <c r="A7941">
        <v>34.489549087425097</v>
      </c>
      <c r="B7941">
        <v>-117.656733156549</v>
      </c>
      <c r="C7941" t="s">
        <v>25</v>
      </c>
      <c r="D7941">
        <v>1.9818686960507299</v>
      </c>
      <c r="E7941">
        <v>4</v>
      </c>
      <c r="F7941">
        <v>1088</v>
      </c>
      <c r="G7941">
        <v>1</v>
      </c>
      <c r="H7941">
        <v>3</v>
      </c>
      <c r="I7941">
        <v>2006</v>
      </c>
      <c r="J7941">
        <v>1</v>
      </c>
      <c r="K7941">
        <v>0</v>
      </c>
      <c r="L7941">
        <v>1</v>
      </c>
      <c r="M7941">
        <v>6</v>
      </c>
      <c r="N7941" t="s">
        <v>41</v>
      </c>
      <c r="O7941" t="s">
        <v>30</v>
      </c>
      <c r="P7941">
        <v>11.1940597384777</v>
      </c>
      <c r="Q7941">
        <v>1.39453863681789</v>
      </c>
      <c r="R7941">
        <v>2.9369430814404498</v>
      </c>
      <c r="S7941">
        <v>124</v>
      </c>
      <c r="T7941">
        <v>50</v>
      </c>
      <c r="U7941">
        <v>502.59823628826001</v>
      </c>
      <c r="V7941">
        <v>5.5147058823529398E-3</v>
      </c>
      <c r="W7941">
        <v>778687.96148644702</v>
      </c>
      <c r="X7941" t="s">
        <v>33</v>
      </c>
      <c r="Y7941">
        <f>1-579-457-6416</f>
        <v>-7451</v>
      </c>
    </row>
    <row r="7942" spans="1:25" x14ac:dyDescent="0.35">
      <c r="A7942">
        <v>35.803068436929699</v>
      </c>
      <c r="B7942">
        <v>-119.710565562398</v>
      </c>
      <c r="C7942" t="s">
        <v>25</v>
      </c>
      <c r="D7942">
        <v>27.825356451195301</v>
      </c>
      <c r="E7942">
        <v>4</v>
      </c>
      <c r="F7942">
        <v>4948</v>
      </c>
      <c r="G7942">
        <v>4</v>
      </c>
      <c r="H7942">
        <v>3</v>
      </c>
      <c r="I7942">
        <v>2014</v>
      </c>
      <c r="J7942">
        <v>0</v>
      </c>
      <c r="K7942">
        <v>1</v>
      </c>
      <c r="L7942">
        <v>1</v>
      </c>
      <c r="M7942">
        <v>13</v>
      </c>
      <c r="N7942" t="s">
        <v>37</v>
      </c>
      <c r="O7942" t="s">
        <v>32</v>
      </c>
      <c r="P7942">
        <v>10.064906411740999</v>
      </c>
      <c r="Q7942">
        <v>0.59244782590400902</v>
      </c>
      <c r="R7942">
        <v>2.5414412865026299</v>
      </c>
      <c r="S7942">
        <v>180</v>
      </c>
      <c r="T7942">
        <v>23</v>
      </c>
      <c r="U7942">
        <v>558.21767663585604</v>
      </c>
      <c r="V7942">
        <v>2.62732417138237E-3</v>
      </c>
      <c r="W7942">
        <v>3165928.24694396</v>
      </c>
      <c r="X7942" t="s">
        <v>44</v>
      </c>
      <c r="Y7942">
        <f>1-358-860-7770</f>
        <v>-8987</v>
      </c>
    </row>
    <row r="7943" spans="1:25" x14ac:dyDescent="0.35">
      <c r="A7943">
        <v>35.168180110355202</v>
      </c>
      <c r="B7943">
        <v>-115.30692931356</v>
      </c>
      <c r="C7943" t="s">
        <v>34</v>
      </c>
      <c r="D7943">
        <v>14.935406671254601</v>
      </c>
      <c r="E7943">
        <v>8</v>
      </c>
      <c r="F7943">
        <v>2027</v>
      </c>
      <c r="G7943">
        <v>3</v>
      </c>
      <c r="H7943">
        <v>3</v>
      </c>
      <c r="I7943">
        <v>1998</v>
      </c>
      <c r="J7943">
        <v>1</v>
      </c>
      <c r="K7943">
        <v>0</v>
      </c>
      <c r="L7943">
        <v>0</v>
      </c>
      <c r="M7943">
        <v>14</v>
      </c>
      <c r="N7943" t="s">
        <v>26</v>
      </c>
      <c r="O7943" t="s">
        <v>27</v>
      </c>
      <c r="P7943">
        <v>14.8558600610273</v>
      </c>
      <c r="Q7943">
        <v>1.6356900450677501</v>
      </c>
      <c r="R7943">
        <v>6.1502076345268097</v>
      </c>
      <c r="S7943">
        <v>1</v>
      </c>
      <c r="T7943">
        <v>42</v>
      </c>
      <c r="U7943">
        <v>730.08218733612898</v>
      </c>
      <c r="V7943">
        <v>6.9067587567834196E-3</v>
      </c>
      <c r="W7943">
        <v>1868182.5239325301</v>
      </c>
      <c r="X7943" t="s">
        <v>28</v>
      </c>
      <c r="Y7943">
        <f>1-404-322-1559</f>
        <v>-2284</v>
      </c>
    </row>
    <row r="7944" spans="1:25" x14ac:dyDescent="0.35">
      <c r="A7944">
        <v>33.943519363414602</v>
      </c>
      <c r="B7944">
        <v>-119.857852944588</v>
      </c>
      <c r="C7944" t="s">
        <v>29</v>
      </c>
      <c r="D7944">
        <v>13.279370377979999</v>
      </c>
      <c r="E7944">
        <v>4</v>
      </c>
      <c r="F7944">
        <v>2906</v>
      </c>
      <c r="G7944">
        <v>5</v>
      </c>
      <c r="H7944">
        <v>3</v>
      </c>
      <c r="I7944">
        <v>1976</v>
      </c>
      <c r="J7944">
        <v>0</v>
      </c>
      <c r="K7944">
        <v>0</v>
      </c>
      <c r="L7944">
        <v>1</v>
      </c>
      <c r="M7944">
        <v>9</v>
      </c>
      <c r="N7944" t="s">
        <v>37</v>
      </c>
      <c r="O7944" t="s">
        <v>32</v>
      </c>
      <c r="P7944">
        <v>2.0923809666893902</v>
      </c>
      <c r="Q7944">
        <v>1.2921845370629099</v>
      </c>
      <c r="R7944">
        <v>3.6549374119489899</v>
      </c>
      <c r="S7944">
        <v>188</v>
      </c>
      <c r="T7944">
        <v>77</v>
      </c>
      <c r="U7944">
        <v>976.88735348858097</v>
      </c>
      <c r="V7944">
        <v>3.0970406056434899E-3</v>
      </c>
      <c r="W7944">
        <v>3124262.2574000098</v>
      </c>
      <c r="X7944" t="s">
        <v>44</v>
      </c>
      <c r="Y7944">
        <f>1-824-957-5687</f>
        <v>-7467</v>
      </c>
    </row>
    <row r="7945" spans="1:25" x14ac:dyDescent="0.35">
      <c r="A7945">
        <v>41.675797175414203</v>
      </c>
      <c r="B7945">
        <v>-123.514044917619</v>
      </c>
      <c r="C7945" t="s">
        <v>29</v>
      </c>
      <c r="D7945">
        <v>48.022964799829403</v>
      </c>
      <c r="E7945">
        <v>0</v>
      </c>
      <c r="F7945">
        <v>3737</v>
      </c>
      <c r="G7945">
        <v>1</v>
      </c>
      <c r="H7945">
        <v>2</v>
      </c>
      <c r="I7945">
        <v>1987</v>
      </c>
      <c r="J7945">
        <v>0</v>
      </c>
      <c r="K7945">
        <v>1</v>
      </c>
      <c r="L7945">
        <v>0</v>
      </c>
      <c r="M7945">
        <v>5</v>
      </c>
      <c r="N7945" t="s">
        <v>37</v>
      </c>
      <c r="O7945" t="s">
        <v>32</v>
      </c>
      <c r="P7945">
        <v>8.9463656595487695</v>
      </c>
      <c r="Q7945">
        <v>1.1635431706302899</v>
      </c>
      <c r="R7945">
        <v>3.1748840742978501</v>
      </c>
      <c r="S7945">
        <v>192</v>
      </c>
      <c r="T7945">
        <v>30</v>
      </c>
      <c r="U7945">
        <v>988.43484148309005</v>
      </c>
      <c r="V7945">
        <v>1.33797163500133E-3</v>
      </c>
      <c r="W7945">
        <v>3920998.1219180198</v>
      </c>
      <c r="X7945" t="s">
        <v>28</v>
      </c>
      <c r="Y7945">
        <f>1-455-333-3116</f>
        <v>-3903</v>
      </c>
    </row>
    <row r="7946" spans="1:25" x14ac:dyDescent="0.35">
      <c r="A7946">
        <v>35.730840025488497</v>
      </c>
      <c r="B7946">
        <v>-117.574383688651</v>
      </c>
      <c r="C7946" t="s">
        <v>29</v>
      </c>
      <c r="D7946">
        <v>39.0344769807581</v>
      </c>
      <c r="E7946">
        <v>7</v>
      </c>
      <c r="F7946">
        <v>1582</v>
      </c>
      <c r="G7946">
        <v>4</v>
      </c>
      <c r="H7946">
        <v>1</v>
      </c>
      <c r="I7946">
        <v>1958</v>
      </c>
      <c r="J7946">
        <v>0</v>
      </c>
      <c r="K7946">
        <v>0</v>
      </c>
      <c r="L7946">
        <v>0</v>
      </c>
      <c r="M7946">
        <v>14</v>
      </c>
      <c r="N7946" t="s">
        <v>37</v>
      </c>
      <c r="O7946" t="s">
        <v>27</v>
      </c>
      <c r="P7946">
        <v>11.057994036697201</v>
      </c>
      <c r="Q7946">
        <v>1.06285869767703</v>
      </c>
      <c r="R7946">
        <v>9.6758367941597605</v>
      </c>
      <c r="S7946">
        <v>101</v>
      </c>
      <c r="T7946">
        <v>25</v>
      </c>
      <c r="U7946">
        <v>249.354872182153</v>
      </c>
      <c r="V7946">
        <v>8.8495575221238902E-3</v>
      </c>
      <c r="W7946">
        <v>556506.19073336304</v>
      </c>
      <c r="X7946" t="s">
        <v>28</v>
      </c>
      <c r="Y7946">
        <f>1-458-462-9673</f>
        <v>-10592</v>
      </c>
    </row>
    <row r="7947" spans="1:25" x14ac:dyDescent="0.35">
      <c r="A7947">
        <v>41.033969806227603</v>
      </c>
      <c r="B7947">
        <v>-121.229395772006</v>
      </c>
      <c r="C7947" t="s">
        <v>25</v>
      </c>
      <c r="D7947">
        <v>23.8690653813639</v>
      </c>
      <c r="E7947">
        <v>5</v>
      </c>
      <c r="F7947">
        <v>1527</v>
      </c>
      <c r="G7947">
        <v>1</v>
      </c>
      <c r="H7947">
        <v>2</v>
      </c>
      <c r="I7947">
        <v>1995</v>
      </c>
      <c r="J7947">
        <v>1</v>
      </c>
      <c r="K7947">
        <v>1</v>
      </c>
      <c r="L7947">
        <v>0</v>
      </c>
      <c r="M7947">
        <v>9</v>
      </c>
      <c r="N7947" t="s">
        <v>26</v>
      </c>
      <c r="O7947" t="s">
        <v>32</v>
      </c>
      <c r="P7947">
        <v>12.411900738834399</v>
      </c>
      <c r="Q7947">
        <v>1.7094450792382301</v>
      </c>
      <c r="R7947">
        <v>5.9560772581688202</v>
      </c>
      <c r="S7947">
        <v>49</v>
      </c>
      <c r="T7947">
        <v>71</v>
      </c>
      <c r="U7947">
        <v>615.822789779917</v>
      </c>
      <c r="V7947">
        <v>5.89390962671905E-3</v>
      </c>
      <c r="W7947">
        <v>1264307.9916365901</v>
      </c>
      <c r="X7947" t="s">
        <v>36</v>
      </c>
      <c r="Y7947">
        <f>1-967-496-7358</f>
        <v>-8820</v>
      </c>
    </row>
    <row r="7948" spans="1:25" x14ac:dyDescent="0.35">
      <c r="A7948">
        <v>40.804619080066601</v>
      </c>
      <c r="B7948">
        <v>-114.01482641823399</v>
      </c>
      <c r="C7948" t="s">
        <v>34</v>
      </c>
      <c r="D7948">
        <v>19.2878555902792</v>
      </c>
      <c r="E7948">
        <v>6</v>
      </c>
      <c r="F7948">
        <v>1107</v>
      </c>
      <c r="G7948">
        <v>5</v>
      </c>
      <c r="H7948">
        <v>1</v>
      </c>
      <c r="I7948">
        <v>1989</v>
      </c>
      <c r="J7948">
        <v>1</v>
      </c>
      <c r="K7948">
        <v>0</v>
      </c>
      <c r="L7948">
        <v>0</v>
      </c>
      <c r="M7948">
        <v>5</v>
      </c>
      <c r="N7948" t="s">
        <v>35</v>
      </c>
      <c r="O7948" t="s">
        <v>32</v>
      </c>
      <c r="P7948">
        <v>3.3002528683797299</v>
      </c>
      <c r="Q7948">
        <v>0.89973562848611099</v>
      </c>
      <c r="R7948">
        <v>1.9849773091613401</v>
      </c>
      <c r="S7948">
        <v>169</v>
      </c>
      <c r="T7948">
        <v>47</v>
      </c>
      <c r="U7948">
        <v>504.752040124335</v>
      </c>
      <c r="V7948">
        <v>4.5167118337849999E-3</v>
      </c>
      <c r="W7948">
        <v>827440.00855009304</v>
      </c>
      <c r="X7948" t="s">
        <v>40</v>
      </c>
      <c r="Y7948">
        <f>1-657-480-2285</f>
        <v>-3421</v>
      </c>
    </row>
    <row r="7949" spans="1:25" x14ac:dyDescent="0.35">
      <c r="A7949">
        <v>35.784240837682198</v>
      </c>
      <c r="B7949">
        <v>-114.803407591004</v>
      </c>
      <c r="C7949" t="s">
        <v>25</v>
      </c>
      <c r="D7949">
        <v>22.800271754960601</v>
      </c>
      <c r="E7949">
        <v>9</v>
      </c>
      <c r="F7949">
        <v>3832</v>
      </c>
      <c r="G7949">
        <v>2</v>
      </c>
      <c r="H7949">
        <v>1</v>
      </c>
      <c r="I7949">
        <v>2001</v>
      </c>
      <c r="J7949">
        <v>1</v>
      </c>
      <c r="K7949">
        <v>0</v>
      </c>
      <c r="L7949">
        <v>0</v>
      </c>
      <c r="M7949">
        <v>2</v>
      </c>
      <c r="N7949" t="s">
        <v>41</v>
      </c>
      <c r="O7949" t="s">
        <v>32</v>
      </c>
      <c r="P7949">
        <v>9.1549444810290002</v>
      </c>
      <c r="Q7949">
        <v>1.7595398878799799</v>
      </c>
      <c r="R7949">
        <v>9.4814121321287903</v>
      </c>
      <c r="S7949">
        <v>3</v>
      </c>
      <c r="T7949">
        <v>71</v>
      </c>
      <c r="U7949">
        <v>584.577034883382</v>
      </c>
      <c r="V7949">
        <v>5.2192066805845495E-4</v>
      </c>
      <c r="W7949">
        <v>2535989.2581128199</v>
      </c>
      <c r="X7949" t="s">
        <v>36</v>
      </c>
      <c r="Y7949">
        <f>1-765-660-8397</f>
        <v>-9821</v>
      </c>
    </row>
    <row r="7950" spans="1:25" x14ac:dyDescent="0.35">
      <c r="A7950">
        <v>33.038570740562399</v>
      </c>
      <c r="B7950">
        <v>-119.401223212449</v>
      </c>
      <c r="C7950" t="s">
        <v>25</v>
      </c>
      <c r="D7950">
        <v>2.2875783775638001</v>
      </c>
      <c r="E7950">
        <v>9</v>
      </c>
      <c r="F7950">
        <v>2255</v>
      </c>
      <c r="G7950">
        <v>4</v>
      </c>
      <c r="H7950">
        <v>2</v>
      </c>
      <c r="I7950">
        <v>1955</v>
      </c>
      <c r="J7950">
        <v>1</v>
      </c>
      <c r="K7950">
        <v>1</v>
      </c>
      <c r="L7950">
        <v>0</v>
      </c>
      <c r="M7950">
        <v>8</v>
      </c>
      <c r="N7950" t="s">
        <v>41</v>
      </c>
      <c r="O7950" t="s">
        <v>30</v>
      </c>
      <c r="P7950">
        <v>4.6620099766159102</v>
      </c>
      <c r="Q7950">
        <v>0.74887129181285195</v>
      </c>
      <c r="R7950">
        <v>7.5060183124687798</v>
      </c>
      <c r="S7950">
        <v>117</v>
      </c>
      <c r="T7950">
        <v>32</v>
      </c>
      <c r="U7950">
        <v>601.78235175724797</v>
      </c>
      <c r="V7950">
        <v>3.5476718403547598E-3</v>
      </c>
      <c r="W7950">
        <v>1601208.4578253101</v>
      </c>
      <c r="X7950" t="s">
        <v>36</v>
      </c>
      <c r="Y7950">
        <f>1-296-803-2765</f>
        <v>-3863</v>
      </c>
    </row>
    <row r="7951" spans="1:25" x14ac:dyDescent="0.35">
      <c r="A7951">
        <v>39.480455197692102</v>
      </c>
      <c r="B7951">
        <v>-123.10519109611801</v>
      </c>
      <c r="C7951" t="s">
        <v>34</v>
      </c>
      <c r="D7951">
        <v>34.178016519441698</v>
      </c>
      <c r="E7951">
        <v>0</v>
      </c>
      <c r="F7951">
        <v>2585</v>
      </c>
      <c r="G7951">
        <v>3</v>
      </c>
      <c r="H7951">
        <v>2</v>
      </c>
      <c r="I7951">
        <v>1969</v>
      </c>
      <c r="J7951">
        <v>0</v>
      </c>
      <c r="K7951">
        <v>0</v>
      </c>
      <c r="L7951">
        <v>0</v>
      </c>
      <c r="M7951">
        <v>4</v>
      </c>
      <c r="N7951" t="s">
        <v>35</v>
      </c>
      <c r="O7951" t="s">
        <v>30</v>
      </c>
      <c r="P7951">
        <v>14.056645841531999</v>
      </c>
      <c r="Q7951">
        <v>0.82780957812195899</v>
      </c>
      <c r="R7951">
        <v>7.77702812318726</v>
      </c>
      <c r="S7951">
        <v>27</v>
      </c>
      <c r="T7951">
        <v>64</v>
      </c>
      <c r="U7951">
        <v>929.82853901698195</v>
      </c>
      <c r="V7951">
        <v>1.54738878143133E-3</v>
      </c>
      <c r="W7951">
        <v>2665107.44838084</v>
      </c>
      <c r="X7951" t="s">
        <v>33</v>
      </c>
      <c r="Y7951">
        <f>1-694-949-5849</f>
        <v>-7491</v>
      </c>
    </row>
    <row r="7952" spans="1:25" x14ac:dyDescent="0.35">
      <c r="A7952">
        <v>38.933622972739599</v>
      </c>
      <c r="B7952">
        <v>-114.62834322872</v>
      </c>
      <c r="C7952" t="s">
        <v>29</v>
      </c>
      <c r="D7952">
        <v>2.99532115715806</v>
      </c>
      <c r="E7952">
        <v>1</v>
      </c>
      <c r="F7952">
        <v>3345</v>
      </c>
      <c r="G7952">
        <v>4</v>
      </c>
      <c r="H7952">
        <v>1</v>
      </c>
      <c r="I7952">
        <v>1990</v>
      </c>
      <c r="J7952">
        <v>1</v>
      </c>
      <c r="K7952">
        <v>0</v>
      </c>
      <c r="L7952">
        <v>1</v>
      </c>
      <c r="M7952">
        <v>13</v>
      </c>
      <c r="N7952" t="s">
        <v>41</v>
      </c>
      <c r="O7952" t="s">
        <v>32</v>
      </c>
      <c r="P7952">
        <v>12.2991013293728</v>
      </c>
      <c r="Q7952">
        <v>1.93973002823484</v>
      </c>
      <c r="R7952">
        <v>8.5500373300049493</v>
      </c>
      <c r="S7952">
        <v>38</v>
      </c>
      <c r="T7952">
        <v>50</v>
      </c>
      <c r="U7952">
        <v>991.84775766170401</v>
      </c>
      <c r="V7952">
        <v>3.8863976083706999E-3</v>
      </c>
      <c r="W7952">
        <v>3698655.7156082899</v>
      </c>
      <c r="X7952" t="s">
        <v>33</v>
      </c>
      <c r="Y7952">
        <f>1-844-110-7918</f>
        <v>-8871</v>
      </c>
    </row>
    <row r="7953" spans="1:25" x14ac:dyDescent="0.35">
      <c r="A7953">
        <v>32.941223167610403</v>
      </c>
      <c r="B7953">
        <v>-115.000834403738</v>
      </c>
      <c r="C7953" t="s">
        <v>29</v>
      </c>
      <c r="D7953">
        <v>38.283115117922897</v>
      </c>
      <c r="E7953">
        <v>2</v>
      </c>
      <c r="F7953">
        <v>2945</v>
      </c>
      <c r="G7953">
        <v>1</v>
      </c>
      <c r="H7953">
        <v>1</v>
      </c>
      <c r="I7953">
        <v>1975</v>
      </c>
      <c r="J7953">
        <v>1</v>
      </c>
      <c r="K7953">
        <v>0</v>
      </c>
      <c r="L7953">
        <v>1</v>
      </c>
      <c r="M7953">
        <v>2</v>
      </c>
      <c r="N7953" t="s">
        <v>41</v>
      </c>
      <c r="O7953" t="s">
        <v>27</v>
      </c>
      <c r="P7953">
        <v>7.5176138257234699</v>
      </c>
      <c r="Q7953">
        <v>2.4240472195995801</v>
      </c>
      <c r="R7953">
        <v>5.4383623211254299</v>
      </c>
      <c r="S7953">
        <v>191</v>
      </c>
      <c r="T7953">
        <v>76</v>
      </c>
      <c r="U7953">
        <v>960.797273561211</v>
      </c>
      <c r="V7953">
        <v>6.7911714770797901E-4</v>
      </c>
      <c r="W7953">
        <v>2902254.1634882502</v>
      </c>
      <c r="X7953" t="s">
        <v>36</v>
      </c>
      <c r="Y7953">
        <f>1-560-537-5418</f>
        <v>-6514</v>
      </c>
    </row>
    <row r="7954" spans="1:25" x14ac:dyDescent="0.35">
      <c r="A7954">
        <v>39.860202683354402</v>
      </c>
      <c r="B7954">
        <v>-116.70202912302599</v>
      </c>
      <c r="C7954" t="s">
        <v>25</v>
      </c>
      <c r="D7954">
        <v>11.8973803400461</v>
      </c>
      <c r="E7954">
        <v>2</v>
      </c>
      <c r="F7954">
        <v>1633</v>
      </c>
      <c r="G7954">
        <v>3</v>
      </c>
      <c r="H7954">
        <v>3</v>
      </c>
      <c r="I7954">
        <v>1991</v>
      </c>
      <c r="J7954">
        <v>0</v>
      </c>
      <c r="K7954">
        <v>1</v>
      </c>
      <c r="L7954">
        <v>0</v>
      </c>
      <c r="M7954">
        <v>7</v>
      </c>
      <c r="N7954" t="s">
        <v>41</v>
      </c>
      <c r="O7954" t="s">
        <v>27</v>
      </c>
      <c r="P7954">
        <v>9.5281783271496199</v>
      </c>
      <c r="Q7954">
        <v>1.75396831921517</v>
      </c>
      <c r="R7954">
        <v>3.14074694876579</v>
      </c>
      <c r="S7954">
        <v>43</v>
      </c>
      <c r="T7954">
        <v>51</v>
      </c>
      <c r="U7954">
        <v>788.00055019355898</v>
      </c>
      <c r="V7954">
        <v>4.2865890998162797E-3</v>
      </c>
      <c r="W7954">
        <v>1609513.51573071</v>
      </c>
      <c r="X7954" t="s">
        <v>44</v>
      </c>
      <c r="Y7954">
        <f>1-669-628-3242</f>
        <v>-4538</v>
      </c>
    </row>
    <row r="7955" spans="1:25" x14ac:dyDescent="0.35">
      <c r="A7955">
        <v>37.998557612550698</v>
      </c>
      <c r="B7955">
        <v>-122.01901608575</v>
      </c>
      <c r="C7955" t="s">
        <v>25</v>
      </c>
      <c r="D7955">
        <v>31.970795139836898</v>
      </c>
      <c r="E7955">
        <v>9</v>
      </c>
      <c r="F7955">
        <v>2031</v>
      </c>
      <c r="G7955">
        <v>4</v>
      </c>
      <c r="H7955">
        <v>3</v>
      </c>
      <c r="I7955">
        <v>1961</v>
      </c>
      <c r="J7955">
        <v>0</v>
      </c>
      <c r="K7955">
        <v>0</v>
      </c>
      <c r="L7955">
        <v>1</v>
      </c>
      <c r="M7955">
        <v>2</v>
      </c>
      <c r="N7955" t="s">
        <v>26</v>
      </c>
      <c r="O7955" t="s">
        <v>30</v>
      </c>
      <c r="P7955">
        <v>5.3301163119732999</v>
      </c>
      <c r="Q7955">
        <v>0.87137114974701502</v>
      </c>
      <c r="R7955">
        <v>1.90598318145321</v>
      </c>
      <c r="S7955">
        <v>89</v>
      </c>
      <c r="T7955">
        <v>71</v>
      </c>
      <c r="U7955">
        <v>825.60184322353996</v>
      </c>
      <c r="V7955">
        <v>9.8473658296405696E-4</v>
      </c>
      <c r="W7955">
        <v>1891818.03549083</v>
      </c>
      <c r="X7955" t="s">
        <v>36</v>
      </c>
      <c r="Y7955">
        <f>1-380-222-6346</f>
        <v>-6947</v>
      </c>
    </row>
    <row r="7956" spans="1:25" x14ac:dyDescent="0.35">
      <c r="A7956">
        <v>37.331779574543397</v>
      </c>
      <c r="B7956">
        <v>-114.415326417266</v>
      </c>
      <c r="C7956" t="s">
        <v>29</v>
      </c>
      <c r="D7956">
        <v>15.1211406740829</v>
      </c>
      <c r="E7956">
        <v>5</v>
      </c>
      <c r="F7956">
        <v>4611</v>
      </c>
      <c r="G7956">
        <v>4</v>
      </c>
      <c r="H7956">
        <v>1</v>
      </c>
      <c r="I7956">
        <v>2006</v>
      </c>
      <c r="J7956">
        <v>0</v>
      </c>
      <c r="K7956">
        <v>1</v>
      </c>
      <c r="L7956">
        <v>1</v>
      </c>
      <c r="M7956">
        <v>14</v>
      </c>
      <c r="N7956" t="s">
        <v>26</v>
      </c>
      <c r="O7956" t="s">
        <v>30</v>
      </c>
      <c r="P7956">
        <v>5.0677993817133498</v>
      </c>
      <c r="Q7956">
        <v>0.960110769324377</v>
      </c>
      <c r="R7956">
        <v>6.4976138226503499</v>
      </c>
      <c r="S7956">
        <v>4</v>
      </c>
      <c r="T7956">
        <v>54</v>
      </c>
      <c r="U7956">
        <v>425.358916716088</v>
      </c>
      <c r="V7956">
        <v>3.0362177401865101E-3</v>
      </c>
      <c r="W7956">
        <v>2246196.6673713201</v>
      </c>
      <c r="X7956" t="s">
        <v>43</v>
      </c>
      <c r="Y7956">
        <f>1-287-917-4480</f>
        <v>-5683</v>
      </c>
    </row>
    <row r="7957" spans="1:25" x14ac:dyDescent="0.35">
      <c r="A7957">
        <v>40.130568414438599</v>
      </c>
      <c r="B7957">
        <v>-124.025596657124</v>
      </c>
      <c r="C7957" t="s">
        <v>25</v>
      </c>
      <c r="D7957">
        <v>42.084593976769803</v>
      </c>
      <c r="E7957">
        <v>7</v>
      </c>
      <c r="F7957">
        <v>2525</v>
      </c>
      <c r="G7957">
        <v>5</v>
      </c>
      <c r="H7957">
        <v>2</v>
      </c>
      <c r="I7957">
        <v>2004</v>
      </c>
      <c r="J7957">
        <v>0</v>
      </c>
      <c r="K7957">
        <v>0</v>
      </c>
      <c r="L7957">
        <v>1</v>
      </c>
      <c r="M7957">
        <v>14</v>
      </c>
      <c r="N7957" t="s">
        <v>41</v>
      </c>
      <c r="O7957" t="s">
        <v>30</v>
      </c>
      <c r="P7957">
        <v>7.2858097749599597</v>
      </c>
      <c r="Q7957">
        <v>0.62088346149678597</v>
      </c>
      <c r="R7957">
        <v>4.2696366614370298</v>
      </c>
      <c r="S7957">
        <v>102</v>
      </c>
      <c r="T7957">
        <v>38</v>
      </c>
      <c r="U7957">
        <v>394.363001575792</v>
      </c>
      <c r="V7957">
        <v>5.5445544554455399E-3</v>
      </c>
      <c r="W7957">
        <v>1385432.5928215301</v>
      </c>
      <c r="X7957" t="s">
        <v>38</v>
      </c>
      <c r="Y7957">
        <f>1-417-796-6949</f>
        <v>-8161</v>
      </c>
    </row>
    <row r="7958" spans="1:25" x14ac:dyDescent="0.35">
      <c r="A7958">
        <v>41.459458060389998</v>
      </c>
      <c r="B7958">
        <v>-118.699348197386</v>
      </c>
      <c r="C7958" t="s">
        <v>34</v>
      </c>
      <c r="D7958">
        <v>26.985849529494999</v>
      </c>
      <c r="E7958">
        <v>7</v>
      </c>
      <c r="F7958">
        <v>4035</v>
      </c>
      <c r="G7958">
        <v>1</v>
      </c>
      <c r="H7958">
        <v>1</v>
      </c>
      <c r="I7958">
        <v>1996</v>
      </c>
      <c r="J7958">
        <v>1</v>
      </c>
      <c r="K7958">
        <v>1</v>
      </c>
      <c r="L7958">
        <v>0</v>
      </c>
      <c r="M7958">
        <v>9</v>
      </c>
      <c r="N7958" t="s">
        <v>41</v>
      </c>
      <c r="O7958" t="s">
        <v>32</v>
      </c>
      <c r="P7958">
        <v>11.688700802177401</v>
      </c>
      <c r="Q7958">
        <v>1.4588857216559199</v>
      </c>
      <c r="R7958">
        <v>8.79743009428066</v>
      </c>
      <c r="S7958">
        <v>196</v>
      </c>
      <c r="T7958">
        <v>29</v>
      </c>
      <c r="U7958">
        <v>278.535527248064</v>
      </c>
      <c r="V7958">
        <v>2.23048327137546E-3</v>
      </c>
      <c r="W7958">
        <v>1422984.8454574901</v>
      </c>
      <c r="X7958" t="s">
        <v>42</v>
      </c>
      <c r="Y7958">
        <f>1-911-268-2683</f>
        <v>-3861</v>
      </c>
    </row>
    <row r="7959" spans="1:25" x14ac:dyDescent="0.35">
      <c r="A7959">
        <v>36.898873412793201</v>
      </c>
      <c r="B7959">
        <v>-122.453435849372</v>
      </c>
      <c r="C7959" t="s">
        <v>34</v>
      </c>
      <c r="D7959">
        <v>28.026533460006402</v>
      </c>
      <c r="E7959">
        <v>1</v>
      </c>
      <c r="F7959">
        <v>3125</v>
      </c>
      <c r="G7959">
        <v>1</v>
      </c>
      <c r="H7959">
        <v>2</v>
      </c>
      <c r="I7959">
        <v>2014</v>
      </c>
      <c r="J7959">
        <v>1</v>
      </c>
      <c r="K7959">
        <v>0</v>
      </c>
      <c r="L7959">
        <v>0</v>
      </c>
      <c r="M7959">
        <v>11</v>
      </c>
      <c r="N7959" t="s">
        <v>37</v>
      </c>
      <c r="O7959" t="s">
        <v>32</v>
      </c>
      <c r="P7959">
        <v>10.178010580583299</v>
      </c>
      <c r="Q7959">
        <v>1.0862942051584401</v>
      </c>
      <c r="R7959">
        <v>1.4776269781299201</v>
      </c>
      <c r="S7959">
        <v>130</v>
      </c>
      <c r="T7959">
        <v>51</v>
      </c>
      <c r="U7959">
        <v>407.624752858698</v>
      </c>
      <c r="V7959">
        <v>3.5200000000000001E-3</v>
      </c>
      <c r="W7959">
        <v>1585042.80341301</v>
      </c>
      <c r="X7959" t="s">
        <v>36</v>
      </c>
      <c r="Y7959">
        <f>1-363-412-7050</f>
        <v>-7824</v>
      </c>
    </row>
    <row r="7960" spans="1:25" x14ac:dyDescent="0.35">
      <c r="A7960">
        <v>41.615148616164198</v>
      </c>
      <c r="B7960">
        <v>-118.297289099959</v>
      </c>
      <c r="C7960" t="s">
        <v>29</v>
      </c>
      <c r="D7960">
        <v>34.305982839112801</v>
      </c>
      <c r="E7960">
        <v>8</v>
      </c>
      <c r="F7960">
        <v>686</v>
      </c>
      <c r="G7960">
        <v>4</v>
      </c>
      <c r="H7960">
        <v>1</v>
      </c>
      <c r="I7960">
        <v>2010</v>
      </c>
      <c r="J7960">
        <v>0</v>
      </c>
      <c r="K7960">
        <v>1</v>
      </c>
      <c r="L7960">
        <v>1</v>
      </c>
      <c r="M7960">
        <v>12</v>
      </c>
      <c r="N7960" t="s">
        <v>37</v>
      </c>
      <c r="O7960" t="s">
        <v>27</v>
      </c>
      <c r="P7960">
        <v>2.05590568237402</v>
      </c>
      <c r="Q7960">
        <v>0.99014709423248704</v>
      </c>
      <c r="R7960">
        <v>3.0256605149661802</v>
      </c>
      <c r="S7960">
        <v>154</v>
      </c>
      <c r="T7960">
        <v>20</v>
      </c>
      <c r="U7960">
        <v>463.79588965335302</v>
      </c>
      <c r="V7960">
        <v>1.7492711370262301E-2</v>
      </c>
      <c r="W7960">
        <v>587810.68561977404</v>
      </c>
      <c r="X7960" t="s">
        <v>39</v>
      </c>
      <c r="Y7960">
        <f>1-745-123-6433</f>
        <v>-7300</v>
      </c>
    </row>
    <row r="7961" spans="1:25" x14ac:dyDescent="0.35">
      <c r="A7961">
        <v>35.582127153400499</v>
      </c>
      <c r="B7961">
        <v>-120.363475242782</v>
      </c>
      <c r="C7961" t="s">
        <v>34</v>
      </c>
      <c r="D7961">
        <v>30.535060555518999</v>
      </c>
      <c r="E7961">
        <v>5</v>
      </c>
      <c r="F7961">
        <v>3605</v>
      </c>
      <c r="G7961">
        <v>1</v>
      </c>
      <c r="H7961">
        <v>2</v>
      </c>
      <c r="I7961">
        <v>2008</v>
      </c>
      <c r="J7961">
        <v>0</v>
      </c>
      <c r="K7961">
        <v>0</v>
      </c>
      <c r="L7961">
        <v>1</v>
      </c>
      <c r="M7961">
        <v>12</v>
      </c>
      <c r="N7961" t="s">
        <v>26</v>
      </c>
      <c r="O7961" t="s">
        <v>30</v>
      </c>
      <c r="P7961">
        <v>6.9828929831559696</v>
      </c>
      <c r="Q7961">
        <v>1.69031609752753</v>
      </c>
      <c r="R7961">
        <v>8.4243518425249402</v>
      </c>
      <c r="S7961">
        <v>137</v>
      </c>
      <c r="T7961">
        <v>23</v>
      </c>
      <c r="U7961">
        <v>379.58856793967402</v>
      </c>
      <c r="V7961">
        <v>3.3287101248266299E-3</v>
      </c>
      <c r="W7961">
        <v>1484598.31093189</v>
      </c>
      <c r="X7961" t="s">
        <v>31</v>
      </c>
      <c r="Y7961">
        <f>1-473-552-6781</f>
        <v>-7805</v>
      </c>
    </row>
    <row r="7962" spans="1:25" x14ac:dyDescent="0.35">
      <c r="A7962">
        <v>38.573421813189903</v>
      </c>
      <c r="B7962">
        <v>-118.574928533009</v>
      </c>
      <c r="C7962" t="s">
        <v>34</v>
      </c>
      <c r="D7962">
        <v>46.828780476528898</v>
      </c>
      <c r="E7962">
        <v>0</v>
      </c>
      <c r="F7962">
        <v>2975</v>
      </c>
      <c r="G7962">
        <v>1</v>
      </c>
      <c r="H7962">
        <v>3</v>
      </c>
      <c r="I7962">
        <v>2013</v>
      </c>
      <c r="J7962">
        <v>1</v>
      </c>
      <c r="K7962">
        <v>1</v>
      </c>
      <c r="L7962">
        <v>1</v>
      </c>
      <c r="M7962">
        <v>5</v>
      </c>
      <c r="N7962" t="s">
        <v>37</v>
      </c>
      <c r="O7962" t="s">
        <v>27</v>
      </c>
      <c r="P7962">
        <v>12.567178320224</v>
      </c>
      <c r="Q7962">
        <v>1.2473472224320299</v>
      </c>
      <c r="R7962">
        <v>3.7574504394649701</v>
      </c>
      <c r="S7962">
        <v>134</v>
      </c>
      <c r="T7962">
        <v>45</v>
      </c>
      <c r="U7962">
        <v>548.45948817571798</v>
      </c>
      <c r="V7962">
        <v>1.6806722689075601E-3</v>
      </c>
      <c r="W7962">
        <v>2052954.55613184</v>
      </c>
      <c r="X7962" t="s">
        <v>39</v>
      </c>
      <c r="Y7962">
        <f>1-738-347-2036</f>
        <v>-3120</v>
      </c>
    </row>
    <row r="7963" spans="1:25" x14ac:dyDescent="0.35">
      <c r="A7963">
        <v>36.033735193731601</v>
      </c>
      <c r="B7963">
        <v>-121.268589563711</v>
      </c>
      <c r="C7963" t="s">
        <v>25</v>
      </c>
      <c r="D7963">
        <v>23.891738540094099</v>
      </c>
      <c r="E7963">
        <v>5</v>
      </c>
      <c r="F7963">
        <v>1300</v>
      </c>
      <c r="G7963">
        <v>2</v>
      </c>
      <c r="H7963">
        <v>2</v>
      </c>
      <c r="I7963">
        <v>1953</v>
      </c>
      <c r="J7963">
        <v>1</v>
      </c>
      <c r="K7963">
        <v>0</v>
      </c>
      <c r="L7963">
        <v>1</v>
      </c>
      <c r="M7963">
        <v>13</v>
      </c>
      <c r="N7963" t="s">
        <v>35</v>
      </c>
      <c r="O7963" t="s">
        <v>27</v>
      </c>
      <c r="P7963">
        <v>6.5532122356429099</v>
      </c>
      <c r="Q7963">
        <v>1.8201624455735099</v>
      </c>
      <c r="R7963">
        <v>2.3011245670249298</v>
      </c>
      <c r="S7963">
        <v>173</v>
      </c>
      <c r="T7963">
        <v>57</v>
      </c>
      <c r="U7963">
        <v>647.94954422346302</v>
      </c>
      <c r="V7963">
        <v>0.01</v>
      </c>
      <c r="W7963">
        <v>1044843.60907484</v>
      </c>
      <c r="X7963" t="s">
        <v>38</v>
      </c>
      <c r="Y7963">
        <f>1-299-566-9049</f>
        <v>-9913</v>
      </c>
    </row>
    <row r="7964" spans="1:25" x14ac:dyDescent="0.35">
      <c r="A7964">
        <v>32.690985373533202</v>
      </c>
      <c r="B7964">
        <v>-115.152919014429</v>
      </c>
      <c r="C7964" t="s">
        <v>25</v>
      </c>
      <c r="D7964">
        <v>35.821158842980701</v>
      </c>
      <c r="E7964">
        <v>5</v>
      </c>
      <c r="F7964">
        <v>2999</v>
      </c>
      <c r="G7964">
        <v>4</v>
      </c>
      <c r="H7964">
        <v>2</v>
      </c>
      <c r="I7964">
        <v>1969</v>
      </c>
      <c r="J7964">
        <v>1</v>
      </c>
      <c r="K7964">
        <v>0</v>
      </c>
      <c r="L7964">
        <v>1</v>
      </c>
      <c r="M7964">
        <v>10</v>
      </c>
      <c r="N7964" t="s">
        <v>26</v>
      </c>
      <c r="O7964" t="s">
        <v>32</v>
      </c>
      <c r="P7964">
        <v>6.2769662533047299</v>
      </c>
      <c r="Q7964">
        <v>2.3009614785213501</v>
      </c>
      <c r="R7964">
        <v>2.3862566409711099</v>
      </c>
      <c r="S7964">
        <v>120</v>
      </c>
      <c r="T7964">
        <v>23</v>
      </c>
      <c r="U7964">
        <v>602.86819629725505</v>
      </c>
      <c r="V7964">
        <v>3.3344448149383102E-3</v>
      </c>
      <c r="W7964">
        <v>2053633.97752003</v>
      </c>
      <c r="X7964" t="s">
        <v>42</v>
      </c>
      <c r="Y7964">
        <f>1-392-776-6708</f>
        <v>-7875</v>
      </c>
    </row>
    <row r="7965" spans="1:25" x14ac:dyDescent="0.35">
      <c r="A7965">
        <v>33.312817451484698</v>
      </c>
      <c r="B7965">
        <v>-117.298967648737</v>
      </c>
      <c r="C7965" t="s">
        <v>29</v>
      </c>
      <c r="D7965">
        <v>14.247031198437</v>
      </c>
      <c r="E7965">
        <v>5</v>
      </c>
      <c r="F7965">
        <v>1812</v>
      </c>
      <c r="G7965">
        <v>3</v>
      </c>
      <c r="H7965">
        <v>3</v>
      </c>
      <c r="I7965">
        <v>1991</v>
      </c>
      <c r="J7965">
        <v>0</v>
      </c>
      <c r="K7965">
        <v>1</v>
      </c>
      <c r="L7965">
        <v>0</v>
      </c>
      <c r="M7965">
        <v>13</v>
      </c>
      <c r="N7965" t="s">
        <v>37</v>
      </c>
      <c r="O7965" t="s">
        <v>32</v>
      </c>
      <c r="P7965">
        <v>14.715447705028</v>
      </c>
      <c r="Q7965">
        <v>1.5635308689905301</v>
      </c>
      <c r="R7965">
        <v>6.37096681541425</v>
      </c>
      <c r="S7965">
        <v>41</v>
      </c>
      <c r="T7965">
        <v>35</v>
      </c>
      <c r="U7965">
        <v>650.68996570272202</v>
      </c>
      <c r="V7965">
        <v>7.1743929359823402E-3</v>
      </c>
      <c r="W7965">
        <v>1569235.51285828</v>
      </c>
      <c r="X7965" t="s">
        <v>39</v>
      </c>
      <c r="Y7965">
        <f>1-516-267-3388</f>
        <v>-4170</v>
      </c>
    </row>
    <row r="7966" spans="1:25" x14ac:dyDescent="0.35">
      <c r="A7966">
        <v>33.463003613997103</v>
      </c>
      <c r="B7966">
        <v>-116.87516937241701</v>
      </c>
      <c r="C7966" t="s">
        <v>25</v>
      </c>
      <c r="D7966">
        <v>11.932201624259999</v>
      </c>
      <c r="E7966">
        <v>1</v>
      </c>
      <c r="F7966">
        <v>1516</v>
      </c>
      <c r="G7966">
        <v>5</v>
      </c>
      <c r="H7966">
        <v>3</v>
      </c>
      <c r="I7966">
        <v>2021</v>
      </c>
      <c r="J7966">
        <v>0</v>
      </c>
      <c r="K7966">
        <v>1</v>
      </c>
      <c r="L7966">
        <v>1</v>
      </c>
      <c r="M7966">
        <v>12</v>
      </c>
      <c r="N7966" t="s">
        <v>41</v>
      </c>
      <c r="O7966" t="s">
        <v>30</v>
      </c>
      <c r="P7966">
        <v>3.3599141875234602</v>
      </c>
      <c r="Q7966">
        <v>1.0872585143900699</v>
      </c>
      <c r="R7966">
        <v>7.38785408509289</v>
      </c>
      <c r="S7966">
        <v>85</v>
      </c>
      <c r="T7966">
        <v>38</v>
      </c>
      <c r="U7966">
        <v>478.01773798209598</v>
      </c>
      <c r="V7966">
        <v>7.9155672823219003E-3</v>
      </c>
      <c r="W7966">
        <v>1270281.68386976</v>
      </c>
      <c r="X7966" t="s">
        <v>38</v>
      </c>
      <c r="Y7966">
        <f>1-208-239-2639</f>
        <v>-3085</v>
      </c>
    </row>
    <row r="7967" spans="1:25" x14ac:dyDescent="0.35">
      <c r="A7967">
        <v>37.608173740783698</v>
      </c>
      <c r="B7967">
        <v>-121.73030770418001</v>
      </c>
      <c r="C7967" t="s">
        <v>29</v>
      </c>
      <c r="D7967">
        <v>15.995786185403199</v>
      </c>
      <c r="E7967">
        <v>0</v>
      </c>
      <c r="F7967">
        <v>1461</v>
      </c>
      <c r="G7967">
        <v>1</v>
      </c>
      <c r="H7967">
        <v>3</v>
      </c>
      <c r="I7967">
        <v>1954</v>
      </c>
      <c r="J7967">
        <v>0</v>
      </c>
      <c r="K7967">
        <v>1</v>
      </c>
      <c r="L7967">
        <v>0</v>
      </c>
      <c r="M7967">
        <v>11</v>
      </c>
      <c r="N7967" t="s">
        <v>41</v>
      </c>
      <c r="O7967" t="s">
        <v>30</v>
      </c>
      <c r="P7967">
        <v>8.5176459288977107</v>
      </c>
      <c r="Q7967">
        <v>1.2847594209633599</v>
      </c>
      <c r="R7967">
        <v>9.8558439225518697</v>
      </c>
      <c r="S7967">
        <v>95</v>
      </c>
      <c r="T7967">
        <v>63</v>
      </c>
      <c r="U7967">
        <v>731.05833165165905</v>
      </c>
      <c r="V7967">
        <v>7.5290896646132699E-3</v>
      </c>
      <c r="W7967">
        <v>1178851.70190017</v>
      </c>
      <c r="X7967" t="s">
        <v>39</v>
      </c>
      <c r="Y7967">
        <f>1-825-452-1046</f>
        <v>-2322</v>
      </c>
    </row>
    <row r="7968" spans="1:25" x14ac:dyDescent="0.35">
      <c r="A7968">
        <v>41.818373448686302</v>
      </c>
      <c r="B7968">
        <v>-122.987796534471</v>
      </c>
      <c r="C7968" t="s">
        <v>29</v>
      </c>
      <c r="D7968">
        <v>40.2808748299678</v>
      </c>
      <c r="E7968">
        <v>1</v>
      </c>
      <c r="F7968">
        <v>1425</v>
      </c>
      <c r="G7968">
        <v>3</v>
      </c>
      <c r="H7968">
        <v>3</v>
      </c>
      <c r="I7968">
        <v>1982</v>
      </c>
      <c r="J7968">
        <v>0</v>
      </c>
      <c r="K7968">
        <v>0</v>
      </c>
      <c r="L7968">
        <v>1</v>
      </c>
      <c r="M7968">
        <v>5</v>
      </c>
      <c r="N7968" t="s">
        <v>37</v>
      </c>
      <c r="O7968" t="s">
        <v>30</v>
      </c>
      <c r="P7968">
        <v>8.9428524991801801</v>
      </c>
      <c r="Q7968">
        <v>1.22355682871924</v>
      </c>
      <c r="R7968">
        <v>5.3133645275220802</v>
      </c>
      <c r="S7968">
        <v>33</v>
      </c>
      <c r="T7968">
        <v>55</v>
      </c>
      <c r="U7968">
        <v>661.73166867595103</v>
      </c>
      <c r="V7968">
        <v>3.5087719298245602E-3</v>
      </c>
      <c r="W7968">
        <v>1246387.13801746</v>
      </c>
      <c r="X7968" t="s">
        <v>42</v>
      </c>
      <c r="Y7968">
        <f>1-535-585-2160</f>
        <v>-3279</v>
      </c>
    </row>
    <row r="7969" spans="1:25" x14ac:dyDescent="0.35">
      <c r="A7969">
        <v>40.991260154829902</v>
      </c>
      <c r="B7969">
        <v>-123.615232268162</v>
      </c>
      <c r="C7969" t="s">
        <v>25</v>
      </c>
      <c r="D7969">
        <v>21.126105909018602</v>
      </c>
      <c r="E7969">
        <v>8</v>
      </c>
      <c r="F7969">
        <v>4070</v>
      </c>
      <c r="G7969">
        <v>2</v>
      </c>
      <c r="H7969">
        <v>1</v>
      </c>
      <c r="I7969">
        <v>1998</v>
      </c>
      <c r="J7969">
        <v>1</v>
      </c>
      <c r="K7969">
        <v>0</v>
      </c>
      <c r="L7969">
        <v>0</v>
      </c>
      <c r="M7969">
        <v>4</v>
      </c>
      <c r="N7969" t="s">
        <v>37</v>
      </c>
      <c r="O7969" t="s">
        <v>27</v>
      </c>
      <c r="P7969">
        <v>8.0473588198340398</v>
      </c>
      <c r="Q7969">
        <v>2.2291380900136901</v>
      </c>
      <c r="R7969">
        <v>2.39311755314327</v>
      </c>
      <c r="S7969">
        <v>145</v>
      </c>
      <c r="T7969">
        <v>26</v>
      </c>
      <c r="U7969">
        <v>648.88336691096094</v>
      </c>
      <c r="V7969">
        <v>9.8280098280098191E-4</v>
      </c>
      <c r="W7969">
        <v>2813507.1907640798</v>
      </c>
      <c r="X7969" t="s">
        <v>31</v>
      </c>
      <c r="Y7969">
        <f>1-881-737-3919</f>
        <v>-5536</v>
      </c>
    </row>
    <row r="7970" spans="1:25" x14ac:dyDescent="0.35">
      <c r="A7970">
        <v>36.436299210964897</v>
      </c>
      <c r="B7970">
        <v>-123.183082904963</v>
      </c>
      <c r="C7970" t="s">
        <v>25</v>
      </c>
      <c r="D7970">
        <v>31.627080397384901</v>
      </c>
      <c r="E7970">
        <v>9</v>
      </c>
      <c r="F7970">
        <v>1618</v>
      </c>
      <c r="G7970">
        <v>5</v>
      </c>
      <c r="H7970">
        <v>2</v>
      </c>
      <c r="I7970">
        <v>1980</v>
      </c>
      <c r="J7970">
        <v>1</v>
      </c>
      <c r="K7970">
        <v>0</v>
      </c>
      <c r="L7970">
        <v>0</v>
      </c>
      <c r="M7970">
        <v>13</v>
      </c>
      <c r="N7970" t="s">
        <v>35</v>
      </c>
      <c r="O7970" t="s">
        <v>30</v>
      </c>
      <c r="P7970">
        <v>9.6880386140471497</v>
      </c>
      <c r="Q7970">
        <v>2.1817814855297</v>
      </c>
      <c r="R7970">
        <v>6.2088869869662204</v>
      </c>
      <c r="S7970">
        <v>4</v>
      </c>
      <c r="T7970">
        <v>77</v>
      </c>
      <c r="U7970">
        <v>843.84696434846001</v>
      </c>
      <c r="V7970">
        <v>8.0346106304079092E-3</v>
      </c>
      <c r="W7970">
        <v>1768490.21179965</v>
      </c>
      <c r="X7970" t="s">
        <v>39</v>
      </c>
      <c r="Y7970">
        <f>1-892-995-7397</f>
        <v>-9283</v>
      </c>
    </row>
    <row r="7971" spans="1:25" x14ac:dyDescent="0.35">
      <c r="A7971">
        <v>40.291547728151698</v>
      </c>
      <c r="B7971">
        <v>-123.380679718457</v>
      </c>
      <c r="C7971" t="s">
        <v>29</v>
      </c>
      <c r="D7971">
        <v>8.9360818277060794</v>
      </c>
      <c r="E7971">
        <v>2</v>
      </c>
      <c r="F7971">
        <v>1904</v>
      </c>
      <c r="G7971">
        <v>1</v>
      </c>
      <c r="H7971">
        <v>2</v>
      </c>
      <c r="I7971">
        <v>2015</v>
      </c>
      <c r="J7971">
        <v>0</v>
      </c>
      <c r="K7971">
        <v>0</v>
      </c>
      <c r="L7971">
        <v>1</v>
      </c>
      <c r="M7971">
        <v>9</v>
      </c>
      <c r="N7971" t="s">
        <v>37</v>
      </c>
      <c r="O7971" t="s">
        <v>32</v>
      </c>
      <c r="P7971">
        <v>14.5613483319627</v>
      </c>
      <c r="Q7971">
        <v>0.78269387446143102</v>
      </c>
      <c r="R7971">
        <v>6.1032211269876298</v>
      </c>
      <c r="S7971">
        <v>4</v>
      </c>
      <c r="T7971">
        <v>24</v>
      </c>
      <c r="U7971">
        <v>357.686306411869</v>
      </c>
      <c r="V7971">
        <v>4.7268907563025198E-3</v>
      </c>
      <c r="W7971">
        <v>972505.559843697</v>
      </c>
      <c r="X7971" t="s">
        <v>39</v>
      </c>
      <c r="Y7971">
        <f>1-641-412-8855</f>
        <v>-9907</v>
      </c>
    </row>
    <row r="7972" spans="1:25" x14ac:dyDescent="0.35">
      <c r="A7972">
        <v>38.940751632455402</v>
      </c>
      <c r="B7972">
        <v>-118.83531007350599</v>
      </c>
      <c r="C7972" t="s">
        <v>34</v>
      </c>
      <c r="D7972">
        <v>19.7431493787936</v>
      </c>
      <c r="E7972">
        <v>3</v>
      </c>
      <c r="F7972">
        <v>1468</v>
      </c>
      <c r="G7972">
        <v>5</v>
      </c>
      <c r="H7972">
        <v>2</v>
      </c>
      <c r="I7972">
        <v>1996</v>
      </c>
      <c r="J7972">
        <v>0</v>
      </c>
      <c r="K7972">
        <v>1</v>
      </c>
      <c r="L7972">
        <v>1</v>
      </c>
      <c r="M7972">
        <v>12</v>
      </c>
      <c r="N7972" t="s">
        <v>35</v>
      </c>
      <c r="O7972" t="s">
        <v>30</v>
      </c>
      <c r="P7972">
        <v>8.9141062085104696</v>
      </c>
      <c r="Q7972">
        <v>2.1319871574344602</v>
      </c>
      <c r="R7972">
        <v>6.0767287357423099</v>
      </c>
      <c r="S7972">
        <v>123</v>
      </c>
      <c r="T7972">
        <v>58</v>
      </c>
      <c r="U7972">
        <v>768.45854882591698</v>
      </c>
      <c r="V7972">
        <v>8.1743869209809205E-3</v>
      </c>
      <c r="W7972">
        <v>1570206.51756333</v>
      </c>
      <c r="X7972" t="s">
        <v>40</v>
      </c>
      <c r="Y7972">
        <f>1-439-414-6681</f>
        <v>-7533</v>
      </c>
    </row>
    <row r="7973" spans="1:25" x14ac:dyDescent="0.35">
      <c r="A7973">
        <v>39.537936985117902</v>
      </c>
      <c r="B7973">
        <v>-114.033837698094</v>
      </c>
      <c r="C7973" t="s">
        <v>34</v>
      </c>
      <c r="D7973">
        <v>4.1857627135806599</v>
      </c>
      <c r="E7973">
        <v>6</v>
      </c>
      <c r="F7973">
        <v>3567</v>
      </c>
      <c r="G7973">
        <v>4</v>
      </c>
      <c r="H7973">
        <v>1</v>
      </c>
      <c r="I7973">
        <v>2012</v>
      </c>
      <c r="J7973">
        <v>1</v>
      </c>
      <c r="K7973">
        <v>1</v>
      </c>
      <c r="L7973">
        <v>1</v>
      </c>
      <c r="M7973">
        <v>10</v>
      </c>
      <c r="N7973" t="s">
        <v>41</v>
      </c>
      <c r="O7973" t="s">
        <v>27</v>
      </c>
      <c r="P7973">
        <v>2.6425927857795601</v>
      </c>
      <c r="Q7973">
        <v>0.815974996401446</v>
      </c>
      <c r="R7973">
        <v>1.5709800239077401</v>
      </c>
      <c r="S7973">
        <v>65</v>
      </c>
      <c r="T7973">
        <v>75</v>
      </c>
      <c r="U7973">
        <v>785.76815914705003</v>
      </c>
      <c r="V7973">
        <v>2.8034763106251702E-3</v>
      </c>
      <c r="W7973">
        <v>3097633.11744896</v>
      </c>
      <c r="X7973" t="s">
        <v>39</v>
      </c>
      <c r="Y7973">
        <f>1-943-683-8161</f>
        <v>-9786</v>
      </c>
    </row>
    <row r="7974" spans="1:25" x14ac:dyDescent="0.35">
      <c r="A7974">
        <v>37.292841753205103</v>
      </c>
      <c r="B7974">
        <v>-122.728687265022</v>
      </c>
      <c r="C7974" t="s">
        <v>34</v>
      </c>
      <c r="D7974">
        <v>30.058123609747501</v>
      </c>
      <c r="E7974">
        <v>2</v>
      </c>
      <c r="F7974">
        <v>4795</v>
      </c>
      <c r="G7974">
        <v>4</v>
      </c>
      <c r="H7974">
        <v>2</v>
      </c>
      <c r="I7974">
        <v>1954</v>
      </c>
      <c r="J7974">
        <v>1</v>
      </c>
      <c r="K7974">
        <v>1</v>
      </c>
      <c r="L7974">
        <v>1</v>
      </c>
      <c r="M7974">
        <v>10</v>
      </c>
      <c r="N7974" t="s">
        <v>41</v>
      </c>
      <c r="O7974" t="s">
        <v>32</v>
      </c>
      <c r="P7974">
        <v>10.388539975250501</v>
      </c>
      <c r="Q7974">
        <v>2.0588989071342199</v>
      </c>
      <c r="R7974">
        <v>7.5338978352213699</v>
      </c>
      <c r="S7974">
        <v>148</v>
      </c>
      <c r="T7974">
        <v>79</v>
      </c>
      <c r="U7974">
        <v>373.45716882681302</v>
      </c>
      <c r="V7974">
        <v>2.08550573514077E-3</v>
      </c>
      <c r="W7974">
        <v>2166276.2576903501</v>
      </c>
      <c r="X7974" t="s">
        <v>31</v>
      </c>
      <c r="Y7974">
        <f>1-995-882-4994</f>
        <v>-6870</v>
      </c>
    </row>
    <row r="7975" spans="1:25" x14ac:dyDescent="0.35">
      <c r="A7975">
        <v>33.413526349365</v>
      </c>
      <c r="B7975">
        <v>-119.998620046662</v>
      </c>
      <c r="C7975" t="s">
        <v>34</v>
      </c>
      <c r="D7975">
        <v>47.254254923395997</v>
      </c>
      <c r="E7975">
        <v>6</v>
      </c>
      <c r="F7975">
        <v>2454</v>
      </c>
      <c r="G7975">
        <v>4</v>
      </c>
      <c r="H7975">
        <v>1</v>
      </c>
      <c r="I7975">
        <v>1996</v>
      </c>
      <c r="J7975">
        <v>1</v>
      </c>
      <c r="K7975">
        <v>1</v>
      </c>
      <c r="L7975">
        <v>1</v>
      </c>
      <c r="M7975">
        <v>13</v>
      </c>
      <c r="N7975" t="s">
        <v>35</v>
      </c>
      <c r="O7975" t="s">
        <v>27</v>
      </c>
      <c r="P7975">
        <v>13.292182017050999</v>
      </c>
      <c r="Q7975">
        <v>1.06315367944314</v>
      </c>
      <c r="R7975">
        <v>3.3215583120021699</v>
      </c>
      <c r="S7975">
        <v>24</v>
      </c>
      <c r="T7975">
        <v>43</v>
      </c>
      <c r="U7975">
        <v>259.79280284599702</v>
      </c>
      <c r="V7975">
        <v>5.29747351263243E-3</v>
      </c>
      <c r="W7975">
        <v>1076251.7361262301</v>
      </c>
      <c r="X7975" t="s">
        <v>39</v>
      </c>
      <c r="Y7975">
        <f>1-404-437-5108</f>
        <v>-5948</v>
      </c>
    </row>
    <row r="7976" spans="1:25" x14ac:dyDescent="0.35">
      <c r="A7976">
        <v>35.243891071119698</v>
      </c>
      <c r="B7976">
        <v>-115.460860550213</v>
      </c>
      <c r="C7976" t="s">
        <v>25</v>
      </c>
      <c r="D7976">
        <v>1.5437429357127099</v>
      </c>
      <c r="E7976">
        <v>2</v>
      </c>
      <c r="F7976">
        <v>1608</v>
      </c>
      <c r="G7976">
        <v>5</v>
      </c>
      <c r="H7976">
        <v>2</v>
      </c>
      <c r="I7976">
        <v>2010</v>
      </c>
      <c r="J7976">
        <v>0</v>
      </c>
      <c r="K7976">
        <v>1</v>
      </c>
      <c r="L7976">
        <v>0</v>
      </c>
      <c r="M7976">
        <v>5</v>
      </c>
      <c r="N7976" t="s">
        <v>37</v>
      </c>
      <c r="O7976" t="s">
        <v>30</v>
      </c>
      <c r="P7976">
        <v>6.6507906324085102</v>
      </c>
      <c r="Q7976">
        <v>0.96891854060188098</v>
      </c>
      <c r="R7976">
        <v>7.7092863584529097</v>
      </c>
      <c r="S7976">
        <v>176</v>
      </c>
      <c r="T7976">
        <v>67</v>
      </c>
      <c r="U7976">
        <v>270.90907688022202</v>
      </c>
      <c r="V7976">
        <v>3.1094527363183999E-3</v>
      </c>
      <c r="W7976">
        <v>747942.71407726</v>
      </c>
      <c r="X7976" t="s">
        <v>42</v>
      </c>
      <c r="Y7976">
        <f>1-425-106-5615</f>
        <v>-6145</v>
      </c>
    </row>
    <row r="7977" spans="1:25" x14ac:dyDescent="0.35">
      <c r="A7977">
        <v>34.360651108857901</v>
      </c>
      <c r="B7977">
        <v>-114.490182765368</v>
      </c>
      <c r="C7977" t="s">
        <v>25</v>
      </c>
      <c r="D7977">
        <v>36.006673732399399</v>
      </c>
      <c r="E7977">
        <v>5</v>
      </c>
      <c r="F7977">
        <v>567</v>
      </c>
      <c r="G7977">
        <v>2</v>
      </c>
      <c r="H7977">
        <v>2</v>
      </c>
      <c r="I7977">
        <v>1995</v>
      </c>
      <c r="J7977">
        <v>0</v>
      </c>
      <c r="K7977">
        <v>1</v>
      </c>
      <c r="L7977">
        <v>1</v>
      </c>
      <c r="M7977">
        <v>14</v>
      </c>
      <c r="N7977" t="s">
        <v>37</v>
      </c>
      <c r="O7977" t="s">
        <v>30</v>
      </c>
      <c r="P7977">
        <v>11.303667237164699</v>
      </c>
      <c r="Q7977">
        <v>0.74441183462341798</v>
      </c>
      <c r="R7977">
        <v>3.1625696488385899</v>
      </c>
      <c r="S7977">
        <v>53</v>
      </c>
      <c r="T7977">
        <v>49</v>
      </c>
      <c r="U7977">
        <v>684.16739010939</v>
      </c>
      <c r="V7977">
        <v>2.4691358024691301E-2</v>
      </c>
      <c r="W7977">
        <v>732745.34580239595</v>
      </c>
      <c r="X7977" t="s">
        <v>43</v>
      </c>
      <c r="Y7977">
        <f>1-247-294-6636</f>
        <v>-7176</v>
      </c>
    </row>
    <row r="7978" spans="1:25" x14ac:dyDescent="0.35">
      <c r="A7978">
        <v>36.741765074732101</v>
      </c>
      <c r="B7978">
        <v>-120.977443408624</v>
      </c>
      <c r="C7978" t="s">
        <v>29</v>
      </c>
      <c r="D7978">
        <v>36.596129194458001</v>
      </c>
      <c r="E7978">
        <v>6</v>
      </c>
      <c r="F7978">
        <v>3730</v>
      </c>
      <c r="G7978">
        <v>5</v>
      </c>
      <c r="H7978">
        <v>3</v>
      </c>
      <c r="I7978">
        <v>1999</v>
      </c>
      <c r="J7978">
        <v>0</v>
      </c>
      <c r="K7978">
        <v>0</v>
      </c>
      <c r="L7978">
        <v>1</v>
      </c>
      <c r="M7978">
        <v>12</v>
      </c>
      <c r="N7978" t="s">
        <v>37</v>
      </c>
      <c r="O7978" t="s">
        <v>32</v>
      </c>
      <c r="P7978">
        <v>2.4690359817516501</v>
      </c>
      <c r="Q7978">
        <v>1.3006242904369201</v>
      </c>
      <c r="R7978">
        <v>7.6894249598496502</v>
      </c>
      <c r="S7978">
        <v>156</v>
      </c>
      <c r="T7978">
        <v>38</v>
      </c>
      <c r="U7978">
        <v>932.38455848486296</v>
      </c>
      <c r="V7978">
        <v>3.2171581769436901E-3</v>
      </c>
      <c r="W7978">
        <v>3779676.8890755102</v>
      </c>
      <c r="X7978" t="s">
        <v>38</v>
      </c>
      <c r="Y7978">
        <f>1-859-256-5285</f>
        <v>-6399</v>
      </c>
    </row>
    <row r="7979" spans="1:25" x14ac:dyDescent="0.35">
      <c r="A7979">
        <v>40.510223210543302</v>
      </c>
      <c r="B7979">
        <v>-120.393662993435</v>
      </c>
      <c r="C7979" t="s">
        <v>25</v>
      </c>
      <c r="D7979">
        <v>27.476303466527501</v>
      </c>
      <c r="E7979">
        <v>2</v>
      </c>
      <c r="F7979">
        <v>4749</v>
      </c>
      <c r="G7979">
        <v>2</v>
      </c>
      <c r="H7979">
        <v>3</v>
      </c>
      <c r="I7979">
        <v>2002</v>
      </c>
      <c r="J7979">
        <v>1</v>
      </c>
      <c r="K7979">
        <v>1</v>
      </c>
      <c r="L7979">
        <v>0</v>
      </c>
      <c r="M7979">
        <v>5</v>
      </c>
      <c r="N7979" t="s">
        <v>26</v>
      </c>
      <c r="O7979" t="s">
        <v>32</v>
      </c>
      <c r="P7979">
        <v>5.3350736696093897</v>
      </c>
      <c r="Q7979">
        <v>2.11772847836769</v>
      </c>
      <c r="R7979">
        <v>2.0825613698260499</v>
      </c>
      <c r="S7979">
        <v>38</v>
      </c>
      <c r="T7979">
        <v>55</v>
      </c>
      <c r="U7979">
        <v>904.15219231548394</v>
      </c>
      <c r="V7979">
        <v>1.0528532322594199E-3</v>
      </c>
      <c r="W7979">
        <v>4531732.6438037604</v>
      </c>
      <c r="X7979" t="s">
        <v>44</v>
      </c>
      <c r="Y7979">
        <f>1-301-298-2716</f>
        <v>-3314</v>
      </c>
    </row>
    <row r="7980" spans="1:25" x14ac:dyDescent="0.35">
      <c r="A7980">
        <v>35.985491645111203</v>
      </c>
      <c r="B7980">
        <v>-114.46005174852201</v>
      </c>
      <c r="C7980" t="s">
        <v>34</v>
      </c>
      <c r="D7980">
        <v>27.364857043171899</v>
      </c>
      <c r="E7980">
        <v>7</v>
      </c>
      <c r="F7980">
        <v>3985</v>
      </c>
      <c r="G7980">
        <v>4</v>
      </c>
      <c r="H7980">
        <v>3</v>
      </c>
      <c r="I7980">
        <v>1978</v>
      </c>
      <c r="J7980">
        <v>0</v>
      </c>
      <c r="K7980">
        <v>0</v>
      </c>
      <c r="L7980">
        <v>1</v>
      </c>
      <c r="M7980">
        <v>7</v>
      </c>
      <c r="N7980" t="s">
        <v>26</v>
      </c>
      <c r="O7980" t="s">
        <v>27</v>
      </c>
      <c r="P7980">
        <v>5.0032492785329996</v>
      </c>
      <c r="Q7980">
        <v>0.72829966002355395</v>
      </c>
      <c r="R7980">
        <v>5.5938768929034799</v>
      </c>
      <c r="S7980">
        <v>129</v>
      </c>
      <c r="T7980">
        <v>77</v>
      </c>
      <c r="U7980">
        <v>566.51206285292199</v>
      </c>
      <c r="V7980">
        <v>1.7565872020075201E-3</v>
      </c>
      <c r="W7980">
        <v>2495503.4151302902</v>
      </c>
      <c r="X7980" t="s">
        <v>42</v>
      </c>
      <c r="Y7980">
        <f>1-819-968-5573</f>
        <v>-7359</v>
      </c>
    </row>
    <row r="7981" spans="1:25" x14ac:dyDescent="0.35">
      <c r="A7981">
        <v>39.3866651875122</v>
      </c>
      <c r="B7981">
        <v>-116.61930675723499</v>
      </c>
      <c r="C7981" t="s">
        <v>25</v>
      </c>
      <c r="D7981">
        <v>25.870557944125402</v>
      </c>
      <c r="E7981">
        <v>9</v>
      </c>
      <c r="F7981">
        <v>4012</v>
      </c>
      <c r="G7981">
        <v>3</v>
      </c>
      <c r="H7981">
        <v>1</v>
      </c>
      <c r="I7981">
        <v>1960</v>
      </c>
      <c r="J7981">
        <v>0</v>
      </c>
      <c r="K7981">
        <v>1</v>
      </c>
      <c r="L7981">
        <v>1</v>
      </c>
      <c r="M7981">
        <v>14</v>
      </c>
      <c r="N7981" t="s">
        <v>35</v>
      </c>
      <c r="O7981" t="s">
        <v>27</v>
      </c>
      <c r="P7981">
        <v>14.3151695856278</v>
      </c>
      <c r="Q7981">
        <v>2.0255809442725998</v>
      </c>
      <c r="R7981">
        <v>3.5306149426422202</v>
      </c>
      <c r="S7981">
        <v>186</v>
      </c>
      <c r="T7981">
        <v>21</v>
      </c>
      <c r="U7981">
        <v>914.49228166135504</v>
      </c>
      <c r="V7981">
        <v>3.4895314057826498E-3</v>
      </c>
      <c r="W7981">
        <v>3895007.0485096299</v>
      </c>
      <c r="X7981" t="s">
        <v>31</v>
      </c>
      <c r="Y7981">
        <f>1-223-480-4705</f>
        <v>-5407</v>
      </c>
    </row>
    <row r="7982" spans="1:25" x14ac:dyDescent="0.35">
      <c r="A7982">
        <v>38.037572652551198</v>
      </c>
      <c r="B7982">
        <v>-120.228834625098</v>
      </c>
      <c r="C7982" t="s">
        <v>29</v>
      </c>
      <c r="D7982">
        <v>43.474882310599199</v>
      </c>
      <c r="E7982">
        <v>3</v>
      </c>
      <c r="F7982">
        <v>1624</v>
      </c>
      <c r="G7982">
        <v>5</v>
      </c>
      <c r="H7982">
        <v>3</v>
      </c>
      <c r="I7982">
        <v>2021</v>
      </c>
      <c r="J7982">
        <v>0</v>
      </c>
      <c r="K7982">
        <v>0</v>
      </c>
      <c r="L7982">
        <v>0</v>
      </c>
      <c r="M7982">
        <v>11</v>
      </c>
      <c r="N7982" t="s">
        <v>37</v>
      </c>
      <c r="O7982" t="s">
        <v>32</v>
      </c>
      <c r="P7982">
        <v>5.4611519030764999</v>
      </c>
      <c r="Q7982">
        <v>0.90734441592640602</v>
      </c>
      <c r="R7982">
        <v>9.9046959511441308</v>
      </c>
      <c r="S7982">
        <v>131</v>
      </c>
      <c r="T7982">
        <v>50</v>
      </c>
      <c r="U7982">
        <v>313.634889037969</v>
      </c>
      <c r="V7982">
        <v>6.7733990147783203E-3</v>
      </c>
      <c r="W7982">
        <v>890516.38387542195</v>
      </c>
      <c r="X7982" t="s">
        <v>44</v>
      </c>
      <c r="Y7982">
        <f>1-288-290-8550</f>
        <v>-9127</v>
      </c>
    </row>
    <row r="7983" spans="1:25" x14ac:dyDescent="0.35">
      <c r="A7983">
        <v>41.569158202806598</v>
      </c>
      <c r="B7983">
        <v>-117.48425279673</v>
      </c>
      <c r="C7983" t="s">
        <v>25</v>
      </c>
      <c r="D7983">
        <v>38.132528681805901</v>
      </c>
      <c r="E7983">
        <v>8</v>
      </c>
      <c r="F7983">
        <v>4276</v>
      </c>
      <c r="G7983">
        <v>4</v>
      </c>
      <c r="H7983">
        <v>2</v>
      </c>
      <c r="I7983">
        <v>1996</v>
      </c>
      <c r="J7983">
        <v>1</v>
      </c>
      <c r="K7983">
        <v>0</v>
      </c>
      <c r="L7983">
        <v>1</v>
      </c>
      <c r="M7983">
        <v>10</v>
      </c>
      <c r="N7983" t="s">
        <v>37</v>
      </c>
      <c r="O7983" t="s">
        <v>27</v>
      </c>
      <c r="P7983">
        <v>10.178864026782501</v>
      </c>
      <c r="Q7983">
        <v>1.0875137170837701</v>
      </c>
      <c r="R7983">
        <v>5.1703060952369198</v>
      </c>
      <c r="S7983">
        <v>139</v>
      </c>
      <c r="T7983">
        <v>40</v>
      </c>
      <c r="U7983">
        <v>544.27757373983104</v>
      </c>
      <c r="V7983">
        <v>2.3386342376052298E-3</v>
      </c>
      <c r="W7983">
        <v>2602903.2526595099</v>
      </c>
      <c r="X7983" t="s">
        <v>36</v>
      </c>
      <c r="Y7983">
        <f>1-439-829-8310</f>
        <v>-9577</v>
      </c>
    </row>
    <row r="7984" spans="1:25" x14ac:dyDescent="0.35">
      <c r="A7984">
        <v>38.201174378648503</v>
      </c>
      <c r="B7984">
        <v>-122.959210879946</v>
      </c>
      <c r="C7984" t="s">
        <v>29</v>
      </c>
      <c r="D7984">
        <v>21.286339645191401</v>
      </c>
      <c r="E7984">
        <v>6</v>
      </c>
      <c r="F7984">
        <v>3359</v>
      </c>
      <c r="G7984">
        <v>4</v>
      </c>
      <c r="H7984">
        <v>1</v>
      </c>
      <c r="I7984">
        <v>2002</v>
      </c>
      <c r="J7984">
        <v>0</v>
      </c>
      <c r="K7984">
        <v>1</v>
      </c>
      <c r="L7984">
        <v>0</v>
      </c>
      <c r="M7984">
        <v>7</v>
      </c>
      <c r="N7984" t="s">
        <v>41</v>
      </c>
      <c r="O7984" t="s">
        <v>32</v>
      </c>
      <c r="P7984">
        <v>10.056800751987501</v>
      </c>
      <c r="Q7984">
        <v>1.9734915677407701</v>
      </c>
      <c r="R7984">
        <v>6.2780710685066596</v>
      </c>
      <c r="S7984">
        <v>53</v>
      </c>
      <c r="T7984">
        <v>78</v>
      </c>
      <c r="U7984">
        <v>947.13534800622801</v>
      </c>
      <c r="V7984">
        <v>2.0839535576064301E-3</v>
      </c>
      <c r="W7984">
        <v>3582937.9996318398</v>
      </c>
      <c r="X7984" t="s">
        <v>43</v>
      </c>
      <c r="Y7984">
        <f>1-610-335-4969</f>
        <v>-5913</v>
      </c>
    </row>
    <row r="7985" spans="1:25" x14ac:dyDescent="0.35">
      <c r="A7985">
        <v>37.539293251042601</v>
      </c>
      <c r="B7985">
        <v>-116.036739522609</v>
      </c>
      <c r="C7985" t="s">
        <v>34</v>
      </c>
      <c r="D7985">
        <v>20.806404878996499</v>
      </c>
      <c r="E7985">
        <v>3</v>
      </c>
      <c r="F7985">
        <v>3374</v>
      </c>
      <c r="G7985">
        <v>5</v>
      </c>
      <c r="H7985">
        <v>2</v>
      </c>
      <c r="I7985">
        <v>2017</v>
      </c>
      <c r="J7985">
        <v>0</v>
      </c>
      <c r="K7985">
        <v>1</v>
      </c>
      <c r="L7985">
        <v>0</v>
      </c>
      <c r="M7985">
        <v>6</v>
      </c>
      <c r="N7985" t="s">
        <v>26</v>
      </c>
      <c r="O7985" t="s">
        <v>30</v>
      </c>
      <c r="P7985">
        <v>9.8568686300377895</v>
      </c>
      <c r="Q7985">
        <v>0.66843415594370503</v>
      </c>
      <c r="R7985">
        <v>5.4369816711160102</v>
      </c>
      <c r="S7985">
        <v>136</v>
      </c>
      <c r="T7985">
        <v>40</v>
      </c>
      <c r="U7985">
        <v>598.99309348124098</v>
      </c>
      <c r="V7985">
        <v>1.77830468286899E-3</v>
      </c>
      <c r="W7985">
        <v>2488316.4610915501</v>
      </c>
      <c r="X7985" t="s">
        <v>42</v>
      </c>
      <c r="Y7985">
        <f>1-526-775-7933</f>
        <v>-9233</v>
      </c>
    </row>
    <row r="7986" spans="1:25" x14ac:dyDescent="0.35">
      <c r="A7986">
        <v>37.554707194947703</v>
      </c>
      <c r="B7986">
        <v>-121.99446535842</v>
      </c>
      <c r="C7986" t="s">
        <v>34</v>
      </c>
      <c r="D7986">
        <v>17.265218915169399</v>
      </c>
      <c r="E7986">
        <v>3</v>
      </c>
      <c r="F7986">
        <v>2181</v>
      </c>
      <c r="G7986">
        <v>5</v>
      </c>
      <c r="H7986">
        <v>1</v>
      </c>
      <c r="I7986">
        <v>1950</v>
      </c>
      <c r="J7986">
        <v>1</v>
      </c>
      <c r="K7986">
        <v>0</v>
      </c>
      <c r="L7986">
        <v>1</v>
      </c>
      <c r="M7986">
        <v>7</v>
      </c>
      <c r="N7986" t="s">
        <v>26</v>
      </c>
      <c r="O7986" t="s">
        <v>30</v>
      </c>
      <c r="P7986">
        <v>4.8025533457138501</v>
      </c>
      <c r="Q7986">
        <v>1.24802094648341</v>
      </c>
      <c r="R7986">
        <v>8.2039010023038106</v>
      </c>
      <c r="S7986">
        <v>175</v>
      </c>
      <c r="T7986">
        <v>55</v>
      </c>
      <c r="U7986">
        <v>769.12680478284699</v>
      </c>
      <c r="V7986">
        <v>3.2095369096744601E-3</v>
      </c>
      <c r="W7986">
        <v>1894822.6512926901</v>
      </c>
      <c r="X7986" t="s">
        <v>28</v>
      </c>
      <c r="Y7986">
        <f>1-559-581-6704</f>
        <v>-7843</v>
      </c>
    </row>
    <row r="7987" spans="1:25" x14ac:dyDescent="0.35">
      <c r="A7987">
        <v>40.274295259297503</v>
      </c>
      <c r="B7987">
        <v>-116.138587967494</v>
      </c>
      <c r="C7987" t="s">
        <v>34</v>
      </c>
      <c r="D7987">
        <v>44.011893502230002</v>
      </c>
      <c r="E7987">
        <v>2</v>
      </c>
      <c r="F7987">
        <v>3072</v>
      </c>
      <c r="G7987">
        <v>3</v>
      </c>
      <c r="H7987">
        <v>1</v>
      </c>
      <c r="I7987">
        <v>1960</v>
      </c>
      <c r="J7987">
        <v>0</v>
      </c>
      <c r="K7987">
        <v>1</v>
      </c>
      <c r="L7987">
        <v>0</v>
      </c>
      <c r="M7987">
        <v>7</v>
      </c>
      <c r="N7987" t="s">
        <v>41</v>
      </c>
      <c r="O7987" t="s">
        <v>27</v>
      </c>
      <c r="P7987">
        <v>6.5778390018478303</v>
      </c>
      <c r="Q7987">
        <v>1.36525905836721</v>
      </c>
      <c r="R7987">
        <v>1.6045476717003599</v>
      </c>
      <c r="S7987">
        <v>93</v>
      </c>
      <c r="T7987">
        <v>67</v>
      </c>
      <c r="U7987">
        <v>613.64518211586699</v>
      </c>
      <c r="V7987">
        <v>2.27864583333333E-3</v>
      </c>
      <c r="W7987">
        <v>2075692.5813309101</v>
      </c>
      <c r="X7987" t="s">
        <v>28</v>
      </c>
      <c r="Y7987">
        <f>1-277-977-5360</f>
        <v>-6613</v>
      </c>
    </row>
    <row r="7988" spans="1:25" x14ac:dyDescent="0.35">
      <c r="A7988">
        <v>32.769714629577201</v>
      </c>
      <c r="B7988">
        <v>-119.21452184269801</v>
      </c>
      <c r="C7988" t="s">
        <v>25</v>
      </c>
      <c r="D7988">
        <v>8.4550766386874407</v>
      </c>
      <c r="E7988">
        <v>1</v>
      </c>
      <c r="F7988">
        <v>2873</v>
      </c>
      <c r="G7988">
        <v>2</v>
      </c>
      <c r="H7988">
        <v>2</v>
      </c>
      <c r="I7988">
        <v>1961</v>
      </c>
      <c r="J7988">
        <v>1</v>
      </c>
      <c r="K7988">
        <v>0</v>
      </c>
      <c r="L7988">
        <v>0</v>
      </c>
      <c r="M7988">
        <v>14</v>
      </c>
      <c r="N7988" t="s">
        <v>35</v>
      </c>
      <c r="O7988" t="s">
        <v>30</v>
      </c>
      <c r="P7988">
        <v>8.64552590895115</v>
      </c>
      <c r="Q7988">
        <v>2.3836831201695601</v>
      </c>
      <c r="R7988">
        <v>1.48115852990146</v>
      </c>
      <c r="S7988">
        <v>85</v>
      </c>
      <c r="T7988">
        <v>20</v>
      </c>
      <c r="U7988">
        <v>424.46130390116701</v>
      </c>
      <c r="V7988">
        <v>4.8729550991994403E-3</v>
      </c>
      <c r="W7988">
        <v>1342547.8928161501</v>
      </c>
      <c r="X7988" t="s">
        <v>39</v>
      </c>
      <c r="Y7988">
        <f>1-792-152-7361</f>
        <v>-8304</v>
      </c>
    </row>
    <row r="7989" spans="1:25" x14ac:dyDescent="0.35">
      <c r="A7989">
        <v>36.144599361169099</v>
      </c>
      <c r="B7989">
        <v>-114.5444931657</v>
      </c>
      <c r="C7989" t="s">
        <v>29</v>
      </c>
      <c r="D7989">
        <v>43.101230758049503</v>
      </c>
      <c r="E7989">
        <v>2</v>
      </c>
      <c r="F7989">
        <v>4660</v>
      </c>
      <c r="G7989">
        <v>5</v>
      </c>
      <c r="H7989">
        <v>2</v>
      </c>
      <c r="I7989">
        <v>1970</v>
      </c>
      <c r="J7989">
        <v>1</v>
      </c>
      <c r="K7989">
        <v>1</v>
      </c>
      <c r="L7989">
        <v>0</v>
      </c>
      <c r="M7989">
        <v>2</v>
      </c>
      <c r="N7989" t="s">
        <v>41</v>
      </c>
      <c r="O7989" t="s">
        <v>32</v>
      </c>
      <c r="P7989">
        <v>11.750124619541801</v>
      </c>
      <c r="Q7989">
        <v>2.4323490366861802</v>
      </c>
      <c r="R7989">
        <v>4.5598718727144298</v>
      </c>
      <c r="S7989">
        <v>194</v>
      </c>
      <c r="T7989">
        <v>66</v>
      </c>
      <c r="U7989">
        <v>737.73001361491799</v>
      </c>
      <c r="V7989">
        <v>4.2918454935622299E-4</v>
      </c>
      <c r="W7989">
        <v>3896417.0103874202</v>
      </c>
      <c r="X7989" t="s">
        <v>33</v>
      </c>
      <c r="Y7989">
        <f>1-766-418-2693</f>
        <v>-3876</v>
      </c>
    </row>
    <row r="7990" spans="1:25" x14ac:dyDescent="0.35">
      <c r="A7990">
        <v>41.148945120932197</v>
      </c>
      <c r="B7990">
        <v>-119.427251372615</v>
      </c>
      <c r="C7990" t="s">
        <v>34</v>
      </c>
      <c r="D7990">
        <v>31.710412122322499</v>
      </c>
      <c r="E7990">
        <v>7</v>
      </c>
      <c r="F7990">
        <v>2320</v>
      </c>
      <c r="G7990">
        <v>3</v>
      </c>
      <c r="H7990">
        <v>2</v>
      </c>
      <c r="I7990">
        <v>2017</v>
      </c>
      <c r="J7990">
        <v>0</v>
      </c>
      <c r="K7990">
        <v>0</v>
      </c>
      <c r="L7990">
        <v>1</v>
      </c>
      <c r="M7990">
        <v>5</v>
      </c>
      <c r="N7990" t="s">
        <v>37</v>
      </c>
      <c r="O7990" t="s">
        <v>27</v>
      </c>
      <c r="P7990">
        <v>9.8434446012862207</v>
      </c>
      <c r="Q7990">
        <v>2.0044887185932798</v>
      </c>
      <c r="R7990">
        <v>7.1850498704145203</v>
      </c>
      <c r="S7990">
        <v>163</v>
      </c>
      <c r="T7990">
        <v>41</v>
      </c>
      <c r="U7990">
        <v>561.22773135052205</v>
      </c>
      <c r="V7990">
        <v>2.1551724137930999E-3</v>
      </c>
      <c r="W7990">
        <v>1565662.88731482</v>
      </c>
      <c r="X7990" t="s">
        <v>42</v>
      </c>
      <c r="Y7990">
        <f>1-624-761-8625</f>
        <v>-10009</v>
      </c>
    </row>
    <row r="7991" spans="1:25" x14ac:dyDescent="0.35">
      <c r="A7991">
        <v>39.142979790977797</v>
      </c>
      <c r="B7991">
        <v>-117.612323102012</v>
      </c>
      <c r="C7991" t="s">
        <v>34</v>
      </c>
      <c r="D7991">
        <v>18.644245935932702</v>
      </c>
      <c r="E7991">
        <v>4</v>
      </c>
      <c r="F7991">
        <v>1529</v>
      </c>
      <c r="G7991">
        <v>5</v>
      </c>
      <c r="H7991">
        <v>2</v>
      </c>
      <c r="I7991">
        <v>2002</v>
      </c>
      <c r="J7991">
        <v>0</v>
      </c>
      <c r="K7991">
        <v>1</v>
      </c>
      <c r="L7991">
        <v>0</v>
      </c>
      <c r="M7991">
        <v>10</v>
      </c>
      <c r="N7991" t="s">
        <v>37</v>
      </c>
      <c r="O7991" t="s">
        <v>32</v>
      </c>
      <c r="P7991">
        <v>13.693279436985</v>
      </c>
      <c r="Q7991">
        <v>2.0620742944128798</v>
      </c>
      <c r="R7991">
        <v>2.0769544709764101</v>
      </c>
      <c r="S7991">
        <v>149</v>
      </c>
      <c r="T7991">
        <v>77</v>
      </c>
      <c r="U7991">
        <v>742.70254742181999</v>
      </c>
      <c r="V7991">
        <v>6.5402223675604899E-3</v>
      </c>
      <c r="W7991">
        <v>1660920.4744389199</v>
      </c>
      <c r="X7991" t="s">
        <v>39</v>
      </c>
      <c r="Y7991">
        <f>1-697-241-2514</f>
        <v>-3451</v>
      </c>
    </row>
    <row r="7992" spans="1:25" x14ac:dyDescent="0.35">
      <c r="A7992">
        <v>34.838811464045897</v>
      </c>
      <c r="B7992">
        <v>-122.926310154411</v>
      </c>
      <c r="C7992" t="s">
        <v>34</v>
      </c>
      <c r="D7992">
        <v>19.691532396064702</v>
      </c>
      <c r="E7992">
        <v>1</v>
      </c>
      <c r="F7992">
        <v>4501</v>
      </c>
      <c r="G7992">
        <v>4</v>
      </c>
      <c r="H7992">
        <v>1</v>
      </c>
      <c r="I7992">
        <v>1993</v>
      </c>
      <c r="J7992">
        <v>0</v>
      </c>
      <c r="K7992">
        <v>0</v>
      </c>
      <c r="L7992">
        <v>1</v>
      </c>
      <c r="M7992">
        <v>8</v>
      </c>
      <c r="N7992" t="s">
        <v>41</v>
      </c>
      <c r="O7992" t="s">
        <v>27</v>
      </c>
      <c r="P7992">
        <v>12.800246543764301</v>
      </c>
      <c r="Q7992">
        <v>2.4506682312182901</v>
      </c>
      <c r="R7992">
        <v>4.1026799180678601</v>
      </c>
      <c r="S7992">
        <v>189</v>
      </c>
      <c r="T7992">
        <v>33</v>
      </c>
      <c r="U7992">
        <v>606.29767663996199</v>
      </c>
      <c r="V7992">
        <v>1.77738280382137E-3</v>
      </c>
      <c r="W7992">
        <v>3005819.5923413802</v>
      </c>
      <c r="X7992" t="s">
        <v>38</v>
      </c>
      <c r="Y7992">
        <f>1-583-630-9800</f>
        <v>-11012</v>
      </c>
    </row>
    <row r="7993" spans="1:25" x14ac:dyDescent="0.35">
      <c r="A7993">
        <v>37.239397369665397</v>
      </c>
      <c r="B7993">
        <v>-123.813783941548</v>
      </c>
      <c r="C7993" t="s">
        <v>29</v>
      </c>
      <c r="D7993">
        <v>9.8781266381823905</v>
      </c>
      <c r="E7993">
        <v>5</v>
      </c>
      <c r="F7993">
        <v>869</v>
      </c>
      <c r="G7993">
        <v>3</v>
      </c>
      <c r="H7993">
        <v>1</v>
      </c>
      <c r="I7993">
        <v>1957</v>
      </c>
      <c r="J7993">
        <v>1</v>
      </c>
      <c r="K7993">
        <v>0</v>
      </c>
      <c r="L7993">
        <v>0</v>
      </c>
      <c r="M7993">
        <v>10</v>
      </c>
      <c r="N7993" t="s">
        <v>41</v>
      </c>
      <c r="O7993" t="s">
        <v>30</v>
      </c>
      <c r="P7993">
        <v>6.9633881046086596</v>
      </c>
      <c r="Q7993">
        <v>0.92576795414639501</v>
      </c>
      <c r="R7993">
        <v>1.0693851784388899</v>
      </c>
      <c r="S7993">
        <v>18</v>
      </c>
      <c r="T7993">
        <v>40</v>
      </c>
      <c r="U7993">
        <v>525.45901447871097</v>
      </c>
      <c r="V7993">
        <v>1.15074798619102E-2</v>
      </c>
      <c r="W7993">
        <v>636653.07862194197</v>
      </c>
      <c r="X7993" t="s">
        <v>36</v>
      </c>
      <c r="Y7993">
        <f>1-589-968-9498</f>
        <v>-11054</v>
      </c>
    </row>
    <row r="7994" spans="1:25" x14ac:dyDescent="0.35">
      <c r="A7994">
        <v>41.825667756211999</v>
      </c>
      <c r="B7994">
        <v>-124.226317802118</v>
      </c>
      <c r="C7994" t="s">
        <v>25</v>
      </c>
      <c r="D7994">
        <v>13.427446716783299</v>
      </c>
      <c r="E7994">
        <v>6</v>
      </c>
      <c r="F7994">
        <v>4091</v>
      </c>
      <c r="G7994">
        <v>4</v>
      </c>
      <c r="H7994">
        <v>3</v>
      </c>
      <c r="I7994">
        <v>2012</v>
      </c>
      <c r="J7994">
        <v>0</v>
      </c>
      <c r="K7994">
        <v>1</v>
      </c>
      <c r="L7994">
        <v>0</v>
      </c>
      <c r="M7994">
        <v>2</v>
      </c>
      <c r="N7994" t="s">
        <v>26</v>
      </c>
      <c r="O7994" t="s">
        <v>30</v>
      </c>
      <c r="P7994">
        <v>5.23541139417775</v>
      </c>
      <c r="Q7994">
        <v>1.9312561490512401</v>
      </c>
      <c r="R7994">
        <v>9.1684761996208302</v>
      </c>
      <c r="S7994">
        <v>45</v>
      </c>
      <c r="T7994">
        <v>42</v>
      </c>
      <c r="U7994">
        <v>578.38229882306996</v>
      </c>
      <c r="V7994">
        <v>4.8887802493277903E-4</v>
      </c>
      <c r="W7994">
        <v>2731071.4087531799</v>
      </c>
      <c r="X7994" t="s">
        <v>28</v>
      </c>
      <c r="Y7994">
        <f>1-800-369-4504</f>
        <v>-5672</v>
      </c>
    </row>
    <row r="7995" spans="1:25" x14ac:dyDescent="0.35">
      <c r="A7995">
        <v>41.209596994408798</v>
      </c>
      <c r="B7995">
        <v>-115.623917176502</v>
      </c>
      <c r="C7995" t="s">
        <v>25</v>
      </c>
      <c r="D7995">
        <v>23.917896996457699</v>
      </c>
      <c r="E7995">
        <v>0</v>
      </c>
      <c r="F7995">
        <v>3876</v>
      </c>
      <c r="G7995">
        <v>4</v>
      </c>
      <c r="H7995">
        <v>1</v>
      </c>
      <c r="I7995">
        <v>2012</v>
      </c>
      <c r="J7995">
        <v>0</v>
      </c>
      <c r="K7995">
        <v>1</v>
      </c>
      <c r="L7995">
        <v>0</v>
      </c>
      <c r="M7995">
        <v>13</v>
      </c>
      <c r="N7995" t="s">
        <v>41</v>
      </c>
      <c r="O7995" t="s">
        <v>32</v>
      </c>
      <c r="P7995">
        <v>10.3267213872856</v>
      </c>
      <c r="Q7995">
        <v>2.3044401519226598</v>
      </c>
      <c r="R7995">
        <v>0.89024318949054204</v>
      </c>
      <c r="S7995">
        <v>20</v>
      </c>
      <c r="T7995">
        <v>31</v>
      </c>
      <c r="U7995">
        <v>540.88595496389905</v>
      </c>
      <c r="V7995">
        <v>3.3539731682146498E-3</v>
      </c>
      <c r="W7995">
        <v>2420899.1906031198</v>
      </c>
      <c r="X7995" t="s">
        <v>42</v>
      </c>
      <c r="Y7995">
        <f>1-441-699-8564</f>
        <v>-9703</v>
      </c>
    </row>
    <row r="7996" spans="1:25" x14ac:dyDescent="0.35">
      <c r="A7996">
        <v>41.1137657669383</v>
      </c>
      <c r="B7996">
        <v>-115.151719166745</v>
      </c>
      <c r="C7996" t="s">
        <v>29</v>
      </c>
      <c r="D7996">
        <v>5.5256663783671396</v>
      </c>
      <c r="E7996">
        <v>1</v>
      </c>
      <c r="F7996">
        <v>4302</v>
      </c>
      <c r="G7996">
        <v>5</v>
      </c>
      <c r="H7996">
        <v>1</v>
      </c>
      <c r="I7996">
        <v>1953</v>
      </c>
      <c r="J7996">
        <v>0</v>
      </c>
      <c r="K7996">
        <v>0</v>
      </c>
      <c r="L7996">
        <v>0</v>
      </c>
      <c r="M7996">
        <v>7</v>
      </c>
      <c r="N7996" t="s">
        <v>37</v>
      </c>
      <c r="O7996" t="s">
        <v>30</v>
      </c>
      <c r="P7996">
        <v>13.4609555996583</v>
      </c>
      <c r="Q7996">
        <v>1.83064750550947</v>
      </c>
      <c r="R7996">
        <v>9.0901036238660495</v>
      </c>
      <c r="S7996">
        <v>53</v>
      </c>
      <c r="T7996">
        <v>48</v>
      </c>
      <c r="U7996">
        <v>679.23168876748002</v>
      </c>
      <c r="V7996">
        <v>1.62715016271501E-3</v>
      </c>
      <c r="W7996">
        <v>3146143.6371690198</v>
      </c>
      <c r="X7996" t="s">
        <v>42</v>
      </c>
      <c r="Y7996">
        <f>1-420-331-2029</f>
        <v>-2779</v>
      </c>
    </row>
    <row r="7997" spans="1:25" x14ac:dyDescent="0.35">
      <c r="A7997">
        <v>40.062045530805698</v>
      </c>
      <c r="B7997">
        <v>-122.57261567898701</v>
      </c>
      <c r="C7997" t="s">
        <v>34</v>
      </c>
      <c r="D7997">
        <v>2.3303919234354602</v>
      </c>
      <c r="E7997">
        <v>6</v>
      </c>
      <c r="F7997">
        <v>3477</v>
      </c>
      <c r="G7997">
        <v>5</v>
      </c>
      <c r="H7997">
        <v>3</v>
      </c>
      <c r="I7997">
        <v>2001</v>
      </c>
      <c r="J7997">
        <v>0</v>
      </c>
      <c r="K7997">
        <v>1</v>
      </c>
      <c r="L7997">
        <v>0</v>
      </c>
      <c r="M7997">
        <v>13</v>
      </c>
      <c r="N7997" t="s">
        <v>37</v>
      </c>
      <c r="O7997" t="s">
        <v>27</v>
      </c>
      <c r="P7997">
        <v>4.64403350392731</v>
      </c>
      <c r="Q7997">
        <v>1.42139189632174</v>
      </c>
      <c r="R7997">
        <v>7.6969581928076503</v>
      </c>
      <c r="S7997">
        <v>54</v>
      </c>
      <c r="T7997">
        <v>42</v>
      </c>
      <c r="U7997">
        <v>802.36498134146996</v>
      </c>
      <c r="V7997">
        <v>3.7388553350589499E-3</v>
      </c>
      <c r="W7997">
        <v>3136924.2950792601</v>
      </c>
      <c r="X7997" t="s">
        <v>44</v>
      </c>
      <c r="Y7997">
        <f>1-834-673-1048</f>
        <v>-2554</v>
      </c>
    </row>
    <row r="7998" spans="1:25" x14ac:dyDescent="0.35">
      <c r="A7998">
        <v>36.692030394253798</v>
      </c>
      <c r="B7998">
        <v>-119.96325239115799</v>
      </c>
      <c r="C7998" t="s">
        <v>34</v>
      </c>
      <c r="D7998">
        <v>43.143486316734602</v>
      </c>
      <c r="E7998">
        <v>2</v>
      </c>
      <c r="F7998">
        <v>3100</v>
      </c>
      <c r="G7998">
        <v>2</v>
      </c>
      <c r="H7998">
        <v>2</v>
      </c>
      <c r="I7998">
        <v>1976</v>
      </c>
      <c r="J7998">
        <v>0</v>
      </c>
      <c r="K7998">
        <v>1</v>
      </c>
      <c r="L7998">
        <v>0</v>
      </c>
      <c r="M7998">
        <v>9</v>
      </c>
      <c r="N7998" t="s">
        <v>35</v>
      </c>
      <c r="O7998" t="s">
        <v>30</v>
      </c>
      <c r="P7998">
        <v>8.6864245381001801</v>
      </c>
      <c r="Q7998">
        <v>2.4205080572208502</v>
      </c>
      <c r="R7998">
        <v>6.19363248277054</v>
      </c>
      <c r="S7998">
        <v>73</v>
      </c>
      <c r="T7998">
        <v>74</v>
      </c>
      <c r="U7998">
        <v>443.41957871466201</v>
      </c>
      <c r="V7998">
        <v>2.9032258064516101E-3</v>
      </c>
      <c r="W7998">
        <v>1594362.0927017101</v>
      </c>
      <c r="X7998" t="s">
        <v>44</v>
      </c>
      <c r="Y7998">
        <f>1-249-412-2573</f>
        <v>-3233</v>
      </c>
    </row>
    <row r="7999" spans="1:25" x14ac:dyDescent="0.35">
      <c r="A7999">
        <v>37.107243848511999</v>
      </c>
      <c r="B7999">
        <v>-124.43177384614501</v>
      </c>
      <c r="C7999" t="s">
        <v>34</v>
      </c>
      <c r="D7999">
        <v>44.794562470694302</v>
      </c>
      <c r="E7999">
        <v>1</v>
      </c>
      <c r="F7999">
        <v>3090</v>
      </c>
      <c r="G7999">
        <v>5</v>
      </c>
      <c r="H7999">
        <v>3</v>
      </c>
      <c r="I7999">
        <v>2002</v>
      </c>
      <c r="J7999">
        <v>0</v>
      </c>
      <c r="K7999">
        <v>0</v>
      </c>
      <c r="L7999">
        <v>1</v>
      </c>
      <c r="M7999">
        <v>8</v>
      </c>
      <c r="N7999" t="s">
        <v>41</v>
      </c>
      <c r="O7999" t="s">
        <v>27</v>
      </c>
      <c r="P7999">
        <v>2.6939404244775398</v>
      </c>
      <c r="Q7999">
        <v>2.2781784649799901</v>
      </c>
      <c r="R7999">
        <v>2.2934730102204601</v>
      </c>
      <c r="S7999">
        <v>176</v>
      </c>
      <c r="T7999">
        <v>68</v>
      </c>
      <c r="U7999">
        <v>289.55694339349901</v>
      </c>
      <c r="V7999">
        <v>2.5889967637540401E-3</v>
      </c>
      <c r="W7999">
        <v>1243130.2550792301</v>
      </c>
      <c r="X7999" t="s">
        <v>43</v>
      </c>
      <c r="Y7999">
        <f>1-405-415-3021</f>
        <v>-3840</v>
      </c>
    </row>
    <row r="8000" spans="1:25" x14ac:dyDescent="0.35">
      <c r="A8000">
        <v>39.784255053550602</v>
      </c>
      <c r="B8000">
        <v>-114.169982201774</v>
      </c>
      <c r="C8000" t="s">
        <v>25</v>
      </c>
      <c r="D8000">
        <v>43.610035797110697</v>
      </c>
      <c r="E8000">
        <v>5</v>
      </c>
      <c r="F8000">
        <v>3769</v>
      </c>
      <c r="G8000">
        <v>1</v>
      </c>
      <c r="H8000">
        <v>3</v>
      </c>
      <c r="I8000">
        <v>1999</v>
      </c>
      <c r="J8000">
        <v>1</v>
      </c>
      <c r="K8000">
        <v>0</v>
      </c>
      <c r="L8000">
        <v>0</v>
      </c>
      <c r="M8000">
        <v>9</v>
      </c>
      <c r="N8000" t="s">
        <v>26</v>
      </c>
      <c r="O8000" t="s">
        <v>32</v>
      </c>
      <c r="P8000">
        <v>2.5090573339222</v>
      </c>
      <c r="Q8000">
        <v>1.0558897749391101</v>
      </c>
      <c r="R8000">
        <v>1.2986361567793501</v>
      </c>
      <c r="S8000">
        <v>51</v>
      </c>
      <c r="T8000">
        <v>60</v>
      </c>
      <c r="U8000">
        <v>716.71720005425698</v>
      </c>
      <c r="V8000">
        <v>2.3879013000795901E-3</v>
      </c>
      <c r="W8000">
        <v>2841571.52492336</v>
      </c>
      <c r="X8000" t="s">
        <v>43</v>
      </c>
      <c r="Y8000">
        <f>1-541-286-6078</f>
        <v>-6904</v>
      </c>
    </row>
    <row r="8001" spans="1:25" x14ac:dyDescent="0.35">
      <c r="A8001">
        <v>40.220643025003298</v>
      </c>
      <c r="B8001">
        <v>-118.966809150624</v>
      </c>
      <c r="C8001" t="s">
        <v>34</v>
      </c>
      <c r="D8001">
        <v>48.678278887643799</v>
      </c>
      <c r="E8001">
        <v>9</v>
      </c>
      <c r="F8001">
        <v>1301</v>
      </c>
      <c r="G8001">
        <v>2</v>
      </c>
      <c r="H8001">
        <v>2</v>
      </c>
      <c r="I8001">
        <v>1984</v>
      </c>
      <c r="J8001">
        <v>0</v>
      </c>
      <c r="K8001">
        <v>0</v>
      </c>
      <c r="L8001">
        <v>1</v>
      </c>
      <c r="M8001">
        <v>6</v>
      </c>
      <c r="N8001" t="s">
        <v>37</v>
      </c>
      <c r="O8001" t="s">
        <v>32</v>
      </c>
      <c r="P8001">
        <v>3.3452016101657098</v>
      </c>
      <c r="Q8001">
        <v>1.28625439580207</v>
      </c>
      <c r="R8001">
        <v>7.3936451617676804</v>
      </c>
      <c r="S8001">
        <v>97</v>
      </c>
      <c r="T8001">
        <v>36</v>
      </c>
      <c r="U8001">
        <v>593.63226332260604</v>
      </c>
      <c r="V8001">
        <v>4.6118370484242799E-3</v>
      </c>
      <c r="W8001">
        <v>840323.83097403403</v>
      </c>
      <c r="X8001" t="s">
        <v>39</v>
      </c>
      <c r="Y8001">
        <f>1-640-962-3320</f>
        <v>-4921</v>
      </c>
    </row>
    <row r="8002" spans="1:25" x14ac:dyDescent="0.35">
      <c r="A8002">
        <v>41.784547008516498</v>
      </c>
      <c r="B8002">
        <v>-121.541057568954</v>
      </c>
      <c r="C8002" t="s">
        <v>25</v>
      </c>
      <c r="D8002">
        <v>32.202810511676397</v>
      </c>
      <c r="E8002">
        <v>2</v>
      </c>
      <c r="F8002">
        <v>1169</v>
      </c>
      <c r="G8002">
        <v>5</v>
      </c>
      <c r="H8002">
        <v>2</v>
      </c>
      <c r="I8002">
        <v>1952</v>
      </c>
      <c r="J8002">
        <v>0</v>
      </c>
      <c r="K8002">
        <v>1</v>
      </c>
      <c r="L8002">
        <v>1</v>
      </c>
      <c r="M8002">
        <v>7</v>
      </c>
      <c r="N8002" t="s">
        <v>35</v>
      </c>
      <c r="O8002" t="s">
        <v>30</v>
      </c>
      <c r="P8002">
        <v>6.5432533736566798</v>
      </c>
      <c r="Q8002">
        <v>1.2830234320007401</v>
      </c>
      <c r="R8002">
        <v>8.0237376966205307</v>
      </c>
      <c r="S8002">
        <v>96</v>
      </c>
      <c r="T8002">
        <v>43</v>
      </c>
      <c r="U8002">
        <v>770.75524131191901</v>
      </c>
      <c r="V8002">
        <v>5.9880239520958001E-3</v>
      </c>
      <c r="W8002">
        <v>1269132.4819903199</v>
      </c>
      <c r="X8002" t="s">
        <v>39</v>
      </c>
      <c r="Y8002">
        <f>1-464-431-3593</f>
        <v>-4487</v>
      </c>
    </row>
    <row r="8003" spans="1:25" x14ac:dyDescent="0.35">
      <c r="A8003">
        <v>37.7489423727272</v>
      </c>
      <c r="B8003">
        <v>-115.71040526417001</v>
      </c>
      <c r="C8003" t="s">
        <v>25</v>
      </c>
      <c r="D8003">
        <v>47.091144717513799</v>
      </c>
      <c r="E8003">
        <v>7</v>
      </c>
      <c r="F8003">
        <v>4209</v>
      </c>
      <c r="G8003">
        <v>1</v>
      </c>
      <c r="H8003">
        <v>2</v>
      </c>
      <c r="I8003">
        <v>1950</v>
      </c>
      <c r="J8003">
        <v>1</v>
      </c>
      <c r="K8003">
        <v>0</v>
      </c>
      <c r="L8003">
        <v>1</v>
      </c>
      <c r="M8003">
        <v>6</v>
      </c>
      <c r="N8003" t="s">
        <v>41</v>
      </c>
      <c r="O8003" t="s">
        <v>32</v>
      </c>
      <c r="P8003">
        <v>7.3558376676482</v>
      </c>
      <c r="Q8003">
        <v>0.59354307333756395</v>
      </c>
      <c r="R8003">
        <v>6.9035363427273797</v>
      </c>
      <c r="S8003">
        <v>132</v>
      </c>
      <c r="T8003">
        <v>42</v>
      </c>
      <c r="U8003">
        <v>991.01413753158704</v>
      </c>
      <c r="V8003">
        <v>1.42551674982181E-3</v>
      </c>
      <c r="W8003">
        <v>4284644.8706426602</v>
      </c>
      <c r="X8003" t="s">
        <v>40</v>
      </c>
      <c r="Y8003">
        <f>1-313-324-7515</f>
        <v>-8151</v>
      </c>
    </row>
    <row r="8004" spans="1:25" x14ac:dyDescent="0.35">
      <c r="A8004">
        <v>33.679666414100403</v>
      </c>
      <c r="B8004">
        <v>-114.308294544343</v>
      </c>
      <c r="C8004" t="s">
        <v>34</v>
      </c>
      <c r="D8004">
        <v>42.838780814284902</v>
      </c>
      <c r="E8004">
        <v>4</v>
      </c>
      <c r="F8004">
        <v>1045</v>
      </c>
      <c r="G8004">
        <v>1</v>
      </c>
      <c r="H8004">
        <v>1</v>
      </c>
      <c r="I8004">
        <v>1999</v>
      </c>
      <c r="J8004">
        <v>0</v>
      </c>
      <c r="K8004">
        <v>0</v>
      </c>
      <c r="L8004">
        <v>0</v>
      </c>
      <c r="M8004">
        <v>4</v>
      </c>
      <c r="N8004" t="s">
        <v>37</v>
      </c>
      <c r="O8004" t="s">
        <v>32</v>
      </c>
      <c r="P8004">
        <v>8.9831346934997907</v>
      </c>
      <c r="Q8004">
        <v>1.8771206283533699</v>
      </c>
      <c r="R8004">
        <v>0.36152818998049802</v>
      </c>
      <c r="S8004">
        <v>130</v>
      </c>
      <c r="T8004">
        <v>26</v>
      </c>
      <c r="U8004">
        <v>306.45470545368198</v>
      </c>
      <c r="V8004">
        <v>3.8277511961722398E-3</v>
      </c>
      <c r="W8004">
        <v>446832.46961827</v>
      </c>
      <c r="X8004" t="s">
        <v>33</v>
      </c>
      <c r="Y8004">
        <f>1-385-345-8004</f>
        <v>-8733</v>
      </c>
    </row>
    <row r="8005" spans="1:25" x14ac:dyDescent="0.35">
      <c r="A8005">
        <v>33.5053046291561</v>
      </c>
      <c r="B8005">
        <v>-117.289789415074</v>
      </c>
      <c r="C8005" t="s">
        <v>34</v>
      </c>
      <c r="D8005">
        <v>43.756437590554398</v>
      </c>
      <c r="E8005">
        <v>0</v>
      </c>
      <c r="F8005">
        <v>4710</v>
      </c>
      <c r="G8005">
        <v>3</v>
      </c>
      <c r="H8005">
        <v>1</v>
      </c>
      <c r="I8005">
        <v>1956</v>
      </c>
      <c r="J8005">
        <v>1</v>
      </c>
      <c r="K8005">
        <v>0</v>
      </c>
      <c r="L8005">
        <v>0</v>
      </c>
      <c r="M8005">
        <v>6</v>
      </c>
      <c r="N8005" t="s">
        <v>35</v>
      </c>
      <c r="O8005" t="s">
        <v>30</v>
      </c>
      <c r="P8005">
        <v>4.4159852662212504</v>
      </c>
      <c r="Q8005">
        <v>1.6391308165832099</v>
      </c>
      <c r="R8005">
        <v>3.51453550982579</v>
      </c>
      <c r="S8005">
        <v>170</v>
      </c>
      <c r="T8005">
        <v>55</v>
      </c>
      <c r="U8005">
        <v>771.02936569994802</v>
      </c>
      <c r="V8005">
        <v>1.27388535031847E-3</v>
      </c>
      <c r="W8005">
        <v>3660536.6740289601</v>
      </c>
      <c r="X8005" t="s">
        <v>28</v>
      </c>
      <c r="Y8005">
        <f>1-823-640-1897</f>
        <v>-3359</v>
      </c>
    </row>
    <row r="8006" spans="1:25" x14ac:dyDescent="0.35">
      <c r="A8006">
        <v>35.465707377782401</v>
      </c>
      <c r="B8006">
        <v>-120.88592209257401</v>
      </c>
      <c r="C8006" t="s">
        <v>29</v>
      </c>
      <c r="D8006">
        <v>6.5157556089681696</v>
      </c>
      <c r="E8006">
        <v>0</v>
      </c>
      <c r="F8006">
        <v>4587</v>
      </c>
      <c r="G8006">
        <v>3</v>
      </c>
      <c r="H8006">
        <v>1</v>
      </c>
      <c r="I8006">
        <v>1971</v>
      </c>
      <c r="J8006">
        <v>1</v>
      </c>
      <c r="K8006">
        <v>1</v>
      </c>
      <c r="L8006">
        <v>0</v>
      </c>
      <c r="M8006">
        <v>8</v>
      </c>
      <c r="N8006" t="s">
        <v>26</v>
      </c>
      <c r="O8006" t="s">
        <v>30</v>
      </c>
      <c r="P8006">
        <v>7.01416983007186</v>
      </c>
      <c r="Q8006">
        <v>2.0189479085065098</v>
      </c>
      <c r="R8006">
        <v>2.5972275823538902</v>
      </c>
      <c r="S8006">
        <v>159</v>
      </c>
      <c r="T8006">
        <v>35</v>
      </c>
      <c r="U8006">
        <v>722.389801358461</v>
      </c>
      <c r="V8006">
        <v>1.7440592980161301E-3</v>
      </c>
      <c r="W8006">
        <v>3572809.4949083701</v>
      </c>
      <c r="X8006" t="s">
        <v>39</v>
      </c>
      <c r="Y8006">
        <f>1-465-929-5982</f>
        <v>-7375</v>
      </c>
    </row>
    <row r="8007" spans="1:25" x14ac:dyDescent="0.35">
      <c r="A8007">
        <v>40.317882361461002</v>
      </c>
      <c r="B8007">
        <v>-123.501982774605</v>
      </c>
      <c r="C8007" t="s">
        <v>25</v>
      </c>
      <c r="D8007">
        <v>3.4673310016972101</v>
      </c>
      <c r="E8007">
        <v>1</v>
      </c>
      <c r="F8007">
        <v>3239</v>
      </c>
      <c r="G8007">
        <v>4</v>
      </c>
      <c r="H8007">
        <v>3</v>
      </c>
      <c r="I8007">
        <v>2013</v>
      </c>
      <c r="J8007">
        <v>1</v>
      </c>
      <c r="K8007">
        <v>1</v>
      </c>
      <c r="L8007">
        <v>1</v>
      </c>
      <c r="M8007">
        <v>2</v>
      </c>
      <c r="N8007" t="s">
        <v>35</v>
      </c>
      <c r="O8007" t="s">
        <v>32</v>
      </c>
      <c r="P8007">
        <v>9.3072527844196404</v>
      </c>
      <c r="Q8007">
        <v>1.77224659170041</v>
      </c>
      <c r="R8007">
        <v>8.3770952475736191</v>
      </c>
      <c r="S8007">
        <v>101</v>
      </c>
      <c r="T8007">
        <v>23</v>
      </c>
      <c r="U8007">
        <v>934.44875884635098</v>
      </c>
      <c r="V8007">
        <v>6.1747452917567097E-4</v>
      </c>
      <c r="W8007">
        <v>3430226.2001427701</v>
      </c>
      <c r="X8007" t="s">
        <v>36</v>
      </c>
      <c r="Y8007">
        <f>1-520-466-4497</f>
        <v>-5482</v>
      </c>
    </row>
    <row r="8008" spans="1:25" x14ac:dyDescent="0.35">
      <c r="A8008">
        <v>41.123807800506398</v>
      </c>
      <c r="B8008">
        <v>-121.379356928756</v>
      </c>
      <c r="C8008" t="s">
        <v>34</v>
      </c>
      <c r="D8008">
        <v>8.2768145074782797</v>
      </c>
      <c r="E8008">
        <v>6</v>
      </c>
      <c r="F8008">
        <v>1455</v>
      </c>
      <c r="G8008">
        <v>5</v>
      </c>
      <c r="H8008">
        <v>3</v>
      </c>
      <c r="I8008">
        <v>1986</v>
      </c>
      <c r="J8008">
        <v>1</v>
      </c>
      <c r="K8008">
        <v>0</v>
      </c>
      <c r="L8008">
        <v>0</v>
      </c>
      <c r="M8008">
        <v>7</v>
      </c>
      <c r="N8008" t="s">
        <v>26</v>
      </c>
      <c r="O8008" t="s">
        <v>32</v>
      </c>
      <c r="P8008">
        <v>11.311406308646299</v>
      </c>
      <c r="Q8008">
        <v>0.75416027924585205</v>
      </c>
      <c r="R8008">
        <v>0.45088789678595398</v>
      </c>
      <c r="S8008">
        <v>182</v>
      </c>
      <c r="T8008">
        <v>58</v>
      </c>
      <c r="U8008">
        <v>592.86084166127</v>
      </c>
      <c r="V8008">
        <v>4.8109965635738799E-3</v>
      </c>
      <c r="W8008">
        <v>1245667.0767566999</v>
      </c>
      <c r="X8008" t="s">
        <v>36</v>
      </c>
      <c r="Y8008">
        <f>1-255-973-6944</f>
        <v>-8171</v>
      </c>
    </row>
    <row r="8009" spans="1:25" x14ac:dyDescent="0.35">
      <c r="A8009">
        <v>32.733707631254603</v>
      </c>
      <c r="B8009">
        <v>-116.037282866645</v>
      </c>
      <c r="C8009" t="s">
        <v>29</v>
      </c>
      <c r="D8009">
        <v>32.686969692258302</v>
      </c>
      <c r="E8009">
        <v>2</v>
      </c>
      <c r="F8009">
        <v>4504</v>
      </c>
      <c r="G8009">
        <v>4</v>
      </c>
      <c r="H8009">
        <v>1</v>
      </c>
      <c r="I8009">
        <v>2006</v>
      </c>
      <c r="J8009">
        <v>0</v>
      </c>
      <c r="K8009">
        <v>0</v>
      </c>
      <c r="L8009">
        <v>0</v>
      </c>
      <c r="M8009">
        <v>14</v>
      </c>
      <c r="N8009" t="s">
        <v>41</v>
      </c>
      <c r="O8009" t="s">
        <v>32</v>
      </c>
      <c r="P8009">
        <v>12.159802669827499</v>
      </c>
      <c r="Q8009">
        <v>1.34862092439481</v>
      </c>
      <c r="R8009">
        <v>3.7402869677081299</v>
      </c>
      <c r="S8009">
        <v>176</v>
      </c>
      <c r="T8009">
        <v>43</v>
      </c>
      <c r="U8009">
        <v>427.97073967849201</v>
      </c>
      <c r="V8009">
        <v>3.1083481349911098E-3</v>
      </c>
      <c r="W8009">
        <v>2166620.1378898602</v>
      </c>
      <c r="X8009" t="s">
        <v>31</v>
      </c>
      <c r="Y8009">
        <f>1-322-943-2968</f>
        <v>-4232</v>
      </c>
    </row>
    <row r="8010" spans="1:25" x14ac:dyDescent="0.35">
      <c r="A8010">
        <v>35.373915611250702</v>
      </c>
      <c r="B8010">
        <v>-115.567188139463</v>
      </c>
      <c r="C8010" t="s">
        <v>29</v>
      </c>
      <c r="D8010">
        <v>48.072222048678803</v>
      </c>
      <c r="E8010">
        <v>7</v>
      </c>
      <c r="F8010">
        <v>4644</v>
      </c>
      <c r="G8010">
        <v>1</v>
      </c>
      <c r="H8010">
        <v>1</v>
      </c>
      <c r="I8010">
        <v>1991</v>
      </c>
      <c r="J8010">
        <v>0</v>
      </c>
      <c r="K8010">
        <v>1</v>
      </c>
      <c r="L8010">
        <v>0</v>
      </c>
      <c r="M8010">
        <v>4</v>
      </c>
      <c r="N8010" t="s">
        <v>26</v>
      </c>
      <c r="O8010" t="s">
        <v>32</v>
      </c>
      <c r="P8010">
        <v>9.6213965414492097</v>
      </c>
      <c r="Q8010">
        <v>1.8597952462687</v>
      </c>
      <c r="R8010">
        <v>1.2374531174735099</v>
      </c>
      <c r="S8010">
        <v>31</v>
      </c>
      <c r="T8010">
        <v>55</v>
      </c>
      <c r="U8010">
        <v>869.10457139859898</v>
      </c>
      <c r="V8010">
        <v>8.6132644272179102E-4</v>
      </c>
      <c r="W8010">
        <v>4219001.11643638</v>
      </c>
      <c r="X8010" t="s">
        <v>40</v>
      </c>
      <c r="Y8010">
        <f>1-599-377-2529</f>
        <v>-3504</v>
      </c>
    </row>
    <row r="8011" spans="1:25" x14ac:dyDescent="0.35">
      <c r="A8011">
        <v>36.631037095605002</v>
      </c>
      <c r="B8011">
        <v>-122.57694183951099</v>
      </c>
      <c r="C8011" t="s">
        <v>29</v>
      </c>
      <c r="D8011">
        <v>19.5368282709798</v>
      </c>
      <c r="E8011">
        <v>9</v>
      </c>
      <c r="F8011">
        <v>2521</v>
      </c>
      <c r="G8011">
        <v>5</v>
      </c>
      <c r="H8011">
        <v>2</v>
      </c>
      <c r="I8011">
        <v>1993</v>
      </c>
      <c r="J8011">
        <v>1</v>
      </c>
      <c r="K8011">
        <v>0</v>
      </c>
      <c r="L8011">
        <v>1</v>
      </c>
      <c r="M8011">
        <v>2</v>
      </c>
      <c r="N8011" t="s">
        <v>37</v>
      </c>
      <c r="O8011" t="s">
        <v>27</v>
      </c>
      <c r="P8011">
        <v>5.7387284951267903</v>
      </c>
      <c r="Q8011">
        <v>1.38943152560614</v>
      </c>
      <c r="R8011">
        <v>8.9046585515626102</v>
      </c>
      <c r="S8011">
        <v>110</v>
      </c>
      <c r="T8011">
        <v>60</v>
      </c>
      <c r="U8011">
        <v>468.29807725950798</v>
      </c>
      <c r="V8011">
        <v>7.9333597778659198E-4</v>
      </c>
      <c r="W8011">
        <v>1521300.08495035</v>
      </c>
      <c r="X8011" t="s">
        <v>33</v>
      </c>
      <c r="Y8011">
        <f>1-921-300-9771</f>
        <v>-10991</v>
      </c>
    </row>
    <row r="8012" spans="1:25" x14ac:dyDescent="0.35">
      <c r="A8012">
        <v>37.871779867296503</v>
      </c>
      <c r="B8012">
        <v>-119.514941289704</v>
      </c>
      <c r="C8012" t="s">
        <v>29</v>
      </c>
      <c r="D8012">
        <v>21.1882624938115</v>
      </c>
      <c r="E8012">
        <v>6</v>
      </c>
      <c r="F8012">
        <v>2885</v>
      </c>
      <c r="G8012">
        <v>3</v>
      </c>
      <c r="H8012">
        <v>1</v>
      </c>
      <c r="I8012">
        <v>1964</v>
      </c>
      <c r="J8012">
        <v>1</v>
      </c>
      <c r="K8012">
        <v>0</v>
      </c>
      <c r="L8012">
        <v>1</v>
      </c>
      <c r="M8012">
        <v>14</v>
      </c>
      <c r="N8012" t="s">
        <v>37</v>
      </c>
      <c r="O8012" t="s">
        <v>32</v>
      </c>
      <c r="P8012">
        <v>14.830647883751899</v>
      </c>
      <c r="Q8012">
        <v>1.61848993530962</v>
      </c>
      <c r="R8012">
        <v>1.23478046700114</v>
      </c>
      <c r="S8012">
        <v>68</v>
      </c>
      <c r="T8012">
        <v>26</v>
      </c>
      <c r="U8012">
        <v>892.85568169599401</v>
      </c>
      <c r="V8012">
        <v>4.8526863084921998E-3</v>
      </c>
      <c r="W8012">
        <v>2827265.8061842099</v>
      </c>
      <c r="X8012" t="s">
        <v>36</v>
      </c>
      <c r="Y8012">
        <f>1-660-652-1145</f>
        <v>-2456</v>
      </c>
    </row>
    <row r="8013" spans="1:25" x14ac:dyDescent="0.35">
      <c r="A8013">
        <v>37.193063306885797</v>
      </c>
      <c r="B8013">
        <v>-123.474428502162</v>
      </c>
      <c r="C8013" t="s">
        <v>34</v>
      </c>
      <c r="D8013">
        <v>9.6195856710498209</v>
      </c>
      <c r="E8013">
        <v>4</v>
      </c>
      <c r="F8013">
        <v>667</v>
      </c>
      <c r="G8013">
        <v>2</v>
      </c>
      <c r="H8013">
        <v>3</v>
      </c>
      <c r="I8013">
        <v>2018</v>
      </c>
      <c r="J8013">
        <v>1</v>
      </c>
      <c r="K8013">
        <v>0</v>
      </c>
      <c r="L8013">
        <v>0</v>
      </c>
      <c r="M8013">
        <v>12</v>
      </c>
      <c r="N8013" t="s">
        <v>35</v>
      </c>
      <c r="O8013" t="s">
        <v>30</v>
      </c>
      <c r="P8013">
        <v>8.1628058935862704</v>
      </c>
      <c r="Q8013">
        <v>2.2627734294841599</v>
      </c>
      <c r="R8013">
        <v>5.5139957865470999</v>
      </c>
      <c r="S8013">
        <v>159</v>
      </c>
      <c r="T8013">
        <v>29</v>
      </c>
      <c r="U8013">
        <v>353.09820115017402</v>
      </c>
      <c r="V8013">
        <v>1.7991004497751099E-2</v>
      </c>
      <c r="W8013">
        <v>496352.52586942201</v>
      </c>
      <c r="X8013" t="s">
        <v>28</v>
      </c>
      <c r="Y8013">
        <f>1-575-787-1278</f>
        <v>-2639</v>
      </c>
    </row>
    <row r="8014" spans="1:25" x14ac:dyDescent="0.35">
      <c r="A8014">
        <v>41.330640302577997</v>
      </c>
      <c r="B8014">
        <v>-117.41485610748001</v>
      </c>
      <c r="C8014" t="s">
        <v>25</v>
      </c>
      <c r="D8014">
        <v>44.153624944048097</v>
      </c>
      <c r="E8014">
        <v>1</v>
      </c>
      <c r="F8014">
        <v>2707</v>
      </c>
      <c r="G8014">
        <v>3</v>
      </c>
      <c r="H8014">
        <v>2</v>
      </c>
      <c r="I8014">
        <v>1968</v>
      </c>
      <c r="J8014">
        <v>0</v>
      </c>
      <c r="K8014">
        <v>1</v>
      </c>
      <c r="L8014">
        <v>0</v>
      </c>
      <c r="M8014">
        <v>2</v>
      </c>
      <c r="N8014" t="s">
        <v>41</v>
      </c>
      <c r="O8014" t="s">
        <v>27</v>
      </c>
      <c r="P8014">
        <v>2.8059358288317902</v>
      </c>
      <c r="Q8014">
        <v>1.13105800673197</v>
      </c>
      <c r="R8014">
        <v>7.0557738531043004</v>
      </c>
      <c r="S8014">
        <v>101</v>
      </c>
      <c r="T8014">
        <v>50</v>
      </c>
      <c r="U8014">
        <v>578.99693559312698</v>
      </c>
      <c r="V8014">
        <v>7.3882526782415904E-4</v>
      </c>
      <c r="W8014">
        <v>1793142.1329284599</v>
      </c>
      <c r="X8014" t="s">
        <v>36</v>
      </c>
      <c r="Y8014">
        <f>1-522-237-1695</f>
        <v>-2453</v>
      </c>
    </row>
    <row r="8015" spans="1:25" x14ac:dyDescent="0.35">
      <c r="A8015">
        <v>35.624886142167398</v>
      </c>
      <c r="B8015">
        <v>-120.850895936212</v>
      </c>
      <c r="C8015" t="s">
        <v>25</v>
      </c>
      <c r="D8015">
        <v>16.376014658363999</v>
      </c>
      <c r="E8015">
        <v>8</v>
      </c>
      <c r="F8015">
        <v>4645</v>
      </c>
      <c r="G8015">
        <v>3</v>
      </c>
      <c r="H8015">
        <v>3</v>
      </c>
      <c r="I8015">
        <v>1973</v>
      </c>
      <c r="J8015">
        <v>0</v>
      </c>
      <c r="K8015">
        <v>0</v>
      </c>
      <c r="L8015">
        <v>0</v>
      </c>
      <c r="M8015">
        <v>2</v>
      </c>
      <c r="N8015" t="s">
        <v>37</v>
      </c>
      <c r="O8015" t="s">
        <v>27</v>
      </c>
      <c r="P8015">
        <v>5.7999489619053604</v>
      </c>
      <c r="Q8015">
        <v>0.79057760530402399</v>
      </c>
      <c r="R8015">
        <v>8.6226726986528899</v>
      </c>
      <c r="S8015">
        <v>84</v>
      </c>
      <c r="T8015">
        <v>24</v>
      </c>
      <c r="U8015">
        <v>348.35295923598102</v>
      </c>
      <c r="V8015">
        <v>4.30570505920344E-4</v>
      </c>
      <c r="W8015">
        <v>1762669.16002528</v>
      </c>
      <c r="X8015" t="s">
        <v>33</v>
      </c>
      <c r="Y8015">
        <f>1-751-545-3879</f>
        <v>-5174</v>
      </c>
    </row>
    <row r="8016" spans="1:25" x14ac:dyDescent="0.35">
      <c r="A8016">
        <v>37.921554325548499</v>
      </c>
      <c r="B8016">
        <v>-120.895919895757</v>
      </c>
      <c r="C8016" t="s">
        <v>25</v>
      </c>
      <c r="D8016">
        <v>14.909585043299399</v>
      </c>
      <c r="E8016">
        <v>8</v>
      </c>
      <c r="F8016">
        <v>1707</v>
      </c>
      <c r="G8016">
        <v>3</v>
      </c>
      <c r="H8016">
        <v>1</v>
      </c>
      <c r="I8016">
        <v>1959</v>
      </c>
      <c r="J8016">
        <v>1</v>
      </c>
      <c r="K8016">
        <v>1</v>
      </c>
      <c r="L8016">
        <v>0</v>
      </c>
      <c r="M8016">
        <v>10</v>
      </c>
      <c r="N8016" t="s">
        <v>41</v>
      </c>
      <c r="O8016" t="s">
        <v>27</v>
      </c>
      <c r="P8016">
        <v>10.7128030551221</v>
      </c>
      <c r="Q8016">
        <v>1.2990404537168501</v>
      </c>
      <c r="R8016">
        <v>9.0486525693049895</v>
      </c>
      <c r="S8016">
        <v>134</v>
      </c>
      <c r="T8016">
        <v>23</v>
      </c>
      <c r="U8016">
        <v>488.859334001202</v>
      </c>
      <c r="V8016">
        <v>5.8582308142940799E-3</v>
      </c>
      <c r="W8016">
        <v>1174714.0356837399</v>
      </c>
      <c r="X8016" t="s">
        <v>31</v>
      </c>
      <c r="Y8016">
        <f>1-816-808-6548</f>
        <v>-8171</v>
      </c>
    </row>
    <row r="8017" spans="1:25" x14ac:dyDescent="0.35">
      <c r="A8017">
        <v>38.934567074662503</v>
      </c>
      <c r="B8017">
        <v>-119.153299250256</v>
      </c>
      <c r="C8017" t="s">
        <v>29</v>
      </c>
      <c r="D8017">
        <v>47.811266212106702</v>
      </c>
      <c r="E8017">
        <v>4</v>
      </c>
      <c r="F8017">
        <v>3789</v>
      </c>
      <c r="G8017">
        <v>3</v>
      </c>
      <c r="H8017">
        <v>3</v>
      </c>
      <c r="I8017">
        <v>1956</v>
      </c>
      <c r="J8017">
        <v>0</v>
      </c>
      <c r="K8017">
        <v>0</v>
      </c>
      <c r="L8017">
        <v>0</v>
      </c>
      <c r="M8017">
        <v>8</v>
      </c>
      <c r="N8017" t="s">
        <v>35</v>
      </c>
      <c r="O8017" t="s">
        <v>30</v>
      </c>
      <c r="P8017">
        <v>7.6637736175422599</v>
      </c>
      <c r="Q8017">
        <v>1.5969040526816001</v>
      </c>
      <c r="R8017">
        <v>2.6091468381284102</v>
      </c>
      <c r="S8017">
        <v>191</v>
      </c>
      <c r="T8017">
        <v>77</v>
      </c>
      <c r="U8017">
        <v>460.55467904843198</v>
      </c>
      <c r="V8017">
        <v>2.1113750329902299E-3</v>
      </c>
      <c r="W8017">
        <v>1939590.21317923</v>
      </c>
      <c r="X8017" t="s">
        <v>40</v>
      </c>
      <c r="Y8017">
        <f>1-859-451-2427</f>
        <v>-3736</v>
      </c>
    </row>
    <row r="8018" spans="1:25" x14ac:dyDescent="0.35">
      <c r="A8018">
        <v>39.914849787366499</v>
      </c>
      <c r="B8018">
        <v>-121.37747783341599</v>
      </c>
      <c r="C8018" t="s">
        <v>34</v>
      </c>
      <c r="D8018">
        <v>18.491352376104501</v>
      </c>
      <c r="E8018">
        <v>0</v>
      </c>
      <c r="F8018">
        <v>2310</v>
      </c>
      <c r="G8018">
        <v>2</v>
      </c>
      <c r="H8018">
        <v>1</v>
      </c>
      <c r="I8018">
        <v>2007</v>
      </c>
      <c r="J8018">
        <v>1</v>
      </c>
      <c r="K8018">
        <v>0</v>
      </c>
      <c r="L8018">
        <v>0</v>
      </c>
      <c r="M8018">
        <v>10</v>
      </c>
      <c r="N8018" t="s">
        <v>35</v>
      </c>
      <c r="O8018" t="s">
        <v>32</v>
      </c>
      <c r="P8018">
        <v>8.9253952074507392</v>
      </c>
      <c r="Q8018">
        <v>1.6119896259477899</v>
      </c>
      <c r="R8018">
        <v>8.8116301348881496</v>
      </c>
      <c r="S8018">
        <v>51</v>
      </c>
      <c r="T8018">
        <v>47</v>
      </c>
      <c r="U8018">
        <v>805.23992333192098</v>
      </c>
      <c r="V8018">
        <v>4.3290043290043203E-3</v>
      </c>
      <c r="W8018">
        <v>2072107.2389040701</v>
      </c>
      <c r="X8018" t="s">
        <v>44</v>
      </c>
      <c r="Y8018">
        <f>1-921-377-1492</f>
        <v>-2789</v>
      </c>
    </row>
    <row r="8019" spans="1:25" x14ac:dyDescent="0.35">
      <c r="A8019">
        <v>41.494152504735602</v>
      </c>
      <c r="B8019">
        <v>-120.902318090227</v>
      </c>
      <c r="C8019" t="s">
        <v>29</v>
      </c>
      <c r="D8019">
        <v>31.041274176068601</v>
      </c>
      <c r="E8019">
        <v>0</v>
      </c>
      <c r="F8019">
        <v>1667</v>
      </c>
      <c r="G8019">
        <v>2</v>
      </c>
      <c r="H8019">
        <v>3</v>
      </c>
      <c r="I8019">
        <v>2009</v>
      </c>
      <c r="J8019">
        <v>1</v>
      </c>
      <c r="K8019">
        <v>1</v>
      </c>
      <c r="L8019">
        <v>0</v>
      </c>
      <c r="M8019">
        <v>7</v>
      </c>
      <c r="N8019" t="s">
        <v>37</v>
      </c>
      <c r="O8019" t="s">
        <v>32</v>
      </c>
      <c r="P8019">
        <v>8.66572729499015</v>
      </c>
      <c r="Q8019">
        <v>1.03417539906699</v>
      </c>
      <c r="R8019">
        <v>3.8464610046405001</v>
      </c>
      <c r="S8019">
        <v>187</v>
      </c>
      <c r="T8019">
        <v>42</v>
      </c>
      <c r="U8019">
        <v>389.93721418380801</v>
      </c>
      <c r="V8019">
        <v>4.1991601679663999E-3</v>
      </c>
      <c r="W8019">
        <v>978946.99274626304</v>
      </c>
      <c r="X8019" t="s">
        <v>42</v>
      </c>
      <c r="Y8019">
        <f>1-701-941-6723</f>
        <v>-8364</v>
      </c>
    </row>
    <row r="8020" spans="1:25" x14ac:dyDescent="0.35">
      <c r="A8020">
        <v>38.378474726220198</v>
      </c>
      <c r="B8020">
        <v>-123.467686649058</v>
      </c>
      <c r="C8020" t="s">
        <v>25</v>
      </c>
      <c r="D8020">
        <v>39.135839616570003</v>
      </c>
      <c r="E8020">
        <v>6</v>
      </c>
      <c r="F8020">
        <v>1387</v>
      </c>
      <c r="G8020">
        <v>5</v>
      </c>
      <c r="H8020">
        <v>1</v>
      </c>
      <c r="I8020">
        <v>2018</v>
      </c>
      <c r="J8020">
        <v>0</v>
      </c>
      <c r="K8020">
        <v>0</v>
      </c>
      <c r="L8020">
        <v>0</v>
      </c>
      <c r="M8020">
        <v>2</v>
      </c>
      <c r="N8020" t="s">
        <v>26</v>
      </c>
      <c r="O8020" t="s">
        <v>30</v>
      </c>
      <c r="P8020">
        <v>11.602188330554201</v>
      </c>
      <c r="Q8020">
        <v>2.4288811799218601</v>
      </c>
      <c r="R8020">
        <v>7.4262788381651701</v>
      </c>
      <c r="S8020">
        <v>52</v>
      </c>
      <c r="T8020">
        <v>57</v>
      </c>
      <c r="U8020">
        <v>598.73840692606097</v>
      </c>
      <c r="V8020">
        <v>1.44196106705118E-3</v>
      </c>
      <c r="W8020">
        <v>1080503.66060428</v>
      </c>
      <c r="X8020" t="s">
        <v>38</v>
      </c>
      <c r="Y8020">
        <f>1-335-369-8518</f>
        <v>-9221</v>
      </c>
    </row>
    <row r="8021" spans="1:25" x14ac:dyDescent="0.35">
      <c r="A8021">
        <v>39.445004636143601</v>
      </c>
      <c r="B8021">
        <v>-116.06514989071501</v>
      </c>
      <c r="C8021" t="s">
        <v>25</v>
      </c>
      <c r="D8021">
        <v>19.952442974447202</v>
      </c>
      <c r="E8021">
        <v>8</v>
      </c>
      <c r="F8021">
        <v>3150</v>
      </c>
      <c r="G8021">
        <v>5</v>
      </c>
      <c r="H8021">
        <v>3</v>
      </c>
      <c r="I8021">
        <v>2002</v>
      </c>
      <c r="J8021">
        <v>1</v>
      </c>
      <c r="K8021">
        <v>1</v>
      </c>
      <c r="L8021">
        <v>0</v>
      </c>
      <c r="M8021">
        <v>8</v>
      </c>
      <c r="N8021" t="s">
        <v>37</v>
      </c>
      <c r="O8021" t="s">
        <v>32</v>
      </c>
      <c r="P8021">
        <v>2.6847956241295399</v>
      </c>
      <c r="Q8021">
        <v>1.0190705875920401</v>
      </c>
      <c r="R8021">
        <v>9.7353050020386291</v>
      </c>
      <c r="S8021">
        <v>16</v>
      </c>
      <c r="T8021">
        <v>47</v>
      </c>
      <c r="U8021">
        <v>964.51911722714999</v>
      </c>
      <c r="V8021">
        <v>2.5396825396825301E-3</v>
      </c>
      <c r="W8021">
        <v>3460638.1698254999</v>
      </c>
      <c r="X8021" t="s">
        <v>38</v>
      </c>
      <c r="Y8021">
        <f>1-963-607-7000</f>
        <v>-8569</v>
      </c>
    </row>
    <row r="8022" spans="1:25" x14ac:dyDescent="0.35">
      <c r="A8022">
        <v>40.8642001959293</v>
      </c>
      <c r="B8022">
        <v>-114.806907704157</v>
      </c>
      <c r="C8022" t="s">
        <v>25</v>
      </c>
      <c r="D8022">
        <v>14.4938516526418</v>
      </c>
      <c r="E8022">
        <v>1</v>
      </c>
      <c r="F8022">
        <v>560</v>
      </c>
      <c r="G8022">
        <v>3</v>
      </c>
      <c r="H8022">
        <v>3</v>
      </c>
      <c r="I8022">
        <v>2004</v>
      </c>
      <c r="J8022">
        <v>1</v>
      </c>
      <c r="K8022">
        <v>0</v>
      </c>
      <c r="L8022">
        <v>1</v>
      </c>
      <c r="M8022">
        <v>7</v>
      </c>
      <c r="N8022" t="s">
        <v>26</v>
      </c>
      <c r="O8022" t="s">
        <v>30</v>
      </c>
      <c r="P8022">
        <v>10.9035284670079</v>
      </c>
      <c r="Q8022">
        <v>1.8637101857882199</v>
      </c>
      <c r="R8022">
        <v>3.9213719173836399</v>
      </c>
      <c r="S8022">
        <v>125</v>
      </c>
      <c r="T8022">
        <v>67</v>
      </c>
      <c r="U8022">
        <v>935.79723495153405</v>
      </c>
      <c r="V8022">
        <v>1.2500000000000001E-2</v>
      </c>
      <c r="W8022">
        <v>851314.95733740798</v>
      </c>
      <c r="X8022" t="s">
        <v>44</v>
      </c>
      <c r="Y8022">
        <f>1-419-323-3386</f>
        <v>-4127</v>
      </c>
    </row>
    <row r="8023" spans="1:25" x14ac:dyDescent="0.35">
      <c r="A8023">
        <v>36.753087772406097</v>
      </c>
      <c r="B8023">
        <v>-115.59767275156</v>
      </c>
      <c r="C8023" t="s">
        <v>34</v>
      </c>
      <c r="D8023">
        <v>23.617043429618899</v>
      </c>
      <c r="E8023">
        <v>4</v>
      </c>
      <c r="F8023">
        <v>1585</v>
      </c>
      <c r="G8023">
        <v>3</v>
      </c>
      <c r="H8023">
        <v>1</v>
      </c>
      <c r="I8023">
        <v>1957</v>
      </c>
      <c r="J8023">
        <v>0</v>
      </c>
      <c r="K8023">
        <v>0</v>
      </c>
      <c r="L8023">
        <v>0</v>
      </c>
      <c r="M8023">
        <v>12</v>
      </c>
      <c r="N8023" t="s">
        <v>37</v>
      </c>
      <c r="O8023" t="s">
        <v>30</v>
      </c>
      <c r="P8023">
        <v>11.4512733718714</v>
      </c>
      <c r="Q8023">
        <v>0.88195036081282796</v>
      </c>
      <c r="R8023">
        <v>1.02353295493673</v>
      </c>
      <c r="S8023">
        <v>20</v>
      </c>
      <c r="T8023">
        <v>47</v>
      </c>
      <c r="U8023">
        <v>244.43812546752699</v>
      </c>
      <c r="V8023">
        <v>7.5709779179810701E-3</v>
      </c>
      <c r="W8023">
        <v>536539.40925325605</v>
      </c>
      <c r="X8023" t="s">
        <v>43</v>
      </c>
      <c r="Y8023">
        <f>1-887-483-3039</f>
        <v>-4408</v>
      </c>
    </row>
    <row r="8024" spans="1:25" x14ac:dyDescent="0.35">
      <c r="A8024">
        <v>36.059428459716202</v>
      </c>
      <c r="B8024">
        <v>-115.21332843479</v>
      </c>
      <c r="C8024" t="s">
        <v>29</v>
      </c>
      <c r="D8024">
        <v>19.609770478611701</v>
      </c>
      <c r="E8024">
        <v>0</v>
      </c>
      <c r="F8024">
        <v>750</v>
      </c>
      <c r="G8024">
        <v>4</v>
      </c>
      <c r="H8024">
        <v>1</v>
      </c>
      <c r="I8024">
        <v>1962</v>
      </c>
      <c r="J8024">
        <v>0</v>
      </c>
      <c r="K8024">
        <v>0</v>
      </c>
      <c r="L8024">
        <v>0</v>
      </c>
      <c r="M8024">
        <v>4</v>
      </c>
      <c r="N8024" t="s">
        <v>37</v>
      </c>
      <c r="O8024" t="s">
        <v>32</v>
      </c>
      <c r="P8024">
        <v>5.1967945684754202</v>
      </c>
      <c r="Q8024">
        <v>0.649898472880444</v>
      </c>
      <c r="R8024">
        <v>2.3236968688484301</v>
      </c>
      <c r="S8024">
        <v>169</v>
      </c>
      <c r="T8024">
        <v>55</v>
      </c>
      <c r="U8024">
        <v>670.67477566518403</v>
      </c>
      <c r="V8024">
        <v>5.3333333333333297E-3</v>
      </c>
      <c r="W8024">
        <v>609809.55159428099</v>
      </c>
      <c r="X8024" t="s">
        <v>38</v>
      </c>
      <c r="Y8024">
        <f>1-330-664-6586</f>
        <v>-7579</v>
      </c>
    </row>
    <row r="8025" spans="1:25" x14ac:dyDescent="0.35">
      <c r="A8025">
        <v>33.753999442612901</v>
      </c>
      <c r="B8025">
        <v>-115.211211598848</v>
      </c>
      <c r="C8025" t="s">
        <v>34</v>
      </c>
      <c r="D8025">
        <v>31.963710521210199</v>
      </c>
      <c r="E8025">
        <v>6</v>
      </c>
      <c r="F8025">
        <v>1225</v>
      </c>
      <c r="G8025">
        <v>3</v>
      </c>
      <c r="H8025">
        <v>1</v>
      </c>
      <c r="I8025">
        <v>1965</v>
      </c>
      <c r="J8025">
        <v>1</v>
      </c>
      <c r="K8025">
        <v>0</v>
      </c>
      <c r="L8025">
        <v>1</v>
      </c>
      <c r="M8025">
        <v>5</v>
      </c>
      <c r="N8025" t="s">
        <v>26</v>
      </c>
      <c r="O8025" t="s">
        <v>30</v>
      </c>
      <c r="P8025">
        <v>4.87661016292678</v>
      </c>
      <c r="Q8025">
        <v>1.5416124276633301</v>
      </c>
      <c r="R8025">
        <v>1.1000089263271799</v>
      </c>
      <c r="S8025">
        <v>155</v>
      </c>
      <c r="T8025">
        <v>43</v>
      </c>
      <c r="U8025">
        <v>966.11949360292499</v>
      </c>
      <c r="V8025">
        <v>4.0816326530612197E-3</v>
      </c>
      <c r="W8025">
        <v>1314152.7414689099</v>
      </c>
      <c r="X8025" t="s">
        <v>38</v>
      </c>
      <c r="Y8025">
        <f>1-910-590-7417</f>
        <v>-8916</v>
      </c>
    </row>
    <row r="8026" spans="1:25" x14ac:dyDescent="0.35">
      <c r="A8026">
        <v>40.461533094688399</v>
      </c>
      <c r="B8026">
        <v>-121.307118589493</v>
      </c>
      <c r="C8026" t="s">
        <v>34</v>
      </c>
      <c r="D8026">
        <v>14.241434496467701</v>
      </c>
      <c r="E8026">
        <v>4</v>
      </c>
      <c r="F8026">
        <v>4757</v>
      </c>
      <c r="G8026">
        <v>5</v>
      </c>
      <c r="H8026">
        <v>3</v>
      </c>
      <c r="I8026">
        <v>1984</v>
      </c>
      <c r="J8026">
        <v>1</v>
      </c>
      <c r="K8026">
        <v>1</v>
      </c>
      <c r="L8026">
        <v>0</v>
      </c>
      <c r="M8026">
        <v>14</v>
      </c>
      <c r="N8026" t="s">
        <v>26</v>
      </c>
      <c r="O8026" t="s">
        <v>27</v>
      </c>
      <c r="P8026">
        <v>5.3424052683018299</v>
      </c>
      <c r="Q8026">
        <v>1.00098295825423</v>
      </c>
      <c r="R8026">
        <v>3.2800948733603401</v>
      </c>
      <c r="S8026">
        <v>63</v>
      </c>
      <c r="T8026">
        <v>53</v>
      </c>
      <c r="U8026">
        <v>517.01981596785004</v>
      </c>
      <c r="V8026">
        <v>2.9430313222619298E-3</v>
      </c>
      <c r="W8026">
        <v>2825921.4387666499</v>
      </c>
      <c r="X8026" t="s">
        <v>31</v>
      </c>
      <c r="Y8026">
        <f>1-350-711-3217</f>
        <v>-4277</v>
      </c>
    </row>
    <row r="8027" spans="1:25" x14ac:dyDescent="0.35">
      <c r="A8027">
        <v>33.002540048717997</v>
      </c>
      <c r="B8027">
        <v>-114.064795607862</v>
      </c>
      <c r="C8027" t="s">
        <v>29</v>
      </c>
      <c r="D8027">
        <v>15.752551704183499</v>
      </c>
      <c r="E8027">
        <v>0</v>
      </c>
      <c r="F8027">
        <v>4155</v>
      </c>
      <c r="G8027">
        <v>4</v>
      </c>
      <c r="H8027">
        <v>1</v>
      </c>
      <c r="I8027">
        <v>1972</v>
      </c>
      <c r="J8027">
        <v>1</v>
      </c>
      <c r="K8027">
        <v>1</v>
      </c>
      <c r="L8027">
        <v>0</v>
      </c>
      <c r="M8027">
        <v>4</v>
      </c>
      <c r="N8027" t="s">
        <v>41</v>
      </c>
      <c r="O8027" t="s">
        <v>27</v>
      </c>
      <c r="P8027">
        <v>9.3171350611593393</v>
      </c>
      <c r="Q8027">
        <v>2.08672468467734</v>
      </c>
      <c r="R8027">
        <v>0.93418639711978302</v>
      </c>
      <c r="S8027">
        <v>139</v>
      </c>
      <c r="T8027">
        <v>37</v>
      </c>
      <c r="U8027">
        <v>442.02353756717901</v>
      </c>
      <c r="V8027">
        <v>9.6269554753309196E-4</v>
      </c>
      <c r="W8027">
        <v>2175419.5408407398</v>
      </c>
      <c r="X8027" t="s">
        <v>40</v>
      </c>
      <c r="Y8027">
        <f>1-888-703-1384</f>
        <v>-2974</v>
      </c>
    </row>
    <row r="8028" spans="1:25" x14ac:dyDescent="0.35">
      <c r="A8028">
        <v>40.655454825295699</v>
      </c>
      <c r="B8028">
        <v>-118.17288501097801</v>
      </c>
      <c r="C8028" t="s">
        <v>29</v>
      </c>
      <c r="D8028">
        <v>49.556482209971897</v>
      </c>
      <c r="E8028">
        <v>6</v>
      </c>
      <c r="F8028">
        <v>4631</v>
      </c>
      <c r="G8028">
        <v>4</v>
      </c>
      <c r="H8028">
        <v>3</v>
      </c>
      <c r="I8028">
        <v>1957</v>
      </c>
      <c r="J8028">
        <v>0</v>
      </c>
      <c r="K8028">
        <v>1</v>
      </c>
      <c r="L8028">
        <v>0</v>
      </c>
      <c r="M8028">
        <v>11</v>
      </c>
      <c r="N8028" t="s">
        <v>35</v>
      </c>
      <c r="O8028" t="s">
        <v>30</v>
      </c>
      <c r="P8028">
        <v>2.8259851563274099</v>
      </c>
      <c r="Q8028">
        <v>0.78528490581454902</v>
      </c>
      <c r="R8028">
        <v>2.7411290752291801</v>
      </c>
      <c r="S8028">
        <v>50</v>
      </c>
      <c r="T8028">
        <v>35</v>
      </c>
      <c r="U8028">
        <v>680.396573744644</v>
      </c>
      <c r="V8028">
        <v>2.37529691211401E-3</v>
      </c>
      <c r="W8028">
        <v>3463912.2947029299</v>
      </c>
      <c r="X8028" t="s">
        <v>39</v>
      </c>
      <c r="Y8028">
        <f>1-837-923-2560</f>
        <v>-4319</v>
      </c>
    </row>
    <row r="8029" spans="1:25" x14ac:dyDescent="0.35">
      <c r="A8029">
        <v>36.069724703106303</v>
      </c>
      <c r="B8029">
        <v>-118.079275191853</v>
      </c>
      <c r="C8029" t="s">
        <v>29</v>
      </c>
      <c r="D8029">
        <v>5.1820995750078502</v>
      </c>
      <c r="E8029">
        <v>7</v>
      </c>
      <c r="F8029">
        <v>1001</v>
      </c>
      <c r="G8029">
        <v>1</v>
      </c>
      <c r="H8029">
        <v>3</v>
      </c>
      <c r="I8029">
        <v>1984</v>
      </c>
      <c r="J8029">
        <v>0</v>
      </c>
      <c r="K8029">
        <v>1</v>
      </c>
      <c r="L8029">
        <v>0</v>
      </c>
      <c r="M8029">
        <v>9</v>
      </c>
      <c r="N8029" t="s">
        <v>37</v>
      </c>
      <c r="O8029" t="s">
        <v>30</v>
      </c>
      <c r="P8029">
        <v>13.277994131307601</v>
      </c>
      <c r="Q8029">
        <v>2.1954483549128301</v>
      </c>
      <c r="R8029">
        <v>8.5025808424023595</v>
      </c>
      <c r="S8029">
        <v>142</v>
      </c>
      <c r="T8029">
        <v>49</v>
      </c>
      <c r="U8029">
        <v>614.272419450705</v>
      </c>
      <c r="V8029">
        <v>8.9910089910089901E-3</v>
      </c>
      <c r="W8029">
        <v>939596.18781296699</v>
      </c>
      <c r="X8029" t="s">
        <v>28</v>
      </c>
      <c r="Y8029">
        <f>1-252-324-3287</f>
        <v>-3862</v>
      </c>
    </row>
    <row r="8030" spans="1:25" x14ac:dyDescent="0.35">
      <c r="A8030">
        <v>39.353599122054298</v>
      </c>
      <c r="B8030">
        <v>-118.021525975934</v>
      </c>
      <c r="C8030" t="s">
        <v>34</v>
      </c>
      <c r="D8030">
        <v>18.164336891825499</v>
      </c>
      <c r="E8030">
        <v>9</v>
      </c>
      <c r="F8030">
        <v>2795</v>
      </c>
      <c r="G8030">
        <v>3</v>
      </c>
      <c r="H8030">
        <v>3</v>
      </c>
      <c r="I8030">
        <v>1961</v>
      </c>
      <c r="J8030">
        <v>0</v>
      </c>
      <c r="K8030">
        <v>0</v>
      </c>
      <c r="L8030">
        <v>1</v>
      </c>
      <c r="M8030">
        <v>9</v>
      </c>
      <c r="N8030" t="s">
        <v>35</v>
      </c>
      <c r="O8030" t="s">
        <v>30</v>
      </c>
      <c r="P8030">
        <v>10.334492228451101</v>
      </c>
      <c r="Q8030">
        <v>1.0450509763745599</v>
      </c>
      <c r="R8030">
        <v>8.39460729788801</v>
      </c>
      <c r="S8030">
        <v>27</v>
      </c>
      <c r="T8030">
        <v>31</v>
      </c>
      <c r="U8030">
        <v>778.56274813229595</v>
      </c>
      <c r="V8030">
        <v>3.2200357781753102E-3</v>
      </c>
      <c r="W8030">
        <v>2457506.4798062099</v>
      </c>
      <c r="X8030" t="s">
        <v>42</v>
      </c>
      <c r="Y8030">
        <f>1-306-597-7896</f>
        <v>-8798</v>
      </c>
    </row>
    <row r="8031" spans="1:25" x14ac:dyDescent="0.35">
      <c r="A8031">
        <v>38.4573103343713</v>
      </c>
      <c r="B8031">
        <v>-114.11851838730701</v>
      </c>
      <c r="C8031" t="s">
        <v>25</v>
      </c>
      <c r="D8031">
        <v>27.992312171232101</v>
      </c>
      <c r="E8031">
        <v>7</v>
      </c>
      <c r="F8031">
        <v>4808</v>
      </c>
      <c r="G8031">
        <v>4</v>
      </c>
      <c r="H8031">
        <v>2</v>
      </c>
      <c r="I8031">
        <v>2019</v>
      </c>
      <c r="J8031">
        <v>0</v>
      </c>
      <c r="K8031">
        <v>1</v>
      </c>
      <c r="L8031">
        <v>1</v>
      </c>
      <c r="M8031">
        <v>3</v>
      </c>
      <c r="N8031" t="s">
        <v>41</v>
      </c>
      <c r="O8031" t="s">
        <v>30</v>
      </c>
      <c r="P8031">
        <v>9.1892828766437091</v>
      </c>
      <c r="Q8031">
        <v>0.79158654420557795</v>
      </c>
      <c r="R8031">
        <v>7.7525908246150896</v>
      </c>
      <c r="S8031">
        <v>53</v>
      </c>
      <c r="T8031">
        <v>43</v>
      </c>
      <c r="U8031">
        <v>279.19299105030098</v>
      </c>
      <c r="V8031">
        <v>6.2396006655573999E-4</v>
      </c>
      <c r="W8031">
        <v>1811138.1955560199</v>
      </c>
      <c r="X8031" t="s">
        <v>39</v>
      </c>
      <c r="Y8031">
        <f>1-301-496-7848</f>
        <v>-8644</v>
      </c>
    </row>
    <row r="8032" spans="1:25" x14ac:dyDescent="0.35">
      <c r="A8032">
        <v>36.549898900364603</v>
      </c>
      <c r="B8032">
        <v>-117.340137095758</v>
      </c>
      <c r="C8032" t="s">
        <v>25</v>
      </c>
      <c r="D8032">
        <v>45.163832588731097</v>
      </c>
      <c r="E8032">
        <v>1</v>
      </c>
      <c r="F8032">
        <v>3128</v>
      </c>
      <c r="G8032">
        <v>2</v>
      </c>
      <c r="H8032">
        <v>1</v>
      </c>
      <c r="I8032">
        <v>2008</v>
      </c>
      <c r="J8032">
        <v>0</v>
      </c>
      <c r="K8032">
        <v>0</v>
      </c>
      <c r="L8032">
        <v>0</v>
      </c>
      <c r="M8032">
        <v>7</v>
      </c>
      <c r="N8032" t="s">
        <v>37</v>
      </c>
      <c r="O8032" t="s">
        <v>27</v>
      </c>
      <c r="P8032">
        <v>11.7481147604258</v>
      </c>
      <c r="Q8032">
        <v>2.2558790366291102</v>
      </c>
      <c r="R8032">
        <v>2.2175232135223601</v>
      </c>
      <c r="S8032">
        <v>128</v>
      </c>
      <c r="T8032">
        <v>41</v>
      </c>
      <c r="U8032">
        <v>575.517532820714</v>
      </c>
      <c r="V8032">
        <v>2.2378516624040898E-3</v>
      </c>
      <c r="W8032">
        <v>1961331.63700627</v>
      </c>
      <c r="X8032" t="s">
        <v>33</v>
      </c>
      <c r="Y8032">
        <f>1-593-991-6880</f>
        <v>-8463</v>
      </c>
    </row>
    <row r="8033" spans="1:25" x14ac:dyDescent="0.35">
      <c r="A8033">
        <v>38.075773316761598</v>
      </c>
      <c r="B8033">
        <v>-120.221877941206</v>
      </c>
      <c r="C8033" t="s">
        <v>29</v>
      </c>
      <c r="D8033">
        <v>24.115348761196</v>
      </c>
      <c r="E8033">
        <v>9</v>
      </c>
      <c r="F8033">
        <v>1506</v>
      </c>
      <c r="G8033">
        <v>1</v>
      </c>
      <c r="H8033">
        <v>1</v>
      </c>
      <c r="I8033">
        <v>2009</v>
      </c>
      <c r="J8033">
        <v>0</v>
      </c>
      <c r="K8033">
        <v>0</v>
      </c>
      <c r="L8033">
        <v>1</v>
      </c>
      <c r="M8033">
        <v>7</v>
      </c>
      <c r="N8033" t="s">
        <v>35</v>
      </c>
      <c r="O8033" t="s">
        <v>32</v>
      </c>
      <c r="P8033">
        <v>14.431475068568</v>
      </c>
      <c r="Q8033">
        <v>2.29207103545524</v>
      </c>
      <c r="R8033">
        <v>9.8492815040258392</v>
      </c>
      <c r="S8033">
        <v>176</v>
      </c>
      <c r="T8033">
        <v>46</v>
      </c>
      <c r="U8033">
        <v>670.25370479452499</v>
      </c>
      <c r="V8033">
        <v>4.6480743691899003E-3</v>
      </c>
      <c r="W8033">
        <v>1146834.2678161699</v>
      </c>
      <c r="X8033" t="s">
        <v>38</v>
      </c>
      <c r="Y8033">
        <f>1-375-839-8454</f>
        <v>-9667</v>
      </c>
    </row>
    <row r="8034" spans="1:25" x14ac:dyDescent="0.35">
      <c r="A8034">
        <v>37.866386200678001</v>
      </c>
      <c r="B8034">
        <v>-124.307399743358</v>
      </c>
      <c r="C8034" t="s">
        <v>25</v>
      </c>
      <c r="D8034">
        <v>34.353038118569799</v>
      </c>
      <c r="E8034">
        <v>5</v>
      </c>
      <c r="F8034">
        <v>4733</v>
      </c>
      <c r="G8034">
        <v>4</v>
      </c>
      <c r="H8034">
        <v>1</v>
      </c>
      <c r="I8034">
        <v>1963</v>
      </c>
      <c r="J8034">
        <v>1</v>
      </c>
      <c r="K8034">
        <v>1</v>
      </c>
      <c r="L8034">
        <v>1</v>
      </c>
      <c r="M8034">
        <v>8</v>
      </c>
      <c r="N8034" t="s">
        <v>35</v>
      </c>
      <c r="O8034" t="s">
        <v>32</v>
      </c>
      <c r="P8034">
        <v>3.2750288984344902</v>
      </c>
      <c r="Q8034">
        <v>1.13404454042765</v>
      </c>
      <c r="R8034">
        <v>2.8612154595396899</v>
      </c>
      <c r="S8034">
        <v>113</v>
      </c>
      <c r="T8034">
        <v>78</v>
      </c>
      <c r="U8034">
        <v>267.03710943835802</v>
      </c>
      <c r="V8034">
        <v>1.69025987745615E-3</v>
      </c>
      <c r="W8034">
        <v>1553759.0171081701</v>
      </c>
      <c r="X8034" t="s">
        <v>28</v>
      </c>
      <c r="Y8034">
        <f>1-516-418-3682</f>
        <v>-4615</v>
      </c>
    </row>
    <row r="8035" spans="1:25" x14ac:dyDescent="0.35">
      <c r="A8035">
        <v>40.6314011469726</v>
      </c>
      <c r="B8035">
        <v>-120.02525273515801</v>
      </c>
      <c r="C8035" t="s">
        <v>29</v>
      </c>
      <c r="D8035">
        <v>17.7458609248241</v>
      </c>
      <c r="E8035">
        <v>7</v>
      </c>
      <c r="F8035">
        <v>1058</v>
      </c>
      <c r="G8035">
        <v>1</v>
      </c>
      <c r="H8035">
        <v>2</v>
      </c>
      <c r="I8035">
        <v>1999</v>
      </c>
      <c r="J8035">
        <v>0</v>
      </c>
      <c r="K8035">
        <v>0</v>
      </c>
      <c r="L8035">
        <v>0</v>
      </c>
      <c r="M8035">
        <v>11</v>
      </c>
      <c r="N8035" t="s">
        <v>37</v>
      </c>
      <c r="O8035" t="s">
        <v>30</v>
      </c>
      <c r="P8035">
        <v>6.1306587006903603</v>
      </c>
      <c r="Q8035">
        <v>1.97131325187566</v>
      </c>
      <c r="R8035">
        <v>7.8952747202700104</v>
      </c>
      <c r="S8035">
        <v>188</v>
      </c>
      <c r="T8035">
        <v>43</v>
      </c>
      <c r="U8035">
        <v>973.52695334441705</v>
      </c>
      <c r="V8035">
        <v>1.0396975425330799E-2</v>
      </c>
      <c r="W8035">
        <v>1030485.37007714</v>
      </c>
      <c r="X8035" t="s">
        <v>38</v>
      </c>
      <c r="Y8035">
        <f>1-936-379-6227</f>
        <v>-7541</v>
      </c>
    </row>
    <row r="8036" spans="1:25" x14ac:dyDescent="0.35">
      <c r="A8036">
        <v>36.397704051305602</v>
      </c>
      <c r="B8036">
        <v>-121.428125740718</v>
      </c>
      <c r="C8036" t="s">
        <v>29</v>
      </c>
      <c r="D8036">
        <v>35.547054515283598</v>
      </c>
      <c r="E8036">
        <v>5</v>
      </c>
      <c r="F8036">
        <v>1435</v>
      </c>
      <c r="G8036">
        <v>5</v>
      </c>
      <c r="H8036">
        <v>2</v>
      </c>
      <c r="I8036">
        <v>1957</v>
      </c>
      <c r="J8036">
        <v>1</v>
      </c>
      <c r="K8036">
        <v>1</v>
      </c>
      <c r="L8036">
        <v>0</v>
      </c>
      <c r="M8036">
        <v>11</v>
      </c>
      <c r="N8036" t="s">
        <v>26</v>
      </c>
      <c r="O8036" t="s">
        <v>30</v>
      </c>
      <c r="P8036">
        <v>8.8181714875158104</v>
      </c>
      <c r="Q8036">
        <v>2.3474772926231702</v>
      </c>
      <c r="R8036">
        <v>7.2234757165608796</v>
      </c>
      <c r="S8036">
        <v>173</v>
      </c>
      <c r="T8036">
        <v>77</v>
      </c>
      <c r="U8036">
        <v>700.60612744795003</v>
      </c>
      <c r="V8036">
        <v>7.6655052264808302E-3</v>
      </c>
      <c r="W8036">
        <v>1381647.21872695</v>
      </c>
      <c r="X8036" t="s">
        <v>38</v>
      </c>
      <c r="Y8036">
        <f>1-505-634-4353</f>
        <v>-5491</v>
      </c>
    </row>
    <row r="8037" spans="1:25" x14ac:dyDescent="0.35">
      <c r="A8037">
        <v>40.6872748287702</v>
      </c>
      <c r="B8037">
        <v>-123.144046822116</v>
      </c>
      <c r="C8037" t="s">
        <v>25</v>
      </c>
      <c r="D8037">
        <v>43.635169534112599</v>
      </c>
      <c r="E8037">
        <v>1</v>
      </c>
      <c r="F8037">
        <v>3760</v>
      </c>
      <c r="G8037">
        <v>4</v>
      </c>
      <c r="H8037">
        <v>2</v>
      </c>
      <c r="I8037">
        <v>2011</v>
      </c>
      <c r="J8037">
        <v>1</v>
      </c>
      <c r="K8037">
        <v>0</v>
      </c>
      <c r="L8037">
        <v>0</v>
      </c>
      <c r="M8037">
        <v>6</v>
      </c>
      <c r="N8037" t="s">
        <v>41</v>
      </c>
      <c r="O8037" t="s">
        <v>27</v>
      </c>
      <c r="P8037">
        <v>8.0121001026556193</v>
      </c>
      <c r="Q8037">
        <v>1.3442577172301799</v>
      </c>
      <c r="R8037">
        <v>6.90168291982312</v>
      </c>
      <c r="S8037">
        <v>140</v>
      </c>
      <c r="T8037">
        <v>68</v>
      </c>
      <c r="U8037">
        <v>726.64262517820305</v>
      </c>
      <c r="V8037">
        <v>1.5957446808510601E-3</v>
      </c>
      <c r="W8037">
        <v>3067590.3959872802</v>
      </c>
      <c r="X8037" t="s">
        <v>28</v>
      </c>
      <c r="Y8037">
        <f>1-308-832-8006</f>
        <v>-9145</v>
      </c>
    </row>
    <row r="8038" spans="1:25" x14ac:dyDescent="0.35">
      <c r="A8038">
        <v>38.765495225419201</v>
      </c>
      <c r="B8038">
        <v>-120.558267357391</v>
      </c>
      <c r="C8038" t="s">
        <v>29</v>
      </c>
      <c r="D8038">
        <v>1.97136297879609</v>
      </c>
      <c r="E8038">
        <v>2</v>
      </c>
      <c r="F8038">
        <v>3308</v>
      </c>
      <c r="G8038">
        <v>2</v>
      </c>
      <c r="H8038">
        <v>2</v>
      </c>
      <c r="I8038">
        <v>2003</v>
      </c>
      <c r="J8038">
        <v>0</v>
      </c>
      <c r="K8038">
        <v>0</v>
      </c>
      <c r="L8038">
        <v>1</v>
      </c>
      <c r="M8038">
        <v>8</v>
      </c>
      <c r="N8038" t="s">
        <v>26</v>
      </c>
      <c r="O8038" t="s">
        <v>32</v>
      </c>
      <c r="P8038">
        <v>4.7868620267242203</v>
      </c>
      <c r="Q8038">
        <v>2.2465698997003898</v>
      </c>
      <c r="R8038">
        <v>5.62535378512161</v>
      </c>
      <c r="S8038">
        <v>55</v>
      </c>
      <c r="T8038">
        <v>57</v>
      </c>
      <c r="U8038">
        <v>607.61924037716096</v>
      </c>
      <c r="V8038">
        <v>2.4183796856106399E-3</v>
      </c>
      <c r="W8038">
        <v>2177792.56733674</v>
      </c>
      <c r="X8038" t="s">
        <v>39</v>
      </c>
      <c r="Y8038">
        <f>1-750-969-5088</f>
        <v>-6806</v>
      </c>
    </row>
    <row r="8039" spans="1:25" x14ac:dyDescent="0.35">
      <c r="A8039">
        <v>38.022391448413302</v>
      </c>
      <c r="B8039">
        <v>-119.36529746466501</v>
      </c>
      <c r="C8039" t="s">
        <v>29</v>
      </c>
      <c r="D8039">
        <v>13.926479413390499</v>
      </c>
      <c r="E8039">
        <v>6</v>
      </c>
      <c r="F8039">
        <v>546</v>
      </c>
      <c r="G8039">
        <v>5</v>
      </c>
      <c r="H8039">
        <v>1</v>
      </c>
      <c r="I8039">
        <v>1957</v>
      </c>
      <c r="J8039">
        <v>0</v>
      </c>
      <c r="K8039">
        <v>1</v>
      </c>
      <c r="L8039">
        <v>0</v>
      </c>
      <c r="M8039">
        <v>11</v>
      </c>
      <c r="N8039" t="s">
        <v>37</v>
      </c>
      <c r="O8039" t="s">
        <v>32</v>
      </c>
      <c r="P8039">
        <v>6.0737266347292698</v>
      </c>
      <c r="Q8039">
        <v>1.38566776320422</v>
      </c>
      <c r="R8039">
        <v>6.1314268675905499</v>
      </c>
      <c r="S8039">
        <v>105</v>
      </c>
      <c r="T8039">
        <v>35</v>
      </c>
      <c r="U8039">
        <v>971.62765340683598</v>
      </c>
      <c r="V8039">
        <v>2.0146520146520099E-2</v>
      </c>
      <c r="W8039">
        <v>804508.29807150003</v>
      </c>
      <c r="X8039" t="s">
        <v>40</v>
      </c>
      <c r="Y8039">
        <f>1-347-903-6633</f>
        <v>-7882</v>
      </c>
    </row>
    <row r="8040" spans="1:25" x14ac:dyDescent="0.35">
      <c r="A8040">
        <v>39.1510860607208</v>
      </c>
      <c r="B8040">
        <v>-115.53456229023701</v>
      </c>
      <c r="C8040" t="s">
        <v>25</v>
      </c>
      <c r="D8040">
        <v>27.474248630862299</v>
      </c>
      <c r="E8040">
        <v>5</v>
      </c>
      <c r="F8040">
        <v>1178</v>
      </c>
      <c r="G8040">
        <v>1</v>
      </c>
      <c r="H8040">
        <v>2</v>
      </c>
      <c r="I8040">
        <v>1992</v>
      </c>
      <c r="J8040">
        <v>0</v>
      </c>
      <c r="K8040">
        <v>0</v>
      </c>
      <c r="L8040">
        <v>1</v>
      </c>
      <c r="M8040">
        <v>13</v>
      </c>
      <c r="N8040" t="s">
        <v>35</v>
      </c>
      <c r="O8040" t="s">
        <v>30</v>
      </c>
      <c r="P8040">
        <v>13.204245311502801</v>
      </c>
      <c r="Q8040">
        <v>0.61297678615542195</v>
      </c>
      <c r="R8040">
        <v>6.8148224829785002</v>
      </c>
      <c r="S8040">
        <v>192</v>
      </c>
      <c r="T8040">
        <v>24</v>
      </c>
      <c r="U8040">
        <v>765.22254217342402</v>
      </c>
      <c r="V8040">
        <v>1.10356536502546E-2</v>
      </c>
      <c r="W8040">
        <v>1100492.1655614499</v>
      </c>
      <c r="X8040" t="s">
        <v>43</v>
      </c>
      <c r="Y8040">
        <f>1-604-284-3436</f>
        <v>-4323</v>
      </c>
    </row>
    <row r="8041" spans="1:25" x14ac:dyDescent="0.35">
      <c r="A8041">
        <v>33.674653260540502</v>
      </c>
      <c r="B8041">
        <v>-123.76189124232801</v>
      </c>
      <c r="C8041" t="s">
        <v>25</v>
      </c>
      <c r="D8041">
        <v>45.343314840369601</v>
      </c>
      <c r="E8041">
        <v>1</v>
      </c>
      <c r="F8041">
        <v>1855</v>
      </c>
      <c r="G8041">
        <v>5</v>
      </c>
      <c r="H8041">
        <v>1</v>
      </c>
      <c r="I8041">
        <v>1963</v>
      </c>
      <c r="J8041">
        <v>0</v>
      </c>
      <c r="K8041">
        <v>1</v>
      </c>
      <c r="L8041">
        <v>0</v>
      </c>
      <c r="M8041">
        <v>2</v>
      </c>
      <c r="N8041" t="s">
        <v>26</v>
      </c>
      <c r="O8041" t="s">
        <v>27</v>
      </c>
      <c r="P8041">
        <v>11.503513899233299</v>
      </c>
      <c r="Q8041">
        <v>2.23748913115754</v>
      </c>
      <c r="R8041">
        <v>1.5266655602667E-2</v>
      </c>
      <c r="S8041">
        <v>123</v>
      </c>
      <c r="T8041">
        <v>22</v>
      </c>
      <c r="U8041">
        <v>673.85472310474699</v>
      </c>
      <c r="V8041">
        <v>1.0781671159029601E-3</v>
      </c>
      <c r="W8041">
        <v>1637556.76520436</v>
      </c>
      <c r="X8041" t="s">
        <v>28</v>
      </c>
      <c r="Y8041">
        <f>1-389-978-8020</f>
        <v>-9386</v>
      </c>
    </row>
    <row r="8042" spans="1:25" x14ac:dyDescent="0.35">
      <c r="A8042">
        <v>38.396788941515197</v>
      </c>
      <c r="B8042">
        <v>-119.39155617605</v>
      </c>
      <c r="C8042" t="s">
        <v>25</v>
      </c>
      <c r="D8042">
        <v>4.8374689272469302</v>
      </c>
      <c r="E8042">
        <v>8</v>
      </c>
      <c r="F8042">
        <v>3448</v>
      </c>
      <c r="G8042">
        <v>3</v>
      </c>
      <c r="H8042">
        <v>1</v>
      </c>
      <c r="I8042">
        <v>1959</v>
      </c>
      <c r="J8042">
        <v>1</v>
      </c>
      <c r="K8042">
        <v>1</v>
      </c>
      <c r="L8042">
        <v>1</v>
      </c>
      <c r="M8042">
        <v>14</v>
      </c>
      <c r="N8042" t="s">
        <v>26</v>
      </c>
      <c r="O8042" t="s">
        <v>27</v>
      </c>
      <c r="P8042">
        <v>14.698655860325401</v>
      </c>
      <c r="Q8042">
        <v>0.83362193495854198</v>
      </c>
      <c r="R8042">
        <v>6.0004733638331302</v>
      </c>
      <c r="S8042">
        <v>101</v>
      </c>
      <c r="T8042">
        <v>72</v>
      </c>
      <c r="U8042">
        <v>912.864702332874</v>
      </c>
      <c r="V8042">
        <v>4.06032482598607E-3</v>
      </c>
      <c r="W8042">
        <v>3530561.53897702</v>
      </c>
      <c r="X8042" t="s">
        <v>42</v>
      </c>
      <c r="Y8042">
        <f>1-203-787-4809</f>
        <v>-5798</v>
      </c>
    </row>
    <row r="8043" spans="1:25" x14ac:dyDescent="0.35">
      <c r="A8043">
        <v>39.883175819523998</v>
      </c>
      <c r="B8043">
        <v>-124.344787417425</v>
      </c>
      <c r="C8043" t="s">
        <v>29</v>
      </c>
      <c r="D8043">
        <v>29.613952640749002</v>
      </c>
      <c r="E8043">
        <v>6</v>
      </c>
      <c r="F8043">
        <v>3702</v>
      </c>
      <c r="G8043">
        <v>3</v>
      </c>
      <c r="H8043">
        <v>3</v>
      </c>
      <c r="I8043">
        <v>1961</v>
      </c>
      <c r="J8043">
        <v>0</v>
      </c>
      <c r="K8043">
        <v>1</v>
      </c>
      <c r="L8043">
        <v>0</v>
      </c>
      <c r="M8043">
        <v>3</v>
      </c>
      <c r="N8043" t="s">
        <v>35</v>
      </c>
      <c r="O8043" t="s">
        <v>30</v>
      </c>
      <c r="P8043">
        <v>11.530636770168099</v>
      </c>
      <c r="Q8043">
        <v>1.5476332692738</v>
      </c>
      <c r="R8043">
        <v>8.3255529378453108</v>
      </c>
      <c r="S8043">
        <v>163</v>
      </c>
      <c r="T8043">
        <v>31</v>
      </c>
      <c r="U8043">
        <v>879.58381517096598</v>
      </c>
      <c r="V8043">
        <v>8.1037277147487797E-4</v>
      </c>
      <c r="W8043">
        <v>3445035.51710536</v>
      </c>
      <c r="X8043" t="s">
        <v>38</v>
      </c>
      <c r="Y8043">
        <f>1-953-741-6655</f>
        <v>-8348</v>
      </c>
    </row>
    <row r="8044" spans="1:25" x14ac:dyDescent="0.35">
      <c r="A8044">
        <v>35.234959282077298</v>
      </c>
      <c r="B8044">
        <v>-117.07471120141</v>
      </c>
      <c r="C8044" t="s">
        <v>25</v>
      </c>
      <c r="D8044">
        <v>26.384476703278999</v>
      </c>
      <c r="E8044">
        <v>0</v>
      </c>
      <c r="F8044">
        <v>1244</v>
      </c>
      <c r="G8044">
        <v>3</v>
      </c>
      <c r="H8044">
        <v>2</v>
      </c>
      <c r="I8044">
        <v>1993</v>
      </c>
      <c r="J8044">
        <v>1</v>
      </c>
      <c r="K8044">
        <v>1</v>
      </c>
      <c r="L8044">
        <v>1</v>
      </c>
      <c r="M8044">
        <v>3</v>
      </c>
      <c r="N8044" t="s">
        <v>26</v>
      </c>
      <c r="O8044" t="s">
        <v>30</v>
      </c>
      <c r="P8044">
        <v>11.294989919445801</v>
      </c>
      <c r="Q8044">
        <v>0.90041718479161104</v>
      </c>
      <c r="R8044">
        <v>3.2606028983995099</v>
      </c>
      <c r="S8044">
        <v>73</v>
      </c>
      <c r="T8044">
        <v>23</v>
      </c>
      <c r="U8044">
        <v>464.39721388664702</v>
      </c>
      <c r="V8044">
        <v>2.41157556270096E-3</v>
      </c>
      <c r="W8044">
        <v>977240.46693409595</v>
      </c>
      <c r="X8044" t="s">
        <v>38</v>
      </c>
      <c r="Y8044">
        <f>1-520-703-5743</f>
        <v>-6965</v>
      </c>
    </row>
    <row r="8045" spans="1:25" x14ac:dyDescent="0.35">
      <c r="A8045">
        <v>38.049665567816703</v>
      </c>
      <c r="B8045">
        <v>-116.741762320943</v>
      </c>
      <c r="C8045" t="s">
        <v>34</v>
      </c>
      <c r="D8045">
        <v>22.252229353348898</v>
      </c>
      <c r="E8045">
        <v>2</v>
      </c>
      <c r="F8045">
        <v>2318</v>
      </c>
      <c r="G8045">
        <v>3</v>
      </c>
      <c r="H8045">
        <v>1</v>
      </c>
      <c r="I8045">
        <v>2008</v>
      </c>
      <c r="J8045">
        <v>0</v>
      </c>
      <c r="K8045">
        <v>0</v>
      </c>
      <c r="L8045">
        <v>1</v>
      </c>
      <c r="M8045">
        <v>12</v>
      </c>
      <c r="N8045" t="s">
        <v>41</v>
      </c>
      <c r="O8045" t="s">
        <v>27</v>
      </c>
      <c r="P8045">
        <v>9.7848913429945394</v>
      </c>
      <c r="Q8045">
        <v>1.33404962882099</v>
      </c>
      <c r="R8045">
        <v>4.1980857346706104</v>
      </c>
      <c r="S8045">
        <v>115</v>
      </c>
      <c r="T8045">
        <v>25</v>
      </c>
      <c r="U8045">
        <v>834.96827594547699</v>
      </c>
      <c r="V8045">
        <v>5.17687661777394E-3</v>
      </c>
      <c r="W8045">
        <v>2215968.8740549502</v>
      </c>
      <c r="X8045" t="s">
        <v>44</v>
      </c>
      <c r="Y8045">
        <f>1-485-317-1175</f>
        <v>-1976</v>
      </c>
    </row>
    <row r="8046" spans="1:25" x14ac:dyDescent="0.35">
      <c r="A8046">
        <v>39.086492601053799</v>
      </c>
      <c r="B8046">
        <v>-120.82332016725699</v>
      </c>
      <c r="C8046" t="s">
        <v>25</v>
      </c>
      <c r="D8046">
        <v>4.0075979496836602</v>
      </c>
      <c r="E8046">
        <v>9</v>
      </c>
      <c r="F8046">
        <v>3697</v>
      </c>
      <c r="G8046">
        <v>1</v>
      </c>
      <c r="H8046">
        <v>1</v>
      </c>
      <c r="I8046">
        <v>2014</v>
      </c>
      <c r="J8046">
        <v>1</v>
      </c>
      <c r="K8046">
        <v>1</v>
      </c>
      <c r="L8046">
        <v>1</v>
      </c>
      <c r="M8046">
        <v>2</v>
      </c>
      <c r="N8046" t="s">
        <v>37</v>
      </c>
      <c r="O8046" t="s">
        <v>30</v>
      </c>
      <c r="P8046">
        <v>3.1498292238532501</v>
      </c>
      <c r="Q8046">
        <v>1.16320280025624</v>
      </c>
      <c r="R8046">
        <v>4.9394020830826904</v>
      </c>
      <c r="S8046">
        <v>187</v>
      </c>
      <c r="T8046">
        <v>31</v>
      </c>
      <c r="U8046">
        <v>536.45885041413999</v>
      </c>
      <c r="V8046">
        <v>5.4097917230186605E-4</v>
      </c>
      <c r="W8046">
        <v>2238828.2491596001</v>
      </c>
      <c r="X8046" t="s">
        <v>33</v>
      </c>
      <c r="Y8046">
        <f>1-205-654-5610</f>
        <v>-6468</v>
      </c>
    </row>
    <row r="8047" spans="1:25" x14ac:dyDescent="0.35">
      <c r="A8047">
        <v>37.820361604387102</v>
      </c>
      <c r="B8047">
        <v>-120.916073996148</v>
      </c>
      <c r="C8047" t="s">
        <v>34</v>
      </c>
      <c r="D8047">
        <v>35.440106885391899</v>
      </c>
      <c r="E8047">
        <v>9</v>
      </c>
      <c r="F8047">
        <v>2482</v>
      </c>
      <c r="G8047">
        <v>5</v>
      </c>
      <c r="H8047">
        <v>3</v>
      </c>
      <c r="I8047">
        <v>1951</v>
      </c>
      <c r="J8047">
        <v>1</v>
      </c>
      <c r="K8047">
        <v>0</v>
      </c>
      <c r="L8047">
        <v>1</v>
      </c>
      <c r="M8047">
        <v>12</v>
      </c>
      <c r="N8047" t="s">
        <v>41</v>
      </c>
      <c r="O8047" t="s">
        <v>27</v>
      </c>
      <c r="P8047">
        <v>9.3266356120255605</v>
      </c>
      <c r="Q8047">
        <v>1.6751962750849601</v>
      </c>
      <c r="R8047">
        <v>5.8600464819583697</v>
      </c>
      <c r="S8047">
        <v>82</v>
      </c>
      <c r="T8047">
        <v>79</v>
      </c>
      <c r="U8047">
        <v>279.91277637967602</v>
      </c>
      <c r="V8047">
        <v>4.8348106365833999E-3</v>
      </c>
      <c r="W8047">
        <v>995358.48196113203</v>
      </c>
      <c r="X8047" t="s">
        <v>28</v>
      </c>
      <c r="Y8047">
        <f>1-252-258-4959</f>
        <v>-5468</v>
      </c>
    </row>
    <row r="8048" spans="1:25" x14ac:dyDescent="0.35">
      <c r="A8048">
        <v>37.635262481718897</v>
      </c>
      <c r="B8048">
        <v>-122.879642722705</v>
      </c>
      <c r="C8048" t="s">
        <v>29</v>
      </c>
      <c r="D8048">
        <v>8.7437865320141093</v>
      </c>
      <c r="E8048">
        <v>4</v>
      </c>
      <c r="F8048">
        <v>1955</v>
      </c>
      <c r="G8048">
        <v>1</v>
      </c>
      <c r="H8048">
        <v>3</v>
      </c>
      <c r="I8048">
        <v>2004</v>
      </c>
      <c r="J8048">
        <v>0</v>
      </c>
      <c r="K8048">
        <v>1</v>
      </c>
      <c r="L8048">
        <v>1</v>
      </c>
      <c r="M8048">
        <v>9</v>
      </c>
      <c r="N8048" t="s">
        <v>37</v>
      </c>
      <c r="O8048" t="s">
        <v>32</v>
      </c>
      <c r="P8048">
        <v>14.979524842524301</v>
      </c>
      <c r="Q8048">
        <v>0.99386649296460305</v>
      </c>
      <c r="R8048">
        <v>7.6667546989135298</v>
      </c>
      <c r="S8048">
        <v>137</v>
      </c>
      <c r="T8048">
        <v>54</v>
      </c>
      <c r="U8048">
        <v>336.95235160209597</v>
      </c>
      <c r="V8048">
        <v>4.6035805626598401E-3</v>
      </c>
      <c r="W8048">
        <v>1006312.5428920001</v>
      </c>
      <c r="X8048" t="s">
        <v>43</v>
      </c>
      <c r="Y8048">
        <f>1-986-386-7268</f>
        <v>-8639</v>
      </c>
    </row>
    <row r="8049" spans="1:25" x14ac:dyDescent="0.35">
      <c r="A8049">
        <v>40.494168945204102</v>
      </c>
      <c r="B8049">
        <v>-116.74610635749499</v>
      </c>
      <c r="C8049" t="s">
        <v>29</v>
      </c>
      <c r="D8049">
        <v>7.3317373781503399</v>
      </c>
      <c r="E8049">
        <v>3</v>
      </c>
      <c r="F8049">
        <v>1149</v>
      </c>
      <c r="G8049">
        <v>5</v>
      </c>
      <c r="H8049">
        <v>3</v>
      </c>
      <c r="I8049">
        <v>1989</v>
      </c>
      <c r="J8049">
        <v>1</v>
      </c>
      <c r="K8049">
        <v>0</v>
      </c>
      <c r="L8049">
        <v>0</v>
      </c>
      <c r="M8049">
        <v>4</v>
      </c>
      <c r="N8049" t="s">
        <v>41</v>
      </c>
      <c r="O8049" t="s">
        <v>27</v>
      </c>
      <c r="P8049">
        <v>10.182546366329699</v>
      </c>
      <c r="Q8049">
        <v>1.0559612062222801</v>
      </c>
      <c r="R8049">
        <v>8.2086632703818605</v>
      </c>
      <c r="S8049">
        <v>49</v>
      </c>
      <c r="T8049">
        <v>26</v>
      </c>
      <c r="U8049">
        <v>771.37459203823903</v>
      </c>
      <c r="V8049">
        <v>3.4812880765883302E-3</v>
      </c>
      <c r="W8049">
        <v>1352317.04805665</v>
      </c>
      <c r="X8049" t="s">
        <v>36</v>
      </c>
      <c r="Y8049">
        <f>1-770-199-3707</f>
        <v>-4675</v>
      </c>
    </row>
    <row r="8050" spans="1:25" x14ac:dyDescent="0.35">
      <c r="A8050">
        <v>36.871868588932898</v>
      </c>
      <c r="B8050">
        <v>-119.79998237158</v>
      </c>
      <c r="C8050" t="s">
        <v>34</v>
      </c>
      <c r="D8050">
        <v>30.933821342526901</v>
      </c>
      <c r="E8050">
        <v>4</v>
      </c>
      <c r="F8050">
        <v>3716</v>
      </c>
      <c r="G8050">
        <v>5</v>
      </c>
      <c r="H8050">
        <v>2</v>
      </c>
      <c r="I8050">
        <v>1993</v>
      </c>
      <c r="J8050">
        <v>1</v>
      </c>
      <c r="K8050">
        <v>0</v>
      </c>
      <c r="L8050">
        <v>1</v>
      </c>
      <c r="M8050">
        <v>10</v>
      </c>
      <c r="N8050" t="s">
        <v>41</v>
      </c>
      <c r="O8050" t="s">
        <v>27</v>
      </c>
      <c r="P8050">
        <v>2.4681138038895098</v>
      </c>
      <c r="Q8050">
        <v>1.4159391027761601</v>
      </c>
      <c r="R8050">
        <v>4.49498857275033</v>
      </c>
      <c r="S8050">
        <v>58</v>
      </c>
      <c r="T8050">
        <v>70</v>
      </c>
      <c r="U8050">
        <v>498.636989666717</v>
      </c>
      <c r="V8050">
        <v>2.69106566200215E-3</v>
      </c>
      <c r="W8050">
        <v>2167176.26090146</v>
      </c>
      <c r="X8050" t="s">
        <v>44</v>
      </c>
      <c r="Y8050">
        <f>1-385-409-6011</f>
        <v>-6804</v>
      </c>
    </row>
    <row r="8051" spans="1:25" x14ac:dyDescent="0.35">
      <c r="A8051">
        <v>40.361968451840497</v>
      </c>
      <c r="B8051">
        <v>-116.52758640827</v>
      </c>
      <c r="C8051" t="s">
        <v>29</v>
      </c>
      <c r="D8051">
        <v>40.843279739436603</v>
      </c>
      <c r="E8051">
        <v>0</v>
      </c>
      <c r="F8051">
        <v>3577</v>
      </c>
      <c r="G8051">
        <v>2</v>
      </c>
      <c r="H8051">
        <v>1</v>
      </c>
      <c r="I8051">
        <v>1961</v>
      </c>
      <c r="J8051">
        <v>1</v>
      </c>
      <c r="K8051">
        <v>1</v>
      </c>
      <c r="L8051">
        <v>1</v>
      </c>
      <c r="M8051">
        <v>4</v>
      </c>
      <c r="N8051" t="s">
        <v>35</v>
      </c>
      <c r="O8051" t="s">
        <v>30</v>
      </c>
      <c r="P8051">
        <v>7.1530137404671503</v>
      </c>
      <c r="Q8051">
        <v>0.57630425998839097</v>
      </c>
      <c r="R8051">
        <v>5.1474988195990603</v>
      </c>
      <c r="S8051">
        <v>99</v>
      </c>
      <c r="T8051">
        <v>76</v>
      </c>
      <c r="U8051">
        <v>774.66707479417403</v>
      </c>
      <c r="V8051">
        <v>1.1182555213866299E-3</v>
      </c>
      <c r="W8051">
        <v>2916323.04939496</v>
      </c>
      <c r="X8051" t="s">
        <v>31</v>
      </c>
      <c r="Y8051">
        <f>1-913-568-5785</f>
        <v>-7265</v>
      </c>
    </row>
    <row r="8052" spans="1:25" x14ac:dyDescent="0.35">
      <c r="A8052">
        <v>36.549593730953703</v>
      </c>
      <c r="B8052">
        <v>-115.92469439591601</v>
      </c>
      <c r="C8052" t="s">
        <v>29</v>
      </c>
      <c r="D8052">
        <v>41.908811541311998</v>
      </c>
      <c r="E8052">
        <v>9</v>
      </c>
      <c r="F8052">
        <v>3337</v>
      </c>
      <c r="G8052">
        <v>4</v>
      </c>
      <c r="H8052">
        <v>3</v>
      </c>
      <c r="I8052">
        <v>1972</v>
      </c>
      <c r="J8052">
        <v>1</v>
      </c>
      <c r="K8052">
        <v>0</v>
      </c>
      <c r="L8052">
        <v>0</v>
      </c>
      <c r="M8052">
        <v>2</v>
      </c>
      <c r="N8052" t="s">
        <v>41</v>
      </c>
      <c r="O8052" t="s">
        <v>30</v>
      </c>
      <c r="P8052">
        <v>6.1814431003400498</v>
      </c>
      <c r="Q8052">
        <v>1.9488103609023799</v>
      </c>
      <c r="R8052">
        <v>9.4302640655861296</v>
      </c>
      <c r="S8052">
        <v>56</v>
      </c>
      <c r="T8052">
        <v>30</v>
      </c>
      <c r="U8052">
        <v>399.48720093377801</v>
      </c>
      <c r="V8052">
        <v>5.9934072520227699E-4</v>
      </c>
      <c r="W8052">
        <v>1695577.9780534401</v>
      </c>
      <c r="X8052" t="s">
        <v>40</v>
      </c>
      <c r="Y8052">
        <f>1-738-628-7687</f>
        <v>-9052</v>
      </c>
    </row>
    <row r="8053" spans="1:25" x14ac:dyDescent="0.35">
      <c r="A8053">
        <v>36.310732231128803</v>
      </c>
      <c r="B8053">
        <v>-121.16436995582301</v>
      </c>
      <c r="C8053" t="s">
        <v>29</v>
      </c>
      <c r="D8053">
        <v>12.58672856185</v>
      </c>
      <c r="E8053">
        <v>8</v>
      </c>
      <c r="F8053">
        <v>4329</v>
      </c>
      <c r="G8053">
        <v>3</v>
      </c>
      <c r="H8053">
        <v>3</v>
      </c>
      <c r="I8053">
        <v>1986</v>
      </c>
      <c r="J8053">
        <v>0</v>
      </c>
      <c r="K8053">
        <v>1</v>
      </c>
      <c r="L8053">
        <v>0</v>
      </c>
      <c r="M8053">
        <v>14</v>
      </c>
      <c r="N8053" t="s">
        <v>41</v>
      </c>
      <c r="O8053" t="s">
        <v>27</v>
      </c>
      <c r="P8053">
        <v>2.9119042854238</v>
      </c>
      <c r="Q8053">
        <v>2.4606278489985298</v>
      </c>
      <c r="R8053">
        <v>9.2034917142162005</v>
      </c>
      <c r="S8053">
        <v>75</v>
      </c>
      <c r="T8053">
        <v>61</v>
      </c>
      <c r="U8053">
        <v>941.58638485921904</v>
      </c>
      <c r="V8053">
        <v>3.23400323400323E-3</v>
      </c>
      <c r="W8053">
        <v>4257153.8019077098</v>
      </c>
      <c r="X8053" t="s">
        <v>33</v>
      </c>
      <c r="Y8053">
        <f>1-686-703-5297</f>
        <v>-6685</v>
      </c>
    </row>
    <row r="8054" spans="1:25" x14ac:dyDescent="0.35">
      <c r="A8054">
        <v>40.726543400206403</v>
      </c>
      <c r="B8054">
        <v>-114.311231219493</v>
      </c>
      <c r="C8054" t="s">
        <v>25</v>
      </c>
      <c r="D8054">
        <v>26.126438066457901</v>
      </c>
      <c r="E8054">
        <v>1</v>
      </c>
      <c r="F8054">
        <v>747</v>
      </c>
      <c r="G8054">
        <v>2</v>
      </c>
      <c r="H8054">
        <v>1</v>
      </c>
      <c r="I8054">
        <v>1952</v>
      </c>
      <c r="J8054">
        <v>0</v>
      </c>
      <c r="K8054">
        <v>1</v>
      </c>
      <c r="L8054">
        <v>0</v>
      </c>
      <c r="M8054">
        <v>13</v>
      </c>
      <c r="N8054" t="s">
        <v>35</v>
      </c>
      <c r="O8054" t="s">
        <v>30</v>
      </c>
      <c r="P8054">
        <v>7.9344023401774804</v>
      </c>
      <c r="Q8054">
        <v>0.76518631586776797</v>
      </c>
      <c r="R8054">
        <v>1.8739873429988601</v>
      </c>
      <c r="S8054">
        <v>70</v>
      </c>
      <c r="T8054">
        <v>31</v>
      </c>
      <c r="U8054">
        <v>849.62100656953305</v>
      </c>
      <c r="V8054">
        <v>1.7402945113788398E-2</v>
      </c>
      <c r="W8054">
        <v>777832.50643633096</v>
      </c>
      <c r="X8054" t="s">
        <v>43</v>
      </c>
      <c r="Y8054">
        <f>1-407-926-2905</f>
        <v>-4237</v>
      </c>
    </row>
    <row r="8055" spans="1:25" x14ac:dyDescent="0.35">
      <c r="A8055">
        <v>39.319572522064497</v>
      </c>
      <c r="B8055">
        <v>-122.629340925408</v>
      </c>
      <c r="C8055" t="s">
        <v>25</v>
      </c>
      <c r="D8055">
        <v>16.610580099905199</v>
      </c>
      <c r="E8055">
        <v>0</v>
      </c>
      <c r="F8055">
        <v>3733</v>
      </c>
      <c r="G8055">
        <v>2</v>
      </c>
      <c r="H8055">
        <v>3</v>
      </c>
      <c r="I8055">
        <v>2012</v>
      </c>
      <c r="J8055">
        <v>1</v>
      </c>
      <c r="K8055">
        <v>0</v>
      </c>
      <c r="L8055">
        <v>0</v>
      </c>
      <c r="M8055">
        <v>4</v>
      </c>
      <c r="N8055" t="s">
        <v>37</v>
      </c>
      <c r="O8055" t="s">
        <v>32</v>
      </c>
      <c r="P8055">
        <v>12.667102928382199</v>
      </c>
      <c r="Q8055">
        <v>0.66192226599640303</v>
      </c>
      <c r="R8055">
        <v>9.5000936151636193</v>
      </c>
      <c r="S8055">
        <v>22</v>
      </c>
      <c r="T8055">
        <v>38</v>
      </c>
      <c r="U8055">
        <v>318.98423918970298</v>
      </c>
      <c r="V8055">
        <v>1.071524243236E-3</v>
      </c>
      <c r="W8055">
        <v>1489390.1750246801</v>
      </c>
      <c r="X8055" t="s">
        <v>33</v>
      </c>
      <c r="Y8055">
        <f>1-572-486-7140</f>
        <v>-8197</v>
      </c>
    </row>
    <row r="8056" spans="1:25" x14ac:dyDescent="0.35">
      <c r="A8056">
        <v>34.116875593113598</v>
      </c>
      <c r="B8056">
        <v>-115.44109001552199</v>
      </c>
      <c r="C8056" t="s">
        <v>25</v>
      </c>
      <c r="D8056">
        <v>44.441666327925503</v>
      </c>
      <c r="E8056">
        <v>2</v>
      </c>
      <c r="F8056">
        <v>3257</v>
      </c>
      <c r="G8056">
        <v>5</v>
      </c>
      <c r="H8056">
        <v>1</v>
      </c>
      <c r="I8056">
        <v>1952</v>
      </c>
      <c r="J8056">
        <v>0</v>
      </c>
      <c r="K8056">
        <v>1</v>
      </c>
      <c r="L8056">
        <v>0</v>
      </c>
      <c r="M8056">
        <v>8</v>
      </c>
      <c r="N8056" t="s">
        <v>26</v>
      </c>
      <c r="O8056" t="s">
        <v>27</v>
      </c>
      <c r="P8056">
        <v>2.9997513688566202</v>
      </c>
      <c r="Q8056">
        <v>1.9001866814728201</v>
      </c>
      <c r="R8056">
        <v>2.3489348771600098</v>
      </c>
      <c r="S8056">
        <v>138</v>
      </c>
      <c r="T8056">
        <v>57</v>
      </c>
      <c r="U8056">
        <v>767.43656726895495</v>
      </c>
      <c r="V8056">
        <v>2.4562480810561798E-3</v>
      </c>
      <c r="W8056">
        <v>2761329.09036458</v>
      </c>
      <c r="X8056" t="s">
        <v>42</v>
      </c>
      <c r="Y8056">
        <f>1-442-329-5373</f>
        <v>-6143</v>
      </c>
    </row>
    <row r="8057" spans="1:25" x14ac:dyDescent="0.35">
      <c r="A8057">
        <v>36.766888725892301</v>
      </c>
      <c r="B8057">
        <v>-122.71362169734201</v>
      </c>
      <c r="C8057" t="s">
        <v>29</v>
      </c>
      <c r="D8057">
        <v>26.643377298073201</v>
      </c>
      <c r="E8057">
        <v>8</v>
      </c>
      <c r="F8057">
        <v>4600</v>
      </c>
      <c r="G8057">
        <v>3</v>
      </c>
      <c r="H8057">
        <v>2</v>
      </c>
      <c r="I8057">
        <v>1998</v>
      </c>
      <c r="J8057">
        <v>1</v>
      </c>
      <c r="K8057">
        <v>0</v>
      </c>
      <c r="L8057">
        <v>1</v>
      </c>
      <c r="M8057">
        <v>3</v>
      </c>
      <c r="N8057" t="s">
        <v>26</v>
      </c>
      <c r="O8057" t="s">
        <v>32</v>
      </c>
      <c r="P8057">
        <v>2.50992970532333</v>
      </c>
      <c r="Q8057">
        <v>0.623276068259353</v>
      </c>
      <c r="R8057">
        <v>9.8933150901359692</v>
      </c>
      <c r="S8057">
        <v>116</v>
      </c>
      <c r="T8057">
        <v>40</v>
      </c>
      <c r="U8057">
        <v>652.07834571558601</v>
      </c>
      <c r="V8057">
        <v>6.5217391304347799E-4</v>
      </c>
      <c r="W8057">
        <v>3250474.5642095199</v>
      </c>
      <c r="X8057" t="s">
        <v>36</v>
      </c>
      <c r="Y8057">
        <f>1-992-165-9280</f>
        <v>-10436</v>
      </c>
    </row>
    <row r="8058" spans="1:25" x14ac:dyDescent="0.35">
      <c r="A8058">
        <v>37.614140655381497</v>
      </c>
      <c r="B8058">
        <v>-120.842256711361</v>
      </c>
      <c r="C8058" t="s">
        <v>29</v>
      </c>
      <c r="D8058">
        <v>19.409851827680502</v>
      </c>
      <c r="E8058">
        <v>4</v>
      </c>
      <c r="F8058">
        <v>1482</v>
      </c>
      <c r="G8058">
        <v>4</v>
      </c>
      <c r="H8058">
        <v>1</v>
      </c>
      <c r="I8058">
        <v>2009</v>
      </c>
      <c r="J8058">
        <v>0</v>
      </c>
      <c r="K8058">
        <v>0</v>
      </c>
      <c r="L8058">
        <v>1</v>
      </c>
      <c r="M8058">
        <v>4</v>
      </c>
      <c r="N8058" t="s">
        <v>26</v>
      </c>
      <c r="O8058" t="s">
        <v>32</v>
      </c>
      <c r="P8058">
        <v>5.6201190077729599</v>
      </c>
      <c r="Q8058">
        <v>1.63801395339778</v>
      </c>
      <c r="R8058">
        <v>8.8287562823231909</v>
      </c>
      <c r="S8058">
        <v>25</v>
      </c>
      <c r="T8058">
        <v>61</v>
      </c>
      <c r="U8058">
        <v>500.42990864278897</v>
      </c>
      <c r="V8058">
        <v>2.6990553306342701E-3</v>
      </c>
      <c r="W8058">
        <v>958399.25338606804</v>
      </c>
      <c r="X8058" t="s">
        <v>36</v>
      </c>
      <c r="Y8058">
        <f>1-715-780-2202</f>
        <v>-3696</v>
      </c>
    </row>
    <row r="8059" spans="1:25" x14ac:dyDescent="0.35">
      <c r="A8059">
        <v>34.456062812822303</v>
      </c>
      <c r="B8059">
        <v>-123.093476381383</v>
      </c>
      <c r="C8059" t="s">
        <v>29</v>
      </c>
      <c r="D8059">
        <v>21.638492616617199</v>
      </c>
      <c r="E8059">
        <v>9</v>
      </c>
      <c r="F8059">
        <v>4480</v>
      </c>
      <c r="G8059">
        <v>1</v>
      </c>
      <c r="H8059">
        <v>2</v>
      </c>
      <c r="I8059">
        <v>2002</v>
      </c>
      <c r="J8059">
        <v>1</v>
      </c>
      <c r="K8059">
        <v>1</v>
      </c>
      <c r="L8059">
        <v>1</v>
      </c>
      <c r="M8059">
        <v>11</v>
      </c>
      <c r="N8059" t="s">
        <v>26</v>
      </c>
      <c r="O8059" t="s">
        <v>32</v>
      </c>
      <c r="P8059">
        <v>13.846734565733099</v>
      </c>
      <c r="Q8059">
        <v>0.757981690032135</v>
      </c>
      <c r="R8059">
        <v>2.5658142056674</v>
      </c>
      <c r="S8059">
        <v>182</v>
      </c>
      <c r="T8059">
        <v>62</v>
      </c>
      <c r="U8059">
        <v>758.53172803531595</v>
      </c>
      <c r="V8059">
        <v>2.4553571428571402E-3</v>
      </c>
      <c r="W8059">
        <v>3798293.0139504098</v>
      </c>
      <c r="X8059" t="s">
        <v>43</v>
      </c>
      <c r="Y8059">
        <f>1-551-309-1717</f>
        <v>-2576</v>
      </c>
    </row>
    <row r="8060" spans="1:25" x14ac:dyDescent="0.35">
      <c r="A8060">
        <v>40.8454805860028</v>
      </c>
      <c r="B8060">
        <v>-123.644314643421</v>
      </c>
      <c r="C8060" t="s">
        <v>29</v>
      </c>
      <c r="D8060">
        <v>36.759540072906198</v>
      </c>
      <c r="E8060">
        <v>3</v>
      </c>
      <c r="F8060">
        <v>4536</v>
      </c>
      <c r="G8060">
        <v>4</v>
      </c>
      <c r="H8060">
        <v>1</v>
      </c>
      <c r="I8060">
        <v>1979</v>
      </c>
      <c r="J8060">
        <v>1</v>
      </c>
      <c r="K8060">
        <v>0</v>
      </c>
      <c r="L8060">
        <v>1</v>
      </c>
      <c r="M8060">
        <v>5</v>
      </c>
      <c r="N8060" t="s">
        <v>35</v>
      </c>
      <c r="O8060" t="s">
        <v>32</v>
      </c>
      <c r="P8060">
        <v>12.2087397178044</v>
      </c>
      <c r="Q8060">
        <v>1.02345218621675</v>
      </c>
      <c r="R8060">
        <v>0.58998408112795298</v>
      </c>
      <c r="S8060">
        <v>80</v>
      </c>
      <c r="T8060">
        <v>66</v>
      </c>
      <c r="U8060">
        <v>447.23101009560003</v>
      </c>
      <c r="V8060">
        <v>1.1022927689594299E-3</v>
      </c>
      <c r="W8060">
        <v>2317741.2877416699</v>
      </c>
      <c r="X8060" t="s">
        <v>43</v>
      </c>
      <c r="Y8060">
        <f>1-838-850-7135</f>
        <v>-8822</v>
      </c>
    </row>
    <row r="8061" spans="1:25" x14ac:dyDescent="0.35">
      <c r="A8061">
        <v>35.430134363318302</v>
      </c>
      <c r="B8061">
        <v>-115.240313511</v>
      </c>
      <c r="C8061" t="s">
        <v>25</v>
      </c>
      <c r="D8061">
        <v>38.324589337758802</v>
      </c>
      <c r="E8061">
        <v>2</v>
      </c>
      <c r="F8061">
        <v>1454</v>
      </c>
      <c r="G8061">
        <v>4</v>
      </c>
      <c r="H8061">
        <v>2</v>
      </c>
      <c r="I8061">
        <v>1983</v>
      </c>
      <c r="J8061">
        <v>0</v>
      </c>
      <c r="K8061">
        <v>0</v>
      </c>
      <c r="L8061">
        <v>0</v>
      </c>
      <c r="M8061">
        <v>2</v>
      </c>
      <c r="N8061" t="s">
        <v>26</v>
      </c>
      <c r="O8061" t="s">
        <v>30</v>
      </c>
      <c r="P8061">
        <v>11.7910540513217</v>
      </c>
      <c r="Q8061">
        <v>2.15004641842292</v>
      </c>
      <c r="R8061">
        <v>0.63673023431549403</v>
      </c>
      <c r="S8061">
        <v>124</v>
      </c>
      <c r="T8061">
        <v>65</v>
      </c>
      <c r="U8061">
        <v>838.214816915651</v>
      </c>
      <c r="V8061">
        <v>1.37551581843191E-3</v>
      </c>
      <c r="W8061">
        <v>1594895.27066722</v>
      </c>
      <c r="X8061" t="s">
        <v>39</v>
      </c>
      <c r="Y8061">
        <f>1-348-987-5696</f>
        <v>-7030</v>
      </c>
    </row>
    <row r="8062" spans="1:25" x14ac:dyDescent="0.35">
      <c r="A8062">
        <v>39.293180696245599</v>
      </c>
      <c r="B8062">
        <v>-116.762848292526</v>
      </c>
      <c r="C8062" t="s">
        <v>34</v>
      </c>
      <c r="D8062">
        <v>8.1980364155419494</v>
      </c>
      <c r="E8062">
        <v>5</v>
      </c>
      <c r="F8062">
        <v>2098</v>
      </c>
      <c r="G8062">
        <v>3</v>
      </c>
      <c r="H8062">
        <v>1</v>
      </c>
      <c r="I8062">
        <v>1960</v>
      </c>
      <c r="J8062">
        <v>0</v>
      </c>
      <c r="K8062">
        <v>1</v>
      </c>
      <c r="L8062">
        <v>1</v>
      </c>
      <c r="M8062">
        <v>12</v>
      </c>
      <c r="N8062" t="s">
        <v>26</v>
      </c>
      <c r="O8062" t="s">
        <v>30</v>
      </c>
      <c r="P8062">
        <v>12.0037152166789</v>
      </c>
      <c r="Q8062">
        <v>1.25510815290068</v>
      </c>
      <c r="R8062">
        <v>2.03911884297968</v>
      </c>
      <c r="S8062">
        <v>0</v>
      </c>
      <c r="T8062">
        <v>79</v>
      </c>
      <c r="U8062">
        <v>609.04774230525402</v>
      </c>
      <c r="V8062">
        <v>5.7197330791229697E-3</v>
      </c>
      <c r="W8062">
        <v>1597722.8046585601</v>
      </c>
      <c r="X8062" t="s">
        <v>43</v>
      </c>
      <c r="Y8062">
        <f>1-671-750-2139</f>
        <v>-3559</v>
      </c>
    </row>
    <row r="8063" spans="1:25" x14ac:dyDescent="0.35">
      <c r="A8063">
        <v>36.430983831893798</v>
      </c>
      <c r="B8063">
        <v>-123.651486710982</v>
      </c>
      <c r="C8063" t="s">
        <v>25</v>
      </c>
      <c r="D8063">
        <v>5.5069575506761996</v>
      </c>
      <c r="E8063">
        <v>9</v>
      </c>
      <c r="F8063">
        <v>4982</v>
      </c>
      <c r="G8063">
        <v>5</v>
      </c>
      <c r="H8063">
        <v>2</v>
      </c>
      <c r="I8063">
        <v>1954</v>
      </c>
      <c r="J8063">
        <v>1</v>
      </c>
      <c r="K8063">
        <v>1</v>
      </c>
      <c r="L8063">
        <v>0</v>
      </c>
      <c r="M8063">
        <v>11</v>
      </c>
      <c r="N8063" t="s">
        <v>35</v>
      </c>
      <c r="O8063" t="s">
        <v>27</v>
      </c>
      <c r="P8063">
        <v>3.3369405747276399</v>
      </c>
      <c r="Q8063">
        <v>1.0310608362701501</v>
      </c>
      <c r="R8063">
        <v>7.1127042800704903</v>
      </c>
      <c r="S8063">
        <v>172</v>
      </c>
      <c r="T8063">
        <v>47</v>
      </c>
      <c r="U8063">
        <v>296.82752243649298</v>
      </c>
      <c r="V8063">
        <v>2.20794861501405E-3</v>
      </c>
      <c r="W8063">
        <v>1738409.71145931</v>
      </c>
      <c r="X8063" t="s">
        <v>36</v>
      </c>
      <c r="Y8063">
        <f>1-695-332-3272</f>
        <v>-4298</v>
      </c>
    </row>
    <row r="8064" spans="1:25" x14ac:dyDescent="0.35">
      <c r="A8064">
        <v>41.214260899746897</v>
      </c>
      <c r="B8064">
        <v>-117.378656975637</v>
      </c>
      <c r="C8064" t="s">
        <v>34</v>
      </c>
      <c r="D8064">
        <v>37.807230236146097</v>
      </c>
      <c r="E8064">
        <v>1</v>
      </c>
      <c r="F8064">
        <v>3234</v>
      </c>
      <c r="G8064">
        <v>4</v>
      </c>
      <c r="H8064">
        <v>2</v>
      </c>
      <c r="I8064">
        <v>1969</v>
      </c>
      <c r="J8064">
        <v>0</v>
      </c>
      <c r="K8064">
        <v>1</v>
      </c>
      <c r="L8064">
        <v>0</v>
      </c>
      <c r="M8064">
        <v>8</v>
      </c>
      <c r="N8064" t="s">
        <v>41</v>
      </c>
      <c r="O8064" t="s">
        <v>32</v>
      </c>
      <c r="P8064">
        <v>6.9267496418591596</v>
      </c>
      <c r="Q8064">
        <v>1.7860498628000301</v>
      </c>
      <c r="R8064">
        <v>0.898819782595636</v>
      </c>
      <c r="S8064">
        <v>19</v>
      </c>
      <c r="T8064">
        <v>69</v>
      </c>
      <c r="U8064">
        <v>402.54798838910398</v>
      </c>
      <c r="V8064">
        <v>2.4737167594310401E-3</v>
      </c>
      <c r="W8064">
        <v>1584129.2118842599</v>
      </c>
      <c r="X8064" t="s">
        <v>28</v>
      </c>
      <c r="Y8064">
        <f>1-675-643-4863</f>
        <v>-6180</v>
      </c>
    </row>
    <row r="8065" spans="1:25" x14ac:dyDescent="0.35">
      <c r="A8065">
        <v>35.555908451559802</v>
      </c>
      <c r="B8065">
        <v>-124.165350655097</v>
      </c>
      <c r="C8065" t="s">
        <v>25</v>
      </c>
      <c r="D8065">
        <v>27.836429403632099</v>
      </c>
      <c r="E8065">
        <v>6</v>
      </c>
      <c r="F8065">
        <v>3583</v>
      </c>
      <c r="G8065">
        <v>1</v>
      </c>
      <c r="H8065">
        <v>1</v>
      </c>
      <c r="I8065">
        <v>1964</v>
      </c>
      <c r="J8065">
        <v>1</v>
      </c>
      <c r="K8065">
        <v>1</v>
      </c>
      <c r="L8065">
        <v>0</v>
      </c>
      <c r="M8065">
        <v>12</v>
      </c>
      <c r="N8065" t="s">
        <v>26</v>
      </c>
      <c r="O8065" t="s">
        <v>32</v>
      </c>
      <c r="P8065">
        <v>14.664898685249399</v>
      </c>
      <c r="Q8065">
        <v>0.93241480030446899</v>
      </c>
      <c r="R8065">
        <v>6.0841484698322397</v>
      </c>
      <c r="S8065">
        <v>39</v>
      </c>
      <c r="T8065">
        <v>77</v>
      </c>
      <c r="U8065">
        <v>734.557750032596</v>
      </c>
      <c r="V8065">
        <v>3.349148758024E-3</v>
      </c>
      <c r="W8065">
        <v>2788216.8405193002</v>
      </c>
      <c r="X8065" t="s">
        <v>40</v>
      </c>
      <c r="Y8065">
        <f>1-533-895-3898</f>
        <v>-5325</v>
      </c>
    </row>
    <row r="8066" spans="1:25" x14ac:dyDescent="0.35">
      <c r="A8066">
        <v>41.792981978295799</v>
      </c>
      <c r="B8066">
        <v>-120.187304554881</v>
      </c>
      <c r="C8066" t="s">
        <v>29</v>
      </c>
      <c r="D8066">
        <v>49.884802832117103</v>
      </c>
      <c r="E8066">
        <v>3</v>
      </c>
      <c r="F8066">
        <v>4968</v>
      </c>
      <c r="G8066">
        <v>5</v>
      </c>
      <c r="H8066">
        <v>1</v>
      </c>
      <c r="I8066">
        <v>1966</v>
      </c>
      <c r="J8066">
        <v>1</v>
      </c>
      <c r="K8066">
        <v>1</v>
      </c>
      <c r="L8066">
        <v>0</v>
      </c>
      <c r="M8066">
        <v>9</v>
      </c>
      <c r="N8066" t="s">
        <v>35</v>
      </c>
      <c r="O8066" t="s">
        <v>30</v>
      </c>
      <c r="P8066">
        <v>12.2527714039724</v>
      </c>
      <c r="Q8066">
        <v>1.2127494447293099</v>
      </c>
      <c r="R8066">
        <v>4.4849838777813398</v>
      </c>
      <c r="S8066">
        <v>175</v>
      </c>
      <c r="T8066">
        <v>69</v>
      </c>
      <c r="U8066">
        <v>537.00619013038897</v>
      </c>
      <c r="V8066">
        <v>1.8115942028985501E-3</v>
      </c>
      <c r="W8066">
        <v>3070228.9978719298</v>
      </c>
      <c r="X8066" t="s">
        <v>33</v>
      </c>
      <c r="Y8066">
        <f>1-296-890-3922</f>
        <v>-5107</v>
      </c>
    </row>
    <row r="8067" spans="1:25" x14ac:dyDescent="0.35">
      <c r="A8067">
        <v>38.219841867437403</v>
      </c>
      <c r="B8067">
        <v>-114.91401505733501</v>
      </c>
      <c r="C8067" t="s">
        <v>34</v>
      </c>
      <c r="D8067">
        <v>7.8141310491380596</v>
      </c>
      <c r="E8067">
        <v>2</v>
      </c>
      <c r="F8067">
        <v>4568</v>
      </c>
      <c r="G8067">
        <v>4</v>
      </c>
      <c r="H8067">
        <v>2</v>
      </c>
      <c r="I8067">
        <v>1957</v>
      </c>
      <c r="J8067">
        <v>0</v>
      </c>
      <c r="K8067">
        <v>1</v>
      </c>
      <c r="L8067">
        <v>1</v>
      </c>
      <c r="M8067">
        <v>6</v>
      </c>
      <c r="N8067" t="s">
        <v>41</v>
      </c>
      <c r="O8067" t="s">
        <v>30</v>
      </c>
      <c r="P8067">
        <v>4.4648119327306297</v>
      </c>
      <c r="Q8067">
        <v>1.97985067389794</v>
      </c>
      <c r="R8067">
        <v>7.5150492282211001</v>
      </c>
      <c r="S8067">
        <v>8</v>
      </c>
      <c r="T8067">
        <v>44</v>
      </c>
      <c r="U8067">
        <v>376.23571920261702</v>
      </c>
      <c r="V8067">
        <v>1.31348511383537E-3</v>
      </c>
      <c r="W8067">
        <v>1999301.9828767001</v>
      </c>
      <c r="X8067" t="s">
        <v>43</v>
      </c>
      <c r="Y8067">
        <f>1-210-171-3806</f>
        <v>-4186</v>
      </c>
    </row>
    <row r="8068" spans="1:25" x14ac:dyDescent="0.35">
      <c r="A8068">
        <v>37.457846822525802</v>
      </c>
      <c r="B8068">
        <v>-118.89763203224901</v>
      </c>
      <c r="C8068" t="s">
        <v>34</v>
      </c>
      <c r="D8068">
        <v>13.4747858543858</v>
      </c>
      <c r="E8068">
        <v>9</v>
      </c>
      <c r="F8068">
        <v>2940</v>
      </c>
      <c r="G8068">
        <v>1</v>
      </c>
      <c r="H8068">
        <v>3</v>
      </c>
      <c r="I8068">
        <v>1954</v>
      </c>
      <c r="J8068">
        <v>1</v>
      </c>
      <c r="K8068">
        <v>0</v>
      </c>
      <c r="L8068">
        <v>1</v>
      </c>
      <c r="M8068">
        <v>14</v>
      </c>
      <c r="N8068" t="s">
        <v>26</v>
      </c>
      <c r="O8068" t="s">
        <v>30</v>
      </c>
      <c r="P8068">
        <v>6.0043376233443899</v>
      </c>
      <c r="Q8068">
        <v>2.07886533986547</v>
      </c>
      <c r="R8068">
        <v>9.7502465498512301</v>
      </c>
      <c r="S8068">
        <v>89</v>
      </c>
      <c r="T8068">
        <v>50</v>
      </c>
      <c r="U8068">
        <v>676.91429675207803</v>
      </c>
      <c r="V8068">
        <v>4.7619047619047597E-3</v>
      </c>
      <c r="W8068">
        <v>2152192.1897344301</v>
      </c>
      <c r="X8068" t="s">
        <v>36</v>
      </c>
      <c r="Y8068">
        <f>1-764-233-9772</f>
        <v>-10768</v>
      </c>
    </row>
    <row r="8069" spans="1:25" x14ac:dyDescent="0.35">
      <c r="A8069">
        <v>36.597445750570003</v>
      </c>
      <c r="B8069">
        <v>-122.318702101113</v>
      </c>
      <c r="C8069" t="s">
        <v>29</v>
      </c>
      <c r="D8069">
        <v>37.589170902364998</v>
      </c>
      <c r="E8069">
        <v>9</v>
      </c>
      <c r="F8069">
        <v>4928</v>
      </c>
      <c r="G8069">
        <v>5</v>
      </c>
      <c r="H8069">
        <v>1</v>
      </c>
      <c r="I8069">
        <v>2007</v>
      </c>
      <c r="J8069">
        <v>0</v>
      </c>
      <c r="K8069">
        <v>0</v>
      </c>
      <c r="L8069">
        <v>1</v>
      </c>
      <c r="M8069">
        <v>11</v>
      </c>
      <c r="N8069" t="s">
        <v>26</v>
      </c>
      <c r="O8069" t="s">
        <v>30</v>
      </c>
      <c r="P8069">
        <v>2.6789210113355599</v>
      </c>
      <c r="Q8069">
        <v>0.69319007529200305</v>
      </c>
      <c r="R8069">
        <v>1.9624112463950301</v>
      </c>
      <c r="S8069">
        <v>26</v>
      </c>
      <c r="T8069">
        <v>44</v>
      </c>
      <c r="U8069">
        <v>382.58745560485801</v>
      </c>
      <c r="V8069">
        <v>2.2321428571428501E-3</v>
      </c>
      <c r="W8069">
        <v>2178922.3396311598</v>
      </c>
      <c r="X8069" t="s">
        <v>38</v>
      </c>
      <c r="Y8069">
        <f>1-421-865-6321</f>
        <v>-7606</v>
      </c>
    </row>
    <row r="8070" spans="1:25" x14ac:dyDescent="0.35">
      <c r="A8070">
        <v>33.753976232428698</v>
      </c>
      <c r="B8070">
        <v>-118.331062179174</v>
      </c>
      <c r="C8070" t="s">
        <v>29</v>
      </c>
      <c r="D8070">
        <v>23.275405786693302</v>
      </c>
      <c r="E8070">
        <v>6</v>
      </c>
      <c r="F8070">
        <v>830</v>
      </c>
      <c r="G8070">
        <v>2</v>
      </c>
      <c r="H8070">
        <v>1</v>
      </c>
      <c r="I8070">
        <v>1978</v>
      </c>
      <c r="J8070">
        <v>0</v>
      </c>
      <c r="K8070">
        <v>0</v>
      </c>
      <c r="L8070">
        <v>0</v>
      </c>
      <c r="M8070">
        <v>4</v>
      </c>
      <c r="N8070" t="s">
        <v>37</v>
      </c>
      <c r="O8070" t="s">
        <v>30</v>
      </c>
      <c r="P8070">
        <v>13.228614328388201</v>
      </c>
      <c r="Q8070">
        <v>1.0029743793474699</v>
      </c>
      <c r="R8070">
        <v>0.27267601198067498</v>
      </c>
      <c r="S8070">
        <v>180</v>
      </c>
      <c r="T8070">
        <v>29</v>
      </c>
      <c r="U8070">
        <v>759.88905796755296</v>
      </c>
      <c r="V8070">
        <v>4.8192771084337302E-3</v>
      </c>
      <c r="W8070">
        <v>882417.05811797595</v>
      </c>
      <c r="X8070" t="s">
        <v>44</v>
      </c>
      <c r="Y8070">
        <f>1-460-450-2371</f>
        <v>-3280</v>
      </c>
    </row>
    <row r="8071" spans="1:25" x14ac:dyDescent="0.35">
      <c r="A8071">
        <v>37.392109586646598</v>
      </c>
      <c r="B8071">
        <v>-122.402468765957</v>
      </c>
      <c r="C8071" t="s">
        <v>29</v>
      </c>
      <c r="D8071">
        <v>26.818146981641899</v>
      </c>
      <c r="E8071">
        <v>2</v>
      </c>
      <c r="F8071">
        <v>3455</v>
      </c>
      <c r="G8071">
        <v>3</v>
      </c>
      <c r="H8071">
        <v>3</v>
      </c>
      <c r="I8071">
        <v>1973</v>
      </c>
      <c r="J8071">
        <v>1</v>
      </c>
      <c r="K8071">
        <v>0</v>
      </c>
      <c r="L8071">
        <v>0</v>
      </c>
      <c r="M8071">
        <v>10</v>
      </c>
      <c r="N8071" t="s">
        <v>35</v>
      </c>
      <c r="O8071" t="s">
        <v>30</v>
      </c>
      <c r="P8071">
        <v>4.9861351427602996</v>
      </c>
      <c r="Q8071">
        <v>1.72474850122687</v>
      </c>
      <c r="R8071">
        <v>1.77819039692736</v>
      </c>
      <c r="S8071">
        <v>79</v>
      </c>
      <c r="T8071">
        <v>33</v>
      </c>
      <c r="U8071">
        <v>632.06428892362305</v>
      </c>
      <c r="V8071">
        <v>2.8943560057887101E-3</v>
      </c>
      <c r="W8071">
        <v>2497958.20091169</v>
      </c>
      <c r="X8071" t="s">
        <v>36</v>
      </c>
      <c r="Y8071">
        <f>1-794-522-2262</f>
        <v>-3577</v>
      </c>
    </row>
    <row r="8072" spans="1:25" x14ac:dyDescent="0.35">
      <c r="A8072">
        <v>41.134044887182199</v>
      </c>
      <c r="B8072">
        <v>-122.88068723500101</v>
      </c>
      <c r="C8072" t="s">
        <v>29</v>
      </c>
      <c r="D8072">
        <v>42.756733863340202</v>
      </c>
      <c r="E8072">
        <v>2</v>
      </c>
      <c r="F8072">
        <v>2809</v>
      </c>
      <c r="G8072">
        <v>4</v>
      </c>
      <c r="H8072">
        <v>3</v>
      </c>
      <c r="I8072">
        <v>2003</v>
      </c>
      <c r="J8072">
        <v>1</v>
      </c>
      <c r="K8072">
        <v>1</v>
      </c>
      <c r="L8072">
        <v>1</v>
      </c>
      <c r="M8072">
        <v>6</v>
      </c>
      <c r="N8072" t="s">
        <v>41</v>
      </c>
      <c r="O8072" t="s">
        <v>30</v>
      </c>
      <c r="P8072">
        <v>5.4696971593147703</v>
      </c>
      <c r="Q8072">
        <v>2.4866926803542602</v>
      </c>
      <c r="R8072">
        <v>2.6839941406980601</v>
      </c>
      <c r="S8072">
        <v>19</v>
      </c>
      <c r="T8072">
        <v>73</v>
      </c>
      <c r="U8072">
        <v>978.730344478132</v>
      </c>
      <c r="V8072">
        <v>2.1359914560341699E-3</v>
      </c>
      <c r="W8072">
        <v>3239027.2513500801</v>
      </c>
      <c r="X8072" t="s">
        <v>33</v>
      </c>
      <c r="Y8072">
        <f>1-901-844-1760</f>
        <v>-3504</v>
      </c>
    </row>
    <row r="8073" spans="1:25" x14ac:dyDescent="0.35">
      <c r="A8073">
        <v>34.787131069804303</v>
      </c>
      <c r="B8073">
        <v>-120.827679811171</v>
      </c>
      <c r="C8073" t="s">
        <v>34</v>
      </c>
      <c r="D8073">
        <v>40.943768186065299</v>
      </c>
      <c r="E8073">
        <v>4</v>
      </c>
      <c r="F8073">
        <v>2940</v>
      </c>
      <c r="G8073">
        <v>4</v>
      </c>
      <c r="H8073">
        <v>3</v>
      </c>
      <c r="I8073">
        <v>1956</v>
      </c>
      <c r="J8073">
        <v>1</v>
      </c>
      <c r="K8073">
        <v>1</v>
      </c>
      <c r="L8073">
        <v>1</v>
      </c>
      <c r="M8073">
        <v>4</v>
      </c>
      <c r="N8073" t="s">
        <v>35</v>
      </c>
      <c r="O8073" t="s">
        <v>27</v>
      </c>
      <c r="P8073">
        <v>5.7984592621105104</v>
      </c>
      <c r="Q8073">
        <v>0.89563797019602998</v>
      </c>
      <c r="R8073">
        <v>3.4971403420126199</v>
      </c>
      <c r="S8073">
        <v>157</v>
      </c>
      <c r="T8073">
        <v>22</v>
      </c>
      <c r="U8073">
        <v>393.34365680524297</v>
      </c>
      <c r="V8073">
        <v>1.36054421768707E-3</v>
      </c>
      <c r="W8073">
        <v>1624676.8283009001</v>
      </c>
      <c r="X8073" t="s">
        <v>36</v>
      </c>
      <c r="Y8073">
        <f>1-695-402-7752</f>
        <v>-8848</v>
      </c>
    </row>
    <row r="8074" spans="1:25" x14ac:dyDescent="0.35">
      <c r="A8074">
        <v>32.710235453494597</v>
      </c>
      <c r="B8074">
        <v>-121.15969386603</v>
      </c>
      <c r="C8074" t="s">
        <v>25</v>
      </c>
      <c r="D8074">
        <v>23.0792124858189</v>
      </c>
      <c r="E8074">
        <v>5</v>
      </c>
      <c r="F8074">
        <v>2641</v>
      </c>
      <c r="G8074">
        <v>2</v>
      </c>
      <c r="H8074">
        <v>2</v>
      </c>
      <c r="I8074">
        <v>1964</v>
      </c>
      <c r="J8074">
        <v>0</v>
      </c>
      <c r="K8074">
        <v>1</v>
      </c>
      <c r="L8074">
        <v>1</v>
      </c>
      <c r="M8074">
        <v>11</v>
      </c>
      <c r="N8074" t="s">
        <v>35</v>
      </c>
      <c r="O8074" t="s">
        <v>30</v>
      </c>
      <c r="P8074">
        <v>13.351324752905899</v>
      </c>
      <c r="Q8074">
        <v>2.3015322516995602</v>
      </c>
      <c r="R8074">
        <v>7.79570068612363</v>
      </c>
      <c r="S8074">
        <v>162</v>
      </c>
      <c r="T8074">
        <v>66</v>
      </c>
      <c r="U8074">
        <v>886.16769094090102</v>
      </c>
      <c r="V8074">
        <v>4.1650889814464197E-3</v>
      </c>
      <c r="W8074">
        <v>2598562.4032681901</v>
      </c>
      <c r="X8074" t="s">
        <v>42</v>
      </c>
      <c r="Y8074">
        <f>1-497-436-7013</f>
        <v>-7945</v>
      </c>
    </row>
    <row r="8075" spans="1:25" x14ac:dyDescent="0.35">
      <c r="A8075">
        <v>37.746888749481101</v>
      </c>
      <c r="B8075">
        <v>-122.139594990037</v>
      </c>
      <c r="C8075" t="s">
        <v>29</v>
      </c>
      <c r="D8075">
        <v>39.006719914225101</v>
      </c>
      <c r="E8075">
        <v>0</v>
      </c>
      <c r="F8075">
        <v>618</v>
      </c>
      <c r="G8075">
        <v>5</v>
      </c>
      <c r="H8075">
        <v>3</v>
      </c>
      <c r="I8075">
        <v>2012</v>
      </c>
      <c r="J8075">
        <v>1</v>
      </c>
      <c r="K8075">
        <v>1</v>
      </c>
      <c r="L8075">
        <v>1</v>
      </c>
      <c r="M8075">
        <v>2</v>
      </c>
      <c r="N8075" t="s">
        <v>41</v>
      </c>
      <c r="O8075" t="s">
        <v>30</v>
      </c>
      <c r="P8075">
        <v>12.6090061180576</v>
      </c>
      <c r="Q8075">
        <v>1.57452072930067</v>
      </c>
      <c r="R8075">
        <v>4.3406839247380002</v>
      </c>
      <c r="S8075">
        <v>178</v>
      </c>
      <c r="T8075">
        <v>34</v>
      </c>
      <c r="U8075">
        <v>981.45386066932497</v>
      </c>
      <c r="V8075">
        <v>3.2362459546925498E-3</v>
      </c>
      <c r="W8075">
        <v>1266808.3391140599</v>
      </c>
      <c r="X8075" t="s">
        <v>39</v>
      </c>
      <c r="Y8075">
        <f>1-614-735-6240</f>
        <v>-7588</v>
      </c>
    </row>
    <row r="8076" spans="1:25" x14ac:dyDescent="0.35">
      <c r="A8076">
        <v>40.577287971891899</v>
      </c>
      <c r="B8076">
        <v>-118.185861513132</v>
      </c>
      <c r="C8076" t="s">
        <v>25</v>
      </c>
      <c r="D8076">
        <v>13.1777386501201</v>
      </c>
      <c r="E8076">
        <v>2</v>
      </c>
      <c r="F8076">
        <v>4042</v>
      </c>
      <c r="G8076">
        <v>2</v>
      </c>
      <c r="H8076">
        <v>1</v>
      </c>
      <c r="I8076">
        <v>1979</v>
      </c>
      <c r="J8076">
        <v>1</v>
      </c>
      <c r="K8076">
        <v>0</v>
      </c>
      <c r="L8076">
        <v>0</v>
      </c>
      <c r="M8076">
        <v>5</v>
      </c>
      <c r="N8076" t="s">
        <v>41</v>
      </c>
      <c r="O8076" t="s">
        <v>27</v>
      </c>
      <c r="P8076">
        <v>2.4146076364807598</v>
      </c>
      <c r="Q8076">
        <v>1.8419588594316201</v>
      </c>
      <c r="R8076">
        <v>4.5828879867875099</v>
      </c>
      <c r="S8076">
        <v>180</v>
      </c>
      <c r="T8076">
        <v>32</v>
      </c>
      <c r="U8076">
        <v>449.860119300127</v>
      </c>
      <c r="V8076">
        <v>1.2370113805046999E-3</v>
      </c>
      <c r="W8076">
        <v>1951382.0600942699</v>
      </c>
      <c r="X8076" t="s">
        <v>36</v>
      </c>
      <c r="Y8076">
        <f>1-445-781-8565</f>
        <v>-9790</v>
      </c>
    </row>
    <row r="8077" spans="1:25" x14ac:dyDescent="0.35">
      <c r="A8077">
        <v>39.782143549096197</v>
      </c>
      <c r="B8077">
        <v>-120.33923880399399</v>
      </c>
      <c r="C8077" t="s">
        <v>29</v>
      </c>
      <c r="D8077">
        <v>23.360280428237601</v>
      </c>
      <c r="E8077">
        <v>5</v>
      </c>
      <c r="F8077">
        <v>4138</v>
      </c>
      <c r="G8077">
        <v>2</v>
      </c>
      <c r="H8077">
        <v>2</v>
      </c>
      <c r="I8077">
        <v>1975</v>
      </c>
      <c r="J8077">
        <v>0</v>
      </c>
      <c r="K8077">
        <v>0</v>
      </c>
      <c r="L8077">
        <v>0</v>
      </c>
      <c r="M8077">
        <v>7</v>
      </c>
      <c r="N8077" t="s">
        <v>41</v>
      </c>
      <c r="O8077" t="s">
        <v>27</v>
      </c>
      <c r="P8077">
        <v>8.41532566378865</v>
      </c>
      <c r="Q8077">
        <v>1.17006024897369</v>
      </c>
      <c r="R8077">
        <v>4.4877569297683504</v>
      </c>
      <c r="S8077">
        <v>163</v>
      </c>
      <c r="T8077">
        <v>67</v>
      </c>
      <c r="U8077">
        <v>377.02447322779199</v>
      </c>
      <c r="V8077">
        <v>1.6916384726921199E-3</v>
      </c>
      <c r="W8077">
        <v>1717206.7676535901</v>
      </c>
      <c r="X8077" t="s">
        <v>28</v>
      </c>
      <c r="Y8077">
        <f>1-670-876-2143</f>
        <v>-3688</v>
      </c>
    </row>
    <row r="8078" spans="1:25" x14ac:dyDescent="0.35">
      <c r="A8078">
        <v>40.190112969545901</v>
      </c>
      <c r="B8078">
        <v>-116.517820923641</v>
      </c>
      <c r="C8078" t="s">
        <v>25</v>
      </c>
      <c r="D8078">
        <v>9.7438561539012802</v>
      </c>
      <c r="E8078">
        <v>3</v>
      </c>
      <c r="F8078">
        <v>1637</v>
      </c>
      <c r="G8078">
        <v>4</v>
      </c>
      <c r="H8078">
        <v>2</v>
      </c>
      <c r="I8078">
        <v>1962</v>
      </c>
      <c r="J8078">
        <v>0</v>
      </c>
      <c r="K8078">
        <v>0</v>
      </c>
      <c r="L8078">
        <v>0</v>
      </c>
      <c r="M8078">
        <v>10</v>
      </c>
      <c r="N8078" t="s">
        <v>41</v>
      </c>
      <c r="O8078" t="s">
        <v>30</v>
      </c>
      <c r="P8078">
        <v>14.753613270484299</v>
      </c>
      <c r="Q8078">
        <v>1.5407448710325</v>
      </c>
      <c r="R8078">
        <v>4.1635151563248201</v>
      </c>
      <c r="S8078">
        <v>152</v>
      </c>
      <c r="T8078">
        <v>73</v>
      </c>
      <c r="U8078">
        <v>601.98327913247897</v>
      </c>
      <c r="V8078">
        <v>6.1087354917532003E-3</v>
      </c>
      <c r="W8078">
        <v>1225705.1517813399</v>
      </c>
      <c r="X8078" t="s">
        <v>36</v>
      </c>
      <c r="Y8078">
        <f>1-970-770-7679</f>
        <v>-9418</v>
      </c>
    </row>
    <row r="8079" spans="1:25" x14ac:dyDescent="0.35">
      <c r="A8079">
        <v>40.796161274808199</v>
      </c>
      <c r="B8079">
        <v>-118.992112787357</v>
      </c>
      <c r="C8079" t="s">
        <v>25</v>
      </c>
      <c r="D8079">
        <v>17.968662377582799</v>
      </c>
      <c r="E8079">
        <v>4</v>
      </c>
      <c r="F8079">
        <v>4068</v>
      </c>
      <c r="G8079">
        <v>4</v>
      </c>
      <c r="H8079">
        <v>2</v>
      </c>
      <c r="I8079">
        <v>1998</v>
      </c>
      <c r="J8079">
        <v>0</v>
      </c>
      <c r="K8079">
        <v>0</v>
      </c>
      <c r="L8079">
        <v>1</v>
      </c>
      <c r="M8079">
        <v>14</v>
      </c>
      <c r="N8079" t="s">
        <v>37</v>
      </c>
      <c r="O8079" t="s">
        <v>30</v>
      </c>
      <c r="P8079">
        <v>9.9319427954614401</v>
      </c>
      <c r="Q8079">
        <v>0.75098433990195501</v>
      </c>
      <c r="R8079">
        <v>8.7348943379660309</v>
      </c>
      <c r="S8079">
        <v>168</v>
      </c>
      <c r="T8079">
        <v>28</v>
      </c>
      <c r="U8079">
        <v>412.72740228816599</v>
      </c>
      <c r="V8079">
        <v>3.4414945919370699E-3</v>
      </c>
      <c r="W8079">
        <v>1970021.26004572</v>
      </c>
      <c r="X8079" t="s">
        <v>43</v>
      </c>
      <c r="Y8079">
        <f>1-571-813-9619</f>
        <v>-11002</v>
      </c>
    </row>
    <row r="8080" spans="1:25" x14ac:dyDescent="0.35">
      <c r="A8080">
        <v>34.847596397495501</v>
      </c>
      <c r="B8080">
        <v>-117.942420896161</v>
      </c>
      <c r="C8080" t="s">
        <v>29</v>
      </c>
      <c r="D8080">
        <v>8.9545801321960905</v>
      </c>
      <c r="E8080">
        <v>2</v>
      </c>
      <c r="F8080">
        <v>3804</v>
      </c>
      <c r="G8080">
        <v>4</v>
      </c>
      <c r="H8080">
        <v>2</v>
      </c>
      <c r="I8080">
        <v>2003</v>
      </c>
      <c r="J8080">
        <v>0</v>
      </c>
      <c r="K8080">
        <v>0</v>
      </c>
      <c r="L8080">
        <v>0</v>
      </c>
      <c r="M8080">
        <v>14</v>
      </c>
      <c r="N8080" t="s">
        <v>35</v>
      </c>
      <c r="O8080" t="s">
        <v>27</v>
      </c>
      <c r="P8080">
        <v>8.6751063630352707</v>
      </c>
      <c r="Q8080">
        <v>1.13340649290421</v>
      </c>
      <c r="R8080">
        <v>5.7231794084189698</v>
      </c>
      <c r="S8080">
        <v>172</v>
      </c>
      <c r="T8080">
        <v>35</v>
      </c>
      <c r="U8080">
        <v>500.06195311393299</v>
      </c>
      <c r="V8080">
        <v>3.6803364879074599E-3</v>
      </c>
      <c r="W8080">
        <v>2128089.6468107598</v>
      </c>
      <c r="X8080" t="s">
        <v>38</v>
      </c>
      <c r="Y8080">
        <f>1-752-977-4349</f>
        <v>-6077</v>
      </c>
    </row>
    <row r="8081" spans="1:25" x14ac:dyDescent="0.35">
      <c r="A8081">
        <v>37.235142192060799</v>
      </c>
      <c r="B8081">
        <v>-122.18400729230601</v>
      </c>
      <c r="C8081" t="s">
        <v>25</v>
      </c>
      <c r="D8081">
        <v>12.5586149999491</v>
      </c>
      <c r="E8081">
        <v>5</v>
      </c>
      <c r="F8081">
        <v>4535</v>
      </c>
      <c r="G8081">
        <v>3</v>
      </c>
      <c r="H8081">
        <v>1</v>
      </c>
      <c r="I8081">
        <v>1986</v>
      </c>
      <c r="J8081">
        <v>1</v>
      </c>
      <c r="K8081">
        <v>1</v>
      </c>
      <c r="L8081">
        <v>1</v>
      </c>
      <c r="M8081">
        <v>3</v>
      </c>
      <c r="N8081" t="s">
        <v>41</v>
      </c>
      <c r="O8081" t="s">
        <v>32</v>
      </c>
      <c r="P8081">
        <v>3.4749996727611099</v>
      </c>
      <c r="Q8081">
        <v>0.97218593223796301</v>
      </c>
      <c r="R8081">
        <v>1.0988430780018099</v>
      </c>
      <c r="S8081">
        <v>43</v>
      </c>
      <c r="T8081">
        <v>27</v>
      </c>
      <c r="U8081">
        <v>221.31877318454099</v>
      </c>
      <c r="V8081">
        <v>6.6152149944873203E-4</v>
      </c>
      <c r="W8081">
        <v>1363321.97113463</v>
      </c>
      <c r="X8081" t="s">
        <v>38</v>
      </c>
      <c r="Y8081">
        <f>1-614-174-6040</f>
        <v>-6827</v>
      </c>
    </row>
    <row r="8082" spans="1:25" x14ac:dyDescent="0.35">
      <c r="A8082">
        <v>40.440430747104102</v>
      </c>
      <c r="B8082">
        <v>-117.627936130794</v>
      </c>
      <c r="C8082" t="s">
        <v>25</v>
      </c>
      <c r="D8082">
        <v>33.241412941653998</v>
      </c>
      <c r="E8082">
        <v>8</v>
      </c>
      <c r="F8082">
        <v>4091</v>
      </c>
      <c r="G8082">
        <v>4</v>
      </c>
      <c r="H8082">
        <v>3</v>
      </c>
      <c r="I8082">
        <v>2010</v>
      </c>
      <c r="J8082">
        <v>0</v>
      </c>
      <c r="K8082">
        <v>1</v>
      </c>
      <c r="L8082">
        <v>1</v>
      </c>
      <c r="M8082">
        <v>6</v>
      </c>
      <c r="N8082" t="s">
        <v>35</v>
      </c>
      <c r="O8082" t="s">
        <v>32</v>
      </c>
      <c r="P8082">
        <v>4.9271140754617297</v>
      </c>
      <c r="Q8082">
        <v>1.45172729374061</v>
      </c>
      <c r="R8082">
        <v>9.3013889196998694</v>
      </c>
      <c r="S8082">
        <v>197</v>
      </c>
      <c r="T8082">
        <v>70</v>
      </c>
      <c r="U8082">
        <v>427.45990677523298</v>
      </c>
      <c r="V8082">
        <v>1.4666340747983299E-3</v>
      </c>
      <c r="W8082">
        <v>2082522.6907007201</v>
      </c>
      <c r="X8082" t="s">
        <v>42</v>
      </c>
      <c r="Y8082">
        <f>1-589-800-3542</f>
        <v>-4930</v>
      </c>
    </row>
    <row r="8083" spans="1:25" x14ac:dyDescent="0.35">
      <c r="A8083">
        <v>36.640077225973101</v>
      </c>
      <c r="B8083">
        <v>-122.610420307791</v>
      </c>
      <c r="C8083" t="s">
        <v>25</v>
      </c>
      <c r="D8083">
        <v>17.129449129925501</v>
      </c>
      <c r="E8083">
        <v>4</v>
      </c>
      <c r="F8083">
        <v>1805</v>
      </c>
      <c r="G8083">
        <v>2</v>
      </c>
      <c r="H8083">
        <v>3</v>
      </c>
      <c r="I8083">
        <v>1966</v>
      </c>
      <c r="J8083">
        <v>1</v>
      </c>
      <c r="K8083">
        <v>1</v>
      </c>
      <c r="L8083">
        <v>0</v>
      </c>
      <c r="M8083">
        <v>7</v>
      </c>
      <c r="N8083" t="s">
        <v>37</v>
      </c>
      <c r="O8083" t="s">
        <v>30</v>
      </c>
      <c r="P8083">
        <v>12.2299509602023</v>
      </c>
      <c r="Q8083">
        <v>2.2339505684683201</v>
      </c>
      <c r="R8083">
        <v>8.4680823230761195</v>
      </c>
      <c r="S8083">
        <v>104</v>
      </c>
      <c r="T8083">
        <v>41</v>
      </c>
      <c r="U8083">
        <v>919.79356088668101</v>
      </c>
      <c r="V8083">
        <v>3.8781163434903E-3</v>
      </c>
      <c r="W8083">
        <v>1991606.9979526</v>
      </c>
      <c r="X8083" t="s">
        <v>31</v>
      </c>
      <c r="Y8083">
        <f>1-223-794-4074</f>
        <v>-5090</v>
      </c>
    </row>
    <row r="8084" spans="1:25" x14ac:dyDescent="0.35">
      <c r="A8084">
        <v>38.736924114033798</v>
      </c>
      <c r="B8084">
        <v>-123.032026110582</v>
      </c>
      <c r="C8084" t="s">
        <v>29</v>
      </c>
      <c r="D8084">
        <v>34.591557699807503</v>
      </c>
      <c r="E8084">
        <v>6</v>
      </c>
      <c r="F8084">
        <v>4972</v>
      </c>
      <c r="G8084">
        <v>3</v>
      </c>
      <c r="H8084">
        <v>3</v>
      </c>
      <c r="I8084">
        <v>1988</v>
      </c>
      <c r="J8084">
        <v>1</v>
      </c>
      <c r="K8084">
        <v>0</v>
      </c>
      <c r="L8084">
        <v>0</v>
      </c>
      <c r="M8084">
        <v>8</v>
      </c>
      <c r="N8084" t="s">
        <v>26</v>
      </c>
      <c r="O8084" t="s">
        <v>32</v>
      </c>
      <c r="P8084">
        <v>3.3058393535403399</v>
      </c>
      <c r="Q8084">
        <v>2.4291001938609198</v>
      </c>
      <c r="R8084">
        <v>6.3999488080886699</v>
      </c>
      <c r="S8084">
        <v>118</v>
      </c>
      <c r="T8084">
        <v>60</v>
      </c>
      <c r="U8084">
        <v>485.37632012655098</v>
      </c>
      <c r="V8084">
        <v>1.6090104585679799E-3</v>
      </c>
      <c r="W8084">
        <v>2681495.7922789799</v>
      </c>
      <c r="X8084" t="s">
        <v>39</v>
      </c>
      <c r="Y8084">
        <f>1-219-601-7544</f>
        <v>-8363</v>
      </c>
    </row>
    <row r="8085" spans="1:25" x14ac:dyDescent="0.35">
      <c r="A8085">
        <v>34.073907234436803</v>
      </c>
      <c r="B8085">
        <v>-123.010451744699</v>
      </c>
      <c r="C8085" t="s">
        <v>29</v>
      </c>
      <c r="D8085">
        <v>11.8410599625347</v>
      </c>
      <c r="E8085">
        <v>0</v>
      </c>
      <c r="F8085">
        <v>3563</v>
      </c>
      <c r="G8085">
        <v>5</v>
      </c>
      <c r="H8085">
        <v>1</v>
      </c>
      <c r="I8085">
        <v>2003</v>
      </c>
      <c r="J8085">
        <v>0</v>
      </c>
      <c r="K8085">
        <v>0</v>
      </c>
      <c r="L8085">
        <v>0</v>
      </c>
      <c r="M8085">
        <v>2</v>
      </c>
      <c r="N8085" t="s">
        <v>41</v>
      </c>
      <c r="O8085" t="s">
        <v>32</v>
      </c>
      <c r="P8085">
        <v>10.508425047079299</v>
      </c>
      <c r="Q8085">
        <v>1.6594174814673499</v>
      </c>
      <c r="R8085">
        <v>4.8651132068234002</v>
      </c>
      <c r="S8085">
        <v>106</v>
      </c>
      <c r="T8085">
        <v>23</v>
      </c>
      <c r="U8085">
        <v>976.80346356023199</v>
      </c>
      <c r="V8085">
        <v>5.6132472635419596E-4</v>
      </c>
      <c r="W8085">
        <v>3853690.1357522402</v>
      </c>
      <c r="X8085" t="s">
        <v>38</v>
      </c>
      <c r="Y8085">
        <f>1-581-593-3134</f>
        <v>-4307</v>
      </c>
    </row>
    <row r="8086" spans="1:25" x14ac:dyDescent="0.35">
      <c r="A8086">
        <v>40.369162365613498</v>
      </c>
      <c r="B8086">
        <v>-123.92379895447</v>
      </c>
      <c r="C8086" t="s">
        <v>34</v>
      </c>
      <c r="D8086">
        <v>45.777727709820901</v>
      </c>
      <c r="E8086">
        <v>6</v>
      </c>
      <c r="F8086">
        <v>2551</v>
      </c>
      <c r="G8086">
        <v>1</v>
      </c>
      <c r="H8086">
        <v>1</v>
      </c>
      <c r="I8086">
        <v>1957</v>
      </c>
      <c r="J8086">
        <v>0</v>
      </c>
      <c r="K8086">
        <v>0</v>
      </c>
      <c r="L8086">
        <v>1</v>
      </c>
      <c r="M8086">
        <v>13</v>
      </c>
      <c r="N8086" t="s">
        <v>37</v>
      </c>
      <c r="O8086" t="s">
        <v>32</v>
      </c>
      <c r="P8086">
        <v>10.8580318030307</v>
      </c>
      <c r="Q8086">
        <v>2.1105066818876201</v>
      </c>
      <c r="R8086">
        <v>0.69309448487817604</v>
      </c>
      <c r="S8086">
        <v>94</v>
      </c>
      <c r="T8086">
        <v>79</v>
      </c>
      <c r="U8086">
        <v>815.44762202226002</v>
      </c>
      <c r="V8086">
        <v>5.0960407683261402E-3</v>
      </c>
      <c r="W8086">
        <v>2146385.83209584</v>
      </c>
      <c r="X8086" t="s">
        <v>36</v>
      </c>
      <c r="Y8086">
        <f>1-781-301-1412</f>
        <v>-2493</v>
      </c>
    </row>
    <row r="8087" spans="1:25" x14ac:dyDescent="0.35">
      <c r="A8087">
        <v>36.323403016824301</v>
      </c>
      <c r="B8087">
        <v>-120.91113820315</v>
      </c>
      <c r="C8087" t="s">
        <v>34</v>
      </c>
      <c r="D8087">
        <v>45.277069217761003</v>
      </c>
      <c r="E8087">
        <v>6</v>
      </c>
      <c r="F8087">
        <v>1961</v>
      </c>
      <c r="G8087">
        <v>4</v>
      </c>
      <c r="H8087">
        <v>2</v>
      </c>
      <c r="I8087">
        <v>1991</v>
      </c>
      <c r="J8087">
        <v>1</v>
      </c>
      <c r="K8087">
        <v>0</v>
      </c>
      <c r="L8087">
        <v>0</v>
      </c>
      <c r="M8087">
        <v>9</v>
      </c>
      <c r="N8087" t="s">
        <v>26</v>
      </c>
      <c r="O8087" t="s">
        <v>30</v>
      </c>
      <c r="P8087">
        <v>3.8085445119574102</v>
      </c>
      <c r="Q8087">
        <v>1.85067582442651</v>
      </c>
      <c r="R8087">
        <v>5.9655131700313504</v>
      </c>
      <c r="S8087">
        <v>100</v>
      </c>
      <c r="T8087">
        <v>29</v>
      </c>
      <c r="U8087">
        <v>587.93626916163305</v>
      </c>
      <c r="V8087">
        <v>4.5894951555328902E-3</v>
      </c>
      <c r="W8087">
        <v>1407273.36477567</v>
      </c>
      <c r="X8087" t="s">
        <v>44</v>
      </c>
      <c r="Y8087">
        <f>1-956-161-4413</f>
        <v>-5529</v>
      </c>
    </row>
    <row r="8088" spans="1:25" x14ac:dyDescent="0.35">
      <c r="A8088">
        <v>34.118673157135497</v>
      </c>
      <c r="B8088">
        <v>-117.256848327665</v>
      </c>
      <c r="C8088" t="s">
        <v>29</v>
      </c>
      <c r="D8088">
        <v>29.310156553494402</v>
      </c>
      <c r="E8088">
        <v>9</v>
      </c>
      <c r="F8088">
        <v>2718</v>
      </c>
      <c r="G8088">
        <v>4</v>
      </c>
      <c r="H8088">
        <v>2</v>
      </c>
      <c r="I8088">
        <v>1991</v>
      </c>
      <c r="J8088">
        <v>1</v>
      </c>
      <c r="K8088">
        <v>0</v>
      </c>
      <c r="L8088">
        <v>1</v>
      </c>
      <c r="M8088">
        <v>5</v>
      </c>
      <c r="N8088" t="s">
        <v>41</v>
      </c>
      <c r="O8088" t="s">
        <v>32</v>
      </c>
      <c r="P8088">
        <v>5.0973728761370998</v>
      </c>
      <c r="Q8088">
        <v>2.3703973499659501</v>
      </c>
      <c r="R8088">
        <v>3.6706196686539299</v>
      </c>
      <c r="S8088">
        <v>65</v>
      </c>
      <c r="T8088">
        <v>58</v>
      </c>
      <c r="U8088">
        <v>331.95952781855402</v>
      </c>
      <c r="V8088">
        <v>1.83958793230316E-3</v>
      </c>
      <c r="W8088">
        <v>1141188.2631244101</v>
      </c>
      <c r="X8088" t="s">
        <v>42</v>
      </c>
      <c r="Y8088">
        <f>1-494-674-2690</f>
        <v>-3857</v>
      </c>
    </row>
    <row r="8089" spans="1:25" x14ac:dyDescent="0.35">
      <c r="A8089">
        <v>36.379685182799697</v>
      </c>
      <c r="B8089">
        <v>-115.99355770397599</v>
      </c>
      <c r="C8089" t="s">
        <v>25</v>
      </c>
      <c r="D8089">
        <v>21.561699089126101</v>
      </c>
      <c r="E8089">
        <v>2</v>
      </c>
      <c r="F8089">
        <v>4953</v>
      </c>
      <c r="G8089">
        <v>2</v>
      </c>
      <c r="H8089">
        <v>3</v>
      </c>
      <c r="I8089">
        <v>1961</v>
      </c>
      <c r="J8089">
        <v>0</v>
      </c>
      <c r="K8089">
        <v>1</v>
      </c>
      <c r="L8089">
        <v>1</v>
      </c>
      <c r="M8089">
        <v>9</v>
      </c>
      <c r="N8089" t="s">
        <v>37</v>
      </c>
      <c r="O8089" t="s">
        <v>27</v>
      </c>
      <c r="P8089">
        <v>6.6043672527499302</v>
      </c>
      <c r="Q8089">
        <v>1.0225408535793401</v>
      </c>
      <c r="R8089">
        <v>3.1495904455393902</v>
      </c>
      <c r="S8089">
        <v>22</v>
      </c>
      <c r="T8089">
        <v>51</v>
      </c>
      <c r="U8089">
        <v>238.05451407449999</v>
      </c>
      <c r="V8089">
        <v>1.81708055723803E-3</v>
      </c>
      <c r="W8089">
        <v>1494121.39635851</v>
      </c>
      <c r="X8089" t="s">
        <v>43</v>
      </c>
      <c r="Y8089">
        <f>1-716-147-2980</f>
        <v>-3842</v>
      </c>
    </row>
    <row r="8090" spans="1:25" x14ac:dyDescent="0.35">
      <c r="A8090">
        <v>33.686334759568297</v>
      </c>
      <c r="B8090">
        <v>-122.590260272484</v>
      </c>
      <c r="C8090" t="s">
        <v>25</v>
      </c>
      <c r="D8090">
        <v>33.427441430166603</v>
      </c>
      <c r="E8090">
        <v>4</v>
      </c>
      <c r="F8090">
        <v>4839</v>
      </c>
      <c r="G8090">
        <v>5</v>
      </c>
      <c r="H8090">
        <v>3</v>
      </c>
      <c r="I8090">
        <v>2004</v>
      </c>
      <c r="J8090">
        <v>0</v>
      </c>
      <c r="K8090">
        <v>1</v>
      </c>
      <c r="L8090">
        <v>1</v>
      </c>
      <c r="M8090">
        <v>4</v>
      </c>
      <c r="N8090" t="s">
        <v>41</v>
      </c>
      <c r="O8090" t="s">
        <v>30</v>
      </c>
      <c r="P8090">
        <v>3.71955370275868</v>
      </c>
      <c r="Q8090">
        <v>1.86025973770847</v>
      </c>
      <c r="R8090">
        <v>1.7470185892827499</v>
      </c>
      <c r="S8090">
        <v>85</v>
      </c>
      <c r="T8090">
        <v>57</v>
      </c>
      <c r="U8090">
        <v>319.12926901407599</v>
      </c>
      <c r="V8090">
        <v>8.2661706964248804E-4</v>
      </c>
      <c r="W8090">
        <v>1973826.03065785</v>
      </c>
      <c r="X8090" t="s">
        <v>39</v>
      </c>
      <c r="Y8090">
        <f>1-546-318-1475</f>
        <v>-2338</v>
      </c>
    </row>
    <row r="8091" spans="1:25" x14ac:dyDescent="0.35">
      <c r="A8091">
        <v>41.128363475201603</v>
      </c>
      <c r="B8091">
        <v>-114.40464356623499</v>
      </c>
      <c r="C8091" t="s">
        <v>29</v>
      </c>
      <c r="D8091">
        <v>13.970853178555201</v>
      </c>
      <c r="E8091">
        <v>4</v>
      </c>
      <c r="F8091">
        <v>3272</v>
      </c>
      <c r="G8091">
        <v>4</v>
      </c>
      <c r="H8091">
        <v>2</v>
      </c>
      <c r="I8091">
        <v>1961</v>
      </c>
      <c r="J8091">
        <v>1</v>
      </c>
      <c r="K8091">
        <v>1</v>
      </c>
      <c r="L8091">
        <v>1</v>
      </c>
      <c r="M8091">
        <v>10</v>
      </c>
      <c r="N8091" t="s">
        <v>35</v>
      </c>
      <c r="O8091" t="s">
        <v>27</v>
      </c>
      <c r="P8091">
        <v>6.2992479253659504</v>
      </c>
      <c r="Q8091">
        <v>1.1561985313699701</v>
      </c>
      <c r="R8091">
        <v>6.9258924984408798</v>
      </c>
      <c r="S8091">
        <v>118</v>
      </c>
      <c r="T8091">
        <v>31</v>
      </c>
      <c r="U8091">
        <v>328.31632216621</v>
      </c>
      <c r="V8091">
        <v>3.0562347188264E-3</v>
      </c>
      <c r="W8091">
        <v>1448224.53475487</v>
      </c>
      <c r="X8091" t="s">
        <v>39</v>
      </c>
      <c r="Y8091">
        <f>1-789-464-8818</f>
        <v>-10070</v>
      </c>
    </row>
    <row r="8092" spans="1:25" x14ac:dyDescent="0.35">
      <c r="A8092">
        <v>38.715675809896197</v>
      </c>
      <c r="B8092">
        <v>-117.600773967035</v>
      </c>
      <c r="C8092" t="s">
        <v>34</v>
      </c>
      <c r="D8092">
        <v>8.5310288222931696</v>
      </c>
      <c r="E8092">
        <v>5</v>
      </c>
      <c r="F8092">
        <v>762</v>
      </c>
      <c r="G8092">
        <v>2</v>
      </c>
      <c r="H8092">
        <v>2</v>
      </c>
      <c r="I8092">
        <v>1968</v>
      </c>
      <c r="J8092">
        <v>1</v>
      </c>
      <c r="K8092">
        <v>0</v>
      </c>
      <c r="L8092">
        <v>0</v>
      </c>
      <c r="M8092">
        <v>14</v>
      </c>
      <c r="N8092" t="s">
        <v>41</v>
      </c>
      <c r="O8092" t="s">
        <v>30</v>
      </c>
      <c r="P8092">
        <v>11.174658325360101</v>
      </c>
      <c r="Q8092">
        <v>2.20473700728573</v>
      </c>
      <c r="R8092">
        <v>4.8648841212525697</v>
      </c>
      <c r="S8092">
        <v>49</v>
      </c>
      <c r="T8092">
        <v>23</v>
      </c>
      <c r="U8092">
        <v>385.47514719097597</v>
      </c>
      <c r="V8092">
        <v>1.83727034120734E-2</v>
      </c>
      <c r="W8092">
        <v>456875.88527853898</v>
      </c>
      <c r="X8092" t="s">
        <v>43</v>
      </c>
      <c r="Y8092">
        <f>1-375-621-7601</f>
        <v>-8596</v>
      </c>
    </row>
    <row r="8093" spans="1:25" x14ac:dyDescent="0.35">
      <c r="A8093">
        <v>37.860921103854999</v>
      </c>
      <c r="B8093">
        <v>-122.818163818939</v>
      </c>
      <c r="C8093" t="s">
        <v>29</v>
      </c>
      <c r="D8093">
        <v>8.4427153355876907</v>
      </c>
      <c r="E8093">
        <v>1</v>
      </c>
      <c r="F8093">
        <v>825</v>
      </c>
      <c r="G8093">
        <v>5</v>
      </c>
      <c r="H8093">
        <v>3</v>
      </c>
      <c r="I8093">
        <v>1967</v>
      </c>
      <c r="J8093">
        <v>1</v>
      </c>
      <c r="K8093">
        <v>0</v>
      </c>
      <c r="L8093">
        <v>1</v>
      </c>
      <c r="M8093">
        <v>8</v>
      </c>
      <c r="N8093" t="s">
        <v>37</v>
      </c>
      <c r="O8093" t="s">
        <v>30</v>
      </c>
      <c r="P8093">
        <v>2.7465598260127599</v>
      </c>
      <c r="Q8093">
        <v>1.8457485360208199</v>
      </c>
      <c r="R8093">
        <v>1.52271766045458</v>
      </c>
      <c r="S8093">
        <v>81</v>
      </c>
      <c r="T8093">
        <v>69</v>
      </c>
      <c r="U8093">
        <v>662.62792832576395</v>
      </c>
      <c r="V8093">
        <v>9.69696969696969E-3</v>
      </c>
      <c r="W8093">
        <v>854052.49419331097</v>
      </c>
      <c r="X8093" t="s">
        <v>40</v>
      </c>
      <c r="Y8093">
        <f>1-970-144-5816</f>
        <v>-6929</v>
      </c>
    </row>
    <row r="8094" spans="1:25" x14ac:dyDescent="0.35">
      <c r="A8094">
        <v>39.892117604239097</v>
      </c>
      <c r="B8094">
        <v>-116.436614205946</v>
      </c>
      <c r="C8094" t="s">
        <v>29</v>
      </c>
      <c r="D8094">
        <v>39.7870654608219</v>
      </c>
      <c r="E8094">
        <v>2</v>
      </c>
      <c r="F8094">
        <v>735</v>
      </c>
      <c r="G8094">
        <v>5</v>
      </c>
      <c r="H8094">
        <v>1</v>
      </c>
      <c r="I8094">
        <v>1986</v>
      </c>
      <c r="J8094">
        <v>1</v>
      </c>
      <c r="K8094">
        <v>1</v>
      </c>
      <c r="L8094">
        <v>1</v>
      </c>
      <c r="M8094">
        <v>7</v>
      </c>
      <c r="N8094" t="s">
        <v>37</v>
      </c>
      <c r="O8094" t="s">
        <v>32</v>
      </c>
      <c r="P8094">
        <v>13.7193470279802</v>
      </c>
      <c r="Q8094">
        <v>2.00398599895472</v>
      </c>
      <c r="R8094">
        <v>0.48850472016416002</v>
      </c>
      <c r="S8094">
        <v>79</v>
      </c>
      <c r="T8094">
        <v>58</v>
      </c>
      <c r="U8094">
        <v>217.09248729143101</v>
      </c>
      <c r="V8094">
        <v>9.5238095238095195E-3</v>
      </c>
      <c r="W8094">
        <v>597019.47021407797</v>
      </c>
      <c r="X8094" t="s">
        <v>44</v>
      </c>
      <c r="Y8094">
        <f>1-808-316-5855</f>
        <v>-6978</v>
      </c>
    </row>
    <row r="8095" spans="1:25" x14ac:dyDescent="0.35">
      <c r="A8095">
        <v>40.057777698560798</v>
      </c>
      <c r="B8095">
        <v>-122.72364016443299</v>
      </c>
      <c r="C8095" t="s">
        <v>34</v>
      </c>
      <c r="D8095">
        <v>15.016814320893101</v>
      </c>
      <c r="E8095">
        <v>1</v>
      </c>
      <c r="F8095">
        <v>3106</v>
      </c>
      <c r="G8095">
        <v>4</v>
      </c>
      <c r="H8095">
        <v>2</v>
      </c>
      <c r="I8095">
        <v>2020</v>
      </c>
      <c r="J8095">
        <v>0</v>
      </c>
      <c r="K8095">
        <v>1</v>
      </c>
      <c r="L8095">
        <v>1</v>
      </c>
      <c r="M8095">
        <v>14</v>
      </c>
      <c r="N8095" t="s">
        <v>35</v>
      </c>
      <c r="O8095" t="s">
        <v>27</v>
      </c>
      <c r="P8095">
        <v>3.9634881656229499</v>
      </c>
      <c r="Q8095">
        <v>2.3481032490931701</v>
      </c>
      <c r="R8095">
        <v>2.4263506679638902</v>
      </c>
      <c r="S8095">
        <v>131</v>
      </c>
      <c r="T8095">
        <v>66</v>
      </c>
      <c r="U8095">
        <v>297.67080464583699</v>
      </c>
      <c r="V8095">
        <v>4.5074050225370199E-3</v>
      </c>
      <c r="W8095">
        <v>1273412.22514182</v>
      </c>
      <c r="X8095" t="s">
        <v>39</v>
      </c>
      <c r="Y8095">
        <f>1-946-551-3673</f>
        <v>-5169</v>
      </c>
    </row>
    <row r="8096" spans="1:25" x14ac:dyDescent="0.35">
      <c r="A8096">
        <v>40.715053894321599</v>
      </c>
      <c r="B8096">
        <v>-114.38805755049199</v>
      </c>
      <c r="C8096" t="s">
        <v>25</v>
      </c>
      <c r="D8096">
        <v>2.3004569393221499</v>
      </c>
      <c r="E8096">
        <v>9</v>
      </c>
      <c r="F8096">
        <v>1959</v>
      </c>
      <c r="G8096">
        <v>2</v>
      </c>
      <c r="H8096">
        <v>2</v>
      </c>
      <c r="I8096">
        <v>2018</v>
      </c>
      <c r="J8096">
        <v>1</v>
      </c>
      <c r="K8096">
        <v>1</v>
      </c>
      <c r="L8096">
        <v>0</v>
      </c>
      <c r="M8096">
        <v>3</v>
      </c>
      <c r="N8096" t="s">
        <v>26</v>
      </c>
      <c r="O8096" t="s">
        <v>30</v>
      </c>
      <c r="P8096">
        <v>7.7907551205147696</v>
      </c>
      <c r="Q8096">
        <v>1.4111657370314901</v>
      </c>
      <c r="R8096">
        <v>9.5466557990149905</v>
      </c>
      <c r="S8096">
        <v>79</v>
      </c>
      <c r="T8096">
        <v>37</v>
      </c>
      <c r="U8096">
        <v>689.14782159649701</v>
      </c>
      <c r="V8096">
        <v>1.5313935681470099E-3</v>
      </c>
      <c r="W8096">
        <v>1642911.30314239</v>
      </c>
      <c r="X8096" t="s">
        <v>28</v>
      </c>
      <c r="Y8096">
        <f>1-782-556-8860</f>
        <v>-10197</v>
      </c>
    </row>
    <row r="8097" spans="1:25" x14ac:dyDescent="0.35">
      <c r="A8097">
        <v>33.193536526746001</v>
      </c>
      <c r="B8097">
        <v>-122.99253463515601</v>
      </c>
      <c r="C8097" t="s">
        <v>29</v>
      </c>
      <c r="D8097">
        <v>22.4061336661354</v>
      </c>
      <c r="E8097">
        <v>5</v>
      </c>
      <c r="F8097">
        <v>3987</v>
      </c>
      <c r="G8097">
        <v>1</v>
      </c>
      <c r="H8097">
        <v>2</v>
      </c>
      <c r="I8097">
        <v>1954</v>
      </c>
      <c r="J8097">
        <v>1</v>
      </c>
      <c r="K8097">
        <v>1</v>
      </c>
      <c r="L8097">
        <v>1</v>
      </c>
      <c r="M8097">
        <v>6</v>
      </c>
      <c r="N8097" t="s">
        <v>35</v>
      </c>
      <c r="O8097" t="s">
        <v>32</v>
      </c>
      <c r="P8097">
        <v>6.1074312828657797</v>
      </c>
      <c r="Q8097">
        <v>2.0922945367015999</v>
      </c>
      <c r="R8097">
        <v>3.9478686992391498</v>
      </c>
      <c r="S8097">
        <v>32</v>
      </c>
      <c r="T8097">
        <v>36</v>
      </c>
      <c r="U8097">
        <v>707.44177163243796</v>
      </c>
      <c r="V8097">
        <v>1.5048908954100799E-3</v>
      </c>
      <c r="W8097">
        <v>3007123.0900084199</v>
      </c>
      <c r="X8097" t="s">
        <v>33</v>
      </c>
      <c r="Y8097">
        <f>1-763-749-7780</f>
        <v>-9291</v>
      </c>
    </row>
    <row r="8098" spans="1:25" x14ac:dyDescent="0.35">
      <c r="A8098">
        <v>41.054073710907097</v>
      </c>
      <c r="B8098">
        <v>-114.80581895232901</v>
      </c>
      <c r="C8098" t="s">
        <v>34</v>
      </c>
      <c r="D8098">
        <v>4.3238393228371601</v>
      </c>
      <c r="E8098">
        <v>4</v>
      </c>
      <c r="F8098">
        <v>1782</v>
      </c>
      <c r="G8098">
        <v>1</v>
      </c>
      <c r="H8098">
        <v>1</v>
      </c>
      <c r="I8098">
        <v>1950</v>
      </c>
      <c r="J8098">
        <v>0</v>
      </c>
      <c r="K8098">
        <v>0</v>
      </c>
      <c r="L8098">
        <v>1</v>
      </c>
      <c r="M8098">
        <v>3</v>
      </c>
      <c r="N8098" t="s">
        <v>26</v>
      </c>
      <c r="O8098" t="s">
        <v>27</v>
      </c>
      <c r="P8098">
        <v>6.9290176326223101</v>
      </c>
      <c r="Q8098">
        <v>1.7635669446492701</v>
      </c>
      <c r="R8098">
        <v>0.97987776231974999</v>
      </c>
      <c r="S8098">
        <v>120</v>
      </c>
      <c r="T8098">
        <v>49</v>
      </c>
      <c r="U8098">
        <v>760.50744973158805</v>
      </c>
      <c r="V8098">
        <v>1.68350168350168E-3</v>
      </c>
      <c r="W8098">
        <v>1437482.30205054</v>
      </c>
      <c r="X8098" t="s">
        <v>43</v>
      </c>
      <c r="Y8098">
        <f>1-558-288-4153</f>
        <v>-4998</v>
      </c>
    </row>
    <row r="8099" spans="1:25" x14ac:dyDescent="0.35">
      <c r="A8099">
        <v>36.484801886498502</v>
      </c>
      <c r="B8099">
        <v>-118.387590613719</v>
      </c>
      <c r="C8099" t="s">
        <v>29</v>
      </c>
      <c r="D8099">
        <v>41.767996073340399</v>
      </c>
      <c r="E8099">
        <v>6</v>
      </c>
      <c r="F8099">
        <v>694</v>
      </c>
      <c r="G8099">
        <v>3</v>
      </c>
      <c r="H8099">
        <v>2</v>
      </c>
      <c r="I8099">
        <v>1965</v>
      </c>
      <c r="J8099">
        <v>0</v>
      </c>
      <c r="K8099">
        <v>1</v>
      </c>
      <c r="L8099">
        <v>0</v>
      </c>
      <c r="M8099">
        <v>11</v>
      </c>
      <c r="N8099" t="s">
        <v>26</v>
      </c>
      <c r="O8099" t="s">
        <v>32</v>
      </c>
      <c r="P8099">
        <v>12.0784518805337</v>
      </c>
      <c r="Q8099">
        <v>0.52718085024219496</v>
      </c>
      <c r="R8099">
        <v>9.9868817053134507</v>
      </c>
      <c r="S8099">
        <v>158</v>
      </c>
      <c r="T8099">
        <v>33</v>
      </c>
      <c r="U8099">
        <v>502.12769561834801</v>
      </c>
      <c r="V8099">
        <v>1.5850144092219E-2</v>
      </c>
      <c r="W8099">
        <v>665539.86174109497</v>
      </c>
      <c r="X8099" t="s">
        <v>33</v>
      </c>
      <c r="Y8099">
        <f>1-398-503-4446</f>
        <v>-5346</v>
      </c>
    </row>
    <row r="8100" spans="1:25" x14ac:dyDescent="0.35">
      <c r="A8100">
        <v>40.659620757313803</v>
      </c>
      <c r="B8100">
        <v>-114.50999103831199</v>
      </c>
      <c r="C8100" t="s">
        <v>34</v>
      </c>
      <c r="D8100">
        <v>47.399338758445602</v>
      </c>
      <c r="E8100">
        <v>9</v>
      </c>
      <c r="F8100">
        <v>4029</v>
      </c>
      <c r="G8100">
        <v>5</v>
      </c>
      <c r="H8100">
        <v>3</v>
      </c>
      <c r="I8100">
        <v>1994</v>
      </c>
      <c r="J8100">
        <v>1</v>
      </c>
      <c r="K8100">
        <v>0</v>
      </c>
      <c r="L8100">
        <v>0</v>
      </c>
      <c r="M8100">
        <v>12</v>
      </c>
      <c r="N8100" t="s">
        <v>41</v>
      </c>
      <c r="O8100" t="s">
        <v>27</v>
      </c>
      <c r="P8100">
        <v>12.880117970132</v>
      </c>
      <c r="Q8100">
        <v>1.02498504865508</v>
      </c>
      <c r="R8100">
        <v>3.6507114560989198</v>
      </c>
      <c r="S8100">
        <v>141</v>
      </c>
      <c r="T8100">
        <v>58</v>
      </c>
      <c r="U8100">
        <v>600.13368159735705</v>
      </c>
      <c r="V8100">
        <v>2.9784065524944099E-3</v>
      </c>
      <c r="W8100">
        <v>2880936.3669422399</v>
      </c>
      <c r="X8100" t="s">
        <v>40</v>
      </c>
      <c r="Y8100">
        <f>1-332-854-4162</f>
        <v>-5347</v>
      </c>
    </row>
    <row r="8101" spans="1:25" x14ac:dyDescent="0.35">
      <c r="A8101">
        <v>34.451510610605602</v>
      </c>
      <c r="B8101">
        <v>-120.648835743685</v>
      </c>
      <c r="C8101" t="s">
        <v>34</v>
      </c>
      <c r="D8101">
        <v>28.025386586368501</v>
      </c>
      <c r="E8101">
        <v>4</v>
      </c>
      <c r="F8101">
        <v>4847</v>
      </c>
      <c r="G8101">
        <v>3</v>
      </c>
      <c r="H8101">
        <v>1</v>
      </c>
      <c r="I8101">
        <v>1980</v>
      </c>
      <c r="J8101">
        <v>0</v>
      </c>
      <c r="K8101">
        <v>1</v>
      </c>
      <c r="L8101">
        <v>0</v>
      </c>
      <c r="M8101">
        <v>7</v>
      </c>
      <c r="N8101" t="s">
        <v>26</v>
      </c>
      <c r="O8101" t="s">
        <v>32</v>
      </c>
      <c r="P8101">
        <v>10.6430013597427</v>
      </c>
      <c r="Q8101">
        <v>1.2741133092679</v>
      </c>
      <c r="R8101">
        <v>6.1305765265735701</v>
      </c>
      <c r="S8101">
        <v>107</v>
      </c>
      <c r="T8101">
        <v>28</v>
      </c>
      <c r="U8101">
        <v>437.418639951248</v>
      </c>
      <c r="V8101">
        <v>1.44419228388694E-3</v>
      </c>
      <c r="W8101">
        <v>2397607.3389014499</v>
      </c>
      <c r="X8101" t="s">
        <v>44</v>
      </c>
      <c r="Y8101">
        <f>1-844-655-2194</f>
        <v>-3692</v>
      </c>
    </row>
    <row r="8102" spans="1:25" x14ac:dyDescent="0.35">
      <c r="A8102">
        <v>40.817835027929704</v>
      </c>
      <c r="B8102">
        <v>-120.793265438242</v>
      </c>
      <c r="C8102" t="s">
        <v>29</v>
      </c>
      <c r="D8102">
        <v>25.339451449394499</v>
      </c>
      <c r="E8102">
        <v>7</v>
      </c>
      <c r="F8102">
        <v>2190</v>
      </c>
      <c r="G8102">
        <v>2</v>
      </c>
      <c r="H8102">
        <v>2</v>
      </c>
      <c r="I8102">
        <v>2005</v>
      </c>
      <c r="J8102">
        <v>0</v>
      </c>
      <c r="K8102">
        <v>0</v>
      </c>
      <c r="L8102">
        <v>0</v>
      </c>
      <c r="M8102">
        <v>5</v>
      </c>
      <c r="N8102" t="s">
        <v>26</v>
      </c>
      <c r="O8102" t="s">
        <v>32</v>
      </c>
      <c r="P8102">
        <v>12.3502584369846</v>
      </c>
      <c r="Q8102">
        <v>0.949652138240352</v>
      </c>
      <c r="R8102">
        <v>9.04004252902104</v>
      </c>
      <c r="S8102">
        <v>59</v>
      </c>
      <c r="T8102">
        <v>34</v>
      </c>
      <c r="U8102">
        <v>487.15851566299699</v>
      </c>
      <c r="V8102">
        <v>2.2831050228310501E-3</v>
      </c>
      <c r="W8102">
        <v>1409143.90906481</v>
      </c>
      <c r="X8102" t="s">
        <v>36</v>
      </c>
      <c r="Y8102">
        <f>1-685-533-4340</f>
        <v>-5557</v>
      </c>
    </row>
    <row r="8103" spans="1:25" x14ac:dyDescent="0.35">
      <c r="A8103">
        <v>41.102260044906203</v>
      </c>
      <c r="B8103">
        <v>-120.86798187063</v>
      </c>
      <c r="C8103" t="s">
        <v>34</v>
      </c>
      <c r="D8103">
        <v>39.760254076923403</v>
      </c>
      <c r="E8103">
        <v>5</v>
      </c>
      <c r="F8103">
        <v>3150</v>
      </c>
      <c r="G8103">
        <v>1</v>
      </c>
      <c r="H8103">
        <v>1</v>
      </c>
      <c r="I8103">
        <v>1975</v>
      </c>
      <c r="J8103">
        <v>1</v>
      </c>
      <c r="K8103">
        <v>1</v>
      </c>
      <c r="L8103">
        <v>0</v>
      </c>
      <c r="M8103">
        <v>4</v>
      </c>
      <c r="N8103" t="s">
        <v>37</v>
      </c>
      <c r="O8103" t="s">
        <v>27</v>
      </c>
      <c r="P8103">
        <v>9.0385250807805999</v>
      </c>
      <c r="Q8103">
        <v>2.48734078104399</v>
      </c>
      <c r="R8103">
        <v>9.0114643098337606</v>
      </c>
      <c r="S8103">
        <v>86</v>
      </c>
      <c r="T8103">
        <v>29</v>
      </c>
      <c r="U8103">
        <v>488.63111250825199</v>
      </c>
      <c r="V8103">
        <v>1.2698412698412601E-3</v>
      </c>
      <c r="W8103">
        <v>1758390.0822934499</v>
      </c>
      <c r="X8103" t="s">
        <v>31</v>
      </c>
      <c r="Y8103">
        <f>1-741-756-4664</f>
        <v>-6160</v>
      </c>
    </row>
    <row r="8104" spans="1:25" x14ac:dyDescent="0.35">
      <c r="A8104">
        <v>33.362945401817598</v>
      </c>
      <c r="B8104">
        <v>-122.661674639361</v>
      </c>
      <c r="C8104" t="s">
        <v>29</v>
      </c>
      <c r="D8104">
        <v>41.417852785583896</v>
      </c>
      <c r="E8104">
        <v>6</v>
      </c>
      <c r="F8104">
        <v>2432</v>
      </c>
      <c r="G8104">
        <v>3</v>
      </c>
      <c r="H8104">
        <v>1</v>
      </c>
      <c r="I8104">
        <v>1997</v>
      </c>
      <c r="J8104">
        <v>0</v>
      </c>
      <c r="K8104">
        <v>1</v>
      </c>
      <c r="L8104">
        <v>1</v>
      </c>
      <c r="M8104">
        <v>5</v>
      </c>
      <c r="N8104" t="s">
        <v>35</v>
      </c>
      <c r="O8104" t="s">
        <v>27</v>
      </c>
      <c r="P8104">
        <v>10.041084285282199</v>
      </c>
      <c r="Q8104">
        <v>1.43299932378481</v>
      </c>
      <c r="R8104">
        <v>7.5047900220544497</v>
      </c>
      <c r="S8104">
        <v>114</v>
      </c>
      <c r="T8104">
        <v>60</v>
      </c>
      <c r="U8104">
        <v>297.078053463971</v>
      </c>
      <c r="V8104">
        <v>2.0559210526315702E-3</v>
      </c>
      <c r="W8104">
        <v>979064.92909632903</v>
      </c>
      <c r="X8104" t="s">
        <v>36</v>
      </c>
      <c r="Y8104">
        <f>1-606-391-6067</f>
        <v>-7063</v>
      </c>
    </row>
    <row r="8105" spans="1:25" x14ac:dyDescent="0.35">
      <c r="A8105">
        <v>35.491832637659101</v>
      </c>
      <c r="B8105">
        <v>-116.684948505015</v>
      </c>
      <c r="C8105" t="s">
        <v>25</v>
      </c>
      <c r="D8105">
        <v>34.023970706792802</v>
      </c>
      <c r="E8105">
        <v>5</v>
      </c>
      <c r="F8105">
        <v>1000</v>
      </c>
      <c r="G8105">
        <v>4</v>
      </c>
      <c r="H8105">
        <v>2</v>
      </c>
      <c r="I8105">
        <v>1988</v>
      </c>
      <c r="J8105">
        <v>1</v>
      </c>
      <c r="K8105">
        <v>1</v>
      </c>
      <c r="L8105">
        <v>1</v>
      </c>
      <c r="M8105">
        <v>7</v>
      </c>
      <c r="N8105" t="s">
        <v>37</v>
      </c>
      <c r="O8105" t="s">
        <v>27</v>
      </c>
      <c r="P8105">
        <v>11.8724203520931</v>
      </c>
      <c r="Q8105">
        <v>1.4951717446949</v>
      </c>
      <c r="R8105">
        <v>5.9529542815058996</v>
      </c>
      <c r="S8105">
        <v>52</v>
      </c>
      <c r="T8105">
        <v>26</v>
      </c>
      <c r="U8105">
        <v>687.89609964582996</v>
      </c>
      <c r="V8105">
        <v>7.0000000000000001E-3</v>
      </c>
      <c r="W8105">
        <v>1112232.1486685099</v>
      </c>
      <c r="X8105" t="s">
        <v>39</v>
      </c>
      <c r="Y8105">
        <f>1-824-948-1676</f>
        <v>-3447</v>
      </c>
    </row>
    <row r="8106" spans="1:25" x14ac:dyDescent="0.35">
      <c r="A8106">
        <v>34.189713558120197</v>
      </c>
      <c r="B8106">
        <v>-117.98826941389299</v>
      </c>
      <c r="C8106" t="s">
        <v>34</v>
      </c>
      <c r="D8106">
        <v>44.7871045230319</v>
      </c>
      <c r="E8106">
        <v>2</v>
      </c>
      <c r="F8106">
        <v>951</v>
      </c>
      <c r="G8106">
        <v>4</v>
      </c>
      <c r="H8106">
        <v>1</v>
      </c>
      <c r="I8106">
        <v>2005</v>
      </c>
      <c r="J8106">
        <v>1</v>
      </c>
      <c r="K8106">
        <v>1</v>
      </c>
      <c r="L8106">
        <v>1</v>
      </c>
      <c r="M8106">
        <v>3</v>
      </c>
      <c r="N8106" t="s">
        <v>37</v>
      </c>
      <c r="O8106" t="s">
        <v>30</v>
      </c>
      <c r="P8106">
        <v>7.1245520363228803</v>
      </c>
      <c r="Q8106">
        <v>0.71584367498889101</v>
      </c>
      <c r="R8106">
        <v>3.4036521389351702</v>
      </c>
      <c r="S8106">
        <v>83</v>
      </c>
      <c r="T8106">
        <v>22</v>
      </c>
      <c r="U8106">
        <v>451.61741201874798</v>
      </c>
      <c r="V8106">
        <v>3.15457413249211E-3</v>
      </c>
      <c r="W8106">
        <v>868628.82239398197</v>
      </c>
      <c r="X8106" t="s">
        <v>33</v>
      </c>
      <c r="Y8106">
        <f>1-306-548-8547</f>
        <v>-9400</v>
      </c>
    </row>
    <row r="8107" spans="1:25" x14ac:dyDescent="0.35">
      <c r="A8107">
        <v>39.706042958148302</v>
      </c>
      <c r="B8107">
        <v>-115.644663659321</v>
      </c>
      <c r="C8107" t="s">
        <v>25</v>
      </c>
      <c r="D8107">
        <v>2.46468004136034</v>
      </c>
      <c r="E8107">
        <v>6</v>
      </c>
      <c r="F8107">
        <v>3425</v>
      </c>
      <c r="G8107">
        <v>3</v>
      </c>
      <c r="H8107">
        <v>1</v>
      </c>
      <c r="I8107">
        <v>1952</v>
      </c>
      <c r="J8107">
        <v>1</v>
      </c>
      <c r="K8107">
        <v>0</v>
      </c>
      <c r="L8107">
        <v>1</v>
      </c>
      <c r="M8107">
        <v>13</v>
      </c>
      <c r="N8107" t="s">
        <v>26</v>
      </c>
      <c r="O8107" t="s">
        <v>30</v>
      </c>
      <c r="P8107">
        <v>9.0476376544052695</v>
      </c>
      <c r="Q8107">
        <v>2.4963679713809901</v>
      </c>
      <c r="R8107">
        <v>3.0550258554208898</v>
      </c>
      <c r="S8107">
        <v>189</v>
      </c>
      <c r="T8107">
        <v>40</v>
      </c>
      <c r="U8107">
        <v>335.99837947594199</v>
      </c>
      <c r="V8107">
        <v>3.7956204379561999E-3</v>
      </c>
      <c r="W8107">
        <v>1341008.90664917</v>
      </c>
      <c r="X8107" t="s">
        <v>43</v>
      </c>
      <c r="Y8107">
        <f>1-718-572-5065</f>
        <v>-6354</v>
      </c>
    </row>
    <row r="8108" spans="1:25" x14ac:dyDescent="0.35">
      <c r="A8108">
        <v>40.7422751598193</v>
      </c>
      <c r="B8108">
        <v>-124.35988848385</v>
      </c>
      <c r="C8108" t="s">
        <v>25</v>
      </c>
      <c r="D8108">
        <v>37.504553944180003</v>
      </c>
      <c r="E8108">
        <v>5</v>
      </c>
      <c r="F8108">
        <v>548</v>
      </c>
      <c r="G8108">
        <v>1</v>
      </c>
      <c r="H8108">
        <v>1</v>
      </c>
      <c r="I8108">
        <v>1988</v>
      </c>
      <c r="J8108">
        <v>1</v>
      </c>
      <c r="K8108">
        <v>1</v>
      </c>
      <c r="L8108">
        <v>0</v>
      </c>
      <c r="M8108">
        <v>10</v>
      </c>
      <c r="N8108" t="s">
        <v>41</v>
      </c>
      <c r="O8108" t="s">
        <v>30</v>
      </c>
      <c r="P8108">
        <v>4.7891426964946699</v>
      </c>
      <c r="Q8108">
        <v>2.0813828506242</v>
      </c>
      <c r="R8108">
        <v>3.85025907186417</v>
      </c>
      <c r="S8108">
        <v>5</v>
      </c>
      <c r="T8108">
        <v>24</v>
      </c>
      <c r="U8108">
        <v>780.35731252433698</v>
      </c>
      <c r="V8108">
        <v>1.8248175182481698E-2</v>
      </c>
      <c r="W8108">
        <v>690101.911151584</v>
      </c>
      <c r="X8108" t="s">
        <v>36</v>
      </c>
      <c r="Y8108">
        <f>1-309-611-5729</f>
        <v>-6648</v>
      </c>
    </row>
    <row r="8109" spans="1:25" x14ac:dyDescent="0.35">
      <c r="A8109">
        <v>39.641946392610798</v>
      </c>
      <c r="B8109">
        <v>-120.27908894447199</v>
      </c>
      <c r="C8109" t="s">
        <v>34</v>
      </c>
      <c r="D8109">
        <v>25.130779066612401</v>
      </c>
      <c r="E8109">
        <v>5</v>
      </c>
      <c r="F8109">
        <v>2463</v>
      </c>
      <c r="G8109">
        <v>4</v>
      </c>
      <c r="H8109">
        <v>3</v>
      </c>
      <c r="I8109">
        <v>2018</v>
      </c>
      <c r="J8109">
        <v>1</v>
      </c>
      <c r="K8109">
        <v>0</v>
      </c>
      <c r="L8109">
        <v>1</v>
      </c>
      <c r="M8109">
        <v>14</v>
      </c>
      <c r="N8109" t="s">
        <v>41</v>
      </c>
      <c r="O8109" t="s">
        <v>27</v>
      </c>
      <c r="P8109">
        <v>8.5205771511610102</v>
      </c>
      <c r="Q8109">
        <v>0.86697920615734902</v>
      </c>
      <c r="R8109">
        <v>2.8791018084464701</v>
      </c>
      <c r="S8109">
        <v>113</v>
      </c>
      <c r="T8109">
        <v>36</v>
      </c>
      <c r="U8109">
        <v>411.88224895168401</v>
      </c>
      <c r="V8109">
        <v>5.6841250507511099E-3</v>
      </c>
      <c r="W8109">
        <v>1459166.6041304001</v>
      </c>
      <c r="X8109" t="s">
        <v>33</v>
      </c>
      <c r="Y8109">
        <f>1-533-590-1916</f>
        <v>-3038</v>
      </c>
    </row>
    <row r="8110" spans="1:25" x14ac:dyDescent="0.35">
      <c r="A8110">
        <v>36.197030730563398</v>
      </c>
      <c r="B8110">
        <v>-117.150774677382</v>
      </c>
      <c r="C8110" t="s">
        <v>34</v>
      </c>
      <c r="D8110">
        <v>16.8639569223078</v>
      </c>
      <c r="E8110">
        <v>1</v>
      </c>
      <c r="F8110">
        <v>717</v>
      </c>
      <c r="G8110">
        <v>2</v>
      </c>
      <c r="H8110">
        <v>3</v>
      </c>
      <c r="I8110">
        <v>2010</v>
      </c>
      <c r="J8110">
        <v>0</v>
      </c>
      <c r="K8110">
        <v>1</v>
      </c>
      <c r="L8110">
        <v>0</v>
      </c>
      <c r="M8110">
        <v>13</v>
      </c>
      <c r="N8110" t="s">
        <v>35</v>
      </c>
      <c r="O8110" t="s">
        <v>32</v>
      </c>
      <c r="P8110">
        <v>4.2419433200814396</v>
      </c>
      <c r="Q8110">
        <v>2.3500150918642499</v>
      </c>
      <c r="R8110">
        <v>1.23787567696314</v>
      </c>
      <c r="S8110">
        <v>114</v>
      </c>
      <c r="T8110">
        <v>29</v>
      </c>
      <c r="U8110">
        <v>425.19742597035003</v>
      </c>
      <c r="V8110">
        <v>1.81311018131101E-2</v>
      </c>
      <c r="W8110">
        <v>690679.20647546998</v>
      </c>
      <c r="X8110" t="s">
        <v>43</v>
      </c>
      <c r="Y8110">
        <f>1-237-227-7694</f>
        <v>-8157</v>
      </c>
    </row>
    <row r="8111" spans="1:25" x14ac:dyDescent="0.35">
      <c r="A8111">
        <v>40.414412028687202</v>
      </c>
      <c r="B8111">
        <v>-117.896313964028</v>
      </c>
      <c r="C8111" t="s">
        <v>34</v>
      </c>
      <c r="D8111">
        <v>16.103041900651601</v>
      </c>
      <c r="E8111">
        <v>3</v>
      </c>
      <c r="F8111">
        <v>4497</v>
      </c>
      <c r="G8111">
        <v>4</v>
      </c>
      <c r="H8111">
        <v>3</v>
      </c>
      <c r="I8111">
        <v>1986</v>
      </c>
      <c r="J8111">
        <v>0</v>
      </c>
      <c r="K8111">
        <v>1</v>
      </c>
      <c r="L8111">
        <v>0</v>
      </c>
      <c r="M8111">
        <v>4</v>
      </c>
      <c r="N8111" t="s">
        <v>26</v>
      </c>
      <c r="O8111" t="s">
        <v>27</v>
      </c>
      <c r="P8111">
        <v>13.209862663543699</v>
      </c>
      <c r="Q8111">
        <v>2.3229837173391501</v>
      </c>
      <c r="R8111">
        <v>2.1018778847076099E-2</v>
      </c>
      <c r="S8111">
        <v>187</v>
      </c>
      <c r="T8111">
        <v>29</v>
      </c>
      <c r="U8111">
        <v>808.59498164349395</v>
      </c>
      <c r="V8111">
        <v>8.8948187680676003E-4</v>
      </c>
      <c r="W8111">
        <v>4023709.57228817</v>
      </c>
      <c r="X8111" t="s">
        <v>43</v>
      </c>
      <c r="Y8111">
        <f>1-709-531-1859</f>
        <v>-3098</v>
      </c>
    </row>
    <row r="8112" spans="1:25" x14ac:dyDescent="0.35">
      <c r="A8112">
        <v>39.058326548504503</v>
      </c>
      <c r="B8112">
        <v>-114.512712352562</v>
      </c>
      <c r="C8112" t="s">
        <v>25</v>
      </c>
      <c r="D8112">
        <v>22.413747451704801</v>
      </c>
      <c r="E8112">
        <v>5</v>
      </c>
      <c r="F8112">
        <v>3583</v>
      </c>
      <c r="G8112">
        <v>1</v>
      </c>
      <c r="H8112">
        <v>1</v>
      </c>
      <c r="I8112">
        <v>2004</v>
      </c>
      <c r="J8112">
        <v>1</v>
      </c>
      <c r="K8112">
        <v>0</v>
      </c>
      <c r="L8112">
        <v>1</v>
      </c>
      <c r="M8112">
        <v>2</v>
      </c>
      <c r="N8112" t="s">
        <v>26</v>
      </c>
      <c r="O8112" t="s">
        <v>30</v>
      </c>
      <c r="P8112">
        <v>14.5442298682832</v>
      </c>
      <c r="Q8112">
        <v>2.18340171762111</v>
      </c>
      <c r="R8112">
        <v>8.73019120810714</v>
      </c>
      <c r="S8112">
        <v>7</v>
      </c>
      <c r="T8112">
        <v>51</v>
      </c>
      <c r="U8112">
        <v>385.58111252872698</v>
      </c>
      <c r="V8112">
        <v>5.5819145967066696E-4</v>
      </c>
      <c r="W8112">
        <v>1630330.82532608</v>
      </c>
      <c r="X8112" t="s">
        <v>31</v>
      </c>
      <c r="Y8112">
        <f>1-502-338-7638</f>
        <v>-8477</v>
      </c>
    </row>
    <row r="8113" spans="1:25" x14ac:dyDescent="0.35">
      <c r="A8113">
        <v>36.017162670398399</v>
      </c>
      <c r="B8113">
        <v>-116.625150294818</v>
      </c>
      <c r="C8113" t="s">
        <v>34</v>
      </c>
      <c r="D8113">
        <v>14.987407196437699</v>
      </c>
      <c r="E8113">
        <v>1</v>
      </c>
      <c r="F8113">
        <v>2692</v>
      </c>
      <c r="G8113">
        <v>2</v>
      </c>
      <c r="H8113">
        <v>3</v>
      </c>
      <c r="I8113">
        <v>2010</v>
      </c>
      <c r="J8113">
        <v>0</v>
      </c>
      <c r="K8113">
        <v>0</v>
      </c>
      <c r="L8113">
        <v>1</v>
      </c>
      <c r="M8113">
        <v>8</v>
      </c>
      <c r="N8113" t="s">
        <v>26</v>
      </c>
      <c r="O8113" t="s">
        <v>30</v>
      </c>
      <c r="P8113">
        <v>4.6812362688164502</v>
      </c>
      <c r="Q8113">
        <v>1.99069213965354</v>
      </c>
      <c r="R8113">
        <v>0.63730385482121699</v>
      </c>
      <c r="S8113">
        <v>39</v>
      </c>
      <c r="T8113">
        <v>60</v>
      </c>
      <c r="U8113">
        <v>656.51992136476599</v>
      </c>
      <c r="V8113">
        <v>2.9717682020802298E-3</v>
      </c>
      <c r="W8113">
        <v>1934798.42330146</v>
      </c>
      <c r="X8113" t="s">
        <v>39</v>
      </c>
      <c r="Y8113">
        <f>1-740-768-5175</f>
        <v>-6682</v>
      </c>
    </row>
    <row r="8114" spans="1:25" x14ac:dyDescent="0.35">
      <c r="A8114">
        <v>35.069672743635302</v>
      </c>
      <c r="B8114">
        <v>-121.53134192400201</v>
      </c>
      <c r="C8114" t="s">
        <v>25</v>
      </c>
      <c r="D8114">
        <v>16.474552801352701</v>
      </c>
      <c r="E8114">
        <v>7</v>
      </c>
      <c r="F8114">
        <v>2023</v>
      </c>
      <c r="G8114">
        <v>2</v>
      </c>
      <c r="H8114">
        <v>3</v>
      </c>
      <c r="I8114">
        <v>1984</v>
      </c>
      <c r="J8114">
        <v>0</v>
      </c>
      <c r="K8114">
        <v>0</v>
      </c>
      <c r="L8114">
        <v>0</v>
      </c>
      <c r="M8114">
        <v>2</v>
      </c>
      <c r="N8114" t="s">
        <v>41</v>
      </c>
      <c r="O8114" t="s">
        <v>30</v>
      </c>
      <c r="P8114">
        <v>7.1327231372763498</v>
      </c>
      <c r="Q8114">
        <v>1.07589468238104</v>
      </c>
      <c r="R8114">
        <v>8.1708460404333394</v>
      </c>
      <c r="S8114">
        <v>27</v>
      </c>
      <c r="T8114">
        <v>46</v>
      </c>
      <c r="U8114">
        <v>707.48485619574899</v>
      </c>
      <c r="V8114">
        <v>9.8863074641621302E-4</v>
      </c>
      <c r="W8114">
        <v>1722830.81797164</v>
      </c>
      <c r="X8114" t="s">
        <v>36</v>
      </c>
      <c r="Y8114">
        <f>1-498-345-9823</f>
        <v>-10665</v>
      </c>
    </row>
    <row r="8115" spans="1:25" x14ac:dyDescent="0.35">
      <c r="A8115">
        <v>40.4760379340469</v>
      </c>
      <c r="B8115">
        <v>-124.137491778452</v>
      </c>
      <c r="C8115" t="s">
        <v>34</v>
      </c>
      <c r="D8115">
        <v>32.308068577669403</v>
      </c>
      <c r="E8115">
        <v>3</v>
      </c>
      <c r="F8115">
        <v>4125</v>
      </c>
      <c r="G8115">
        <v>2</v>
      </c>
      <c r="H8115">
        <v>1</v>
      </c>
      <c r="I8115">
        <v>1967</v>
      </c>
      <c r="J8115">
        <v>0</v>
      </c>
      <c r="K8115">
        <v>0</v>
      </c>
      <c r="L8115">
        <v>0</v>
      </c>
      <c r="M8115">
        <v>12</v>
      </c>
      <c r="N8115" t="s">
        <v>26</v>
      </c>
      <c r="O8115" t="s">
        <v>27</v>
      </c>
      <c r="P8115">
        <v>9.4797328813167692</v>
      </c>
      <c r="Q8115">
        <v>1.1504575876812599</v>
      </c>
      <c r="R8115">
        <v>7.7513659623618203</v>
      </c>
      <c r="S8115">
        <v>149</v>
      </c>
      <c r="T8115">
        <v>50</v>
      </c>
      <c r="U8115">
        <v>372.49181394179698</v>
      </c>
      <c r="V8115">
        <v>2.9090909090908998E-3</v>
      </c>
      <c r="W8115">
        <v>1622767.7902594199</v>
      </c>
      <c r="X8115" t="s">
        <v>28</v>
      </c>
      <c r="Y8115">
        <f>1-702-655-4209</f>
        <v>-5565</v>
      </c>
    </row>
    <row r="8116" spans="1:25" x14ac:dyDescent="0.35">
      <c r="A8116">
        <v>39.087520342244801</v>
      </c>
      <c r="B8116">
        <v>-114.181918487538</v>
      </c>
      <c r="C8116" t="s">
        <v>29</v>
      </c>
      <c r="D8116">
        <v>12.909977918788201</v>
      </c>
      <c r="E8116">
        <v>4</v>
      </c>
      <c r="F8116">
        <v>2233</v>
      </c>
      <c r="G8116">
        <v>4</v>
      </c>
      <c r="H8116">
        <v>1</v>
      </c>
      <c r="I8116">
        <v>1994</v>
      </c>
      <c r="J8116">
        <v>0</v>
      </c>
      <c r="K8116">
        <v>0</v>
      </c>
      <c r="L8116">
        <v>0</v>
      </c>
      <c r="M8116">
        <v>8</v>
      </c>
      <c r="N8116" t="s">
        <v>37</v>
      </c>
      <c r="O8116" t="s">
        <v>30</v>
      </c>
      <c r="P8116">
        <v>11.494631905338499</v>
      </c>
      <c r="Q8116">
        <v>2.4435191327072801</v>
      </c>
      <c r="R8116">
        <v>1.5017335868713499</v>
      </c>
      <c r="S8116">
        <v>26</v>
      </c>
      <c r="T8116">
        <v>39</v>
      </c>
      <c r="U8116">
        <v>274.47369839492399</v>
      </c>
      <c r="V8116">
        <v>3.5826242722794398E-3</v>
      </c>
      <c r="W8116">
        <v>903494.29271548905</v>
      </c>
      <c r="X8116" t="s">
        <v>36</v>
      </c>
      <c r="Y8116">
        <f>1-493-957-4264</f>
        <v>-5713</v>
      </c>
    </row>
    <row r="8117" spans="1:25" x14ac:dyDescent="0.35">
      <c r="A8117">
        <v>34.5438463433835</v>
      </c>
      <c r="B8117">
        <v>-121.348203769937</v>
      </c>
      <c r="C8117" t="s">
        <v>34</v>
      </c>
      <c r="D8117">
        <v>1.3273970221415201</v>
      </c>
      <c r="E8117">
        <v>4</v>
      </c>
      <c r="F8117">
        <v>2871</v>
      </c>
      <c r="G8117">
        <v>5</v>
      </c>
      <c r="H8117">
        <v>1</v>
      </c>
      <c r="I8117">
        <v>1964</v>
      </c>
      <c r="J8117">
        <v>0</v>
      </c>
      <c r="K8117">
        <v>1</v>
      </c>
      <c r="L8117">
        <v>0</v>
      </c>
      <c r="M8117">
        <v>13</v>
      </c>
      <c r="N8117" t="s">
        <v>35</v>
      </c>
      <c r="O8117" t="s">
        <v>30</v>
      </c>
      <c r="P8117">
        <v>3.42325080147369</v>
      </c>
      <c r="Q8117">
        <v>0.92000180758296002</v>
      </c>
      <c r="R8117">
        <v>3.28079899081516</v>
      </c>
      <c r="S8117">
        <v>2</v>
      </c>
      <c r="T8117">
        <v>21</v>
      </c>
      <c r="U8117">
        <v>871.494931695368</v>
      </c>
      <c r="V8117">
        <v>4.5280390107976303E-3</v>
      </c>
      <c r="W8117">
        <v>2823561.8991356301</v>
      </c>
      <c r="X8117" t="s">
        <v>28</v>
      </c>
      <c r="Y8117">
        <f>1-928-680-9184</f>
        <v>-10791</v>
      </c>
    </row>
    <row r="8118" spans="1:25" x14ac:dyDescent="0.35">
      <c r="A8118">
        <v>40.151487598006497</v>
      </c>
      <c r="B8118">
        <v>-123.924140783651</v>
      </c>
      <c r="C8118" t="s">
        <v>29</v>
      </c>
      <c r="D8118">
        <v>8.0781640673526596</v>
      </c>
      <c r="E8118">
        <v>4</v>
      </c>
      <c r="F8118">
        <v>3615</v>
      </c>
      <c r="G8118">
        <v>1</v>
      </c>
      <c r="H8118">
        <v>1</v>
      </c>
      <c r="I8118">
        <v>2012</v>
      </c>
      <c r="J8118">
        <v>1</v>
      </c>
      <c r="K8118">
        <v>1</v>
      </c>
      <c r="L8118">
        <v>1</v>
      </c>
      <c r="M8118">
        <v>10</v>
      </c>
      <c r="N8118" t="s">
        <v>37</v>
      </c>
      <c r="O8118" t="s">
        <v>27</v>
      </c>
      <c r="P8118">
        <v>4.5986276692348298</v>
      </c>
      <c r="Q8118">
        <v>2.0635691664463498</v>
      </c>
      <c r="R8118">
        <v>4.8173503342580704</v>
      </c>
      <c r="S8118">
        <v>59</v>
      </c>
      <c r="T8118">
        <v>50</v>
      </c>
      <c r="U8118">
        <v>658.87879149585103</v>
      </c>
      <c r="V8118">
        <v>2.7662517289073298E-3</v>
      </c>
      <c r="W8118">
        <v>2585720.8085831502</v>
      </c>
      <c r="X8118" t="s">
        <v>43</v>
      </c>
      <c r="Y8118">
        <f>1-443-827-4313</f>
        <v>-5582</v>
      </c>
    </row>
    <row r="8119" spans="1:25" x14ac:dyDescent="0.35">
      <c r="A8119">
        <v>39.282061104427299</v>
      </c>
      <c r="B8119">
        <v>-120.583318697671</v>
      </c>
      <c r="C8119" t="s">
        <v>34</v>
      </c>
      <c r="D8119">
        <v>24.222496013949801</v>
      </c>
      <c r="E8119">
        <v>2</v>
      </c>
      <c r="F8119">
        <v>3131</v>
      </c>
      <c r="G8119">
        <v>4</v>
      </c>
      <c r="H8119">
        <v>3</v>
      </c>
      <c r="I8119">
        <v>1974</v>
      </c>
      <c r="J8119">
        <v>0</v>
      </c>
      <c r="K8119">
        <v>1</v>
      </c>
      <c r="L8119">
        <v>0</v>
      </c>
      <c r="M8119">
        <v>2</v>
      </c>
      <c r="N8119" t="s">
        <v>35</v>
      </c>
      <c r="O8119" t="s">
        <v>30</v>
      </c>
      <c r="P8119">
        <v>7.5442368028676796</v>
      </c>
      <c r="Q8119">
        <v>0.74579063822618097</v>
      </c>
      <c r="R8119">
        <v>9.0368574649466193</v>
      </c>
      <c r="S8119">
        <v>36</v>
      </c>
      <c r="T8119">
        <v>61</v>
      </c>
      <c r="U8119">
        <v>341.90549094613903</v>
      </c>
      <c r="V8119">
        <v>6.3877355477483201E-4</v>
      </c>
      <c r="W8119">
        <v>1469443.36799624</v>
      </c>
      <c r="X8119" t="s">
        <v>43</v>
      </c>
      <c r="Y8119">
        <f>1-864-686-7240</f>
        <v>-8789</v>
      </c>
    </row>
    <row r="8120" spans="1:25" x14ac:dyDescent="0.35">
      <c r="A8120">
        <v>41.9209721114457</v>
      </c>
      <c r="B8120">
        <v>-120.447127606984</v>
      </c>
      <c r="C8120" t="s">
        <v>29</v>
      </c>
      <c r="D8120">
        <v>42.078323749632503</v>
      </c>
      <c r="E8120">
        <v>9</v>
      </c>
      <c r="F8120">
        <v>4816</v>
      </c>
      <c r="G8120">
        <v>2</v>
      </c>
      <c r="H8120">
        <v>1</v>
      </c>
      <c r="I8120">
        <v>2006</v>
      </c>
      <c r="J8120">
        <v>0</v>
      </c>
      <c r="K8120">
        <v>1</v>
      </c>
      <c r="L8120">
        <v>1</v>
      </c>
      <c r="M8120">
        <v>6</v>
      </c>
      <c r="N8120" t="s">
        <v>26</v>
      </c>
      <c r="O8120" t="s">
        <v>32</v>
      </c>
      <c r="P8120">
        <v>3.43225368009904</v>
      </c>
      <c r="Q8120">
        <v>0.60703416254630005</v>
      </c>
      <c r="R8120">
        <v>5.67098287125964</v>
      </c>
      <c r="S8120">
        <v>160</v>
      </c>
      <c r="T8120">
        <v>45</v>
      </c>
      <c r="U8120">
        <v>511.77757377746701</v>
      </c>
      <c r="V8120">
        <v>1.24584717607973E-3</v>
      </c>
      <c r="W8120">
        <v>2670606.2547824299</v>
      </c>
      <c r="X8120" t="s">
        <v>33</v>
      </c>
      <c r="Y8120">
        <f>1-417-196-6372</f>
        <v>-6984</v>
      </c>
    </row>
    <row r="8121" spans="1:25" x14ac:dyDescent="0.35">
      <c r="A8121">
        <v>38.254581314831697</v>
      </c>
      <c r="B8121">
        <v>-122.127246529594</v>
      </c>
      <c r="C8121" t="s">
        <v>34</v>
      </c>
      <c r="D8121">
        <v>15.716941655388901</v>
      </c>
      <c r="E8121">
        <v>6</v>
      </c>
      <c r="F8121">
        <v>554</v>
      </c>
      <c r="G8121">
        <v>5</v>
      </c>
      <c r="H8121">
        <v>1</v>
      </c>
      <c r="I8121">
        <v>2016</v>
      </c>
      <c r="J8121">
        <v>0</v>
      </c>
      <c r="K8121">
        <v>0</v>
      </c>
      <c r="L8121">
        <v>1</v>
      </c>
      <c r="M8121">
        <v>3</v>
      </c>
      <c r="N8121" t="s">
        <v>41</v>
      </c>
      <c r="O8121" t="s">
        <v>30</v>
      </c>
      <c r="P8121">
        <v>8.0304132463245601</v>
      </c>
      <c r="Q8121">
        <v>1.4931869971258001</v>
      </c>
      <c r="R8121">
        <v>9.2606317123233204</v>
      </c>
      <c r="S8121">
        <v>31</v>
      </c>
      <c r="T8121">
        <v>41</v>
      </c>
      <c r="U8121">
        <v>896.533067860188</v>
      </c>
      <c r="V8121">
        <v>5.4151624548736399E-3</v>
      </c>
      <c r="W8121">
        <v>796917.11034833395</v>
      </c>
      <c r="X8121" t="s">
        <v>42</v>
      </c>
      <c r="Y8121">
        <f>1-944-509-2746</f>
        <v>-4198</v>
      </c>
    </row>
    <row r="8122" spans="1:25" x14ac:dyDescent="0.35">
      <c r="A8122">
        <v>34.573370666610401</v>
      </c>
      <c r="B8122">
        <v>-117.981372549474</v>
      </c>
      <c r="C8122" t="s">
        <v>25</v>
      </c>
      <c r="D8122">
        <v>41.402189432569202</v>
      </c>
      <c r="E8122">
        <v>3</v>
      </c>
      <c r="F8122">
        <v>4445</v>
      </c>
      <c r="G8122">
        <v>5</v>
      </c>
      <c r="H8122">
        <v>1</v>
      </c>
      <c r="I8122">
        <v>1986</v>
      </c>
      <c r="J8122">
        <v>1</v>
      </c>
      <c r="K8122">
        <v>1</v>
      </c>
      <c r="L8122">
        <v>1</v>
      </c>
      <c r="M8122">
        <v>9</v>
      </c>
      <c r="N8122" t="s">
        <v>37</v>
      </c>
      <c r="O8122" t="s">
        <v>32</v>
      </c>
      <c r="P8122">
        <v>2.4258286793444399</v>
      </c>
      <c r="Q8122">
        <v>2.3403519785330098</v>
      </c>
      <c r="R8122">
        <v>7.5462696963351403</v>
      </c>
      <c r="S8122">
        <v>62</v>
      </c>
      <c r="T8122">
        <v>58</v>
      </c>
      <c r="U8122">
        <v>352.24056149855898</v>
      </c>
      <c r="V8122">
        <v>2.0247469066366698E-3</v>
      </c>
      <c r="W8122">
        <v>1881576.7793614799</v>
      </c>
      <c r="X8122" t="s">
        <v>33</v>
      </c>
      <c r="Y8122">
        <f>1-477-131-5542</f>
        <v>-6149</v>
      </c>
    </row>
    <row r="8123" spans="1:25" x14ac:dyDescent="0.35">
      <c r="A8123">
        <v>37.293325416202997</v>
      </c>
      <c r="B8123">
        <v>-116.335429397645</v>
      </c>
      <c r="C8123" t="s">
        <v>29</v>
      </c>
      <c r="D8123">
        <v>2.5243214455315699</v>
      </c>
      <c r="E8123">
        <v>7</v>
      </c>
      <c r="F8123">
        <v>1452</v>
      </c>
      <c r="G8123">
        <v>4</v>
      </c>
      <c r="H8123">
        <v>3</v>
      </c>
      <c r="I8123">
        <v>1957</v>
      </c>
      <c r="J8123">
        <v>1</v>
      </c>
      <c r="K8123">
        <v>0</v>
      </c>
      <c r="L8123">
        <v>0</v>
      </c>
      <c r="M8123">
        <v>4</v>
      </c>
      <c r="N8123" t="s">
        <v>26</v>
      </c>
      <c r="O8123" t="s">
        <v>27</v>
      </c>
      <c r="P8123">
        <v>8.40732208698401</v>
      </c>
      <c r="Q8123">
        <v>2.01462071690732</v>
      </c>
      <c r="R8123">
        <v>1.7971093087085599</v>
      </c>
      <c r="S8123">
        <v>105</v>
      </c>
      <c r="T8123">
        <v>74</v>
      </c>
      <c r="U8123">
        <v>951.92583808073596</v>
      </c>
      <c r="V8123">
        <v>2.7548209366391099E-3</v>
      </c>
      <c r="W8123">
        <v>1663691.5246067899</v>
      </c>
      <c r="X8123" t="s">
        <v>38</v>
      </c>
      <c r="Y8123">
        <f>1-868-317-6577</f>
        <v>-7761</v>
      </c>
    </row>
    <row r="8124" spans="1:25" x14ac:dyDescent="0.35">
      <c r="A8124">
        <v>35.9413148750345</v>
      </c>
      <c r="B8124">
        <v>-118.431772255524</v>
      </c>
      <c r="C8124" t="s">
        <v>34</v>
      </c>
      <c r="D8124">
        <v>3.4217129413251501</v>
      </c>
      <c r="E8124">
        <v>3</v>
      </c>
      <c r="F8124">
        <v>915</v>
      </c>
      <c r="G8124">
        <v>2</v>
      </c>
      <c r="H8124">
        <v>2</v>
      </c>
      <c r="I8124">
        <v>1997</v>
      </c>
      <c r="J8124">
        <v>0</v>
      </c>
      <c r="K8124">
        <v>0</v>
      </c>
      <c r="L8124">
        <v>1</v>
      </c>
      <c r="M8124">
        <v>4</v>
      </c>
      <c r="N8124" t="s">
        <v>26</v>
      </c>
      <c r="O8124" t="s">
        <v>27</v>
      </c>
      <c r="P8124">
        <v>8.4639562794776193</v>
      </c>
      <c r="Q8124">
        <v>0.54620435613839002</v>
      </c>
      <c r="R8124">
        <v>2.03918986702182</v>
      </c>
      <c r="S8124">
        <v>116</v>
      </c>
      <c r="T8124">
        <v>64</v>
      </c>
      <c r="U8124">
        <v>419.69080625329201</v>
      </c>
      <c r="V8124">
        <v>4.3715846994535502E-3</v>
      </c>
      <c r="W8124">
        <v>650328.64139258605</v>
      </c>
      <c r="X8124" t="s">
        <v>43</v>
      </c>
      <c r="Y8124">
        <f>1-442-582-8396</f>
        <v>-9419</v>
      </c>
    </row>
    <row r="8125" spans="1:25" x14ac:dyDescent="0.35">
      <c r="A8125">
        <v>33.881769752660396</v>
      </c>
      <c r="B8125">
        <v>-114.31299941483501</v>
      </c>
      <c r="C8125" t="s">
        <v>25</v>
      </c>
      <c r="D8125">
        <v>11.2576842736533</v>
      </c>
      <c r="E8125">
        <v>5</v>
      </c>
      <c r="F8125">
        <v>3044</v>
      </c>
      <c r="G8125">
        <v>4</v>
      </c>
      <c r="H8125">
        <v>1</v>
      </c>
      <c r="I8125">
        <v>1959</v>
      </c>
      <c r="J8125">
        <v>1</v>
      </c>
      <c r="K8125">
        <v>1</v>
      </c>
      <c r="L8125">
        <v>0</v>
      </c>
      <c r="M8125">
        <v>11</v>
      </c>
      <c r="N8125" t="s">
        <v>35</v>
      </c>
      <c r="O8125" t="s">
        <v>27</v>
      </c>
      <c r="P8125">
        <v>5.3950556226087203</v>
      </c>
      <c r="Q8125">
        <v>0.76839095988353301</v>
      </c>
      <c r="R8125">
        <v>4.1401062377915601</v>
      </c>
      <c r="S8125">
        <v>90</v>
      </c>
      <c r="T8125">
        <v>75</v>
      </c>
      <c r="U8125">
        <v>506.26100628532299</v>
      </c>
      <c r="V8125">
        <v>3.6136662286465099E-3</v>
      </c>
      <c r="W8125">
        <v>1810555.9432749101</v>
      </c>
      <c r="X8125" t="s">
        <v>43</v>
      </c>
      <c r="Y8125">
        <f>1-921-406-8277</f>
        <v>-9603</v>
      </c>
    </row>
    <row r="8126" spans="1:25" x14ac:dyDescent="0.35">
      <c r="A8126">
        <v>41.241335451563003</v>
      </c>
      <c r="B8126">
        <v>-116.81581764773701</v>
      </c>
      <c r="C8126" t="s">
        <v>25</v>
      </c>
      <c r="D8126">
        <v>2.74455697007128</v>
      </c>
      <c r="E8126">
        <v>3</v>
      </c>
      <c r="F8126">
        <v>575</v>
      </c>
      <c r="G8126">
        <v>3</v>
      </c>
      <c r="H8126">
        <v>1</v>
      </c>
      <c r="I8126">
        <v>2018</v>
      </c>
      <c r="J8126">
        <v>0</v>
      </c>
      <c r="K8126">
        <v>0</v>
      </c>
      <c r="L8126">
        <v>0</v>
      </c>
      <c r="M8126">
        <v>11</v>
      </c>
      <c r="N8126" t="s">
        <v>37</v>
      </c>
      <c r="O8126" t="s">
        <v>32</v>
      </c>
      <c r="P8126">
        <v>10.213214040282001</v>
      </c>
      <c r="Q8126">
        <v>1.8758503292315301</v>
      </c>
      <c r="R8126">
        <v>3.1964994826529698</v>
      </c>
      <c r="S8126">
        <v>116</v>
      </c>
      <c r="T8126">
        <v>67</v>
      </c>
      <c r="U8126">
        <v>984.045481348404</v>
      </c>
      <c r="V8126">
        <v>1.9130434782608601E-2</v>
      </c>
      <c r="W8126">
        <v>788694.02458171803</v>
      </c>
      <c r="X8126" t="s">
        <v>36</v>
      </c>
      <c r="Y8126">
        <f>1-483-481-3128</f>
        <v>-4091</v>
      </c>
    </row>
    <row r="8127" spans="1:25" x14ac:dyDescent="0.35">
      <c r="A8127">
        <v>38.746966213170801</v>
      </c>
      <c r="B8127">
        <v>-117.879946593036</v>
      </c>
      <c r="C8127" t="s">
        <v>34</v>
      </c>
      <c r="D8127">
        <v>41.595487889754303</v>
      </c>
      <c r="E8127">
        <v>6</v>
      </c>
      <c r="F8127">
        <v>2584</v>
      </c>
      <c r="G8127">
        <v>2</v>
      </c>
      <c r="H8127">
        <v>2</v>
      </c>
      <c r="I8127">
        <v>1975</v>
      </c>
      <c r="J8127">
        <v>0</v>
      </c>
      <c r="K8127">
        <v>0</v>
      </c>
      <c r="L8127">
        <v>1</v>
      </c>
      <c r="M8127">
        <v>2</v>
      </c>
      <c r="N8127" t="s">
        <v>35</v>
      </c>
      <c r="O8127" t="s">
        <v>27</v>
      </c>
      <c r="P8127">
        <v>5.7907381135170901</v>
      </c>
      <c r="Q8127">
        <v>1.65214087924433</v>
      </c>
      <c r="R8127">
        <v>6.0430101028631702</v>
      </c>
      <c r="S8127">
        <v>113</v>
      </c>
      <c r="T8127">
        <v>62</v>
      </c>
      <c r="U8127">
        <v>300.14008046666498</v>
      </c>
      <c r="V8127">
        <v>7.73993808049535E-4</v>
      </c>
      <c r="W8127">
        <v>786826.40528044105</v>
      </c>
      <c r="X8127" t="s">
        <v>28</v>
      </c>
      <c r="Y8127">
        <f>1-359-158-5199</f>
        <v>-5715</v>
      </c>
    </row>
    <row r="8128" spans="1:25" x14ac:dyDescent="0.35">
      <c r="A8128">
        <v>39.442252584770998</v>
      </c>
      <c r="B8128">
        <v>-116.685170156285</v>
      </c>
      <c r="C8128" t="s">
        <v>34</v>
      </c>
      <c r="D8128">
        <v>11.7581126728032</v>
      </c>
      <c r="E8128">
        <v>5</v>
      </c>
      <c r="F8128">
        <v>4379</v>
      </c>
      <c r="G8128">
        <v>5</v>
      </c>
      <c r="H8128">
        <v>2</v>
      </c>
      <c r="I8128">
        <v>2012</v>
      </c>
      <c r="J8128">
        <v>1</v>
      </c>
      <c r="K8128">
        <v>0</v>
      </c>
      <c r="L8128">
        <v>0</v>
      </c>
      <c r="M8128">
        <v>13</v>
      </c>
      <c r="N8128" t="s">
        <v>37</v>
      </c>
      <c r="O8128" t="s">
        <v>30</v>
      </c>
      <c r="P8128">
        <v>10.5754575659097</v>
      </c>
      <c r="Q8128">
        <v>1.8224472118274799</v>
      </c>
      <c r="R8128">
        <v>8.4719509494338006</v>
      </c>
      <c r="S8128">
        <v>37</v>
      </c>
      <c r="T8128">
        <v>50</v>
      </c>
      <c r="U8128">
        <v>957.94758690731805</v>
      </c>
      <c r="V8128">
        <v>2.9687143183375199E-3</v>
      </c>
      <c r="W8128">
        <v>4621723.0589867104</v>
      </c>
      <c r="X8128" t="s">
        <v>44</v>
      </c>
      <c r="Y8128">
        <f>1-423-534-4480</f>
        <v>-5436</v>
      </c>
    </row>
    <row r="8129" spans="1:25" x14ac:dyDescent="0.35">
      <c r="A8129">
        <v>33.076694095143097</v>
      </c>
      <c r="B8129">
        <v>-115.830900076982</v>
      </c>
      <c r="C8129" t="s">
        <v>29</v>
      </c>
      <c r="D8129">
        <v>8.4135248015719402</v>
      </c>
      <c r="E8129">
        <v>5</v>
      </c>
      <c r="F8129">
        <v>4869</v>
      </c>
      <c r="G8129">
        <v>2</v>
      </c>
      <c r="H8129">
        <v>1</v>
      </c>
      <c r="I8129">
        <v>1969</v>
      </c>
      <c r="J8129">
        <v>1</v>
      </c>
      <c r="K8129">
        <v>0</v>
      </c>
      <c r="L8129">
        <v>1</v>
      </c>
      <c r="M8129">
        <v>12</v>
      </c>
      <c r="N8129" t="s">
        <v>41</v>
      </c>
      <c r="O8129" t="s">
        <v>27</v>
      </c>
      <c r="P8129">
        <v>12.693463959707501</v>
      </c>
      <c r="Q8129">
        <v>1.22130371415726</v>
      </c>
      <c r="R8129">
        <v>4.5186497892742299</v>
      </c>
      <c r="S8129">
        <v>27</v>
      </c>
      <c r="T8129">
        <v>76</v>
      </c>
      <c r="U8129">
        <v>582.09812137277697</v>
      </c>
      <c r="V8129">
        <v>2.4645717806531099E-3</v>
      </c>
      <c r="W8129">
        <v>3073344.0572661902</v>
      </c>
      <c r="X8129" t="s">
        <v>33</v>
      </c>
      <c r="Y8129">
        <f>1-601-894-1775</f>
        <v>-3269</v>
      </c>
    </row>
    <row r="8130" spans="1:25" x14ac:dyDescent="0.35">
      <c r="A8130">
        <v>40.756277940543697</v>
      </c>
      <c r="B8130">
        <v>-117.172504736638</v>
      </c>
      <c r="C8130" t="s">
        <v>25</v>
      </c>
      <c r="D8130">
        <v>46.150220337649202</v>
      </c>
      <c r="E8130">
        <v>8</v>
      </c>
      <c r="F8130">
        <v>1225</v>
      </c>
      <c r="G8130">
        <v>5</v>
      </c>
      <c r="H8130">
        <v>2</v>
      </c>
      <c r="I8130">
        <v>1991</v>
      </c>
      <c r="J8130">
        <v>1</v>
      </c>
      <c r="K8130">
        <v>0</v>
      </c>
      <c r="L8130">
        <v>1</v>
      </c>
      <c r="M8130">
        <v>11</v>
      </c>
      <c r="N8130" t="s">
        <v>37</v>
      </c>
      <c r="O8130" t="s">
        <v>32</v>
      </c>
      <c r="P8130">
        <v>9.1098487093326899</v>
      </c>
      <c r="Q8130">
        <v>0.87539830911414096</v>
      </c>
      <c r="R8130">
        <v>7.43427521707825</v>
      </c>
      <c r="S8130">
        <v>126</v>
      </c>
      <c r="T8130">
        <v>52</v>
      </c>
      <c r="U8130">
        <v>755.86815038101997</v>
      </c>
      <c r="V8130">
        <v>8.9795918367346905E-3</v>
      </c>
      <c r="W8130">
        <v>1294854.1449462101</v>
      </c>
      <c r="X8130" t="s">
        <v>31</v>
      </c>
      <c r="Y8130">
        <f>1-998-637-5895</f>
        <v>-7529</v>
      </c>
    </row>
    <row r="8131" spans="1:25" x14ac:dyDescent="0.35">
      <c r="A8131">
        <v>37.6891217983937</v>
      </c>
      <c r="B8131">
        <v>-121.73458141909499</v>
      </c>
      <c r="C8131" t="s">
        <v>25</v>
      </c>
      <c r="D8131">
        <v>20.786530774779699</v>
      </c>
      <c r="E8131">
        <v>4</v>
      </c>
      <c r="F8131">
        <v>2464</v>
      </c>
      <c r="G8131">
        <v>2</v>
      </c>
      <c r="H8131">
        <v>1</v>
      </c>
      <c r="I8131">
        <v>1990</v>
      </c>
      <c r="J8131">
        <v>1</v>
      </c>
      <c r="K8131">
        <v>0</v>
      </c>
      <c r="L8131">
        <v>1</v>
      </c>
      <c r="M8131">
        <v>8</v>
      </c>
      <c r="N8131" t="s">
        <v>37</v>
      </c>
      <c r="O8131" t="s">
        <v>32</v>
      </c>
      <c r="P8131">
        <v>6.1507946496084998</v>
      </c>
      <c r="Q8131">
        <v>0.68295747034795096</v>
      </c>
      <c r="R8131">
        <v>4.9476940710874002</v>
      </c>
      <c r="S8131">
        <v>89</v>
      </c>
      <c r="T8131">
        <v>45</v>
      </c>
      <c r="U8131">
        <v>581.57218639448502</v>
      </c>
      <c r="V8131">
        <v>3.24675324675324E-3</v>
      </c>
      <c r="W8131">
        <v>1546586.53224791</v>
      </c>
      <c r="X8131" t="s">
        <v>40</v>
      </c>
      <c r="Y8131">
        <f>1-596-709-1127</f>
        <v>-2431</v>
      </c>
    </row>
    <row r="8132" spans="1:25" x14ac:dyDescent="0.35">
      <c r="A8132">
        <v>38.433242875706298</v>
      </c>
      <c r="B8132">
        <v>-122.96955325680401</v>
      </c>
      <c r="C8132" t="s">
        <v>29</v>
      </c>
      <c r="D8132">
        <v>48.297005840015203</v>
      </c>
      <c r="E8132">
        <v>6</v>
      </c>
      <c r="F8132">
        <v>3306</v>
      </c>
      <c r="G8132">
        <v>2</v>
      </c>
      <c r="H8132">
        <v>2</v>
      </c>
      <c r="I8132">
        <v>1997</v>
      </c>
      <c r="J8132">
        <v>1</v>
      </c>
      <c r="K8132">
        <v>1</v>
      </c>
      <c r="L8132">
        <v>1</v>
      </c>
      <c r="M8132">
        <v>2</v>
      </c>
      <c r="N8132" t="s">
        <v>41</v>
      </c>
      <c r="O8132" t="s">
        <v>30</v>
      </c>
      <c r="P8132">
        <v>9.8547361044945507</v>
      </c>
      <c r="Q8132">
        <v>1.9697317329575901</v>
      </c>
      <c r="R8132">
        <v>4.3453416984382303</v>
      </c>
      <c r="S8132">
        <v>25</v>
      </c>
      <c r="T8132">
        <v>27</v>
      </c>
      <c r="U8132">
        <v>649.53540030677095</v>
      </c>
      <c r="V8132">
        <v>6.0496067755595804E-4</v>
      </c>
      <c r="W8132">
        <v>2519909.9629714801</v>
      </c>
      <c r="X8132" t="s">
        <v>31</v>
      </c>
      <c r="Y8132">
        <f>1-929-797-3969</f>
        <v>-5694</v>
      </c>
    </row>
    <row r="8133" spans="1:25" x14ac:dyDescent="0.35">
      <c r="A8133">
        <v>39.6450684307339</v>
      </c>
      <c r="B8133">
        <v>-118.299523581009</v>
      </c>
      <c r="C8133" t="s">
        <v>29</v>
      </c>
      <c r="D8133">
        <v>30.045737137450399</v>
      </c>
      <c r="E8133">
        <v>1</v>
      </c>
      <c r="F8133">
        <v>2285</v>
      </c>
      <c r="G8133">
        <v>4</v>
      </c>
      <c r="H8133">
        <v>3</v>
      </c>
      <c r="I8133">
        <v>1951</v>
      </c>
      <c r="J8133">
        <v>0</v>
      </c>
      <c r="K8133">
        <v>1</v>
      </c>
      <c r="L8133">
        <v>0</v>
      </c>
      <c r="M8133">
        <v>8</v>
      </c>
      <c r="N8133" t="s">
        <v>26</v>
      </c>
      <c r="O8133" t="s">
        <v>30</v>
      </c>
      <c r="P8133">
        <v>2.1775798086545501</v>
      </c>
      <c r="Q8133">
        <v>0.65218493614450102</v>
      </c>
      <c r="R8133">
        <v>0.78044010623258198</v>
      </c>
      <c r="S8133">
        <v>124</v>
      </c>
      <c r="T8133">
        <v>23</v>
      </c>
      <c r="U8133">
        <v>399.00115092491802</v>
      </c>
      <c r="V8133">
        <v>3.50109409190372E-3</v>
      </c>
      <c r="W8133">
        <v>1211419.4547764701</v>
      </c>
      <c r="X8133" t="s">
        <v>42</v>
      </c>
      <c r="Y8133">
        <f>1-550-269-1015</f>
        <v>-1833</v>
      </c>
    </row>
    <row r="8134" spans="1:25" x14ac:dyDescent="0.35">
      <c r="A8134">
        <v>37.3177518223156</v>
      </c>
      <c r="B8134">
        <v>-119.628700500965</v>
      </c>
      <c r="C8134" t="s">
        <v>25</v>
      </c>
      <c r="D8134">
        <v>12.6555176014785</v>
      </c>
      <c r="E8134">
        <v>9</v>
      </c>
      <c r="F8134">
        <v>3603</v>
      </c>
      <c r="G8134">
        <v>5</v>
      </c>
      <c r="H8134">
        <v>3</v>
      </c>
      <c r="I8134">
        <v>1994</v>
      </c>
      <c r="J8134">
        <v>1</v>
      </c>
      <c r="K8134">
        <v>1</v>
      </c>
      <c r="L8134">
        <v>1</v>
      </c>
      <c r="M8134">
        <v>4</v>
      </c>
      <c r="N8134" t="s">
        <v>26</v>
      </c>
      <c r="O8134" t="s">
        <v>27</v>
      </c>
      <c r="P8134">
        <v>8.9247710431403195</v>
      </c>
      <c r="Q8134">
        <v>1.54138613308866</v>
      </c>
      <c r="R8134">
        <v>4.1172990081263601</v>
      </c>
      <c r="S8134">
        <v>41</v>
      </c>
      <c r="T8134">
        <v>28</v>
      </c>
      <c r="U8134">
        <v>551.55639939976402</v>
      </c>
      <c r="V8134">
        <v>1.1101859561476501E-3</v>
      </c>
      <c r="W8134">
        <v>2523638.51934702</v>
      </c>
      <c r="X8134" t="s">
        <v>43</v>
      </c>
      <c r="Y8134">
        <f>1-483-100-9714</f>
        <v>-10296</v>
      </c>
    </row>
    <row r="8135" spans="1:25" x14ac:dyDescent="0.35">
      <c r="A8135">
        <v>39.801301661378801</v>
      </c>
      <c r="B8135">
        <v>-118.99130587303399</v>
      </c>
      <c r="C8135" t="s">
        <v>34</v>
      </c>
      <c r="D8135">
        <v>26.742743371246501</v>
      </c>
      <c r="E8135">
        <v>7</v>
      </c>
      <c r="F8135">
        <v>2850</v>
      </c>
      <c r="G8135">
        <v>1</v>
      </c>
      <c r="H8135">
        <v>2</v>
      </c>
      <c r="I8135">
        <v>2017</v>
      </c>
      <c r="J8135">
        <v>0</v>
      </c>
      <c r="K8135">
        <v>1</v>
      </c>
      <c r="L8135">
        <v>1</v>
      </c>
      <c r="M8135">
        <v>11</v>
      </c>
      <c r="N8135" t="s">
        <v>41</v>
      </c>
      <c r="O8135" t="s">
        <v>27</v>
      </c>
      <c r="P8135">
        <v>14.9374224560983</v>
      </c>
      <c r="Q8135">
        <v>0.91284771794035302</v>
      </c>
      <c r="R8135">
        <v>8.8535017486383598</v>
      </c>
      <c r="S8135">
        <v>171</v>
      </c>
      <c r="T8135">
        <v>64</v>
      </c>
      <c r="U8135">
        <v>341.06076956244999</v>
      </c>
      <c r="V8135">
        <v>3.8596491228070099E-3</v>
      </c>
      <c r="W8135">
        <v>1242601.31211814</v>
      </c>
      <c r="X8135" t="s">
        <v>36</v>
      </c>
      <c r="Y8135">
        <f>1-322-362-8872</f>
        <v>-9555</v>
      </c>
    </row>
    <row r="8136" spans="1:25" x14ac:dyDescent="0.35">
      <c r="A8136">
        <v>38.259846655518302</v>
      </c>
      <c r="B8136">
        <v>-117.421793525295</v>
      </c>
      <c r="C8136" t="s">
        <v>29</v>
      </c>
      <c r="D8136">
        <v>38.693914731837303</v>
      </c>
      <c r="E8136">
        <v>0</v>
      </c>
      <c r="F8136">
        <v>2826</v>
      </c>
      <c r="G8136">
        <v>3</v>
      </c>
      <c r="H8136">
        <v>3</v>
      </c>
      <c r="I8136">
        <v>2018</v>
      </c>
      <c r="J8136">
        <v>1</v>
      </c>
      <c r="K8136">
        <v>0</v>
      </c>
      <c r="L8136">
        <v>0</v>
      </c>
      <c r="M8136">
        <v>13</v>
      </c>
      <c r="N8136" t="s">
        <v>26</v>
      </c>
      <c r="O8136" t="s">
        <v>27</v>
      </c>
      <c r="P8136">
        <v>3.00807521279427</v>
      </c>
      <c r="Q8136">
        <v>1.7447929376358799</v>
      </c>
      <c r="R8136">
        <v>5.1753752718402497</v>
      </c>
      <c r="S8136">
        <v>18</v>
      </c>
      <c r="T8136">
        <v>64</v>
      </c>
      <c r="U8136">
        <v>315.64093220994801</v>
      </c>
      <c r="V8136">
        <v>4.6001415428166999E-3</v>
      </c>
      <c r="W8136">
        <v>1229965.8983741601</v>
      </c>
      <c r="X8136" t="s">
        <v>42</v>
      </c>
      <c r="Y8136">
        <f>1-270-667-5857</f>
        <v>-6793</v>
      </c>
    </row>
    <row r="8137" spans="1:25" x14ac:dyDescent="0.35">
      <c r="A8137">
        <v>40.010810166068602</v>
      </c>
      <c r="B8137">
        <v>-118.13918127276099</v>
      </c>
      <c r="C8137" t="s">
        <v>25</v>
      </c>
      <c r="D8137">
        <v>48.594326727490198</v>
      </c>
      <c r="E8137">
        <v>6</v>
      </c>
      <c r="F8137">
        <v>1597</v>
      </c>
      <c r="G8137">
        <v>5</v>
      </c>
      <c r="H8137">
        <v>1</v>
      </c>
      <c r="I8137">
        <v>2008</v>
      </c>
      <c r="J8137">
        <v>1</v>
      </c>
      <c r="K8137">
        <v>1</v>
      </c>
      <c r="L8137">
        <v>1</v>
      </c>
      <c r="M8137">
        <v>8</v>
      </c>
      <c r="N8137" t="s">
        <v>41</v>
      </c>
      <c r="O8137" t="s">
        <v>32</v>
      </c>
      <c r="P8137">
        <v>4.4943336930154798</v>
      </c>
      <c r="Q8137">
        <v>1.8986101868185401</v>
      </c>
      <c r="R8137">
        <v>3.0590954011204401</v>
      </c>
      <c r="S8137">
        <v>188</v>
      </c>
      <c r="T8137">
        <v>57</v>
      </c>
      <c r="U8137">
        <v>592.03488527119805</v>
      </c>
      <c r="V8137">
        <v>5.0093926111458896E-3</v>
      </c>
      <c r="W8137">
        <v>1435273.7877590801</v>
      </c>
      <c r="X8137" t="s">
        <v>31</v>
      </c>
      <c r="Y8137">
        <f>1-725-212-1142</f>
        <v>-2078</v>
      </c>
    </row>
    <row r="8138" spans="1:25" x14ac:dyDescent="0.35">
      <c r="A8138">
        <v>37.898770818683502</v>
      </c>
      <c r="B8138">
        <v>-122.969166076562</v>
      </c>
      <c r="C8138" t="s">
        <v>25</v>
      </c>
      <c r="D8138">
        <v>10.8200279345024</v>
      </c>
      <c r="E8138">
        <v>7</v>
      </c>
      <c r="F8138">
        <v>1733</v>
      </c>
      <c r="G8138">
        <v>4</v>
      </c>
      <c r="H8138">
        <v>3</v>
      </c>
      <c r="I8138">
        <v>1992</v>
      </c>
      <c r="J8138">
        <v>0</v>
      </c>
      <c r="K8138">
        <v>0</v>
      </c>
      <c r="L8138">
        <v>0</v>
      </c>
      <c r="M8138">
        <v>5</v>
      </c>
      <c r="N8138" t="s">
        <v>26</v>
      </c>
      <c r="O8138" t="s">
        <v>30</v>
      </c>
      <c r="P8138">
        <v>8.9526192002324798</v>
      </c>
      <c r="Q8138">
        <v>2.3248677712351502</v>
      </c>
      <c r="R8138">
        <v>1.2892526802783399</v>
      </c>
      <c r="S8138">
        <v>187</v>
      </c>
      <c r="T8138">
        <v>38</v>
      </c>
      <c r="U8138">
        <v>464.55956722698301</v>
      </c>
      <c r="V8138">
        <v>2.8851702250432699E-3</v>
      </c>
      <c r="W8138">
        <v>1021453.2556126399</v>
      </c>
      <c r="X8138" t="s">
        <v>43</v>
      </c>
      <c r="Y8138">
        <f>1-332-902-2043</f>
        <v>-3276</v>
      </c>
    </row>
    <row r="8139" spans="1:25" x14ac:dyDescent="0.35">
      <c r="A8139">
        <v>33.108271020058098</v>
      </c>
      <c r="B8139">
        <v>-114.050786950584</v>
      </c>
      <c r="C8139" t="s">
        <v>29</v>
      </c>
      <c r="D8139">
        <v>37.908072901709303</v>
      </c>
      <c r="E8139">
        <v>9</v>
      </c>
      <c r="F8139">
        <v>1050</v>
      </c>
      <c r="G8139">
        <v>1</v>
      </c>
      <c r="H8139">
        <v>1</v>
      </c>
      <c r="I8139">
        <v>1982</v>
      </c>
      <c r="J8139">
        <v>1</v>
      </c>
      <c r="K8139">
        <v>0</v>
      </c>
      <c r="L8139">
        <v>1</v>
      </c>
      <c r="M8139">
        <v>2</v>
      </c>
      <c r="N8139" t="s">
        <v>26</v>
      </c>
      <c r="O8139" t="s">
        <v>27</v>
      </c>
      <c r="P8139">
        <v>3.1878730573229501</v>
      </c>
      <c r="Q8139">
        <v>0.50454122987855798</v>
      </c>
      <c r="R8139">
        <v>1.4700082123695699</v>
      </c>
      <c r="S8139">
        <v>166</v>
      </c>
      <c r="T8139">
        <v>22</v>
      </c>
      <c r="U8139">
        <v>430.90533318000899</v>
      </c>
      <c r="V8139">
        <v>1.9047619047619E-3</v>
      </c>
      <c r="W8139">
        <v>502262.85672498902</v>
      </c>
      <c r="X8139" t="s">
        <v>38</v>
      </c>
      <c r="Y8139">
        <f>1-551-640-4363</f>
        <v>-5553</v>
      </c>
    </row>
    <row r="8140" spans="1:25" x14ac:dyDescent="0.35">
      <c r="A8140">
        <v>41.262389636970497</v>
      </c>
      <c r="B8140">
        <v>-117.124311614429</v>
      </c>
      <c r="C8140" t="s">
        <v>34</v>
      </c>
      <c r="D8140">
        <v>7.0548039231286097</v>
      </c>
      <c r="E8140">
        <v>6</v>
      </c>
      <c r="F8140">
        <v>3573</v>
      </c>
      <c r="G8140">
        <v>3</v>
      </c>
      <c r="H8140">
        <v>2</v>
      </c>
      <c r="I8140">
        <v>1984</v>
      </c>
      <c r="J8140">
        <v>0</v>
      </c>
      <c r="K8140">
        <v>0</v>
      </c>
      <c r="L8140">
        <v>0</v>
      </c>
      <c r="M8140">
        <v>14</v>
      </c>
      <c r="N8140" t="s">
        <v>37</v>
      </c>
      <c r="O8140" t="s">
        <v>30</v>
      </c>
      <c r="P8140">
        <v>5.4321874600470004</v>
      </c>
      <c r="Q8140">
        <v>2.0490707220528601</v>
      </c>
      <c r="R8140">
        <v>5.9391235390597004</v>
      </c>
      <c r="S8140">
        <v>50</v>
      </c>
      <c r="T8140">
        <v>57</v>
      </c>
      <c r="U8140">
        <v>325.43058557584601</v>
      </c>
      <c r="V8140">
        <v>3.91827595857822E-3</v>
      </c>
      <c r="W8140">
        <v>1295285.47558508</v>
      </c>
      <c r="X8140" t="s">
        <v>42</v>
      </c>
      <c r="Y8140">
        <f>1-667-357-2097</f>
        <v>-3120</v>
      </c>
    </row>
    <row r="8141" spans="1:25" x14ac:dyDescent="0.35">
      <c r="A8141">
        <v>37.429981596563003</v>
      </c>
      <c r="B8141">
        <v>-123.362700212432</v>
      </c>
      <c r="C8141" t="s">
        <v>29</v>
      </c>
      <c r="D8141">
        <v>26.434804602457099</v>
      </c>
      <c r="E8141">
        <v>5</v>
      </c>
      <c r="F8141">
        <v>4766</v>
      </c>
      <c r="G8141">
        <v>4</v>
      </c>
      <c r="H8141">
        <v>1</v>
      </c>
      <c r="I8141">
        <v>2021</v>
      </c>
      <c r="J8141">
        <v>0</v>
      </c>
      <c r="K8141">
        <v>1</v>
      </c>
      <c r="L8141">
        <v>0</v>
      </c>
      <c r="M8141">
        <v>11</v>
      </c>
      <c r="N8141" t="s">
        <v>35</v>
      </c>
      <c r="O8141" t="s">
        <v>32</v>
      </c>
      <c r="P8141">
        <v>10.8252941134933</v>
      </c>
      <c r="Q8141">
        <v>2.3835605858134201</v>
      </c>
      <c r="R8141">
        <v>0.45286158384922398</v>
      </c>
      <c r="S8141">
        <v>7</v>
      </c>
      <c r="T8141">
        <v>61</v>
      </c>
      <c r="U8141">
        <v>725.14604135658101</v>
      </c>
      <c r="V8141">
        <v>2.3080151070079698E-3</v>
      </c>
      <c r="W8141">
        <v>3839878.3122808202</v>
      </c>
      <c r="X8141" t="s">
        <v>42</v>
      </c>
      <c r="Y8141">
        <f>1-784-613-5671</f>
        <v>-7067</v>
      </c>
    </row>
    <row r="8142" spans="1:25" x14ac:dyDescent="0.35">
      <c r="A8142">
        <v>33.2437246762101</v>
      </c>
      <c r="B8142">
        <v>-117.094473614081</v>
      </c>
      <c r="C8142" t="s">
        <v>25</v>
      </c>
      <c r="D8142">
        <v>33.835582529146102</v>
      </c>
      <c r="E8142">
        <v>3</v>
      </c>
      <c r="F8142">
        <v>3805</v>
      </c>
      <c r="G8142">
        <v>3</v>
      </c>
      <c r="H8142">
        <v>3</v>
      </c>
      <c r="I8142">
        <v>1989</v>
      </c>
      <c r="J8142">
        <v>1</v>
      </c>
      <c r="K8142">
        <v>0</v>
      </c>
      <c r="L8142">
        <v>0</v>
      </c>
      <c r="M8142">
        <v>14</v>
      </c>
      <c r="N8142" t="s">
        <v>41</v>
      </c>
      <c r="O8142" t="s">
        <v>30</v>
      </c>
      <c r="P8142">
        <v>12.2226006414121</v>
      </c>
      <c r="Q8142">
        <v>2.3972186511500699</v>
      </c>
      <c r="R8142">
        <v>1.10887366387421</v>
      </c>
      <c r="S8142">
        <v>124</v>
      </c>
      <c r="T8142">
        <v>22</v>
      </c>
      <c r="U8142">
        <v>837.71486012608102</v>
      </c>
      <c r="V8142">
        <v>3.6793692509855401E-3</v>
      </c>
      <c r="W8142">
        <v>3519011.1744812299</v>
      </c>
      <c r="X8142" t="s">
        <v>36</v>
      </c>
      <c r="Y8142">
        <f>1-792-165-3129</f>
        <v>-4085</v>
      </c>
    </row>
    <row r="8143" spans="1:25" x14ac:dyDescent="0.35">
      <c r="A8143">
        <v>40.489192790965099</v>
      </c>
      <c r="B8143">
        <v>-122.29180331971099</v>
      </c>
      <c r="C8143" t="s">
        <v>29</v>
      </c>
      <c r="D8143">
        <v>45.727405669108897</v>
      </c>
      <c r="E8143">
        <v>7</v>
      </c>
      <c r="F8143">
        <v>2465</v>
      </c>
      <c r="G8143">
        <v>2</v>
      </c>
      <c r="H8143">
        <v>3</v>
      </c>
      <c r="I8143">
        <v>2000</v>
      </c>
      <c r="J8143">
        <v>0</v>
      </c>
      <c r="K8143">
        <v>0</v>
      </c>
      <c r="L8143">
        <v>0</v>
      </c>
      <c r="M8143">
        <v>8</v>
      </c>
      <c r="N8143" t="s">
        <v>37</v>
      </c>
      <c r="O8143" t="s">
        <v>32</v>
      </c>
      <c r="P8143">
        <v>6.5032650803932004</v>
      </c>
      <c r="Q8143">
        <v>0.788580909018747</v>
      </c>
      <c r="R8143">
        <v>5.09996741265783</v>
      </c>
      <c r="S8143">
        <v>47</v>
      </c>
      <c r="T8143">
        <v>59</v>
      </c>
      <c r="U8143">
        <v>509.33199647012901</v>
      </c>
      <c r="V8143">
        <v>3.2454361054766699E-3</v>
      </c>
      <c r="W8143">
        <v>1373803.5746683099</v>
      </c>
      <c r="X8143" t="s">
        <v>40</v>
      </c>
      <c r="Y8143">
        <f>1-737-893-7735</f>
        <v>-9364</v>
      </c>
    </row>
    <row r="8144" spans="1:25" x14ac:dyDescent="0.35">
      <c r="A8144">
        <v>33.725693947306901</v>
      </c>
      <c r="B8144">
        <v>-119.347934951619</v>
      </c>
      <c r="C8144" t="s">
        <v>34</v>
      </c>
      <c r="D8144">
        <v>8.3051593356185798</v>
      </c>
      <c r="E8144">
        <v>5</v>
      </c>
      <c r="F8144">
        <v>2967</v>
      </c>
      <c r="G8144">
        <v>4</v>
      </c>
      <c r="H8144">
        <v>2</v>
      </c>
      <c r="I8144">
        <v>1990</v>
      </c>
      <c r="J8144">
        <v>0</v>
      </c>
      <c r="K8144">
        <v>1</v>
      </c>
      <c r="L8144">
        <v>0</v>
      </c>
      <c r="M8144">
        <v>5</v>
      </c>
      <c r="N8144" t="s">
        <v>41</v>
      </c>
      <c r="O8144" t="s">
        <v>27</v>
      </c>
      <c r="P8144">
        <v>12.911241665557601</v>
      </c>
      <c r="Q8144">
        <v>2.1092181429676602</v>
      </c>
      <c r="R8144">
        <v>3.8428416819451301</v>
      </c>
      <c r="S8144">
        <v>61</v>
      </c>
      <c r="T8144">
        <v>48</v>
      </c>
      <c r="U8144">
        <v>230.55303185845901</v>
      </c>
      <c r="V8144">
        <v>1.6852039096730701E-3</v>
      </c>
      <c r="W8144">
        <v>970792.65749282297</v>
      </c>
      <c r="X8144" t="s">
        <v>38</v>
      </c>
      <c r="Y8144">
        <f>1-217-629-2645</f>
        <v>-3490</v>
      </c>
    </row>
    <row r="8145" spans="1:25" x14ac:dyDescent="0.35">
      <c r="A8145">
        <v>37.341270731698899</v>
      </c>
      <c r="B8145">
        <v>-114.26886853663299</v>
      </c>
      <c r="C8145" t="s">
        <v>29</v>
      </c>
      <c r="D8145">
        <v>48.367181161192697</v>
      </c>
      <c r="E8145">
        <v>9</v>
      </c>
      <c r="F8145">
        <v>3949</v>
      </c>
      <c r="G8145">
        <v>3</v>
      </c>
      <c r="H8145">
        <v>3</v>
      </c>
      <c r="I8145">
        <v>1994</v>
      </c>
      <c r="J8145">
        <v>1</v>
      </c>
      <c r="K8145">
        <v>1</v>
      </c>
      <c r="L8145">
        <v>1</v>
      </c>
      <c r="M8145">
        <v>2</v>
      </c>
      <c r="N8145" t="s">
        <v>37</v>
      </c>
      <c r="O8145" t="s">
        <v>27</v>
      </c>
      <c r="P8145">
        <v>3.6324032362146199</v>
      </c>
      <c r="Q8145">
        <v>1.66392742949688</v>
      </c>
      <c r="R8145">
        <v>7.3086877966853097</v>
      </c>
      <c r="S8145">
        <v>101</v>
      </c>
      <c r="T8145">
        <v>22</v>
      </c>
      <c r="U8145">
        <v>477.27908707431902</v>
      </c>
      <c r="V8145">
        <v>5.0645733096986499E-4</v>
      </c>
      <c r="W8145">
        <v>2260395.3412649301</v>
      </c>
      <c r="X8145" t="s">
        <v>36</v>
      </c>
      <c r="Y8145">
        <f>1-577-240-3234</f>
        <v>-4050</v>
      </c>
    </row>
    <row r="8146" spans="1:25" x14ac:dyDescent="0.35">
      <c r="A8146">
        <v>34.534669617095403</v>
      </c>
      <c r="B8146">
        <v>-115.352236849481</v>
      </c>
      <c r="C8146" t="s">
        <v>34</v>
      </c>
      <c r="D8146">
        <v>9.3267123677328403</v>
      </c>
      <c r="E8146">
        <v>1</v>
      </c>
      <c r="F8146">
        <v>541</v>
      </c>
      <c r="G8146">
        <v>1</v>
      </c>
      <c r="H8146">
        <v>1</v>
      </c>
      <c r="I8146">
        <v>1982</v>
      </c>
      <c r="J8146">
        <v>0</v>
      </c>
      <c r="K8146">
        <v>0</v>
      </c>
      <c r="L8146">
        <v>1</v>
      </c>
      <c r="M8146">
        <v>4</v>
      </c>
      <c r="N8146" t="s">
        <v>35</v>
      </c>
      <c r="O8146" t="s">
        <v>30</v>
      </c>
      <c r="P8146">
        <v>12.186254765548799</v>
      </c>
      <c r="Q8146">
        <v>2.4560220702983</v>
      </c>
      <c r="R8146">
        <v>0.41732156600710801</v>
      </c>
      <c r="S8146">
        <v>47</v>
      </c>
      <c r="T8146">
        <v>36</v>
      </c>
      <c r="U8146">
        <v>703.51365171113002</v>
      </c>
      <c r="V8146">
        <v>7.3937153419593301E-3</v>
      </c>
      <c r="W8146">
        <v>499408.46683303302</v>
      </c>
      <c r="X8146" t="s">
        <v>38</v>
      </c>
      <c r="Y8146">
        <f>1-283-267-9699</f>
        <v>-10248</v>
      </c>
    </row>
    <row r="8147" spans="1:25" x14ac:dyDescent="0.35">
      <c r="A8147">
        <v>41.412478688888299</v>
      </c>
      <c r="B8147">
        <v>-121.28226592834</v>
      </c>
      <c r="C8147" t="s">
        <v>29</v>
      </c>
      <c r="D8147">
        <v>28.2119619025863</v>
      </c>
      <c r="E8147">
        <v>1</v>
      </c>
      <c r="F8147">
        <v>4321</v>
      </c>
      <c r="G8147">
        <v>4</v>
      </c>
      <c r="H8147">
        <v>1</v>
      </c>
      <c r="I8147">
        <v>1965</v>
      </c>
      <c r="J8147">
        <v>1</v>
      </c>
      <c r="K8147">
        <v>1</v>
      </c>
      <c r="L8147">
        <v>1</v>
      </c>
      <c r="M8147">
        <v>2</v>
      </c>
      <c r="N8147" t="s">
        <v>35</v>
      </c>
      <c r="O8147" t="s">
        <v>32</v>
      </c>
      <c r="P8147">
        <v>7.9005784612797996</v>
      </c>
      <c r="Q8147">
        <v>1.49266709459443</v>
      </c>
      <c r="R8147">
        <v>6.2600796630357403</v>
      </c>
      <c r="S8147">
        <v>189</v>
      </c>
      <c r="T8147">
        <v>48</v>
      </c>
      <c r="U8147">
        <v>308.94900044663098</v>
      </c>
      <c r="V8147">
        <v>4.6285582041194099E-4</v>
      </c>
      <c r="W8147">
        <v>1736682.3736996599</v>
      </c>
      <c r="X8147" t="s">
        <v>44</v>
      </c>
      <c r="Y8147">
        <f>1-508-129-9559</f>
        <v>-10195</v>
      </c>
    </row>
    <row r="8148" spans="1:25" x14ac:dyDescent="0.35">
      <c r="A8148">
        <v>37.116544079776197</v>
      </c>
      <c r="B8148">
        <v>-117.68690146447599</v>
      </c>
      <c r="C8148" t="s">
        <v>25</v>
      </c>
      <c r="D8148">
        <v>17.7432049983714</v>
      </c>
      <c r="E8148">
        <v>3</v>
      </c>
      <c r="F8148">
        <v>2103</v>
      </c>
      <c r="G8148">
        <v>3</v>
      </c>
      <c r="H8148">
        <v>1</v>
      </c>
      <c r="I8148">
        <v>1998</v>
      </c>
      <c r="J8148">
        <v>0</v>
      </c>
      <c r="K8148">
        <v>0</v>
      </c>
      <c r="L8148">
        <v>1</v>
      </c>
      <c r="M8148">
        <v>12</v>
      </c>
      <c r="N8148" t="s">
        <v>37</v>
      </c>
      <c r="O8148" t="s">
        <v>27</v>
      </c>
      <c r="P8148">
        <v>5.5788133442397703</v>
      </c>
      <c r="Q8148">
        <v>2.1719627730879498</v>
      </c>
      <c r="R8148">
        <v>7.0602893314125197</v>
      </c>
      <c r="S8148">
        <v>116</v>
      </c>
      <c r="T8148">
        <v>60</v>
      </c>
      <c r="U8148">
        <v>914.19227199975001</v>
      </c>
      <c r="V8148">
        <v>5.7061340941512101E-3</v>
      </c>
      <c r="W8148">
        <v>2062485.42894675</v>
      </c>
      <c r="X8148" t="s">
        <v>36</v>
      </c>
      <c r="Y8148">
        <f>1-534-266-2347</f>
        <v>-3146</v>
      </c>
    </row>
    <row r="8149" spans="1:25" x14ac:dyDescent="0.35">
      <c r="A8149">
        <v>32.904647632174303</v>
      </c>
      <c r="B8149">
        <v>-122.843934962006</v>
      </c>
      <c r="C8149" t="s">
        <v>34</v>
      </c>
      <c r="D8149">
        <v>13.9366649697936</v>
      </c>
      <c r="E8149">
        <v>6</v>
      </c>
      <c r="F8149">
        <v>4828</v>
      </c>
      <c r="G8149">
        <v>2</v>
      </c>
      <c r="H8149">
        <v>3</v>
      </c>
      <c r="I8149">
        <v>1950</v>
      </c>
      <c r="J8149">
        <v>0</v>
      </c>
      <c r="K8149">
        <v>0</v>
      </c>
      <c r="L8149">
        <v>0</v>
      </c>
      <c r="M8149">
        <v>3</v>
      </c>
      <c r="N8149" t="s">
        <v>35</v>
      </c>
      <c r="O8149" t="s">
        <v>32</v>
      </c>
      <c r="P8149">
        <v>7.5002731161446796</v>
      </c>
      <c r="Q8149">
        <v>0.76225052206611899</v>
      </c>
      <c r="R8149">
        <v>8.7385737149312792</v>
      </c>
      <c r="S8149">
        <v>102</v>
      </c>
      <c r="T8149">
        <v>59</v>
      </c>
      <c r="U8149">
        <v>996.67673349036602</v>
      </c>
      <c r="V8149">
        <v>6.2137531068765504E-4</v>
      </c>
      <c r="W8149">
        <v>4872488.6765362397</v>
      </c>
      <c r="X8149" t="s">
        <v>44</v>
      </c>
      <c r="Y8149">
        <f>1-820-841-4363</f>
        <v>-6023</v>
      </c>
    </row>
    <row r="8150" spans="1:25" x14ac:dyDescent="0.35">
      <c r="A8150">
        <v>32.793590493820801</v>
      </c>
      <c r="B8150">
        <v>-116.927878105914</v>
      </c>
      <c r="C8150" t="s">
        <v>34</v>
      </c>
      <c r="D8150">
        <v>40.138961314387103</v>
      </c>
      <c r="E8150">
        <v>8</v>
      </c>
      <c r="F8150">
        <v>2190</v>
      </c>
      <c r="G8150">
        <v>2</v>
      </c>
      <c r="H8150">
        <v>3</v>
      </c>
      <c r="I8150">
        <v>1973</v>
      </c>
      <c r="J8150">
        <v>1</v>
      </c>
      <c r="K8150">
        <v>0</v>
      </c>
      <c r="L8150">
        <v>1</v>
      </c>
      <c r="M8150">
        <v>11</v>
      </c>
      <c r="N8150" t="s">
        <v>35</v>
      </c>
      <c r="O8150" t="s">
        <v>30</v>
      </c>
      <c r="P8150">
        <v>6.0073240274996698</v>
      </c>
      <c r="Q8150">
        <v>2.11113527381166</v>
      </c>
      <c r="R8150">
        <v>9.3514770549917792</v>
      </c>
      <c r="S8150">
        <v>102</v>
      </c>
      <c r="T8150">
        <v>61</v>
      </c>
      <c r="U8150">
        <v>470.75656729403403</v>
      </c>
      <c r="V8150">
        <v>5.0228310502283104E-3</v>
      </c>
      <c r="W8150">
        <v>1135697.67896619</v>
      </c>
      <c r="X8150" t="s">
        <v>38</v>
      </c>
      <c r="Y8150">
        <f>1-251-718-9121</f>
        <v>-10089</v>
      </c>
    </row>
    <row r="8151" spans="1:25" x14ac:dyDescent="0.35">
      <c r="A8151">
        <v>33.379843650528798</v>
      </c>
      <c r="B8151">
        <v>-115.31921396155001</v>
      </c>
      <c r="C8151" t="s">
        <v>34</v>
      </c>
      <c r="D8151">
        <v>42.208828739472402</v>
      </c>
      <c r="E8151">
        <v>6</v>
      </c>
      <c r="F8151">
        <v>4724</v>
      </c>
      <c r="G8151">
        <v>3</v>
      </c>
      <c r="H8151">
        <v>1</v>
      </c>
      <c r="I8151">
        <v>1963</v>
      </c>
      <c r="J8151">
        <v>1</v>
      </c>
      <c r="K8151">
        <v>0</v>
      </c>
      <c r="L8151">
        <v>1</v>
      </c>
      <c r="M8151">
        <v>7</v>
      </c>
      <c r="N8151" t="s">
        <v>26</v>
      </c>
      <c r="O8151" t="s">
        <v>30</v>
      </c>
      <c r="P8151">
        <v>3.1782885515352599</v>
      </c>
      <c r="Q8151">
        <v>1.5569612459237301</v>
      </c>
      <c r="R8151">
        <v>9.35317388932223</v>
      </c>
      <c r="S8151">
        <v>30</v>
      </c>
      <c r="T8151">
        <v>58</v>
      </c>
      <c r="U8151">
        <v>560.25891791250399</v>
      </c>
      <c r="V8151">
        <v>1.4817950889076999E-3</v>
      </c>
      <c r="W8151">
        <v>2806801.7804387999</v>
      </c>
      <c r="X8151" t="s">
        <v>28</v>
      </c>
      <c r="Y8151">
        <f>1-604-941-5583</f>
        <v>-7127</v>
      </c>
    </row>
    <row r="8152" spans="1:25" x14ac:dyDescent="0.35">
      <c r="A8152">
        <v>38.700290828008001</v>
      </c>
      <c r="B8152">
        <v>-122.838235996714</v>
      </c>
      <c r="C8152" t="s">
        <v>34</v>
      </c>
      <c r="D8152">
        <v>49.625175563008497</v>
      </c>
      <c r="E8152">
        <v>1</v>
      </c>
      <c r="F8152">
        <v>1833</v>
      </c>
      <c r="G8152">
        <v>1</v>
      </c>
      <c r="H8152">
        <v>3</v>
      </c>
      <c r="I8152">
        <v>1966</v>
      </c>
      <c r="J8152">
        <v>1</v>
      </c>
      <c r="K8152">
        <v>0</v>
      </c>
      <c r="L8152">
        <v>0</v>
      </c>
      <c r="M8152">
        <v>13</v>
      </c>
      <c r="N8152" t="s">
        <v>35</v>
      </c>
      <c r="O8152" t="s">
        <v>32</v>
      </c>
      <c r="P8152">
        <v>14.828673495441899</v>
      </c>
      <c r="Q8152">
        <v>1.70566915258814</v>
      </c>
      <c r="R8152">
        <v>2.21979348514341</v>
      </c>
      <c r="S8152">
        <v>104</v>
      </c>
      <c r="T8152">
        <v>21</v>
      </c>
      <c r="U8152">
        <v>753.39321390257601</v>
      </c>
      <c r="V8152">
        <v>7.09219858156028E-3</v>
      </c>
      <c r="W8152">
        <v>1684970.1814146501</v>
      </c>
      <c r="X8152" t="s">
        <v>43</v>
      </c>
      <c r="Y8152">
        <f>1-604-400-7635</f>
        <v>-8638</v>
      </c>
    </row>
    <row r="8153" spans="1:25" x14ac:dyDescent="0.35">
      <c r="A8153">
        <v>34.139769818228402</v>
      </c>
      <c r="B8153">
        <v>-115.753748496063</v>
      </c>
      <c r="C8153" t="s">
        <v>29</v>
      </c>
      <c r="D8153">
        <v>39.7355759859446</v>
      </c>
      <c r="E8153">
        <v>8</v>
      </c>
      <c r="F8153">
        <v>2554</v>
      </c>
      <c r="G8153">
        <v>5</v>
      </c>
      <c r="H8153">
        <v>1</v>
      </c>
      <c r="I8153">
        <v>2002</v>
      </c>
      <c r="J8153">
        <v>1</v>
      </c>
      <c r="K8153">
        <v>1</v>
      </c>
      <c r="L8153">
        <v>0</v>
      </c>
      <c r="M8153">
        <v>13</v>
      </c>
      <c r="N8153" t="s">
        <v>35</v>
      </c>
      <c r="O8153" t="s">
        <v>27</v>
      </c>
      <c r="P8153">
        <v>7.5486576259884401</v>
      </c>
      <c r="Q8153">
        <v>2.09702881504808</v>
      </c>
      <c r="R8153">
        <v>5.10818028635068</v>
      </c>
      <c r="S8153">
        <v>199</v>
      </c>
      <c r="T8153">
        <v>66</v>
      </c>
      <c r="U8153">
        <v>207.42999989714201</v>
      </c>
      <c r="V8153">
        <v>5.0900548159749396E-3</v>
      </c>
      <c r="W8153">
        <v>888835.08862630802</v>
      </c>
      <c r="X8153" t="s">
        <v>39</v>
      </c>
      <c r="Y8153">
        <f>1-254-615-9367</f>
        <v>-10235</v>
      </c>
    </row>
    <row r="8154" spans="1:25" x14ac:dyDescent="0.35">
      <c r="A8154">
        <v>36.400011563886203</v>
      </c>
      <c r="B8154">
        <v>-121.71602133709899</v>
      </c>
      <c r="C8154" t="s">
        <v>25</v>
      </c>
      <c r="D8154">
        <v>39.892734935166999</v>
      </c>
      <c r="E8154">
        <v>0</v>
      </c>
      <c r="F8154">
        <v>3420</v>
      </c>
      <c r="G8154">
        <v>2</v>
      </c>
      <c r="H8154">
        <v>2</v>
      </c>
      <c r="I8154">
        <v>1962</v>
      </c>
      <c r="J8154">
        <v>1</v>
      </c>
      <c r="K8154">
        <v>1</v>
      </c>
      <c r="L8154">
        <v>1</v>
      </c>
      <c r="M8154">
        <v>13</v>
      </c>
      <c r="N8154" t="s">
        <v>41</v>
      </c>
      <c r="O8154" t="s">
        <v>30</v>
      </c>
      <c r="P8154">
        <v>11.434442620695901</v>
      </c>
      <c r="Q8154">
        <v>0.84398876372612797</v>
      </c>
      <c r="R8154">
        <v>1.9133480153664499</v>
      </c>
      <c r="S8154">
        <v>29</v>
      </c>
      <c r="T8154">
        <v>51</v>
      </c>
      <c r="U8154">
        <v>597.49707022762198</v>
      </c>
      <c r="V8154">
        <v>3.80116959064327E-3</v>
      </c>
      <c r="W8154">
        <v>2343976.3203520598</v>
      </c>
      <c r="X8154" t="s">
        <v>39</v>
      </c>
      <c r="Y8154">
        <f>1-463-273-7912</f>
        <v>-8647</v>
      </c>
    </row>
    <row r="8155" spans="1:25" x14ac:dyDescent="0.35">
      <c r="A8155">
        <v>37.139585707507898</v>
      </c>
      <c r="B8155">
        <v>-115.210160251801</v>
      </c>
      <c r="C8155" t="s">
        <v>34</v>
      </c>
      <c r="D8155">
        <v>9.9196085422310798</v>
      </c>
      <c r="E8155">
        <v>7</v>
      </c>
      <c r="F8155">
        <v>1321</v>
      </c>
      <c r="G8155">
        <v>1</v>
      </c>
      <c r="H8155">
        <v>1</v>
      </c>
      <c r="I8155">
        <v>2019</v>
      </c>
      <c r="J8155">
        <v>0</v>
      </c>
      <c r="K8155">
        <v>0</v>
      </c>
      <c r="L8155">
        <v>0</v>
      </c>
      <c r="M8155">
        <v>7</v>
      </c>
      <c r="N8155" t="s">
        <v>35</v>
      </c>
      <c r="O8155" t="s">
        <v>30</v>
      </c>
      <c r="P8155">
        <v>5.8691757255663397</v>
      </c>
      <c r="Q8155">
        <v>2.3437889602910502</v>
      </c>
      <c r="R8155">
        <v>4.0494810229765896</v>
      </c>
      <c r="S8155">
        <v>23</v>
      </c>
      <c r="T8155">
        <v>58</v>
      </c>
      <c r="U8155">
        <v>663.54385648805999</v>
      </c>
      <c r="V8155">
        <v>5.2990158970476903E-3</v>
      </c>
      <c r="W8155">
        <v>957954.70705176506</v>
      </c>
      <c r="X8155" t="s">
        <v>44</v>
      </c>
      <c r="Y8155">
        <f>1-901-319-4349</f>
        <v>-5568</v>
      </c>
    </row>
    <row r="8156" spans="1:25" x14ac:dyDescent="0.35">
      <c r="A8156">
        <v>40.916033600308303</v>
      </c>
      <c r="B8156">
        <v>-122.250030756751</v>
      </c>
      <c r="C8156" t="s">
        <v>34</v>
      </c>
      <c r="D8156">
        <v>10.9730661634316</v>
      </c>
      <c r="E8156">
        <v>6</v>
      </c>
      <c r="F8156">
        <v>3855</v>
      </c>
      <c r="G8156">
        <v>5</v>
      </c>
      <c r="H8156">
        <v>2</v>
      </c>
      <c r="I8156">
        <v>1986</v>
      </c>
      <c r="J8156">
        <v>0</v>
      </c>
      <c r="K8156">
        <v>1</v>
      </c>
      <c r="L8156">
        <v>0</v>
      </c>
      <c r="M8156">
        <v>10</v>
      </c>
      <c r="N8156" t="s">
        <v>37</v>
      </c>
      <c r="O8156" t="s">
        <v>30</v>
      </c>
      <c r="P8156">
        <v>3.2314693148310898</v>
      </c>
      <c r="Q8156">
        <v>1.6736971224263699</v>
      </c>
      <c r="R8156">
        <v>4.2098460783354898</v>
      </c>
      <c r="S8156">
        <v>71</v>
      </c>
      <c r="T8156">
        <v>78</v>
      </c>
      <c r="U8156">
        <v>542.26418525965005</v>
      </c>
      <c r="V8156">
        <v>2.5940337224383899E-3</v>
      </c>
      <c r="W8156">
        <v>2397263.9420813499</v>
      </c>
      <c r="X8156" t="s">
        <v>36</v>
      </c>
      <c r="Y8156">
        <f>1-511-872-9098</f>
        <v>-10480</v>
      </c>
    </row>
    <row r="8157" spans="1:25" x14ac:dyDescent="0.35">
      <c r="A8157">
        <v>37.4492265676557</v>
      </c>
      <c r="B8157">
        <v>-116.122359493887</v>
      </c>
      <c r="C8157" t="s">
        <v>25</v>
      </c>
      <c r="D8157">
        <v>9.8349241143282295</v>
      </c>
      <c r="E8157">
        <v>5</v>
      </c>
      <c r="F8157">
        <v>4663</v>
      </c>
      <c r="G8157">
        <v>3</v>
      </c>
      <c r="H8157">
        <v>3</v>
      </c>
      <c r="I8157">
        <v>1963</v>
      </c>
      <c r="J8157">
        <v>0</v>
      </c>
      <c r="K8157">
        <v>1</v>
      </c>
      <c r="L8157">
        <v>0</v>
      </c>
      <c r="M8157">
        <v>14</v>
      </c>
      <c r="N8157" t="s">
        <v>37</v>
      </c>
      <c r="O8157" t="s">
        <v>32</v>
      </c>
      <c r="P8157">
        <v>12.5285817133338</v>
      </c>
      <c r="Q8157">
        <v>2.0018773384335602</v>
      </c>
      <c r="R8157">
        <v>7.0024810688016199</v>
      </c>
      <c r="S8157">
        <v>101</v>
      </c>
      <c r="T8157">
        <v>65</v>
      </c>
      <c r="U8157">
        <v>658.81244539111901</v>
      </c>
      <c r="V8157">
        <v>3.00235899635427E-3</v>
      </c>
      <c r="W8157">
        <v>3408468.2776747602</v>
      </c>
      <c r="X8157" t="s">
        <v>44</v>
      </c>
      <c r="Y8157">
        <f>1-938-723-4003</f>
        <v>-5663</v>
      </c>
    </row>
    <row r="8158" spans="1:25" x14ac:dyDescent="0.35">
      <c r="A8158">
        <v>36.869017219612601</v>
      </c>
      <c r="B8158">
        <v>-118.490546812042</v>
      </c>
      <c r="C8158" t="s">
        <v>29</v>
      </c>
      <c r="D8158">
        <v>9.7573572125075092</v>
      </c>
      <c r="E8158">
        <v>7</v>
      </c>
      <c r="F8158">
        <v>3466</v>
      </c>
      <c r="G8158">
        <v>2</v>
      </c>
      <c r="H8158">
        <v>2</v>
      </c>
      <c r="I8158">
        <v>2013</v>
      </c>
      <c r="J8158">
        <v>0</v>
      </c>
      <c r="K8158">
        <v>1</v>
      </c>
      <c r="L8158">
        <v>0</v>
      </c>
      <c r="M8158">
        <v>3</v>
      </c>
      <c r="N8158" t="s">
        <v>26</v>
      </c>
      <c r="O8158" t="s">
        <v>32</v>
      </c>
      <c r="P8158">
        <v>2.44529811813883</v>
      </c>
      <c r="Q8158">
        <v>1.2652395164281001</v>
      </c>
      <c r="R8158">
        <v>0.79083909944295006</v>
      </c>
      <c r="S8158">
        <v>22</v>
      </c>
      <c r="T8158">
        <v>29</v>
      </c>
      <c r="U8158">
        <v>643.83949044730002</v>
      </c>
      <c r="V8158">
        <v>8.6555106751298305E-4</v>
      </c>
      <c r="W8158">
        <v>2482880.3660909398</v>
      </c>
      <c r="X8158" t="s">
        <v>36</v>
      </c>
      <c r="Y8158">
        <f>1-929-275-5151</f>
        <v>-6354</v>
      </c>
    </row>
    <row r="8159" spans="1:25" x14ac:dyDescent="0.35">
      <c r="A8159">
        <v>38.455788286045902</v>
      </c>
      <c r="B8159">
        <v>-119.124967280577</v>
      </c>
      <c r="C8159" t="s">
        <v>25</v>
      </c>
      <c r="D8159">
        <v>22.187751419123</v>
      </c>
      <c r="E8159">
        <v>5</v>
      </c>
      <c r="F8159">
        <v>4560</v>
      </c>
      <c r="G8159">
        <v>4</v>
      </c>
      <c r="H8159">
        <v>1</v>
      </c>
      <c r="I8159">
        <v>2015</v>
      </c>
      <c r="J8159">
        <v>1</v>
      </c>
      <c r="K8159">
        <v>0</v>
      </c>
      <c r="L8159">
        <v>1</v>
      </c>
      <c r="M8159">
        <v>7</v>
      </c>
      <c r="N8159" t="s">
        <v>26</v>
      </c>
      <c r="O8159" t="s">
        <v>32</v>
      </c>
      <c r="P8159">
        <v>13.200125571260299</v>
      </c>
      <c r="Q8159">
        <v>1.25818213516938</v>
      </c>
      <c r="R8159">
        <v>7.4841179789893202</v>
      </c>
      <c r="S8159">
        <v>60</v>
      </c>
      <c r="T8159">
        <v>46</v>
      </c>
      <c r="U8159">
        <v>695.53167174368195</v>
      </c>
      <c r="V8159">
        <v>1.53508771929824E-3</v>
      </c>
      <c r="W8159">
        <v>3669914.07220831</v>
      </c>
      <c r="X8159" t="s">
        <v>36</v>
      </c>
      <c r="Y8159">
        <f>1-936-444-5856</f>
        <v>-7235</v>
      </c>
    </row>
    <row r="8160" spans="1:25" x14ac:dyDescent="0.35">
      <c r="A8160">
        <v>41.654493398185103</v>
      </c>
      <c r="B8160">
        <v>-122.394535718865</v>
      </c>
      <c r="C8160" t="s">
        <v>25</v>
      </c>
      <c r="D8160">
        <v>33.771982810541203</v>
      </c>
      <c r="E8160">
        <v>7</v>
      </c>
      <c r="F8160">
        <v>3469</v>
      </c>
      <c r="G8160">
        <v>4</v>
      </c>
      <c r="H8160">
        <v>1</v>
      </c>
      <c r="I8160">
        <v>1997</v>
      </c>
      <c r="J8160">
        <v>1</v>
      </c>
      <c r="K8160">
        <v>0</v>
      </c>
      <c r="L8160">
        <v>0</v>
      </c>
      <c r="M8160">
        <v>12</v>
      </c>
      <c r="N8160" t="s">
        <v>35</v>
      </c>
      <c r="O8160" t="s">
        <v>32</v>
      </c>
      <c r="P8160">
        <v>13.621133813987299</v>
      </c>
      <c r="Q8160">
        <v>2.18823625464058</v>
      </c>
      <c r="R8160">
        <v>0.107594364758238</v>
      </c>
      <c r="S8160">
        <v>67</v>
      </c>
      <c r="T8160">
        <v>41</v>
      </c>
      <c r="U8160">
        <v>910.84916875311001</v>
      </c>
      <c r="V8160">
        <v>3.4592101470164302E-3</v>
      </c>
      <c r="W8160">
        <v>3428872.58485043</v>
      </c>
      <c r="X8160" t="s">
        <v>42</v>
      </c>
      <c r="Y8160">
        <f>1-493-654-3732</f>
        <v>-4878</v>
      </c>
    </row>
    <row r="8161" spans="1:25" x14ac:dyDescent="0.35">
      <c r="A8161">
        <v>41.023793122958502</v>
      </c>
      <c r="B8161">
        <v>-123.972556104004</v>
      </c>
      <c r="C8161" t="s">
        <v>25</v>
      </c>
      <c r="D8161">
        <v>27.8801039534242</v>
      </c>
      <c r="E8161">
        <v>5</v>
      </c>
      <c r="F8161">
        <v>3037</v>
      </c>
      <c r="G8161">
        <v>2</v>
      </c>
      <c r="H8161">
        <v>1</v>
      </c>
      <c r="I8161">
        <v>1996</v>
      </c>
      <c r="J8161">
        <v>0</v>
      </c>
      <c r="K8161">
        <v>0</v>
      </c>
      <c r="L8161">
        <v>0</v>
      </c>
      <c r="M8161">
        <v>3</v>
      </c>
      <c r="N8161" t="s">
        <v>37</v>
      </c>
      <c r="O8161" t="s">
        <v>30</v>
      </c>
      <c r="P8161">
        <v>11.159656552352301</v>
      </c>
      <c r="Q8161">
        <v>1.3260048791763901</v>
      </c>
      <c r="R8161">
        <v>9.9957569473667007</v>
      </c>
      <c r="S8161">
        <v>97</v>
      </c>
      <c r="T8161">
        <v>41</v>
      </c>
      <c r="U8161">
        <v>637.87316316686804</v>
      </c>
      <c r="V8161">
        <v>9.8781692459664109E-4</v>
      </c>
      <c r="W8161">
        <v>2122579.1335095698</v>
      </c>
      <c r="X8161" t="s">
        <v>42</v>
      </c>
      <c r="Y8161">
        <f>1-832-610-3908</f>
        <v>-5349</v>
      </c>
    </row>
    <row r="8162" spans="1:25" x14ac:dyDescent="0.35">
      <c r="A8162">
        <v>36.0897547173142</v>
      </c>
      <c r="B8162">
        <v>-114.54521141820901</v>
      </c>
      <c r="C8162" t="s">
        <v>25</v>
      </c>
      <c r="D8162">
        <v>11.6617493211747</v>
      </c>
      <c r="E8162">
        <v>2</v>
      </c>
      <c r="F8162">
        <v>4078</v>
      </c>
      <c r="G8162">
        <v>2</v>
      </c>
      <c r="H8162">
        <v>1</v>
      </c>
      <c r="I8162">
        <v>1996</v>
      </c>
      <c r="J8162">
        <v>1</v>
      </c>
      <c r="K8162">
        <v>0</v>
      </c>
      <c r="L8162">
        <v>0</v>
      </c>
      <c r="M8162">
        <v>4</v>
      </c>
      <c r="N8162" t="s">
        <v>26</v>
      </c>
      <c r="O8162" t="s">
        <v>32</v>
      </c>
      <c r="P8162">
        <v>8.34495365827628</v>
      </c>
      <c r="Q8162">
        <v>0.95754271415069303</v>
      </c>
      <c r="R8162">
        <v>8.78411935735806</v>
      </c>
      <c r="S8162">
        <v>52</v>
      </c>
      <c r="T8162">
        <v>43</v>
      </c>
      <c r="U8162">
        <v>942.656732901802</v>
      </c>
      <c r="V8162">
        <v>9.8087297694948511E-4</v>
      </c>
      <c r="W8162">
        <v>3988193.2525073001</v>
      </c>
      <c r="X8162" t="s">
        <v>31</v>
      </c>
      <c r="Y8162">
        <f>1-396-558-7499</f>
        <v>-8452</v>
      </c>
    </row>
    <row r="8163" spans="1:25" x14ac:dyDescent="0.35">
      <c r="A8163">
        <v>36.562795758680998</v>
      </c>
      <c r="B8163">
        <v>-118.786051557769</v>
      </c>
      <c r="C8163" t="s">
        <v>29</v>
      </c>
      <c r="D8163">
        <v>17.070531210207701</v>
      </c>
      <c r="E8163">
        <v>3</v>
      </c>
      <c r="F8163">
        <v>3486</v>
      </c>
      <c r="G8163">
        <v>3</v>
      </c>
      <c r="H8163">
        <v>2</v>
      </c>
      <c r="I8163">
        <v>1972</v>
      </c>
      <c r="J8163">
        <v>0</v>
      </c>
      <c r="K8163">
        <v>1</v>
      </c>
      <c r="L8163">
        <v>1</v>
      </c>
      <c r="M8163">
        <v>9</v>
      </c>
      <c r="N8163" t="s">
        <v>35</v>
      </c>
      <c r="O8163" t="s">
        <v>30</v>
      </c>
      <c r="P8163">
        <v>9.9274394455072894</v>
      </c>
      <c r="Q8163">
        <v>1.0750935963005901</v>
      </c>
      <c r="R8163">
        <v>5.6559003275684301</v>
      </c>
      <c r="S8163">
        <v>113</v>
      </c>
      <c r="T8163">
        <v>42</v>
      </c>
      <c r="U8163">
        <v>786.726990542728</v>
      </c>
      <c r="V8163">
        <v>2.5817555938037798E-3</v>
      </c>
      <c r="W8163">
        <v>3110600.1010992201</v>
      </c>
      <c r="X8163" t="s">
        <v>36</v>
      </c>
      <c r="Y8163">
        <f>1-200-922-6088</f>
        <v>-7209</v>
      </c>
    </row>
    <row r="8164" spans="1:25" x14ac:dyDescent="0.35">
      <c r="A8164">
        <v>39.317648515930003</v>
      </c>
      <c r="B8164">
        <v>-122.93893294833001</v>
      </c>
      <c r="C8164" t="s">
        <v>34</v>
      </c>
      <c r="D8164">
        <v>23.9238840737492</v>
      </c>
      <c r="E8164">
        <v>2</v>
      </c>
      <c r="F8164">
        <v>1406</v>
      </c>
      <c r="G8164">
        <v>2</v>
      </c>
      <c r="H8164">
        <v>3</v>
      </c>
      <c r="I8164">
        <v>1991</v>
      </c>
      <c r="J8164">
        <v>0</v>
      </c>
      <c r="K8164">
        <v>0</v>
      </c>
      <c r="L8164">
        <v>0</v>
      </c>
      <c r="M8164">
        <v>11</v>
      </c>
      <c r="N8164" t="s">
        <v>37</v>
      </c>
      <c r="O8164" t="s">
        <v>27</v>
      </c>
      <c r="P8164">
        <v>14.9036175919284</v>
      </c>
      <c r="Q8164">
        <v>2.2615552345713201</v>
      </c>
      <c r="R8164">
        <v>9.1283077296348996</v>
      </c>
      <c r="S8164">
        <v>153</v>
      </c>
      <c r="T8164">
        <v>31</v>
      </c>
      <c r="U8164">
        <v>378.54248885871198</v>
      </c>
      <c r="V8164">
        <v>7.8236130867709794E-3</v>
      </c>
      <c r="W8164">
        <v>788341.09980898595</v>
      </c>
      <c r="X8164" t="s">
        <v>39</v>
      </c>
      <c r="Y8164">
        <f>1-307-423-1690</f>
        <v>-2419</v>
      </c>
    </row>
    <row r="8165" spans="1:25" x14ac:dyDescent="0.35">
      <c r="A8165">
        <v>38.920752452625301</v>
      </c>
      <c r="B8165">
        <v>-118.193103875346</v>
      </c>
      <c r="C8165" t="s">
        <v>25</v>
      </c>
      <c r="D8165">
        <v>45.803812785457602</v>
      </c>
      <c r="E8165">
        <v>3</v>
      </c>
      <c r="F8165">
        <v>1016</v>
      </c>
      <c r="G8165">
        <v>2</v>
      </c>
      <c r="H8165">
        <v>3</v>
      </c>
      <c r="I8165">
        <v>1961</v>
      </c>
      <c r="J8165">
        <v>0</v>
      </c>
      <c r="K8165">
        <v>1</v>
      </c>
      <c r="L8165">
        <v>1</v>
      </c>
      <c r="M8165">
        <v>2</v>
      </c>
      <c r="N8165" t="s">
        <v>37</v>
      </c>
      <c r="O8165" t="s">
        <v>30</v>
      </c>
      <c r="P8165">
        <v>2.9613883863936801</v>
      </c>
      <c r="Q8165">
        <v>1.3913184662218201</v>
      </c>
      <c r="R8165">
        <v>5.109380370097</v>
      </c>
      <c r="S8165">
        <v>186</v>
      </c>
      <c r="T8165">
        <v>50</v>
      </c>
      <c r="U8165">
        <v>379.76861357555299</v>
      </c>
      <c r="V8165">
        <v>1.9685039370078701E-3</v>
      </c>
      <c r="W8165">
        <v>573622.42538961198</v>
      </c>
      <c r="X8165" t="s">
        <v>36</v>
      </c>
      <c r="Y8165">
        <f>1-673-199-9226</f>
        <v>-10097</v>
      </c>
    </row>
    <row r="8166" spans="1:25" x14ac:dyDescent="0.35">
      <c r="A8166">
        <v>33.901191851052602</v>
      </c>
      <c r="B8166">
        <v>-119.263257710234</v>
      </c>
      <c r="C8166" t="s">
        <v>29</v>
      </c>
      <c r="D8166">
        <v>23.073343304254902</v>
      </c>
      <c r="E8166">
        <v>4</v>
      </c>
      <c r="F8166">
        <v>3439</v>
      </c>
      <c r="G8166">
        <v>2</v>
      </c>
      <c r="H8166">
        <v>2</v>
      </c>
      <c r="I8166">
        <v>2010</v>
      </c>
      <c r="J8166">
        <v>0</v>
      </c>
      <c r="K8166">
        <v>1</v>
      </c>
      <c r="L8166">
        <v>0</v>
      </c>
      <c r="M8166">
        <v>8</v>
      </c>
      <c r="N8166" t="s">
        <v>41</v>
      </c>
      <c r="O8166" t="s">
        <v>27</v>
      </c>
      <c r="P8166">
        <v>2.7729152276450302</v>
      </c>
      <c r="Q8166">
        <v>2.3786243754043901</v>
      </c>
      <c r="R8166">
        <v>3.9247128669348799</v>
      </c>
      <c r="S8166">
        <v>63</v>
      </c>
      <c r="T8166">
        <v>20</v>
      </c>
      <c r="U8166">
        <v>885.64522683771804</v>
      </c>
      <c r="V8166">
        <v>2.3262576330328501E-3</v>
      </c>
      <c r="W8166">
        <v>3242411.9128437</v>
      </c>
      <c r="X8166" t="s">
        <v>43</v>
      </c>
      <c r="Y8166">
        <f>1-598-909-9582</f>
        <v>-11088</v>
      </c>
    </row>
    <row r="8167" spans="1:25" x14ac:dyDescent="0.35">
      <c r="A8167">
        <v>41.794297268347101</v>
      </c>
      <c r="B8167">
        <v>-124.16651713930899</v>
      </c>
      <c r="C8167" t="s">
        <v>34</v>
      </c>
      <c r="D8167">
        <v>35.327639070081197</v>
      </c>
      <c r="E8167">
        <v>6</v>
      </c>
      <c r="F8167">
        <v>4350</v>
      </c>
      <c r="G8167">
        <v>2</v>
      </c>
      <c r="H8167">
        <v>3</v>
      </c>
      <c r="I8167">
        <v>1984</v>
      </c>
      <c r="J8167">
        <v>0</v>
      </c>
      <c r="K8167">
        <v>1</v>
      </c>
      <c r="L8167">
        <v>1</v>
      </c>
      <c r="M8167">
        <v>14</v>
      </c>
      <c r="N8167" t="s">
        <v>37</v>
      </c>
      <c r="O8167" t="s">
        <v>27</v>
      </c>
      <c r="P8167">
        <v>6.2582229716187898</v>
      </c>
      <c r="Q8167">
        <v>0.69447793912191103</v>
      </c>
      <c r="R8167">
        <v>4.0728651922793704</v>
      </c>
      <c r="S8167">
        <v>148</v>
      </c>
      <c r="T8167">
        <v>75</v>
      </c>
      <c r="U8167">
        <v>963.61137336858405</v>
      </c>
      <c r="V8167">
        <v>3.2183908045976999E-3</v>
      </c>
      <c r="W8167">
        <v>4541807.1660647597</v>
      </c>
      <c r="X8167" t="s">
        <v>36</v>
      </c>
      <c r="Y8167">
        <f>1-723-163-2187</f>
        <v>-3072</v>
      </c>
    </row>
    <row r="8168" spans="1:25" x14ac:dyDescent="0.35">
      <c r="A8168">
        <v>35.918716261540602</v>
      </c>
      <c r="B8168">
        <v>-124.43119537430501</v>
      </c>
      <c r="C8168" t="s">
        <v>34</v>
      </c>
      <c r="D8168">
        <v>12.7063881963466</v>
      </c>
      <c r="E8168">
        <v>3</v>
      </c>
      <c r="F8168">
        <v>1619</v>
      </c>
      <c r="G8168">
        <v>5</v>
      </c>
      <c r="H8168">
        <v>2</v>
      </c>
      <c r="I8168">
        <v>1973</v>
      </c>
      <c r="J8168">
        <v>0</v>
      </c>
      <c r="K8168">
        <v>0</v>
      </c>
      <c r="L8168">
        <v>1</v>
      </c>
      <c r="M8168">
        <v>4</v>
      </c>
      <c r="N8168" t="s">
        <v>37</v>
      </c>
      <c r="O8168" t="s">
        <v>27</v>
      </c>
      <c r="P8168">
        <v>14.514955738763399</v>
      </c>
      <c r="Q8168">
        <v>1.3081036883638599</v>
      </c>
      <c r="R8168">
        <v>7.6756628984646902</v>
      </c>
      <c r="S8168">
        <v>112</v>
      </c>
      <c r="T8168">
        <v>77</v>
      </c>
      <c r="U8168">
        <v>535.51573681955699</v>
      </c>
      <c r="V8168">
        <v>2.4706609017912202E-3</v>
      </c>
      <c r="W8168">
        <v>1203287.0443627301</v>
      </c>
      <c r="X8168" t="s">
        <v>36</v>
      </c>
      <c r="Y8168">
        <f>1-501-536-8134</f>
        <v>-9170</v>
      </c>
    </row>
    <row r="8169" spans="1:25" x14ac:dyDescent="0.35">
      <c r="A8169">
        <v>36.723640172721403</v>
      </c>
      <c r="B8169">
        <v>-119.63701711574301</v>
      </c>
      <c r="C8169" t="s">
        <v>25</v>
      </c>
      <c r="D8169">
        <v>44.072782990888101</v>
      </c>
      <c r="E8169">
        <v>1</v>
      </c>
      <c r="F8169">
        <v>3582</v>
      </c>
      <c r="G8169">
        <v>5</v>
      </c>
      <c r="H8169">
        <v>3</v>
      </c>
      <c r="I8169">
        <v>1981</v>
      </c>
      <c r="J8169">
        <v>1</v>
      </c>
      <c r="K8169">
        <v>0</v>
      </c>
      <c r="L8169">
        <v>0</v>
      </c>
      <c r="M8169">
        <v>8</v>
      </c>
      <c r="N8169" t="s">
        <v>37</v>
      </c>
      <c r="O8169" t="s">
        <v>32</v>
      </c>
      <c r="P8169">
        <v>7.8261448008767802</v>
      </c>
      <c r="Q8169">
        <v>0.85342878647102305</v>
      </c>
      <c r="R8169">
        <v>8.1960062636186706</v>
      </c>
      <c r="S8169">
        <v>2</v>
      </c>
      <c r="T8169">
        <v>37</v>
      </c>
      <c r="U8169">
        <v>908.97195333556294</v>
      </c>
      <c r="V8169">
        <v>2.2333891680625302E-3</v>
      </c>
      <c r="W8169">
        <v>3636989.2649166398</v>
      </c>
      <c r="X8169" t="s">
        <v>33</v>
      </c>
      <c r="Y8169">
        <f>1-315-206-4196</f>
        <v>-4716</v>
      </c>
    </row>
    <row r="8170" spans="1:25" x14ac:dyDescent="0.35">
      <c r="A8170">
        <v>36.318568596547003</v>
      </c>
      <c r="B8170">
        <v>-117.21972371957401</v>
      </c>
      <c r="C8170" t="s">
        <v>29</v>
      </c>
      <c r="D8170">
        <v>37.319836146263697</v>
      </c>
      <c r="E8170">
        <v>6</v>
      </c>
      <c r="F8170">
        <v>2752</v>
      </c>
      <c r="G8170">
        <v>5</v>
      </c>
      <c r="H8170">
        <v>1</v>
      </c>
      <c r="I8170">
        <v>1980</v>
      </c>
      <c r="J8170">
        <v>0</v>
      </c>
      <c r="K8170">
        <v>0</v>
      </c>
      <c r="L8170">
        <v>1</v>
      </c>
      <c r="M8170">
        <v>3</v>
      </c>
      <c r="N8170" t="s">
        <v>41</v>
      </c>
      <c r="O8170" t="s">
        <v>32</v>
      </c>
      <c r="P8170">
        <v>11.043023966779</v>
      </c>
      <c r="Q8170">
        <v>1.1994523299026201</v>
      </c>
      <c r="R8170">
        <v>3.8137249523490802</v>
      </c>
      <c r="S8170">
        <v>152</v>
      </c>
      <c r="T8170">
        <v>20</v>
      </c>
      <c r="U8170">
        <v>758.71354100293399</v>
      </c>
      <c r="V8170">
        <v>1.0901162790697601E-3</v>
      </c>
      <c r="W8170">
        <v>2431290.7850191998</v>
      </c>
      <c r="X8170" t="s">
        <v>40</v>
      </c>
      <c r="Y8170">
        <f>1-911-463-7673</f>
        <v>-9046</v>
      </c>
    </row>
    <row r="8171" spans="1:25" x14ac:dyDescent="0.35">
      <c r="A8171">
        <v>41.422800974795102</v>
      </c>
      <c r="B8171">
        <v>-123.26312979196101</v>
      </c>
      <c r="C8171" t="s">
        <v>34</v>
      </c>
      <c r="D8171">
        <v>42.095632108919602</v>
      </c>
      <c r="E8171">
        <v>9</v>
      </c>
      <c r="F8171">
        <v>1909</v>
      </c>
      <c r="G8171">
        <v>3</v>
      </c>
      <c r="H8171">
        <v>3</v>
      </c>
      <c r="I8171">
        <v>1965</v>
      </c>
      <c r="J8171">
        <v>0</v>
      </c>
      <c r="K8171">
        <v>1</v>
      </c>
      <c r="L8171">
        <v>1</v>
      </c>
      <c r="M8171">
        <v>6</v>
      </c>
      <c r="N8171" t="s">
        <v>41</v>
      </c>
      <c r="O8171" t="s">
        <v>30</v>
      </c>
      <c r="P8171">
        <v>7.1877940950574803</v>
      </c>
      <c r="Q8171">
        <v>0.92497957090835403</v>
      </c>
      <c r="R8171">
        <v>6.9911608881598797</v>
      </c>
      <c r="S8171">
        <v>109</v>
      </c>
      <c r="T8171">
        <v>61</v>
      </c>
      <c r="U8171">
        <v>943.14829098168696</v>
      </c>
      <c r="V8171">
        <v>3.1430068098480799E-3</v>
      </c>
      <c r="W8171">
        <v>2137924.6652967399</v>
      </c>
      <c r="X8171" t="s">
        <v>38</v>
      </c>
      <c r="Y8171">
        <f>1-772-285-4866</f>
        <v>-5922</v>
      </c>
    </row>
    <row r="8172" spans="1:25" x14ac:dyDescent="0.35">
      <c r="A8172">
        <v>38.708186016897898</v>
      </c>
      <c r="B8172">
        <v>-123.578354549445</v>
      </c>
      <c r="C8172" t="s">
        <v>25</v>
      </c>
      <c r="D8172">
        <v>23.670330066633799</v>
      </c>
      <c r="E8172">
        <v>7</v>
      </c>
      <c r="F8172">
        <v>2447</v>
      </c>
      <c r="G8172">
        <v>5</v>
      </c>
      <c r="H8172">
        <v>1</v>
      </c>
      <c r="I8172">
        <v>1964</v>
      </c>
      <c r="J8172">
        <v>1</v>
      </c>
      <c r="K8172">
        <v>0</v>
      </c>
      <c r="L8172">
        <v>0</v>
      </c>
      <c r="M8172">
        <v>7</v>
      </c>
      <c r="N8172" t="s">
        <v>26</v>
      </c>
      <c r="O8172" t="s">
        <v>30</v>
      </c>
      <c r="P8172">
        <v>13.9842353230645</v>
      </c>
      <c r="Q8172">
        <v>1.6678978503692401</v>
      </c>
      <c r="R8172">
        <v>3.7092391715169799</v>
      </c>
      <c r="S8172">
        <v>126</v>
      </c>
      <c r="T8172">
        <v>22</v>
      </c>
      <c r="U8172">
        <v>850.14516715573302</v>
      </c>
      <c r="V8172">
        <v>2.8606456885982802E-3</v>
      </c>
      <c r="W8172">
        <v>2378427.9474123302</v>
      </c>
      <c r="X8172" t="s">
        <v>40</v>
      </c>
      <c r="Y8172">
        <f>1-832-446-8617</f>
        <v>-9894</v>
      </c>
    </row>
    <row r="8173" spans="1:25" x14ac:dyDescent="0.35">
      <c r="A8173">
        <v>37.890292683877398</v>
      </c>
      <c r="B8173">
        <v>-116.444769583396</v>
      </c>
      <c r="C8173" t="s">
        <v>34</v>
      </c>
      <c r="D8173">
        <v>41.376429837876699</v>
      </c>
      <c r="E8173">
        <v>6</v>
      </c>
      <c r="F8173">
        <v>1125</v>
      </c>
      <c r="G8173">
        <v>4</v>
      </c>
      <c r="H8173">
        <v>1</v>
      </c>
      <c r="I8173">
        <v>1981</v>
      </c>
      <c r="J8173">
        <v>1</v>
      </c>
      <c r="K8173">
        <v>1</v>
      </c>
      <c r="L8173">
        <v>0</v>
      </c>
      <c r="M8173">
        <v>9</v>
      </c>
      <c r="N8173" t="s">
        <v>26</v>
      </c>
      <c r="O8173" t="s">
        <v>27</v>
      </c>
      <c r="P8173">
        <v>6.4896973064293899</v>
      </c>
      <c r="Q8173">
        <v>1.6613635126150901</v>
      </c>
      <c r="R8173">
        <v>4.7584911754694403E-3</v>
      </c>
      <c r="S8173">
        <v>41</v>
      </c>
      <c r="T8173">
        <v>25</v>
      </c>
      <c r="U8173">
        <v>349.49470166806998</v>
      </c>
      <c r="V8173">
        <v>8.0000000000000002E-3</v>
      </c>
      <c r="W8173">
        <v>713974.10591556702</v>
      </c>
      <c r="X8173" t="s">
        <v>31</v>
      </c>
      <c r="Y8173">
        <f>1-549-563-4244</f>
        <v>-5355</v>
      </c>
    </row>
    <row r="8174" spans="1:25" x14ac:dyDescent="0.35">
      <c r="A8174">
        <v>35.957707442504002</v>
      </c>
      <c r="B8174">
        <v>-117.296253327429</v>
      </c>
      <c r="C8174" t="s">
        <v>29</v>
      </c>
      <c r="D8174">
        <v>5.9885417359519799</v>
      </c>
      <c r="E8174">
        <v>0</v>
      </c>
      <c r="F8174">
        <v>822</v>
      </c>
      <c r="G8174">
        <v>4</v>
      </c>
      <c r="H8174">
        <v>3</v>
      </c>
      <c r="I8174">
        <v>2001</v>
      </c>
      <c r="J8174">
        <v>1</v>
      </c>
      <c r="K8174">
        <v>1</v>
      </c>
      <c r="L8174">
        <v>0</v>
      </c>
      <c r="M8174">
        <v>4</v>
      </c>
      <c r="N8174" t="s">
        <v>35</v>
      </c>
      <c r="O8174" t="s">
        <v>32</v>
      </c>
      <c r="P8174">
        <v>7.1404896236472304</v>
      </c>
      <c r="Q8174">
        <v>0.51261925118545504</v>
      </c>
      <c r="R8174">
        <v>1.31169396736238</v>
      </c>
      <c r="S8174">
        <v>188</v>
      </c>
      <c r="T8174">
        <v>59</v>
      </c>
      <c r="U8174">
        <v>878.34289012006798</v>
      </c>
      <c r="V8174">
        <v>4.8661800486617997E-3</v>
      </c>
      <c r="W8174">
        <v>1122359.2450715799</v>
      </c>
      <c r="X8174" t="s">
        <v>31</v>
      </c>
      <c r="Y8174">
        <f>1-638-199-4230</f>
        <v>-5066</v>
      </c>
    </row>
    <row r="8175" spans="1:25" x14ac:dyDescent="0.35">
      <c r="A8175">
        <v>33.635102236581403</v>
      </c>
      <c r="B8175">
        <v>-120.48425819627801</v>
      </c>
      <c r="C8175" t="s">
        <v>34</v>
      </c>
      <c r="D8175">
        <v>6.6397017143486998</v>
      </c>
      <c r="E8175">
        <v>7</v>
      </c>
      <c r="F8175">
        <v>4394</v>
      </c>
      <c r="G8175">
        <v>1</v>
      </c>
      <c r="H8175">
        <v>3</v>
      </c>
      <c r="I8175">
        <v>1960</v>
      </c>
      <c r="J8175">
        <v>0</v>
      </c>
      <c r="K8175">
        <v>1</v>
      </c>
      <c r="L8175">
        <v>1</v>
      </c>
      <c r="M8175">
        <v>3</v>
      </c>
      <c r="N8175" t="s">
        <v>26</v>
      </c>
      <c r="O8175" t="s">
        <v>32</v>
      </c>
      <c r="P8175">
        <v>3.1177843320024601</v>
      </c>
      <c r="Q8175">
        <v>2.0699797539121101</v>
      </c>
      <c r="R8175">
        <v>1.28155008157084</v>
      </c>
      <c r="S8175">
        <v>28</v>
      </c>
      <c r="T8175">
        <v>69</v>
      </c>
      <c r="U8175">
        <v>227.505700177233</v>
      </c>
      <c r="V8175">
        <v>6.8274920345926199E-4</v>
      </c>
      <c r="W8175">
        <v>1199639.7127998101</v>
      </c>
      <c r="X8175" t="s">
        <v>31</v>
      </c>
      <c r="Y8175">
        <f>1-304-540-8410</f>
        <v>-9253</v>
      </c>
    </row>
    <row r="8176" spans="1:25" x14ac:dyDescent="0.35">
      <c r="A8176">
        <v>39.012642405512302</v>
      </c>
      <c r="B8176">
        <v>-121.531969416377</v>
      </c>
      <c r="C8176" t="s">
        <v>29</v>
      </c>
      <c r="D8176">
        <v>49.546204505805399</v>
      </c>
      <c r="E8176">
        <v>0</v>
      </c>
      <c r="F8176">
        <v>3788</v>
      </c>
      <c r="G8176">
        <v>5</v>
      </c>
      <c r="H8176">
        <v>1</v>
      </c>
      <c r="I8176">
        <v>2020</v>
      </c>
      <c r="J8176">
        <v>0</v>
      </c>
      <c r="K8176">
        <v>0</v>
      </c>
      <c r="L8176">
        <v>1</v>
      </c>
      <c r="M8176">
        <v>12</v>
      </c>
      <c r="N8176" t="s">
        <v>35</v>
      </c>
      <c r="O8176" t="s">
        <v>30</v>
      </c>
      <c r="P8176">
        <v>2.9562476419114301</v>
      </c>
      <c r="Q8176">
        <v>1.8854878406615601</v>
      </c>
      <c r="R8176">
        <v>4.3256907593454299</v>
      </c>
      <c r="S8176">
        <v>89</v>
      </c>
      <c r="T8176">
        <v>52</v>
      </c>
      <c r="U8176">
        <v>913.70317588517003</v>
      </c>
      <c r="V8176">
        <v>3.1678986272439202E-3</v>
      </c>
      <c r="W8176">
        <v>3726233.08717479</v>
      </c>
      <c r="X8176" t="s">
        <v>39</v>
      </c>
      <c r="Y8176">
        <f>1-856-536-5982</f>
        <v>-7373</v>
      </c>
    </row>
    <row r="8177" spans="1:25" x14ac:dyDescent="0.35">
      <c r="A8177">
        <v>41.735594136574598</v>
      </c>
      <c r="B8177">
        <v>-121.49323819169901</v>
      </c>
      <c r="C8177" t="s">
        <v>25</v>
      </c>
      <c r="D8177">
        <v>10.345948000464601</v>
      </c>
      <c r="E8177">
        <v>7</v>
      </c>
      <c r="F8177">
        <v>523</v>
      </c>
      <c r="G8177">
        <v>4</v>
      </c>
      <c r="H8177">
        <v>1</v>
      </c>
      <c r="I8177">
        <v>1982</v>
      </c>
      <c r="J8177">
        <v>1</v>
      </c>
      <c r="K8177">
        <v>1</v>
      </c>
      <c r="L8177">
        <v>0</v>
      </c>
      <c r="M8177">
        <v>6</v>
      </c>
      <c r="N8177" t="s">
        <v>37</v>
      </c>
      <c r="O8177" t="s">
        <v>30</v>
      </c>
      <c r="P8177">
        <v>3.7953595069376198</v>
      </c>
      <c r="Q8177">
        <v>2.3436393549004899</v>
      </c>
      <c r="R8177">
        <v>4.2274295562648598</v>
      </c>
      <c r="S8177">
        <v>91</v>
      </c>
      <c r="T8177">
        <v>25</v>
      </c>
      <c r="U8177">
        <v>749.11163923325296</v>
      </c>
      <c r="V8177">
        <v>1.1472275334608E-2</v>
      </c>
      <c r="W8177">
        <v>705128.23344203597</v>
      </c>
      <c r="X8177" t="s">
        <v>39</v>
      </c>
      <c r="Y8177">
        <f>1-957-532-9642</f>
        <v>-11130</v>
      </c>
    </row>
    <row r="8178" spans="1:25" x14ac:dyDescent="0.35">
      <c r="A8178">
        <v>40.476842398022498</v>
      </c>
      <c r="B8178">
        <v>-121.63153453413</v>
      </c>
      <c r="C8178" t="s">
        <v>34</v>
      </c>
      <c r="D8178">
        <v>40.2557112949846</v>
      </c>
      <c r="E8178">
        <v>0</v>
      </c>
      <c r="F8178">
        <v>1968</v>
      </c>
      <c r="G8178">
        <v>5</v>
      </c>
      <c r="H8178">
        <v>1</v>
      </c>
      <c r="I8178">
        <v>1981</v>
      </c>
      <c r="J8178">
        <v>1</v>
      </c>
      <c r="K8178">
        <v>1</v>
      </c>
      <c r="L8178">
        <v>0</v>
      </c>
      <c r="M8178">
        <v>12</v>
      </c>
      <c r="N8178" t="s">
        <v>41</v>
      </c>
      <c r="O8178" t="s">
        <v>32</v>
      </c>
      <c r="P8178">
        <v>8.8231319832318906</v>
      </c>
      <c r="Q8178">
        <v>1.6424054761618501</v>
      </c>
      <c r="R8178">
        <v>5.7012121238995901</v>
      </c>
      <c r="S8178">
        <v>71</v>
      </c>
      <c r="T8178">
        <v>71</v>
      </c>
      <c r="U8178">
        <v>454.63554282487797</v>
      </c>
      <c r="V8178">
        <v>6.0975609756097502E-3</v>
      </c>
      <c r="W8178">
        <v>1252651.0606955399</v>
      </c>
      <c r="X8178" t="s">
        <v>43</v>
      </c>
      <c r="Y8178">
        <f>1-619-793-8338</f>
        <v>-9749</v>
      </c>
    </row>
    <row r="8179" spans="1:25" x14ac:dyDescent="0.35">
      <c r="A8179">
        <v>36.182678348780897</v>
      </c>
      <c r="B8179">
        <v>-118.529689242918</v>
      </c>
      <c r="C8179" t="s">
        <v>25</v>
      </c>
      <c r="D8179">
        <v>18.1988822883762</v>
      </c>
      <c r="E8179">
        <v>8</v>
      </c>
      <c r="F8179">
        <v>1610</v>
      </c>
      <c r="G8179">
        <v>2</v>
      </c>
      <c r="H8179">
        <v>3</v>
      </c>
      <c r="I8179">
        <v>1978</v>
      </c>
      <c r="J8179">
        <v>1</v>
      </c>
      <c r="K8179">
        <v>1</v>
      </c>
      <c r="L8179">
        <v>0</v>
      </c>
      <c r="M8179">
        <v>14</v>
      </c>
      <c r="N8179" t="s">
        <v>26</v>
      </c>
      <c r="O8179" t="s">
        <v>27</v>
      </c>
      <c r="P8179">
        <v>6.8970113056234501</v>
      </c>
      <c r="Q8179">
        <v>1.1687605736078499</v>
      </c>
      <c r="R8179">
        <v>2.0218833297541701</v>
      </c>
      <c r="S8179">
        <v>102</v>
      </c>
      <c r="T8179">
        <v>40</v>
      </c>
      <c r="U8179">
        <v>381.99871927453802</v>
      </c>
      <c r="V8179">
        <v>8.6956521739130401E-3</v>
      </c>
      <c r="W8179">
        <v>926100.74297218001</v>
      </c>
      <c r="X8179" t="s">
        <v>43</v>
      </c>
      <c r="Y8179">
        <f>1-899-604-2565</f>
        <v>-4067</v>
      </c>
    </row>
    <row r="8180" spans="1:25" x14ac:dyDescent="0.35">
      <c r="A8180">
        <v>35.656054124307403</v>
      </c>
      <c r="B8180">
        <v>-118.380247239233</v>
      </c>
      <c r="C8180" t="s">
        <v>34</v>
      </c>
      <c r="D8180">
        <v>49.785843461067202</v>
      </c>
      <c r="E8180">
        <v>0</v>
      </c>
      <c r="F8180">
        <v>4318</v>
      </c>
      <c r="G8180">
        <v>4</v>
      </c>
      <c r="H8180">
        <v>1</v>
      </c>
      <c r="I8180">
        <v>2012</v>
      </c>
      <c r="J8180">
        <v>0</v>
      </c>
      <c r="K8180">
        <v>0</v>
      </c>
      <c r="L8180">
        <v>1</v>
      </c>
      <c r="M8180">
        <v>7</v>
      </c>
      <c r="N8180" t="s">
        <v>26</v>
      </c>
      <c r="O8180" t="s">
        <v>30</v>
      </c>
      <c r="P8180">
        <v>11.694091362387599</v>
      </c>
      <c r="Q8180">
        <v>0.89142656249196095</v>
      </c>
      <c r="R8180">
        <v>2.69557380180072</v>
      </c>
      <c r="S8180">
        <v>45</v>
      </c>
      <c r="T8180">
        <v>30</v>
      </c>
      <c r="U8180">
        <v>267.16910041830801</v>
      </c>
      <c r="V8180">
        <v>1.6211208893005999E-3</v>
      </c>
      <c r="W8180">
        <v>1509131.89507487</v>
      </c>
      <c r="X8180" t="s">
        <v>42</v>
      </c>
      <c r="Y8180">
        <f>1-594-934-5654</f>
        <v>-7181</v>
      </c>
    </row>
    <row r="8181" spans="1:25" x14ac:dyDescent="0.35">
      <c r="A8181">
        <v>39.374256099901203</v>
      </c>
      <c r="B8181">
        <v>-121.49216686630599</v>
      </c>
      <c r="C8181" t="s">
        <v>25</v>
      </c>
      <c r="D8181">
        <v>31.2742787051261</v>
      </c>
      <c r="E8181">
        <v>1</v>
      </c>
      <c r="F8181">
        <v>1114</v>
      </c>
      <c r="G8181">
        <v>3</v>
      </c>
      <c r="H8181">
        <v>3</v>
      </c>
      <c r="I8181">
        <v>1995</v>
      </c>
      <c r="J8181">
        <v>0</v>
      </c>
      <c r="K8181">
        <v>0</v>
      </c>
      <c r="L8181">
        <v>0</v>
      </c>
      <c r="M8181">
        <v>2</v>
      </c>
      <c r="N8181" t="s">
        <v>37</v>
      </c>
      <c r="O8181" t="s">
        <v>30</v>
      </c>
      <c r="P8181">
        <v>10.772502407882399</v>
      </c>
      <c r="Q8181">
        <v>2.1973388215288301</v>
      </c>
      <c r="R8181">
        <v>3.50740118153518</v>
      </c>
      <c r="S8181">
        <v>80</v>
      </c>
      <c r="T8181">
        <v>32</v>
      </c>
      <c r="U8181">
        <v>518.47849332672195</v>
      </c>
      <c r="V8181">
        <v>1.79533213644524E-3</v>
      </c>
      <c r="W8181">
        <v>815681.66028265597</v>
      </c>
      <c r="X8181" t="s">
        <v>44</v>
      </c>
      <c r="Y8181">
        <f>1-310-847-7963</f>
        <v>-9119</v>
      </c>
    </row>
    <row r="8182" spans="1:25" x14ac:dyDescent="0.35">
      <c r="A8182">
        <v>36.012472498477202</v>
      </c>
      <c r="B8182">
        <v>-114.87154574972099</v>
      </c>
      <c r="C8182" t="s">
        <v>25</v>
      </c>
      <c r="D8182">
        <v>41.730641327928097</v>
      </c>
      <c r="E8182">
        <v>1</v>
      </c>
      <c r="F8182">
        <v>3310</v>
      </c>
      <c r="G8182">
        <v>3</v>
      </c>
      <c r="H8182">
        <v>3</v>
      </c>
      <c r="I8182">
        <v>1953</v>
      </c>
      <c r="J8182">
        <v>1</v>
      </c>
      <c r="K8182">
        <v>0</v>
      </c>
      <c r="L8182">
        <v>1</v>
      </c>
      <c r="M8182">
        <v>9</v>
      </c>
      <c r="N8182" t="s">
        <v>41</v>
      </c>
      <c r="O8182" t="s">
        <v>32</v>
      </c>
      <c r="P8182">
        <v>6.3805263867217299</v>
      </c>
      <c r="Q8182">
        <v>0.77163703489725199</v>
      </c>
      <c r="R8182">
        <v>1.0027491583100201</v>
      </c>
      <c r="S8182">
        <v>143</v>
      </c>
      <c r="T8182">
        <v>23</v>
      </c>
      <c r="U8182">
        <v>215.136435572425</v>
      </c>
      <c r="V8182">
        <v>2.7190332326283901E-3</v>
      </c>
      <c r="W8182">
        <v>931997.65859816701</v>
      </c>
      <c r="X8182" t="s">
        <v>43</v>
      </c>
      <c r="Y8182">
        <f>1-728-662-8553</f>
        <v>-9942</v>
      </c>
    </row>
    <row r="8183" spans="1:25" x14ac:dyDescent="0.35">
      <c r="A8183">
        <v>39.269512328212699</v>
      </c>
      <c r="B8183">
        <v>-121.114579676174</v>
      </c>
      <c r="C8183" t="s">
        <v>29</v>
      </c>
      <c r="D8183">
        <v>29.4736819782532</v>
      </c>
      <c r="E8183">
        <v>0</v>
      </c>
      <c r="F8183">
        <v>2023</v>
      </c>
      <c r="G8183">
        <v>2</v>
      </c>
      <c r="H8183">
        <v>3</v>
      </c>
      <c r="I8183">
        <v>1977</v>
      </c>
      <c r="J8183">
        <v>0</v>
      </c>
      <c r="K8183">
        <v>0</v>
      </c>
      <c r="L8183">
        <v>0</v>
      </c>
      <c r="M8183">
        <v>3</v>
      </c>
      <c r="N8183" t="s">
        <v>41</v>
      </c>
      <c r="O8183" t="s">
        <v>27</v>
      </c>
      <c r="P8183">
        <v>11.9720252440321</v>
      </c>
      <c r="Q8183">
        <v>0.67324602361325203</v>
      </c>
      <c r="R8183">
        <v>0.72462481993066197</v>
      </c>
      <c r="S8183">
        <v>60</v>
      </c>
      <c r="T8183">
        <v>34</v>
      </c>
      <c r="U8183">
        <v>723.92612496275797</v>
      </c>
      <c r="V8183">
        <v>1.48294611962432E-3</v>
      </c>
      <c r="W8183">
        <v>1698399.0724040901</v>
      </c>
      <c r="X8183" t="s">
        <v>42</v>
      </c>
      <c r="Y8183">
        <f>1-914-577-3887</f>
        <v>-5377</v>
      </c>
    </row>
    <row r="8184" spans="1:25" x14ac:dyDescent="0.35">
      <c r="A8184">
        <v>41.878573097237002</v>
      </c>
      <c r="B8184">
        <v>-123.449709521931</v>
      </c>
      <c r="C8184" t="s">
        <v>29</v>
      </c>
      <c r="D8184">
        <v>18.407297270163401</v>
      </c>
      <c r="E8184">
        <v>5</v>
      </c>
      <c r="F8184">
        <v>4472</v>
      </c>
      <c r="G8184">
        <v>1</v>
      </c>
      <c r="H8184">
        <v>2</v>
      </c>
      <c r="I8184">
        <v>1996</v>
      </c>
      <c r="J8184">
        <v>0</v>
      </c>
      <c r="K8184">
        <v>1</v>
      </c>
      <c r="L8184">
        <v>1</v>
      </c>
      <c r="M8184">
        <v>9</v>
      </c>
      <c r="N8184" t="s">
        <v>26</v>
      </c>
      <c r="O8184" t="s">
        <v>30</v>
      </c>
      <c r="P8184">
        <v>3.7432505995591701</v>
      </c>
      <c r="Q8184">
        <v>1.2648086677822701</v>
      </c>
      <c r="R8184">
        <v>2.0597228905238998</v>
      </c>
      <c r="S8184">
        <v>0</v>
      </c>
      <c r="T8184">
        <v>40</v>
      </c>
      <c r="U8184">
        <v>651.06772587290902</v>
      </c>
      <c r="V8184">
        <v>2.01252236135957E-3</v>
      </c>
      <c r="W8184">
        <v>3008762.5056421398</v>
      </c>
      <c r="X8184" t="s">
        <v>31</v>
      </c>
      <c r="Y8184">
        <f>1-852-835-8599</f>
        <v>-10285</v>
      </c>
    </row>
    <row r="8185" spans="1:25" x14ac:dyDescent="0.35">
      <c r="A8185">
        <v>34.739470441879497</v>
      </c>
      <c r="B8185">
        <v>-121.130310786854</v>
      </c>
      <c r="C8185" t="s">
        <v>25</v>
      </c>
      <c r="D8185">
        <v>1.66528443231949</v>
      </c>
      <c r="E8185">
        <v>3</v>
      </c>
      <c r="F8185">
        <v>1257</v>
      </c>
      <c r="G8185">
        <v>2</v>
      </c>
      <c r="H8185">
        <v>1</v>
      </c>
      <c r="I8185">
        <v>1985</v>
      </c>
      <c r="J8185">
        <v>1</v>
      </c>
      <c r="K8185">
        <v>1</v>
      </c>
      <c r="L8185">
        <v>1</v>
      </c>
      <c r="M8185">
        <v>11</v>
      </c>
      <c r="N8185" t="s">
        <v>41</v>
      </c>
      <c r="O8185" t="s">
        <v>32</v>
      </c>
      <c r="P8185">
        <v>13.191879925809401</v>
      </c>
      <c r="Q8185">
        <v>2.10112753983634</v>
      </c>
      <c r="R8185">
        <v>4.2243571580598198</v>
      </c>
      <c r="S8185">
        <v>122</v>
      </c>
      <c r="T8185">
        <v>23</v>
      </c>
      <c r="U8185">
        <v>491.30427434769098</v>
      </c>
      <c r="V8185">
        <v>8.7509944311853598E-3</v>
      </c>
      <c r="W8185">
        <v>990688.61988665897</v>
      </c>
      <c r="X8185" t="s">
        <v>28</v>
      </c>
      <c r="Y8185">
        <f>1-823-879-4928</f>
        <v>-6629</v>
      </c>
    </row>
    <row r="8186" spans="1:25" x14ac:dyDescent="0.35">
      <c r="A8186">
        <v>41.446066347865703</v>
      </c>
      <c r="B8186">
        <v>-116.59636317185701</v>
      </c>
      <c r="C8186" t="s">
        <v>34</v>
      </c>
      <c r="D8186">
        <v>32.027928933453502</v>
      </c>
      <c r="E8186">
        <v>4</v>
      </c>
      <c r="F8186">
        <v>3905</v>
      </c>
      <c r="G8186">
        <v>2</v>
      </c>
      <c r="H8186">
        <v>3</v>
      </c>
      <c r="I8186">
        <v>2017</v>
      </c>
      <c r="J8186">
        <v>1</v>
      </c>
      <c r="K8186">
        <v>1</v>
      </c>
      <c r="L8186">
        <v>0</v>
      </c>
      <c r="M8186">
        <v>7</v>
      </c>
      <c r="N8186" t="s">
        <v>37</v>
      </c>
      <c r="O8186" t="s">
        <v>32</v>
      </c>
      <c r="P8186">
        <v>4.6518922264629197</v>
      </c>
      <c r="Q8186">
        <v>0.797567957123275</v>
      </c>
      <c r="R8186">
        <v>8.3318737378609296</v>
      </c>
      <c r="S8186">
        <v>178</v>
      </c>
      <c r="T8186">
        <v>72</v>
      </c>
      <c r="U8186">
        <v>934.89826515096297</v>
      </c>
      <c r="V8186">
        <v>1.79257362355953E-3</v>
      </c>
      <c r="W8186">
        <v>3911296.8674202398</v>
      </c>
      <c r="X8186" t="s">
        <v>28</v>
      </c>
      <c r="Y8186">
        <f>1-892-341-2077</f>
        <v>-3309</v>
      </c>
    </row>
    <row r="8187" spans="1:25" x14ac:dyDescent="0.35">
      <c r="A8187">
        <v>35.714068919726301</v>
      </c>
      <c r="B8187">
        <v>-114.85336060029</v>
      </c>
      <c r="C8187" t="s">
        <v>25</v>
      </c>
      <c r="D8187">
        <v>1.39583679075523</v>
      </c>
      <c r="E8187">
        <v>2</v>
      </c>
      <c r="F8187">
        <v>3202</v>
      </c>
      <c r="G8187">
        <v>3</v>
      </c>
      <c r="H8187">
        <v>2</v>
      </c>
      <c r="I8187">
        <v>1959</v>
      </c>
      <c r="J8187">
        <v>0</v>
      </c>
      <c r="K8187">
        <v>1</v>
      </c>
      <c r="L8187">
        <v>0</v>
      </c>
      <c r="M8187">
        <v>12</v>
      </c>
      <c r="N8187" t="s">
        <v>35</v>
      </c>
      <c r="O8187" t="s">
        <v>27</v>
      </c>
      <c r="P8187">
        <v>4.0012683571623997</v>
      </c>
      <c r="Q8187">
        <v>0.90094308636046505</v>
      </c>
      <c r="R8187">
        <v>3.9607459072306299</v>
      </c>
      <c r="S8187">
        <v>137</v>
      </c>
      <c r="T8187">
        <v>20</v>
      </c>
      <c r="U8187">
        <v>368.33275809088201</v>
      </c>
      <c r="V8187">
        <v>3.7476577139287899E-3</v>
      </c>
      <c r="W8187">
        <v>1427093.19761582</v>
      </c>
      <c r="X8187" t="s">
        <v>33</v>
      </c>
      <c r="Y8187">
        <f>1-316-767-1895</f>
        <v>-2977</v>
      </c>
    </row>
    <row r="8188" spans="1:25" x14ac:dyDescent="0.35">
      <c r="A8188">
        <v>41.861748358123897</v>
      </c>
      <c r="B8188">
        <v>-117.70305057662399</v>
      </c>
      <c r="C8188" t="s">
        <v>25</v>
      </c>
      <c r="D8188">
        <v>14.7105886354079</v>
      </c>
      <c r="E8188">
        <v>2</v>
      </c>
      <c r="F8188">
        <v>1485</v>
      </c>
      <c r="G8188">
        <v>5</v>
      </c>
      <c r="H8188">
        <v>1</v>
      </c>
      <c r="I8188">
        <v>2013</v>
      </c>
      <c r="J8188">
        <v>0</v>
      </c>
      <c r="K8188">
        <v>1</v>
      </c>
      <c r="L8188">
        <v>1</v>
      </c>
      <c r="M8188">
        <v>13</v>
      </c>
      <c r="N8188" t="s">
        <v>41</v>
      </c>
      <c r="O8188" t="s">
        <v>32</v>
      </c>
      <c r="P8188">
        <v>11.9975685779822</v>
      </c>
      <c r="Q8188">
        <v>2.1321333955545101</v>
      </c>
      <c r="R8188">
        <v>6.5434873309206303</v>
      </c>
      <c r="S8188">
        <v>50</v>
      </c>
      <c r="T8188">
        <v>57</v>
      </c>
      <c r="U8188">
        <v>408.868244554309</v>
      </c>
      <c r="V8188">
        <v>8.7542087542087504E-3</v>
      </c>
      <c r="W8188">
        <v>1061005.85687988</v>
      </c>
      <c r="X8188" t="s">
        <v>44</v>
      </c>
      <c r="Y8188">
        <f>1-560-961-4021</f>
        <v>-5541</v>
      </c>
    </row>
    <row r="8189" spans="1:25" x14ac:dyDescent="0.35">
      <c r="A8189">
        <v>39.119100310658602</v>
      </c>
      <c r="B8189">
        <v>-120.72675429206301</v>
      </c>
      <c r="C8189" t="s">
        <v>34</v>
      </c>
      <c r="D8189">
        <v>15.597846695891</v>
      </c>
      <c r="E8189">
        <v>1</v>
      </c>
      <c r="F8189">
        <v>3583</v>
      </c>
      <c r="G8189">
        <v>1</v>
      </c>
      <c r="H8189">
        <v>3</v>
      </c>
      <c r="I8189">
        <v>1963</v>
      </c>
      <c r="J8189">
        <v>0</v>
      </c>
      <c r="K8189">
        <v>0</v>
      </c>
      <c r="L8189">
        <v>1</v>
      </c>
      <c r="M8189">
        <v>12</v>
      </c>
      <c r="N8189" t="s">
        <v>41</v>
      </c>
      <c r="O8189" t="s">
        <v>27</v>
      </c>
      <c r="P8189">
        <v>6.5019743761821198</v>
      </c>
      <c r="Q8189">
        <v>0.98007756829567005</v>
      </c>
      <c r="R8189">
        <v>7.5154821117725499</v>
      </c>
      <c r="S8189">
        <v>109</v>
      </c>
      <c r="T8189">
        <v>24</v>
      </c>
      <c r="U8189">
        <v>792.41791996310894</v>
      </c>
      <c r="V8189">
        <v>3.349148758024E-3</v>
      </c>
      <c r="W8189">
        <v>2923032.7260775198</v>
      </c>
      <c r="X8189" t="s">
        <v>38</v>
      </c>
      <c r="Y8189">
        <f>1-914-839-1532</f>
        <v>-3284</v>
      </c>
    </row>
    <row r="8190" spans="1:25" x14ac:dyDescent="0.35">
      <c r="A8190">
        <v>38.136909438760298</v>
      </c>
      <c r="B8190">
        <v>-115.332361837077</v>
      </c>
      <c r="C8190" t="s">
        <v>34</v>
      </c>
      <c r="D8190">
        <v>1.5318079109096101</v>
      </c>
      <c r="E8190">
        <v>5</v>
      </c>
      <c r="F8190">
        <v>662</v>
      </c>
      <c r="G8190">
        <v>2</v>
      </c>
      <c r="H8190">
        <v>3</v>
      </c>
      <c r="I8190">
        <v>2000</v>
      </c>
      <c r="J8190">
        <v>0</v>
      </c>
      <c r="K8190">
        <v>0</v>
      </c>
      <c r="L8190">
        <v>0</v>
      </c>
      <c r="M8190">
        <v>3</v>
      </c>
      <c r="N8190" t="s">
        <v>41</v>
      </c>
      <c r="O8190" t="s">
        <v>32</v>
      </c>
      <c r="P8190">
        <v>7.8367812865795896</v>
      </c>
      <c r="Q8190">
        <v>1.23458970259761</v>
      </c>
      <c r="R8190">
        <v>3.4652074535158999</v>
      </c>
      <c r="S8190">
        <v>4</v>
      </c>
      <c r="T8190">
        <v>51</v>
      </c>
      <c r="U8190">
        <v>839.81640175481095</v>
      </c>
      <c r="V8190">
        <v>4.5317220543806599E-3</v>
      </c>
      <c r="W8190">
        <v>757661.07509546296</v>
      </c>
      <c r="X8190" t="s">
        <v>39</v>
      </c>
      <c r="Y8190">
        <f>1-870-673-2907</f>
        <v>-4449</v>
      </c>
    </row>
    <row r="8191" spans="1:25" x14ac:dyDescent="0.35">
      <c r="A8191">
        <v>39.408600146903098</v>
      </c>
      <c r="B8191">
        <v>-120.548646016736</v>
      </c>
      <c r="C8191" t="s">
        <v>25</v>
      </c>
      <c r="D8191">
        <v>22.7481218262492</v>
      </c>
      <c r="E8191">
        <v>5</v>
      </c>
      <c r="F8191">
        <v>3391</v>
      </c>
      <c r="G8191">
        <v>5</v>
      </c>
      <c r="H8191">
        <v>3</v>
      </c>
      <c r="I8191">
        <v>2022</v>
      </c>
      <c r="J8191">
        <v>1</v>
      </c>
      <c r="K8191">
        <v>1</v>
      </c>
      <c r="L8191">
        <v>1</v>
      </c>
      <c r="M8191">
        <v>9</v>
      </c>
      <c r="N8191" t="s">
        <v>26</v>
      </c>
      <c r="O8191" t="s">
        <v>32</v>
      </c>
      <c r="P8191">
        <v>7.0000501525654899</v>
      </c>
      <c r="Q8191">
        <v>2.0416563581898499</v>
      </c>
      <c r="R8191">
        <v>2.5877882381881401</v>
      </c>
      <c r="S8191">
        <v>6</v>
      </c>
      <c r="T8191">
        <v>74</v>
      </c>
      <c r="U8191">
        <v>757.09163456797296</v>
      </c>
      <c r="V8191">
        <v>2.6540843409023798E-3</v>
      </c>
      <c r="W8191">
        <v>3115438.1821900499</v>
      </c>
      <c r="X8191" t="s">
        <v>28</v>
      </c>
      <c r="Y8191">
        <f>1-410-973-5211</f>
        <v>-6593</v>
      </c>
    </row>
    <row r="8192" spans="1:25" x14ac:dyDescent="0.35">
      <c r="A8192">
        <v>36.644835191416398</v>
      </c>
      <c r="B8192">
        <v>-115.280010486793</v>
      </c>
      <c r="C8192" t="s">
        <v>29</v>
      </c>
      <c r="D8192">
        <v>14.152836145657901</v>
      </c>
      <c r="E8192">
        <v>3</v>
      </c>
      <c r="F8192">
        <v>1623</v>
      </c>
      <c r="G8192">
        <v>3</v>
      </c>
      <c r="H8192">
        <v>2</v>
      </c>
      <c r="I8192">
        <v>1971</v>
      </c>
      <c r="J8192">
        <v>0</v>
      </c>
      <c r="K8192">
        <v>0</v>
      </c>
      <c r="L8192">
        <v>1</v>
      </c>
      <c r="M8192">
        <v>5</v>
      </c>
      <c r="N8192" t="s">
        <v>41</v>
      </c>
      <c r="O8192" t="s">
        <v>30</v>
      </c>
      <c r="P8192">
        <v>11.512029617784901</v>
      </c>
      <c r="Q8192">
        <v>2.2052044561407498</v>
      </c>
      <c r="R8192">
        <v>8.8289317636559801</v>
      </c>
      <c r="S8192">
        <v>141</v>
      </c>
      <c r="T8192">
        <v>53</v>
      </c>
      <c r="U8192">
        <v>443.88706683523202</v>
      </c>
      <c r="V8192">
        <v>3.0807147258163801E-3</v>
      </c>
      <c r="W8192">
        <v>1045325.63302073</v>
      </c>
      <c r="X8192" t="s">
        <v>40</v>
      </c>
      <c r="Y8192">
        <f>1-699-289-9594</f>
        <v>-10581</v>
      </c>
    </row>
    <row r="8193" spans="1:25" x14ac:dyDescent="0.35">
      <c r="A8193">
        <v>32.6023204655745</v>
      </c>
      <c r="B8193">
        <v>-122.953913329253</v>
      </c>
      <c r="C8193" t="s">
        <v>25</v>
      </c>
      <c r="D8193">
        <v>41.568606817804699</v>
      </c>
      <c r="E8193">
        <v>6</v>
      </c>
      <c r="F8193">
        <v>3477</v>
      </c>
      <c r="G8193">
        <v>2</v>
      </c>
      <c r="H8193">
        <v>2</v>
      </c>
      <c r="I8193">
        <v>1968</v>
      </c>
      <c r="J8193">
        <v>1</v>
      </c>
      <c r="K8193">
        <v>0</v>
      </c>
      <c r="L8193">
        <v>1</v>
      </c>
      <c r="M8193">
        <v>5</v>
      </c>
      <c r="N8193" t="s">
        <v>37</v>
      </c>
      <c r="O8193" t="s">
        <v>32</v>
      </c>
      <c r="P8193">
        <v>8.7567528356932804</v>
      </c>
      <c r="Q8193">
        <v>0.56666144901063598</v>
      </c>
      <c r="R8193">
        <v>1.5104224607583601</v>
      </c>
      <c r="S8193">
        <v>146</v>
      </c>
      <c r="T8193">
        <v>43</v>
      </c>
      <c r="U8193">
        <v>498.714878195898</v>
      </c>
      <c r="V8193">
        <v>1.4380212827149799E-3</v>
      </c>
      <c r="W8193">
        <v>1985880.1237566101</v>
      </c>
      <c r="X8193" t="s">
        <v>31</v>
      </c>
      <c r="Y8193">
        <f>1-736-918-8458</f>
        <v>-10111</v>
      </c>
    </row>
    <row r="8194" spans="1:25" x14ac:dyDescent="0.35">
      <c r="A8194">
        <v>39.394142221812601</v>
      </c>
      <c r="B8194">
        <v>-121.986497970627</v>
      </c>
      <c r="C8194" t="s">
        <v>29</v>
      </c>
      <c r="D8194">
        <v>33.101376395569297</v>
      </c>
      <c r="E8194">
        <v>5</v>
      </c>
      <c r="F8194">
        <v>603</v>
      </c>
      <c r="G8194">
        <v>3</v>
      </c>
      <c r="H8194">
        <v>2</v>
      </c>
      <c r="I8194">
        <v>1991</v>
      </c>
      <c r="J8194">
        <v>1</v>
      </c>
      <c r="K8194">
        <v>1</v>
      </c>
      <c r="L8194">
        <v>0</v>
      </c>
      <c r="M8194">
        <v>9</v>
      </c>
      <c r="N8194" t="s">
        <v>35</v>
      </c>
      <c r="O8194" t="s">
        <v>32</v>
      </c>
      <c r="P8194">
        <v>11.2525269494926</v>
      </c>
      <c r="Q8194">
        <v>2.48911296827416</v>
      </c>
      <c r="R8194">
        <v>6.4182785472113899</v>
      </c>
      <c r="S8194">
        <v>141</v>
      </c>
      <c r="T8194">
        <v>59</v>
      </c>
      <c r="U8194">
        <v>895.76127495777598</v>
      </c>
      <c r="V8194">
        <v>1.4925373134328301E-2</v>
      </c>
      <c r="W8194">
        <v>936895.03281964001</v>
      </c>
      <c r="X8194" t="s">
        <v>38</v>
      </c>
      <c r="Y8194">
        <f>1-768-105-4264</f>
        <v>-5136</v>
      </c>
    </row>
    <row r="8195" spans="1:25" x14ac:dyDescent="0.35">
      <c r="A8195">
        <v>39.730588335042903</v>
      </c>
      <c r="B8195">
        <v>-121.065952571455</v>
      </c>
      <c r="C8195" t="s">
        <v>25</v>
      </c>
      <c r="D8195">
        <v>30.719174397175099</v>
      </c>
      <c r="E8195">
        <v>7</v>
      </c>
      <c r="F8195">
        <v>2413</v>
      </c>
      <c r="G8195">
        <v>3</v>
      </c>
      <c r="H8195">
        <v>3</v>
      </c>
      <c r="I8195">
        <v>1957</v>
      </c>
      <c r="J8195">
        <v>0</v>
      </c>
      <c r="K8195">
        <v>0</v>
      </c>
      <c r="L8195">
        <v>0</v>
      </c>
      <c r="M8195">
        <v>2</v>
      </c>
      <c r="N8195" t="s">
        <v>37</v>
      </c>
      <c r="O8195" t="s">
        <v>32</v>
      </c>
      <c r="P8195">
        <v>12.1241590682972</v>
      </c>
      <c r="Q8195">
        <v>1.36390239043872</v>
      </c>
      <c r="R8195">
        <v>4.2971806524549097</v>
      </c>
      <c r="S8195">
        <v>45</v>
      </c>
      <c r="T8195">
        <v>39</v>
      </c>
      <c r="U8195">
        <v>743.80859058316503</v>
      </c>
      <c r="V8195">
        <v>8.28843762950683E-4</v>
      </c>
      <c r="W8195">
        <v>2116190.5566433999</v>
      </c>
      <c r="X8195" t="s">
        <v>33</v>
      </c>
      <c r="Y8195">
        <f>1-400-868-7140</f>
        <v>-8407</v>
      </c>
    </row>
    <row r="8196" spans="1:25" x14ac:dyDescent="0.35">
      <c r="A8196">
        <v>34.704602354866999</v>
      </c>
      <c r="B8196">
        <v>-116.81689643373601</v>
      </c>
      <c r="C8196" t="s">
        <v>34</v>
      </c>
      <c r="D8196">
        <v>8.7809712132740092</v>
      </c>
      <c r="E8196">
        <v>5</v>
      </c>
      <c r="F8196">
        <v>1369</v>
      </c>
      <c r="G8196">
        <v>5</v>
      </c>
      <c r="H8196">
        <v>2</v>
      </c>
      <c r="I8196">
        <v>1999</v>
      </c>
      <c r="J8196">
        <v>1</v>
      </c>
      <c r="K8196">
        <v>1</v>
      </c>
      <c r="L8196">
        <v>1</v>
      </c>
      <c r="M8196">
        <v>11</v>
      </c>
      <c r="N8196" t="s">
        <v>37</v>
      </c>
      <c r="O8196" t="s">
        <v>32</v>
      </c>
      <c r="P8196">
        <v>9.3030479115298395</v>
      </c>
      <c r="Q8196">
        <v>1.9140964371459199</v>
      </c>
      <c r="R8196">
        <v>5.0393516764643804</v>
      </c>
      <c r="S8196">
        <v>105</v>
      </c>
      <c r="T8196">
        <v>58</v>
      </c>
      <c r="U8196">
        <v>405.635634769712</v>
      </c>
      <c r="V8196">
        <v>8.0350620891161406E-3</v>
      </c>
      <c r="W8196">
        <v>957499.56637559598</v>
      </c>
      <c r="X8196" t="s">
        <v>40</v>
      </c>
      <c r="Y8196">
        <f>1-235-430-4234</f>
        <v>-4898</v>
      </c>
    </row>
    <row r="8197" spans="1:25" x14ac:dyDescent="0.35">
      <c r="A8197">
        <v>38.557333289349202</v>
      </c>
      <c r="B8197">
        <v>-120.20910792066</v>
      </c>
      <c r="C8197" t="s">
        <v>34</v>
      </c>
      <c r="D8197">
        <v>21.9584772887737</v>
      </c>
      <c r="E8197">
        <v>0</v>
      </c>
      <c r="F8197">
        <v>1982</v>
      </c>
      <c r="G8197">
        <v>4</v>
      </c>
      <c r="H8197">
        <v>2</v>
      </c>
      <c r="I8197">
        <v>1970</v>
      </c>
      <c r="J8197">
        <v>1</v>
      </c>
      <c r="K8197">
        <v>1</v>
      </c>
      <c r="L8197">
        <v>0</v>
      </c>
      <c r="M8197">
        <v>11</v>
      </c>
      <c r="N8197" t="s">
        <v>37</v>
      </c>
      <c r="O8197" t="s">
        <v>27</v>
      </c>
      <c r="P8197">
        <v>13.039483737907</v>
      </c>
      <c r="Q8197">
        <v>2.0529934063787199</v>
      </c>
      <c r="R8197">
        <v>9.6678221116419003</v>
      </c>
      <c r="S8197">
        <v>147</v>
      </c>
      <c r="T8197">
        <v>57</v>
      </c>
      <c r="U8197">
        <v>582.81566542186704</v>
      </c>
      <c r="V8197">
        <v>5.5499495459132098E-3</v>
      </c>
      <c r="W8197">
        <v>1536634.6151856999</v>
      </c>
      <c r="X8197" t="s">
        <v>44</v>
      </c>
      <c r="Y8197">
        <f>1-837-810-4332</f>
        <v>-5978</v>
      </c>
    </row>
    <row r="8198" spans="1:25" x14ac:dyDescent="0.35">
      <c r="A8198">
        <v>36.272626893522997</v>
      </c>
      <c r="B8198">
        <v>-118.76863737436599</v>
      </c>
      <c r="C8198" t="s">
        <v>25</v>
      </c>
      <c r="D8198">
        <v>35.5313877941174</v>
      </c>
      <c r="E8198">
        <v>3</v>
      </c>
      <c r="F8198">
        <v>3453</v>
      </c>
      <c r="G8198">
        <v>2</v>
      </c>
      <c r="H8198">
        <v>2</v>
      </c>
      <c r="I8198">
        <v>1987</v>
      </c>
      <c r="J8198">
        <v>0</v>
      </c>
      <c r="K8198">
        <v>1</v>
      </c>
      <c r="L8198">
        <v>0</v>
      </c>
      <c r="M8198">
        <v>6</v>
      </c>
      <c r="N8198" t="s">
        <v>35</v>
      </c>
      <c r="O8198" t="s">
        <v>27</v>
      </c>
      <c r="P8198">
        <v>11.665048462199101</v>
      </c>
      <c r="Q8198">
        <v>0.75334808360160699</v>
      </c>
      <c r="R8198">
        <v>2.67399834647882</v>
      </c>
      <c r="S8198">
        <v>171</v>
      </c>
      <c r="T8198">
        <v>73</v>
      </c>
      <c r="U8198">
        <v>788.12288703561705</v>
      </c>
      <c r="V8198">
        <v>1.7376194613379599E-3</v>
      </c>
      <c r="W8198">
        <v>3042380.1650562598</v>
      </c>
      <c r="X8198" t="s">
        <v>38</v>
      </c>
      <c r="Y8198">
        <f>1-674-404-4306</f>
        <v>-5383</v>
      </c>
    </row>
    <row r="8199" spans="1:25" x14ac:dyDescent="0.35">
      <c r="A8199">
        <v>35.1625822155912</v>
      </c>
      <c r="B8199">
        <v>-120.99661530150701</v>
      </c>
      <c r="C8199" t="s">
        <v>34</v>
      </c>
      <c r="D8199">
        <v>11.4308315938419</v>
      </c>
      <c r="E8199">
        <v>1</v>
      </c>
      <c r="F8199">
        <v>4935</v>
      </c>
      <c r="G8199">
        <v>5</v>
      </c>
      <c r="H8199">
        <v>3</v>
      </c>
      <c r="I8199">
        <v>2007</v>
      </c>
      <c r="J8199">
        <v>1</v>
      </c>
      <c r="K8199">
        <v>0</v>
      </c>
      <c r="L8199">
        <v>1</v>
      </c>
      <c r="M8199">
        <v>9</v>
      </c>
      <c r="N8199" t="s">
        <v>35</v>
      </c>
      <c r="O8199" t="s">
        <v>30</v>
      </c>
      <c r="P8199">
        <v>14.212586975767399</v>
      </c>
      <c r="Q8199">
        <v>1.9341007424224901</v>
      </c>
      <c r="R8199">
        <v>8.7417573044346994</v>
      </c>
      <c r="S8199">
        <v>176</v>
      </c>
      <c r="T8199">
        <v>36</v>
      </c>
      <c r="U8199">
        <v>302.00672719000403</v>
      </c>
      <c r="V8199">
        <v>1.82370820668693E-3</v>
      </c>
      <c r="W8199">
        <v>2039514.3084398201</v>
      </c>
      <c r="X8199" t="s">
        <v>38</v>
      </c>
      <c r="Y8199">
        <f>1-413-347-9720</f>
        <v>-10479</v>
      </c>
    </row>
    <row r="8200" spans="1:25" x14ac:dyDescent="0.35">
      <c r="A8200">
        <v>38.201729544888501</v>
      </c>
      <c r="B8200">
        <v>-120.330663937721</v>
      </c>
      <c r="C8200" t="s">
        <v>29</v>
      </c>
      <c r="D8200">
        <v>21.435979507000901</v>
      </c>
      <c r="E8200">
        <v>5</v>
      </c>
      <c r="F8200">
        <v>3251</v>
      </c>
      <c r="G8200">
        <v>5</v>
      </c>
      <c r="H8200">
        <v>3</v>
      </c>
      <c r="I8200">
        <v>2008</v>
      </c>
      <c r="J8200">
        <v>1</v>
      </c>
      <c r="K8200">
        <v>0</v>
      </c>
      <c r="L8200">
        <v>0</v>
      </c>
      <c r="M8200">
        <v>5</v>
      </c>
      <c r="N8200" t="s">
        <v>26</v>
      </c>
      <c r="O8200" t="s">
        <v>30</v>
      </c>
      <c r="P8200">
        <v>11.6432559113553</v>
      </c>
      <c r="Q8200">
        <v>1.0674017634094899</v>
      </c>
      <c r="R8200">
        <v>2.7563409598851898</v>
      </c>
      <c r="S8200">
        <v>39</v>
      </c>
      <c r="T8200">
        <v>78</v>
      </c>
      <c r="U8200">
        <v>935.04998191787399</v>
      </c>
      <c r="V8200">
        <v>1.5379883112888299E-3</v>
      </c>
      <c r="W8200">
        <v>3542499.1594997402</v>
      </c>
      <c r="X8200" t="s">
        <v>40</v>
      </c>
      <c r="Y8200">
        <f>1-310-586-8108</f>
        <v>-9003</v>
      </c>
    </row>
    <row r="8201" spans="1:25" x14ac:dyDescent="0.35">
      <c r="A8201">
        <v>39.935699430525297</v>
      </c>
      <c r="B8201">
        <v>-115.49793613902401</v>
      </c>
      <c r="C8201" t="s">
        <v>25</v>
      </c>
      <c r="D8201">
        <v>1.63520836214641</v>
      </c>
      <c r="E8201">
        <v>8</v>
      </c>
      <c r="F8201">
        <v>3437</v>
      </c>
      <c r="G8201">
        <v>2</v>
      </c>
      <c r="H8201">
        <v>1</v>
      </c>
      <c r="I8201">
        <v>1967</v>
      </c>
      <c r="J8201">
        <v>0</v>
      </c>
      <c r="K8201">
        <v>0</v>
      </c>
      <c r="L8201">
        <v>0</v>
      </c>
      <c r="M8201">
        <v>6</v>
      </c>
      <c r="N8201" t="s">
        <v>37</v>
      </c>
      <c r="O8201" t="s">
        <v>27</v>
      </c>
      <c r="P8201">
        <v>13.8214188428458</v>
      </c>
      <c r="Q8201">
        <v>1.45020337153616</v>
      </c>
      <c r="R8201">
        <v>4.4674904187326501</v>
      </c>
      <c r="S8201">
        <v>37</v>
      </c>
      <c r="T8201">
        <v>62</v>
      </c>
      <c r="U8201">
        <v>814.993144940653</v>
      </c>
      <c r="V8201">
        <v>1.7457084666860599E-3</v>
      </c>
      <c r="W8201">
        <v>2984632.8424987402</v>
      </c>
      <c r="X8201" t="s">
        <v>39</v>
      </c>
      <c r="Y8201">
        <f>1-324-286-4140</f>
        <v>-4749</v>
      </c>
    </row>
    <row r="8202" spans="1:25" x14ac:dyDescent="0.35">
      <c r="A8202">
        <v>33.561586417008598</v>
      </c>
      <c r="B8202">
        <v>-116.069592021655</v>
      </c>
      <c r="C8202" t="s">
        <v>34</v>
      </c>
      <c r="D8202">
        <v>20.714645780378198</v>
      </c>
      <c r="E8202">
        <v>0</v>
      </c>
      <c r="F8202">
        <v>2211</v>
      </c>
      <c r="G8202">
        <v>4</v>
      </c>
      <c r="H8202">
        <v>1</v>
      </c>
      <c r="I8202">
        <v>1977</v>
      </c>
      <c r="J8202">
        <v>1</v>
      </c>
      <c r="K8202">
        <v>0</v>
      </c>
      <c r="L8202">
        <v>0</v>
      </c>
      <c r="M8202">
        <v>10</v>
      </c>
      <c r="N8202" t="s">
        <v>41</v>
      </c>
      <c r="O8202" t="s">
        <v>32</v>
      </c>
      <c r="P8202">
        <v>8.2003617349207101</v>
      </c>
      <c r="Q8202">
        <v>2.4329081297749902</v>
      </c>
      <c r="R8202">
        <v>9.7532182302119708</v>
      </c>
      <c r="S8202">
        <v>193</v>
      </c>
      <c r="T8202">
        <v>64</v>
      </c>
      <c r="U8202">
        <v>356.91272115880099</v>
      </c>
      <c r="V8202">
        <v>4.5228403437358603E-3</v>
      </c>
      <c r="W8202">
        <v>999066.72548530705</v>
      </c>
      <c r="X8202" t="s">
        <v>36</v>
      </c>
      <c r="Y8202">
        <f>1-307-639-6779</f>
        <v>-7724</v>
      </c>
    </row>
    <row r="8203" spans="1:25" x14ac:dyDescent="0.35">
      <c r="A8203">
        <v>34.5785052640191</v>
      </c>
      <c r="B8203">
        <v>-120.715107645766</v>
      </c>
      <c r="C8203" t="s">
        <v>29</v>
      </c>
      <c r="D8203">
        <v>32.296582736454901</v>
      </c>
      <c r="E8203">
        <v>9</v>
      </c>
      <c r="F8203">
        <v>2361</v>
      </c>
      <c r="G8203">
        <v>5</v>
      </c>
      <c r="H8203">
        <v>3</v>
      </c>
      <c r="I8203">
        <v>1990</v>
      </c>
      <c r="J8203">
        <v>0</v>
      </c>
      <c r="K8203">
        <v>0</v>
      </c>
      <c r="L8203">
        <v>1</v>
      </c>
      <c r="M8203">
        <v>6</v>
      </c>
      <c r="N8203" t="s">
        <v>26</v>
      </c>
      <c r="O8203" t="s">
        <v>30</v>
      </c>
      <c r="P8203">
        <v>9.3491289359995999</v>
      </c>
      <c r="Q8203">
        <v>1.27491668995248</v>
      </c>
      <c r="R8203">
        <v>3.0928337347433699</v>
      </c>
      <c r="S8203">
        <v>85</v>
      </c>
      <c r="T8203">
        <v>61</v>
      </c>
      <c r="U8203">
        <v>398.66089282494897</v>
      </c>
      <c r="V8203">
        <v>2.5412960609910999E-3</v>
      </c>
      <c r="W8203">
        <v>1307973.2244462301</v>
      </c>
      <c r="X8203" t="s">
        <v>31</v>
      </c>
      <c r="Y8203">
        <f>1-833-713-7470</f>
        <v>-9015</v>
      </c>
    </row>
    <row r="8204" spans="1:25" x14ac:dyDescent="0.35">
      <c r="A8204">
        <v>37.783481166300199</v>
      </c>
      <c r="B8204">
        <v>-121.37633603655701</v>
      </c>
      <c r="C8204" t="s">
        <v>29</v>
      </c>
      <c r="D8204">
        <v>33.2443504377202</v>
      </c>
      <c r="E8204">
        <v>4</v>
      </c>
      <c r="F8204">
        <v>1230</v>
      </c>
      <c r="G8204">
        <v>1</v>
      </c>
      <c r="H8204">
        <v>1</v>
      </c>
      <c r="I8204">
        <v>1979</v>
      </c>
      <c r="J8204">
        <v>1</v>
      </c>
      <c r="K8204">
        <v>1</v>
      </c>
      <c r="L8204">
        <v>1</v>
      </c>
      <c r="M8204">
        <v>4</v>
      </c>
      <c r="N8204" t="s">
        <v>26</v>
      </c>
      <c r="O8204" t="s">
        <v>27</v>
      </c>
      <c r="P8204">
        <v>7.4911554629829</v>
      </c>
      <c r="Q8204">
        <v>1.54976727531035</v>
      </c>
      <c r="R8204">
        <v>4.13227252778037</v>
      </c>
      <c r="S8204">
        <v>114</v>
      </c>
      <c r="T8204">
        <v>75</v>
      </c>
      <c r="U8204">
        <v>390.05853845964998</v>
      </c>
      <c r="V8204">
        <v>3.2520325203252002E-3</v>
      </c>
      <c r="W8204">
        <v>747310.68186689797</v>
      </c>
      <c r="X8204" t="s">
        <v>38</v>
      </c>
      <c r="Y8204">
        <f>1-986-537-8004</f>
        <v>-9526</v>
      </c>
    </row>
    <row r="8205" spans="1:25" x14ac:dyDescent="0.35">
      <c r="A8205">
        <v>37.242694048196398</v>
      </c>
      <c r="B8205">
        <v>-122.504884301033</v>
      </c>
      <c r="C8205" t="s">
        <v>29</v>
      </c>
      <c r="D8205">
        <v>35.680977302216199</v>
      </c>
      <c r="E8205">
        <v>9</v>
      </c>
      <c r="F8205">
        <v>668</v>
      </c>
      <c r="G8205">
        <v>3</v>
      </c>
      <c r="H8205">
        <v>1</v>
      </c>
      <c r="I8205">
        <v>1975</v>
      </c>
      <c r="J8205">
        <v>0</v>
      </c>
      <c r="K8205">
        <v>0</v>
      </c>
      <c r="L8205">
        <v>0</v>
      </c>
      <c r="M8205">
        <v>11</v>
      </c>
      <c r="N8205" t="s">
        <v>35</v>
      </c>
      <c r="O8205" t="s">
        <v>30</v>
      </c>
      <c r="P8205">
        <v>3.0158093058539599</v>
      </c>
      <c r="Q8205">
        <v>1.30447813894307</v>
      </c>
      <c r="R8205">
        <v>0.72187081866673697</v>
      </c>
      <c r="S8205">
        <v>151</v>
      </c>
      <c r="T8205">
        <v>45</v>
      </c>
      <c r="U8205">
        <v>739.71159348633296</v>
      </c>
      <c r="V8205">
        <v>1.6467065868263402E-2</v>
      </c>
      <c r="W8205">
        <v>520359.75890416303</v>
      </c>
      <c r="X8205" t="s">
        <v>40</v>
      </c>
      <c r="Y8205">
        <f>1-936-805-7457</f>
        <v>-9197</v>
      </c>
    </row>
    <row r="8206" spans="1:25" x14ac:dyDescent="0.35">
      <c r="A8206">
        <v>36.377128463380302</v>
      </c>
      <c r="B8206">
        <v>-119.039803644483</v>
      </c>
      <c r="C8206" t="s">
        <v>25</v>
      </c>
      <c r="D8206">
        <v>38.529831684815697</v>
      </c>
      <c r="E8206">
        <v>9</v>
      </c>
      <c r="F8206">
        <v>4812</v>
      </c>
      <c r="G8206">
        <v>1</v>
      </c>
      <c r="H8206">
        <v>3</v>
      </c>
      <c r="I8206">
        <v>1992</v>
      </c>
      <c r="J8206">
        <v>1</v>
      </c>
      <c r="K8206">
        <v>1</v>
      </c>
      <c r="L8206">
        <v>1</v>
      </c>
      <c r="M8206">
        <v>4</v>
      </c>
      <c r="N8206" t="s">
        <v>26</v>
      </c>
      <c r="O8206" t="s">
        <v>27</v>
      </c>
      <c r="P8206">
        <v>12.4878678179287</v>
      </c>
      <c r="Q8206">
        <v>1.27621542652704</v>
      </c>
      <c r="R8206">
        <v>4.6713438415275998</v>
      </c>
      <c r="S8206">
        <v>55</v>
      </c>
      <c r="T8206">
        <v>36</v>
      </c>
      <c r="U8206">
        <v>926.29908750120899</v>
      </c>
      <c r="V8206">
        <v>8.3125519534497005E-4</v>
      </c>
      <c r="W8206">
        <v>4805195.8703487599</v>
      </c>
      <c r="X8206" t="s">
        <v>42</v>
      </c>
      <c r="Y8206">
        <f>1-938-102-9052</f>
        <v>-10091</v>
      </c>
    </row>
    <row r="8207" spans="1:25" x14ac:dyDescent="0.35">
      <c r="A8207">
        <v>39.6035237817484</v>
      </c>
      <c r="B8207">
        <v>-119.527100746889</v>
      </c>
      <c r="C8207" t="s">
        <v>25</v>
      </c>
      <c r="D8207">
        <v>40.924332697712501</v>
      </c>
      <c r="E8207">
        <v>2</v>
      </c>
      <c r="F8207">
        <v>907</v>
      </c>
      <c r="G8207">
        <v>3</v>
      </c>
      <c r="H8207">
        <v>2</v>
      </c>
      <c r="I8207">
        <v>2020</v>
      </c>
      <c r="J8207">
        <v>1</v>
      </c>
      <c r="K8207">
        <v>0</v>
      </c>
      <c r="L8207">
        <v>0</v>
      </c>
      <c r="M8207">
        <v>5</v>
      </c>
      <c r="N8207" t="s">
        <v>35</v>
      </c>
      <c r="O8207" t="s">
        <v>32</v>
      </c>
      <c r="P8207">
        <v>11.6586313881145</v>
      </c>
      <c r="Q8207">
        <v>1.90377125170789</v>
      </c>
      <c r="R8207">
        <v>4.7404941864412597</v>
      </c>
      <c r="S8207">
        <v>49</v>
      </c>
      <c r="T8207">
        <v>60</v>
      </c>
      <c r="U8207">
        <v>291.233306361036</v>
      </c>
      <c r="V8207">
        <v>5.5126791620727601E-3</v>
      </c>
      <c r="W8207">
        <v>631277.12430520495</v>
      </c>
      <c r="X8207" t="s">
        <v>44</v>
      </c>
      <c r="Y8207">
        <f>1-407-836-8081</f>
        <v>-9323</v>
      </c>
    </row>
    <row r="8208" spans="1:25" x14ac:dyDescent="0.35">
      <c r="A8208">
        <v>36.229967493613898</v>
      </c>
      <c r="B8208">
        <v>-115.39952356493301</v>
      </c>
      <c r="C8208" t="s">
        <v>29</v>
      </c>
      <c r="D8208">
        <v>6.9661828413354101</v>
      </c>
      <c r="E8208">
        <v>1</v>
      </c>
      <c r="F8208">
        <v>2796</v>
      </c>
      <c r="G8208">
        <v>3</v>
      </c>
      <c r="H8208">
        <v>3</v>
      </c>
      <c r="I8208">
        <v>2012</v>
      </c>
      <c r="J8208">
        <v>1</v>
      </c>
      <c r="K8208">
        <v>1</v>
      </c>
      <c r="L8208">
        <v>1</v>
      </c>
      <c r="M8208">
        <v>2</v>
      </c>
      <c r="N8208" t="s">
        <v>35</v>
      </c>
      <c r="O8208" t="s">
        <v>30</v>
      </c>
      <c r="P8208">
        <v>8.2224661517908206</v>
      </c>
      <c r="Q8208">
        <v>1.38266305434891</v>
      </c>
      <c r="R8208">
        <v>6.0343638092081298</v>
      </c>
      <c r="S8208">
        <v>100</v>
      </c>
      <c r="T8208">
        <v>48</v>
      </c>
      <c r="U8208">
        <v>931.19429735094695</v>
      </c>
      <c r="V8208">
        <v>7.1530758226037196E-4</v>
      </c>
      <c r="W8208">
        <v>3012772.0152554102</v>
      </c>
      <c r="X8208" t="s">
        <v>42</v>
      </c>
      <c r="Y8208">
        <f>1-347-994-5053</f>
        <v>-6393</v>
      </c>
    </row>
    <row r="8209" spans="1:25" x14ac:dyDescent="0.35">
      <c r="A8209">
        <v>36.940311006677398</v>
      </c>
      <c r="B8209">
        <v>-123.46085295912</v>
      </c>
      <c r="C8209" t="s">
        <v>29</v>
      </c>
      <c r="D8209">
        <v>6.4937347538686696</v>
      </c>
      <c r="E8209">
        <v>4</v>
      </c>
      <c r="F8209">
        <v>1609</v>
      </c>
      <c r="G8209">
        <v>3</v>
      </c>
      <c r="H8209">
        <v>2</v>
      </c>
      <c r="I8209">
        <v>1986</v>
      </c>
      <c r="J8209">
        <v>0</v>
      </c>
      <c r="K8209">
        <v>0</v>
      </c>
      <c r="L8209">
        <v>0</v>
      </c>
      <c r="M8209">
        <v>12</v>
      </c>
      <c r="N8209" t="s">
        <v>41</v>
      </c>
      <c r="O8209" t="s">
        <v>27</v>
      </c>
      <c r="P8209">
        <v>4.4921428014100799</v>
      </c>
      <c r="Q8209">
        <v>0.85391821048492</v>
      </c>
      <c r="R8209">
        <v>1.4832113699409999</v>
      </c>
      <c r="S8209">
        <v>87</v>
      </c>
      <c r="T8209">
        <v>61</v>
      </c>
      <c r="U8209">
        <v>926.43677554695796</v>
      </c>
      <c r="V8209">
        <v>7.4580484773150999E-3</v>
      </c>
      <c r="W8209">
        <v>1667590.3180567899</v>
      </c>
      <c r="X8209" t="s">
        <v>31</v>
      </c>
      <c r="Y8209">
        <f>1-451-545-8680</f>
        <v>-9675</v>
      </c>
    </row>
    <row r="8210" spans="1:25" x14ac:dyDescent="0.35">
      <c r="A8210">
        <v>38.428746232789599</v>
      </c>
      <c r="B8210">
        <v>-116.287299347564</v>
      </c>
      <c r="C8210" t="s">
        <v>29</v>
      </c>
      <c r="D8210">
        <v>19.625865360745902</v>
      </c>
      <c r="E8210">
        <v>7</v>
      </c>
      <c r="F8210">
        <v>4463</v>
      </c>
      <c r="G8210">
        <v>5</v>
      </c>
      <c r="H8210">
        <v>3</v>
      </c>
      <c r="I8210">
        <v>1971</v>
      </c>
      <c r="J8210">
        <v>0</v>
      </c>
      <c r="K8210">
        <v>1</v>
      </c>
      <c r="L8210">
        <v>1</v>
      </c>
      <c r="M8210">
        <v>14</v>
      </c>
      <c r="N8210" t="s">
        <v>37</v>
      </c>
      <c r="O8210" t="s">
        <v>30</v>
      </c>
      <c r="P8210">
        <v>14.175293756239601</v>
      </c>
      <c r="Q8210">
        <v>1.0917131716360999</v>
      </c>
      <c r="R8210">
        <v>2.85804775421366</v>
      </c>
      <c r="S8210">
        <v>78</v>
      </c>
      <c r="T8210">
        <v>38</v>
      </c>
      <c r="U8210">
        <v>678.53873248356399</v>
      </c>
      <c r="V8210">
        <v>3.1369034281873102E-3</v>
      </c>
      <c r="W8210">
        <v>3574104.4938569199</v>
      </c>
      <c r="X8210" t="s">
        <v>36</v>
      </c>
      <c r="Y8210">
        <f>1-414-728-5860</f>
        <v>-7001</v>
      </c>
    </row>
    <row r="8211" spans="1:25" x14ac:dyDescent="0.35">
      <c r="A8211">
        <v>34.2386865884367</v>
      </c>
      <c r="B8211">
        <v>-118.88850475206399</v>
      </c>
      <c r="C8211" t="s">
        <v>29</v>
      </c>
      <c r="D8211">
        <v>29.596509622165001</v>
      </c>
      <c r="E8211">
        <v>4</v>
      </c>
      <c r="F8211">
        <v>584</v>
      </c>
      <c r="G8211">
        <v>1</v>
      </c>
      <c r="H8211">
        <v>1</v>
      </c>
      <c r="I8211">
        <v>1991</v>
      </c>
      <c r="J8211">
        <v>0</v>
      </c>
      <c r="K8211">
        <v>1</v>
      </c>
      <c r="L8211">
        <v>0</v>
      </c>
      <c r="M8211">
        <v>12</v>
      </c>
      <c r="N8211" t="s">
        <v>26</v>
      </c>
      <c r="O8211" t="s">
        <v>32</v>
      </c>
      <c r="P8211">
        <v>9.7915977445515807</v>
      </c>
      <c r="Q8211">
        <v>2.2328693284424599</v>
      </c>
      <c r="R8211">
        <v>2.0221703017421602</v>
      </c>
      <c r="S8211">
        <v>80</v>
      </c>
      <c r="T8211">
        <v>23</v>
      </c>
      <c r="U8211">
        <v>789.99128832283702</v>
      </c>
      <c r="V8211">
        <v>2.0547945205479399E-2</v>
      </c>
      <c r="W8211">
        <v>709444.487182218</v>
      </c>
      <c r="X8211" t="s">
        <v>36</v>
      </c>
      <c r="Y8211">
        <f>1-762-509-8610</f>
        <v>-9880</v>
      </c>
    </row>
    <row r="8212" spans="1:25" x14ac:dyDescent="0.35">
      <c r="A8212">
        <v>35.130774958902897</v>
      </c>
      <c r="B8212">
        <v>-121.685389540955</v>
      </c>
      <c r="C8212" t="s">
        <v>25</v>
      </c>
      <c r="D8212">
        <v>45.5296735744095</v>
      </c>
      <c r="E8212">
        <v>4</v>
      </c>
      <c r="F8212">
        <v>2391</v>
      </c>
      <c r="G8212">
        <v>4</v>
      </c>
      <c r="H8212">
        <v>1</v>
      </c>
      <c r="I8212">
        <v>1964</v>
      </c>
      <c r="J8212">
        <v>0</v>
      </c>
      <c r="K8212">
        <v>1</v>
      </c>
      <c r="L8212">
        <v>0</v>
      </c>
      <c r="M8212">
        <v>12</v>
      </c>
      <c r="N8212" t="s">
        <v>26</v>
      </c>
      <c r="O8212" t="s">
        <v>27</v>
      </c>
      <c r="P8212">
        <v>14.147310575765101</v>
      </c>
      <c r="Q8212">
        <v>1.7021351374373199</v>
      </c>
      <c r="R8212">
        <v>4.1952968888303204</v>
      </c>
      <c r="S8212">
        <v>51</v>
      </c>
      <c r="T8212">
        <v>77</v>
      </c>
      <c r="U8212">
        <v>794.14051772183404</v>
      </c>
      <c r="V8212">
        <v>5.0188205771643599E-3</v>
      </c>
      <c r="W8212">
        <v>2244225.43880925</v>
      </c>
      <c r="X8212" t="s">
        <v>33</v>
      </c>
      <c r="Y8212">
        <f>1-988-321-9124</f>
        <v>-10432</v>
      </c>
    </row>
    <row r="8213" spans="1:25" x14ac:dyDescent="0.35">
      <c r="A8213">
        <v>41.4608749762644</v>
      </c>
      <c r="B8213">
        <v>-121.738833907295</v>
      </c>
      <c r="C8213" t="s">
        <v>29</v>
      </c>
      <c r="D8213">
        <v>35.409068397663802</v>
      </c>
      <c r="E8213">
        <v>8</v>
      </c>
      <c r="F8213">
        <v>4318</v>
      </c>
      <c r="G8213">
        <v>5</v>
      </c>
      <c r="H8213">
        <v>3</v>
      </c>
      <c r="I8213">
        <v>1959</v>
      </c>
      <c r="J8213">
        <v>0</v>
      </c>
      <c r="K8213">
        <v>1</v>
      </c>
      <c r="L8213">
        <v>1</v>
      </c>
      <c r="M8213">
        <v>12</v>
      </c>
      <c r="N8213" t="s">
        <v>26</v>
      </c>
      <c r="O8213" t="s">
        <v>27</v>
      </c>
      <c r="P8213">
        <v>2.41060531189357</v>
      </c>
      <c r="Q8213">
        <v>1.18839262721732</v>
      </c>
      <c r="R8213">
        <v>1.6506970738528</v>
      </c>
      <c r="S8213">
        <v>110</v>
      </c>
      <c r="T8213">
        <v>60</v>
      </c>
      <c r="U8213">
        <v>915.15941822492596</v>
      </c>
      <c r="V8213">
        <v>2.7790643816581698E-3</v>
      </c>
      <c r="W8213">
        <v>4275606.0367068797</v>
      </c>
      <c r="X8213" t="s">
        <v>36</v>
      </c>
      <c r="Y8213">
        <f>1-497-983-6712</f>
        <v>-8191</v>
      </c>
    </row>
    <row r="8214" spans="1:25" x14ac:dyDescent="0.35">
      <c r="A8214">
        <v>34.248759189882598</v>
      </c>
      <c r="B8214">
        <v>-114.772306027688</v>
      </c>
      <c r="C8214" t="s">
        <v>25</v>
      </c>
      <c r="D8214">
        <v>20.228639573576601</v>
      </c>
      <c r="E8214">
        <v>4</v>
      </c>
      <c r="F8214">
        <v>4441</v>
      </c>
      <c r="G8214">
        <v>4</v>
      </c>
      <c r="H8214">
        <v>3</v>
      </c>
      <c r="I8214">
        <v>1973</v>
      </c>
      <c r="J8214">
        <v>0</v>
      </c>
      <c r="K8214">
        <v>0</v>
      </c>
      <c r="L8214">
        <v>0</v>
      </c>
      <c r="M8214">
        <v>11</v>
      </c>
      <c r="N8214" t="s">
        <v>35</v>
      </c>
      <c r="O8214" t="s">
        <v>27</v>
      </c>
      <c r="P8214">
        <v>14.285322598247101</v>
      </c>
      <c r="Q8214">
        <v>0.846545442722764</v>
      </c>
      <c r="R8214">
        <v>0.79819423335934503</v>
      </c>
      <c r="S8214">
        <v>151</v>
      </c>
      <c r="T8214">
        <v>62</v>
      </c>
      <c r="U8214">
        <v>975.66180093085097</v>
      </c>
      <c r="V8214">
        <v>2.4769196126998398E-3</v>
      </c>
      <c r="W8214">
        <v>4609976.5619194703</v>
      </c>
      <c r="X8214" t="s">
        <v>33</v>
      </c>
      <c r="Y8214">
        <f>1-850-437-3988</f>
        <v>-5274</v>
      </c>
    </row>
    <row r="8215" spans="1:25" x14ac:dyDescent="0.35">
      <c r="A8215">
        <v>41.971639797377101</v>
      </c>
      <c r="B8215">
        <v>-120.237306594232</v>
      </c>
      <c r="C8215" t="s">
        <v>29</v>
      </c>
      <c r="D8215">
        <v>3.9624237557787301</v>
      </c>
      <c r="E8215">
        <v>0</v>
      </c>
      <c r="F8215">
        <v>4488</v>
      </c>
      <c r="G8215">
        <v>1</v>
      </c>
      <c r="H8215">
        <v>1</v>
      </c>
      <c r="I8215">
        <v>1950</v>
      </c>
      <c r="J8215">
        <v>0</v>
      </c>
      <c r="K8215">
        <v>0</v>
      </c>
      <c r="L8215">
        <v>1</v>
      </c>
      <c r="M8215">
        <v>7</v>
      </c>
      <c r="N8215" t="s">
        <v>37</v>
      </c>
      <c r="O8215" t="s">
        <v>30</v>
      </c>
      <c r="P8215">
        <v>12.447451243006</v>
      </c>
      <c r="Q8215">
        <v>2.0847826364537601</v>
      </c>
      <c r="R8215">
        <v>5.9669704769812499</v>
      </c>
      <c r="S8215">
        <v>82</v>
      </c>
      <c r="T8215">
        <v>24</v>
      </c>
      <c r="U8215">
        <v>669.78615223651002</v>
      </c>
      <c r="V8215">
        <v>1.5597147950089101E-3</v>
      </c>
      <c r="W8215">
        <v>3104286.0722743599</v>
      </c>
      <c r="X8215" t="s">
        <v>44</v>
      </c>
      <c r="Y8215">
        <f>1-230-572-5828</f>
        <v>-6629</v>
      </c>
    </row>
    <row r="8216" spans="1:25" x14ac:dyDescent="0.35">
      <c r="A8216">
        <v>40.297796088331097</v>
      </c>
      <c r="B8216">
        <v>-119.190776465501</v>
      </c>
      <c r="C8216" t="s">
        <v>29</v>
      </c>
      <c r="D8216">
        <v>31.9179824761985</v>
      </c>
      <c r="E8216">
        <v>6</v>
      </c>
      <c r="F8216">
        <v>2209</v>
      </c>
      <c r="G8216">
        <v>5</v>
      </c>
      <c r="H8216">
        <v>1</v>
      </c>
      <c r="I8216">
        <v>1996</v>
      </c>
      <c r="J8216">
        <v>1</v>
      </c>
      <c r="K8216">
        <v>0</v>
      </c>
      <c r="L8216">
        <v>1</v>
      </c>
      <c r="M8216">
        <v>6</v>
      </c>
      <c r="N8216" t="s">
        <v>26</v>
      </c>
      <c r="O8216" t="s">
        <v>32</v>
      </c>
      <c r="P8216">
        <v>14.285313968815601</v>
      </c>
      <c r="Q8216">
        <v>0.71551239719745896</v>
      </c>
      <c r="R8216">
        <v>9.2685181157180292</v>
      </c>
      <c r="S8216">
        <v>129</v>
      </c>
      <c r="T8216">
        <v>78</v>
      </c>
      <c r="U8216">
        <v>286.20164414767601</v>
      </c>
      <c r="V8216">
        <v>2.7161611588954202E-3</v>
      </c>
      <c r="W8216">
        <v>1036198.84232347</v>
      </c>
      <c r="X8216" t="s">
        <v>40</v>
      </c>
      <c r="Y8216">
        <f>1-904-792-3509</f>
        <v>-5204</v>
      </c>
    </row>
    <row r="8217" spans="1:25" x14ac:dyDescent="0.35">
      <c r="A8217">
        <v>36.395267763725698</v>
      </c>
      <c r="B8217">
        <v>-122.81996452758899</v>
      </c>
      <c r="C8217" t="s">
        <v>29</v>
      </c>
      <c r="D8217">
        <v>3.9049238445310799</v>
      </c>
      <c r="E8217">
        <v>5</v>
      </c>
      <c r="F8217">
        <v>1917</v>
      </c>
      <c r="G8217">
        <v>1</v>
      </c>
      <c r="H8217">
        <v>3</v>
      </c>
      <c r="I8217">
        <v>1985</v>
      </c>
      <c r="J8217">
        <v>0</v>
      </c>
      <c r="K8217">
        <v>0</v>
      </c>
      <c r="L8217">
        <v>1</v>
      </c>
      <c r="M8217">
        <v>14</v>
      </c>
      <c r="N8217" t="s">
        <v>37</v>
      </c>
      <c r="O8217" t="s">
        <v>30</v>
      </c>
      <c r="P8217">
        <v>3.4995516187020801</v>
      </c>
      <c r="Q8217">
        <v>1.6007689547075901</v>
      </c>
      <c r="R8217">
        <v>4.5166124323598398</v>
      </c>
      <c r="S8217">
        <v>1</v>
      </c>
      <c r="T8217">
        <v>36</v>
      </c>
      <c r="U8217">
        <v>498.25787788832002</v>
      </c>
      <c r="V8217">
        <v>7.3030777256129298E-3</v>
      </c>
      <c r="W8217">
        <v>1089715.4738425901</v>
      </c>
      <c r="X8217" t="s">
        <v>44</v>
      </c>
      <c r="Y8217">
        <f>1-218-744-7993</f>
        <v>-8954</v>
      </c>
    </row>
    <row r="8218" spans="1:25" x14ac:dyDescent="0.35">
      <c r="A8218">
        <v>38.936966914584097</v>
      </c>
      <c r="B8218">
        <v>-122.92381223106599</v>
      </c>
      <c r="C8218" t="s">
        <v>34</v>
      </c>
      <c r="D8218">
        <v>7.7970533409364204</v>
      </c>
      <c r="E8218">
        <v>0</v>
      </c>
      <c r="F8218">
        <v>2889</v>
      </c>
      <c r="G8218">
        <v>1</v>
      </c>
      <c r="H8218">
        <v>3</v>
      </c>
      <c r="I8218">
        <v>1950</v>
      </c>
      <c r="J8218">
        <v>1</v>
      </c>
      <c r="K8218">
        <v>1</v>
      </c>
      <c r="L8218">
        <v>1</v>
      </c>
      <c r="M8218">
        <v>10</v>
      </c>
      <c r="N8218" t="s">
        <v>35</v>
      </c>
      <c r="O8218" t="s">
        <v>30</v>
      </c>
      <c r="P8218">
        <v>9.6703848025316095</v>
      </c>
      <c r="Q8218">
        <v>1.0960296332106301</v>
      </c>
      <c r="R8218">
        <v>1.82369446323564</v>
      </c>
      <c r="S8218">
        <v>112</v>
      </c>
      <c r="T8218">
        <v>64</v>
      </c>
      <c r="U8218">
        <v>398.58519246011701</v>
      </c>
      <c r="V8218">
        <v>3.4614053305642E-3</v>
      </c>
      <c r="W8218">
        <v>1388828.01375445</v>
      </c>
      <c r="X8218" t="s">
        <v>42</v>
      </c>
      <c r="Y8218">
        <f>1-353-284-8822</f>
        <v>-9458</v>
      </c>
    </row>
    <row r="8219" spans="1:25" x14ac:dyDescent="0.35">
      <c r="A8219">
        <v>41.329135262127899</v>
      </c>
      <c r="B8219">
        <v>-115.31748566826001</v>
      </c>
      <c r="C8219" t="s">
        <v>25</v>
      </c>
      <c r="D8219">
        <v>9.1005059613251102</v>
      </c>
      <c r="E8219">
        <v>7</v>
      </c>
      <c r="F8219">
        <v>1869</v>
      </c>
      <c r="G8219">
        <v>5</v>
      </c>
      <c r="H8219">
        <v>3</v>
      </c>
      <c r="I8219">
        <v>1970</v>
      </c>
      <c r="J8219">
        <v>1</v>
      </c>
      <c r="K8219">
        <v>1</v>
      </c>
      <c r="L8219">
        <v>1</v>
      </c>
      <c r="M8219">
        <v>9</v>
      </c>
      <c r="N8219" t="s">
        <v>35</v>
      </c>
      <c r="O8219" t="s">
        <v>27</v>
      </c>
      <c r="P8219">
        <v>7.7546242217488501</v>
      </c>
      <c r="Q8219">
        <v>0.93550310475046194</v>
      </c>
      <c r="R8219">
        <v>8.1355961958259293</v>
      </c>
      <c r="S8219">
        <v>87</v>
      </c>
      <c r="T8219">
        <v>67</v>
      </c>
      <c r="U8219">
        <v>840.31503682852895</v>
      </c>
      <c r="V8219">
        <v>4.8154093097913303E-3</v>
      </c>
      <c r="W8219">
        <v>1980623.1629639899</v>
      </c>
      <c r="X8219" t="s">
        <v>40</v>
      </c>
      <c r="Y8219">
        <f>1-228-208-8409</f>
        <v>-8844</v>
      </c>
    </row>
    <row r="8220" spans="1:25" x14ac:dyDescent="0.35">
      <c r="A8220">
        <v>41.071740034608801</v>
      </c>
      <c r="B8220">
        <v>-115.766541995689</v>
      </c>
      <c r="C8220" t="s">
        <v>29</v>
      </c>
      <c r="D8220">
        <v>31.243131126689299</v>
      </c>
      <c r="E8220">
        <v>2</v>
      </c>
      <c r="F8220">
        <v>1916</v>
      </c>
      <c r="G8220">
        <v>3</v>
      </c>
      <c r="H8220">
        <v>2</v>
      </c>
      <c r="I8220">
        <v>1969</v>
      </c>
      <c r="J8220">
        <v>1</v>
      </c>
      <c r="K8220">
        <v>1</v>
      </c>
      <c r="L8220">
        <v>1</v>
      </c>
      <c r="M8220">
        <v>7</v>
      </c>
      <c r="N8220" t="s">
        <v>35</v>
      </c>
      <c r="O8220" t="s">
        <v>27</v>
      </c>
      <c r="P8220">
        <v>12.9166848121078</v>
      </c>
      <c r="Q8220">
        <v>0.75169216559898</v>
      </c>
      <c r="R8220">
        <v>6.4587538981550603</v>
      </c>
      <c r="S8220">
        <v>88</v>
      </c>
      <c r="T8220">
        <v>46</v>
      </c>
      <c r="U8220">
        <v>846.08761686841899</v>
      </c>
      <c r="V8220">
        <v>3.65344467640918E-3</v>
      </c>
      <c r="W8220">
        <v>1955017.93046817</v>
      </c>
      <c r="X8220" t="s">
        <v>40</v>
      </c>
      <c r="Y8220">
        <f>1-307-948-9612</f>
        <v>-10866</v>
      </c>
    </row>
    <row r="8221" spans="1:25" x14ac:dyDescent="0.35">
      <c r="A8221">
        <v>35.061730116678397</v>
      </c>
      <c r="B8221">
        <v>-121.10137216875501</v>
      </c>
      <c r="C8221" t="s">
        <v>29</v>
      </c>
      <c r="D8221">
        <v>29.049044264418601</v>
      </c>
      <c r="E8221">
        <v>8</v>
      </c>
      <c r="F8221">
        <v>2208</v>
      </c>
      <c r="G8221">
        <v>3</v>
      </c>
      <c r="H8221">
        <v>3</v>
      </c>
      <c r="I8221">
        <v>1972</v>
      </c>
      <c r="J8221">
        <v>1</v>
      </c>
      <c r="K8221">
        <v>0</v>
      </c>
      <c r="L8221">
        <v>1</v>
      </c>
      <c r="M8221">
        <v>13</v>
      </c>
      <c r="N8221" t="s">
        <v>35</v>
      </c>
      <c r="O8221" t="s">
        <v>27</v>
      </c>
      <c r="P8221">
        <v>14.170240238995101</v>
      </c>
      <c r="Q8221">
        <v>0.63812560619236203</v>
      </c>
      <c r="R8221">
        <v>0.15592521223061501</v>
      </c>
      <c r="S8221">
        <v>38</v>
      </c>
      <c r="T8221">
        <v>60</v>
      </c>
      <c r="U8221">
        <v>940.72825275794401</v>
      </c>
      <c r="V8221">
        <v>5.88768115942029E-3</v>
      </c>
      <c r="W8221">
        <v>2472132.1264792001</v>
      </c>
      <c r="X8221" t="s">
        <v>40</v>
      </c>
      <c r="Y8221">
        <f>1-743-104-7116</f>
        <v>-7962</v>
      </c>
    </row>
    <row r="8222" spans="1:25" x14ac:dyDescent="0.35">
      <c r="A8222">
        <v>36.995494451298804</v>
      </c>
      <c r="B8222">
        <v>-122.232550353066</v>
      </c>
      <c r="C8222" t="s">
        <v>34</v>
      </c>
      <c r="D8222">
        <v>42.222862452901403</v>
      </c>
      <c r="E8222">
        <v>1</v>
      </c>
      <c r="F8222">
        <v>1342</v>
      </c>
      <c r="G8222">
        <v>1</v>
      </c>
      <c r="H8222">
        <v>1</v>
      </c>
      <c r="I8222">
        <v>2003</v>
      </c>
      <c r="J8222">
        <v>1</v>
      </c>
      <c r="K8222">
        <v>0</v>
      </c>
      <c r="L8222">
        <v>1</v>
      </c>
      <c r="M8222">
        <v>5</v>
      </c>
      <c r="N8222" t="s">
        <v>35</v>
      </c>
      <c r="O8222" t="s">
        <v>30</v>
      </c>
      <c r="P8222">
        <v>14.881875255942999</v>
      </c>
      <c r="Q8222">
        <v>1.4831722432883401</v>
      </c>
      <c r="R8222">
        <v>9.5384840609410695</v>
      </c>
      <c r="S8222">
        <v>173</v>
      </c>
      <c r="T8222">
        <v>77</v>
      </c>
      <c r="U8222">
        <v>229.31122829445599</v>
      </c>
      <c r="V8222">
        <v>3.7257824143070001E-3</v>
      </c>
      <c r="W8222">
        <v>514933.00394267798</v>
      </c>
      <c r="X8222" t="s">
        <v>38</v>
      </c>
      <c r="Y8222">
        <f>1-986-669-9209</f>
        <v>-10863</v>
      </c>
    </row>
    <row r="8223" spans="1:25" x14ac:dyDescent="0.35">
      <c r="A8223">
        <v>36.373528085605699</v>
      </c>
      <c r="B8223">
        <v>-122.065032675759</v>
      </c>
      <c r="C8223" t="s">
        <v>34</v>
      </c>
      <c r="D8223">
        <v>36.6449016826842</v>
      </c>
      <c r="E8223">
        <v>7</v>
      </c>
      <c r="F8223">
        <v>3141</v>
      </c>
      <c r="G8223">
        <v>3</v>
      </c>
      <c r="H8223">
        <v>3</v>
      </c>
      <c r="I8223">
        <v>2008</v>
      </c>
      <c r="J8223">
        <v>1</v>
      </c>
      <c r="K8223">
        <v>1</v>
      </c>
      <c r="L8223">
        <v>1</v>
      </c>
      <c r="M8223">
        <v>2</v>
      </c>
      <c r="N8223" t="s">
        <v>35</v>
      </c>
      <c r="O8223" t="s">
        <v>27</v>
      </c>
      <c r="P8223">
        <v>11.2942172790718</v>
      </c>
      <c r="Q8223">
        <v>1.63646657109824</v>
      </c>
      <c r="R8223">
        <v>4.1849489739703003</v>
      </c>
      <c r="S8223">
        <v>196</v>
      </c>
      <c r="T8223">
        <v>56</v>
      </c>
      <c r="U8223">
        <v>388.48650800207002</v>
      </c>
      <c r="V8223">
        <v>6.3673989175421798E-4</v>
      </c>
      <c r="W8223">
        <v>1676858.24054063</v>
      </c>
      <c r="X8223" t="s">
        <v>40</v>
      </c>
      <c r="Y8223">
        <f>1-848-450-8328</f>
        <v>-9625</v>
      </c>
    </row>
    <row r="8224" spans="1:25" x14ac:dyDescent="0.35">
      <c r="A8224">
        <v>39.913614165496497</v>
      </c>
      <c r="B8224">
        <v>-122.01005565184199</v>
      </c>
      <c r="C8224" t="s">
        <v>29</v>
      </c>
      <c r="D8224">
        <v>19.584245100058599</v>
      </c>
      <c r="E8224">
        <v>7</v>
      </c>
      <c r="F8224">
        <v>4606</v>
      </c>
      <c r="G8224">
        <v>5</v>
      </c>
      <c r="H8224">
        <v>3</v>
      </c>
      <c r="I8224">
        <v>1964</v>
      </c>
      <c r="J8224">
        <v>1</v>
      </c>
      <c r="K8224">
        <v>1</v>
      </c>
      <c r="L8224">
        <v>1</v>
      </c>
      <c r="M8224">
        <v>11</v>
      </c>
      <c r="N8224" t="s">
        <v>35</v>
      </c>
      <c r="O8224" t="s">
        <v>30</v>
      </c>
      <c r="P8224">
        <v>6.95823205624112</v>
      </c>
      <c r="Q8224">
        <v>1.73097303219513</v>
      </c>
      <c r="R8224">
        <v>6.4882189995476303</v>
      </c>
      <c r="S8224">
        <v>63</v>
      </c>
      <c r="T8224">
        <v>71</v>
      </c>
      <c r="U8224">
        <v>859.48996200166403</v>
      </c>
      <c r="V8224">
        <v>2.3881893182804998E-3</v>
      </c>
      <c r="W8224">
        <v>4349781.3558173804</v>
      </c>
      <c r="X8224" t="s">
        <v>38</v>
      </c>
      <c r="Y8224">
        <f>1-469-939-8605</f>
        <v>-10012</v>
      </c>
    </row>
    <row r="8225" spans="1:25" x14ac:dyDescent="0.35">
      <c r="A8225">
        <v>34.057833685931598</v>
      </c>
      <c r="B8225">
        <v>-117.611479605592</v>
      </c>
      <c r="C8225" t="s">
        <v>29</v>
      </c>
      <c r="D8225">
        <v>47.742099498004897</v>
      </c>
      <c r="E8225">
        <v>8</v>
      </c>
      <c r="F8225">
        <v>2376</v>
      </c>
      <c r="G8225">
        <v>4</v>
      </c>
      <c r="H8225">
        <v>2</v>
      </c>
      <c r="I8225">
        <v>1966</v>
      </c>
      <c r="J8225">
        <v>0</v>
      </c>
      <c r="K8225">
        <v>1</v>
      </c>
      <c r="L8225">
        <v>1</v>
      </c>
      <c r="M8225">
        <v>6</v>
      </c>
      <c r="N8225" t="s">
        <v>37</v>
      </c>
      <c r="O8225" t="s">
        <v>32</v>
      </c>
      <c r="P8225">
        <v>13.7156826519382</v>
      </c>
      <c r="Q8225">
        <v>2.3037250708637602</v>
      </c>
      <c r="R8225">
        <v>8.5377445803724008</v>
      </c>
      <c r="S8225">
        <v>143</v>
      </c>
      <c r="T8225">
        <v>40</v>
      </c>
      <c r="U8225">
        <v>853.25173578845795</v>
      </c>
      <c r="V8225">
        <v>2.5252525252525198E-3</v>
      </c>
      <c r="W8225">
        <v>2482938.8660180001</v>
      </c>
      <c r="X8225" t="s">
        <v>33</v>
      </c>
      <c r="Y8225">
        <f>1-677-907-4427</f>
        <v>-6010</v>
      </c>
    </row>
    <row r="8226" spans="1:25" x14ac:dyDescent="0.35">
      <c r="A8226">
        <v>36.170533951267601</v>
      </c>
      <c r="B8226">
        <v>-118.44391727485799</v>
      </c>
      <c r="C8226" t="s">
        <v>25</v>
      </c>
      <c r="D8226">
        <v>24.1697056015886</v>
      </c>
      <c r="E8226">
        <v>2</v>
      </c>
      <c r="F8226">
        <v>928</v>
      </c>
      <c r="G8226">
        <v>1</v>
      </c>
      <c r="H8226">
        <v>3</v>
      </c>
      <c r="I8226">
        <v>1977</v>
      </c>
      <c r="J8226">
        <v>1</v>
      </c>
      <c r="K8226">
        <v>0</v>
      </c>
      <c r="L8226">
        <v>1</v>
      </c>
      <c r="M8226">
        <v>9</v>
      </c>
      <c r="N8226" t="s">
        <v>26</v>
      </c>
      <c r="O8226" t="s">
        <v>30</v>
      </c>
      <c r="P8226">
        <v>14.090067842719501</v>
      </c>
      <c r="Q8226">
        <v>1.5279273769189501</v>
      </c>
      <c r="R8226">
        <v>1.33272038914656</v>
      </c>
      <c r="S8226">
        <v>71</v>
      </c>
      <c r="T8226">
        <v>31</v>
      </c>
      <c r="U8226">
        <v>359.71474442891099</v>
      </c>
      <c r="V8226">
        <v>9.6982758620689606E-3</v>
      </c>
      <c r="W8226">
        <v>461508.99625299301</v>
      </c>
      <c r="X8226" t="s">
        <v>31</v>
      </c>
      <c r="Y8226">
        <f>1-391-964-4797</f>
        <v>-6151</v>
      </c>
    </row>
    <row r="8227" spans="1:25" x14ac:dyDescent="0.35">
      <c r="A8227">
        <v>39.147277165413598</v>
      </c>
      <c r="B8227">
        <v>-123.61454952478501</v>
      </c>
      <c r="C8227" t="s">
        <v>29</v>
      </c>
      <c r="D8227">
        <v>44.964061488466299</v>
      </c>
      <c r="E8227">
        <v>5</v>
      </c>
      <c r="F8227">
        <v>685</v>
      </c>
      <c r="G8227">
        <v>2</v>
      </c>
      <c r="H8227">
        <v>2</v>
      </c>
      <c r="I8227">
        <v>1996</v>
      </c>
      <c r="J8227">
        <v>0</v>
      </c>
      <c r="K8227">
        <v>1</v>
      </c>
      <c r="L8227">
        <v>1</v>
      </c>
      <c r="M8227">
        <v>2</v>
      </c>
      <c r="N8227" t="s">
        <v>41</v>
      </c>
      <c r="O8227" t="s">
        <v>30</v>
      </c>
      <c r="P8227">
        <v>6.2323759703360802</v>
      </c>
      <c r="Q8227">
        <v>2.3887632801296199</v>
      </c>
      <c r="R8227">
        <v>5.2634339514477997</v>
      </c>
      <c r="S8227">
        <v>164</v>
      </c>
      <c r="T8227">
        <v>50</v>
      </c>
      <c r="U8227">
        <v>645.09630890723599</v>
      </c>
      <c r="V8227">
        <v>2.9197080291970801E-3</v>
      </c>
      <c r="W8227">
        <v>747481.01396820997</v>
      </c>
      <c r="X8227" t="s">
        <v>42</v>
      </c>
      <c r="Y8227">
        <f>1-277-759-5358</f>
        <v>-6393</v>
      </c>
    </row>
    <row r="8228" spans="1:25" x14ac:dyDescent="0.35">
      <c r="A8228">
        <v>33.807797757628002</v>
      </c>
      <c r="B8228">
        <v>-122.790687378887</v>
      </c>
      <c r="C8228" t="s">
        <v>34</v>
      </c>
      <c r="D8228">
        <v>25.371701222178402</v>
      </c>
      <c r="E8228">
        <v>1</v>
      </c>
      <c r="F8228">
        <v>4112</v>
      </c>
      <c r="G8228">
        <v>1</v>
      </c>
      <c r="H8228">
        <v>3</v>
      </c>
      <c r="I8228">
        <v>1994</v>
      </c>
      <c r="J8228">
        <v>1</v>
      </c>
      <c r="K8228">
        <v>1</v>
      </c>
      <c r="L8228">
        <v>0</v>
      </c>
      <c r="M8228">
        <v>2</v>
      </c>
      <c r="N8228" t="s">
        <v>37</v>
      </c>
      <c r="O8228" t="s">
        <v>32</v>
      </c>
      <c r="P8228">
        <v>9.2000804453413103</v>
      </c>
      <c r="Q8228">
        <v>1.82895284012742</v>
      </c>
      <c r="R8228">
        <v>5.2226147444740798</v>
      </c>
      <c r="S8228">
        <v>138</v>
      </c>
      <c r="T8228">
        <v>39</v>
      </c>
      <c r="U8228">
        <v>408.711189078985</v>
      </c>
      <c r="V8228">
        <v>4.8638132295719802E-4</v>
      </c>
      <c r="W8228">
        <v>1932627.9900559799</v>
      </c>
      <c r="X8228" t="s">
        <v>43</v>
      </c>
      <c r="Y8228">
        <f>1-678-952-7889</f>
        <v>-9518</v>
      </c>
    </row>
    <row r="8229" spans="1:25" x14ac:dyDescent="0.35">
      <c r="A8229">
        <v>39.272543502021698</v>
      </c>
      <c r="B8229">
        <v>-117.899099663611</v>
      </c>
      <c r="C8229" t="s">
        <v>34</v>
      </c>
      <c r="D8229">
        <v>42.124832272995199</v>
      </c>
      <c r="E8229">
        <v>7</v>
      </c>
      <c r="F8229">
        <v>777</v>
      </c>
      <c r="G8229">
        <v>1</v>
      </c>
      <c r="H8229">
        <v>1</v>
      </c>
      <c r="I8229">
        <v>1969</v>
      </c>
      <c r="J8229">
        <v>0</v>
      </c>
      <c r="K8229">
        <v>1</v>
      </c>
      <c r="L8229">
        <v>0</v>
      </c>
      <c r="M8229">
        <v>9</v>
      </c>
      <c r="N8229" t="s">
        <v>26</v>
      </c>
      <c r="O8229" t="s">
        <v>30</v>
      </c>
      <c r="P8229">
        <v>13.2061567860186</v>
      </c>
      <c r="Q8229">
        <v>1.24304997554053</v>
      </c>
      <c r="R8229">
        <v>3.43638957665544</v>
      </c>
      <c r="S8229">
        <v>89</v>
      </c>
      <c r="T8229">
        <v>53</v>
      </c>
      <c r="U8229">
        <v>330.58220546441601</v>
      </c>
      <c r="V8229">
        <v>1.1583011583011499E-2</v>
      </c>
      <c r="W8229">
        <v>341525.499469587</v>
      </c>
      <c r="X8229" t="s">
        <v>43</v>
      </c>
      <c r="Y8229">
        <f>1-547-125-1403</f>
        <v>-2074</v>
      </c>
    </row>
    <row r="8230" spans="1:25" x14ac:dyDescent="0.35">
      <c r="A8230">
        <v>38.429373781133101</v>
      </c>
      <c r="B8230">
        <v>-119.33893477179799</v>
      </c>
      <c r="C8230" t="s">
        <v>25</v>
      </c>
      <c r="D8230">
        <v>43.178316484165499</v>
      </c>
      <c r="E8230">
        <v>1</v>
      </c>
      <c r="F8230">
        <v>1421</v>
      </c>
      <c r="G8230">
        <v>5</v>
      </c>
      <c r="H8230">
        <v>2</v>
      </c>
      <c r="I8230">
        <v>2000</v>
      </c>
      <c r="J8230">
        <v>0</v>
      </c>
      <c r="K8230">
        <v>1</v>
      </c>
      <c r="L8230">
        <v>0</v>
      </c>
      <c r="M8230">
        <v>6</v>
      </c>
      <c r="N8230" t="s">
        <v>41</v>
      </c>
      <c r="O8230" t="s">
        <v>30</v>
      </c>
      <c r="P8230">
        <v>14.8186840548295</v>
      </c>
      <c r="Q8230">
        <v>1.08122484269441</v>
      </c>
      <c r="R8230">
        <v>4.2012385089839697</v>
      </c>
      <c r="S8230">
        <v>171</v>
      </c>
      <c r="T8230">
        <v>66</v>
      </c>
      <c r="U8230">
        <v>473.04014295356097</v>
      </c>
      <c r="V8230">
        <v>4.22237860661506E-3</v>
      </c>
      <c r="W8230">
        <v>1109873.8114401901</v>
      </c>
      <c r="X8230" t="s">
        <v>44</v>
      </c>
      <c r="Y8230">
        <f>1-520-530-2587</f>
        <v>-3636</v>
      </c>
    </row>
    <row r="8231" spans="1:25" x14ac:dyDescent="0.35">
      <c r="A8231">
        <v>38.437903177151099</v>
      </c>
      <c r="B8231">
        <v>-115.15386964635699</v>
      </c>
      <c r="C8231" t="s">
        <v>25</v>
      </c>
      <c r="D8231">
        <v>24.211028866662499</v>
      </c>
      <c r="E8231">
        <v>2</v>
      </c>
      <c r="F8231">
        <v>3494</v>
      </c>
      <c r="G8231">
        <v>1</v>
      </c>
      <c r="H8231">
        <v>2</v>
      </c>
      <c r="I8231">
        <v>1956</v>
      </c>
      <c r="J8231">
        <v>0</v>
      </c>
      <c r="K8231">
        <v>0</v>
      </c>
      <c r="L8231">
        <v>0</v>
      </c>
      <c r="M8231">
        <v>10</v>
      </c>
      <c r="N8231" t="s">
        <v>37</v>
      </c>
      <c r="O8231" t="s">
        <v>32</v>
      </c>
      <c r="P8231">
        <v>12.501849243253099</v>
      </c>
      <c r="Q8231">
        <v>2.1155013720898999</v>
      </c>
      <c r="R8231">
        <v>5.3328583545867998</v>
      </c>
      <c r="S8231">
        <v>84</v>
      </c>
      <c r="T8231">
        <v>76</v>
      </c>
      <c r="U8231">
        <v>939.59415305420896</v>
      </c>
      <c r="V8231">
        <v>2.8620492272466999E-3</v>
      </c>
      <c r="W8231">
        <v>3285136.71265965</v>
      </c>
      <c r="X8231" t="s">
        <v>39</v>
      </c>
      <c r="Y8231">
        <f>1-385-344-8251</f>
        <v>-8979</v>
      </c>
    </row>
    <row r="8232" spans="1:25" x14ac:dyDescent="0.35">
      <c r="A8232">
        <v>34.576958683734901</v>
      </c>
      <c r="B8232">
        <v>-123.692216808616</v>
      </c>
      <c r="C8232" t="s">
        <v>29</v>
      </c>
      <c r="D8232">
        <v>3.1482469937466599</v>
      </c>
      <c r="E8232">
        <v>9</v>
      </c>
      <c r="F8232">
        <v>1750</v>
      </c>
      <c r="G8232">
        <v>2</v>
      </c>
      <c r="H8232">
        <v>3</v>
      </c>
      <c r="I8232">
        <v>1969</v>
      </c>
      <c r="J8232">
        <v>1</v>
      </c>
      <c r="K8232">
        <v>0</v>
      </c>
      <c r="L8232">
        <v>0</v>
      </c>
      <c r="M8232">
        <v>13</v>
      </c>
      <c r="N8232" t="s">
        <v>37</v>
      </c>
      <c r="O8232" t="s">
        <v>32</v>
      </c>
      <c r="P8232">
        <v>8.2265981920053797</v>
      </c>
      <c r="Q8232">
        <v>1.9956472884241601</v>
      </c>
      <c r="R8232">
        <v>6.42320442978082</v>
      </c>
      <c r="S8232">
        <v>157</v>
      </c>
      <c r="T8232">
        <v>23</v>
      </c>
      <c r="U8232">
        <v>649.39646552781005</v>
      </c>
      <c r="V8232">
        <v>7.4285714285714198E-3</v>
      </c>
      <c r="W8232">
        <v>1354411.9899205901</v>
      </c>
      <c r="X8232" t="s">
        <v>39</v>
      </c>
      <c r="Y8232">
        <f>1-209-959-1177</f>
        <v>-2344</v>
      </c>
    </row>
    <row r="8233" spans="1:25" x14ac:dyDescent="0.35">
      <c r="A8233">
        <v>34.855885347708501</v>
      </c>
      <c r="B8233">
        <v>-123.763529454589</v>
      </c>
      <c r="C8233" t="s">
        <v>29</v>
      </c>
      <c r="D8233">
        <v>13.5242862025188</v>
      </c>
      <c r="E8233">
        <v>0</v>
      </c>
      <c r="F8233">
        <v>2286</v>
      </c>
      <c r="G8233">
        <v>2</v>
      </c>
      <c r="H8233">
        <v>1</v>
      </c>
      <c r="I8233">
        <v>1992</v>
      </c>
      <c r="J8233">
        <v>0</v>
      </c>
      <c r="K8233">
        <v>1</v>
      </c>
      <c r="L8233">
        <v>0</v>
      </c>
      <c r="M8233">
        <v>6</v>
      </c>
      <c r="N8233" t="s">
        <v>37</v>
      </c>
      <c r="O8233" t="s">
        <v>27</v>
      </c>
      <c r="P8233">
        <v>6.0063335632686004</v>
      </c>
      <c r="Q8233">
        <v>0.90059909114464698</v>
      </c>
      <c r="R8233">
        <v>8.0985722286434907</v>
      </c>
      <c r="S8233">
        <v>104</v>
      </c>
      <c r="T8233">
        <v>61</v>
      </c>
      <c r="U8233">
        <v>921.55607211081303</v>
      </c>
      <c r="V8233">
        <v>2.62467191601049E-3</v>
      </c>
      <c r="W8233">
        <v>2372127.3296391401</v>
      </c>
      <c r="X8233" t="s">
        <v>39</v>
      </c>
      <c r="Y8233">
        <f>1-438-296-6592</f>
        <v>-7325</v>
      </c>
    </row>
    <row r="8234" spans="1:25" x14ac:dyDescent="0.35">
      <c r="A8234">
        <v>34.832462770758497</v>
      </c>
      <c r="B8234">
        <v>-122.43400045249599</v>
      </c>
      <c r="C8234" t="s">
        <v>34</v>
      </c>
      <c r="D8234">
        <v>15.156326366037</v>
      </c>
      <c r="E8234">
        <v>4</v>
      </c>
      <c r="F8234">
        <v>1197</v>
      </c>
      <c r="G8234">
        <v>5</v>
      </c>
      <c r="H8234">
        <v>1</v>
      </c>
      <c r="I8234">
        <v>1983</v>
      </c>
      <c r="J8234">
        <v>0</v>
      </c>
      <c r="K8234">
        <v>0</v>
      </c>
      <c r="L8234">
        <v>0</v>
      </c>
      <c r="M8234">
        <v>6</v>
      </c>
      <c r="N8234" t="s">
        <v>41</v>
      </c>
      <c r="O8234" t="s">
        <v>30</v>
      </c>
      <c r="P8234">
        <v>9.1785352125330295</v>
      </c>
      <c r="Q8234">
        <v>1.53930616320061</v>
      </c>
      <c r="R8234">
        <v>3.6069989848028001</v>
      </c>
      <c r="S8234">
        <v>18</v>
      </c>
      <c r="T8234">
        <v>20</v>
      </c>
      <c r="U8234">
        <v>661.05237261680395</v>
      </c>
      <c r="V8234">
        <v>5.0125313283208E-3</v>
      </c>
      <c r="W8234">
        <v>1088991.6981057399</v>
      </c>
      <c r="X8234" t="s">
        <v>43</v>
      </c>
      <c r="Y8234">
        <f>1-770-199-2131</f>
        <v>-3099</v>
      </c>
    </row>
    <row r="8235" spans="1:25" x14ac:dyDescent="0.35">
      <c r="A8235">
        <v>33.305180298089397</v>
      </c>
      <c r="B8235">
        <v>-116.559160122796</v>
      </c>
      <c r="C8235" t="s">
        <v>25</v>
      </c>
      <c r="D8235">
        <v>12.418798426037201</v>
      </c>
      <c r="E8235">
        <v>2</v>
      </c>
      <c r="F8235">
        <v>2147</v>
      </c>
      <c r="G8235">
        <v>4</v>
      </c>
      <c r="H8235">
        <v>3</v>
      </c>
      <c r="I8235">
        <v>2011</v>
      </c>
      <c r="J8235">
        <v>0</v>
      </c>
      <c r="K8235">
        <v>0</v>
      </c>
      <c r="L8235">
        <v>0</v>
      </c>
      <c r="M8235">
        <v>10</v>
      </c>
      <c r="N8235" t="s">
        <v>26</v>
      </c>
      <c r="O8235" t="s">
        <v>30</v>
      </c>
      <c r="P8235">
        <v>3.49520750978493</v>
      </c>
      <c r="Q8235">
        <v>1.8067229674804599</v>
      </c>
      <c r="R8235">
        <v>8.1953545961332193</v>
      </c>
      <c r="S8235">
        <v>128</v>
      </c>
      <c r="T8235">
        <v>40</v>
      </c>
      <c r="U8235">
        <v>400.90893779175599</v>
      </c>
      <c r="V8235">
        <v>4.6576618537494101E-3</v>
      </c>
      <c r="W8235">
        <v>1106969.71755325</v>
      </c>
      <c r="X8235" t="s">
        <v>38</v>
      </c>
      <c r="Y8235">
        <f>1-790-111-4359</f>
        <v>-5259</v>
      </c>
    </row>
    <row r="8236" spans="1:25" x14ac:dyDescent="0.35">
      <c r="A8236">
        <v>41.984300795739401</v>
      </c>
      <c r="B8236">
        <v>-118.915802341155</v>
      </c>
      <c r="C8236" t="s">
        <v>25</v>
      </c>
      <c r="D8236">
        <v>18.0267373247428</v>
      </c>
      <c r="E8236">
        <v>4</v>
      </c>
      <c r="F8236">
        <v>3364</v>
      </c>
      <c r="G8236">
        <v>1</v>
      </c>
      <c r="H8236">
        <v>1</v>
      </c>
      <c r="I8236">
        <v>1957</v>
      </c>
      <c r="J8236">
        <v>1</v>
      </c>
      <c r="K8236">
        <v>0</v>
      </c>
      <c r="L8236">
        <v>1</v>
      </c>
      <c r="M8236">
        <v>10</v>
      </c>
      <c r="N8236" t="s">
        <v>41</v>
      </c>
      <c r="O8236" t="s">
        <v>30</v>
      </c>
      <c r="P8236">
        <v>10.4421255070689</v>
      </c>
      <c r="Q8236">
        <v>2.2007023460389701</v>
      </c>
      <c r="R8236">
        <v>2.3889254087335501</v>
      </c>
      <c r="S8236">
        <v>58</v>
      </c>
      <c r="T8236">
        <v>77</v>
      </c>
      <c r="U8236">
        <v>531.43228768394499</v>
      </c>
      <c r="V8236">
        <v>2.9726516052318601E-3</v>
      </c>
      <c r="W8236">
        <v>1907333.96527373</v>
      </c>
      <c r="X8236" t="s">
        <v>39</v>
      </c>
      <c r="Y8236">
        <f>1-522-765-3547</f>
        <v>-4833</v>
      </c>
    </row>
    <row r="8237" spans="1:25" x14ac:dyDescent="0.35">
      <c r="A8237">
        <v>39.992836037681599</v>
      </c>
      <c r="B8237">
        <v>-122.56781074113501</v>
      </c>
      <c r="C8237" t="s">
        <v>29</v>
      </c>
      <c r="D8237">
        <v>15.841370508549</v>
      </c>
      <c r="E8237">
        <v>6</v>
      </c>
      <c r="F8237">
        <v>2143</v>
      </c>
      <c r="G8237">
        <v>5</v>
      </c>
      <c r="H8237">
        <v>3</v>
      </c>
      <c r="I8237">
        <v>1991</v>
      </c>
      <c r="J8237">
        <v>1</v>
      </c>
      <c r="K8237">
        <v>0</v>
      </c>
      <c r="L8237">
        <v>1</v>
      </c>
      <c r="M8237">
        <v>9</v>
      </c>
      <c r="N8237" t="s">
        <v>26</v>
      </c>
      <c r="O8237" t="s">
        <v>30</v>
      </c>
      <c r="P8237">
        <v>13.658882972292099</v>
      </c>
      <c r="Q8237">
        <v>0.94688286164707502</v>
      </c>
      <c r="R8237">
        <v>7.8754520337708298</v>
      </c>
      <c r="S8237">
        <v>196</v>
      </c>
      <c r="T8237">
        <v>59</v>
      </c>
      <c r="U8237">
        <v>339.91485939465701</v>
      </c>
      <c r="V8237">
        <v>4.1997200186654196E-3</v>
      </c>
      <c r="W8237">
        <v>1121405.69868858</v>
      </c>
      <c r="X8237" t="s">
        <v>28</v>
      </c>
      <c r="Y8237">
        <f>1-734-167-6084</f>
        <v>-6984</v>
      </c>
    </row>
    <row r="8238" spans="1:25" x14ac:dyDescent="0.35">
      <c r="A8238">
        <v>34.879610132777998</v>
      </c>
      <c r="B8238">
        <v>-117.732171675722</v>
      </c>
      <c r="C8238" t="s">
        <v>29</v>
      </c>
      <c r="D8238">
        <v>18.142562819930902</v>
      </c>
      <c r="E8238">
        <v>7</v>
      </c>
      <c r="F8238">
        <v>1595</v>
      </c>
      <c r="G8238">
        <v>4</v>
      </c>
      <c r="H8238">
        <v>3</v>
      </c>
      <c r="I8238">
        <v>2006</v>
      </c>
      <c r="J8238">
        <v>1</v>
      </c>
      <c r="K8238">
        <v>1</v>
      </c>
      <c r="L8238">
        <v>0</v>
      </c>
      <c r="M8238">
        <v>8</v>
      </c>
      <c r="N8238" t="s">
        <v>41</v>
      </c>
      <c r="O8238" t="s">
        <v>30</v>
      </c>
      <c r="P8238">
        <v>5.2653544201825904</v>
      </c>
      <c r="Q8238">
        <v>1.19452468773853</v>
      </c>
      <c r="R8238">
        <v>2.35081800621079</v>
      </c>
      <c r="S8238">
        <v>33</v>
      </c>
      <c r="T8238">
        <v>38</v>
      </c>
      <c r="U8238">
        <v>845.68473578601004</v>
      </c>
      <c r="V8238">
        <v>5.0156739811912203E-3</v>
      </c>
      <c r="W8238">
        <v>1792969.41635433</v>
      </c>
      <c r="X8238" t="s">
        <v>38</v>
      </c>
      <c r="Y8238">
        <f>1-794-413-2238</f>
        <v>-3444</v>
      </c>
    </row>
    <row r="8239" spans="1:25" x14ac:dyDescent="0.35">
      <c r="A8239">
        <v>34.7212590249122</v>
      </c>
      <c r="B8239">
        <v>-115.35100399723601</v>
      </c>
      <c r="C8239" t="s">
        <v>25</v>
      </c>
      <c r="D8239">
        <v>16.561340647031201</v>
      </c>
      <c r="E8239">
        <v>3</v>
      </c>
      <c r="F8239">
        <v>3377</v>
      </c>
      <c r="G8239">
        <v>4</v>
      </c>
      <c r="H8239">
        <v>2</v>
      </c>
      <c r="I8239">
        <v>1967</v>
      </c>
      <c r="J8239">
        <v>1</v>
      </c>
      <c r="K8239">
        <v>1</v>
      </c>
      <c r="L8239">
        <v>0</v>
      </c>
      <c r="M8239">
        <v>13</v>
      </c>
      <c r="N8239" t="s">
        <v>26</v>
      </c>
      <c r="O8239" t="s">
        <v>30</v>
      </c>
      <c r="P8239">
        <v>4.1338659289534103</v>
      </c>
      <c r="Q8239">
        <v>2.4076818022869602</v>
      </c>
      <c r="R8239">
        <v>9.8038067675985801</v>
      </c>
      <c r="S8239">
        <v>15</v>
      </c>
      <c r="T8239">
        <v>43</v>
      </c>
      <c r="U8239">
        <v>729.89074104386395</v>
      </c>
      <c r="V8239">
        <v>3.8495706248149199E-3</v>
      </c>
      <c r="W8239">
        <v>2749430.87067942</v>
      </c>
      <c r="X8239" t="s">
        <v>28</v>
      </c>
      <c r="Y8239">
        <f>1-342-331-1390</f>
        <v>-2062</v>
      </c>
    </row>
    <row r="8240" spans="1:25" x14ac:dyDescent="0.35">
      <c r="A8240">
        <v>35.694541356223901</v>
      </c>
      <c r="B8240">
        <v>-115.896278550636</v>
      </c>
      <c r="C8240" t="s">
        <v>34</v>
      </c>
      <c r="D8240">
        <v>2.5301573427344199</v>
      </c>
      <c r="E8240">
        <v>1</v>
      </c>
      <c r="F8240">
        <v>2690</v>
      </c>
      <c r="G8240">
        <v>3</v>
      </c>
      <c r="H8240">
        <v>1</v>
      </c>
      <c r="I8240">
        <v>1979</v>
      </c>
      <c r="J8240">
        <v>1</v>
      </c>
      <c r="K8240">
        <v>0</v>
      </c>
      <c r="L8240">
        <v>1</v>
      </c>
      <c r="M8240">
        <v>13</v>
      </c>
      <c r="N8240" t="s">
        <v>37</v>
      </c>
      <c r="O8240" t="s">
        <v>27</v>
      </c>
      <c r="P8240">
        <v>14.1304457527065</v>
      </c>
      <c r="Q8240">
        <v>1.68939458534929</v>
      </c>
      <c r="R8240">
        <v>1.0082024569761401</v>
      </c>
      <c r="S8240">
        <v>98</v>
      </c>
      <c r="T8240">
        <v>30</v>
      </c>
      <c r="U8240">
        <v>842.10441136334498</v>
      </c>
      <c r="V8240">
        <v>4.8327137546468396E-3</v>
      </c>
      <c r="W8240">
        <v>2538179.2186616501</v>
      </c>
      <c r="X8240" t="s">
        <v>39</v>
      </c>
      <c r="Y8240">
        <f>1-840-204-8809</f>
        <v>-9852</v>
      </c>
    </row>
    <row r="8241" spans="1:25" x14ac:dyDescent="0.35">
      <c r="A8241">
        <v>41.106782478488299</v>
      </c>
      <c r="B8241">
        <v>-119.49140070228</v>
      </c>
      <c r="C8241" t="s">
        <v>34</v>
      </c>
      <c r="D8241">
        <v>25.8899412117356</v>
      </c>
      <c r="E8241">
        <v>5</v>
      </c>
      <c r="F8241">
        <v>1350</v>
      </c>
      <c r="G8241">
        <v>3</v>
      </c>
      <c r="H8241">
        <v>1</v>
      </c>
      <c r="I8241">
        <v>1968</v>
      </c>
      <c r="J8241">
        <v>1</v>
      </c>
      <c r="K8241">
        <v>0</v>
      </c>
      <c r="L8241">
        <v>1</v>
      </c>
      <c r="M8241">
        <v>9</v>
      </c>
      <c r="N8241" t="s">
        <v>37</v>
      </c>
      <c r="O8241" t="s">
        <v>30</v>
      </c>
      <c r="P8241">
        <v>4.7734053378211998</v>
      </c>
      <c r="Q8241">
        <v>0.998791751223574</v>
      </c>
      <c r="R8241">
        <v>4.7972516395000504</v>
      </c>
      <c r="S8241">
        <v>47</v>
      </c>
      <c r="T8241">
        <v>75</v>
      </c>
      <c r="U8241">
        <v>205.74880015617799</v>
      </c>
      <c r="V8241">
        <v>6.6666666666666602E-3</v>
      </c>
      <c r="W8241">
        <v>497800.432391382</v>
      </c>
      <c r="X8241" t="s">
        <v>43</v>
      </c>
      <c r="Y8241">
        <f>1-980-987-4451</f>
        <v>-6417</v>
      </c>
    </row>
    <row r="8242" spans="1:25" x14ac:dyDescent="0.35">
      <c r="A8242">
        <v>35.572788867861597</v>
      </c>
      <c r="B8242">
        <v>-117.280320587568</v>
      </c>
      <c r="C8242" t="s">
        <v>34</v>
      </c>
      <c r="D8242">
        <v>49.010153813025703</v>
      </c>
      <c r="E8242">
        <v>6</v>
      </c>
      <c r="F8242">
        <v>936</v>
      </c>
      <c r="G8242">
        <v>5</v>
      </c>
      <c r="H8242">
        <v>2</v>
      </c>
      <c r="I8242">
        <v>2002</v>
      </c>
      <c r="J8242">
        <v>0</v>
      </c>
      <c r="K8242">
        <v>1</v>
      </c>
      <c r="L8242">
        <v>0</v>
      </c>
      <c r="M8242">
        <v>9</v>
      </c>
      <c r="N8242" t="s">
        <v>26</v>
      </c>
      <c r="O8242" t="s">
        <v>30</v>
      </c>
      <c r="P8242">
        <v>6.8963909352847299</v>
      </c>
      <c r="Q8242">
        <v>2.2228796308926699</v>
      </c>
      <c r="R8242">
        <v>8.7165206558196697</v>
      </c>
      <c r="S8242">
        <v>137</v>
      </c>
      <c r="T8242">
        <v>27</v>
      </c>
      <c r="U8242">
        <v>375.89386834433799</v>
      </c>
      <c r="V8242">
        <v>9.6153846153846107E-3</v>
      </c>
      <c r="W8242">
        <v>706839.13508223998</v>
      </c>
      <c r="X8242" t="s">
        <v>42</v>
      </c>
      <c r="Y8242">
        <f>1-586-849-6731</f>
        <v>-8165</v>
      </c>
    </row>
    <row r="8243" spans="1:25" x14ac:dyDescent="0.35">
      <c r="A8243">
        <v>34.824656927919897</v>
      </c>
      <c r="B8243">
        <v>-122.743177020285</v>
      </c>
      <c r="C8243" t="s">
        <v>29</v>
      </c>
      <c r="D8243">
        <v>2.2016873344660599</v>
      </c>
      <c r="E8243">
        <v>2</v>
      </c>
      <c r="F8243">
        <v>791</v>
      </c>
      <c r="G8243">
        <v>2</v>
      </c>
      <c r="H8243">
        <v>3</v>
      </c>
      <c r="I8243">
        <v>2014</v>
      </c>
      <c r="J8243">
        <v>0</v>
      </c>
      <c r="K8243">
        <v>1</v>
      </c>
      <c r="L8243">
        <v>1</v>
      </c>
      <c r="M8243">
        <v>4</v>
      </c>
      <c r="N8243" t="s">
        <v>37</v>
      </c>
      <c r="O8243" t="s">
        <v>32</v>
      </c>
      <c r="P8243">
        <v>10.233589307023299</v>
      </c>
      <c r="Q8243">
        <v>0.93370252151609201</v>
      </c>
      <c r="R8243">
        <v>1.3849645541408</v>
      </c>
      <c r="S8243">
        <v>104</v>
      </c>
      <c r="T8243">
        <v>73</v>
      </c>
      <c r="U8243">
        <v>232.75840797342099</v>
      </c>
      <c r="V8243">
        <v>5.0568900126422203E-3</v>
      </c>
      <c r="W8243">
        <v>417951.28693010402</v>
      </c>
      <c r="X8243" t="s">
        <v>40</v>
      </c>
      <c r="Y8243">
        <f>1-897-830-8632</f>
        <v>-10358</v>
      </c>
    </row>
    <row r="8244" spans="1:25" x14ac:dyDescent="0.35">
      <c r="A8244">
        <v>41.899653856016499</v>
      </c>
      <c r="B8244">
        <v>-122.099272571299</v>
      </c>
      <c r="C8244" t="s">
        <v>34</v>
      </c>
      <c r="D8244">
        <v>34.766038621394401</v>
      </c>
      <c r="E8244">
        <v>9</v>
      </c>
      <c r="F8244">
        <v>2112</v>
      </c>
      <c r="G8244">
        <v>4</v>
      </c>
      <c r="H8244">
        <v>3</v>
      </c>
      <c r="I8244">
        <v>1971</v>
      </c>
      <c r="J8244">
        <v>1</v>
      </c>
      <c r="K8244">
        <v>1</v>
      </c>
      <c r="L8244">
        <v>1</v>
      </c>
      <c r="M8244">
        <v>13</v>
      </c>
      <c r="N8244" t="s">
        <v>26</v>
      </c>
      <c r="O8244" t="s">
        <v>30</v>
      </c>
      <c r="P8244">
        <v>6.9994858606200996</v>
      </c>
      <c r="Q8244">
        <v>1.6187943224774199</v>
      </c>
      <c r="R8244">
        <v>8.5772459058809503</v>
      </c>
      <c r="S8244">
        <v>7</v>
      </c>
      <c r="T8244">
        <v>42</v>
      </c>
      <c r="U8244">
        <v>294.73401730780301</v>
      </c>
      <c r="V8244">
        <v>6.15530303030303E-3</v>
      </c>
      <c r="W8244">
        <v>1073245.7451570099</v>
      </c>
      <c r="X8244" t="s">
        <v>28</v>
      </c>
      <c r="Y8244">
        <f>1-491-804-4357</f>
        <v>-5651</v>
      </c>
    </row>
    <row r="8245" spans="1:25" x14ac:dyDescent="0.35">
      <c r="A8245">
        <v>32.655861089913202</v>
      </c>
      <c r="B8245">
        <v>-122.31003223374</v>
      </c>
      <c r="C8245" t="s">
        <v>34</v>
      </c>
      <c r="D8245">
        <v>29.297677401871901</v>
      </c>
      <c r="E8245">
        <v>2</v>
      </c>
      <c r="F8245">
        <v>2709</v>
      </c>
      <c r="G8245">
        <v>2</v>
      </c>
      <c r="H8245">
        <v>1</v>
      </c>
      <c r="I8245">
        <v>1995</v>
      </c>
      <c r="J8245">
        <v>1</v>
      </c>
      <c r="K8245">
        <v>0</v>
      </c>
      <c r="L8245">
        <v>0</v>
      </c>
      <c r="M8245">
        <v>12</v>
      </c>
      <c r="N8245" t="s">
        <v>26</v>
      </c>
      <c r="O8245" t="s">
        <v>27</v>
      </c>
      <c r="P8245">
        <v>6.2011600378963703</v>
      </c>
      <c r="Q8245">
        <v>1.1640225521154099</v>
      </c>
      <c r="R8245">
        <v>3.4876381669856298</v>
      </c>
      <c r="S8245">
        <v>7</v>
      </c>
      <c r="T8245">
        <v>58</v>
      </c>
      <c r="U8245">
        <v>286.789573836344</v>
      </c>
      <c r="V8245">
        <v>4.4296788482834897E-3</v>
      </c>
      <c r="W8245">
        <v>939119.31369794195</v>
      </c>
      <c r="X8245" t="s">
        <v>33</v>
      </c>
      <c r="Y8245">
        <f>1-342-733-7925</f>
        <v>-8999</v>
      </c>
    </row>
    <row r="8246" spans="1:25" x14ac:dyDescent="0.35">
      <c r="A8246">
        <v>32.964443720880197</v>
      </c>
      <c r="B8246">
        <v>-124.162015606444</v>
      </c>
      <c r="C8246" t="s">
        <v>29</v>
      </c>
      <c r="D8246">
        <v>48.0015240444501</v>
      </c>
      <c r="E8246">
        <v>4</v>
      </c>
      <c r="F8246">
        <v>2491</v>
      </c>
      <c r="G8246">
        <v>2</v>
      </c>
      <c r="H8246">
        <v>1</v>
      </c>
      <c r="I8246">
        <v>2020</v>
      </c>
      <c r="J8246">
        <v>0</v>
      </c>
      <c r="K8246">
        <v>1</v>
      </c>
      <c r="L8246">
        <v>1</v>
      </c>
      <c r="M8246">
        <v>10</v>
      </c>
      <c r="N8246" t="s">
        <v>26</v>
      </c>
      <c r="O8246" t="s">
        <v>32</v>
      </c>
      <c r="P8246">
        <v>12.0387276616606</v>
      </c>
      <c r="Q8246">
        <v>0.70471708811321698</v>
      </c>
      <c r="R8246">
        <v>9.6299060070054399</v>
      </c>
      <c r="S8246">
        <v>103</v>
      </c>
      <c r="T8246">
        <v>40</v>
      </c>
      <c r="U8246">
        <v>942.977792953934</v>
      </c>
      <c r="V8246">
        <v>4.0144520272982704E-3</v>
      </c>
      <c r="W8246">
        <v>2732066.0655203499</v>
      </c>
      <c r="X8246" t="s">
        <v>38</v>
      </c>
      <c r="Y8246">
        <f>1-724-149-3626</f>
        <v>-4498</v>
      </c>
    </row>
    <row r="8247" spans="1:25" x14ac:dyDescent="0.35">
      <c r="A8247">
        <v>38.136111720323697</v>
      </c>
      <c r="B8247">
        <v>-122.906169188392</v>
      </c>
      <c r="C8247" t="s">
        <v>25</v>
      </c>
      <c r="D8247">
        <v>25.066922245686399</v>
      </c>
      <c r="E8247">
        <v>3</v>
      </c>
      <c r="F8247">
        <v>3411</v>
      </c>
      <c r="G8247">
        <v>4</v>
      </c>
      <c r="H8247">
        <v>1</v>
      </c>
      <c r="I8247">
        <v>1958</v>
      </c>
      <c r="J8247">
        <v>1</v>
      </c>
      <c r="K8247">
        <v>0</v>
      </c>
      <c r="L8247">
        <v>1</v>
      </c>
      <c r="M8247">
        <v>10</v>
      </c>
      <c r="N8247" t="s">
        <v>35</v>
      </c>
      <c r="O8247" t="s">
        <v>32</v>
      </c>
      <c r="P8247">
        <v>2.18406769675012</v>
      </c>
      <c r="Q8247">
        <v>1.1827753215674599</v>
      </c>
      <c r="R8247">
        <v>7.85623347180133</v>
      </c>
      <c r="S8247">
        <v>47</v>
      </c>
      <c r="T8247">
        <v>32</v>
      </c>
      <c r="U8247">
        <v>393.94396541082199</v>
      </c>
      <c r="V8247">
        <v>2.9316915860451401E-3</v>
      </c>
      <c r="W8247">
        <v>1618802.4131978899</v>
      </c>
      <c r="X8247" t="s">
        <v>39</v>
      </c>
      <c r="Y8247">
        <f>1-630-375-5831</f>
        <v>-6835</v>
      </c>
    </row>
    <row r="8248" spans="1:25" x14ac:dyDescent="0.35">
      <c r="A8248">
        <v>37.725157889010298</v>
      </c>
      <c r="B8248">
        <v>-122.012863591155</v>
      </c>
      <c r="C8248" t="s">
        <v>34</v>
      </c>
      <c r="D8248">
        <v>46.570526483138799</v>
      </c>
      <c r="E8248">
        <v>2</v>
      </c>
      <c r="F8248">
        <v>3936</v>
      </c>
      <c r="G8248">
        <v>1</v>
      </c>
      <c r="H8248">
        <v>3</v>
      </c>
      <c r="I8248">
        <v>1978</v>
      </c>
      <c r="J8248">
        <v>1</v>
      </c>
      <c r="K8248">
        <v>0</v>
      </c>
      <c r="L8248">
        <v>0</v>
      </c>
      <c r="M8248">
        <v>8</v>
      </c>
      <c r="N8248" t="s">
        <v>37</v>
      </c>
      <c r="O8248" t="s">
        <v>27</v>
      </c>
      <c r="P8248">
        <v>12.134452239871001</v>
      </c>
      <c r="Q8248">
        <v>1.6389929961182299</v>
      </c>
      <c r="R8248">
        <v>7.89976701792214</v>
      </c>
      <c r="S8248">
        <v>15</v>
      </c>
      <c r="T8248">
        <v>30</v>
      </c>
      <c r="U8248">
        <v>417.104462697879</v>
      </c>
      <c r="V8248">
        <v>2.0325203252032501E-3</v>
      </c>
      <c r="W8248">
        <v>1867073.95117538</v>
      </c>
      <c r="X8248" t="s">
        <v>33</v>
      </c>
      <c r="Y8248">
        <f>1-273-157-8006</f>
        <v>-8435</v>
      </c>
    </row>
    <row r="8249" spans="1:25" x14ac:dyDescent="0.35">
      <c r="A8249">
        <v>41.3032919473467</v>
      </c>
      <c r="B8249">
        <v>-119.735955742397</v>
      </c>
      <c r="C8249" t="s">
        <v>29</v>
      </c>
      <c r="D8249">
        <v>9.7467917412048699</v>
      </c>
      <c r="E8249">
        <v>3</v>
      </c>
      <c r="F8249">
        <v>3758</v>
      </c>
      <c r="G8249">
        <v>1</v>
      </c>
      <c r="H8249">
        <v>3</v>
      </c>
      <c r="I8249">
        <v>2017</v>
      </c>
      <c r="J8249">
        <v>0</v>
      </c>
      <c r="K8249">
        <v>0</v>
      </c>
      <c r="L8249">
        <v>1</v>
      </c>
      <c r="M8249">
        <v>8</v>
      </c>
      <c r="N8249" t="s">
        <v>41</v>
      </c>
      <c r="O8249" t="s">
        <v>30</v>
      </c>
      <c r="P8249">
        <v>14.6894345771122</v>
      </c>
      <c r="Q8249">
        <v>1.50438576158588</v>
      </c>
      <c r="R8249">
        <v>8.9002477501036008</v>
      </c>
      <c r="S8249">
        <v>154</v>
      </c>
      <c r="T8249">
        <v>51</v>
      </c>
      <c r="U8249">
        <v>423.82117532025097</v>
      </c>
      <c r="V8249">
        <v>2.1287919105907301E-3</v>
      </c>
      <c r="W8249">
        <v>1950480.9342898701</v>
      </c>
      <c r="X8249" t="s">
        <v>36</v>
      </c>
      <c r="Y8249">
        <f>1-777-189-7823</f>
        <v>-8788</v>
      </c>
    </row>
    <row r="8250" spans="1:25" x14ac:dyDescent="0.35">
      <c r="A8250">
        <v>40.602540226575698</v>
      </c>
      <c r="B8250">
        <v>-117.07492732073401</v>
      </c>
      <c r="C8250" t="s">
        <v>34</v>
      </c>
      <c r="D8250">
        <v>36.430111546525602</v>
      </c>
      <c r="E8250">
        <v>2</v>
      </c>
      <c r="F8250">
        <v>3021</v>
      </c>
      <c r="G8250">
        <v>4</v>
      </c>
      <c r="H8250">
        <v>1</v>
      </c>
      <c r="I8250">
        <v>2012</v>
      </c>
      <c r="J8250">
        <v>1</v>
      </c>
      <c r="K8250">
        <v>1</v>
      </c>
      <c r="L8250">
        <v>1</v>
      </c>
      <c r="M8250">
        <v>14</v>
      </c>
      <c r="N8250" t="s">
        <v>35</v>
      </c>
      <c r="O8250" t="s">
        <v>27</v>
      </c>
      <c r="P8250">
        <v>2.07601899193532</v>
      </c>
      <c r="Q8250">
        <v>2.3935680529798899</v>
      </c>
      <c r="R8250">
        <v>2.8064098375861</v>
      </c>
      <c r="S8250">
        <v>135</v>
      </c>
      <c r="T8250">
        <v>66</v>
      </c>
      <c r="U8250">
        <v>704.54444945764305</v>
      </c>
      <c r="V8250">
        <v>4.6342270771267697E-3</v>
      </c>
      <c r="W8250">
        <v>2484735.7751189098</v>
      </c>
      <c r="X8250" t="s">
        <v>39</v>
      </c>
      <c r="Y8250">
        <f>1-941-658-8951</f>
        <v>-10549</v>
      </c>
    </row>
    <row r="8251" spans="1:25" x14ac:dyDescent="0.35">
      <c r="A8251">
        <v>41.142090912148099</v>
      </c>
      <c r="B8251">
        <v>-117.162970841055</v>
      </c>
      <c r="C8251" t="s">
        <v>34</v>
      </c>
      <c r="D8251">
        <v>12.555834006389301</v>
      </c>
      <c r="E8251">
        <v>4</v>
      </c>
      <c r="F8251">
        <v>4676</v>
      </c>
      <c r="G8251">
        <v>4</v>
      </c>
      <c r="H8251">
        <v>1</v>
      </c>
      <c r="I8251">
        <v>1993</v>
      </c>
      <c r="J8251">
        <v>0</v>
      </c>
      <c r="K8251">
        <v>0</v>
      </c>
      <c r="L8251">
        <v>1</v>
      </c>
      <c r="M8251">
        <v>13</v>
      </c>
      <c r="N8251" t="s">
        <v>35</v>
      </c>
      <c r="O8251" t="s">
        <v>27</v>
      </c>
      <c r="P8251">
        <v>6.7790186078602304</v>
      </c>
      <c r="Q8251">
        <v>1.4695992016802299</v>
      </c>
      <c r="R8251">
        <v>9.8883392757529496</v>
      </c>
      <c r="S8251">
        <v>80</v>
      </c>
      <c r="T8251">
        <v>77</v>
      </c>
      <c r="U8251">
        <v>732.326826931102</v>
      </c>
      <c r="V8251">
        <v>2.7801539777587599E-3</v>
      </c>
      <c r="W8251">
        <v>3740835.6331555401</v>
      </c>
      <c r="X8251" t="s">
        <v>42</v>
      </c>
      <c r="Y8251">
        <f>1-249-754-3238</f>
        <v>-4240</v>
      </c>
    </row>
    <row r="8252" spans="1:25" x14ac:dyDescent="0.35">
      <c r="A8252">
        <v>35.335728980768998</v>
      </c>
      <c r="B8252">
        <v>-121.44815941779601</v>
      </c>
      <c r="C8252" t="s">
        <v>34</v>
      </c>
      <c r="D8252">
        <v>21.233542422345</v>
      </c>
      <c r="E8252">
        <v>6</v>
      </c>
      <c r="F8252">
        <v>2720</v>
      </c>
      <c r="G8252">
        <v>5</v>
      </c>
      <c r="H8252">
        <v>2</v>
      </c>
      <c r="I8252">
        <v>1976</v>
      </c>
      <c r="J8252">
        <v>1</v>
      </c>
      <c r="K8252">
        <v>1</v>
      </c>
      <c r="L8252">
        <v>1</v>
      </c>
      <c r="M8252">
        <v>14</v>
      </c>
      <c r="N8252" t="s">
        <v>41</v>
      </c>
      <c r="O8252" t="s">
        <v>27</v>
      </c>
      <c r="P8252">
        <v>7.0038143397019299</v>
      </c>
      <c r="Q8252">
        <v>0.54889025701246996</v>
      </c>
      <c r="R8252">
        <v>2.7376542069410498E-2</v>
      </c>
      <c r="S8252">
        <v>166</v>
      </c>
      <c r="T8252">
        <v>68</v>
      </c>
      <c r="U8252">
        <v>375.39491276396598</v>
      </c>
      <c r="V8252">
        <v>5.14705882352941E-3</v>
      </c>
      <c r="W8252">
        <v>1498223.3512756201</v>
      </c>
      <c r="X8252" t="s">
        <v>42</v>
      </c>
      <c r="Y8252">
        <f>1-765-296-2509</f>
        <v>-3569</v>
      </c>
    </row>
    <row r="8253" spans="1:25" x14ac:dyDescent="0.35">
      <c r="A8253">
        <v>40.872755017730903</v>
      </c>
      <c r="B8253">
        <v>-116.874090167772</v>
      </c>
      <c r="C8253" t="s">
        <v>25</v>
      </c>
      <c r="D8253">
        <v>45.227650173033702</v>
      </c>
      <c r="E8253">
        <v>0</v>
      </c>
      <c r="F8253">
        <v>798</v>
      </c>
      <c r="G8253">
        <v>4</v>
      </c>
      <c r="H8253">
        <v>2</v>
      </c>
      <c r="I8253">
        <v>2018</v>
      </c>
      <c r="J8253">
        <v>0</v>
      </c>
      <c r="K8253">
        <v>0</v>
      </c>
      <c r="L8253">
        <v>1</v>
      </c>
      <c r="M8253">
        <v>11</v>
      </c>
      <c r="N8253" t="s">
        <v>37</v>
      </c>
      <c r="O8253" t="s">
        <v>30</v>
      </c>
      <c r="P8253">
        <v>11.3576665507232</v>
      </c>
      <c r="Q8253">
        <v>0.74186142601807803</v>
      </c>
      <c r="R8253">
        <v>3.0723609829269001</v>
      </c>
      <c r="S8253">
        <v>168</v>
      </c>
      <c r="T8253">
        <v>59</v>
      </c>
      <c r="U8253">
        <v>389.13087793739697</v>
      </c>
      <c r="V8253">
        <v>1.37844611528822E-2</v>
      </c>
      <c r="W8253">
        <v>759262.83135493903</v>
      </c>
      <c r="X8253" t="s">
        <v>38</v>
      </c>
      <c r="Y8253">
        <f>1-354-788-8816</f>
        <v>-9957</v>
      </c>
    </row>
    <row r="8254" spans="1:25" x14ac:dyDescent="0.35">
      <c r="A8254">
        <v>38.137091590993698</v>
      </c>
      <c r="B8254">
        <v>-122.73545228233399</v>
      </c>
      <c r="C8254" t="s">
        <v>34</v>
      </c>
      <c r="D8254">
        <v>3.9854646067900399</v>
      </c>
      <c r="E8254">
        <v>6</v>
      </c>
      <c r="F8254">
        <v>4558</v>
      </c>
      <c r="G8254">
        <v>2</v>
      </c>
      <c r="H8254">
        <v>2</v>
      </c>
      <c r="I8254">
        <v>2012</v>
      </c>
      <c r="J8254">
        <v>0</v>
      </c>
      <c r="K8254">
        <v>0</v>
      </c>
      <c r="L8254">
        <v>1</v>
      </c>
      <c r="M8254">
        <v>11</v>
      </c>
      <c r="N8254" t="s">
        <v>35</v>
      </c>
      <c r="O8254" t="s">
        <v>27</v>
      </c>
      <c r="P8254">
        <v>11.8236464796052</v>
      </c>
      <c r="Q8254">
        <v>2.3337219493136301</v>
      </c>
      <c r="R8254">
        <v>2.8868429407023801</v>
      </c>
      <c r="S8254">
        <v>32</v>
      </c>
      <c r="T8254">
        <v>65</v>
      </c>
      <c r="U8254">
        <v>499.14017940987497</v>
      </c>
      <c r="V8254">
        <v>2.4133391838525599E-3</v>
      </c>
      <c r="W8254">
        <v>2564349.4747977499</v>
      </c>
      <c r="X8254" t="s">
        <v>43</v>
      </c>
      <c r="Y8254">
        <f>1-262-786-8998</f>
        <v>-10045</v>
      </c>
    </row>
    <row r="8255" spans="1:25" x14ac:dyDescent="0.35">
      <c r="A8255">
        <v>41.827925376313097</v>
      </c>
      <c r="B8255">
        <v>-117.588016565497</v>
      </c>
      <c r="C8255" t="s">
        <v>25</v>
      </c>
      <c r="D8255">
        <v>28.175220990651901</v>
      </c>
      <c r="E8255">
        <v>2</v>
      </c>
      <c r="F8255">
        <v>947</v>
      </c>
      <c r="G8255">
        <v>3</v>
      </c>
      <c r="H8255">
        <v>1</v>
      </c>
      <c r="I8255">
        <v>2006</v>
      </c>
      <c r="J8255">
        <v>1</v>
      </c>
      <c r="K8255">
        <v>0</v>
      </c>
      <c r="L8255">
        <v>1</v>
      </c>
      <c r="M8255">
        <v>11</v>
      </c>
      <c r="N8255" t="s">
        <v>37</v>
      </c>
      <c r="O8255" t="s">
        <v>27</v>
      </c>
      <c r="P8255">
        <v>9.6592046234490301</v>
      </c>
      <c r="Q8255">
        <v>1.2545483913865501</v>
      </c>
      <c r="R8255">
        <v>0.28186008830714698</v>
      </c>
      <c r="S8255">
        <v>21</v>
      </c>
      <c r="T8255">
        <v>27</v>
      </c>
      <c r="U8255">
        <v>598.38771035118202</v>
      </c>
      <c r="V8255">
        <v>1.16156282998944E-2</v>
      </c>
      <c r="W8255">
        <v>845348.19298808998</v>
      </c>
      <c r="X8255" t="s">
        <v>38</v>
      </c>
      <c r="Y8255">
        <f>1-780-879-1764</f>
        <v>-3422</v>
      </c>
    </row>
    <row r="8256" spans="1:25" x14ac:dyDescent="0.35">
      <c r="A8256">
        <v>40.560445353960901</v>
      </c>
      <c r="B8256">
        <v>-117.586450098627</v>
      </c>
      <c r="C8256" t="s">
        <v>29</v>
      </c>
      <c r="D8256">
        <v>42.829590671938803</v>
      </c>
      <c r="E8256">
        <v>0</v>
      </c>
      <c r="F8256">
        <v>2139</v>
      </c>
      <c r="G8256">
        <v>2</v>
      </c>
      <c r="H8256">
        <v>2</v>
      </c>
      <c r="I8256">
        <v>2014</v>
      </c>
      <c r="J8256">
        <v>0</v>
      </c>
      <c r="K8256">
        <v>0</v>
      </c>
      <c r="L8256">
        <v>0</v>
      </c>
      <c r="M8256">
        <v>5</v>
      </c>
      <c r="N8256" t="s">
        <v>35</v>
      </c>
      <c r="O8256" t="s">
        <v>32</v>
      </c>
      <c r="P8256">
        <v>9.7356123533919803</v>
      </c>
      <c r="Q8256">
        <v>0.68440719829696095</v>
      </c>
      <c r="R8256">
        <v>0.86177217867973299</v>
      </c>
      <c r="S8256">
        <v>134</v>
      </c>
      <c r="T8256">
        <v>48</v>
      </c>
      <c r="U8256">
        <v>358.69885684771299</v>
      </c>
      <c r="V8256">
        <v>2.33754090696587E-3</v>
      </c>
      <c r="W8256">
        <v>973187.83729397994</v>
      </c>
      <c r="X8256" t="s">
        <v>28</v>
      </c>
      <c r="Y8256">
        <f>1-228-530-8132</f>
        <v>-8889</v>
      </c>
    </row>
    <row r="8257" spans="1:25" x14ac:dyDescent="0.35">
      <c r="A8257">
        <v>33.411849588089403</v>
      </c>
      <c r="B8257">
        <v>-122.745201395054</v>
      </c>
      <c r="C8257" t="s">
        <v>34</v>
      </c>
      <c r="D8257">
        <v>35.762953397669598</v>
      </c>
      <c r="E8257">
        <v>7</v>
      </c>
      <c r="F8257">
        <v>2929</v>
      </c>
      <c r="G8257">
        <v>4</v>
      </c>
      <c r="H8257">
        <v>2</v>
      </c>
      <c r="I8257">
        <v>2005</v>
      </c>
      <c r="J8257">
        <v>1</v>
      </c>
      <c r="K8257">
        <v>0</v>
      </c>
      <c r="L8257">
        <v>0</v>
      </c>
      <c r="M8257">
        <v>12</v>
      </c>
      <c r="N8257" t="s">
        <v>41</v>
      </c>
      <c r="O8257" t="s">
        <v>27</v>
      </c>
      <c r="P8257">
        <v>14.7940862642584</v>
      </c>
      <c r="Q8257">
        <v>2.2275616884833198</v>
      </c>
      <c r="R8257">
        <v>9.3472879100999595</v>
      </c>
      <c r="S8257">
        <v>149</v>
      </c>
      <c r="T8257">
        <v>36</v>
      </c>
      <c r="U8257">
        <v>435.50115835832599</v>
      </c>
      <c r="V8257">
        <v>4.0969614202799503E-3</v>
      </c>
      <c r="W8257">
        <v>1632302.7017311801</v>
      </c>
      <c r="X8257" t="s">
        <v>38</v>
      </c>
      <c r="Y8257">
        <f>1-412-890-4419</f>
        <v>-5720</v>
      </c>
    </row>
    <row r="8258" spans="1:25" x14ac:dyDescent="0.35">
      <c r="A8258">
        <v>36.571981530695098</v>
      </c>
      <c r="B8258">
        <v>-122.168237361889</v>
      </c>
      <c r="C8258" t="s">
        <v>29</v>
      </c>
      <c r="D8258">
        <v>8.1239764107291705</v>
      </c>
      <c r="E8258">
        <v>3</v>
      </c>
      <c r="F8258">
        <v>1383</v>
      </c>
      <c r="G8258">
        <v>3</v>
      </c>
      <c r="H8258">
        <v>2</v>
      </c>
      <c r="I8258">
        <v>1958</v>
      </c>
      <c r="J8258">
        <v>1</v>
      </c>
      <c r="K8258">
        <v>1</v>
      </c>
      <c r="L8258">
        <v>1</v>
      </c>
      <c r="M8258">
        <v>13</v>
      </c>
      <c r="N8258" t="s">
        <v>35</v>
      </c>
      <c r="O8258" t="s">
        <v>30</v>
      </c>
      <c r="P8258">
        <v>6.0936551135108701</v>
      </c>
      <c r="Q8258">
        <v>2.07109007213736</v>
      </c>
      <c r="R8258">
        <v>9.4541699472046492</v>
      </c>
      <c r="S8258">
        <v>122</v>
      </c>
      <c r="T8258">
        <v>76</v>
      </c>
      <c r="U8258">
        <v>599.00764938978296</v>
      </c>
      <c r="V8258">
        <v>9.3998553868402009E-3</v>
      </c>
      <c r="W8258">
        <v>1087813.19296503</v>
      </c>
      <c r="X8258" t="s">
        <v>39</v>
      </c>
      <c r="Y8258">
        <f>1-776-451-5482</f>
        <v>-6708</v>
      </c>
    </row>
    <row r="8259" spans="1:25" x14ac:dyDescent="0.35">
      <c r="A8259">
        <v>41.967608850966599</v>
      </c>
      <c r="B8259">
        <v>-116.065666009521</v>
      </c>
      <c r="C8259" t="s">
        <v>25</v>
      </c>
      <c r="D8259">
        <v>29.212575054228498</v>
      </c>
      <c r="E8259">
        <v>8</v>
      </c>
      <c r="F8259">
        <v>1683</v>
      </c>
      <c r="G8259">
        <v>1</v>
      </c>
      <c r="H8259">
        <v>2</v>
      </c>
      <c r="I8259">
        <v>1950</v>
      </c>
      <c r="J8259">
        <v>0</v>
      </c>
      <c r="K8259">
        <v>1</v>
      </c>
      <c r="L8259">
        <v>0</v>
      </c>
      <c r="M8259">
        <v>4</v>
      </c>
      <c r="N8259" t="s">
        <v>37</v>
      </c>
      <c r="O8259" t="s">
        <v>27</v>
      </c>
      <c r="P8259">
        <v>3.3964527653307899</v>
      </c>
      <c r="Q8259">
        <v>1.93323822412818</v>
      </c>
      <c r="R8259">
        <v>1.16798581972626</v>
      </c>
      <c r="S8259">
        <v>129</v>
      </c>
      <c r="T8259">
        <v>37</v>
      </c>
      <c r="U8259">
        <v>435.10884499226302</v>
      </c>
      <c r="V8259">
        <v>2.3767082590612E-3</v>
      </c>
      <c r="W8259">
        <v>831789.98350688699</v>
      </c>
      <c r="X8259" t="s">
        <v>31</v>
      </c>
      <c r="Y8259">
        <f>1-509-787-9478</f>
        <v>-10773</v>
      </c>
    </row>
    <row r="8260" spans="1:25" x14ac:dyDescent="0.35">
      <c r="A8260">
        <v>33.841586403449199</v>
      </c>
      <c r="B8260">
        <v>-123.645507815104</v>
      </c>
      <c r="C8260" t="s">
        <v>25</v>
      </c>
      <c r="D8260">
        <v>37.398750223091703</v>
      </c>
      <c r="E8260">
        <v>9</v>
      </c>
      <c r="F8260">
        <v>709</v>
      </c>
      <c r="G8260">
        <v>3</v>
      </c>
      <c r="H8260">
        <v>3</v>
      </c>
      <c r="I8260">
        <v>1960</v>
      </c>
      <c r="J8260">
        <v>1</v>
      </c>
      <c r="K8260">
        <v>0</v>
      </c>
      <c r="L8260">
        <v>1</v>
      </c>
      <c r="M8260">
        <v>10</v>
      </c>
      <c r="N8260" t="s">
        <v>26</v>
      </c>
      <c r="O8260" t="s">
        <v>30</v>
      </c>
      <c r="P8260">
        <v>10.291782109906499</v>
      </c>
      <c r="Q8260">
        <v>2.4913717262945898</v>
      </c>
      <c r="R8260">
        <v>7.0925506110805001</v>
      </c>
      <c r="S8260">
        <v>2</v>
      </c>
      <c r="T8260">
        <v>50</v>
      </c>
      <c r="U8260">
        <v>489.69495091510299</v>
      </c>
      <c r="V8260">
        <v>1.4104372355430101E-2</v>
      </c>
      <c r="W8260">
        <v>676887.34941003495</v>
      </c>
      <c r="X8260" t="s">
        <v>42</v>
      </c>
      <c r="Y8260">
        <f>1-373-874-1430</f>
        <v>-2676</v>
      </c>
    </row>
    <row r="8261" spans="1:25" x14ac:dyDescent="0.35">
      <c r="A8261">
        <v>37.576590368899197</v>
      </c>
      <c r="B8261">
        <v>-117.03020254179501</v>
      </c>
      <c r="C8261" t="s">
        <v>25</v>
      </c>
      <c r="D8261">
        <v>43.862688659448999</v>
      </c>
      <c r="E8261">
        <v>9</v>
      </c>
      <c r="F8261">
        <v>3699</v>
      </c>
      <c r="G8261">
        <v>4</v>
      </c>
      <c r="H8261">
        <v>1</v>
      </c>
      <c r="I8261">
        <v>1983</v>
      </c>
      <c r="J8261">
        <v>1</v>
      </c>
      <c r="K8261">
        <v>1</v>
      </c>
      <c r="L8261">
        <v>1</v>
      </c>
      <c r="M8261">
        <v>13</v>
      </c>
      <c r="N8261" t="s">
        <v>37</v>
      </c>
      <c r="O8261" t="s">
        <v>27</v>
      </c>
      <c r="P8261">
        <v>9.6963542631133102</v>
      </c>
      <c r="Q8261">
        <v>0.52476815126954801</v>
      </c>
      <c r="R8261">
        <v>0.97857207816497804</v>
      </c>
      <c r="S8261">
        <v>97</v>
      </c>
      <c r="T8261">
        <v>24</v>
      </c>
      <c r="U8261">
        <v>538.33417133779506</v>
      </c>
      <c r="V8261">
        <v>3.5144633684779602E-3</v>
      </c>
      <c r="W8261">
        <v>2505022.5222960198</v>
      </c>
      <c r="X8261" t="s">
        <v>31</v>
      </c>
      <c r="Y8261">
        <f>1-923-225-3796</f>
        <v>-4943</v>
      </c>
    </row>
    <row r="8262" spans="1:25" x14ac:dyDescent="0.35">
      <c r="A8262">
        <v>38.556622245609802</v>
      </c>
      <c r="B8262">
        <v>-120.441148327367</v>
      </c>
      <c r="C8262" t="s">
        <v>34</v>
      </c>
      <c r="D8262">
        <v>42.913440692319703</v>
      </c>
      <c r="E8262">
        <v>4</v>
      </c>
      <c r="F8262">
        <v>2180</v>
      </c>
      <c r="G8262">
        <v>4</v>
      </c>
      <c r="H8262">
        <v>3</v>
      </c>
      <c r="I8262">
        <v>2003</v>
      </c>
      <c r="J8262">
        <v>1</v>
      </c>
      <c r="K8262">
        <v>1</v>
      </c>
      <c r="L8262">
        <v>0</v>
      </c>
      <c r="M8262">
        <v>11</v>
      </c>
      <c r="N8262" t="s">
        <v>37</v>
      </c>
      <c r="O8262" t="s">
        <v>32</v>
      </c>
      <c r="P8262">
        <v>2.4912668614687101</v>
      </c>
      <c r="Q8262">
        <v>2.1664276029226599</v>
      </c>
      <c r="R8262">
        <v>8.5868575751049203</v>
      </c>
      <c r="S8262">
        <v>104</v>
      </c>
      <c r="T8262">
        <v>74</v>
      </c>
      <c r="U8262">
        <v>437.650914272617</v>
      </c>
      <c r="V8262">
        <v>5.04587155963302E-3</v>
      </c>
      <c r="W8262">
        <v>1302172.15261362</v>
      </c>
      <c r="X8262" t="s">
        <v>42</v>
      </c>
      <c r="Y8262">
        <f>1-644-733-8525</f>
        <v>-9901</v>
      </c>
    </row>
    <row r="8263" spans="1:25" x14ac:dyDescent="0.35">
      <c r="A8263">
        <v>38.298160740121801</v>
      </c>
      <c r="B8263">
        <v>-123.766887200653</v>
      </c>
      <c r="C8263" t="s">
        <v>29</v>
      </c>
      <c r="D8263">
        <v>37.233702245582101</v>
      </c>
      <c r="E8263">
        <v>3</v>
      </c>
      <c r="F8263">
        <v>2314</v>
      </c>
      <c r="G8263">
        <v>4</v>
      </c>
      <c r="H8263">
        <v>2</v>
      </c>
      <c r="I8263">
        <v>1989</v>
      </c>
      <c r="J8263">
        <v>0</v>
      </c>
      <c r="K8263">
        <v>1</v>
      </c>
      <c r="L8263">
        <v>0</v>
      </c>
      <c r="M8263">
        <v>5</v>
      </c>
      <c r="N8263" t="s">
        <v>37</v>
      </c>
      <c r="O8263" t="s">
        <v>32</v>
      </c>
      <c r="P8263">
        <v>13.498163730388899</v>
      </c>
      <c r="Q8263">
        <v>2.4181626002216601</v>
      </c>
      <c r="R8263">
        <v>9.0982976359405594</v>
      </c>
      <c r="S8263">
        <v>152</v>
      </c>
      <c r="T8263">
        <v>20</v>
      </c>
      <c r="U8263">
        <v>716.59311970075498</v>
      </c>
      <c r="V8263">
        <v>2.16076058772688E-3</v>
      </c>
      <c r="W8263">
        <v>1975648.0313431299</v>
      </c>
      <c r="X8263" t="s">
        <v>44</v>
      </c>
      <c r="Y8263">
        <f>1-718-798-7290</f>
        <v>-8805</v>
      </c>
    </row>
    <row r="8264" spans="1:25" x14ac:dyDescent="0.35">
      <c r="A8264">
        <v>32.915006384859701</v>
      </c>
      <c r="B8264">
        <v>-116.28817076396</v>
      </c>
      <c r="C8264" t="s">
        <v>34</v>
      </c>
      <c r="D8264">
        <v>49.915711861787202</v>
      </c>
      <c r="E8264">
        <v>7</v>
      </c>
      <c r="F8264">
        <v>1995</v>
      </c>
      <c r="G8264">
        <v>4</v>
      </c>
      <c r="H8264">
        <v>1</v>
      </c>
      <c r="I8264">
        <v>1978</v>
      </c>
      <c r="J8264">
        <v>0</v>
      </c>
      <c r="K8264">
        <v>0</v>
      </c>
      <c r="L8264">
        <v>1</v>
      </c>
      <c r="M8264">
        <v>9</v>
      </c>
      <c r="N8264" t="s">
        <v>26</v>
      </c>
      <c r="O8264" t="s">
        <v>27</v>
      </c>
      <c r="P8264">
        <v>6.1245498906224896</v>
      </c>
      <c r="Q8264">
        <v>1.7835149594010999</v>
      </c>
      <c r="R8264">
        <v>7.1117830158663304</v>
      </c>
      <c r="S8264">
        <v>48</v>
      </c>
      <c r="T8264">
        <v>35</v>
      </c>
      <c r="U8264">
        <v>609.33529935887998</v>
      </c>
      <c r="V8264">
        <v>4.5112781954887203E-3</v>
      </c>
      <c r="W8264">
        <v>1436053.1190045699</v>
      </c>
      <c r="X8264" t="s">
        <v>36</v>
      </c>
      <c r="Y8264">
        <f>1-470-781-4141</f>
        <v>-5391</v>
      </c>
    </row>
    <row r="8265" spans="1:25" x14ac:dyDescent="0.35">
      <c r="A8265">
        <v>32.708785974126698</v>
      </c>
      <c r="B8265">
        <v>-121.133395048235</v>
      </c>
      <c r="C8265" t="s">
        <v>34</v>
      </c>
      <c r="D8265">
        <v>46.024872841337299</v>
      </c>
      <c r="E8265">
        <v>7</v>
      </c>
      <c r="F8265">
        <v>1782</v>
      </c>
      <c r="G8265">
        <v>4</v>
      </c>
      <c r="H8265">
        <v>2</v>
      </c>
      <c r="I8265">
        <v>1995</v>
      </c>
      <c r="J8265">
        <v>0</v>
      </c>
      <c r="K8265">
        <v>1</v>
      </c>
      <c r="L8265">
        <v>0</v>
      </c>
      <c r="M8265">
        <v>5</v>
      </c>
      <c r="N8265" t="s">
        <v>35</v>
      </c>
      <c r="O8265" t="s">
        <v>27</v>
      </c>
      <c r="P8265">
        <v>14.8547287958295</v>
      </c>
      <c r="Q8265">
        <v>2.2605563524410499</v>
      </c>
      <c r="R8265">
        <v>7.3642715578397002</v>
      </c>
      <c r="S8265">
        <v>123</v>
      </c>
      <c r="T8265">
        <v>62</v>
      </c>
      <c r="U8265">
        <v>468.79381491692402</v>
      </c>
      <c r="V8265">
        <v>2.8058361391694701E-3</v>
      </c>
      <c r="W8265">
        <v>1281785.3571534101</v>
      </c>
      <c r="X8265" t="s">
        <v>33</v>
      </c>
      <c r="Y8265">
        <f>1-222-458-3047</f>
        <v>-3726</v>
      </c>
    </row>
    <row r="8266" spans="1:25" x14ac:dyDescent="0.35">
      <c r="A8266">
        <v>33.060673297433603</v>
      </c>
      <c r="B8266">
        <v>-124.386927464484</v>
      </c>
      <c r="C8266" t="s">
        <v>29</v>
      </c>
      <c r="D8266">
        <v>34.866186237062102</v>
      </c>
      <c r="E8266">
        <v>3</v>
      </c>
      <c r="F8266">
        <v>3434</v>
      </c>
      <c r="G8266">
        <v>5</v>
      </c>
      <c r="H8266">
        <v>2</v>
      </c>
      <c r="I8266">
        <v>1980</v>
      </c>
      <c r="J8266">
        <v>1</v>
      </c>
      <c r="K8266">
        <v>1</v>
      </c>
      <c r="L8266">
        <v>1</v>
      </c>
      <c r="M8266">
        <v>11</v>
      </c>
      <c r="N8266" t="s">
        <v>37</v>
      </c>
      <c r="O8266" t="s">
        <v>30</v>
      </c>
      <c r="P8266">
        <v>13.7509902046921</v>
      </c>
      <c r="Q8266">
        <v>1.4982999563047901</v>
      </c>
      <c r="R8266">
        <v>2.97178986248564</v>
      </c>
      <c r="S8266">
        <v>140</v>
      </c>
      <c r="T8266">
        <v>73</v>
      </c>
      <c r="U8266">
        <v>995.00859403337404</v>
      </c>
      <c r="V8266">
        <v>3.2032615026208501E-3</v>
      </c>
      <c r="W8266">
        <v>4012773.7140889401</v>
      </c>
      <c r="X8266" t="s">
        <v>44</v>
      </c>
      <c r="Y8266">
        <f>1-357-218-3131</f>
        <v>-3705</v>
      </c>
    </row>
    <row r="8267" spans="1:25" x14ac:dyDescent="0.35">
      <c r="A8267">
        <v>37.745172501972903</v>
      </c>
      <c r="B8267">
        <v>-118.523406600657</v>
      </c>
      <c r="C8267" t="s">
        <v>29</v>
      </c>
      <c r="D8267">
        <v>46.110372858398499</v>
      </c>
      <c r="E8267">
        <v>2</v>
      </c>
      <c r="F8267">
        <v>793</v>
      </c>
      <c r="G8267">
        <v>2</v>
      </c>
      <c r="H8267">
        <v>1</v>
      </c>
      <c r="I8267">
        <v>1996</v>
      </c>
      <c r="J8267">
        <v>0</v>
      </c>
      <c r="K8267">
        <v>1</v>
      </c>
      <c r="L8267">
        <v>1</v>
      </c>
      <c r="M8267">
        <v>6</v>
      </c>
      <c r="N8267" t="s">
        <v>35</v>
      </c>
      <c r="O8267" t="s">
        <v>27</v>
      </c>
      <c r="P8267">
        <v>7.1478698480537597</v>
      </c>
      <c r="Q8267">
        <v>2.1806779360966599</v>
      </c>
      <c r="R8267">
        <v>2.5063947973990102</v>
      </c>
      <c r="S8267">
        <v>67</v>
      </c>
      <c r="T8267">
        <v>63</v>
      </c>
      <c r="U8267">
        <v>867.97362926143001</v>
      </c>
      <c r="V8267">
        <v>7.5662042875157603E-3</v>
      </c>
      <c r="W8267">
        <v>915657.34436644602</v>
      </c>
      <c r="X8267" t="s">
        <v>44</v>
      </c>
      <c r="Y8267">
        <f>1-694-114-1394</f>
        <v>-2201</v>
      </c>
    </row>
    <row r="8268" spans="1:25" x14ac:dyDescent="0.35">
      <c r="A8268">
        <v>37.297504953773498</v>
      </c>
      <c r="B8268">
        <v>-122.70112308522501</v>
      </c>
      <c r="C8268" t="s">
        <v>25</v>
      </c>
      <c r="D8268">
        <v>36.321301529579301</v>
      </c>
      <c r="E8268">
        <v>2</v>
      </c>
      <c r="F8268">
        <v>1947</v>
      </c>
      <c r="G8268">
        <v>3</v>
      </c>
      <c r="H8268">
        <v>1</v>
      </c>
      <c r="I8268">
        <v>1988</v>
      </c>
      <c r="J8268">
        <v>0</v>
      </c>
      <c r="K8268">
        <v>0</v>
      </c>
      <c r="L8268">
        <v>0</v>
      </c>
      <c r="M8268">
        <v>2</v>
      </c>
      <c r="N8268" t="s">
        <v>41</v>
      </c>
      <c r="O8268" t="s">
        <v>30</v>
      </c>
      <c r="P8268">
        <v>9.6540743222975394</v>
      </c>
      <c r="Q8268">
        <v>0.77717887273709196</v>
      </c>
      <c r="R8268">
        <v>3.5730909182664501</v>
      </c>
      <c r="S8268">
        <v>127</v>
      </c>
      <c r="T8268">
        <v>79</v>
      </c>
      <c r="U8268">
        <v>328.25811074249498</v>
      </c>
      <c r="V8268">
        <v>1.0272213662044099E-3</v>
      </c>
      <c r="W8268">
        <v>814936.86025217595</v>
      </c>
      <c r="X8268" t="s">
        <v>33</v>
      </c>
      <c r="Y8268">
        <f>1-592-835-9085</f>
        <v>-10511</v>
      </c>
    </row>
    <row r="8269" spans="1:25" x14ac:dyDescent="0.35">
      <c r="A8269">
        <v>35.848744763994702</v>
      </c>
      <c r="B8269">
        <v>-118.524650359513</v>
      </c>
      <c r="C8269" t="s">
        <v>29</v>
      </c>
      <c r="D8269">
        <v>28.0954786518848</v>
      </c>
      <c r="E8269">
        <v>0</v>
      </c>
      <c r="F8269">
        <v>3541</v>
      </c>
      <c r="G8269">
        <v>2</v>
      </c>
      <c r="H8269">
        <v>1</v>
      </c>
      <c r="I8269">
        <v>1991</v>
      </c>
      <c r="J8269">
        <v>1</v>
      </c>
      <c r="K8269">
        <v>1</v>
      </c>
      <c r="L8269">
        <v>1</v>
      </c>
      <c r="M8269">
        <v>11</v>
      </c>
      <c r="N8269" t="s">
        <v>37</v>
      </c>
      <c r="O8269" t="s">
        <v>32</v>
      </c>
      <c r="P8269">
        <v>6.8239645285001203</v>
      </c>
      <c r="Q8269">
        <v>0.60265571089524905</v>
      </c>
      <c r="R8269">
        <v>8.5929796661341804</v>
      </c>
      <c r="S8269">
        <v>73</v>
      </c>
      <c r="T8269">
        <v>57</v>
      </c>
      <c r="U8269">
        <v>858.412164781456</v>
      </c>
      <c r="V8269">
        <v>3.10646709968935E-3</v>
      </c>
      <c r="W8269">
        <v>3370575.7195352199</v>
      </c>
      <c r="X8269" t="s">
        <v>28</v>
      </c>
      <c r="Y8269">
        <f>1-596-296-1562</f>
        <v>-2453</v>
      </c>
    </row>
    <row r="8270" spans="1:25" x14ac:dyDescent="0.35">
      <c r="A8270">
        <v>39.479038069845402</v>
      </c>
      <c r="B8270">
        <v>-114.293888606335</v>
      </c>
      <c r="C8270" t="s">
        <v>25</v>
      </c>
      <c r="D8270">
        <v>40.198010200174402</v>
      </c>
      <c r="E8270">
        <v>4</v>
      </c>
      <c r="F8270">
        <v>3211</v>
      </c>
      <c r="G8270">
        <v>1</v>
      </c>
      <c r="H8270">
        <v>3</v>
      </c>
      <c r="I8270">
        <v>1999</v>
      </c>
      <c r="J8270">
        <v>1</v>
      </c>
      <c r="K8270">
        <v>0</v>
      </c>
      <c r="L8270">
        <v>1</v>
      </c>
      <c r="M8270">
        <v>2</v>
      </c>
      <c r="N8270" t="s">
        <v>26</v>
      </c>
      <c r="O8270" t="s">
        <v>30</v>
      </c>
      <c r="P8270">
        <v>3.0078394655749898</v>
      </c>
      <c r="Q8270">
        <v>1.4267922564434801</v>
      </c>
      <c r="R8270">
        <v>0.73918678637474899</v>
      </c>
      <c r="S8270">
        <v>180</v>
      </c>
      <c r="T8270">
        <v>24</v>
      </c>
      <c r="U8270">
        <v>360.91205384666603</v>
      </c>
      <c r="V8270">
        <v>6.2285892245406399E-4</v>
      </c>
      <c r="W8270">
        <v>1359632.3809952501</v>
      </c>
      <c r="X8270" t="s">
        <v>38</v>
      </c>
      <c r="Y8270">
        <f>1-394-447-7055</f>
        <v>-7895</v>
      </c>
    </row>
    <row r="8271" spans="1:25" x14ac:dyDescent="0.35">
      <c r="A8271">
        <v>41.459780604786602</v>
      </c>
      <c r="B8271">
        <v>-119.2837763717</v>
      </c>
      <c r="C8271" t="s">
        <v>25</v>
      </c>
      <c r="D8271">
        <v>31.623315079367298</v>
      </c>
      <c r="E8271">
        <v>9</v>
      </c>
      <c r="F8271">
        <v>1349</v>
      </c>
      <c r="G8271">
        <v>5</v>
      </c>
      <c r="H8271">
        <v>3</v>
      </c>
      <c r="I8271">
        <v>2018</v>
      </c>
      <c r="J8271">
        <v>0</v>
      </c>
      <c r="K8271">
        <v>0</v>
      </c>
      <c r="L8271">
        <v>1</v>
      </c>
      <c r="M8271">
        <v>7</v>
      </c>
      <c r="N8271" t="s">
        <v>41</v>
      </c>
      <c r="O8271" t="s">
        <v>27</v>
      </c>
      <c r="P8271">
        <v>6.0792440067837301</v>
      </c>
      <c r="Q8271">
        <v>1.5411078740559701</v>
      </c>
      <c r="R8271">
        <v>0.45799433616733198</v>
      </c>
      <c r="S8271">
        <v>131</v>
      </c>
      <c r="T8271">
        <v>41</v>
      </c>
      <c r="U8271">
        <v>533.81241549204299</v>
      </c>
      <c r="V8271">
        <v>5.18902891030392E-3</v>
      </c>
      <c r="W8271">
        <v>1049748.9204144301</v>
      </c>
      <c r="X8271" t="s">
        <v>43</v>
      </c>
      <c r="Y8271">
        <f>1-803-758-8936</f>
        <v>-10496</v>
      </c>
    </row>
    <row r="8272" spans="1:25" x14ac:dyDescent="0.35">
      <c r="A8272">
        <v>34.492556963624502</v>
      </c>
      <c r="B8272">
        <v>-118.908814278047</v>
      </c>
      <c r="C8272" t="s">
        <v>34</v>
      </c>
      <c r="D8272">
        <v>12.2971588348121</v>
      </c>
      <c r="E8272">
        <v>8</v>
      </c>
      <c r="F8272">
        <v>1225</v>
      </c>
      <c r="G8272">
        <v>2</v>
      </c>
      <c r="H8272">
        <v>3</v>
      </c>
      <c r="I8272">
        <v>1991</v>
      </c>
      <c r="J8272">
        <v>0</v>
      </c>
      <c r="K8272">
        <v>1</v>
      </c>
      <c r="L8272">
        <v>0</v>
      </c>
      <c r="M8272">
        <v>2</v>
      </c>
      <c r="N8272" t="s">
        <v>37</v>
      </c>
      <c r="O8272" t="s">
        <v>32</v>
      </c>
      <c r="P8272">
        <v>6.3118807381874698</v>
      </c>
      <c r="Q8272">
        <v>0.68116886511541597</v>
      </c>
      <c r="R8272">
        <v>0.75771297577577701</v>
      </c>
      <c r="S8272">
        <v>103</v>
      </c>
      <c r="T8272">
        <v>25</v>
      </c>
      <c r="U8272">
        <v>657.94245519461697</v>
      </c>
      <c r="V8272">
        <v>1.6326530612244801E-3</v>
      </c>
      <c r="W8272">
        <v>1020954.0802675</v>
      </c>
      <c r="X8272" t="s">
        <v>40</v>
      </c>
      <c r="Y8272">
        <f>1-944-368-3164</f>
        <v>-4475</v>
      </c>
    </row>
    <row r="8273" spans="1:25" x14ac:dyDescent="0.35">
      <c r="A8273">
        <v>41.221547511637901</v>
      </c>
      <c r="B8273">
        <v>-116.856131332679</v>
      </c>
      <c r="C8273" t="s">
        <v>25</v>
      </c>
      <c r="D8273">
        <v>21.790511647663799</v>
      </c>
      <c r="E8273">
        <v>8</v>
      </c>
      <c r="F8273">
        <v>2150</v>
      </c>
      <c r="G8273">
        <v>5</v>
      </c>
      <c r="H8273">
        <v>2</v>
      </c>
      <c r="I8273">
        <v>1988</v>
      </c>
      <c r="J8273">
        <v>1</v>
      </c>
      <c r="K8273">
        <v>1</v>
      </c>
      <c r="L8273">
        <v>0</v>
      </c>
      <c r="M8273">
        <v>10</v>
      </c>
      <c r="N8273" t="s">
        <v>26</v>
      </c>
      <c r="O8273" t="s">
        <v>27</v>
      </c>
      <c r="P8273">
        <v>13.3538359268438</v>
      </c>
      <c r="Q8273">
        <v>1.5758168967742801</v>
      </c>
      <c r="R8273">
        <v>9.9801892874065903</v>
      </c>
      <c r="S8273">
        <v>12</v>
      </c>
      <c r="T8273">
        <v>79</v>
      </c>
      <c r="U8273">
        <v>810.86083128257303</v>
      </c>
      <c r="V8273">
        <v>4.65116279069767E-3</v>
      </c>
      <c r="W8273">
        <v>2307850.64412395</v>
      </c>
      <c r="X8273" t="s">
        <v>42</v>
      </c>
      <c r="Y8273">
        <f>1-998-178-2797</f>
        <v>-3972</v>
      </c>
    </row>
    <row r="8274" spans="1:25" x14ac:dyDescent="0.35">
      <c r="A8274">
        <v>35.772297239364498</v>
      </c>
      <c r="B8274">
        <v>-116.898664170817</v>
      </c>
      <c r="C8274" t="s">
        <v>25</v>
      </c>
      <c r="D8274">
        <v>18.232240497163499</v>
      </c>
      <c r="E8274">
        <v>7</v>
      </c>
      <c r="F8274">
        <v>2792</v>
      </c>
      <c r="G8274">
        <v>3</v>
      </c>
      <c r="H8274">
        <v>3</v>
      </c>
      <c r="I8274">
        <v>1997</v>
      </c>
      <c r="J8274">
        <v>1</v>
      </c>
      <c r="K8274">
        <v>0</v>
      </c>
      <c r="L8274">
        <v>0</v>
      </c>
      <c r="M8274">
        <v>9</v>
      </c>
      <c r="N8274" t="s">
        <v>41</v>
      </c>
      <c r="O8274" t="s">
        <v>27</v>
      </c>
      <c r="P8274">
        <v>6.6737569279271796</v>
      </c>
      <c r="Q8274">
        <v>1.9067172587701</v>
      </c>
      <c r="R8274">
        <v>5.0853395922940701</v>
      </c>
      <c r="S8274">
        <v>91</v>
      </c>
      <c r="T8274">
        <v>27</v>
      </c>
      <c r="U8274">
        <v>468.10804425466802</v>
      </c>
      <c r="V8274">
        <v>3.2234957020057299E-3</v>
      </c>
      <c r="W8274">
        <v>1700041.6979038401</v>
      </c>
      <c r="X8274" t="s">
        <v>39</v>
      </c>
      <c r="Y8274">
        <f>1-268-312-2001</f>
        <v>-2580</v>
      </c>
    </row>
    <row r="8275" spans="1:25" x14ac:dyDescent="0.35">
      <c r="A8275">
        <v>34.830883311068703</v>
      </c>
      <c r="B8275">
        <v>-115.461222856074</v>
      </c>
      <c r="C8275" t="s">
        <v>29</v>
      </c>
      <c r="D8275">
        <v>31.925520508223901</v>
      </c>
      <c r="E8275">
        <v>5</v>
      </c>
      <c r="F8275">
        <v>4170</v>
      </c>
      <c r="G8275">
        <v>4</v>
      </c>
      <c r="H8275">
        <v>3</v>
      </c>
      <c r="I8275">
        <v>2015</v>
      </c>
      <c r="J8275">
        <v>0</v>
      </c>
      <c r="K8275">
        <v>1</v>
      </c>
      <c r="L8275">
        <v>0</v>
      </c>
      <c r="M8275">
        <v>6</v>
      </c>
      <c r="N8275" t="s">
        <v>35</v>
      </c>
      <c r="O8275" t="s">
        <v>30</v>
      </c>
      <c r="P8275">
        <v>2.1753937574335001</v>
      </c>
      <c r="Q8275">
        <v>2.3925125909554699</v>
      </c>
      <c r="R8275">
        <v>1.2870062244854099</v>
      </c>
      <c r="S8275">
        <v>1</v>
      </c>
      <c r="T8275">
        <v>20</v>
      </c>
      <c r="U8275">
        <v>289.42663596200401</v>
      </c>
      <c r="V8275">
        <v>1.4388489208633001E-3</v>
      </c>
      <c r="W8275">
        <v>1548571.67981722</v>
      </c>
      <c r="X8275" t="s">
        <v>39</v>
      </c>
      <c r="Y8275">
        <f>1-350-744-3262</f>
        <v>-4355</v>
      </c>
    </row>
    <row r="8276" spans="1:25" x14ac:dyDescent="0.35">
      <c r="A8276">
        <v>36.420360689704303</v>
      </c>
      <c r="B8276">
        <v>-123.119187416781</v>
      </c>
      <c r="C8276" t="s">
        <v>34</v>
      </c>
      <c r="D8276">
        <v>23.8001882444674</v>
      </c>
      <c r="E8276">
        <v>7</v>
      </c>
      <c r="F8276">
        <v>2956</v>
      </c>
      <c r="G8276">
        <v>2</v>
      </c>
      <c r="H8276">
        <v>3</v>
      </c>
      <c r="I8276">
        <v>1973</v>
      </c>
      <c r="J8276">
        <v>1</v>
      </c>
      <c r="K8276">
        <v>1</v>
      </c>
      <c r="L8276">
        <v>1</v>
      </c>
      <c r="M8276">
        <v>9</v>
      </c>
      <c r="N8276" t="s">
        <v>41</v>
      </c>
      <c r="O8276" t="s">
        <v>32</v>
      </c>
      <c r="P8276">
        <v>12.2241076615077</v>
      </c>
      <c r="Q8276">
        <v>2.0136462319269302</v>
      </c>
      <c r="R8276">
        <v>6.0132040781560896</v>
      </c>
      <c r="S8276">
        <v>189</v>
      </c>
      <c r="T8276">
        <v>69</v>
      </c>
      <c r="U8276">
        <v>254.093399896802</v>
      </c>
      <c r="V8276">
        <v>3.0446549391068998E-3</v>
      </c>
      <c r="W8276">
        <v>1092737.71362727</v>
      </c>
      <c r="X8276" t="s">
        <v>40</v>
      </c>
      <c r="Y8276">
        <f>1-481-661-3387</f>
        <v>-4528</v>
      </c>
    </row>
    <row r="8277" spans="1:25" x14ac:dyDescent="0.35">
      <c r="A8277">
        <v>41.480631615030198</v>
      </c>
      <c r="B8277">
        <v>-122.373656337707</v>
      </c>
      <c r="C8277" t="s">
        <v>34</v>
      </c>
      <c r="D8277">
        <v>17.665800447965399</v>
      </c>
      <c r="E8277">
        <v>2</v>
      </c>
      <c r="F8277">
        <v>4721</v>
      </c>
      <c r="G8277">
        <v>4</v>
      </c>
      <c r="H8277">
        <v>2</v>
      </c>
      <c r="I8277">
        <v>2016</v>
      </c>
      <c r="J8277">
        <v>0</v>
      </c>
      <c r="K8277">
        <v>1</v>
      </c>
      <c r="L8277">
        <v>0</v>
      </c>
      <c r="M8277">
        <v>9</v>
      </c>
      <c r="N8277" t="s">
        <v>41</v>
      </c>
      <c r="O8277" t="s">
        <v>27</v>
      </c>
      <c r="P8277">
        <v>9.6934827688288401</v>
      </c>
      <c r="Q8277">
        <v>1.63011903147258</v>
      </c>
      <c r="R8277">
        <v>6.0597229456317496</v>
      </c>
      <c r="S8277">
        <v>89</v>
      </c>
      <c r="T8277">
        <v>26</v>
      </c>
      <c r="U8277">
        <v>297.49603055346199</v>
      </c>
      <c r="V8277">
        <v>1.9063757678457901E-3</v>
      </c>
      <c r="W8277">
        <v>1775569.3111835101</v>
      </c>
      <c r="X8277" t="s">
        <v>28</v>
      </c>
      <c r="Y8277">
        <f>1-254-588-5918</f>
        <v>-6759</v>
      </c>
    </row>
    <row r="8278" spans="1:25" x14ac:dyDescent="0.35">
      <c r="A8278">
        <v>40.327069290917301</v>
      </c>
      <c r="B8278">
        <v>-115.043489551891</v>
      </c>
      <c r="C8278" t="s">
        <v>34</v>
      </c>
      <c r="D8278">
        <v>1.6603957966988301</v>
      </c>
      <c r="E8278">
        <v>4</v>
      </c>
      <c r="F8278">
        <v>1577</v>
      </c>
      <c r="G8278">
        <v>1</v>
      </c>
      <c r="H8278">
        <v>2</v>
      </c>
      <c r="I8278">
        <v>2010</v>
      </c>
      <c r="J8278">
        <v>1</v>
      </c>
      <c r="K8278">
        <v>0</v>
      </c>
      <c r="L8278">
        <v>1</v>
      </c>
      <c r="M8278">
        <v>10</v>
      </c>
      <c r="N8278" t="s">
        <v>26</v>
      </c>
      <c r="O8278" t="s">
        <v>27</v>
      </c>
      <c r="P8278">
        <v>4.6551978769158202</v>
      </c>
      <c r="Q8278">
        <v>1.7294240290093901</v>
      </c>
      <c r="R8278">
        <v>2.8819206040329299</v>
      </c>
      <c r="S8278">
        <v>163</v>
      </c>
      <c r="T8278">
        <v>25</v>
      </c>
      <c r="U8278">
        <v>853.87177095977904</v>
      </c>
      <c r="V8278">
        <v>6.3411540900443798E-3</v>
      </c>
      <c r="W8278">
        <v>1429102.5212155001</v>
      </c>
      <c r="X8278" t="s">
        <v>44</v>
      </c>
      <c r="Y8278">
        <f>1-293-737-2098</f>
        <v>-3127</v>
      </c>
    </row>
    <row r="8279" spans="1:25" x14ac:dyDescent="0.35">
      <c r="A8279">
        <v>39.241467963900597</v>
      </c>
      <c r="B8279">
        <v>-122.33083804892</v>
      </c>
      <c r="C8279" t="s">
        <v>25</v>
      </c>
      <c r="D8279">
        <v>29.309333737822101</v>
      </c>
      <c r="E8279">
        <v>0</v>
      </c>
      <c r="F8279">
        <v>4221</v>
      </c>
      <c r="G8279">
        <v>4</v>
      </c>
      <c r="H8279">
        <v>1</v>
      </c>
      <c r="I8279">
        <v>2015</v>
      </c>
      <c r="J8279">
        <v>1</v>
      </c>
      <c r="K8279">
        <v>0</v>
      </c>
      <c r="L8279">
        <v>0</v>
      </c>
      <c r="M8279">
        <v>4</v>
      </c>
      <c r="N8279" t="s">
        <v>37</v>
      </c>
      <c r="O8279" t="s">
        <v>30</v>
      </c>
      <c r="P8279">
        <v>8.9519880265265392</v>
      </c>
      <c r="Q8279">
        <v>2.1866016486004201</v>
      </c>
      <c r="R8279">
        <v>4.5683443237155501</v>
      </c>
      <c r="S8279">
        <v>1</v>
      </c>
      <c r="T8279">
        <v>76</v>
      </c>
      <c r="U8279">
        <v>426.66143153377499</v>
      </c>
      <c r="V8279">
        <v>9.4764273868751399E-4</v>
      </c>
      <c r="W8279">
        <v>2196491.7721453002</v>
      </c>
      <c r="X8279" t="s">
        <v>39</v>
      </c>
      <c r="Y8279">
        <f>1-986-955-5717</f>
        <v>-7657</v>
      </c>
    </row>
    <row r="8280" spans="1:25" x14ac:dyDescent="0.35">
      <c r="A8280">
        <v>40.20973441732</v>
      </c>
      <c r="B8280">
        <v>-114.483900533209</v>
      </c>
      <c r="C8280" t="s">
        <v>29</v>
      </c>
      <c r="D8280">
        <v>40.568323552094697</v>
      </c>
      <c r="E8280">
        <v>0</v>
      </c>
      <c r="F8280">
        <v>4561</v>
      </c>
      <c r="G8280">
        <v>2</v>
      </c>
      <c r="H8280">
        <v>2</v>
      </c>
      <c r="I8280">
        <v>1963</v>
      </c>
      <c r="J8280">
        <v>0</v>
      </c>
      <c r="K8280">
        <v>1</v>
      </c>
      <c r="L8280">
        <v>1</v>
      </c>
      <c r="M8280">
        <v>3</v>
      </c>
      <c r="N8280" t="s">
        <v>37</v>
      </c>
      <c r="O8280" t="s">
        <v>32</v>
      </c>
      <c r="P8280">
        <v>11.466793244126601</v>
      </c>
      <c r="Q8280">
        <v>0.62979201491897796</v>
      </c>
      <c r="R8280">
        <v>2.7732280142992001</v>
      </c>
      <c r="S8280">
        <v>198</v>
      </c>
      <c r="T8280">
        <v>22</v>
      </c>
      <c r="U8280">
        <v>794.270537402179</v>
      </c>
      <c r="V8280">
        <v>6.5775049331286996E-4</v>
      </c>
      <c r="W8280">
        <v>3882695.355277</v>
      </c>
      <c r="X8280" t="s">
        <v>40</v>
      </c>
      <c r="Y8280">
        <f>1-677-403-6674</f>
        <v>-7753</v>
      </c>
    </row>
    <row r="8281" spans="1:25" x14ac:dyDescent="0.35">
      <c r="A8281">
        <v>37.316023077353201</v>
      </c>
      <c r="B8281">
        <v>-115.575399250202</v>
      </c>
      <c r="C8281" t="s">
        <v>29</v>
      </c>
      <c r="D8281">
        <v>43.699436976923103</v>
      </c>
      <c r="E8281">
        <v>7</v>
      </c>
      <c r="F8281">
        <v>2873</v>
      </c>
      <c r="G8281">
        <v>3</v>
      </c>
      <c r="H8281">
        <v>3</v>
      </c>
      <c r="I8281">
        <v>2018</v>
      </c>
      <c r="J8281">
        <v>0</v>
      </c>
      <c r="K8281">
        <v>1</v>
      </c>
      <c r="L8281">
        <v>0</v>
      </c>
      <c r="M8281">
        <v>2</v>
      </c>
      <c r="N8281" t="s">
        <v>41</v>
      </c>
      <c r="O8281" t="s">
        <v>32</v>
      </c>
      <c r="P8281">
        <v>9.5525770516864892</v>
      </c>
      <c r="Q8281">
        <v>2.2026169283275001</v>
      </c>
      <c r="R8281">
        <v>4.7500143110466304</v>
      </c>
      <c r="S8281">
        <v>15</v>
      </c>
      <c r="T8281">
        <v>65</v>
      </c>
      <c r="U8281">
        <v>776.79918414347105</v>
      </c>
      <c r="V8281">
        <v>6.9613644274277699E-4</v>
      </c>
      <c r="W8281">
        <v>2559934.4420283302</v>
      </c>
      <c r="X8281" t="s">
        <v>42</v>
      </c>
      <c r="Y8281">
        <f>1-645-334-9596</f>
        <v>-10574</v>
      </c>
    </row>
    <row r="8282" spans="1:25" x14ac:dyDescent="0.35">
      <c r="A8282">
        <v>40.371433637362401</v>
      </c>
      <c r="B8282">
        <v>-117.572416915695</v>
      </c>
      <c r="C8282" t="s">
        <v>34</v>
      </c>
      <c r="D8282">
        <v>25.0742372032771</v>
      </c>
      <c r="E8282">
        <v>0</v>
      </c>
      <c r="F8282">
        <v>4916</v>
      </c>
      <c r="G8282">
        <v>5</v>
      </c>
      <c r="H8282">
        <v>3</v>
      </c>
      <c r="I8282">
        <v>1952</v>
      </c>
      <c r="J8282">
        <v>0</v>
      </c>
      <c r="K8282">
        <v>1</v>
      </c>
      <c r="L8282">
        <v>0</v>
      </c>
      <c r="M8282">
        <v>13</v>
      </c>
      <c r="N8282" t="s">
        <v>37</v>
      </c>
      <c r="O8282" t="s">
        <v>30</v>
      </c>
      <c r="P8282">
        <v>12.519306775823599</v>
      </c>
      <c r="Q8282">
        <v>0.70254814550075295</v>
      </c>
      <c r="R8282">
        <v>0.74817745369541599</v>
      </c>
      <c r="S8282">
        <v>129</v>
      </c>
      <c r="T8282">
        <v>44</v>
      </c>
      <c r="U8282">
        <v>373.87303703241997</v>
      </c>
      <c r="V8282">
        <v>2.6444263628966598E-3</v>
      </c>
      <c r="W8282">
        <v>2196358.1648547701</v>
      </c>
      <c r="X8282" t="s">
        <v>43</v>
      </c>
      <c r="Y8282">
        <f>1-700-987-5560</f>
        <v>-7246</v>
      </c>
    </row>
    <row r="8283" spans="1:25" x14ac:dyDescent="0.35">
      <c r="A8283">
        <v>40.093153520660302</v>
      </c>
      <c r="B8283">
        <v>-122.02050130959501</v>
      </c>
      <c r="C8283" t="s">
        <v>34</v>
      </c>
      <c r="D8283">
        <v>9.2883386479615009</v>
      </c>
      <c r="E8283">
        <v>1</v>
      </c>
      <c r="F8283">
        <v>2176</v>
      </c>
      <c r="G8283">
        <v>1</v>
      </c>
      <c r="H8283">
        <v>3</v>
      </c>
      <c r="I8283">
        <v>2017</v>
      </c>
      <c r="J8283">
        <v>1</v>
      </c>
      <c r="K8283">
        <v>1</v>
      </c>
      <c r="L8283">
        <v>1</v>
      </c>
      <c r="M8283">
        <v>13</v>
      </c>
      <c r="N8283" t="s">
        <v>35</v>
      </c>
      <c r="O8283" t="s">
        <v>30</v>
      </c>
      <c r="P8283">
        <v>5.7054683942878697</v>
      </c>
      <c r="Q8283">
        <v>2.2449987137358902</v>
      </c>
      <c r="R8283">
        <v>3.1538570653561</v>
      </c>
      <c r="S8283">
        <v>61</v>
      </c>
      <c r="T8283">
        <v>55</v>
      </c>
      <c r="U8283">
        <v>394.79712311933503</v>
      </c>
      <c r="V8283">
        <v>5.9742647058823499E-3</v>
      </c>
      <c r="W8283">
        <v>1077139.9614251</v>
      </c>
      <c r="X8283" t="s">
        <v>28</v>
      </c>
      <c r="Y8283">
        <f>1-996-294-7446</f>
        <v>-8735</v>
      </c>
    </row>
    <row r="8284" spans="1:25" x14ac:dyDescent="0.35">
      <c r="A8284">
        <v>32.5287691828443</v>
      </c>
      <c r="B8284">
        <v>-118.478115885593</v>
      </c>
      <c r="C8284" t="s">
        <v>34</v>
      </c>
      <c r="D8284">
        <v>37.261224594979304</v>
      </c>
      <c r="E8284">
        <v>9</v>
      </c>
      <c r="F8284">
        <v>4234</v>
      </c>
      <c r="G8284">
        <v>5</v>
      </c>
      <c r="H8284">
        <v>3</v>
      </c>
      <c r="I8284">
        <v>1998</v>
      </c>
      <c r="J8284">
        <v>0</v>
      </c>
      <c r="K8284">
        <v>0</v>
      </c>
      <c r="L8284">
        <v>0</v>
      </c>
      <c r="M8284">
        <v>7</v>
      </c>
      <c r="N8284" t="s">
        <v>41</v>
      </c>
      <c r="O8284" t="s">
        <v>27</v>
      </c>
      <c r="P8284">
        <v>8.9028623866184606</v>
      </c>
      <c r="Q8284">
        <v>1.3810603297150901</v>
      </c>
      <c r="R8284">
        <v>4.5294040649114402</v>
      </c>
      <c r="S8284">
        <v>178</v>
      </c>
      <c r="T8284">
        <v>78</v>
      </c>
      <c r="U8284">
        <v>439.28255630230097</v>
      </c>
      <c r="V8284">
        <v>1.65328294756731E-3</v>
      </c>
      <c r="W8284">
        <v>2116231.0876105302</v>
      </c>
      <c r="X8284" t="s">
        <v>42</v>
      </c>
      <c r="Y8284">
        <f>1-459-885-3586</f>
        <v>-4929</v>
      </c>
    </row>
    <row r="8285" spans="1:25" x14ac:dyDescent="0.35">
      <c r="A8285">
        <v>38.835444457725899</v>
      </c>
      <c r="B8285">
        <v>-122.17861048812701</v>
      </c>
      <c r="C8285" t="s">
        <v>25</v>
      </c>
      <c r="D8285">
        <v>20.6121732154797</v>
      </c>
      <c r="E8285">
        <v>7</v>
      </c>
      <c r="F8285">
        <v>3348</v>
      </c>
      <c r="G8285">
        <v>5</v>
      </c>
      <c r="H8285">
        <v>2</v>
      </c>
      <c r="I8285">
        <v>2021</v>
      </c>
      <c r="J8285">
        <v>1</v>
      </c>
      <c r="K8285">
        <v>1</v>
      </c>
      <c r="L8285">
        <v>0</v>
      </c>
      <c r="M8285">
        <v>2</v>
      </c>
      <c r="N8285" t="s">
        <v>41</v>
      </c>
      <c r="O8285" t="s">
        <v>27</v>
      </c>
      <c r="P8285">
        <v>9.8659695981979905</v>
      </c>
      <c r="Q8285">
        <v>2.08859380180873</v>
      </c>
      <c r="R8285">
        <v>2.34309347580131</v>
      </c>
      <c r="S8285">
        <v>103</v>
      </c>
      <c r="T8285">
        <v>41</v>
      </c>
      <c r="U8285">
        <v>215.496686106829</v>
      </c>
      <c r="V8285">
        <v>5.9737156511350002E-4</v>
      </c>
      <c r="W8285">
        <v>1218330.90080701</v>
      </c>
      <c r="X8285" t="s">
        <v>38</v>
      </c>
      <c r="Y8285">
        <f>1-811-468-2374</f>
        <v>-3652</v>
      </c>
    </row>
    <row r="8286" spans="1:25" x14ac:dyDescent="0.35">
      <c r="A8286">
        <v>41.064616247731799</v>
      </c>
      <c r="B8286">
        <v>-120.64618951825101</v>
      </c>
      <c r="C8286" t="s">
        <v>25</v>
      </c>
      <c r="D8286">
        <v>42.878242224196299</v>
      </c>
      <c r="E8286">
        <v>4</v>
      </c>
      <c r="F8286">
        <v>4491</v>
      </c>
      <c r="G8286">
        <v>2</v>
      </c>
      <c r="H8286">
        <v>1</v>
      </c>
      <c r="I8286">
        <v>1981</v>
      </c>
      <c r="J8286">
        <v>0</v>
      </c>
      <c r="K8286">
        <v>1</v>
      </c>
      <c r="L8286">
        <v>1</v>
      </c>
      <c r="M8286">
        <v>13</v>
      </c>
      <c r="N8286" t="s">
        <v>41</v>
      </c>
      <c r="O8286" t="s">
        <v>32</v>
      </c>
      <c r="P8286">
        <v>5.4114063839784503</v>
      </c>
      <c r="Q8286">
        <v>1.33561065019614</v>
      </c>
      <c r="R8286">
        <v>3.3176696145682101</v>
      </c>
      <c r="S8286">
        <v>27</v>
      </c>
      <c r="T8286">
        <v>21</v>
      </c>
      <c r="U8286">
        <v>318.27086687133601</v>
      </c>
      <c r="V8286">
        <v>2.8946782453796401E-3</v>
      </c>
      <c r="W8286">
        <v>1676153.2277829</v>
      </c>
      <c r="X8286" t="s">
        <v>39</v>
      </c>
      <c r="Y8286">
        <f>1-530-933-3634</f>
        <v>-5096</v>
      </c>
    </row>
    <row r="8287" spans="1:25" x14ac:dyDescent="0.35">
      <c r="A8287">
        <v>33.380859267282503</v>
      </c>
      <c r="B8287">
        <v>-123.430997622642</v>
      </c>
      <c r="C8287" t="s">
        <v>25</v>
      </c>
      <c r="D8287">
        <v>28.458920762116399</v>
      </c>
      <c r="E8287">
        <v>6</v>
      </c>
      <c r="F8287">
        <v>2416</v>
      </c>
      <c r="G8287">
        <v>4</v>
      </c>
      <c r="H8287">
        <v>1</v>
      </c>
      <c r="I8287">
        <v>1966</v>
      </c>
      <c r="J8287">
        <v>1</v>
      </c>
      <c r="K8287">
        <v>0</v>
      </c>
      <c r="L8287">
        <v>1</v>
      </c>
      <c r="M8287">
        <v>2</v>
      </c>
      <c r="N8287" t="s">
        <v>41</v>
      </c>
      <c r="O8287" t="s">
        <v>27</v>
      </c>
      <c r="P8287">
        <v>13.540723089795</v>
      </c>
      <c r="Q8287">
        <v>0.74480446100946995</v>
      </c>
      <c r="R8287">
        <v>5.4249547631560304</v>
      </c>
      <c r="S8287">
        <v>63</v>
      </c>
      <c r="T8287">
        <v>55</v>
      </c>
      <c r="U8287">
        <v>828.01010355492997</v>
      </c>
      <c r="V8287">
        <v>8.2781456953642297E-4</v>
      </c>
      <c r="W8287">
        <v>2315748.3247653898</v>
      </c>
      <c r="X8287" t="s">
        <v>42</v>
      </c>
      <c r="Y8287">
        <f>1-410-311-5729</f>
        <v>-6449</v>
      </c>
    </row>
    <row r="8288" spans="1:25" x14ac:dyDescent="0.35">
      <c r="A8288">
        <v>38.732730130982297</v>
      </c>
      <c r="B8288">
        <v>-119.17671278949599</v>
      </c>
      <c r="C8288" t="s">
        <v>25</v>
      </c>
      <c r="D8288">
        <v>34.618274945081197</v>
      </c>
      <c r="E8288">
        <v>3</v>
      </c>
      <c r="F8288">
        <v>2666</v>
      </c>
      <c r="G8288">
        <v>4</v>
      </c>
      <c r="H8288">
        <v>1</v>
      </c>
      <c r="I8288">
        <v>2012</v>
      </c>
      <c r="J8288">
        <v>0</v>
      </c>
      <c r="K8288">
        <v>0</v>
      </c>
      <c r="L8288">
        <v>1</v>
      </c>
      <c r="M8288">
        <v>3</v>
      </c>
      <c r="N8288" t="s">
        <v>35</v>
      </c>
      <c r="O8288" t="s">
        <v>27</v>
      </c>
      <c r="P8288">
        <v>13.2089405182241</v>
      </c>
      <c r="Q8288">
        <v>2.1286743669400598</v>
      </c>
      <c r="R8288">
        <v>4.6678338021995502</v>
      </c>
      <c r="S8288">
        <v>38</v>
      </c>
      <c r="T8288">
        <v>37</v>
      </c>
      <c r="U8288">
        <v>693.42318135167397</v>
      </c>
      <c r="V8288">
        <v>1.1252813203300801E-3</v>
      </c>
      <c r="W8288">
        <v>2142372.41813127</v>
      </c>
      <c r="X8288" t="s">
        <v>28</v>
      </c>
      <c r="Y8288">
        <f>1-586-562-9549</f>
        <v>-10696</v>
      </c>
    </row>
    <row r="8289" spans="1:25" x14ac:dyDescent="0.35">
      <c r="A8289">
        <v>40.579097304944199</v>
      </c>
      <c r="B8289">
        <v>-119.124135771262</v>
      </c>
      <c r="C8289" t="s">
        <v>25</v>
      </c>
      <c r="D8289">
        <v>17.811181425364499</v>
      </c>
      <c r="E8289">
        <v>4</v>
      </c>
      <c r="F8289">
        <v>2330</v>
      </c>
      <c r="G8289">
        <v>3</v>
      </c>
      <c r="H8289">
        <v>1</v>
      </c>
      <c r="I8289">
        <v>2021</v>
      </c>
      <c r="J8289">
        <v>0</v>
      </c>
      <c r="K8289">
        <v>0</v>
      </c>
      <c r="L8289">
        <v>1</v>
      </c>
      <c r="M8289">
        <v>7</v>
      </c>
      <c r="N8289" t="s">
        <v>37</v>
      </c>
      <c r="O8289" t="s">
        <v>27</v>
      </c>
      <c r="P8289">
        <v>14.019256866082801</v>
      </c>
      <c r="Q8289">
        <v>1.7554704009765401</v>
      </c>
      <c r="R8289">
        <v>7.1098910910335897</v>
      </c>
      <c r="S8289">
        <v>198</v>
      </c>
      <c r="T8289">
        <v>40</v>
      </c>
      <c r="U8289">
        <v>567.12769082184604</v>
      </c>
      <c r="V8289">
        <v>3.0042918454935598E-3</v>
      </c>
      <c r="W8289">
        <v>1674974.2883743499</v>
      </c>
      <c r="X8289" t="s">
        <v>28</v>
      </c>
      <c r="Y8289">
        <f>1-306-881-9101</f>
        <v>-10287</v>
      </c>
    </row>
    <row r="8290" spans="1:25" x14ac:dyDescent="0.35">
      <c r="A8290">
        <v>39.085686724207697</v>
      </c>
      <c r="B8290">
        <v>-117.81615925236299</v>
      </c>
      <c r="C8290" t="s">
        <v>34</v>
      </c>
      <c r="D8290">
        <v>10.1304597483318</v>
      </c>
      <c r="E8290">
        <v>2</v>
      </c>
      <c r="F8290">
        <v>3143</v>
      </c>
      <c r="G8290">
        <v>3</v>
      </c>
      <c r="H8290">
        <v>2</v>
      </c>
      <c r="I8290">
        <v>1984</v>
      </c>
      <c r="J8290">
        <v>1</v>
      </c>
      <c r="K8290">
        <v>0</v>
      </c>
      <c r="L8290">
        <v>1</v>
      </c>
      <c r="M8290">
        <v>9</v>
      </c>
      <c r="N8290" t="s">
        <v>35</v>
      </c>
      <c r="O8290" t="s">
        <v>30</v>
      </c>
      <c r="P8290">
        <v>3.4314342726259102</v>
      </c>
      <c r="Q8290">
        <v>1.03497921980487</v>
      </c>
      <c r="R8290">
        <v>3.2134741458290699</v>
      </c>
      <c r="S8290">
        <v>166</v>
      </c>
      <c r="T8290">
        <v>23</v>
      </c>
      <c r="U8290">
        <v>815.34332465875605</v>
      </c>
      <c r="V8290">
        <v>2.86350620426344E-3</v>
      </c>
      <c r="W8290">
        <v>2782372.0472543598</v>
      </c>
      <c r="X8290" t="s">
        <v>42</v>
      </c>
      <c r="Y8290">
        <f>1-225-931-9815</f>
        <v>-10970</v>
      </c>
    </row>
    <row r="8291" spans="1:25" x14ac:dyDescent="0.35">
      <c r="A8291">
        <v>38.914225581417099</v>
      </c>
      <c r="B8291">
        <v>-118.78485767950001</v>
      </c>
      <c r="C8291" t="s">
        <v>29</v>
      </c>
      <c r="D8291">
        <v>14.7219039207982</v>
      </c>
      <c r="E8291">
        <v>2</v>
      </c>
      <c r="F8291">
        <v>2420</v>
      </c>
      <c r="G8291">
        <v>3</v>
      </c>
      <c r="H8291">
        <v>1</v>
      </c>
      <c r="I8291">
        <v>2009</v>
      </c>
      <c r="J8291">
        <v>0</v>
      </c>
      <c r="K8291">
        <v>1</v>
      </c>
      <c r="L8291">
        <v>0</v>
      </c>
      <c r="M8291">
        <v>14</v>
      </c>
      <c r="N8291" t="s">
        <v>26</v>
      </c>
      <c r="O8291" t="s">
        <v>32</v>
      </c>
      <c r="P8291">
        <v>8.5431299306341906</v>
      </c>
      <c r="Q8291">
        <v>1.7700810862307499</v>
      </c>
      <c r="R8291">
        <v>7.9947359957068604</v>
      </c>
      <c r="S8291">
        <v>140</v>
      </c>
      <c r="T8291">
        <v>51</v>
      </c>
      <c r="U8291">
        <v>623.90613112148799</v>
      </c>
      <c r="V8291">
        <v>5.7851239669421397E-3</v>
      </c>
      <c r="W8291">
        <v>1802579.8794507401</v>
      </c>
      <c r="X8291" t="s">
        <v>31</v>
      </c>
      <c r="Y8291">
        <f>1-966-733-3032</f>
        <v>-4730</v>
      </c>
    </row>
    <row r="8292" spans="1:25" x14ac:dyDescent="0.35">
      <c r="A8292">
        <v>33.928132766751197</v>
      </c>
      <c r="B8292">
        <v>-115.392830869759</v>
      </c>
      <c r="C8292" t="s">
        <v>29</v>
      </c>
      <c r="D8292">
        <v>45.265323626049003</v>
      </c>
      <c r="E8292">
        <v>0</v>
      </c>
      <c r="F8292">
        <v>2116</v>
      </c>
      <c r="G8292">
        <v>4</v>
      </c>
      <c r="H8292">
        <v>1</v>
      </c>
      <c r="I8292">
        <v>2006</v>
      </c>
      <c r="J8292">
        <v>1</v>
      </c>
      <c r="K8292">
        <v>1</v>
      </c>
      <c r="L8292">
        <v>0</v>
      </c>
      <c r="M8292">
        <v>10</v>
      </c>
      <c r="N8292" t="s">
        <v>26</v>
      </c>
      <c r="O8292" t="s">
        <v>27</v>
      </c>
      <c r="P8292">
        <v>5.9309698563668798</v>
      </c>
      <c r="Q8292">
        <v>1.2480182136928599</v>
      </c>
      <c r="R8292">
        <v>8.3740150592174594</v>
      </c>
      <c r="S8292">
        <v>153</v>
      </c>
      <c r="T8292">
        <v>22</v>
      </c>
      <c r="U8292">
        <v>930.66355918307204</v>
      </c>
      <c r="V8292">
        <v>4.7258979206049097E-3</v>
      </c>
      <c r="W8292">
        <v>2340406.8088835902</v>
      </c>
      <c r="X8292" t="s">
        <v>39</v>
      </c>
      <c r="Y8292">
        <f>1-508-288-8805</f>
        <v>-9600</v>
      </c>
    </row>
    <row r="8293" spans="1:25" x14ac:dyDescent="0.35">
      <c r="A8293">
        <v>33.759127219318998</v>
      </c>
      <c r="B8293">
        <v>-116.82412359958001</v>
      </c>
      <c r="C8293" t="s">
        <v>25</v>
      </c>
      <c r="D8293">
        <v>9.8562084039827695</v>
      </c>
      <c r="E8293">
        <v>1</v>
      </c>
      <c r="F8293">
        <v>1836</v>
      </c>
      <c r="G8293">
        <v>3</v>
      </c>
      <c r="H8293">
        <v>2</v>
      </c>
      <c r="I8293">
        <v>1966</v>
      </c>
      <c r="J8293">
        <v>1</v>
      </c>
      <c r="K8293">
        <v>0</v>
      </c>
      <c r="L8293">
        <v>0</v>
      </c>
      <c r="M8293">
        <v>6</v>
      </c>
      <c r="N8293" t="s">
        <v>26</v>
      </c>
      <c r="O8293" t="s">
        <v>32</v>
      </c>
      <c r="P8293">
        <v>2.55402197987687</v>
      </c>
      <c r="Q8293">
        <v>0.81317654929080396</v>
      </c>
      <c r="R8293">
        <v>2.13547965921344</v>
      </c>
      <c r="S8293">
        <v>184</v>
      </c>
      <c r="T8293">
        <v>66</v>
      </c>
      <c r="U8293">
        <v>234.71323617192201</v>
      </c>
      <c r="V8293">
        <v>3.26797385620915E-3</v>
      </c>
      <c r="W8293">
        <v>519612.12556441303</v>
      </c>
      <c r="X8293" t="s">
        <v>33</v>
      </c>
      <c r="Y8293">
        <f>1-586-516-7269</f>
        <v>-8370</v>
      </c>
    </row>
    <row r="8294" spans="1:25" x14ac:dyDescent="0.35">
      <c r="A8294">
        <v>35.830990284521498</v>
      </c>
      <c r="B8294">
        <v>-122.031882599779</v>
      </c>
      <c r="C8294" t="s">
        <v>34</v>
      </c>
      <c r="D8294">
        <v>43.229919505994403</v>
      </c>
      <c r="E8294">
        <v>7</v>
      </c>
      <c r="F8294">
        <v>2801</v>
      </c>
      <c r="G8294">
        <v>3</v>
      </c>
      <c r="H8294">
        <v>2</v>
      </c>
      <c r="I8294">
        <v>1986</v>
      </c>
      <c r="J8294">
        <v>1</v>
      </c>
      <c r="K8294">
        <v>0</v>
      </c>
      <c r="L8294">
        <v>0</v>
      </c>
      <c r="M8294">
        <v>6</v>
      </c>
      <c r="N8294" t="s">
        <v>37</v>
      </c>
      <c r="O8294" t="s">
        <v>32</v>
      </c>
      <c r="P8294">
        <v>4.9046031312210303</v>
      </c>
      <c r="Q8294">
        <v>1.63829126370918</v>
      </c>
      <c r="R8294">
        <v>8.7434259525326095</v>
      </c>
      <c r="S8294">
        <v>56</v>
      </c>
      <c r="T8294">
        <v>65</v>
      </c>
      <c r="U8294">
        <v>560.68222562016604</v>
      </c>
      <c r="V8294">
        <v>2.1420921099607202E-3</v>
      </c>
      <c r="W8294">
        <v>1796984.92776669</v>
      </c>
      <c r="X8294" t="s">
        <v>39</v>
      </c>
      <c r="Y8294">
        <f>1-493-341-4270</f>
        <v>-5103</v>
      </c>
    </row>
    <row r="8295" spans="1:25" x14ac:dyDescent="0.35">
      <c r="A8295">
        <v>34.941461464893997</v>
      </c>
      <c r="B8295">
        <v>-115.317161622817</v>
      </c>
      <c r="C8295" t="s">
        <v>29</v>
      </c>
      <c r="D8295">
        <v>40.665765164923897</v>
      </c>
      <c r="E8295">
        <v>5</v>
      </c>
      <c r="F8295">
        <v>691</v>
      </c>
      <c r="G8295">
        <v>1</v>
      </c>
      <c r="H8295">
        <v>2</v>
      </c>
      <c r="I8295">
        <v>1991</v>
      </c>
      <c r="J8295">
        <v>1</v>
      </c>
      <c r="K8295">
        <v>0</v>
      </c>
      <c r="L8295">
        <v>1</v>
      </c>
      <c r="M8295">
        <v>10</v>
      </c>
      <c r="N8295" t="s">
        <v>35</v>
      </c>
      <c r="O8295" t="s">
        <v>32</v>
      </c>
      <c r="P8295">
        <v>2.9620933061650701</v>
      </c>
      <c r="Q8295">
        <v>2.05417457024179</v>
      </c>
      <c r="R8295">
        <v>8.4170024428955106</v>
      </c>
      <c r="S8295">
        <v>16</v>
      </c>
      <c r="T8295">
        <v>33</v>
      </c>
      <c r="U8295">
        <v>632.10668311964696</v>
      </c>
      <c r="V8295">
        <v>1.44717800289435E-2</v>
      </c>
      <c r="W8295">
        <v>591167.63210277201</v>
      </c>
      <c r="X8295" t="s">
        <v>36</v>
      </c>
      <c r="Y8295">
        <f>1-254-480-7569</f>
        <v>-8302</v>
      </c>
    </row>
    <row r="8296" spans="1:25" x14ac:dyDescent="0.35">
      <c r="A8296">
        <v>37.403321492667601</v>
      </c>
      <c r="B8296">
        <v>-115.90846031525901</v>
      </c>
      <c r="C8296" t="s">
        <v>25</v>
      </c>
      <c r="D8296">
        <v>4.4860747533744396</v>
      </c>
      <c r="E8296">
        <v>0</v>
      </c>
      <c r="F8296">
        <v>2144</v>
      </c>
      <c r="G8296">
        <v>1</v>
      </c>
      <c r="H8296">
        <v>3</v>
      </c>
      <c r="I8296">
        <v>2007</v>
      </c>
      <c r="J8296">
        <v>1</v>
      </c>
      <c r="K8296">
        <v>0</v>
      </c>
      <c r="L8296">
        <v>0</v>
      </c>
      <c r="M8296">
        <v>9</v>
      </c>
      <c r="N8296" t="s">
        <v>26</v>
      </c>
      <c r="O8296" t="s">
        <v>27</v>
      </c>
      <c r="P8296">
        <v>4.0914005655115799</v>
      </c>
      <c r="Q8296">
        <v>1.2619033359192</v>
      </c>
      <c r="R8296">
        <v>1.67576986145207</v>
      </c>
      <c r="S8296">
        <v>194</v>
      </c>
      <c r="T8296">
        <v>35</v>
      </c>
      <c r="U8296">
        <v>495.407847088148</v>
      </c>
      <c r="V8296">
        <v>4.1977611940298499E-3</v>
      </c>
      <c r="W8296">
        <v>1264234.6404905999</v>
      </c>
      <c r="X8296" t="s">
        <v>38</v>
      </c>
      <c r="Y8296">
        <f>1-439-387-1676</f>
        <v>-2501</v>
      </c>
    </row>
    <row r="8297" spans="1:25" x14ac:dyDescent="0.35">
      <c r="A8297">
        <v>39.098793990895103</v>
      </c>
      <c r="B8297">
        <v>-121.071757706748</v>
      </c>
      <c r="C8297" t="s">
        <v>34</v>
      </c>
      <c r="D8297">
        <v>32.060043578562798</v>
      </c>
      <c r="E8297">
        <v>1</v>
      </c>
      <c r="F8297">
        <v>2345</v>
      </c>
      <c r="G8297">
        <v>3</v>
      </c>
      <c r="H8297">
        <v>2</v>
      </c>
      <c r="I8297">
        <v>1985</v>
      </c>
      <c r="J8297">
        <v>0</v>
      </c>
      <c r="K8297">
        <v>0</v>
      </c>
      <c r="L8297">
        <v>0</v>
      </c>
      <c r="M8297">
        <v>5</v>
      </c>
      <c r="N8297" t="s">
        <v>35</v>
      </c>
      <c r="O8297" t="s">
        <v>30</v>
      </c>
      <c r="P8297">
        <v>10.588821496309301</v>
      </c>
      <c r="Q8297">
        <v>2.1131214542157002</v>
      </c>
      <c r="R8297">
        <v>5.7853142727895399</v>
      </c>
      <c r="S8297">
        <v>89</v>
      </c>
      <c r="T8297">
        <v>43</v>
      </c>
      <c r="U8297">
        <v>597.68327535198898</v>
      </c>
      <c r="V8297">
        <v>2.1321961620469E-3</v>
      </c>
      <c r="W8297">
        <v>1665762.5010853801</v>
      </c>
      <c r="X8297" t="s">
        <v>42</v>
      </c>
      <c r="Y8297">
        <f>1-760-863-1440</f>
        <v>-3062</v>
      </c>
    </row>
    <row r="8298" spans="1:25" x14ac:dyDescent="0.35">
      <c r="A8298">
        <v>34.369713861948902</v>
      </c>
      <c r="B8298">
        <v>-123.75772982993</v>
      </c>
      <c r="C8298" t="s">
        <v>25</v>
      </c>
      <c r="D8298">
        <v>30.071182525547201</v>
      </c>
      <c r="E8298">
        <v>1</v>
      </c>
      <c r="F8298">
        <v>3725</v>
      </c>
      <c r="G8298">
        <v>4</v>
      </c>
      <c r="H8298">
        <v>3</v>
      </c>
      <c r="I8298">
        <v>1982</v>
      </c>
      <c r="J8298">
        <v>0</v>
      </c>
      <c r="K8298">
        <v>1</v>
      </c>
      <c r="L8298">
        <v>1</v>
      </c>
      <c r="M8298">
        <v>14</v>
      </c>
      <c r="N8298" t="s">
        <v>37</v>
      </c>
      <c r="O8298" t="s">
        <v>30</v>
      </c>
      <c r="P8298">
        <v>7.01119637998241</v>
      </c>
      <c r="Q8298">
        <v>1.1520861212091</v>
      </c>
      <c r="R8298">
        <v>0.90036213480370697</v>
      </c>
      <c r="S8298">
        <v>99</v>
      </c>
      <c r="T8298">
        <v>40</v>
      </c>
      <c r="U8298">
        <v>282.27331757563297</v>
      </c>
      <c r="V8298">
        <v>3.7583892617449599E-3</v>
      </c>
      <c r="W8298">
        <v>1442762.20541466</v>
      </c>
      <c r="X8298" t="s">
        <v>36</v>
      </c>
      <c r="Y8298">
        <f>1-205-402-5969</f>
        <v>-6575</v>
      </c>
    </row>
    <row r="8299" spans="1:25" x14ac:dyDescent="0.35">
      <c r="A8299">
        <v>40.651336363429898</v>
      </c>
      <c r="B8299">
        <v>-114.572994648985</v>
      </c>
      <c r="C8299" t="s">
        <v>34</v>
      </c>
      <c r="D8299">
        <v>34.422162457713</v>
      </c>
      <c r="E8299">
        <v>9</v>
      </c>
      <c r="F8299">
        <v>2794</v>
      </c>
      <c r="G8299">
        <v>3</v>
      </c>
      <c r="H8299">
        <v>3</v>
      </c>
      <c r="I8299">
        <v>2010</v>
      </c>
      <c r="J8299">
        <v>1</v>
      </c>
      <c r="K8299">
        <v>1</v>
      </c>
      <c r="L8299">
        <v>0</v>
      </c>
      <c r="M8299">
        <v>7</v>
      </c>
      <c r="N8299" t="s">
        <v>35</v>
      </c>
      <c r="O8299" t="s">
        <v>32</v>
      </c>
      <c r="P8299">
        <v>5.4985182421621701</v>
      </c>
      <c r="Q8299">
        <v>0.64271969667690199</v>
      </c>
      <c r="R8299">
        <v>9.4189145921671003</v>
      </c>
      <c r="S8299">
        <v>3</v>
      </c>
      <c r="T8299">
        <v>63</v>
      </c>
      <c r="U8299">
        <v>548.99967521739302</v>
      </c>
      <c r="V8299">
        <v>2.5053686471009301E-3</v>
      </c>
      <c r="W8299">
        <v>1928132.8759413699</v>
      </c>
      <c r="X8299" t="s">
        <v>44</v>
      </c>
      <c r="Y8299">
        <f>1-836-240-2079</f>
        <v>-3154</v>
      </c>
    </row>
    <row r="8300" spans="1:25" x14ac:dyDescent="0.35">
      <c r="A8300">
        <v>40.560907503082497</v>
      </c>
      <c r="B8300">
        <v>-123.60431714083801</v>
      </c>
      <c r="C8300" t="s">
        <v>29</v>
      </c>
      <c r="D8300">
        <v>17.934116033560301</v>
      </c>
      <c r="E8300">
        <v>4</v>
      </c>
      <c r="F8300">
        <v>4806</v>
      </c>
      <c r="G8300">
        <v>4</v>
      </c>
      <c r="H8300">
        <v>1</v>
      </c>
      <c r="I8300">
        <v>1964</v>
      </c>
      <c r="J8300">
        <v>0</v>
      </c>
      <c r="K8300">
        <v>0</v>
      </c>
      <c r="L8300">
        <v>0</v>
      </c>
      <c r="M8300">
        <v>10</v>
      </c>
      <c r="N8300" t="s">
        <v>37</v>
      </c>
      <c r="O8300" t="s">
        <v>27</v>
      </c>
      <c r="P8300">
        <v>9.9511374229477791</v>
      </c>
      <c r="Q8300">
        <v>2.3673059522552098</v>
      </c>
      <c r="R8300">
        <v>9.9872109145234003</v>
      </c>
      <c r="S8300">
        <v>45</v>
      </c>
      <c r="T8300">
        <v>22</v>
      </c>
      <c r="U8300">
        <v>531.44724121824299</v>
      </c>
      <c r="V8300">
        <v>2.0807324178110601E-3</v>
      </c>
      <c r="W8300">
        <v>2807782.21114079</v>
      </c>
      <c r="X8300" t="s">
        <v>42</v>
      </c>
      <c r="Y8300">
        <f>1-723-428-1849</f>
        <v>-2999</v>
      </c>
    </row>
    <row r="8301" spans="1:25" x14ac:dyDescent="0.35">
      <c r="A8301">
        <v>41.156938186059399</v>
      </c>
      <c r="B8301">
        <v>-115.384473721482</v>
      </c>
      <c r="C8301" t="s">
        <v>25</v>
      </c>
      <c r="D8301">
        <v>43.355374520551301</v>
      </c>
      <c r="E8301">
        <v>8</v>
      </c>
      <c r="F8301">
        <v>3291</v>
      </c>
      <c r="G8301">
        <v>3</v>
      </c>
      <c r="H8301">
        <v>2</v>
      </c>
      <c r="I8301">
        <v>1977</v>
      </c>
      <c r="J8301">
        <v>0</v>
      </c>
      <c r="K8301">
        <v>1</v>
      </c>
      <c r="L8301">
        <v>0</v>
      </c>
      <c r="M8301">
        <v>8</v>
      </c>
      <c r="N8301" t="s">
        <v>41</v>
      </c>
      <c r="O8301" t="s">
        <v>27</v>
      </c>
      <c r="P8301">
        <v>9.7294784588435501</v>
      </c>
      <c r="Q8301">
        <v>0.67252107694663199</v>
      </c>
      <c r="R8301">
        <v>2.8410071626098201</v>
      </c>
      <c r="S8301">
        <v>36</v>
      </c>
      <c r="T8301">
        <v>34</v>
      </c>
      <c r="U8301">
        <v>903.17987259998404</v>
      </c>
      <c r="V8301">
        <v>2.4308720753570298E-3</v>
      </c>
      <c r="W8301">
        <v>3249890.25309475</v>
      </c>
      <c r="X8301" t="s">
        <v>38</v>
      </c>
      <c r="Y8301">
        <f>1-429-934-3009</f>
        <v>-4371</v>
      </c>
    </row>
    <row r="8302" spans="1:25" x14ac:dyDescent="0.35">
      <c r="A8302">
        <v>34.688254476628003</v>
      </c>
      <c r="B8302">
        <v>-118.62037057513101</v>
      </c>
      <c r="C8302" t="s">
        <v>29</v>
      </c>
      <c r="D8302">
        <v>11.2064194447187</v>
      </c>
      <c r="E8302">
        <v>8</v>
      </c>
      <c r="F8302">
        <v>2526</v>
      </c>
      <c r="G8302">
        <v>2</v>
      </c>
      <c r="H8302">
        <v>2</v>
      </c>
      <c r="I8302">
        <v>2012</v>
      </c>
      <c r="J8302">
        <v>1</v>
      </c>
      <c r="K8302">
        <v>1</v>
      </c>
      <c r="L8302">
        <v>1</v>
      </c>
      <c r="M8302">
        <v>7</v>
      </c>
      <c r="N8302" t="s">
        <v>35</v>
      </c>
      <c r="O8302" t="s">
        <v>32</v>
      </c>
      <c r="P8302">
        <v>3.52192662896997</v>
      </c>
      <c r="Q8302">
        <v>1.1429989509209499</v>
      </c>
      <c r="R8302">
        <v>3.3438245294413198</v>
      </c>
      <c r="S8302">
        <v>111</v>
      </c>
      <c r="T8302">
        <v>50</v>
      </c>
      <c r="U8302">
        <v>991.35095725886902</v>
      </c>
      <c r="V8302">
        <v>2.7711797307996798E-3</v>
      </c>
      <c r="W8302">
        <v>2862172.00255313</v>
      </c>
      <c r="X8302" t="s">
        <v>33</v>
      </c>
      <c r="Y8302">
        <f>1-865-302-9408</f>
        <v>-10574</v>
      </c>
    </row>
    <row r="8303" spans="1:25" x14ac:dyDescent="0.35">
      <c r="A8303">
        <v>32.558302787113</v>
      </c>
      <c r="B8303">
        <v>-122.95783020157501</v>
      </c>
      <c r="C8303" t="s">
        <v>25</v>
      </c>
      <c r="D8303">
        <v>43.489348682817699</v>
      </c>
      <c r="E8303">
        <v>9</v>
      </c>
      <c r="F8303">
        <v>4286</v>
      </c>
      <c r="G8303">
        <v>3</v>
      </c>
      <c r="H8303">
        <v>2</v>
      </c>
      <c r="I8303">
        <v>1961</v>
      </c>
      <c r="J8303">
        <v>1</v>
      </c>
      <c r="K8303">
        <v>0</v>
      </c>
      <c r="L8303">
        <v>1</v>
      </c>
      <c r="M8303">
        <v>10</v>
      </c>
      <c r="N8303" t="s">
        <v>35</v>
      </c>
      <c r="O8303" t="s">
        <v>30</v>
      </c>
      <c r="P8303">
        <v>6.2727915932747003</v>
      </c>
      <c r="Q8303">
        <v>1.8029493034711701</v>
      </c>
      <c r="R8303">
        <v>3.9655001760877702</v>
      </c>
      <c r="S8303">
        <v>137</v>
      </c>
      <c r="T8303">
        <v>35</v>
      </c>
      <c r="U8303">
        <v>424.97132154599598</v>
      </c>
      <c r="V8303">
        <v>2.3331777881474502E-3</v>
      </c>
      <c r="W8303">
        <v>2034555.2254830601</v>
      </c>
      <c r="X8303" t="s">
        <v>33</v>
      </c>
      <c r="Y8303">
        <f>1-488-706-4584</f>
        <v>-5777</v>
      </c>
    </row>
    <row r="8304" spans="1:25" x14ac:dyDescent="0.35">
      <c r="A8304">
        <v>33.261627591894403</v>
      </c>
      <c r="B8304">
        <v>-122.977171862379</v>
      </c>
      <c r="C8304" t="s">
        <v>25</v>
      </c>
      <c r="D8304">
        <v>31.974792003445501</v>
      </c>
      <c r="E8304">
        <v>6</v>
      </c>
      <c r="F8304">
        <v>1047</v>
      </c>
      <c r="G8304">
        <v>1</v>
      </c>
      <c r="H8304">
        <v>3</v>
      </c>
      <c r="I8304">
        <v>1964</v>
      </c>
      <c r="J8304">
        <v>0</v>
      </c>
      <c r="K8304">
        <v>0</v>
      </c>
      <c r="L8304">
        <v>1</v>
      </c>
      <c r="M8304">
        <v>9</v>
      </c>
      <c r="N8304" t="s">
        <v>26</v>
      </c>
      <c r="O8304" t="s">
        <v>32</v>
      </c>
      <c r="P8304">
        <v>4.9075652798491696</v>
      </c>
      <c r="Q8304">
        <v>0.918180276196774</v>
      </c>
      <c r="R8304">
        <v>1.5790099275201399</v>
      </c>
      <c r="S8304">
        <v>31</v>
      </c>
      <c r="T8304">
        <v>42</v>
      </c>
      <c r="U8304">
        <v>460.56651627177501</v>
      </c>
      <c r="V8304">
        <v>8.5959885386819399E-3</v>
      </c>
      <c r="W8304">
        <v>545491.69235344999</v>
      </c>
      <c r="X8304" t="s">
        <v>33</v>
      </c>
      <c r="Y8304">
        <f>1-524-519-1481</f>
        <v>-2523</v>
      </c>
    </row>
    <row r="8305" spans="1:25" x14ac:dyDescent="0.35">
      <c r="A8305">
        <v>37.050326442574701</v>
      </c>
      <c r="B8305">
        <v>-123.849368406723</v>
      </c>
      <c r="C8305" t="s">
        <v>34</v>
      </c>
      <c r="D8305">
        <v>38.977630931571497</v>
      </c>
      <c r="E8305">
        <v>0</v>
      </c>
      <c r="F8305">
        <v>3332</v>
      </c>
      <c r="G8305">
        <v>5</v>
      </c>
      <c r="H8305">
        <v>1</v>
      </c>
      <c r="I8305">
        <v>2008</v>
      </c>
      <c r="J8305">
        <v>0</v>
      </c>
      <c r="K8305">
        <v>1</v>
      </c>
      <c r="L8305">
        <v>1</v>
      </c>
      <c r="M8305">
        <v>9</v>
      </c>
      <c r="N8305" t="s">
        <v>35</v>
      </c>
      <c r="O8305" t="s">
        <v>32</v>
      </c>
      <c r="P8305">
        <v>13.277658899275799</v>
      </c>
      <c r="Q8305">
        <v>0.79330661985117001</v>
      </c>
      <c r="R8305">
        <v>8.5937495791223206</v>
      </c>
      <c r="S8305">
        <v>71</v>
      </c>
      <c r="T8305">
        <v>27</v>
      </c>
      <c r="U8305">
        <v>337.02207350217702</v>
      </c>
      <c r="V8305">
        <v>2.7010804321728598E-3</v>
      </c>
      <c r="W8305">
        <v>1556919.6228686101</v>
      </c>
      <c r="X8305" t="s">
        <v>40</v>
      </c>
      <c r="Y8305">
        <f>1-717-203-3274</f>
        <v>-4193</v>
      </c>
    </row>
    <row r="8306" spans="1:25" x14ac:dyDescent="0.35">
      <c r="A8306">
        <v>37.088132002551397</v>
      </c>
      <c r="B8306">
        <v>-120.44127288172</v>
      </c>
      <c r="C8306" t="s">
        <v>25</v>
      </c>
      <c r="D8306">
        <v>6.4065829184316296</v>
      </c>
      <c r="E8306">
        <v>9</v>
      </c>
      <c r="F8306">
        <v>4874</v>
      </c>
      <c r="G8306">
        <v>5</v>
      </c>
      <c r="H8306">
        <v>3</v>
      </c>
      <c r="I8306">
        <v>1998</v>
      </c>
      <c r="J8306">
        <v>1</v>
      </c>
      <c r="K8306">
        <v>1</v>
      </c>
      <c r="L8306">
        <v>0</v>
      </c>
      <c r="M8306">
        <v>7</v>
      </c>
      <c r="N8306" t="s">
        <v>37</v>
      </c>
      <c r="O8306" t="s">
        <v>32</v>
      </c>
      <c r="P8306">
        <v>3.5229229084670899</v>
      </c>
      <c r="Q8306">
        <v>1.6499519583092901</v>
      </c>
      <c r="R8306">
        <v>3.46601995529657</v>
      </c>
      <c r="S8306">
        <v>114</v>
      </c>
      <c r="T8306">
        <v>55</v>
      </c>
      <c r="U8306">
        <v>304.73529667921702</v>
      </c>
      <c r="V8306">
        <v>1.43619203939269E-3</v>
      </c>
      <c r="W8306">
        <v>1892017.5443464101</v>
      </c>
      <c r="X8306" t="s">
        <v>44</v>
      </c>
      <c r="Y8306">
        <f>1-581-859-1672</f>
        <v>-3111</v>
      </c>
    </row>
    <row r="8307" spans="1:25" x14ac:dyDescent="0.35">
      <c r="A8307">
        <v>40.9992339765286</v>
      </c>
      <c r="B8307">
        <v>-114.063763761958</v>
      </c>
      <c r="C8307" t="s">
        <v>34</v>
      </c>
      <c r="D8307">
        <v>1.55143261470939</v>
      </c>
      <c r="E8307">
        <v>7</v>
      </c>
      <c r="F8307">
        <v>588</v>
      </c>
      <c r="G8307">
        <v>3</v>
      </c>
      <c r="H8307">
        <v>2</v>
      </c>
      <c r="I8307">
        <v>1997</v>
      </c>
      <c r="J8307">
        <v>0</v>
      </c>
      <c r="K8307">
        <v>1</v>
      </c>
      <c r="L8307">
        <v>0</v>
      </c>
      <c r="M8307">
        <v>2</v>
      </c>
      <c r="N8307" t="s">
        <v>35</v>
      </c>
      <c r="O8307" t="s">
        <v>30</v>
      </c>
      <c r="P8307">
        <v>2.0889389467981001</v>
      </c>
      <c r="Q8307">
        <v>2.4954799916683998</v>
      </c>
      <c r="R8307">
        <v>8.9735768664102</v>
      </c>
      <c r="S8307">
        <v>184</v>
      </c>
      <c r="T8307">
        <v>26</v>
      </c>
      <c r="U8307">
        <v>208.85732870740401</v>
      </c>
      <c r="V8307">
        <v>3.40136054421768E-3</v>
      </c>
      <c r="W8307">
        <v>338836.67476412602</v>
      </c>
      <c r="X8307" t="s">
        <v>40</v>
      </c>
      <c r="Y8307">
        <f>1-508-523-5917</f>
        <v>-6947</v>
      </c>
    </row>
    <row r="8308" spans="1:25" x14ac:dyDescent="0.35">
      <c r="A8308">
        <v>41.820200286289598</v>
      </c>
      <c r="B8308">
        <v>-124.08164220540399</v>
      </c>
      <c r="C8308" t="s">
        <v>25</v>
      </c>
      <c r="D8308">
        <v>1.1348196970619899</v>
      </c>
      <c r="E8308">
        <v>3</v>
      </c>
      <c r="F8308">
        <v>3923</v>
      </c>
      <c r="G8308">
        <v>4</v>
      </c>
      <c r="H8308">
        <v>3</v>
      </c>
      <c r="I8308">
        <v>1958</v>
      </c>
      <c r="J8308">
        <v>0</v>
      </c>
      <c r="K8308">
        <v>0</v>
      </c>
      <c r="L8308">
        <v>1</v>
      </c>
      <c r="M8308">
        <v>14</v>
      </c>
      <c r="N8308" t="s">
        <v>41</v>
      </c>
      <c r="O8308" t="s">
        <v>30</v>
      </c>
      <c r="P8308">
        <v>11.3631825145549</v>
      </c>
      <c r="Q8308">
        <v>1.76936433151363</v>
      </c>
      <c r="R8308">
        <v>3.1322259185021002</v>
      </c>
      <c r="S8308">
        <v>196</v>
      </c>
      <c r="T8308">
        <v>53</v>
      </c>
      <c r="U8308">
        <v>793.08751202290796</v>
      </c>
      <c r="V8308">
        <v>3.56869742543971E-3</v>
      </c>
      <c r="W8308">
        <v>3355031.90964898</v>
      </c>
      <c r="X8308" t="s">
        <v>43</v>
      </c>
      <c r="Y8308">
        <f>1-364-386-4885</f>
        <v>-5634</v>
      </c>
    </row>
    <row r="8309" spans="1:25" x14ac:dyDescent="0.35">
      <c r="A8309">
        <v>33.4583624754437</v>
      </c>
      <c r="B8309">
        <v>-120.75270335777699</v>
      </c>
      <c r="C8309" t="s">
        <v>29</v>
      </c>
      <c r="D8309">
        <v>35.550573837860597</v>
      </c>
      <c r="E8309">
        <v>8</v>
      </c>
      <c r="F8309">
        <v>4778</v>
      </c>
      <c r="G8309">
        <v>3</v>
      </c>
      <c r="H8309">
        <v>2</v>
      </c>
      <c r="I8309">
        <v>1976</v>
      </c>
      <c r="J8309">
        <v>0</v>
      </c>
      <c r="K8309">
        <v>1</v>
      </c>
      <c r="L8309">
        <v>0</v>
      </c>
      <c r="M8309">
        <v>6</v>
      </c>
      <c r="N8309" t="s">
        <v>41</v>
      </c>
      <c r="O8309" t="s">
        <v>27</v>
      </c>
      <c r="P8309">
        <v>8.3811747410114403</v>
      </c>
      <c r="Q8309">
        <v>2.2161900461606598</v>
      </c>
      <c r="R8309">
        <v>8.4274000546793602</v>
      </c>
      <c r="S8309">
        <v>186</v>
      </c>
      <c r="T8309">
        <v>45</v>
      </c>
      <c r="U8309">
        <v>517.11936337285101</v>
      </c>
      <c r="V8309">
        <v>1.25575554625366E-3</v>
      </c>
      <c r="W8309">
        <v>2743765.54654257</v>
      </c>
      <c r="X8309" t="s">
        <v>39</v>
      </c>
      <c r="Y8309">
        <f>1-523-234-6550</f>
        <v>-7306</v>
      </c>
    </row>
    <row r="8310" spans="1:25" x14ac:dyDescent="0.35">
      <c r="A8310">
        <v>37.494789204012598</v>
      </c>
      <c r="B8310">
        <v>-116.287462217819</v>
      </c>
      <c r="C8310" t="s">
        <v>34</v>
      </c>
      <c r="D8310">
        <v>38.365078285868996</v>
      </c>
      <c r="E8310">
        <v>8</v>
      </c>
      <c r="F8310">
        <v>2748</v>
      </c>
      <c r="G8310">
        <v>3</v>
      </c>
      <c r="H8310">
        <v>3</v>
      </c>
      <c r="I8310">
        <v>1986</v>
      </c>
      <c r="J8310">
        <v>0</v>
      </c>
      <c r="K8310">
        <v>0</v>
      </c>
      <c r="L8310">
        <v>1</v>
      </c>
      <c r="M8310">
        <v>6</v>
      </c>
      <c r="N8310" t="s">
        <v>26</v>
      </c>
      <c r="O8310" t="s">
        <v>32</v>
      </c>
      <c r="P8310">
        <v>10.7764132184017</v>
      </c>
      <c r="Q8310">
        <v>1.66700341492491</v>
      </c>
      <c r="R8310">
        <v>5.6057896171014399</v>
      </c>
      <c r="S8310">
        <v>32</v>
      </c>
      <c r="T8310">
        <v>50</v>
      </c>
      <c r="U8310">
        <v>639.00590568045197</v>
      </c>
      <c r="V8310">
        <v>2.18340611353711E-3</v>
      </c>
      <c r="W8310">
        <v>2070239.6319687199</v>
      </c>
      <c r="X8310" t="s">
        <v>43</v>
      </c>
      <c r="Y8310">
        <f>1-725-546-5099</f>
        <v>-6369</v>
      </c>
    </row>
    <row r="8311" spans="1:25" x14ac:dyDescent="0.35">
      <c r="A8311">
        <v>37.761753801778497</v>
      </c>
      <c r="B8311">
        <v>-120.657348761875</v>
      </c>
      <c r="C8311" t="s">
        <v>34</v>
      </c>
      <c r="D8311">
        <v>30.351908687793099</v>
      </c>
      <c r="E8311">
        <v>4</v>
      </c>
      <c r="F8311">
        <v>921</v>
      </c>
      <c r="G8311">
        <v>1</v>
      </c>
      <c r="H8311">
        <v>1</v>
      </c>
      <c r="I8311">
        <v>2015</v>
      </c>
      <c r="J8311">
        <v>1</v>
      </c>
      <c r="K8311">
        <v>1</v>
      </c>
      <c r="L8311">
        <v>1</v>
      </c>
      <c r="M8311">
        <v>11</v>
      </c>
      <c r="N8311" t="s">
        <v>26</v>
      </c>
      <c r="O8311" t="s">
        <v>32</v>
      </c>
      <c r="P8311">
        <v>9.1174461801284199</v>
      </c>
      <c r="Q8311">
        <v>0.564937789750524</v>
      </c>
      <c r="R8311">
        <v>2.6652122538208598</v>
      </c>
      <c r="S8311">
        <v>136</v>
      </c>
      <c r="T8311">
        <v>44</v>
      </c>
      <c r="U8311">
        <v>426.76783873069098</v>
      </c>
      <c r="V8311">
        <v>1.1943539630835999E-2</v>
      </c>
      <c r="W8311">
        <v>704211.35338889796</v>
      </c>
      <c r="X8311" t="s">
        <v>33</v>
      </c>
      <c r="Y8311">
        <f>1-700-105-2099</f>
        <v>-2903</v>
      </c>
    </row>
    <row r="8312" spans="1:25" x14ac:dyDescent="0.35">
      <c r="A8312">
        <v>40.908519963811401</v>
      </c>
      <c r="B8312">
        <v>-120.366223135532</v>
      </c>
      <c r="C8312" t="s">
        <v>25</v>
      </c>
      <c r="D8312">
        <v>25.010274144534002</v>
      </c>
      <c r="E8312">
        <v>8</v>
      </c>
      <c r="F8312">
        <v>1974</v>
      </c>
      <c r="G8312">
        <v>2</v>
      </c>
      <c r="H8312">
        <v>2</v>
      </c>
      <c r="I8312">
        <v>1967</v>
      </c>
      <c r="J8312">
        <v>0</v>
      </c>
      <c r="K8312">
        <v>1</v>
      </c>
      <c r="L8312">
        <v>1</v>
      </c>
      <c r="M8312">
        <v>14</v>
      </c>
      <c r="N8312" t="s">
        <v>41</v>
      </c>
      <c r="O8312" t="s">
        <v>30</v>
      </c>
      <c r="P8312">
        <v>13.933419307793001</v>
      </c>
      <c r="Q8312">
        <v>1.0238375219253799</v>
      </c>
      <c r="R8312">
        <v>9.0993469816852404</v>
      </c>
      <c r="S8312">
        <v>120</v>
      </c>
      <c r="T8312">
        <v>49</v>
      </c>
      <c r="U8312">
        <v>632.03588618170295</v>
      </c>
      <c r="V8312">
        <v>7.09219858156028E-3</v>
      </c>
      <c r="W8312">
        <v>1636136.4232493299</v>
      </c>
      <c r="X8312" t="s">
        <v>36</v>
      </c>
      <c r="Y8312">
        <f>1-667-734-5770</f>
        <v>-7170</v>
      </c>
    </row>
    <row r="8313" spans="1:25" x14ac:dyDescent="0.35">
      <c r="A8313">
        <v>36.769086541051202</v>
      </c>
      <c r="B8313">
        <v>-116.833860167548</v>
      </c>
      <c r="C8313" t="s">
        <v>29</v>
      </c>
      <c r="D8313">
        <v>27.009772060759001</v>
      </c>
      <c r="E8313">
        <v>5</v>
      </c>
      <c r="F8313">
        <v>4393</v>
      </c>
      <c r="G8313">
        <v>3</v>
      </c>
      <c r="H8313">
        <v>3</v>
      </c>
      <c r="I8313">
        <v>1964</v>
      </c>
      <c r="J8313">
        <v>1</v>
      </c>
      <c r="K8313">
        <v>1</v>
      </c>
      <c r="L8313">
        <v>1</v>
      </c>
      <c r="M8313">
        <v>10</v>
      </c>
      <c r="N8313" t="s">
        <v>26</v>
      </c>
      <c r="O8313" t="s">
        <v>32</v>
      </c>
      <c r="P8313">
        <v>7.8235065098240799</v>
      </c>
      <c r="Q8313">
        <v>2.48457409868247</v>
      </c>
      <c r="R8313">
        <v>7.6815769825458604</v>
      </c>
      <c r="S8313">
        <v>7</v>
      </c>
      <c r="T8313">
        <v>32</v>
      </c>
      <c r="U8313">
        <v>594.22288086878302</v>
      </c>
      <c r="V8313">
        <v>2.27634873662645E-3</v>
      </c>
      <c r="W8313">
        <v>2955426.3352835798</v>
      </c>
      <c r="X8313" t="s">
        <v>31</v>
      </c>
      <c r="Y8313">
        <f>1-512-538-1767</f>
        <v>-2816</v>
      </c>
    </row>
    <row r="8314" spans="1:25" x14ac:dyDescent="0.35">
      <c r="A8314">
        <v>41.558859474018703</v>
      </c>
      <c r="B8314">
        <v>-118.23557588087</v>
      </c>
      <c r="C8314" t="s">
        <v>29</v>
      </c>
      <c r="D8314">
        <v>13.052883672942199</v>
      </c>
      <c r="E8314">
        <v>8</v>
      </c>
      <c r="F8314">
        <v>1186</v>
      </c>
      <c r="G8314">
        <v>2</v>
      </c>
      <c r="H8314">
        <v>1</v>
      </c>
      <c r="I8314">
        <v>1969</v>
      </c>
      <c r="J8314">
        <v>0</v>
      </c>
      <c r="K8314">
        <v>0</v>
      </c>
      <c r="L8314">
        <v>1</v>
      </c>
      <c r="M8314">
        <v>10</v>
      </c>
      <c r="N8314" t="s">
        <v>41</v>
      </c>
      <c r="O8314" t="s">
        <v>30</v>
      </c>
      <c r="P8314">
        <v>13.2357567113747</v>
      </c>
      <c r="Q8314">
        <v>1.3146312235737501</v>
      </c>
      <c r="R8314">
        <v>1.7386867930627501</v>
      </c>
      <c r="S8314">
        <v>99</v>
      </c>
      <c r="T8314">
        <v>47</v>
      </c>
      <c r="U8314">
        <v>606.58384787515604</v>
      </c>
      <c r="V8314">
        <v>8.4317032040472101E-3</v>
      </c>
      <c r="W8314">
        <v>866126.30985063396</v>
      </c>
      <c r="X8314" t="s">
        <v>44</v>
      </c>
      <c r="Y8314">
        <f>1-911-558-2797</f>
        <v>-4265</v>
      </c>
    </row>
    <row r="8315" spans="1:25" x14ac:dyDescent="0.35">
      <c r="A8315">
        <v>37.3632700283517</v>
      </c>
      <c r="B8315">
        <v>-123.488348159642</v>
      </c>
      <c r="C8315" t="s">
        <v>29</v>
      </c>
      <c r="D8315">
        <v>10.978087054992899</v>
      </c>
      <c r="E8315">
        <v>7</v>
      </c>
      <c r="F8315">
        <v>904</v>
      </c>
      <c r="G8315">
        <v>1</v>
      </c>
      <c r="H8315">
        <v>2</v>
      </c>
      <c r="I8315">
        <v>1995</v>
      </c>
      <c r="J8315">
        <v>1</v>
      </c>
      <c r="K8315">
        <v>1</v>
      </c>
      <c r="L8315">
        <v>1</v>
      </c>
      <c r="M8315">
        <v>7</v>
      </c>
      <c r="N8315" t="s">
        <v>41</v>
      </c>
      <c r="O8315" t="s">
        <v>27</v>
      </c>
      <c r="P8315">
        <v>8.6776200575952007</v>
      </c>
      <c r="Q8315">
        <v>1.21622452187932</v>
      </c>
      <c r="R8315">
        <v>6.9483903796122499</v>
      </c>
      <c r="S8315">
        <v>110</v>
      </c>
      <c r="T8315">
        <v>44</v>
      </c>
      <c r="U8315">
        <v>849.82086870876105</v>
      </c>
      <c r="V8315">
        <v>7.7433628318584E-3</v>
      </c>
      <c r="W8315">
        <v>991334.244832244</v>
      </c>
      <c r="X8315" t="s">
        <v>31</v>
      </c>
      <c r="Y8315">
        <f>1-992-774-7670</f>
        <v>-9435</v>
      </c>
    </row>
    <row r="8316" spans="1:25" x14ac:dyDescent="0.35">
      <c r="A8316">
        <v>33.724822119204099</v>
      </c>
      <c r="B8316">
        <v>-124.149902177615</v>
      </c>
      <c r="C8316" t="s">
        <v>34</v>
      </c>
      <c r="D8316">
        <v>13.5860920692837</v>
      </c>
      <c r="E8316">
        <v>1</v>
      </c>
      <c r="F8316">
        <v>4431</v>
      </c>
      <c r="G8316">
        <v>2</v>
      </c>
      <c r="H8316">
        <v>3</v>
      </c>
      <c r="I8316">
        <v>1986</v>
      </c>
      <c r="J8316">
        <v>1</v>
      </c>
      <c r="K8316">
        <v>0</v>
      </c>
      <c r="L8316">
        <v>0</v>
      </c>
      <c r="M8316">
        <v>2</v>
      </c>
      <c r="N8316" t="s">
        <v>26</v>
      </c>
      <c r="O8316" t="s">
        <v>30</v>
      </c>
      <c r="P8316">
        <v>3.6898192725624899</v>
      </c>
      <c r="Q8316">
        <v>1.13949123739152</v>
      </c>
      <c r="R8316">
        <v>8.6549800690927992</v>
      </c>
      <c r="S8316">
        <v>187</v>
      </c>
      <c r="T8316">
        <v>38</v>
      </c>
      <c r="U8316">
        <v>503.53125089148</v>
      </c>
      <c r="V8316">
        <v>4.5136538027533202E-4</v>
      </c>
      <c r="W8316">
        <v>2337516.2467831098</v>
      </c>
      <c r="X8316" t="s">
        <v>38</v>
      </c>
      <c r="Y8316">
        <f>1-742-271-7671</f>
        <v>-8683</v>
      </c>
    </row>
    <row r="8317" spans="1:25" x14ac:dyDescent="0.35">
      <c r="A8317">
        <v>32.960073541671399</v>
      </c>
      <c r="B8317">
        <v>-121.773168243212</v>
      </c>
      <c r="C8317" t="s">
        <v>29</v>
      </c>
      <c r="D8317">
        <v>25.7878961875568</v>
      </c>
      <c r="E8317">
        <v>2</v>
      </c>
      <c r="F8317">
        <v>2279</v>
      </c>
      <c r="G8317">
        <v>5</v>
      </c>
      <c r="H8317">
        <v>1</v>
      </c>
      <c r="I8317">
        <v>1964</v>
      </c>
      <c r="J8317">
        <v>0</v>
      </c>
      <c r="K8317">
        <v>1</v>
      </c>
      <c r="L8317">
        <v>1</v>
      </c>
      <c r="M8317">
        <v>4</v>
      </c>
      <c r="N8317" t="s">
        <v>37</v>
      </c>
      <c r="O8317" t="s">
        <v>30</v>
      </c>
      <c r="P8317">
        <v>12.340027654845599</v>
      </c>
      <c r="Q8317">
        <v>2.2605982556300499</v>
      </c>
      <c r="R8317">
        <v>8.1727546164300406</v>
      </c>
      <c r="S8317">
        <v>75</v>
      </c>
      <c r="T8317">
        <v>32</v>
      </c>
      <c r="U8317">
        <v>619.50999847403398</v>
      </c>
      <c r="V8317">
        <v>1.75515577007459E-3</v>
      </c>
      <c r="W8317">
        <v>1806000.56350459</v>
      </c>
      <c r="X8317" t="s">
        <v>42</v>
      </c>
      <c r="Y8317">
        <f>1-319-508-8053</f>
        <v>-8879</v>
      </c>
    </row>
    <row r="8318" spans="1:25" x14ac:dyDescent="0.35">
      <c r="A8318">
        <v>41.081213050626502</v>
      </c>
      <c r="B8318">
        <v>-123.224498996047</v>
      </c>
      <c r="C8318" t="s">
        <v>25</v>
      </c>
      <c r="D8318">
        <v>41.7009499036851</v>
      </c>
      <c r="E8318">
        <v>0</v>
      </c>
      <c r="F8318">
        <v>4378</v>
      </c>
      <c r="G8318">
        <v>4</v>
      </c>
      <c r="H8318">
        <v>3</v>
      </c>
      <c r="I8318">
        <v>1957</v>
      </c>
      <c r="J8318">
        <v>0</v>
      </c>
      <c r="K8318">
        <v>1</v>
      </c>
      <c r="L8318">
        <v>1</v>
      </c>
      <c r="M8318">
        <v>12</v>
      </c>
      <c r="N8318" t="s">
        <v>37</v>
      </c>
      <c r="O8318" t="s">
        <v>30</v>
      </c>
      <c r="P8318">
        <v>10.4578563837568</v>
      </c>
      <c r="Q8318">
        <v>1.7781345858802799</v>
      </c>
      <c r="R8318">
        <v>7.0473654502277201</v>
      </c>
      <c r="S8318">
        <v>88</v>
      </c>
      <c r="T8318">
        <v>24</v>
      </c>
      <c r="U8318">
        <v>565.293535065024</v>
      </c>
      <c r="V8318">
        <v>2.7409776153494701E-3</v>
      </c>
      <c r="W8318">
        <v>2768469.4638813399</v>
      </c>
      <c r="X8318" t="s">
        <v>33</v>
      </c>
      <c r="Y8318">
        <f>1-496-852-1932</f>
        <v>-3279</v>
      </c>
    </row>
    <row r="8319" spans="1:25" x14ac:dyDescent="0.35">
      <c r="A8319">
        <v>38.354637456644497</v>
      </c>
      <c r="B8319">
        <v>-117.47783908570101</v>
      </c>
      <c r="C8319" t="s">
        <v>29</v>
      </c>
      <c r="D8319">
        <v>42.602026790420602</v>
      </c>
      <c r="E8319">
        <v>5</v>
      </c>
      <c r="F8319">
        <v>2183</v>
      </c>
      <c r="G8319">
        <v>5</v>
      </c>
      <c r="H8319">
        <v>1</v>
      </c>
      <c r="I8319">
        <v>1982</v>
      </c>
      <c r="J8319">
        <v>1</v>
      </c>
      <c r="K8319">
        <v>0</v>
      </c>
      <c r="L8319">
        <v>0</v>
      </c>
      <c r="M8319">
        <v>14</v>
      </c>
      <c r="N8319" t="s">
        <v>26</v>
      </c>
      <c r="O8319" t="s">
        <v>30</v>
      </c>
      <c r="P8319">
        <v>2.4553229997670498</v>
      </c>
      <c r="Q8319">
        <v>0.68414996225209901</v>
      </c>
      <c r="R8319">
        <v>1.8332343368964601</v>
      </c>
      <c r="S8319">
        <v>141</v>
      </c>
      <c r="T8319">
        <v>78</v>
      </c>
      <c r="U8319">
        <v>695.52499156166198</v>
      </c>
      <c r="V8319">
        <v>6.4131928538708203E-3</v>
      </c>
      <c r="W8319">
        <v>1761051.85799325</v>
      </c>
      <c r="X8319" t="s">
        <v>33</v>
      </c>
      <c r="Y8319">
        <f>1-628-955-3862</f>
        <v>-5444</v>
      </c>
    </row>
    <row r="8320" spans="1:25" x14ac:dyDescent="0.35">
      <c r="A8320">
        <v>32.9615242150334</v>
      </c>
      <c r="B8320">
        <v>-120.176466279593</v>
      </c>
      <c r="C8320" t="s">
        <v>34</v>
      </c>
      <c r="D8320">
        <v>3.2356463046614299</v>
      </c>
      <c r="E8320">
        <v>7</v>
      </c>
      <c r="F8320">
        <v>1801</v>
      </c>
      <c r="G8320">
        <v>3</v>
      </c>
      <c r="H8320">
        <v>2</v>
      </c>
      <c r="I8320">
        <v>1990</v>
      </c>
      <c r="J8320">
        <v>1</v>
      </c>
      <c r="K8320">
        <v>1</v>
      </c>
      <c r="L8320">
        <v>0</v>
      </c>
      <c r="M8320">
        <v>10</v>
      </c>
      <c r="N8320" t="s">
        <v>35</v>
      </c>
      <c r="O8320" t="s">
        <v>27</v>
      </c>
      <c r="P8320">
        <v>13.255466059477699</v>
      </c>
      <c r="Q8320">
        <v>0.86197828367594698</v>
      </c>
      <c r="R8320">
        <v>5.80618518834995</v>
      </c>
      <c r="S8320">
        <v>158</v>
      </c>
      <c r="T8320">
        <v>23</v>
      </c>
      <c r="U8320">
        <v>714.94411309198995</v>
      </c>
      <c r="V8320">
        <v>5.5524708495280403E-3</v>
      </c>
      <c r="W8320">
        <v>1719105.81065627</v>
      </c>
      <c r="X8320" t="s">
        <v>44</v>
      </c>
      <c r="Y8320">
        <f>1-766-979-2171</f>
        <v>-3915</v>
      </c>
    </row>
    <row r="8321" spans="1:25" x14ac:dyDescent="0.35">
      <c r="A8321">
        <v>40.446667871494597</v>
      </c>
      <c r="B8321">
        <v>-122.209205685618</v>
      </c>
      <c r="C8321" t="s">
        <v>29</v>
      </c>
      <c r="D8321">
        <v>34.693295937065798</v>
      </c>
      <c r="E8321">
        <v>9</v>
      </c>
      <c r="F8321">
        <v>3078</v>
      </c>
      <c r="G8321">
        <v>1</v>
      </c>
      <c r="H8321">
        <v>2</v>
      </c>
      <c r="I8321">
        <v>1966</v>
      </c>
      <c r="J8321">
        <v>1</v>
      </c>
      <c r="K8321">
        <v>0</v>
      </c>
      <c r="L8321">
        <v>0</v>
      </c>
      <c r="M8321">
        <v>3</v>
      </c>
      <c r="N8321" t="s">
        <v>37</v>
      </c>
      <c r="O8321" t="s">
        <v>27</v>
      </c>
      <c r="P8321">
        <v>12.741181615253099</v>
      </c>
      <c r="Q8321">
        <v>0.55706573435965501</v>
      </c>
      <c r="R8321">
        <v>9.1683904121447807E-2</v>
      </c>
      <c r="S8321">
        <v>22</v>
      </c>
      <c r="T8321">
        <v>47</v>
      </c>
      <c r="U8321">
        <v>425.11714256569599</v>
      </c>
      <c r="V8321">
        <v>9.7465886939571101E-4</v>
      </c>
      <c r="W8321">
        <v>1529301.03515325</v>
      </c>
      <c r="X8321" t="s">
        <v>40</v>
      </c>
      <c r="Y8321">
        <f>1-598-846-8312</f>
        <v>-9755</v>
      </c>
    </row>
    <row r="8322" spans="1:25" x14ac:dyDescent="0.35">
      <c r="A8322">
        <v>35.610137141828702</v>
      </c>
      <c r="B8322">
        <v>-114.76520952600799</v>
      </c>
      <c r="C8322" t="s">
        <v>34</v>
      </c>
      <c r="D8322">
        <v>34.574218875196202</v>
      </c>
      <c r="E8322">
        <v>1</v>
      </c>
      <c r="F8322">
        <v>520</v>
      </c>
      <c r="G8322">
        <v>3</v>
      </c>
      <c r="H8322">
        <v>3</v>
      </c>
      <c r="I8322">
        <v>1999</v>
      </c>
      <c r="J8322">
        <v>0</v>
      </c>
      <c r="K8322">
        <v>1</v>
      </c>
      <c r="L8322">
        <v>0</v>
      </c>
      <c r="M8322">
        <v>4</v>
      </c>
      <c r="N8322" t="s">
        <v>41</v>
      </c>
      <c r="O8322" t="s">
        <v>30</v>
      </c>
      <c r="P8322">
        <v>7.7999773937811403</v>
      </c>
      <c r="Q8322">
        <v>2.2454025424564001</v>
      </c>
      <c r="R8322">
        <v>6.3116547043840203</v>
      </c>
      <c r="S8322">
        <v>25</v>
      </c>
      <c r="T8322">
        <v>48</v>
      </c>
      <c r="U8322">
        <v>821.92921741913801</v>
      </c>
      <c r="V8322">
        <v>7.6923076923076901E-3</v>
      </c>
      <c r="W8322">
        <v>797432.67633512896</v>
      </c>
      <c r="X8322" t="s">
        <v>44</v>
      </c>
      <c r="Y8322">
        <f>1-310-508-6981</f>
        <v>-7798</v>
      </c>
    </row>
    <row r="8323" spans="1:25" x14ac:dyDescent="0.35">
      <c r="A8323">
        <v>34.499747313110397</v>
      </c>
      <c r="B8323">
        <v>-122.671864211068</v>
      </c>
      <c r="C8323" t="s">
        <v>29</v>
      </c>
      <c r="D8323">
        <v>44.812482162952101</v>
      </c>
      <c r="E8323">
        <v>0</v>
      </c>
      <c r="F8323">
        <v>1423</v>
      </c>
      <c r="G8323">
        <v>3</v>
      </c>
      <c r="H8323">
        <v>1</v>
      </c>
      <c r="I8323">
        <v>1987</v>
      </c>
      <c r="J8323">
        <v>1</v>
      </c>
      <c r="K8323">
        <v>1</v>
      </c>
      <c r="L8323">
        <v>0</v>
      </c>
      <c r="M8323">
        <v>3</v>
      </c>
      <c r="N8323" t="s">
        <v>37</v>
      </c>
      <c r="O8323" t="s">
        <v>30</v>
      </c>
      <c r="P8323">
        <v>2.9791057399329199</v>
      </c>
      <c r="Q8323">
        <v>1.58172776961011</v>
      </c>
      <c r="R8323">
        <v>4.83723853298397</v>
      </c>
      <c r="S8323">
        <v>66</v>
      </c>
      <c r="T8323">
        <v>75</v>
      </c>
      <c r="U8323">
        <v>319.73171228702302</v>
      </c>
      <c r="V8323">
        <v>2.1082220660576202E-3</v>
      </c>
      <c r="W8323">
        <v>657811.655774232</v>
      </c>
      <c r="X8323" t="s">
        <v>39</v>
      </c>
      <c r="Y8323">
        <f>1-949-134-7179</f>
        <v>-8261</v>
      </c>
    </row>
    <row r="8324" spans="1:25" x14ac:dyDescent="0.35">
      <c r="A8324">
        <v>32.9790834995271</v>
      </c>
      <c r="B8324">
        <v>-120.91155730295399</v>
      </c>
      <c r="C8324" t="s">
        <v>25</v>
      </c>
      <c r="D8324">
        <v>47.575536054578102</v>
      </c>
      <c r="E8324">
        <v>0</v>
      </c>
      <c r="F8324">
        <v>567</v>
      </c>
      <c r="G8324">
        <v>4</v>
      </c>
      <c r="H8324">
        <v>1</v>
      </c>
      <c r="I8324">
        <v>1976</v>
      </c>
      <c r="J8324">
        <v>1</v>
      </c>
      <c r="K8324">
        <v>0</v>
      </c>
      <c r="L8324">
        <v>1</v>
      </c>
      <c r="M8324">
        <v>7</v>
      </c>
      <c r="N8324" t="s">
        <v>35</v>
      </c>
      <c r="O8324" t="s">
        <v>30</v>
      </c>
      <c r="P8324">
        <v>12.0564540626044</v>
      </c>
      <c r="Q8324">
        <v>1.5170470397270901</v>
      </c>
      <c r="R8324">
        <v>8.4070901325504099</v>
      </c>
      <c r="S8324">
        <v>97</v>
      </c>
      <c r="T8324">
        <v>31</v>
      </c>
      <c r="U8324">
        <v>427.41571133917</v>
      </c>
      <c r="V8324">
        <v>1.23456790123456E-2</v>
      </c>
      <c r="W8324">
        <v>620874.71237225004</v>
      </c>
      <c r="X8324" t="s">
        <v>42</v>
      </c>
      <c r="Y8324">
        <f>1-723-688-9268</f>
        <v>-10678</v>
      </c>
    </row>
    <row r="8325" spans="1:25" x14ac:dyDescent="0.35">
      <c r="A8325">
        <v>35.9075156095154</v>
      </c>
      <c r="B8325">
        <v>-120.617574729189</v>
      </c>
      <c r="C8325" t="s">
        <v>29</v>
      </c>
      <c r="D8325">
        <v>45.290201928059197</v>
      </c>
      <c r="E8325">
        <v>7</v>
      </c>
      <c r="F8325">
        <v>2197</v>
      </c>
      <c r="G8325">
        <v>4</v>
      </c>
      <c r="H8325">
        <v>2</v>
      </c>
      <c r="I8325">
        <v>1988</v>
      </c>
      <c r="J8325">
        <v>0</v>
      </c>
      <c r="K8325">
        <v>1</v>
      </c>
      <c r="L8325">
        <v>0</v>
      </c>
      <c r="M8325">
        <v>9</v>
      </c>
      <c r="N8325" t="s">
        <v>35</v>
      </c>
      <c r="O8325" t="s">
        <v>30</v>
      </c>
      <c r="P8325">
        <v>5.0118160515302703</v>
      </c>
      <c r="Q8325">
        <v>0.79458493138444797</v>
      </c>
      <c r="R8325">
        <v>0.69582682570681398</v>
      </c>
      <c r="S8325">
        <v>171</v>
      </c>
      <c r="T8325">
        <v>75</v>
      </c>
      <c r="U8325">
        <v>913.85563007472297</v>
      </c>
      <c r="V8325">
        <v>4.0964952207555704E-3</v>
      </c>
      <c r="W8325">
        <v>2322196.97549112</v>
      </c>
      <c r="X8325" t="s">
        <v>43</v>
      </c>
      <c r="Y8325">
        <f>1-768-389-8812</f>
        <v>-9968</v>
      </c>
    </row>
    <row r="8326" spans="1:25" x14ac:dyDescent="0.35">
      <c r="A8326">
        <v>40.565599265507402</v>
      </c>
      <c r="B8326">
        <v>-119.67548393802601</v>
      </c>
      <c r="C8326" t="s">
        <v>29</v>
      </c>
      <c r="D8326">
        <v>27.062581287966299</v>
      </c>
      <c r="E8326">
        <v>5</v>
      </c>
      <c r="F8326">
        <v>3175</v>
      </c>
      <c r="G8326">
        <v>3</v>
      </c>
      <c r="H8326">
        <v>3</v>
      </c>
      <c r="I8326">
        <v>1985</v>
      </c>
      <c r="J8326">
        <v>0</v>
      </c>
      <c r="K8326">
        <v>1</v>
      </c>
      <c r="L8326">
        <v>1</v>
      </c>
      <c r="M8326">
        <v>3</v>
      </c>
      <c r="N8326" t="s">
        <v>37</v>
      </c>
      <c r="O8326" t="s">
        <v>30</v>
      </c>
      <c r="P8326">
        <v>9.3630896554772605</v>
      </c>
      <c r="Q8326">
        <v>1.0571816992198799</v>
      </c>
      <c r="R8326">
        <v>1.31285113557125</v>
      </c>
      <c r="S8326">
        <v>186</v>
      </c>
      <c r="T8326">
        <v>20</v>
      </c>
      <c r="U8326">
        <v>471.81550553754101</v>
      </c>
      <c r="V8326">
        <v>9.4488188976377899E-4</v>
      </c>
      <c r="W8326">
        <v>1790524.2376093899</v>
      </c>
      <c r="X8326" t="s">
        <v>36</v>
      </c>
      <c r="Y8326">
        <f>1-353-829-8467</f>
        <v>-9648</v>
      </c>
    </row>
    <row r="8327" spans="1:25" x14ac:dyDescent="0.35">
      <c r="A8327">
        <v>38.9112632558192</v>
      </c>
      <c r="B8327">
        <v>-117.57986883178199</v>
      </c>
      <c r="C8327" t="s">
        <v>25</v>
      </c>
      <c r="D8327">
        <v>18.1550411352619</v>
      </c>
      <c r="E8327">
        <v>8</v>
      </c>
      <c r="F8327">
        <v>1167</v>
      </c>
      <c r="G8327">
        <v>3</v>
      </c>
      <c r="H8327">
        <v>2</v>
      </c>
      <c r="I8327">
        <v>1951</v>
      </c>
      <c r="J8327">
        <v>1</v>
      </c>
      <c r="K8327">
        <v>1</v>
      </c>
      <c r="L8327">
        <v>0</v>
      </c>
      <c r="M8327">
        <v>10</v>
      </c>
      <c r="N8327" t="s">
        <v>41</v>
      </c>
      <c r="O8327" t="s">
        <v>27</v>
      </c>
      <c r="P8327">
        <v>9.7733265260024602</v>
      </c>
      <c r="Q8327">
        <v>1.4812827443459</v>
      </c>
      <c r="R8327">
        <v>3.24651752714164</v>
      </c>
      <c r="S8327">
        <v>5</v>
      </c>
      <c r="T8327">
        <v>63</v>
      </c>
      <c r="U8327">
        <v>612.13063368519204</v>
      </c>
      <c r="V8327">
        <v>8.5689802913453302E-3</v>
      </c>
      <c r="W8327">
        <v>957343.17607398401</v>
      </c>
      <c r="X8327" t="s">
        <v>40</v>
      </c>
      <c r="Y8327">
        <f>1-980-215-8258</f>
        <v>-9452</v>
      </c>
    </row>
    <row r="8328" spans="1:25" x14ac:dyDescent="0.35">
      <c r="A8328">
        <v>41.426621668648501</v>
      </c>
      <c r="B8328">
        <v>-118.986748136956</v>
      </c>
      <c r="C8328" t="s">
        <v>29</v>
      </c>
      <c r="D8328">
        <v>18.3964687426678</v>
      </c>
      <c r="E8328">
        <v>9</v>
      </c>
      <c r="F8328">
        <v>656</v>
      </c>
      <c r="G8328">
        <v>2</v>
      </c>
      <c r="H8328">
        <v>1</v>
      </c>
      <c r="I8328">
        <v>1980</v>
      </c>
      <c r="J8328">
        <v>1</v>
      </c>
      <c r="K8328">
        <v>0</v>
      </c>
      <c r="L8328">
        <v>0</v>
      </c>
      <c r="M8328">
        <v>6</v>
      </c>
      <c r="N8328" t="s">
        <v>26</v>
      </c>
      <c r="O8328" t="s">
        <v>27</v>
      </c>
      <c r="P8328">
        <v>8.4683769890464902</v>
      </c>
      <c r="Q8328">
        <v>1.84893164217489</v>
      </c>
      <c r="R8328">
        <v>3.9407257783935998</v>
      </c>
      <c r="S8328">
        <v>93</v>
      </c>
      <c r="T8328">
        <v>77</v>
      </c>
      <c r="U8328">
        <v>657.70017674312203</v>
      </c>
      <c r="V8328">
        <v>9.1463414634146301E-3</v>
      </c>
      <c r="W8328">
        <v>506629.22585981397</v>
      </c>
      <c r="X8328" t="s">
        <v>36</v>
      </c>
      <c r="Y8328">
        <f>1-601-855-1298</f>
        <v>-2753</v>
      </c>
    </row>
    <row r="8329" spans="1:25" x14ac:dyDescent="0.35">
      <c r="A8329">
        <v>40.665205249840596</v>
      </c>
      <c r="B8329">
        <v>-117.586680790838</v>
      </c>
      <c r="C8329" t="s">
        <v>25</v>
      </c>
      <c r="D8329">
        <v>12.093208025753199</v>
      </c>
      <c r="E8329">
        <v>2</v>
      </c>
      <c r="F8329">
        <v>4489</v>
      </c>
      <c r="G8329">
        <v>4</v>
      </c>
      <c r="H8329">
        <v>2</v>
      </c>
      <c r="I8329">
        <v>2005</v>
      </c>
      <c r="J8329">
        <v>0</v>
      </c>
      <c r="K8329">
        <v>0</v>
      </c>
      <c r="L8329">
        <v>1</v>
      </c>
      <c r="M8329">
        <v>8</v>
      </c>
      <c r="N8329" t="s">
        <v>26</v>
      </c>
      <c r="O8329" t="s">
        <v>30</v>
      </c>
      <c r="P8329">
        <v>9.0553942135815202</v>
      </c>
      <c r="Q8329">
        <v>2.4226353674438799</v>
      </c>
      <c r="R8329">
        <v>8.9721716919064196</v>
      </c>
      <c r="S8329">
        <v>41</v>
      </c>
      <c r="T8329">
        <v>64</v>
      </c>
      <c r="U8329">
        <v>417.49543074090099</v>
      </c>
      <c r="V8329">
        <v>1.78213410559144E-3</v>
      </c>
      <c r="W8329">
        <v>2202141.9258695599</v>
      </c>
      <c r="X8329" t="s">
        <v>42</v>
      </c>
      <c r="Y8329">
        <f>1-570-381-2522</f>
        <v>-3472</v>
      </c>
    </row>
    <row r="8330" spans="1:25" x14ac:dyDescent="0.35">
      <c r="A8330">
        <v>36.509067617305497</v>
      </c>
      <c r="B8330">
        <v>-115.151640238601</v>
      </c>
      <c r="C8330" t="s">
        <v>34</v>
      </c>
      <c r="D8330">
        <v>40.635473894396902</v>
      </c>
      <c r="E8330">
        <v>3</v>
      </c>
      <c r="F8330">
        <v>3111</v>
      </c>
      <c r="G8330">
        <v>1</v>
      </c>
      <c r="H8330">
        <v>3</v>
      </c>
      <c r="I8330">
        <v>1950</v>
      </c>
      <c r="J8330">
        <v>1</v>
      </c>
      <c r="K8330">
        <v>1</v>
      </c>
      <c r="L8330">
        <v>1</v>
      </c>
      <c r="M8330">
        <v>4</v>
      </c>
      <c r="N8330" t="s">
        <v>37</v>
      </c>
      <c r="O8330" t="s">
        <v>30</v>
      </c>
      <c r="P8330">
        <v>10.483041555045199</v>
      </c>
      <c r="Q8330">
        <v>1.1117026277905899</v>
      </c>
      <c r="R8330">
        <v>2.8277297423662402</v>
      </c>
      <c r="S8330">
        <v>82</v>
      </c>
      <c r="T8330">
        <v>75</v>
      </c>
      <c r="U8330">
        <v>400.00202950713799</v>
      </c>
      <c r="V8330">
        <v>1.28576020572163E-3</v>
      </c>
      <c r="W8330">
        <v>1564442.6087593299</v>
      </c>
      <c r="X8330" t="s">
        <v>43</v>
      </c>
      <c r="Y8330">
        <f>1-240-437-5948</f>
        <v>-6624</v>
      </c>
    </row>
    <row r="8331" spans="1:25" x14ac:dyDescent="0.35">
      <c r="A8331">
        <v>39.452127817110799</v>
      </c>
      <c r="B8331">
        <v>-119.57418467700499</v>
      </c>
      <c r="C8331" t="s">
        <v>29</v>
      </c>
      <c r="D8331">
        <v>7.8184372591828302</v>
      </c>
      <c r="E8331">
        <v>2</v>
      </c>
      <c r="F8331">
        <v>3073</v>
      </c>
      <c r="G8331">
        <v>2</v>
      </c>
      <c r="H8331">
        <v>3</v>
      </c>
      <c r="I8331">
        <v>1972</v>
      </c>
      <c r="J8331">
        <v>1</v>
      </c>
      <c r="K8331">
        <v>1</v>
      </c>
      <c r="L8331">
        <v>0</v>
      </c>
      <c r="M8331">
        <v>5</v>
      </c>
      <c r="N8331" t="s">
        <v>26</v>
      </c>
      <c r="O8331" t="s">
        <v>27</v>
      </c>
      <c r="P8331">
        <v>12.454232958436799</v>
      </c>
      <c r="Q8331">
        <v>2.2401702648896502</v>
      </c>
      <c r="R8331">
        <v>6.5192967350524196</v>
      </c>
      <c r="S8331">
        <v>40</v>
      </c>
      <c r="T8331">
        <v>28</v>
      </c>
      <c r="U8331">
        <v>417.43969032149698</v>
      </c>
      <c r="V8331">
        <v>1.6270745200130099E-3</v>
      </c>
      <c r="W8331">
        <v>1587277.73578023</v>
      </c>
      <c r="X8331" t="s">
        <v>28</v>
      </c>
      <c r="Y8331">
        <f>1-811-153-3281</f>
        <v>-4244</v>
      </c>
    </row>
    <row r="8332" spans="1:25" x14ac:dyDescent="0.35">
      <c r="A8332">
        <v>36.1839293744912</v>
      </c>
      <c r="B8332">
        <v>-124.387166557839</v>
      </c>
      <c r="C8332" t="s">
        <v>25</v>
      </c>
      <c r="D8332">
        <v>33.734846471999703</v>
      </c>
      <c r="E8332">
        <v>6</v>
      </c>
      <c r="F8332">
        <v>4870</v>
      </c>
      <c r="G8332">
        <v>4</v>
      </c>
      <c r="H8332">
        <v>1</v>
      </c>
      <c r="I8332">
        <v>2008</v>
      </c>
      <c r="J8332">
        <v>1</v>
      </c>
      <c r="K8332">
        <v>1</v>
      </c>
      <c r="L8332">
        <v>1</v>
      </c>
      <c r="M8332">
        <v>4</v>
      </c>
      <c r="N8332" t="s">
        <v>35</v>
      </c>
      <c r="O8332" t="s">
        <v>30</v>
      </c>
      <c r="P8332">
        <v>3.4715907894302198</v>
      </c>
      <c r="Q8332">
        <v>1.64417221373481</v>
      </c>
      <c r="R8332">
        <v>7.6717339877411499</v>
      </c>
      <c r="S8332">
        <v>182</v>
      </c>
      <c r="T8332">
        <v>36</v>
      </c>
      <c r="U8332">
        <v>693.47187730790699</v>
      </c>
      <c r="V8332">
        <v>8.2135523613963005E-4</v>
      </c>
      <c r="W8332">
        <v>3688034.06912228</v>
      </c>
      <c r="X8332" t="s">
        <v>42</v>
      </c>
      <c r="Y8332">
        <f>1-457-409-3463</f>
        <v>-4328</v>
      </c>
    </row>
    <row r="8333" spans="1:25" x14ac:dyDescent="0.35">
      <c r="A8333">
        <v>37.375774780225598</v>
      </c>
      <c r="B8333">
        <v>-118.911668676478</v>
      </c>
      <c r="C8333" t="s">
        <v>25</v>
      </c>
      <c r="D8333">
        <v>14.8195738399566</v>
      </c>
      <c r="E8333">
        <v>7</v>
      </c>
      <c r="F8333">
        <v>959</v>
      </c>
      <c r="G8333">
        <v>1</v>
      </c>
      <c r="H8333">
        <v>2</v>
      </c>
      <c r="I8333">
        <v>1966</v>
      </c>
      <c r="J8333">
        <v>1</v>
      </c>
      <c r="K8333">
        <v>0</v>
      </c>
      <c r="L8333">
        <v>1</v>
      </c>
      <c r="M8333">
        <v>4</v>
      </c>
      <c r="N8333" t="s">
        <v>37</v>
      </c>
      <c r="O8333" t="s">
        <v>27</v>
      </c>
      <c r="P8333">
        <v>10.6879353738471</v>
      </c>
      <c r="Q8333">
        <v>1.84528178429746</v>
      </c>
      <c r="R8333">
        <v>2.955069517394</v>
      </c>
      <c r="S8333">
        <v>111</v>
      </c>
      <c r="T8333">
        <v>51</v>
      </c>
      <c r="U8333">
        <v>487.21548644360098</v>
      </c>
      <c r="V8333">
        <v>4.1710114702815399E-3</v>
      </c>
      <c r="W8333">
        <v>541251.41017179296</v>
      </c>
      <c r="X8333" t="s">
        <v>28</v>
      </c>
      <c r="Y8333">
        <f>1-843-445-1880</f>
        <v>-3167</v>
      </c>
    </row>
    <row r="8334" spans="1:25" x14ac:dyDescent="0.35">
      <c r="A8334">
        <v>40.503873196384497</v>
      </c>
      <c r="B8334">
        <v>-114.919800447505</v>
      </c>
      <c r="C8334" t="s">
        <v>34</v>
      </c>
      <c r="D8334">
        <v>25.262049323913899</v>
      </c>
      <c r="E8334">
        <v>4</v>
      </c>
      <c r="F8334">
        <v>2907</v>
      </c>
      <c r="G8334">
        <v>5</v>
      </c>
      <c r="H8334">
        <v>2</v>
      </c>
      <c r="I8334">
        <v>2019</v>
      </c>
      <c r="J8334">
        <v>1</v>
      </c>
      <c r="K8334">
        <v>1</v>
      </c>
      <c r="L8334">
        <v>0</v>
      </c>
      <c r="M8334">
        <v>12</v>
      </c>
      <c r="N8334" t="s">
        <v>35</v>
      </c>
      <c r="O8334" t="s">
        <v>27</v>
      </c>
      <c r="P8334">
        <v>3.9502663351545202</v>
      </c>
      <c r="Q8334">
        <v>2.2869905098069201</v>
      </c>
      <c r="R8334">
        <v>0.43941351526826899</v>
      </c>
      <c r="S8334">
        <v>60</v>
      </c>
      <c r="T8334">
        <v>22</v>
      </c>
      <c r="U8334">
        <v>587.87245406377804</v>
      </c>
      <c r="V8334">
        <v>4.12796697626418E-3</v>
      </c>
      <c r="W8334">
        <v>2185551.1714414801</v>
      </c>
      <c r="X8334" t="s">
        <v>39</v>
      </c>
      <c r="Y8334">
        <f>1-590-157-7952</f>
        <v>-8698</v>
      </c>
    </row>
    <row r="8335" spans="1:25" x14ac:dyDescent="0.35">
      <c r="A8335">
        <v>34.457827205762896</v>
      </c>
      <c r="B8335">
        <v>-114.038943636219</v>
      </c>
      <c r="C8335" t="s">
        <v>34</v>
      </c>
      <c r="D8335">
        <v>8.9764980864825397</v>
      </c>
      <c r="E8335">
        <v>5</v>
      </c>
      <c r="F8335">
        <v>4133</v>
      </c>
      <c r="G8335">
        <v>5</v>
      </c>
      <c r="H8335">
        <v>2</v>
      </c>
      <c r="I8335">
        <v>1998</v>
      </c>
      <c r="J8335">
        <v>0</v>
      </c>
      <c r="K8335">
        <v>1</v>
      </c>
      <c r="L8335">
        <v>0</v>
      </c>
      <c r="M8335">
        <v>3</v>
      </c>
      <c r="N8335" t="s">
        <v>26</v>
      </c>
      <c r="O8335" t="s">
        <v>32</v>
      </c>
      <c r="P8335">
        <v>8.9902888888779096</v>
      </c>
      <c r="Q8335">
        <v>0.91521161497351999</v>
      </c>
      <c r="R8335">
        <v>2.2688561553841402</v>
      </c>
      <c r="S8335">
        <v>114</v>
      </c>
      <c r="T8335">
        <v>36</v>
      </c>
      <c r="U8335">
        <v>342.10157304168399</v>
      </c>
      <c r="V8335">
        <v>7.2586498911202503E-4</v>
      </c>
      <c r="W8335">
        <v>1838321.55563712</v>
      </c>
      <c r="X8335" t="s">
        <v>44</v>
      </c>
      <c r="Y8335">
        <f>1-772-591-4939</f>
        <v>-6301</v>
      </c>
    </row>
    <row r="8336" spans="1:25" x14ac:dyDescent="0.35">
      <c r="A8336">
        <v>33.0555811738381</v>
      </c>
      <c r="B8336">
        <v>-119.552143554672</v>
      </c>
      <c r="C8336" t="s">
        <v>29</v>
      </c>
      <c r="D8336">
        <v>9.94625561845025</v>
      </c>
      <c r="E8336">
        <v>4</v>
      </c>
      <c r="F8336">
        <v>3779</v>
      </c>
      <c r="G8336">
        <v>4</v>
      </c>
      <c r="H8336">
        <v>1</v>
      </c>
      <c r="I8336">
        <v>1964</v>
      </c>
      <c r="J8336">
        <v>1</v>
      </c>
      <c r="K8336">
        <v>0</v>
      </c>
      <c r="L8336">
        <v>0</v>
      </c>
      <c r="M8336">
        <v>10</v>
      </c>
      <c r="N8336" t="s">
        <v>35</v>
      </c>
      <c r="O8336" t="s">
        <v>30</v>
      </c>
      <c r="P8336">
        <v>8.0108369272639202</v>
      </c>
      <c r="Q8336">
        <v>2.4987841001693401</v>
      </c>
      <c r="R8336">
        <v>0.413990200500232</v>
      </c>
      <c r="S8336">
        <v>55</v>
      </c>
      <c r="T8336">
        <v>65</v>
      </c>
      <c r="U8336">
        <v>280.69851155052697</v>
      </c>
      <c r="V8336">
        <v>2.6462026991267498E-3</v>
      </c>
      <c r="W8336">
        <v>1249761.01680528</v>
      </c>
      <c r="X8336" t="s">
        <v>42</v>
      </c>
      <c r="Y8336">
        <f>1-430-669-5745</f>
        <v>-6843</v>
      </c>
    </row>
    <row r="8337" spans="1:25" x14ac:dyDescent="0.35">
      <c r="A8337">
        <v>37.370683996356803</v>
      </c>
      <c r="B8337">
        <v>-114.252518930031</v>
      </c>
      <c r="C8337" t="s">
        <v>29</v>
      </c>
      <c r="D8337">
        <v>14.2993079397984</v>
      </c>
      <c r="E8337">
        <v>4</v>
      </c>
      <c r="F8337">
        <v>876</v>
      </c>
      <c r="G8337">
        <v>2</v>
      </c>
      <c r="H8337">
        <v>3</v>
      </c>
      <c r="I8337">
        <v>2014</v>
      </c>
      <c r="J8337">
        <v>1</v>
      </c>
      <c r="K8337">
        <v>1</v>
      </c>
      <c r="L8337">
        <v>0</v>
      </c>
      <c r="M8337">
        <v>3</v>
      </c>
      <c r="N8337" t="s">
        <v>26</v>
      </c>
      <c r="O8337" t="s">
        <v>32</v>
      </c>
      <c r="P8337">
        <v>6.0375234214125104</v>
      </c>
      <c r="Q8337">
        <v>1.0514150191379099</v>
      </c>
      <c r="R8337">
        <v>7.1564512059896499</v>
      </c>
      <c r="S8337">
        <v>113</v>
      </c>
      <c r="T8337">
        <v>45</v>
      </c>
      <c r="U8337">
        <v>699.43239778280804</v>
      </c>
      <c r="V8337">
        <v>3.4246575342465699E-3</v>
      </c>
      <c r="W8337">
        <v>989759.36721583595</v>
      </c>
      <c r="X8337" t="s">
        <v>28</v>
      </c>
      <c r="Y8337">
        <f>1-919-799-6405</f>
        <v>-8122</v>
      </c>
    </row>
    <row r="8338" spans="1:25" x14ac:dyDescent="0.35">
      <c r="A8338">
        <v>36.661045075133799</v>
      </c>
      <c r="B8338">
        <v>-117.24241270027299</v>
      </c>
      <c r="C8338" t="s">
        <v>25</v>
      </c>
      <c r="D8338">
        <v>29.1267784862459</v>
      </c>
      <c r="E8338">
        <v>8</v>
      </c>
      <c r="F8338">
        <v>2384</v>
      </c>
      <c r="G8338">
        <v>4</v>
      </c>
      <c r="H8338">
        <v>1</v>
      </c>
      <c r="I8338">
        <v>1990</v>
      </c>
      <c r="J8338">
        <v>0</v>
      </c>
      <c r="K8338">
        <v>0</v>
      </c>
      <c r="L8338">
        <v>1</v>
      </c>
      <c r="M8338">
        <v>5</v>
      </c>
      <c r="N8338" t="s">
        <v>26</v>
      </c>
      <c r="O8338" t="s">
        <v>27</v>
      </c>
      <c r="P8338">
        <v>9.6688035951182894</v>
      </c>
      <c r="Q8338">
        <v>1.68211553871057</v>
      </c>
      <c r="R8338">
        <v>8.4381476988907291</v>
      </c>
      <c r="S8338">
        <v>97</v>
      </c>
      <c r="T8338">
        <v>54</v>
      </c>
      <c r="U8338">
        <v>563.04181600663196</v>
      </c>
      <c r="V8338">
        <v>2.0973154362416099E-3</v>
      </c>
      <c r="W8338">
        <v>1525289.2299856299</v>
      </c>
      <c r="X8338" t="s">
        <v>38</v>
      </c>
      <c r="Y8338">
        <f>1-221-573-6407</f>
        <v>-7200</v>
      </c>
    </row>
    <row r="8339" spans="1:25" x14ac:dyDescent="0.35">
      <c r="A8339">
        <v>37.826293638140001</v>
      </c>
      <c r="B8339">
        <v>-122.415377262935</v>
      </c>
      <c r="C8339" t="s">
        <v>34</v>
      </c>
      <c r="D8339">
        <v>16.926721887082699</v>
      </c>
      <c r="E8339">
        <v>0</v>
      </c>
      <c r="F8339">
        <v>2000</v>
      </c>
      <c r="G8339">
        <v>4</v>
      </c>
      <c r="H8339">
        <v>1</v>
      </c>
      <c r="I8339">
        <v>2018</v>
      </c>
      <c r="J8339">
        <v>0</v>
      </c>
      <c r="K8339">
        <v>1</v>
      </c>
      <c r="L8339">
        <v>0</v>
      </c>
      <c r="M8339">
        <v>6</v>
      </c>
      <c r="N8339" t="s">
        <v>35</v>
      </c>
      <c r="O8339" t="s">
        <v>30</v>
      </c>
      <c r="P8339">
        <v>5.47012379315189</v>
      </c>
      <c r="Q8339">
        <v>2.2702174354060398</v>
      </c>
      <c r="R8339">
        <v>3.5808292563740101</v>
      </c>
      <c r="S8339">
        <v>152</v>
      </c>
      <c r="T8339">
        <v>65</v>
      </c>
      <c r="U8339">
        <v>639.28899492021799</v>
      </c>
      <c r="V8339">
        <v>3.0000000000000001E-3</v>
      </c>
      <c r="W8339">
        <v>1581135.8807868301</v>
      </c>
      <c r="X8339" t="s">
        <v>38</v>
      </c>
      <c r="Y8339">
        <f>1-496-647-4372</f>
        <v>-5514</v>
      </c>
    </row>
    <row r="8340" spans="1:25" x14ac:dyDescent="0.35">
      <c r="A8340">
        <v>34.523530163440398</v>
      </c>
      <c r="B8340">
        <v>-119.49094515764401</v>
      </c>
      <c r="C8340" t="s">
        <v>25</v>
      </c>
      <c r="D8340">
        <v>17.676243991485901</v>
      </c>
      <c r="E8340">
        <v>8</v>
      </c>
      <c r="F8340">
        <v>4459</v>
      </c>
      <c r="G8340">
        <v>5</v>
      </c>
      <c r="H8340">
        <v>3</v>
      </c>
      <c r="I8340">
        <v>1989</v>
      </c>
      <c r="J8340">
        <v>0</v>
      </c>
      <c r="K8340">
        <v>0</v>
      </c>
      <c r="L8340">
        <v>1</v>
      </c>
      <c r="M8340">
        <v>7</v>
      </c>
      <c r="N8340" t="s">
        <v>35</v>
      </c>
      <c r="O8340" t="s">
        <v>32</v>
      </c>
      <c r="P8340">
        <v>13.449562025553901</v>
      </c>
      <c r="Q8340">
        <v>1.6167692398881399</v>
      </c>
      <c r="R8340">
        <v>6.3919582131775501</v>
      </c>
      <c r="S8340">
        <v>91</v>
      </c>
      <c r="T8340">
        <v>27</v>
      </c>
      <c r="U8340">
        <v>982.66902200736195</v>
      </c>
      <c r="V8340">
        <v>1.56985871271585E-3</v>
      </c>
      <c r="W8340">
        <v>4803995.3077840898</v>
      </c>
      <c r="X8340" t="s">
        <v>40</v>
      </c>
      <c r="Y8340">
        <f>1-488-260-7808</f>
        <v>-8555</v>
      </c>
    </row>
    <row r="8341" spans="1:25" x14ac:dyDescent="0.35">
      <c r="A8341">
        <v>36.321476123622503</v>
      </c>
      <c r="B8341">
        <v>-123.858107573456</v>
      </c>
      <c r="C8341" t="s">
        <v>29</v>
      </c>
      <c r="D8341">
        <v>14.077664150945299</v>
      </c>
      <c r="E8341">
        <v>0</v>
      </c>
      <c r="F8341">
        <v>766</v>
      </c>
      <c r="G8341">
        <v>5</v>
      </c>
      <c r="H8341">
        <v>1</v>
      </c>
      <c r="I8341">
        <v>1972</v>
      </c>
      <c r="J8341">
        <v>1</v>
      </c>
      <c r="K8341">
        <v>0</v>
      </c>
      <c r="L8341">
        <v>1</v>
      </c>
      <c r="M8341">
        <v>9</v>
      </c>
      <c r="N8341" t="s">
        <v>37</v>
      </c>
      <c r="O8341" t="s">
        <v>27</v>
      </c>
      <c r="P8341">
        <v>11.261543474458099</v>
      </c>
      <c r="Q8341">
        <v>2.3858646913487598</v>
      </c>
      <c r="R8341">
        <v>3.6509358222001298</v>
      </c>
      <c r="S8341">
        <v>23</v>
      </c>
      <c r="T8341">
        <v>45</v>
      </c>
      <c r="U8341">
        <v>967.68086142051095</v>
      </c>
      <c r="V8341">
        <v>1.17493472584856E-2</v>
      </c>
      <c r="W8341">
        <v>1037474.0402268399</v>
      </c>
      <c r="X8341" t="s">
        <v>39</v>
      </c>
      <c r="Y8341">
        <f>1-260-818-5730</f>
        <v>-6807</v>
      </c>
    </row>
    <row r="8342" spans="1:25" x14ac:dyDescent="0.35">
      <c r="A8342">
        <v>37.980149003152199</v>
      </c>
      <c r="B8342">
        <v>-114.589283267421</v>
      </c>
      <c r="C8342" t="s">
        <v>25</v>
      </c>
      <c r="D8342">
        <v>9.1383911528456991</v>
      </c>
      <c r="E8342">
        <v>1</v>
      </c>
      <c r="F8342">
        <v>604</v>
      </c>
      <c r="G8342">
        <v>2</v>
      </c>
      <c r="H8342">
        <v>3</v>
      </c>
      <c r="I8342">
        <v>2012</v>
      </c>
      <c r="J8342">
        <v>0</v>
      </c>
      <c r="K8342">
        <v>0</v>
      </c>
      <c r="L8342">
        <v>1</v>
      </c>
      <c r="M8342">
        <v>11</v>
      </c>
      <c r="N8342" t="s">
        <v>35</v>
      </c>
      <c r="O8342" t="s">
        <v>32</v>
      </c>
      <c r="P8342">
        <v>14.550026236988799</v>
      </c>
      <c r="Q8342">
        <v>1.3430503923052699</v>
      </c>
      <c r="R8342">
        <v>4.0895337705832802</v>
      </c>
      <c r="S8342">
        <v>69</v>
      </c>
      <c r="T8342">
        <v>74</v>
      </c>
      <c r="U8342">
        <v>467.88997033713599</v>
      </c>
      <c r="V8342">
        <v>1.82119205298013E-2</v>
      </c>
      <c r="W8342">
        <v>600748.45333652198</v>
      </c>
      <c r="X8342" t="s">
        <v>38</v>
      </c>
      <c r="Y8342">
        <f>1-866-781-5399</f>
        <v>-7045</v>
      </c>
    </row>
    <row r="8343" spans="1:25" x14ac:dyDescent="0.35">
      <c r="A8343">
        <v>40.781438953318499</v>
      </c>
      <c r="B8343">
        <v>-121.967302838175</v>
      </c>
      <c r="C8343" t="s">
        <v>34</v>
      </c>
      <c r="D8343">
        <v>30.000755203801798</v>
      </c>
      <c r="E8343">
        <v>2</v>
      </c>
      <c r="F8343">
        <v>508</v>
      </c>
      <c r="G8343">
        <v>1</v>
      </c>
      <c r="H8343">
        <v>1</v>
      </c>
      <c r="I8343">
        <v>1958</v>
      </c>
      <c r="J8343">
        <v>1</v>
      </c>
      <c r="K8343">
        <v>0</v>
      </c>
      <c r="L8343">
        <v>1</v>
      </c>
      <c r="M8343">
        <v>7</v>
      </c>
      <c r="N8343" t="s">
        <v>37</v>
      </c>
      <c r="O8343" t="s">
        <v>30</v>
      </c>
      <c r="P8343">
        <v>5.66092659835686</v>
      </c>
      <c r="Q8343">
        <v>2.22235084416775</v>
      </c>
      <c r="R8343">
        <v>6.1676629330663904</v>
      </c>
      <c r="S8343">
        <v>54</v>
      </c>
      <c r="T8343">
        <v>36</v>
      </c>
      <c r="U8343">
        <v>294.19046113627098</v>
      </c>
      <c r="V8343">
        <v>1.3779527559055101E-2</v>
      </c>
      <c r="W8343">
        <v>230258.12430332301</v>
      </c>
      <c r="X8343" t="s">
        <v>33</v>
      </c>
      <c r="Y8343">
        <f>1-354-989-1119</f>
        <v>-2461</v>
      </c>
    </row>
    <row r="8344" spans="1:25" x14ac:dyDescent="0.35">
      <c r="A8344">
        <v>41.154572691151699</v>
      </c>
      <c r="B8344">
        <v>-118.81331016998401</v>
      </c>
      <c r="C8344" t="s">
        <v>34</v>
      </c>
      <c r="D8344">
        <v>10.2848401020432</v>
      </c>
      <c r="E8344">
        <v>2</v>
      </c>
      <c r="F8344">
        <v>1710</v>
      </c>
      <c r="G8344">
        <v>4</v>
      </c>
      <c r="H8344">
        <v>2</v>
      </c>
      <c r="I8344">
        <v>1982</v>
      </c>
      <c r="J8344">
        <v>1</v>
      </c>
      <c r="K8344">
        <v>1</v>
      </c>
      <c r="L8344">
        <v>0</v>
      </c>
      <c r="M8344">
        <v>14</v>
      </c>
      <c r="N8344" t="s">
        <v>37</v>
      </c>
      <c r="O8344" t="s">
        <v>30</v>
      </c>
      <c r="P8344">
        <v>9.0564454468667108</v>
      </c>
      <c r="Q8344">
        <v>1.1925112250648899</v>
      </c>
      <c r="R8344">
        <v>1.43558476194827</v>
      </c>
      <c r="S8344">
        <v>16</v>
      </c>
      <c r="T8344">
        <v>76</v>
      </c>
      <c r="U8344">
        <v>514.29188335019398</v>
      </c>
      <c r="V8344">
        <v>8.1871345029239703E-3</v>
      </c>
      <c r="W8344">
        <v>1254923.76336698</v>
      </c>
      <c r="X8344" t="s">
        <v>28</v>
      </c>
      <c r="Y8344">
        <f>1-482-786-4433</f>
        <v>-5700</v>
      </c>
    </row>
    <row r="8345" spans="1:25" x14ac:dyDescent="0.35">
      <c r="A8345">
        <v>41.207426344501798</v>
      </c>
      <c r="B8345">
        <v>-118.200744195325</v>
      </c>
      <c r="C8345" t="s">
        <v>34</v>
      </c>
      <c r="D8345">
        <v>46.912902876086299</v>
      </c>
      <c r="E8345">
        <v>9</v>
      </c>
      <c r="F8345">
        <v>837</v>
      </c>
      <c r="G8345">
        <v>4</v>
      </c>
      <c r="H8345">
        <v>2</v>
      </c>
      <c r="I8345">
        <v>2014</v>
      </c>
      <c r="J8345">
        <v>1</v>
      </c>
      <c r="K8345">
        <v>0</v>
      </c>
      <c r="L8345">
        <v>0</v>
      </c>
      <c r="M8345">
        <v>8</v>
      </c>
      <c r="N8345" t="s">
        <v>37</v>
      </c>
      <c r="O8345" t="s">
        <v>27</v>
      </c>
      <c r="P8345">
        <v>6.99861998228267</v>
      </c>
      <c r="Q8345">
        <v>1.26927352809478</v>
      </c>
      <c r="R8345">
        <v>3.9915999199029302</v>
      </c>
      <c r="S8345">
        <v>171</v>
      </c>
      <c r="T8345">
        <v>65</v>
      </c>
      <c r="U8345">
        <v>461.89745631018701</v>
      </c>
      <c r="V8345">
        <v>9.5579450418160003E-3</v>
      </c>
      <c r="W8345">
        <v>744171.08033294405</v>
      </c>
      <c r="X8345" t="s">
        <v>31</v>
      </c>
      <c r="Y8345">
        <f>1-538-670-4594</f>
        <v>-5801</v>
      </c>
    </row>
    <row r="8346" spans="1:25" x14ac:dyDescent="0.35">
      <c r="A8346">
        <v>33.777122314836802</v>
      </c>
      <c r="B8346">
        <v>-123.49985492339501</v>
      </c>
      <c r="C8346" t="s">
        <v>34</v>
      </c>
      <c r="D8346">
        <v>47.100572431758103</v>
      </c>
      <c r="E8346">
        <v>3</v>
      </c>
      <c r="F8346">
        <v>3523</v>
      </c>
      <c r="G8346">
        <v>4</v>
      </c>
      <c r="H8346">
        <v>2</v>
      </c>
      <c r="I8346">
        <v>1987</v>
      </c>
      <c r="J8346">
        <v>0</v>
      </c>
      <c r="K8346">
        <v>1</v>
      </c>
      <c r="L8346">
        <v>0</v>
      </c>
      <c r="M8346">
        <v>5</v>
      </c>
      <c r="N8346" t="s">
        <v>26</v>
      </c>
      <c r="O8346" t="s">
        <v>30</v>
      </c>
      <c r="P8346">
        <v>5.2048745458934702</v>
      </c>
      <c r="Q8346">
        <v>1.5730045293899599</v>
      </c>
      <c r="R8346">
        <v>2.30120356860311</v>
      </c>
      <c r="S8346">
        <v>106</v>
      </c>
      <c r="T8346">
        <v>49</v>
      </c>
      <c r="U8346">
        <v>833.69792270608605</v>
      </c>
      <c r="V8346">
        <v>1.4192449616803799E-3</v>
      </c>
      <c r="W8346">
        <v>3252327.4392261798</v>
      </c>
      <c r="X8346" t="s">
        <v>28</v>
      </c>
      <c r="Y8346">
        <f>1-633-928-5514</f>
        <v>-7074</v>
      </c>
    </row>
    <row r="8347" spans="1:25" x14ac:dyDescent="0.35">
      <c r="A8347">
        <v>34.283116683935198</v>
      </c>
      <c r="B8347">
        <v>-119.07085370448701</v>
      </c>
      <c r="C8347" t="s">
        <v>34</v>
      </c>
      <c r="D8347">
        <v>23.276484939581</v>
      </c>
      <c r="E8347">
        <v>5</v>
      </c>
      <c r="F8347">
        <v>1990</v>
      </c>
      <c r="G8347">
        <v>3</v>
      </c>
      <c r="H8347">
        <v>2</v>
      </c>
      <c r="I8347">
        <v>1968</v>
      </c>
      <c r="J8347">
        <v>1</v>
      </c>
      <c r="K8347">
        <v>0</v>
      </c>
      <c r="L8347">
        <v>1</v>
      </c>
      <c r="M8347">
        <v>7</v>
      </c>
      <c r="N8347" t="s">
        <v>41</v>
      </c>
      <c r="O8347" t="s">
        <v>32</v>
      </c>
      <c r="P8347">
        <v>4.54474813633355</v>
      </c>
      <c r="Q8347">
        <v>0.95695748714790396</v>
      </c>
      <c r="R8347">
        <v>7.7865436241250103</v>
      </c>
      <c r="S8347">
        <v>164</v>
      </c>
      <c r="T8347">
        <v>47</v>
      </c>
      <c r="U8347">
        <v>835.41060930400897</v>
      </c>
      <c r="V8347">
        <v>3.51758793969849E-3</v>
      </c>
      <c r="W8347">
        <v>1850286.6429476</v>
      </c>
      <c r="X8347" t="s">
        <v>42</v>
      </c>
      <c r="Y8347">
        <f>1-317-265-1732</f>
        <v>-2313</v>
      </c>
    </row>
    <row r="8348" spans="1:25" x14ac:dyDescent="0.35">
      <c r="A8348">
        <v>40.997108577591597</v>
      </c>
      <c r="B8348">
        <v>-122.494310427302</v>
      </c>
      <c r="C8348" t="s">
        <v>25</v>
      </c>
      <c r="D8348">
        <v>21.625994096292999</v>
      </c>
      <c r="E8348">
        <v>2</v>
      </c>
      <c r="F8348">
        <v>2381</v>
      </c>
      <c r="G8348">
        <v>2</v>
      </c>
      <c r="H8348">
        <v>3</v>
      </c>
      <c r="I8348">
        <v>1985</v>
      </c>
      <c r="J8348">
        <v>0</v>
      </c>
      <c r="K8348">
        <v>1</v>
      </c>
      <c r="L8348">
        <v>0</v>
      </c>
      <c r="M8348">
        <v>9</v>
      </c>
      <c r="N8348" t="s">
        <v>37</v>
      </c>
      <c r="O8348" t="s">
        <v>32</v>
      </c>
      <c r="P8348">
        <v>11.3284382423052</v>
      </c>
      <c r="Q8348">
        <v>2.43931784334996</v>
      </c>
      <c r="R8348">
        <v>4.4934373906397997</v>
      </c>
      <c r="S8348">
        <v>21</v>
      </c>
      <c r="T8348">
        <v>50</v>
      </c>
      <c r="U8348">
        <v>206.38181473470399</v>
      </c>
      <c r="V8348">
        <v>3.77992440151196E-3</v>
      </c>
      <c r="W8348">
        <v>903365.89745952701</v>
      </c>
      <c r="X8348" t="s">
        <v>38</v>
      </c>
      <c r="Y8348">
        <f>1-346-803-5199</f>
        <v>-6347</v>
      </c>
    </row>
    <row r="8349" spans="1:25" x14ac:dyDescent="0.35">
      <c r="A8349">
        <v>40.214349052026002</v>
      </c>
      <c r="B8349">
        <v>-124.27166783825901</v>
      </c>
      <c r="C8349" t="s">
        <v>25</v>
      </c>
      <c r="D8349">
        <v>23.820501260198299</v>
      </c>
      <c r="E8349">
        <v>0</v>
      </c>
      <c r="F8349">
        <v>3993</v>
      </c>
      <c r="G8349">
        <v>2</v>
      </c>
      <c r="H8349">
        <v>1</v>
      </c>
      <c r="I8349">
        <v>1987</v>
      </c>
      <c r="J8349">
        <v>0</v>
      </c>
      <c r="K8349">
        <v>1</v>
      </c>
      <c r="L8349">
        <v>1</v>
      </c>
      <c r="M8349">
        <v>5</v>
      </c>
      <c r="N8349" t="s">
        <v>37</v>
      </c>
      <c r="O8349" t="s">
        <v>27</v>
      </c>
      <c r="P8349">
        <v>10.3097318696525</v>
      </c>
      <c r="Q8349">
        <v>1.2025638928987099</v>
      </c>
      <c r="R8349">
        <v>4.62970425167026</v>
      </c>
      <c r="S8349">
        <v>135</v>
      </c>
      <c r="T8349">
        <v>36</v>
      </c>
      <c r="U8349">
        <v>249.056928070834</v>
      </c>
      <c r="V8349">
        <v>1.2521913348359599E-3</v>
      </c>
      <c r="W8349">
        <v>1240463.77215111</v>
      </c>
      <c r="X8349" t="s">
        <v>36</v>
      </c>
      <c r="Y8349">
        <f>1-991-341-3583</f>
        <v>-4914</v>
      </c>
    </row>
    <row r="8350" spans="1:25" x14ac:dyDescent="0.35">
      <c r="A8350">
        <v>40.860582828298298</v>
      </c>
      <c r="B8350">
        <v>-114.932255122147</v>
      </c>
      <c r="C8350" t="s">
        <v>29</v>
      </c>
      <c r="D8350">
        <v>47.229624273442099</v>
      </c>
      <c r="E8350">
        <v>5</v>
      </c>
      <c r="F8350">
        <v>1515</v>
      </c>
      <c r="G8350">
        <v>1</v>
      </c>
      <c r="H8350">
        <v>3</v>
      </c>
      <c r="I8350">
        <v>2015</v>
      </c>
      <c r="J8350">
        <v>0</v>
      </c>
      <c r="K8350">
        <v>1</v>
      </c>
      <c r="L8350">
        <v>1</v>
      </c>
      <c r="M8350">
        <v>10</v>
      </c>
      <c r="N8350" t="s">
        <v>26</v>
      </c>
      <c r="O8350" t="s">
        <v>32</v>
      </c>
      <c r="P8350">
        <v>4.8558007605603404</v>
      </c>
      <c r="Q8350">
        <v>1.5913630899617</v>
      </c>
      <c r="R8350">
        <v>1.6391522466628501</v>
      </c>
      <c r="S8350">
        <v>151</v>
      </c>
      <c r="T8350">
        <v>76</v>
      </c>
      <c r="U8350">
        <v>774.69869443580103</v>
      </c>
      <c r="V8350">
        <v>6.6006600660065999E-3</v>
      </c>
      <c r="W8350">
        <v>1405850.7572752</v>
      </c>
      <c r="X8350" t="s">
        <v>33</v>
      </c>
      <c r="Y8350">
        <f>1-576-381-2174</f>
        <v>-3130</v>
      </c>
    </row>
    <row r="8351" spans="1:25" x14ac:dyDescent="0.35">
      <c r="A8351">
        <v>41.6040689328618</v>
      </c>
      <c r="B8351">
        <v>-116.097002101144</v>
      </c>
      <c r="C8351" t="s">
        <v>29</v>
      </c>
      <c r="D8351">
        <v>32.177307433936001</v>
      </c>
      <c r="E8351">
        <v>7</v>
      </c>
      <c r="F8351">
        <v>3413</v>
      </c>
      <c r="G8351">
        <v>5</v>
      </c>
      <c r="H8351">
        <v>2</v>
      </c>
      <c r="I8351">
        <v>1970</v>
      </c>
      <c r="J8351">
        <v>0</v>
      </c>
      <c r="K8351">
        <v>1</v>
      </c>
      <c r="L8351">
        <v>0</v>
      </c>
      <c r="M8351">
        <v>2</v>
      </c>
      <c r="N8351" t="s">
        <v>41</v>
      </c>
      <c r="O8351" t="s">
        <v>30</v>
      </c>
      <c r="P8351">
        <v>14.4968390850216</v>
      </c>
      <c r="Q8351">
        <v>1.76500631876388</v>
      </c>
      <c r="R8351">
        <v>2.9441846447049</v>
      </c>
      <c r="S8351">
        <v>47</v>
      </c>
      <c r="T8351">
        <v>43</v>
      </c>
      <c r="U8351">
        <v>370.02575506023697</v>
      </c>
      <c r="V8351">
        <v>5.8599472604746504E-4</v>
      </c>
      <c r="W8351">
        <v>1697283.2792062201</v>
      </c>
      <c r="X8351" t="s">
        <v>44</v>
      </c>
      <c r="Y8351">
        <f>1-651-856-7505</f>
        <v>-9011</v>
      </c>
    </row>
    <row r="8352" spans="1:25" x14ac:dyDescent="0.35">
      <c r="A8352">
        <v>32.905924904928199</v>
      </c>
      <c r="B8352">
        <v>-122.841135605914</v>
      </c>
      <c r="C8352" t="s">
        <v>34</v>
      </c>
      <c r="D8352">
        <v>13.217117874059401</v>
      </c>
      <c r="E8352">
        <v>3</v>
      </c>
      <c r="F8352">
        <v>626</v>
      </c>
      <c r="G8352">
        <v>3</v>
      </c>
      <c r="H8352">
        <v>2</v>
      </c>
      <c r="I8352">
        <v>1975</v>
      </c>
      <c r="J8352">
        <v>0</v>
      </c>
      <c r="K8352">
        <v>0</v>
      </c>
      <c r="L8352">
        <v>0</v>
      </c>
      <c r="M8352">
        <v>12</v>
      </c>
      <c r="N8352" t="s">
        <v>26</v>
      </c>
      <c r="O8352" t="s">
        <v>30</v>
      </c>
      <c r="P8352">
        <v>5.4999689663374003</v>
      </c>
      <c r="Q8352">
        <v>1.84348454081641</v>
      </c>
      <c r="R8352">
        <v>7.6155704671821303</v>
      </c>
      <c r="S8352">
        <v>80</v>
      </c>
      <c r="T8352">
        <v>65</v>
      </c>
      <c r="U8352">
        <v>906.25142237691205</v>
      </c>
      <c r="V8352">
        <v>1.91693290734824E-2</v>
      </c>
      <c r="W8352">
        <v>670476.65746947401</v>
      </c>
      <c r="X8352" t="s">
        <v>42</v>
      </c>
      <c r="Y8352">
        <f>1-994-213-6088</f>
        <v>-7294</v>
      </c>
    </row>
    <row r="8353" spans="1:25" x14ac:dyDescent="0.35">
      <c r="A8353">
        <v>41.911667237864002</v>
      </c>
      <c r="B8353">
        <v>-118.45770845230901</v>
      </c>
      <c r="C8353" t="s">
        <v>29</v>
      </c>
      <c r="D8353">
        <v>44.453816128339497</v>
      </c>
      <c r="E8353">
        <v>0</v>
      </c>
      <c r="F8353">
        <v>4497</v>
      </c>
      <c r="G8353">
        <v>4</v>
      </c>
      <c r="H8353">
        <v>1</v>
      </c>
      <c r="I8353">
        <v>1989</v>
      </c>
      <c r="J8353">
        <v>0</v>
      </c>
      <c r="K8353">
        <v>0</v>
      </c>
      <c r="L8353">
        <v>0</v>
      </c>
      <c r="M8353">
        <v>7</v>
      </c>
      <c r="N8353" t="s">
        <v>41</v>
      </c>
      <c r="O8353" t="s">
        <v>32</v>
      </c>
      <c r="P8353">
        <v>2.0697938799617801</v>
      </c>
      <c r="Q8353">
        <v>1.8915021705425299</v>
      </c>
      <c r="R8353">
        <v>2.8026718573635101</v>
      </c>
      <c r="S8353">
        <v>108</v>
      </c>
      <c r="T8353">
        <v>47</v>
      </c>
      <c r="U8353">
        <v>778.00632568775302</v>
      </c>
      <c r="V8353">
        <v>1.55659328441183E-3</v>
      </c>
      <c r="W8353">
        <v>3731291.23607725</v>
      </c>
      <c r="X8353" t="s">
        <v>39</v>
      </c>
      <c r="Y8353">
        <f>1-412-120-4788</f>
        <v>-5319</v>
      </c>
    </row>
    <row r="8354" spans="1:25" x14ac:dyDescent="0.35">
      <c r="A8354">
        <v>40.095113401554201</v>
      </c>
      <c r="B8354">
        <v>-121.916420037078</v>
      </c>
      <c r="C8354" t="s">
        <v>34</v>
      </c>
      <c r="D8354">
        <v>35.162040266749599</v>
      </c>
      <c r="E8354">
        <v>4</v>
      </c>
      <c r="F8354">
        <v>3956</v>
      </c>
      <c r="G8354">
        <v>2</v>
      </c>
      <c r="H8354">
        <v>2</v>
      </c>
      <c r="I8354">
        <v>2006</v>
      </c>
      <c r="J8354">
        <v>1</v>
      </c>
      <c r="K8354">
        <v>1</v>
      </c>
      <c r="L8354">
        <v>0</v>
      </c>
      <c r="M8354">
        <v>9</v>
      </c>
      <c r="N8354" t="s">
        <v>35</v>
      </c>
      <c r="O8354" t="s">
        <v>30</v>
      </c>
      <c r="P8354">
        <v>3.78067170132028</v>
      </c>
      <c r="Q8354">
        <v>1.2775650947863899</v>
      </c>
      <c r="R8354">
        <v>9.1598566354249904</v>
      </c>
      <c r="S8354">
        <v>164</v>
      </c>
      <c r="T8354">
        <v>77</v>
      </c>
      <c r="U8354">
        <v>330.38267374362601</v>
      </c>
      <c r="V8354">
        <v>2.2750252780586399E-3</v>
      </c>
      <c r="W8354">
        <v>1589110.95633977</v>
      </c>
      <c r="X8354" t="s">
        <v>39</v>
      </c>
      <c r="Y8354">
        <f>1-801-863-5761</f>
        <v>-7424</v>
      </c>
    </row>
    <row r="8355" spans="1:25" x14ac:dyDescent="0.35">
      <c r="A8355">
        <v>38.214778986199399</v>
      </c>
      <c r="B8355">
        <v>-115.57493808839099</v>
      </c>
      <c r="C8355" t="s">
        <v>34</v>
      </c>
      <c r="D8355">
        <v>34.138438877678396</v>
      </c>
      <c r="E8355">
        <v>2</v>
      </c>
      <c r="F8355">
        <v>4597</v>
      </c>
      <c r="G8355">
        <v>2</v>
      </c>
      <c r="H8355">
        <v>1</v>
      </c>
      <c r="I8355">
        <v>2004</v>
      </c>
      <c r="J8355">
        <v>0</v>
      </c>
      <c r="K8355">
        <v>1</v>
      </c>
      <c r="L8355">
        <v>1</v>
      </c>
      <c r="M8355">
        <v>9</v>
      </c>
      <c r="N8355" t="s">
        <v>37</v>
      </c>
      <c r="O8355" t="s">
        <v>30</v>
      </c>
      <c r="P8355">
        <v>13.951694749537101</v>
      </c>
      <c r="Q8355">
        <v>1.4612614065579601</v>
      </c>
      <c r="R8355">
        <v>9.3118376239652498</v>
      </c>
      <c r="S8355">
        <v>37</v>
      </c>
      <c r="T8355">
        <v>61</v>
      </c>
      <c r="U8355">
        <v>997.83056689808302</v>
      </c>
      <c r="V8355">
        <v>1.95779856428105E-3</v>
      </c>
      <c r="W8355">
        <v>4921224.2082682699</v>
      </c>
      <c r="X8355" t="s">
        <v>40</v>
      </c>
      <c r="Y8355">
        <f>1-722-151-2083</f>
        <v>-2955</v>
      </c>
    </row>
    <row r="8356" spans="1:25" x14ac:dyDescent="0.35">
      <c r="A8356">
        <v>34.555704589263797</v>
      </c>
      <c r="B8356">
        <v>-118.28524818798201</v>
      </c>
      <c r="C8356" t="s">
        <v>25</v>
      </c>
      <c r="D8356">
        <v>38.350495949982196</v>
      </c>
      <c r="E8356">
        <v>7</v>
      </c>
      <c r="F8356">
        <v>1190</v>
      </c>
      <c r="G8356">
        <v>1</v>
      </c>
      <c r="H8356">
        <v>3</v>
      </c>
      <c r="I8356">
        <v>1961</v>
      </c>
      <c r="J8356">
        <v>0</v>
      </c>
      <c r="K8356">
        <v>1</v>
      </c>
      <c r="L8356">
        <v>1</v>
      </c>
      <c r="M8356">
        <v>10</v>
      </c>
      <c r="N8356" t="s">
        <v>37</v>
      </c>
      <c r="O8356" t="s">
        <v>27</v>
      </c>
      <c r="P8356">
        <v>3.8632983800863299</v>
      </c>
      <c r="Q8356">
        <v>0.62088472201462397</v>
      </c>
      <c r="R8356">
        <v>9.7124620525740397</v>
      </c>
      <c r="S8356">
        <v>16</v>
      </c>
      <c r="T8356">
        <v>68</v>
      </c>
      <c r="U8356">
        <v>578.42553097502298</v>
      </c>
      <c r="V8356">
        <v>8.4033613445378096E-3</v>
      </c>
      <c r="W8356">
        <v>872882.12228293496</v>
      </c>
      <c r="X8356" t="s">
        <v>33</v>
      </c>
      <c r="Y8356">
        <f>1-247-327-7215</f>
        <v>-7788</v>
      </c>
    </row>
    <row r="8357" spans="1:25" x14ac:dyDescent="0.35">
      <c r="A8357">
        <v>37.376252019325101</v>
      </c>
      <c r="B8357">
        <v>-123.441258174811</v>
      </c>
      <c r="C8357" t="s">
        <v>34</v>
      </c>
      <c r="D8357">
        <v>44.152000431305403</v>
      </c>
      <c r="E8357">
        <v>9</v>
      </c>
      <c r="F8357">
        <v>3425</v>
      </c>
      <c r="G8357">
        <v>1</v>
      </c>
      <c r="H8357">
        <v>2</v>
      </c>
      <c r="I8357">
        <v>1963</v>
      </c>
      <c r="J8357">
        <v>0</v>
      </c>
      <c r="K8357">
        <v>0</v>
      </c>
      <c r="L8357">
        <v>0</v>
      </c>
      <c r="M8357">
        <v>3</v>
      </c>
      <c r="N8357" t="s">
        <v>37</v>
      </c>
      <c r="O8357" t="s">
        <v>30</v>
      </c>
      <c r="P8357">
        <v>14.6716892726434</v>
      </c>
      <c r="Q8357">
        <v>1.4597874440899199</v>
      </c>
      <c r="R8357">
        <v>5.21270180957944</v>
      </c>
      <c r="S8357">
        <v>115</v>
      </c>
      <c r="T8357">
        <v>44</v>
      </c>
      <c r="U8357">
        <v>991.76435151497003</v>
      </c>
      <c r="V8357">
        <v>8.7591240875912395E-4</v>
      </c>
      <c r="W8357">
        <v>3468500.1487476602</v>
      </c>
      <c r="X8357" t="s">
        <v>39</v>
      </c>
      <c r="Y8357">
        <f>1-391-129-3775</f>
        <v>-4294</v>
      </c>
    </row>
    <row r="8358" spans="1:25" x14ac:dyDescent="0.35">
      <c r="A8358">
        <v>36.361528097983197</v>
      </c>
      <c r="B8358">
        <v>-117.58311676420701</v>
      </c>
      <c r="C8358" t="s">
        <v>25</v>
      </c>
      <c r="D8358">
        <v>4.2594242799889797</v>
      </c>
      <c r="E8358">
        <v>9</v>
      </c>
      <c r="F8358">
        <v>2271</v>
      </c>
      <c r="G8358">
        <v>3</v>
      </c>
      <c r="H8358">
        <v>3</v>
      </c>
      <c r="I8358">
        <v>2020</v>
      </c>
      <c r="J8358">
        <v>1</v>
      </c>
      <c r="K8358">
        <v>0</v>
      </c>
      <c r="L8358">
        <v>0</v>
      </c>
      <c r="M8358">
        <v>14</v>
      </c>
      <c r="N8358" t="s">
        <v>37</v>
      </c>
      <c r="O8358" t="s">
        <v>27</v>
      </c>
      <c r="P8358">
        <v>6.6285984697146301</v>
      </c>
      <c r="Q8358">
        <v>1.4834649261703301</v>
      </c>
      <c r="R8358">
        <v>9.6954965507334805</v>
      </c>
      <c r="S8358">
        <v>172</v>
      </c>
      <c r="T8358">
        <v>37</v>
      </c>
      <c r="U8358">
        <v>950.25370238172798</v>
      </c>
      <c r="V8358">
        <v>6.1646851607221401E-3</v>
      </c>
      <c r="W8358">
        <v>2366117.3172906199</v>
      </c>
      <c r="X8358" t="s">
        <v>28</v>
      </c>
      <c r="Y8358">
        <f>1-798-671-5992</f>
        <v>-7460</v>
      </c>
    </row>
    <row r="8359" spans="1:25" x14ac:dyDescent="0.35">
      <c r="A8359">
        <v>33.670026553582503</v>
      </c>
      <c r="B8359">
        <v>-118.245763391133</v>
      </c>
      <c r="C8359" t="s">
        <v>34</v>
      </c>
      <c r="D8359">
        <v>7.3450885272927602</v>
      </c>
      <c r="E8359">
        <v>3</v>
      </c>
      <c r="F8359">
        <v>4364</v>
      </c>
      <c r="G8359">
        <v>4</v>
      </c>
      <c r="H8359">
        <v>1</v>
      </c>
      <c r="I8359">
        <v>1978</v>
      </c>
      <c r="J8359">
        <v>0</v>
      </c>
      <c r="K8359">
        <v>0</v>
      </c>
      <c r="L8359">
        <v>1</v>
      </c>
      <c r="M8359">
        <v>10</v>
      </c>
      <c r="N8359" t="s">
        <v>37</v>
      </c>
      <c r="O8359" t="s">
        <v>30</v>
      </c>
      <c r="P8359">
        <v>8.4226716525112497</v>
      </c>
      <c r="Q8359">
        <v>2.4854590847009801</v>
      </c>
      <c r="R8359">
        <v>4.7720549238592902</v>
      </c>
      <c r="S8359">
        <v>74</v>
      </c>
      <c r="T8359">
        <v>27</v>
      </c>
      <c r="U8359">
        <v>580.39641310198601</v>
      </c>
      <c r="V8359">
        <v>2.2914757103574702E-3</v>
      </c>
      <c r="W8359">
        <v>2767847.7070585201</v>
      </c>
      <c r="X8359" t="s">
        <v>31</v>
      </c>
      <c r="Y8359">
        <f>1-904-703-4553</f>
        <v>-6159</v>
      </c>
    </row>
    <row r="8360" spans="1:25" x14ac:dyDescent="0.35">
      <c r="A8360">
        <v>35.020623373363797</v>
      </c>
      <c r="B8360">
        <v>-114.425408727416</v>
      </c>
      <c r="C8360" t="s">
        <v>34</v>
      </c>
      <c r="D8360">
        <v>16.087063431608001</v>
      </c>
      <c r="E8360">
        <v>9</v>
      </c>
      <c r="F8360">
        <v>1906</v>
      </c>
      <c r="G8360">
        <v>2</v>
      </c>
      <c r="H8360">
        <v>3</v>
      </c>
      <c r="I8360">
        <v>1962</v>
      </c>
      <c r="J8360">
        <v>0</v>
      </c>
      <c r="K8360">
        <v>1</v>
      </c>
      <c r="L8360">
        <v>1</v>
      </c>
      <c r="M8360">
        <v>2</v>
      </c>
      <c r="N8360" t="s">
        <v>26</v>
      </c>
      <c r="O8360" t="s">
        <v>30</v>
      </c>
      <c r="P8360">
        <v>10.852313695160699</v>
      </c>
      <c r="Q8360">
        <v>1.6283585960351801</v>
      </c>
      <c r="R8360">
        <v>3.5364527915228399</v>
      </c>
      <c r="S8360">
        <v>142</v>
      </c>
      <c r="T8360">
        <v>58</v>
      </c>
      <c r="U8360">
        <v>842.01273331760001</v>
      </c>
      <c r="V8360">
        <v>1.04931794333683E-3</v>
      </c>
      <c r="W8360">
        <v>1982803.8726961899</v>
      </c>
      <c r="X8360" t="s">
        <v>31</v>
      </c>
      <c r="Y8360">
        <f>1-623-799-3702</f>
        <v>-5123</v>
      </c>
    </row>
    <row r="8361" spans="1:25" x14ac:dyDescent="0.35">
      <c r="A8361">
        <v>38.387620865052298</v>
      </c>
      <c r="B8361">
        <v>-114.99329083863699</v>
      </c>
      <c r="C8361" t="s">
        <v>34</v>
      </c>
      <c r="D8361">
        <v>11.675756759217901</v>
      </c>
      <c r="E8361">
        <v>0</v>
      </c>
      <c r="F8361">
        <v>4287</v>
      </c>
      <c r="G8361">
        <v>5</v>
      </c>
      <c r="H8361">
        <v>2</v>
      </c>
      <c r="I8361">
        <v>1950</v>
      </c>
      <c r="J8361">
        <v>1</v>
      </c>
      <c r="K8361">
        <v>1</v>
      </c>
      <c r="L8361">
        <v>1</v>
      </c>
      <c r="M8361">
        <v>6</v>
      </c>
      <c r="N8361" t="s">
        <v>26</v>
      </c>
      <c r="O8361" t="s">
        <v>32</v>
      </c>
      <c r="P8361">
        <v>8.4191514026739398</v>
      </c>
      <c r="Q8361">
        <v>2.1704323834598198</v>
      </c>
      <c r="R8361">
        <v>2.5079322180776602</v>
      </c>
      <c r="S8361">
        <v>94</v>
      </c>
      <c r="T8361">
        <v>74</v>
      </c>
      <c r="U8361">
        <v>422.08859151298498</v>
      </c>
      <c r="V8361">
        <v>1.3995801259622099E-3</v>
      </c>
      <c r="W8361">
        <v>2171208.0187184699</v>
      </c>
      <c r="X8361" t="s">
        <v>38</v>
      </c>
      <c r="Y8361">
        <f>1-404-507-4843</f>
        <v>-5753</v>
      </c>
    </row>
    <row r="8362" spans="1:25" x14ac:dyDescent="0.35">
      <c r="A8362">
        <v>41.789119169163001</v>
      </c>
      <c r="B8362">
        <v>-116.13935500045901</v>
      </c>
      <c r="C8362" t="s">
        <v>25</v>
      </c>
      <c r="D8362">
        <v>8.4441080564892808</v>
      </c>
      <c r="E8362">
        <v>0</v>
      </c>
      <c r="F8362">
        <v>2109</v>
      </c>
      <c r="G8362">
        <v>2</v>
      </c>
      <c r="H8362">
        <v>2</v>
      </c>
      <c r="I8362">
        <v>1974</v>
      </c>
      <c r="J8362">
        <v>1</v>
      </c>
      <c r="K8362">
        <v>0</v>
      </c>
      <c r="L8362">
        <v>0</v>
      </c>
      <c r="M8362">
        <v>7</v>
      </c>
      <c r="N8362" t="s">
        <v>35</v>
      </c>
      <c r="O8362" t="s">
        <v>32</v>
      </c>
      <c r="P8362">
        <v>5.5416211805928199</v>
      </c>
      <c r="Q8362">
        <v>2.1520446300017801</v>
      </c>
      <c r="R8362">
        <v>5.99304539384823</v>
      </c>
      <c r="S8362">
        <v>77</v>
      </c>
      <c r="T8362">
        <v>48</v>
      </c>
      <c r="U8362">
        <v>771.86604176492699</v>
      </c>
      <c r="V8362">
        <v>3.3191085822664701E-3</v>
      </c>
      <c r="W8362">
        <v>1738776.1500747199</v>
      </c>
      <c r="X8362" t="s">
        <v>33</v>
      </c>
      <c r="Y8362">
        <f>1-895-590-1535</f>
        <v>-3019</v>
      </c>
    </row>
    <row r="8363" spans="1:25" x14ac:dyDescent="0.35">
      <c r="A8363">
        <v>35.542531440860998</v>
      </c>
      <c r="B8363">
        <v>-117.165550719772</v>
      </c>
      <c r="C8363" t="s">
        <v>29</v>
      </c>
      <c r="D8363">
        <v>21.8128700651759</v>
      </c>
      <c r="E8363">
        <v>8</v>
      </c>
      <c r="F8363">
        <v>505</v>
      </c>
      <c r="G8363">
        <v>2</v>
      </c>
      <c r="H8363">
        <v>1</v>
      </c>
      <c r="I8363">
        <v>1996</v>
      </c>
      <c r="J8363">
        <v>1</v>
      </c>
      <c r="K8363">
        <v>0</v>
      </c>
      <c r="L8363">
        <v>0</v>
      </c>
      <c r="M8363">
        <v>9</v>
      </c>
      <c r="N8363" t="s">
        <v>37</v>
      </c>
      <c r="O8363" t="s">
        <v>30</v>
      </c>
      <c r="P8363">
        <v>12.6174394657807</v>
      </c>
      <c r="Q8363">
        <v>1.7776469473249401</v>
      </c>
      <c r="R8363">
        <v>7.1478615280223003</v>
      </c>
      <c r="S8363">
        <v>175</v>
      </c>
      <c r="T8363">
        <v>25</v>
      </c>
      <c r="U8363">
        <v>777.49326553870401</v>
      </c>
      <c r="V8363">
        <v>1.7821782178217799E-2</v>
      </c>
      <c r="W8363">
        <v>559712.689095326</v>
      </c>
      <c r="X8363" t="s">
        <v>44</v>
      </c>
      <c r="Y8363">
        <f>1-316-219-9482</f>
        <v>-10016</v>
      </c>
    </row>
    <row r="8364" spans="1:25" x14ac:dyDescent="0.35">
      <c r="A8364">
        <v>34.7617594777835</v>
      </c>
      <c r="B8364">
        <v>-115.395330664204</v>
      </c>
      <c r="C8364" t="s">
        <v>29</v>
      </c>
      <c r="D8364">
        <v>18.875835986024001</v>
      </c>
      <c r="E8364">
        <v>8</v>
      </c>
      <c r="F8364">
        <v>2447</v>
      </c>
      <c r="G8364">
        <v>4</v>
      </c>
      <c r="H8364">
        <v>3</v>
      </c>
      <c r="I8364">
        <v>1981</v>
      </c>
      <c r="J8364">
        <v>0</v>
      </c>
      <c r="K8364">
        <v>0</v>
      </c>
      <c r="L8364">
        <v>1</v>
      </c>
      <c r="M8364">
        <v>7</v>
      </c>
      <c r="N8364" t="s">
        <v>41</v>
      </c>
      <c r="O8364" t="s">
        <v>30</v>
      </c>
      <c r="P8364">
        <v>13.3277558032174</v>
      </c>
      <c r="Q8364">
        <v>1.7577316638735101</v>
      </c>
      <c r="R8364">
        <v>3.7067984242368399</v>
      </c>
      <c r="S8364">
        <v>107</v>
      </c>
      <c r="T8364">
        <v>22</v>
      </c>
      <c r="U8364">
        <v>293.68761208365697</v>
      </c>
      <c r="V8364">
        <v>2.8606456885982802E-3</v>
      </c>
      <c r="W8364">
        <v>1096640.71613887</v>
      </c>
      <c r="X8364" t="s">
        <v>42</v>
      </c>
      <c r="Y8364">
        <f>1-838-831-2473</f>
        <v>-4141</v>
      </c>
    </row>
    <row r="8365" spans="1:25" x14ac:dyDescent="0.35">
      <c r="A8365">
        <v>32.970670687072101</v>
      </c>
      <c r="B8365">
        <v>-123.69426868850501</v>
      </c>
      <c r="C8365" t="s">
        <v>29</v>
      </c>
      <c r="D8365">
        <v>18.347236320120398</v>
      </c>
      <c r="E8365">
        <v>8</v>
      </c>
      <c r="F8365">
        <v>847</v>
      </c>
      <c r="G8365">
        <v>5</v>
      </c>
      <c r="H8365">
        <v>2</v>
      </c>
      <c r="I8365">
        <v>1977</v>
      </c>
      <c r="J8365">
        <v>1</v>
      </c>
      <c r="K8365">
        <v>0</v>
      </c>
      <c r="L8365">
        <v>0</v>
      </c>
      <c r="M8365">
        <v>9</v>
      </c>
      <c r="N8365" t="s">
        <v>41</v>
      </c>
      <c r="O8365" t="s">
        <v>27</v>
      </c>
      <c r="P8365">
        <v>12.043966510390099</v>
      </c>
      <c r="Q8365">
        <v>0.78371559429029802</v>
      </c>
      <c r="R8365">
        <v>3.2128806569164801</v>
      </c>
      <c r="S8365">
        <v>40</v>
      </c>
      <c r="T8365">
        <v>31</v>
      </c>
      <c r="U8365">
        <v>537.77821569202797</v>
      </c>
      <c r="V8365">
        <v>1.0625737898465101E-2</v>
      </c>
      <c r="W8365">
        <v>859847.64834285399</v>
      </c>
      <c r="X8365" t="s">
        <v>39</v>
      </c>
      <c r="Y8365">
        <f>1-799-113-2523</f>
        <v>-3434</v>
      </c>
    </row>
    <row r="8366" spans="1:25" x14ac:dyDescent="0.35">
      <c r="A8366">
        <v>36.154262595205203</v>
      </c>
      <c r="B8366">
        <v>-114.683504442287</v>
      </c>
      <c r="C8366" t="s">
        <v>29</v>
      </c>
      <c r="D8366">
        <v>16.442630565649601</v>
      </c>
      <c r="E8366">
        <v>1</v>
      </c>
      <c r="F8366">
        <v>3520</v>
      </c>
      <c r="G8366">
        <v>2</v>
      </c>
      <c r="H8366">
        <v>3</v>
      </c>
      <c r="I8366">
        <v>1954</v>
      </c>
      <c r="J8366">
        <v>1</v>
      </c>
      <c r="K8366">
        <v>1</v>
      </c>
      <c r="L8366">
        <v>0</v>
      </c>
      <c r="M8366">
        <v>7</v>
      </c>
      <c r="N8366" t="s">
        <v>37</v>
      </c>
      <c r="O8366" t="s">
        <v>32</v>
      </c>
      <c r="P8366">
        <v>3.1231400881548299</v>
      </c>
      <c r="Q8366">
        <v>2.4528152894078801</v>
      </c>
      <c r="R8366">
        <v>2.53480747523917</v>
      </c>
      <c r="S8366">
        <v>130</v>
      </c>
      <c r="T8366">
        <v>64</v>
      </c>
      <c r="U8366">
        <v>554.53056780938903</v>
      </c>
      <c r="V8366">
        <v>1.98863636363636E-3</v>
      </c>
      <c r="W8366">
        <v>2196912.79208535</v>
      </c>
      <c r="X8366" t="s">
        <v>28</v>
      </c>
      <c r="Y8366">
        <f>1-788-414-7743</f>
        <v>-8944</v>
      </c>
    </row>
    <row r="8367" spans="1:25" x14ac:dyDescent="0.35">
      <c r="A8367">
        <v>40.675538748576699</v>
      </c>
      <c r="B8367">
        <v>-119.912355547244</v>
      </c>
      <c r="C8367" t="s">
        <v>25</v>
      </c>
      <c r="D8367">
        <v>25.4471883672072</v>
      </c>
      <c r="E8367">
        <v>3</v>
      </c>
      <c r="F8367">
        <v>3637</v>
      </c>
      <c r="G8367">
        <v>5</v>
      </c>
      <c r="H8367">
        <v>1</v>
      </c>
      <c r="I8367">
        <v>1997</v>
      </c>
      <c r="J8367">
        <v>0</v>
      </c>
      <c r="K8367">
        <v>0</v>
      </c>
      <c r="L8367">
        <v>1</v>
      </c>
      <c r="M8367">
        <v>5</v>
      </c>
      <c r="N8367" t="s">
        <v>41</v>
      </c>
      <c r="O8367" t="s">
        <v>32</v>
      </c>
      <c r="P8367">
        <v>7.1495775447636998</v>
      </c>
      <c r="Q8367">
        <v>1.5981419021285801</v>
      </c>
      <c r="R8367">
        <v>7.3237536072516596</v>
      </c>
      <c r="S8367">
        <v>153</v>
      </c>
      <c r="T8367">
        <v>79</v>
      </c>
      <c r="U8367">
        <v>903.04134237200401</v>
      </c>
      <c r="V8367">
        <v>1.374759417102E-3</v>
      </c>
      <c r="W8367">
        <v>3543072.5475946902</v>
      </c>
      <c r="X8367" t="s">
        <v>38</v>
      </c>
      <c r="Y8367">
        <f>1-614-885-9902</f>
        <v>-11400</v>
      </c>
    </row>
    <row r="8368" spans="1:25" x14ac:dyDescent="0.35">
      <c r="A8368">
        <v>39.270892678688497</v>
      </c>
      <c r="B8368">
        <v>-121.949968935244</v>
      </c>
      <c r="C8368" t="s">
        <v>34</v>
      </c>
      <c r="D8368">
        <v>38.604205570361501</v>
      </c>
      <c r="E8368">
        <v>8</v>
      </c>
      <c r="F8368">
        <v>3916</v>
      </c>
      <c r="G8368">
        <v>3</v>
      </c>
      <c r="H8368">
        <v>2</v>
      </c>
      <c r="I8368">
        <v>1989</v>
      </c>
      <c r="J8368">
        <v>1</v>
      </c>
      <c r="K8368">
        <v>0</v>
      </c>
      <c r="L8368">
        <v>0</v>
      </c>
      <c r="M8368">
        <v>13</v>
      </c>
      <c r="N8368" t="s">
        <v>26</v>
      </c>
      <c r="O8368" t="s">
        <v>27</v>
      </c>
      <c r="P8368">
        <v>11.004466460465499</v>
      </c>
      <c r="Q8368">
        <v>1.3307297027944101</v>
      </c>
      <c r="R8368">
        <v>8.7178130496284396</v>
      </c>
      <c r="S8368">
        <v>102</v>
      </c>
      <c r="T8368">
        <v>27</v>
      </c>
      <c r="U8368">
        <v>905.60894111902303</v>
      </c>
      <c r="V8368">
        <v>3.3197139938712901E-3</v>
      </c>
      <c r="W8368">
        <v>3689051.8202749202</v>
      </c>
      <c r="X8368" t="s">
        <v>44</v>
      </c>
      <c r="Y8368">
        <f>1-507-175-3742</f>
        <v>-4423</v>
      </c>
    </row>
    <row r="8369" spans="1:25" x14ac:dyDescent="0.35">
      <c r="A8369">
        <v>39.823108973470397</v>
      </c>
      <c r="B8369">
        <v>-120.770759482241</v>
      </c>
      <c r="C8369" t="s">
        <v>34</v>
      </c>
      <c r="D8369">
        <v>31.3670337620735</v>
      </c>
      <c r="E8369">
        <v>1</v>
      </c>
      <c r="F8369">
        <v>3028</v>
      </c>
      <c r="G8369">
        <v>4</v>
      </c>
      <c r="H8369">
        <v>2</v>
      </c>
      <c r="I8369">
        <v>1965</v>
      </c>
      <c r="J8369">
        <v>1</v>
      </c>
      <c r="K8369">
        <v>0</v>
      </c>
      <c r="L8369">
        <v>1</v>
      </c>
      <c r="M8369">
        <v>7</v>
      </c>
      <c r="N8369" t="s">
        <v>26</v>
      </c>
      <c r="O8369" t="s">
        <v>32</v>
      </c>
      <c r="P8369">
        <v>4.34783440401129</v>
      </c>
      <c r="Q8369">
        <v>0.88085477283799296</v>
      </c>
      <c r="R8369">
        <v>5.8298297362309004</v>
      </c>
      <c r="S8369">
        <v>89</v>
      </c>
      <c r="T8369">
        <v>32</v>
      </c>
      <c r="U8369">
        <v>394.36439160787802</v>
      </c>
      <c r="V8369">
        <v>2.3117569352707999E-3</v>
      </c>
      <c r="W8369">
        <v>1435900.9750025</v>
      </c>
      <c r="X8369" t="s">
        <v>40</v>
      </c>
      <c r="Y8369">
        <f>1-912-517-3926</f>
        <v>-5354</v>
      </c>
    </row>
    <row r="8370" spans="1:25" x14ac:dyDescent="0.35">
      <c r="A8370">
        <v>39.612332981954999</v>
      </c>
      <c r="B8370">
        <v>-115.984765228528</v>
      </c>
      <c r="C8370" t="s">
        <v>29</v>
      </c>
      <c r="D8370">
        <v>30.964792821317602</v>
      </c>
      <c r="E8370">
        <v>3</v>
      </c>
      <c r="F8370">
        <v>1658</v>
      </c>
      <c r="G8370">
        <v>4</v>
      </c>
      <c r="H8370">
        <v>1</v>
      </c>
      <c r="I8370">
        <v>2007</v>
      </c>
      <c r="J8370">
        <v>1</v>
      </c>
      <c r="K8370">
        <v>0</v>
      </c>
      <c r="L8370">
        <v>1</v>
      </c>
      <c r="M8370">
        <v>2</v>
      </c>
      <c r="N8370" t="s">
        <v>35</v>
      </c>
      <c r="O8370" t="s">
        <v>32</v>
      </c>
      <c r="P8370">
        <v>9.6733997898538195</v>
      </c>
      <c r="Q8370">
        <v>1.6517688693009001</v>
      </c>
      <c r="R8370">
        <v>3.1949696265401601</v>
      </c>
      <c r="S8370">
        <v>188</v>
      </c>
      <c r="T8370">
        <v>66</v>
      </c>
      <c r="U8370">
        <v>544.16860332360898</v>
      </c>
      <c r="V8370">
        <v>1.2062726176115799E-3</v>
      </c>
      <c r="W8370">
        <v>1311254.7228569901</v>
      </c>
      <c r="X8370" t="s">
        <v>42</v>
      </c>
      <c r="Y8370">
        <f>1-971-327-3837</f>
        <v>-5134</v>
      </c>
    </row>
    <row r="8371" spans="1:25" x14ac:dyDescent="0.35">
      <c r="A8371">
        <v>40.390112845055199</v>
      </c>
      <c r="B8371">
        <v>-123.754313544632</v>
      </c>
      <c r="C8371" t="s">
        <v>25</v>
      </c>
      <c r="D8371">
        <v>19.6730645866655</v>
      </c>
      <c r="E8371">
        <v>7</v>
      </c>
      <c r="F8371">
        <v>1739</v>
      </c>
      <c r="G8371">
        <v>2</v>
      </c>
      <c r="H8371">
        <v>3</v>
      </c>
      <c r="I8371">
        <v>1980</v>
      </c>
      <c r="J8371">
        <v>0</v>
      </c>
      <c r="K8371">
        <v>0</v>
      </c>
      <c r="L8371">
        <v>1</v>
      </c>
      <c r="M8371">
        <v>13</v>
      </c>
      <c r="N8371" t="s">
        <v>26</v>
      </c>
      <c r="O8371" t="s">
        <v>32</v>
      </c>
      <c r="P8371">
        <v>10.919903145747201</v>
      </c>
      <c r="Q8371">
        <v>2.4202093565659499</v>
      </c>
      <c r="R8371">
        <v>6.5921341019699602</v>
      </c>
      <c r="S8371">
        <v>199</v>
      </c>
      <c r="T8371">
        <v>43</v>
      </c>
      <c r="U8371">
        <v>682.46448681654397</v>
      </c>
      <c r="V8371">
        <v>7.4755606670500203E-3</v>
      </c>
      <c r="W8371">
        <v>1330981.61455329</v>
      </c>
      <c r="X8371" t="s">
        <v>28</v>
      </c>
      <c r="Y8371">
        <f>1-677-221-9179</f>
        <v>-10076</v>
      </c>
    </row>
    <row r="8372" spans="1:25" x14ac:dyDescent="0.35">
      <c r="A8372">
        <v>40.978932173494698</v>
      </c>
      <c r="B8372">
        <v>-117.52495229228499</v>
      </c>
      <c r="C8372" t="s">
        <v>34</v>
      </c>
      <c r="D8372">
        <v>3.1336749379683901</v>
      </c>
      <c r="E8372">
        <v>5</v>
      </c>
      <c r="F8372">
        <v>2661</v>
      </c>
      <c r="G8372">
        <v>1</v>
      </c>
      <c r="H8372">
        <v>1</v>
      </c>
      <c r="I8372">
        <v>2018</v>
      </c>
      <c r="J8372">
        <v>0</v>
      </c>
      <c r="K8372">
        <v>1</v>
      </c>
      <c r="L8372">
        <v>1</v>
      </c>
      <c r="M8372">
        <v>8</v>
      </c>
      <c r="N8372" t="s">
        <v>41</v>
      </c>
      <c r="O8372" t="s">
        <v>27</v>
      </c>
      <c r="P8372">
        <v>12.2994699550805</v>
      </c>
      <c r="Q8372">
        <v>1.3020408015484</v>
      </c>
      <c r="R8372">
        <v>6.1520821681572402</v>
      </c>
      <c r="S8372">
        <v>172</v>
      </c>
      <c r="T8372">
        <v>28</v>
      </c>
      <c r="U8372">
        <v>377.27484765265501</v>
      </c>
      <c r="V8372">
        <v>3.0063885757234099E-3</v>
      </c>
      <c r="W8372">
        <v>1316220.93962607</v>
      </c>
      <c r="X8372" t="s">
        <v>39</v>
      </c>
      <c r="Y8372">
        <f>1-232-809-9258</f>
        <v>-10298</v>
      </c>
    </row>
    <row r="8373" spans="1:25" x14ac:dyDescent="0.35">
      <c r="A8373">
        <v>36.571475141111698</v>
      </c>
      <c r="B8373">
        <v>-119.100783524458</v>
      </c>
      <c r="C8373" t="s">
        <v>25</v>
      </c>
      <c r="D8373">
        <v>3.58198160060028</v>
      </c>
      <c r="E8373">
        <v>9</v>
      </c>
      <c r="F8373">
        <v>4015</v>
      </c>
      <c r="G8373">
        <v>3</v>
      </c>
      <c r="H8373">
        <v>2</v>
      </c>
      <c r="I8373">
        <v>1982</v>
      </c>
      <c r="J8373">
        <v>1</v>
      </c>
      <c r="K8373">
        <v>0</v>
      </c>
      <c r="L8373">
        <v>1</v>
      </c>
      <c r="M8373">
        <v>9</v>
      </c>
      <c r="N8373" t="s">
        <v>26</v>
      </c>
      <c r="O8373" t="s">
        <v>27</v>
      </c>
      <c r="P8373">
        <v>11.223374090817099</v>
      </c>
      <c r="Q8373">
        <v>0.63220762243074802</v>
      </c>
      <c r="R8373">
        <v>5.6953786861667597</v>
      </c>
      <c r="S8373">
        <v>0</v>
      </c>
      <c r="T8373">
        <v>40</v>
      </c>
      <c r="U8373">
        <v>875.744627459546</v>
      </c>
      <c r="V8373">
        <v>2.2415940224159402E-3</v>
      </c>
      <c r="W8373">
        <v>3770072.06620692</v>
      </c>
      <c r="X8373" t="s">
        <v>44</v>
      </c>
      <c r="Y8373">
        <f>1-990-674-2150</f>
        <v>-3813</v>
      </c>
    </row>
    <row r="8374" spans="1:25" x14ac:dyDescent="0.35">
      <c r="A8374">
        <v>41.093363321771498</v>
      </c>
      <c r="B8374">
        <v>-115.491509870545</v>
      </c>
      <c r="C8374" t="s">
        <v>25</v>
      </c>
      <c r="D8374">
        <v>28.9694073372101</v>
      </c>
      <c r="E8374">
        <v>5</v>
      </c>
      <c r="F8374">
        <v>2422</v>
      </c>
      <c r="G8374">
        <v>1</v>
      </c>
      <c r="H8374">
        <v>3</v>
      </c>
      <c r="I8374">
        <v>1988</v>
      </c>
      <c r="J8374">
        <v>1</v>
      </c>
      <c r="K8374">
        <v>1</v>
      </c>
      <c r="L8374">
        <v>0</v>
      </c>
      <c r="M8374">
        <v>7</v>
      </c>
      <c r="N8374" t="s">
        <v>26</v>
      </c>
      <c r="O8374" t="s">
        <v>32</v>
      </c>
      <c r="P8374">
        <v>2.5573420256275301</v>
      </c>
      <c r="Q8374">
        <v>1.89273554279039</v>
      </c>
      <c r="R8374">
        <v>8.8329298703754606</v>
      </c>
      <c r="S8374">
        <v>114</v>
      </c>
      <c r="T8374">
        <v>75</v>
      </c>
      <c r="U8374">
        <v>202.19182393785499</v>
      </c>
      <c r="V8374">
        <v>2.8901734104046198E-3</v>
      </c>
      <c r="W8374">
        <v>693893.33186621498</v>
      </c>
      <c r="X8374" t="s">
        <v>38</v>
      </c>
      <c r="Y8374">
        <f>1-392-996-1728</f>
        <v>-3115</v>
      </c>
    </row>
    <row r="8375" spans="1:25" x14ac:dyDescent="0.35">
      <c r="A8375">
        <v>32.619377816900702</v>
      </c>
      <c r="B8375">
        <v>-124.01257945909001</v>
      </c>
      <c r="C8375" t="s">
        <v>34</v>
      </c>
      <c r="D8375">
        <v>34.499050147366603</v>
      </c>
      <c r="E8375">
        <v>9</v>
      </c>
      <c r="F8375">
        <v>3978</v>
      </c>
      <c r="G8375">
        <v>3</v>
      </c>
      <c r="H8375">
        <v>1</v>
      </c>
      <c r="I8375">
        <v>1958</v>
      </c>
      <c r="J8375">
        <v>0</v>
      </c>
      <c r="K8375">
        <v>1</v>
      </c>
      <c r="L8375">
        <v>0</v>
      </c>
      <c r="M8375">
        <v>14</v>
      </c>
      <c r="N8375" t="s">
        <v>41</v>
      </c>
      <c r="O8375" t="s">
        <v>30</v>
      </c>
      <c r="P8375">
        <v>3.1192469397125899</v>
      </c>
      <c r="Q8375">
        <v>2.31613658035837</v>
      </c>
      <c r="R8375">
        <v>0.51014606021285602</v>
      </c>
      <c r="S8375">
        <v>164</v>
      </c>
      <c r="T8375">
        <v>53</v>
      </c>
      <c r="U8375">
        <v>625.47139427728405</v>
      </c>
      <c r="V8375">
        <v>3.5193564605329299E-3</v>
      </c>
      <c r="W8375">
        <v>2694642.9272711198</v>
      </c>
      <c r="X8375" t="s">
        <v>42</v>
      </c>
      <c r="Y8375">
        <f>1-338-156-8230</f>
        <v>-8723</v>
      </c>
    </row>
    <row r="8376" spans="1:25" x14ac:dyDescent="0.35">
      <c r="A8376">
        <v>35.617323992718099</v>
      </c>
      <c r="B8376">
        <v>-124.274962208731</v>
      </c>
      <c r="C8376" t="s">
        <v>34</v>
      </c>
      <c r="D8376">
        <v>36.622734618431302</v>
      </c>
      <c r="E8376">
        <v>3</v>
      </c>
      <c r="F8376">
        <v>4366</v>
      </c>
      <c r="G8376">
        <v>4</v>
      </c>
      <c r="H8376">
        <v>1</v>
      </c>
      <c r="I8376">
        <v>2020</v>
      </c>
      <c r="J8376">
        <v>1</v>
      </c>
      <c r="K8376">
        <v>0</v>
      </c>
      <c r="L8376">
        <v>1</v>
      </c>
      <c r="M8376">
        <v>8</v>
      </c>
      <c r="N8376" t="s">
        <v>26</v>
      </c>
      <c r="O8376" t="s">
        <v>30</v>
      </c>
      <c r="P8376">
        <v>3.0984355972156199</v>
      </c>
      <c r="Q8376">
        <v>2.29116579737578</v>
      </c>
      <c r="R8376">
        <v>0.56049929639093599</v>
      </c>
      <c r="S8376">
        <v>55</v>
      </c>
      <c r="T8376">
        <v>28</v>
      </c>
      <c r="U8376">
        <v>620.86492579512105</v>
      </c>
      <c r="V8376">
        <v>1.83234081539166E-3</v>
      </c>
      <c r="W8376">
        <v>3016026.7392178001</v>
      </c>
      <c r="X8376" t="s">
        <v>28</v>
      </c>
      <c r="Y8376">
        <f>1-873-523-4740</f>
        <v>-6135</v>
      </c>
    </row>
    <row r="8377" spans="1:25" x14ac:dyDescent="0.35">
      <c r="A8377">
        <v>37.405907902630702</v>
      </c>
      <c r="B8377">
        <v>-123.79171321438599</v>
      </c>
      <c r="C8377" t="s">
        <v>25</v>
      </c>
      <c r="D8377">
        <v>11.342745087864399</v>
      </c>
      <c r="E8377">
        <v>9</v>
      </c>
      <c r="F8377">
        <v>2431</v>
      </c>
      <c r="G8377">
        <v>5</v>
      </c>
      <c r="H8377">
        <v>3</v>
      </c>
      <c r="I8377">
        <v>1984</v>
      </c>
      <c r="J8377">
        <v>0</v>
      </c>
      <c r="K8377">
        <v>1</v>
      </c>
      <c r="L8377">
        <v>0</v>
      </c>
      <c r="M8377">
        <v>5</v>
      </c>
      <c r="N8377" t="s">
        <v>26</v>
      </c>
      <c r="O8377" t="s">
        <v>32</v>
      </c>
      <c r="P8377">
        <v>8.2224024076094793</v>
      </c>
      <c r="Q8377">
        <v>1.21458387288248</v>
      </c>
      <c r="R8377">
        <v>2.33525050183446</v>
      </c>
      <c r="S8377">
        <v>137</v>
      </c>
      <c r="T8377">
        <v>36</v>
      </c>
      <c r="U8377">
        <v>219.67606378623501</v>
      </c>
      <c r="V8377">
        <v>2.0567667626491099E-3</v>
      </c>
      <c r="W8377">
        <v>1001662.66891991</v>
      </c>
      <c r="X8377" t="s">
        <v>36</v>
      </c>
      <c r="Y8377">
        <f>1-865-201-9047</f>
        <v>-10112</v>
      </c>
    </row>
    <row r="8378" spans="1:25" x14ac:dyDescent="0.35">
      <c r="A8378">
        <v>32.520117656485098</v>
      </c>
      <c r="B8378">
        <v>-118.091898237379</v>
      </c>
      <c r="C8378" t="s">
        <v>29</v>
      </c>
      <c r="D8378">
        <v>23.248550447775202</v>
      </c>
      <c r="E8378">
        <v>0</v>
      </c>
      <c r="F8378">
        <v>4126</v>
      </c>
      <c r="G8378">
        <v>1</v>
      </c>
      <c r="H8378">
        <v>2</v>
      </c>
      <c r="I8378">
        <v>2014</v>
      </c>
      <c r="J8378">
        <v>0</v>
      </c>
      <c r="K8378">
        <v>0</v>
      </c>
      <c r="L8378">
        <v>0</v>
      </c>
      <c r="M8378">
        <v>12</v>
      </c>
      <c r="N8378" t="s">
        <v>37</v>
      </c>
      <c r="O8378" t="s">
        <v>30</v>
      </c>
      <c r="P8378">
        <v>6.34514300168569</v>
      </c>
      <c r="Q8378">
        <v>0.51345779590069895</v>
      </c>
      <c r="R8378">
        <v>4.9326718806096501</v>
      </c>
      <c r="S8378">
        <v>139</v>
      </c>
      <c r="T8378">
        <v>46</v>
      </c>
      <c r="U8378">
        <v>768.65218847050699</v>
      </c>
      <c r="V8378">
        <v>2.90838584585555E-3</v>
      </c>
      <c r="W8378">
        <v>3216568.97812108</v>
      </c>
      <c r="X8378" t="s">
        <v>36</v>
      </c>
      <c r="Y8378">
        <f>1-765-134-4095</f>
        <v>-4993</v>
      </c>
    </row>
    <row r="8379" spans="1:25" x14ac:dyDescent="0.35">
      <c r="A8379">
        <v>35.248918849807502</v>
      </c>
      <c r="B8379">
        <v>-119.833712964977</v>
      </c>
      <c r="C8379" t="s">
        <v>25</v>
      </c>
      <c r="D8379">
        <v>16.602578113432099</v>
      </c>
      <c r="E8379">
        <v>7</v>
      </c>
      <c r="F8379">
        <v>3930</v>
      </c>
      <c r="G8379">
        <v>1</v>
      </c>
      <c r="H8379">
        <v>3</v>
      </c>
      <c r="I8379">
        <v>2004</v>
      </c>
      <c r="J8379">
        <v>0</v>
      </c>
      <c r="K8379">
        <v>1</v>
      </c>
      <c r="L8379">
        <v>0</v>
      </c>
      <c r="M8379">
        <v>11</v>
      </c>
      <c r="N8379" t="s">
        <v>35</v>
      </c>
      <c r="O8379" t="s">
        <v>30</v>
      </c>
      <c r="P8379">
        <v>4.9399849681893002</v>
      </c>
      <c r="Q8379">
        <v>1.4248751865201099</v>
      </c>
      <c r="R8379">
        <v>8.52544503871044E-2</v>
      </c>
      <c r="S8379">
        <v>109</v>
      </c>
      <c r="T8379">
        <v>50</v>
      </c>
      <c r="U8379">
        <v>459.06371546962799</v>
      </c>
      <c r="V8379">
        <v>2.7989821882951601E-3</v>
      </c>
      <c r="W8379">
        <v>2007820.75067855</v>
      </c>
      <c r="X8379" t="s">
        <v>44</v>
      </c>
      <c r="Y8379">
        <f>1-527-563-6315</f>
        <v>-7404</v>
      </c>
    </row>
    <row r="8380" spans="1:25" x14ac:dyDescent="0.35">
      <c r="A8380">
        <v>40.840983267185102</v>
      </c>
      <c r="B8380">
        <v>-114.907570472215</v>
      </c>
      <c r="C8380" t="s">
        <v>29</v>
      </c>
      <c r="D8380">
        <v>35.834309510326499</v>
      </c>
      <c r="E8380">
        <v>8</v>
      </c>
      <c r="F8380">
        <v>3281</v>
      </c>
      <c r="G8380">
        <v>3</v>
      </c>
      <c r="H8380">
        <v>2</v>
      </c>
      <c r="I8380">
        <v>1973</v>
      </c>
      <c r="J8380">
        <v>1</v>
      </c>
      <c r="K8380">
        <v>1</v>
      </c>
      <c r="L8380">
        <v>1</v>
      </c>
      <c r="M8380">
        <v>6</v>
      </c>
      <c r="N8380" t="s">
        <v>26</v>
      </c>
      <c r="O8380" t="s">
        <v>32</v>
      </c>
      <c r="P8380">
        <v>4.18076117522644</v>
      </c>
      <c r="Q8380">
        <v>0.76218809161425605</v>
      </c>
      <c r="R8380">
        <v>3.2837800240074202</v>
      </c>
      <c r="S8380">
        <v>86</v>
      </c>
      <c r="T8380">
        <v>78</v>
      </c>
      <c r="U8380">
        <v>208.84329988481301</v>
      </c>
      <c r="V8380">
        <v>1.8287107589149601E-3</v>
      </c>
      <c r="W8380">
        <v>1023070.86436682</v>
      </c>
      <c r="X8380" t="s">
        <v>33</v>
      </c>
      <c r="Y8380">
        <f>1-226-129-4921</f>
        <v>-5275</v>
      </c>
    </row>
    <row r="8381" spans="1:25" x14ac:dyDescent="0.35">
      <c r="A8381">
        <v>36.241520794343501</v>
      </c>
      <c r="B8381">
        <v>-116.404906832531</v>
      </c>
      <c r="C8381" t="s">
        <v>25</v>
      </c>
      <c r="D8381">
        <v>8.4985786590554504</v>
      </c>
      <c r="E8381">
        <v>8</v>
      </c>
      <c r="F8381">
        <v>3263</v>
      </c>
      <c r="G8381">
        <v>2</v>
      </c>
      <c r="H8381">
        <v>2</v>
      </c>
      <c r="I8381">
        <v>2017</v>
      </c>
      <c r="J8381">
        <v>0</v>
      </c>
      <c r="K8381">
        <v>1</v>
      </c>
      <c r="L8381">
        <v>1</v>
      </c>
      <c r="M8381">
        <v>2</v>
      </c>
      <c r="N8381" t="s">
        <v>37</v>
      </c>
      <c r="O8381" t="s">
        <v>30</v>
      </c>
      <c r="P8381">
        <v>6.1427465735285001</v>
      </c>
      <c r="Q8381">
        <v>1.51720811893279</v>
      </c>
      <c r="R8381">
        <v>8.6769096967949295</v>
      </c>
      <c r="S8381">
        <v>60</v>
      </c>
      <c r="T8381">
        <v>25</v>
      </c>
      <c r="U8381">
        <v>736.34896546318305</v>
      </c>
      <c r="V8381">
        <v>6.1293288384921805E-4</v>
      </c>
      <c r="W8381">
        <v>2684347.1180020398</v>
      </c>
      <c r="X8381" t="s">
        <v>31</v>
      </c>
      <c r="Y8381">
        <f>1-337-382-6805</f>
        <v>-7523</v>
      </c>
    </row>
    <row r="8382" spans="1:25" x14ac:dyDescent="0.35">
      <c r="A8382">
        <v>39.133917939100101</v>
      </c>
      <c r="B8382">
        <v>-117.75253564984</v>
      </c>
      <c r="C8382" t="s">
        <v>34</v>
      </c>
      <c r="D8382">
        <v>39.482966481712502</v>
      </c>
      <c r="E8382">
        <v>3</v>
      </c>
      <c r="F8382">
        <v>2218</v>
      </c>
      <c r="G8382">
        <v>1</v>
      </c>
      <c r="H8382">
        <v>2</v>
      </c>
      <c r="I8382">
        <v>1971</v>
      </c>
      <c r="J8382">
        <v>0</v>
      </c>
      <c r="K8382">
        <v>1</v>
      </c>
      <c r="L8382">
        <v>0</v>
      </c>
      <c r="M8382">
        <v>2</v>
      </c>
      <c r="N8382" t="s">
        <v>35</v>
      </c>
      <c r="O8382" t="s">
        <v>32</v>
      </c>
      <c r="P8382">
        <v>9.5478316763834599</v>
      </c>
      <c r="Q8382">
        <v>0.862336152941377</v>
      </c>
      <c r="R8382">
        <v>8.9616940101603699</v>
      </c>
      <c r="S8382">
        <v>100</v>
      </c>
      <c r="T8382">
        <v>38</v>
      </c>
      <c r="U8382">
        <v>646.16522966937805</v>
      </c>
      <c r="V8382">
        <v>9.0171325518485096E-4</v>
      </c>
      <c r="W8382">
        <v>1616814.0756311901</v>
      </c>
      <c r="X8382" t="s">
        <v>43</v>
      </c>
      <c r="Y8382">
        <f>1-562-248-3249</f>
        <v>-4058</v>
      </c>
    </row>
    <row r="8383" spans="1:25" x14ac:dyDescent="0.35">
      <c r="A8383">
        <v>38.772929997681501</v>
      </c>
      <c r="B8383">
        <v>-118.603374599025</v>
      </c>
      <c r="C8383" t="s">
        <v>25</v>
      </c>
      <c r="D8383">
        <v>8.6005011909059501</v>
      </c>
      <c r="E8383">
        <v>4</v>
      </c>
      <c r="F8383">
        <v>2071</v>
      </c>
      <c r="G8383">
        <v>4</v>
      </c>
      <c r="H8383">
        <v>2</v>
      </c>
      <c r="I8383">
        <v>1950</v>
      </c>
      <c r="J8383">
        <v>1</v>
      </c>
      <c r="K8383">
        <v>1</v>
      </c>
      <c r="L8383">
        <v>0</v>
      </c>
      <c r="M8383">
        <v>11</v>
      </c>
      <c r="N8383" t="s">
        <v>26</v>
      </c>
      <c r="O8383" t="s">
        <v>27</v>
      </c>
      <c r="P8383">
        <v>2.8175105302822101</v>
      </c>
      <c r="Q8383">
        <v>1.04398480819424</v>
      </c>
      <c r="R8383">
        <v>4.5853523997162702</v>
      </c>
      <c r="S8383">
        <v>106</v>
      </c>
      <c r="T8383">
        <v>70</v>
      </c>
      <c r="U8383">
        <v>795.22005869628697</v>
      </c>
      <c r="V8383">
        <v>5.3114437469821297E-3</v>
      </c>
      <c r="W8383">
        <v>1923563.2714815601</v>
      </c>
      <c r="X8383" t="s">
        <v>39</v>
      </c>
      <c r="Y8383">
        <f>1-465-123-6835</f>
        <v>-7422</v>
      </c>
    </row>
    <row r="8384" spans="1:25" x14ac:dyDescent="0.35">
      <c r="A8384">
        <v>39.490803168714102</v>
      </c>
      <c r="B8384">
        <v>-121.01553056916499</v>
      </c>
      <c r="C8384" t="s">
        <v>25</v>
      </c>
      <c r="D8384">
        <v>46.782297158086301</v>
      </c>
      <c r="E8384">
        <v>8</v>
      </c>
      <c r="F8384">
        <v>2000</v>
      </c>
      <c r="G8384">
        <v>3</v>
      </c>
      <c r="H8384">
        <v>1</v>
      </c>
      <c r="I8384">
        <v>1952</v>
      </c>
      <c r="J8384">
        <v>1</v>
      </c>
      <c r="K8384">
        <v>0</v>
      </c>
      <c r="L8384">
        <v>0</v>
      </c>
      <c r="M8384">
        <v>7</v>
      </c>
      <c r="N8384" t="s">
        <v>37</v>
      </c>
      <c r="O8384" t="s">
        <v>27</v>
      </c>
      <c r="P8384">
        <v>4.5887371968917297</v>
      </c>
      <c r="Q8384">
        <v>0.63567279879370897</v>
      </c>
      <c r="R8384">
        <v>9.6127604680023993</v>
      </c>
      <c r="S8384">
        <v>88</v>
      </c>
      <c r="T8384">
        <v>71</v>
      </c>
      <c r="U8384">
        <v>989.84323272226004</v>
      </c>
      <c r="V8384">
        <v>3.5000000000000001E-3</v>
      </c>
      <c r="W8384">
        <v>2072069.4423380201</v>
      </c>
      <c r="X8384" t="s">
        <v>28</v>
      </c>
      <c r="Y8384">
        <f>1-301-777-7205</f>
        <v>-8282</v>
      </c>
    </row>
    <row r="8385" spans="1:25" x14ac:dyDescent="0.35">
      <c r="A8385">
        <v>38.495629393228398</v>
      </c>
      <c r="B8385">
        <v>-118.69995905569</v>
      </c>
      <c r="C8385" t="s">
        <v>29</v>
      </c>
      <c r="D8385">
        <v>16.283120872010599</v>
      </c>
      <c r="E8385">
        <v>3</v>
      </c>
      <c r="F8385">
        <v>4498</v>
      </c>
      <c r="G8385">
        <v>3</v>
      </c>
      <c r="H8385">
        <v>2</v>
      </c>
      <c r="I8385">
        <v>1997</v>
      </c>
      <c r="J8385">
        <v>0</v>
      </c>
      <c r="K8385">
        <v>0</v>
      </c>
      <c r="L8385">
        <v>1</v>
      </c>
      <c r="M8385">
        <v>3</v>
      </c>
      <c r="N8385" t="s">
        <v>37</v>
      </c>
      <c r="O8385" t="s">
        <v>30</v>
      </c>
      <c r="P8385">
        <v>2.94061306650759</v>
      </c>
      <c r="Q8385">
        <v>2.0005290970937502</v>
      </c>
      <c r="R8385">
        <v>2.3849473672413399</v>
      </c>
      <c r="S8385">
        <v>65</v>
      </c>
      <c r="T8385">
        <v>55</v>
      </c>
      <c r="U8385">
        <v>714.77643808487903</v>
      </c>
      <c r="V8385">
        <v>6.6696309470875897E-4</v>
      </c>
      <c r="W8385">
        <v>3412663.1594762001</v>
      </c>
      <c r="X8385" t="s">
        <v>36</v>
      </c>
      <c r="Y8385">
        <f>1-254-249-6115</f>
        <v>-6617</v>
      </c>
    </row>
    <row r="8386" spans="1:25" x14ac:dyDescent="0.35">
      <c r="A8386">
        <v>38.322126054823599</v>
      </c>
      <c r="B8386">
        <v>-122.94960006382099</v>
      </c>
      <c r="C8386" t="s">
        <v>29</v>
      </c>
      <c r="D8386">
        <v>25.893330413753699</v>
      </c>
      <c r="E8386">
        <v>5</v>
      </c>
      <c r="F8386">
        <v>2937</v>
      </c>
      <c r="G8386">
        <v>3</v>
      </c>
      <c r="H8386">
        <v>1</v>
      </c>
      <c r="I8386">
        <v>1989</v>
      </c>
      <c r="J8386">
        <v>1</v>
      </c>
      <c r="K8386">
        <v>1</v>
      </c>
      <c r="L8386">
        <v>1</v>
      </c>
      <c r="M8386">
        <v>13</v>
      </c>
      <c r="N8386" t="s">
        <v>37</v>
      </c>
      <c r="O8386" t="s">
        <v>32</v>
      </c>
      <c r="P8386">
        <v>2.42969004442954</v>
      </c>
      <c r="Q8386">
        <v>0.61517215983145701</v>
      </c>
      <c r="R8386">
        <v>6.8418496787754197</v>
      </c>
      <c r="S8386">
        <v>125</v>
      </c>
      <c r="T8386">
        <v>41</v>
      </c>
      <c r="U8386">
        <v>552.61764518631503</v>
      </c>
      <c r="V8386">
        <v>4.4262853251617199E-3</v>
      </c>
      <c r="W8386">
        <v>1854646.6025350599</v>
      </c>
      <c r="X8386" t="s">
        <v>38</v>
      </c>
      <c r="Y8386">
        <f>1-670-678-6843</f>
        <v>-8190</v>
      </c>
    </row>
    <row r="8387" spans="1:25" x14ac:dyDescent="0.35">
      <c r="A8387">
        <v>38.222798405928799</v>
      </c>
      <c r="B8387">
        <v>-119.476890244513</v>
      </c>
      <c r="C8387" t="s">
        <v>34</v>
      </c>
      <c r="D8387">
        <v>43.169916820526502</v>
      </c>
      <c r="E8387">
        <v>4</v>
      </c>
      <c r="F8387">
        <v>4923</v>
      </c>
      <c r="G8387">
        <v>5</v>
      </c>
      <c r="H8387">
        <v>3</v>
      </c>
      <c r="I8387">
        <v>1964</v>
      </c>
      <c r="J8387">
        <v>1</v>
      </c>
      <c r="K8387">
        <v>1</v>
      </c>
      <c r="L8387">
        <v>0</v>
      </c>
      <c r="M8387">
        <v>2</v>
      </c>
      <c r="N8387" t="s">
        <v>41</v>
      </c>
      <c r="O8387" t="s">
        <v>32</v>
      </c>
      <c r="P8387">
        <v>9.1426587475472996</v>
      </c>
      <c r="Q8387">
        <v>1.15078257274147</v>
      </c>
      <c r="R8387">
        <v>1.5773545693093201</v>
      </c>
      <c r="S8387">
        <v>85</v>
      </c>
      <c r="T8387">
        <v>59</v>
      </c>
      <c r="U8387">
        <v>905.79282447448998</v>
      </c>
      <c r="V8387">
        <v>4.0625634775543298E-4</v>
      </c>
      <c r="W8387">
        <v>4874745.3689891202</v>
      </c>
      <c r="X8387" t="s">
        <v>39</v>
      </c>
      <c r="Y8387">
        <f>1-520-180-4169</f>
        <v>-4868</v>
      </c>
    </row>
    <row r="8388" spans="1:25" x14ac:dyDescent="0.35">
      <c r="A8388">
        <v>35.326432366643203</v>
      </c>
      <c r="B8388">
        <v>-117.913798803644</v>
      </c>
      <c r="C8388" t="s">
        <v>25</v>
      </c>
      <c r="D8388">
        <v>10.8084615683065</v>
      </c>
      <c r="E8388">
        <v>1</v>
      </c>
      <c r="F8388">
        <v>4376</v>
      </c>
      <c r="G8388">
        <v>4</v>
      </c>
      <c r="H8388">
        <v>2</v>
      </c>
      <c r="I8388">
        <v>2010</v>
      </c>
      <c r="J8388">
        <v>0</v>
      </c>
      <c r="K8388">
        <v>1</v>
      </c>
      <c r="L8388">
        <v>0</v>
      </c>
      <c r="M8388">
        <v>2</v>
      </c>
      <c r="N8388" t="s">
        <v>35</v>
      </c>
      <c r="O8388" t="s">
        <v>27</v>
      </c>
      <c r="P8388">
        <v>12.9855984237734</v>
      </c>
      <c r="Q8388">
        <v>0.67376201640995603</v>
      </c>
      <c r="R8388">
        <v>9.0486176362105599</v>
      </c>
      <c r="S8388">
        <v>100</v>
      </c>
      <c r="T8388">
        <v>57</v>
      </c>
      <c r="U8388">
        <v>533.58529886398696</v>
      </c>
      <c r="V8388">
        <v>4.5703839122486202E-4</v>
      </c>
      <c r="W8388">
        <v>2818821.4966273201</v>
      </c>
      <c r="X8388" t="s">
        <v>39</v>
      </c>
      <c r="Y8388">
        <f>1-529-752-2081</f>
        <v>-3361</v>
      </c>
    </row>
    <row r="8389" spans="1:25" x14ac:dyDescent="0.35">
      <c r="A8389">
        <v>33.636295175385897</v>
      </c>
      <c r="B8389">
        <v>-120.72430208998</v>
      </c>
      <c r="C8389" t="s">
        <v>25</v>
      </c>
      <c r="D8389">
        <v>3.7633765332877198</v>
      </c>
      <c r="E8389">
        <v>2</v>
      </c>
      <c r="F8389">
        <v>3539</v>
      </c>
      <c r="G8389">
        <v>1</v>
      </c>
      <c r="H8389">
        <v>3</v>
      </c>
      <c r="I8389">
        <v>1985</v>
      </c>
      <c r="J8389">
        <v>0</v>
      </c>
      <c r="K8389">
        <v>1</v>
      </c>
      <c r="L8389">
        <v>0</v>
      </c>
      <c r="M8389">
        <v>11</v>
      </c>
      <c r="N8389" t="s">
        <v>37</v>
      </c>
      <c r="O8389" t="s">
        <v>32</v>
      </c>
      <c r="P8389">
        <v>10.0481513285603</v>
      </c>
      <c r="Q8389">
        <v>1.6958790379462501</v>
      </c>
      <c r="R8389">
        <v>5.0586494746809496</v>
      </c>
      <c r="S8389">
        <v>137</v>
      </c>
      <c r="T8389">
        <v>41</v>
      </c>
      <c r="U8389">
        <v>665.71837832683298</v>
      </c>
      <c r="V8389">
        <v>3.1082226617688601E-3</v>
      </c>
      <c r="W8389">
        <v>2598448.8716339902</v>
      </c>
      <c r="X8389" t="s">
        <v>44</v>
      </c>
      <c r="Y8389">
        <f>1-783-724-1943</f>
        <v>-3449</v>
      </c>
    </row>
    <row r="8390" spans="1:25" x14ac:dyDescent="0.35">
      <c r="A8390">
        <v>39.709275221801597</v>
      </c>
      <c r="B8390">
        <v>-118.066941374843</v>
      </c>
      <c r="C8390" t="s">
        <v>34</v>
      </c>
      <c r="D8390">
        <v>13.9701481309335</v>
      </c>
      <c r="E8390">
        <v>3</v>
      </c>
      <c r="F8390">
        <v>4995</v>
      </c>
      <c r="G8390">
        <v>4</v>
      </c>
      <c r="H8390">
        <v>3</v>
      </c>
      <c r="I8390">
        <v>1950</v>
      </c>
      <c r="J8390">
        <v>0</v>
      </c>
      <c r="K8390">
        <v>0</v>
      </c>
      <c r="L8390">
        <v>0</v>
      </c>
      <c r="M8390">
        <v>12</v>
      </c>
      <c r="N8390" t="s">
        <v>41</v>
      </c>
      <c r="O8390" t="s">
        <v>30</v>
      </c>
      <c r="P8390">
        <v>12.2652961027595</v>
      </c>
      <c r="Q8390">
        <v>1.8375963426792901</v>
      </c>
      <c r="R8390">
        <v>9.9545461781645095</v>
      </c>
      <c r="S8390">
        <v>109</v>
      </c>
      <c r="T8390">
        <v>63</v>
      </c>
      <c r="U8390">
        <v>331.70470026587901</v>
      </c>
      <c r="V8390">
        <v>2.4024024024024001E-3</v>
      </c>
      <c r="W8390">
        <v>1839808.0368073301</v>
      </c>
      <c r="X8390" t="s">
        <v>36</v>
      </c>
      <c r="Y8390">
        <f>1-636-418-2288</f>
        <v>-3341</v>
      </c>
    </row>
    <row r="8391" spans="1:25" x14ac:dyDescent="0.35">
      <c r="A8391">
        <v>39.751200821956303</v>
      </c>
      <c r="B8391">
        <v>-124.249793329474</v>
      </c>
      <c r="C8391" t="s">
        <v>29</v>
      </c>
      <c r="D8391">
        <v>23.839220222200701</v>
      </c>
      <c r="E8391">
        <v>7</v>
      </c>
      <c r="F8391">
        <v>4536</v>
      </c>
      <c r="G8391">
        <v>2</v>
      </c>
      <c r="H8391">
        <v>2</v>
      </c>
      <c r="I8391">
        <v>1984</v>
      </c>
      <c r="J8391">
        <v>0</v>
      </c>
      <c r="K8391">
        <v>0</v>
      </c>
      <c r="L8391">
        <v>0</v>
      </c>
      <c r="M8391">
        <v>3</v>
      </c>
      <c r="N8391" t="s">
        <v>41</v>
      </c>
      <c r="O8391" t="s">
        <v>30</v>
      </c>
      <c r="P8391">
        <v>3.9705920089589002</v>
      </c>
      <c r="Q8391">
        <v>2.2985917702716301</v>
      </c>
      <c r="R8391">
        <v>0.226425674709508</v>
      </c>
      <c r="S8391">
        <v>102</v>
      </c>
      <c r="T8391">
        <v>43</v>
      </c>
      <c r="U8391">
        <v>856.93232303909497</v>
      </c>
      <c r="V8391">
        <v>6.6137566137566101E-4</v>
      </c>
      <c r="W8391">
        <v>4065099.3913650899</v>
      </c>
      <c r="X8391" t="s">
        <v>33</v>
      </c>
      <c r="Y8391">
        <f>1-226-872-5760</f>
        <v>-6857</v>
      </c>
    </row>
    <row r="8392" spans="1:25" x14ac:dyDescent="0.35">
      <c r="A8392">
        <v>36.444668180787502</v>
      </c>
      <c r="B8392">
        <v>-121.11323604095899</v>
      </c>
      <c r="C8392" t="s">
        <v>29</v>
      </c>
      <c r="D8392">
        <v>36.5212517331802</v>
      </c>
      <c r="E8392">
        <v>4</v>
      </c>
      <c r="F8392">
        <v>3836</v>
      </c>
      <c r="G8392">
        <v>5</v>
      </c>
      <c r="H8392">
        <v>1</v>
      </c>
      <c r="I8392">
        <v>1970</v>
      </c>
      <c r="J8392">
        <v>1</v>
      </c>
      <c r="K8392">
        <v>1</v>
      </c>
      <c r="L8392">
        <v>1</v>
      </c>
      <c r="M8392">
        <v>10</v>
      </c>
      <c r="N8392" t="s">
        <v>37</v>
      </c>
      <c r="O8392" t="s">
        <v>30</v>
      </c>
      <c r="P8392">
        <v>12.6275033323067</v>
      </c>
      <c r="Q8392">
        <v>0.765463412921079</v>
      </c>
      <c r="R8392">
        <v>9.3647180200420799</v>
      </c>
      <c r="S8392">
        <v>92</v>
      </c>
      <c r="T8392">
        <v>28</v>
      </c>
      <c r="U8392">
        <v>887.04659841887599</v>
      </c>
      <c r="V8392">
        <v>2.6068821689259601E-3</v>
      </c>
      <c r="W8392">
        <v>3902095.6287850901</v>
      </c>
      <c r="X8392" t="s">
        <v>28</v>
      </c>
      <c r="Y8392">
        <f>1-761-903-8779</f>
        <v>-10442</v>
      </c>
    </row>
    <row r="8393" spans="1:25" x14ac:dyDescent="0.35">
      <c r="A8393">
        <v>35.169145109906403</v>
      </c>
      <c r="B8393">
        <v>-122.030913494122</v>
      </c>
      <c r="C8393" t="s">
        <v>34</v>
      </c>
      <c r="D8393">
        <v>12.7960771473725</v>
      </c>
      <c r="E8393">
        <v>5</v>
      </c>
      <c r="F8393">
        <v>2201</v>
      </c>
      <c r="G8393">
        <v>3</v>
      </c>
      <c r="H8393">
        <v>3</v>
      </c>
      <c r="I8393">
        <v>1953</v>
      </c>
      <c r="J8393">
        <v>0</v>
      </c>
      <c r="K8393">
        <v>1</v>
      </c>
      <c r="L8393">
        <v>1</v>
      </c>
      <c r="M8393">
        <v>10</v>
      </c>
      <c r="N8393" t="s">
        <v>26</v>
      </c>
      <c r="O8393" t="s">
        <v>32</v>
      </c>
      <c r="P8393">
        <v>6.2243853083149103</v>
      </c>
      <c r="Q8393">
        <v>0.58109899394601905</v>
      </c>
      <c r="R8393">
        <v>8.4114770337866993</v>
      </c>
      <c r="S8393">
        <v>85</v>
      </c>
      <c r="T8393">
        <v>55</v>
      </c>
      <c r="U8393">
        <v>844.49571788701303</v>
      </c>
      <c r="V8393">
        <v>4.5433893684688701E-3</v>
      </c>
      <c r="W8393">
        <v>2175085.50264546</v>
      </c>
      <c r="X8393" t="s">
        <v>28</v>
      </c>
      <c r="Y8393">
        <f>1-731-492-9797</f>
        <v>-11019</v>
      </c>
    </row>
    <row r="8394" spans="1:25" x14ac:dyDescent="0.35">
      <c r="A8394">
        <v>41.553500352142997</v>
      </c>
      <c r="B8394">
        <v>-117.549458448232</v>
      </c>
      <c r="C8394" t="s">
        <v>25</v>
      </c>
      <c r="D8394">
        <v>21.056519333529199</v>
      </c>
      <c r="E8394">
        <v>3</v>
      </c>
      <c r="F8394">
        <v>4629</v>
      </c>
      <c r="G8394">
        <v>2</v>
      </c>
      <c r="H8394">
        <v>2</v>
      </c>
      <c r="I8394">
        <v>1987</v>
      </c>
      <c r="J8394">
        <v>0</v>
      </c>
      <c r="K8394">
        <v>0</v>
      </c>
      <c r="L8394">
        <v>0</v>
      </c>
      <c r="M8394">
        <v>4</v>
      </c>
      <c r="N8394" t="s">
        <v>41</v>
      </c>
      <c r="O8394" t="s">
        <v>27</v>
      </c>
      <c r="P8394">
        <v>2.36159186695056</v>
      </c>
      <c r="Q8394">
        <v>1.0858584387107399</v>
      </c>
      <c r="R8394">
        <v>5.7892215799169104</v>
      </c>
      <c r="S8394">
        <v>56</v>
      </c>
      <c r="T8394">
        <v>24</v>
      </c>
      <c r="U8394">
        <v>217.253579940083</v>
      </c>
      <c r="V8394">
        <v>8.6411751998271701E-4</v>
      </c>
      <c r="W8394">
        <v>1032959.0577262799</v>
      </c>
      <c r="X8394" t="s">
        <v>42</v>
      </c>
      <c r="Y8394">
        <f>1-729-783-6511</f>
        <v>-8022</v>
      </c>
    </row>
    <row r="8395" spans="1:25" x14ac:dyDescent="0.35">
      <c r="A8395">
        <v>32.936030983177297</v>
      </c>
      <c r="B8395">
        <v>-114.26691153799599</v>
      </c>
      <c r="C8395" t="s">
        <v>29</v>
      </c>
      <c r="D8395">
        <v>18.390970457668999</v>
      </c>
      <c r="E8395">
        <v>2</v>
      </c>
      <c r="F8395">
        <v>2954</v>
      </c>
      <c r="G8395">
        <v>5</v>
      </c>
      <c r="H8395">
        <v>3</v>
      </c>
      <c r="I8395">
        <v>1982</v>
      </c>
      <c r="J8395">
        <v>1</v>
      </c>
      <c r="K8395">
        <v>1</v>
      </c>
      <c r="L8395">
        <v>0</v>
      </c>
      <c r="M8395">
        <v>8</v>
      </c>
      <c r="N8395" t="s">
        <v>41</v>
      </c>
      <c r="O8395" t="s">
        <v>32</v>
      </c>
      <c r="P8395">
        <v>14.3228735357049</v>
      </c>
      <c r="Q8395">
        <v>1.5129877784819501</v>
      </c>
      <c r="R8395">
        <v>2.5418969823092499</v>
      </c>
      <c r="S8395">
        <v>180</v>
      </c>
      <c r="T8395">
        <v>41</v>
      </c>
      <c r="U8395">
        <v>684.40199759122902</v>
      </c>
      <c r="V8395">
        <v>2.7081922816519898E-3</v>
      </c>
      <c r="W8395">
        <v>2502940.27079442</v>
      </c>
      <c r="X8395" t="s">
        <v>36</v>
      </c>
      <c r="Y8395">
        <f>1-527-250-4645</f>
        <v>-5421</v>
      </c>
    </row>
    <row r="8396" spans="1:25" x14ac:dyDescent="0.35">
      <c r="A8396">
        <v>38.736612199573898</v>
      </c>
      <c r="B8396">
        <v>-119.499232204482</v>
      </c>
      <c r="C8396" t="s">
        <v>34</v>
      </c>
      <c r="D8396">
        <v>43.309495595256699</v>
      </c>
      <c r="E8396">
        <v>3</v>
      </c>
      <c r="F8396">
        <v>4709</v>
      </c>
      <c r="G8396">
        <v>4</v>
      </c>
      <c r="H8396">
        <v>3</v>
      </c>
      <c r="I8396">
        <v>2019</v>
      </c>
      <c r="J8396">
        <v>1</v>
      </c>
      <c r="K8396">
        <v>0</v>
      </c>
      <c r="L8396">
        <v>0</v>
      </c>
      <c r="M8396">
        <v>14</v>
      </c>
      <c r="N8396" t="s">
        <v>37</v>
      </c>
      <c r="O8396" t="s">
        <v>30</v>
      </c>
      <c r="P8396">
        <v>5.7041149491327596</v>
      </c>
      <c r="Q8396">
        <v>1.94764749913713</v>
      </c>
      <c r="R8396">
        <v>7.8951711962222797</v>
      </c>
      <c r="S8396">
        <v>49</v>
      </c>
      <c r="T8396">
        <v>34</v>
      </c>
      <c r="U8396">
        <v>841.89144924133996</v>
      </c>
      <c r="V8396">
        <v>2.9730303673816002E-3</v>
      </c>
      <c r="W8396">
        <v>4279894.8057596404</v>
      </c>
      <c r="X8396" t="s">
        <v>33</v>
      </c>
      <c r="Y8396">
        <f>1-944-995-4640</f>
        <v>-6578</v>
      </c>
    </row>
    <row r="8397" spans="1:25" x14ac:dyDescent="0.35">
      <c r="A8397">
        <v>37.3151917546137</v>
      </c>
      <c r="B8397">
        <v>-115.373923429447</v>
      </c>
      <c r="C8397" t="s">
        <v>34</v>
      </c>
      <c r="D8397">
        <v>2.6304392330271198</v>
      </c>
      <c r="E8397">
        <v>6</v>
      </c>
      <c r="F8397">
        <v>4842</v>
      </c>
      <c r="G8397">
        <v>2</v>
      </c>
      <c r="H8397">
        <v>3</v>
      </c>
      <c r="I8397">
        <v>1994</v>
      </c>
      <c r="J8397">
        <v>1</v>
      </c>
      <c r="K8397">
        <v>0</v>
      </c>
      <c r="L8397">
        <v>0</v>
      </c>
      <c r="M8397">
        <v>8</v>
      </c>
      <c r="N8397" t="s">
        <v>35</v>
      </c>
      <c r="O8397" t="s">
        <v>30</v>
      </c>
      <c r="P8397">
        <v>8.7343837512812303</v>
      </c>
      <c r="Q8397">
        <v>0.71687230553290704</v>
      </c>
      <c r="R8397">
        <v>2.1946786469544302</v>
      </c>
      <c r="S8397">
        <v>143</v>
      </c>
      <c r="T8397">
        <v>60</v>
      </c>
      <c r="U8397">
        <v>941.90151666363897</v>
      </c>
      <c r="V8397">
        <v>1.6522098306484901E-3</v>
      </c>
      <c r="W8397">
        <v>4775832.6665954497</v>
      </c>
      <c r="X8397" t="s">
        <v>44</v>
      </c>
      <c r="Y8397">
        <f>1-655-219-6262</f>
        <v>-7135</v>
      </c>
    </row>
    <row r="8398" spans="1:25" x14ac:dyDescent="0.35">
      <c r="A8398">
        <v>41.227211030458797</v>
      </c>
      <c r="B8398">
        <v>-118.86460666522299</v>
      </c>
      <c r="C8398" t="s">
        <v>34</v>
      </c>
      <c r="D8398">
        <v>40.3754517914548</v>
      </c>
      <c r="E8398">
        <v>0</v>
      </c>
      <c r="F8398">
        <v>3190</v>
      </c>
      <c r="G8398">
        <v>4</v>
      </c>
      <c r="H8398">
        <v>1</v>
      </c>
      <c r="I8398">
        <v>1960</v>
      </c>
      <c r="J8398">
        <v>0</v>
      </c>
      <c r="K8398">
        <v>1</v>
      </c>
      <c r="L8398">
        <v>1</v>
      </c>
      <c r="M8398">
        <v>4</v>
      </c>
      <c r="N8398" t="s">
        <v>35</v>
      </c>
      <c r="O8398" t="s">
        <v>32</v>
      </c>
      <c r="P8398">
        <v>11.1761268695436</v>
      </c>
      <c r="Q8398">
        <v>1.0903076939502701</v>
      </c>
      <c r="R8398">
        <v>8.1298096630114909</v>
      </c>
      <c r="S8398">
        <v>17</v>
      </c>
      <c r="T8398">
        <v>38</v>
      </c>
      <c r="U8398">
        <v>835.02658178470199</v>
      </c>
      <c r="V8398">
        <v>1.2539184952978001E-3</v>
      </c>
      <c r="W8398">
        <v>3043785.7856406998</v>
      </c>
      <c r="X8398" t="s">
        <v>36</v>
      </c>
      <c r="Y8398">
        <f>1-373-250-5690</f>
        <v>-6312</v>
      </c>
    </row>
    <row r="8399" spans="1:25" x14ac:dyDescent="0.35">
      <c r="A8399">
        <v>32.570314763443399</v>
      </c>
      <c r="B8399">
        <v>-117.748036083446</v>
      </c>
      <c r="C8399" t="s">
        <v>29</v>
      </c>
      <c r="D8399">
        <v>37.495749958039603</v>
      </c>
      <c r="E8399">
        <v>8</v>
      </c>
      <c r="F8399">
        <v>4636</v>
      </c>
      <c r="G8399">
        <v>3</v>
      </c>
      <c r="H8399">
        <v>3</v>
      </c>
      <c r="I8399">
        <v>1990</v>
      </c>
      <c r="J8399">
        <v>1</v>
      </c>
      <c r="K8399">
        <v>0</v>
      </c>
      <c r="L8399">
        <v>1</v>
      </c>
      <c r="M8399">
        <v>2</v>
      </c>
      <c r="N8399" t="s">
        <v>37</v>
      </c>
      <c r="O8399" t="s">
        <v>32</v>
      </c>
      <c r="P8399">
        <v>6.5769095990460702</v>
      </c>
      <c r="Q8399">
        <v>2.4552038193936898</v>
      </c>
      <c r="R8399">
        <v>7.57093700830002</v>
      </c>
      <c r="S8399">
        <v>120</v>
      </c>
      <c r="T8399">
        <v>76</v>
      </c>
      <c r="U8399">
        <v>527.09922430895199</v>
      </c>
      <c r="V8399">
        <v>4.31406384814495E-4</v>
      </c>
      <c r="W8399">
        <v>2736265.0697419499</v>
      </c>
      <c r="X8399" t="s">
        <v>36</v>
      </c>
      <c r="Y8399">
        <f>1-787-663-7141</f>
        <v>-8590</v>
      </c>
    </row>
    <row r="8400" spans="1:25" x14ac:dyDescent="0.35">
      <c r="A8400">
        <v>35.608178901498398</v>
      </c>
      <c r="B8400">
        <v>-124.379257175059</v>
      </c>
      <c r="C8400" t="s">
        <v>34</v>
      </c>
      <c r="D8400">
        <v>49.742530279557997</v>
      </c>
      <c r="E8400">
        <v>6</v>
      </c>
      <c r="F8400">
        <v>4367</v>
      </c>
      <c r="G8400">
        <v>2</v>
      </c>
      <c r="H8400">
        <v>1</v>
      </c>
      <c r="I8400">
        <v>1985</v>
      </c>
      <c r="J8400">
        <v>0</v>
      </c>
      <c r="K8400">
        <v>0</v>
      </c>
      <c r="L8400">
        <v>1</v>
      </c>
      <c r="M8400">
        <v>2</v>
      </c>
      <c r="N8400" t="s">
        <v>41</v>
      </c>
      <c r="O8400" t="s">
        <v>32</v>
      </c>
      <c r="P8400">
        <v>14.208883422682201</v>
      </c>
      <c r="Q8400">
        <v>1.47351498819868</v>
      </c>
      <c r="R8400">
        <v>8.3110974596958407</v>
      </c>
      <c r="S8400">
        <v>32</v>
      </c>
      <c r="T8400">
        <v>43</v>
      </c>
      <c r="U8400">
        <v>772.59176117105005</v>
      </c>
      <c r="V8400">
        <v>4.5798030684680499E-4</v>
      </c>
      <c r="W8400">
        <v>3585266.88763812</v>
      </c>
      <c r="X8400" t="s">
        <v>33</v>
      </c>
      <c r="Y8400">
        <f>1-242-113-9523</f>
        <v>-9877</v>
      </c>
    </row>
    <row r="8401" spans="1:25" x14ac:dyDescent="0.35">
      <c r="A8401">
        <v>37.080351872982497</v>
      </c>
      <c r="B8401">
        <v>-118.004290002075</v>
      </c>
      <c r="C8401" t="s">
        <v>25</v>
      </c>
      <c r="D8401">
        <v>23.8036122851003</v>
      </c>
      <c r="E8401">
        <v>9</v>
      </c>
      <c r="F8401">
        <v>3175</v>
      </c>
      <c r="G8401">
        <v>3</v>
      </c>
      <c r="H8401">
        <v>3</v>
      </c>
      <c r="I8401">
        <v>2010</v>
      </c>
      <c r="J8401">
        <v>0</v>
      </c>
      <c r="K8401">
        <v>1</v>
      </c>
      <c r="L8401">
        <v>1</v>
      </c>
      <c r="M8401">
        <v>9</v>
      </c>
      <c r="N8401" t="s">
        <v>26</v>
      </c>
      <c r="O8401" t="s">
        <v>27</v>
      </c>
      <c r="P8401">
        <v>7.4674903807431701</v>
      </c>
      <c r="Q8401">
        <v>0.54756235810100495</v>
      </c>
      <c r="R8401">
        <v>9.2990391671742803</v>
      </c>
      <c r="S8401">
        <v>100</v>
      </c>
      <c r="T8401">
        <v>28</v>
      </c>
      <c r="U8401">
        <v>918.64752157111195</v>
      </c>
      <c r="V8401">
        <v>2.83464566929133E-3</v>
      </c>
      <c r="W8401">
        <v>3289778.7164226798</v>
      </c>
      <c r="X8401" t="s">
        <v>39</v>
      </c>
      <c r="Y8401">
        <f>1-495-100-9639</f>
        <v>-10233</v>
      </c>
    </row>
    <row r="8402" spans="1:25" x14ac:dyDescent="0.35">
      <c r="A8402">
        <v>36.021625439296798</v>
      </c>
      <c r="B8402">
        <v>-123.586831407115</v>
      </c>
      <c r="C8402" t="s">
        <v>29</v>
      </c>
      <c r="D8402">
        <v>2.9271487157632698</v>
      </c>
      <c r="E8402">
        <v>1</v>
      </c>
      <c r="F8402">
        <v>2722</v>
      </c>
      <c r="G8402">
        <v>2</v>
      </c>
      <c r="H8402">
        <v>1</v>
      </c>
      <c r="I8402">
        <v>1956</v>
      </c>
      <c r="J8402">
        <v>1</v>
      </c>
      <c r="K8402">
        <v>0</v>
      </c>
      <c r="L8402">
        <v>0</v>
      </c>
      <c r="M8402">
        <v>7</v>
      </c>
      <c r="N8402" t="s">
        <v>37</v>
      </c>
      <c r="O8402" t="s">
        <v>27</v>
      </c>
      <c r="P8402">
        <v>14.258338089831</v>
      </c>
      <c r="Q8402">
        <v>2.30973994456355</v>
      </c>
      <c r="R8402">
        <v>4.5021011069322503</v>
      </c>
      <c r="S8402">
        <v>197</v>
      </c>
      <c r="T8402">
        <v>22</v>
      </c>
      <c r="U8402">
        <v>703.48561946465497</v>
      </c>
      <c r="V8402">
        <v>2.5716385011021301E-3</v>
      </c>
      <c r="W8402">
        <v>2081124.9854018399</v>
      </c>
      <c r="X8402" t="s">
        <v>36</v>
      </c>
      <c r="Y8402">
        <f>1-400-984-9137</f>
        <v>-10520</v>
      </c>
    </row>
    <row r="8403" spans="1:25" x14ac:dyDescent="0.35">
      <c r="A8403">
        <v>40.628586836773501</v>
      </c>
      <c r="B8403">
        <v>-115.49176809538901</v>
      </c>
      <c r="C8403" t="s">
        <v>29</v>
      </c>
      <c r="D8403">
        <v>36.374505794097999</v>
      </c>
      <c r="E8403">
        <v>9</v>
      </c>
      <c r="F8403">
        <v>2175</v>
      </c>
      <c r="G8403">
        <v>1</v>
      </c>
      <c r="H8403">
        <v>3</v>
      </c>
      <c r="I8403">
        <v>2004</v>
      </c>
      <c r="J8403">
        <v>1</v>
      </c>
      <c r="K8403">
        <v>1</v>
      </c>
      <c r="L8403">
        <v>0</v>
      </c>
      <c r="M8403">
        <v>14</v>
      </c>
      <c r="N8403" t="s">
        <v>26</v>
      </c>
      <c r="O8403" t="s">
        <v>30</v>
      </c>
      <c r="P8403">
        <v>4.7704163327245004</v>
      </c>
      <c r="Q8403">
        <v>1.5223764864475899</v>
      </c>
      <c r="R8403">
        <v>4.7846937419516102</v>
      </c>
      <c r="S8403">
        <v>158</v>
      </c>
      <c r="T8403">
        <v>42</v>
      </c>
      <c r="U8403">
        <v>270.560288896945</v>
      </c>
      <c r="V8403">
        <v>6.4367816091953998E-3</v>
      </c>
      <c r="W8403">
        <v>856792.79835977894</v>
      </c>
      <c r="X8403" t="s">
        <v>36</v>
      </c>
      <c r="Y8403">
        <f>1-327-616-9738</f>
        <v>-10680</v>
      </c>
    </row>
    <row r="8404" spans="1:25" x14ac:dyDescent="0.35">
      <c r="A8404">
        <v>34.521349421447603</v>
      </c>
      <c r="B8404">
        <v>-114.314363021898</v>
      </c>
      <c r="C8404" t="s">
        <v>34</v>
      </c>
      <c r="D8404">
        <v>7.9887971598138696</v>
      </c>
      <c r="E8404">
        <v>4</v>
      </c>
      <c r="F8404">
        <v>4698</v>
      </c>
      <c r="G8404">
        <v>2</v>
      </c>
      <c r="H8404">
        <v>1</v>
      </c>
      <c r="I8404">
        <v>1955</v>
      </c>
      <c r="J8404">
        <v>0</v>
      </c>
      <c r="K8404">
        <v>1</v>
      </c>
      <c r="L8404">
        <v>0</v>
      </c>
      <c r="M8404">
        <v>9</v>
      </c>
      <c r="N8404" t="s">
        <v>35</v>
      </c>
      <c r="O8404" t="s">
        <v>30</v>
      </c>
      <c r="P8404">
        <v>2.8872740894608402</v>
      </c>
      <c r="Q8404">
        <v>1.53964800474201</v>
      </c>
      <c r="R8404">
        <v>3.8085330004736901</v>
      </c>
      <c r="S8404">
        <v>187</v>
      </c>
      <c r="T8404">
        <v>33</v>
      </c>
      <c r="U8404">
        <v>366.998139764455</v>
      </c>
      <c r="V8404">
        <v>1.91570881226053E-3</v>
      </c>
      <c r="W8404">
        <v>1821011.3024973299</v>
      </c>
      <c r="X8404" t="s">
        <v>36</v>
      </c>
      <c r="Y8404">
        <f>1-535-548-8724</f>
        <v>-9806</v>
      </c>
    </row>
    <row r="8405" spans="1:25" x14ac:dyDescent="0.35">
      <c r="A8405">
        <v>33.2973631937543</v>
      </c>
      <c r="B8405">
        <v>-121.767858254502</v>
      </c>
      <c r="C8405" t="s">
        <v>29</v>
      </c>
      <c r="D8405">
        <v>34.850459970509597</v>
      </c>
      <c r="E8405">
        <v>2</v>
      </c>
      <c r="F8405">
        <v>1045</v>
      </c>
      <c r="G8405">
        <v>3</v>
      </c>
      <c r="H8405">
        <v>3</v>
      </c>
      <c r="I8405">
        <v>1981</v>
      </c>
      <c r="J8405">
        <v>1</v>
      </c>
      <c r="K8405">
        <v>0</v>
      </c>
      <c r="L8405">
        <v>0</v>
      </c>
      <c r="M8405">
        <v>5</v>
      </c>
      <c r="N8405" t="s">
        <v>37</v>
      </c>
      <c r="O8405" t="s">
        <v>30</v>
      </c>
      <c r="P8405">
        <v>5.3446281354671203</v>
      </c>
      <c r="Q8405">
        <v>1.1093168918824601</v>
      </c>
      <c r="R8405">
        <v>2.9597341856161901</v>
      </c>
      <c r="S8405">
        <v>25</v>
      </c>
      <c r="T8405">
        <v>69</v>
      </c>
      <c r="U8405">
        <v>272.46969516682799</v>
      </c>
      <c r="V8405">
        <v>4.78468899521531E-3</v>
      </c>
      <c r="W8405">
        <v>511935.39455783198</v>
      </c>
      <c r="X8405" t="s">
        <v>44</v>
      </c>
      <c r="Y8405">
        <f>1-337-712-2995</f>
        <v>-4043</v>
      </c>
    </row>
    <row r="8406" spans="1:25" x14ac:dyDescent="0.35">
      <c r="A8406">
        <v>37.532917791415699</v>
      </c>
      <c r="B8406">
        <v>-118.275360529989</v>
      </c>
      <c r="C8406" t="s">
        <v>29</v>
      </c>
      <c r="D8406">
        <v>16.418950155389702</v>
      </c>
      <c r="E8406">
        <v>4</v>
      </c>
      <c r="F8406">
        <v>3793</v>
      </c>
      <c r="G8406">
        <v>2</v>
      </c>
      <c r="H8406">
        <v>3</v>
      </c>
      <c r="I8406">
        <v>1999</v>
      </c>
      <c r="J8406">
        <v>0</v>
      </c>
      <c r="K8406">
        <v>1</v>
      </c>
      <c r="L8406">
        <v>1</v>
      </c>
      <c r="M8406">
        <v>9</v>
      </c>
      <c r="N8406" t="s">
        <v>26</v>
      </c>
      <c r="O8406" t="s">
        <v>32</v>
      </c>
      <c r="P8406">
        <v>8.3643952663477208</v>
      </c>
      <c r="Q8406">
        <v>1.4592780465192099</v>
      </c>
      <c r="R8406">
        <v>8.5827696502719306E-2</v>
      </c>
      <c r="S8406">
        <v>87</v>
      </c>
      <c r="T8406">
        <v>53</v>
      </c>
      <c r="U8406">
        <v>436.44769192934098</v>
      </c>
      <c r="V8406">
        <v>2.3727919852359601E-3</v>
      </c>
      <c r="W8406">
        <v>2057286.2708906599</v>
      </c>
      <c r="X8406" t="s">
        <v>44</v>
      </c>
      <c r="Y8406">
        <f>1-850-831-4263</f>
        <v>-5943</v>
      </c>
    </row>
    <row r="8407" spans="1:25" x14ac:dyDescent="0.35">
      <c r="A8407">
        <v>37.984640709288001</v>
      </c>
      <c r="B8407">
        <v>-114.132086294488</v>
      </c>
      <c r="C8407" t="s">
        <v>29</v>
      </c>
      <c r="D8407">
        <v>13.845044797257099</v>
      </c>
      <c r="E8407">
        <v>2</v>
      </c>
      <c r="F8407">
        <v>2676</v>
      </c>
      <c r="G8407">
        <v>2</v>
      </c>
      <c r="H8407">
        <v>1</v>
      </c>
      <c r="I8407">
        <v>1978</v>
      </c>
      <c r="J8407">
        <v>0</v>
      </c>
      <c r="K8407">
        <v>1</v>
      </c>
      <c r="L8407">
        <v>0</v>
      </c>
      <c r="M8407">
        <v>12</v>
      </c>
      <c r="N8407" t="s">
        <v>41</v>
      </c>
      <c r="O8407" t="s">
        <v>30</v>
      </c>
      <c r="P8407">
        <v>8.7986226785526203</v>
      </c>
      <c r="Q8407">
        <v>1.1775763770709899</v>
      </c>
      <c r="R8407">
        <v>6.2220639869963597</v>
      </c>
      <c r="S8407">
        <v>51</v>
      </c>
      <c r="T8407">
        <v>45</v>
      </c>
      <c r="U8407">
        <v>476.18111146844399</v>
      </c>
      <c r="V8407">
        <v>4.4843049327354199E-3</v>
      </c>
      <c r="W8407">
        <v>1492808.80786035</v>
      </c>
      <c r="X8407" t="s">
        <v>40</v>
      </c>
      <c r="Y8407">
        <f>1-402-466-8189</f>
        <v>-9056</v>
      </c>
    </row>
    <row r="8408" spans="1:25" x14ac:dyDescent="0.35">
      <c r="A8408">
        <v>38.0630903896215</v>
      </c>
      <c r="B8408">
        <v>-123.92566430050999</v>
      </c>
      <c r="C8408" t="s">
        <v>25</v>
      </c>
      <c r="D8408">
        <v>20.959654093255601</v>
      </c>
      <c r="E8408">
        <v>7</v>
      </c>
      <c r="F8408">
        <v>2395</v>
      </c>
      <c r="G8408">
        <v>5</v>
      </c>
      <c r="H8408">
        <v>3</v>
      </c>
      <c r="I8408">
        <v>1991</v>
      </c>
      <c r="J8408">
        <v>1</v>
      </c>
      <c r="K8408">
        <v>0</v>
      </c>
      <c r="L8408">
        <v>0</v>
      </c>
      <c r="M8408">
        <v>3</v>
      </c>
      <c r="N8408" t="s">
        <v>35</v>
      </c>
      <c r="O8408" t="s">
        <v>32</v>
      </c>
      <c r="P8408">
        <v>7.4150893451494602</v>
      </c>
      <c r="Q8408">
        <v>0.98442025999765603</v>
      </c>
      <c r="R8408">
        <v>6.5754924201457499</v>
      </c>
      <c r="S8408">
        <v>137</v>
      </c>
      <c r="T8408">
        <v>62</v>
      </c>
      <c r="U8408">
        <v>946.60857340735902</v>
      </c>
      <c r="V8408">
        <v>1.2526096033402901E-3</v>
      </c>
      <c r="W8408">
        <v>2581987.02728855</v>
      </c>
      <c r="X8408" t="s">
        <v>43</v>
      </c>
      <c r="Y8408">
        <f>1-842-633-1931</f>
        <v>-3405</v>
      </c>
    </row>
    <row r="8409" spans="1:25" x14ac:dyDescent="0.35">
      <c r="A8409">
        <v>37.258107847888198</v>
      </c>
      <c r="B8409">
        <v>-121.190180435426</v>
      </c>
      <c r="C8409" t="s">
        <v>29</v>
      </c>
      <c r="D8409">
        <v>21.1542413690009</v>
      </c>
      <c r="E8409">
        <v>6</v>
      </c>
      <c r="F8409">
        <v>1526</v>
      </c>
      <c r="G8409">
        <v>3</v>
      </c>
      <c r="H8409">
        <v>1</v>
      </c>
      <c r="I8409">
        <v>1989</v>
      </c>
      <c r="J8409">
        <v>0</v>
      </c>
      <c r="K8409">
        <v>0</v>
      </c>
      <c r="L8409">
        <v>0</v>
      </c>
      <c r="M8409">
        <v>3</v>
      </c>
      <c r="N8409" t="s">
        <v>35</v>
      </c>
      <c r="O8409" t="s">
        <v>30</v>
      </c>
      <c r="P8409">
        <v>5.0229717257597297</v>
      </c>
      <c r="Q8409">
        <v>1.44110724276806</v>
      </c>
      <c r="R8409">
        <v>8.1685455254998107</v>
      </c>
      <c r="S8409">
        <v>154</v>
      </c>
      <c r="T8409">
        <v>52</v>
      </c>
      <c r="U8409">
        <v>630.90915562836005</v>
      </c>
      <c r="V8409">
        <v>1.9659239842726001E-3</v>
      </c>
      <c r="W8409">
        <v>1083477.0336957399</v>
      </c>
      <c r="X8409" t="s">
        <v>28</v>
      </c>
      <c r="Y8409">
        <f>1-812-933-6668</f>
        <v>-8412</v>
      </c>
    </row>
    <row r="8410" spans="1:25" x14ac:dyDescent="0.35">
      <c r="A8410">
        <v>34.5197711400019</v>
      </c>
      <c r="B8410">
        <v>-121.993420640221</v>
      </c>
      <c r="C8410" t="s">
        <v>34</v>
      </c>
      <c r="D8410">
        <v>17.376338272541801</v>
      </c>
      <c r="E8410">
        <v>9</v>
      </c>
      <c r="F8410">
        <v>4103</v>
      </c>
      <c r="G8410">
        <v>4</v>
      </c>
      <c r="H8410">
        <v>1</v>
      </c>
      <c r="I8410">
        <v>1999</v>
      </c>
      <c r="J8410">
        <v>0</v>
      </c>
      <c r="K8410">
        <v>0</v>
      </c>
      <c r="L8410">
        <v>1</v>
      </c>
      <c r="M8410">
        <v>3</v>
      </c>
      <c r="N8410" t="s">
        <v>41</v>
      </c>
      <c r="O8410" t="s">
        <v>27</v>
      </c>
      <c r="P8410">
        <v>8.6587631121614397</v>
      </c>
      <c r="Q8410">
        <v>0.76331123107303001</v>
      </c>
      <c r="R8410">
        <v>3.9346376978808602</v>
      </c>
      <c r="S8410">
        <v>90</v>
      </c>
      <c r="T8410">
        <v>33</v>
      </c>
      <c r="U8410">
        <v>482.36781663823501</v>
      </c>
      <c r="V8410">
        <v>7.3117231294174997E-4</v>
      </c>
      <c r="W8410">
        <v>2268511.1309352801</v>
      </c>
      <c r="X8410" t="s">
        <v>36</v>
      </c>
      <c r="Y8410">
        <f>1-772-224-5206</f>
        <v>-6201</v>
      </c>
    </row>
    <row r="8411" spans="1:25" x14ac:dyDescent="0.35">
      <c r="A8411">
        <v>37.3286411488996</v>
      </c>
      <c r="B8411">
        <v>-117.727415671503</v>
      </c>
      <c r="C8411" t="s">
        <v>29</v>
      </c>
      <c r="D8411">
        <v>45.392705978779098</v>
      </c>
      <c r="E8411">
        <v>4</v>
      </c>
      <c r="F8411">
        <v>4330</v>
      </c>
      <c r="G8411">
        <v>5</v>
      </c>
      <c r="H8411">
        <v>1</v>
      </c>
      <c r="I8411">
        <v>2014</v>
      </c>
      <c r="J8411">
        <v>1</v>
      </c>
      <c r="K8411">
        <v>1</v>
      </c>
      <c r="L8411">
        <v>0</v>
      </c>
      <c r="M8411">
        <v>8</v>
      </c>
      <c r="N8411" t="s">
        <v>26</v>
      </c>
      <c r="O8411" t="s">
        <v>27</v>
      </c>
      <c r="P8411">
        <v>2.55186113404746</v>
      </c>
      <c r="Q8411">
        <v>1.1506888441957499</v>
      </c>
      <c r="R8411">
        <v>1.3088027027514799</v>
      </c>
      <c r="S8411">
        <v>32</v>
      </c>
      <c r="T8411">
        <v>59</v>
      </c>
      <c r="U8411">
        <v>635.96223294809295</v>
      </c>
      <c r="V8411">
        <v>1.8475750577367201E-3</v>
      </c>
      <c r="W8411">
        <v>3193132.36896988</v>
      </c>
      <c r="X8411" t="s">
        <v>31</v>
      </c>
      <c r="Y8411">
        <f>1-845-319-5086</f>
        <v>-6249</v>
      </c>
    </row>
    <row r="8412" spans="1:25" x14ac:dyDescent="0.35">
      <c r="A8412">
        <v>32.831985064401898</v>
      </c>
      <c r="B8412">
        <v>-117.93681271310901</v>
      </c>
      <c r="C8412" t="s">
        <v>25</v>
      </c>
      <c r="D8412">
        <v>19.701255064012901</v>
      </c>
      <c r="E8412">
        <v>0</v>
      </c>
      <c r="F8412">
        <v>4049</v>
      </c>
      <c r="G8412">
        <v>3</v>
      </c>
      <c r="H8412">
        <v>3</v>
      </c>
      <c r="I8412">
        <v>1985</v>
      </c>
      <c r="J8412">
        <v>0</v>
      </c>
      <c r="K8412">
        <v>1</v>
      </c>
      <c r="L8412">
        <v>1</v>
      </c>
      <c r="M8412">
        <v>5</v>
      </c>
      <c r="N8412" t="s">
        <v>26</v>
      </c>
      <c r="O8412" t="s">
        <v>30</v>
      </c>
      <c r="P8412">
        <v>2.0683841373440699</v>
      </c>
      <c r="Q8412">
        <v>1.8005944031162899</v>
      </c>
      <c r="R8412">
        <v>3.3074759515332302</v>
      </c>
      <c r="S8412">
        <v>73</v>
      </c>
      <c r="T8412">
        <v>79</v>
      </c>
      <c r="U8412">
        <v>530.71974855456995</v>
      </c>
      <c r="V8412">
        <v>1.2348728081007601E-3</v>
      </c>
      <c r="W8412">
        <v>2408482.55775683</v>
      </c>
      <c r="X8412" t="s">
        <v>44</v>
      </c>
      <c r="Y8412">
        <f>1-366-120-7079</f>
        <v>-7564</v>
      </c>
    </row>
    <row r="8413" spans="1:25" x14ac:dyDescent="0.35">
      <c r="A8413">
        <v>34.3886011243033</v>
      </c>
      <c r="B8413">
        <v>-117.00772740646001</v>
      </c>
      <c r="C8413" t="s">
        <v>34</v>
      </c>
      <c r="D8413">
        <v>45.298970923046497</v>
      </c>
      <c r="E8413">
        <v>5</v>
      </c>
      <c r="F8413">
        <v>1921</v>
      </c>
      <c r="G8413">
        <v>4</v>
      </c>
      <c r="H8413">
        <v>3</v>
      </c>
      <c r="I8413">
        <v>1983</v>
      </c>
      <c r="J8413">
        <v>0</v>
      </c>
      <c r="K8413">
        <v>0</v>
      </c>
      <c r="L8413">
        <v>1</v>
      </c>
      <c r="M8413">
        <v>9</v>
      </c>
      <c r="N8413" t="s">
        <v>26</v>
      </c>
      <c r="O8413" t="s">
        <v>32</v>
      </c>
      <c r="P8413">
        <v>14.066135709208</v>
      </c>
      <c r="Q8413">
        <v>0.93060385081927499</v>
      </c>
      <c r="R8413">
        <v>9.3157714914288796</v>
      </c>
      <c r="S8413">
        <v>155</v>
      </c>
      <c r="T8413">
        <v>61</v>
      </c>
      <c r="U8413">
        <v>392.610208043049</v>
      </c>
      <c r="V8413">
        <v>4.68505986465382E-3</v>
      </c>
      <c r="W8413">
        <v>1081756.1795912001</v>
      </c>
      <c r="X8413" t="s">
        <v>44</v>
      </c>
      <c r="Y8413">
        <f>1-820-197-1787</f>
        <v>-2803</v>
      </c>
    </row>
    <row r="8414" spans="1:25" x14ac:dyDescent="0.35">
      <c r="A8414">
        <v>37.478217809465001</v>
      </c>
      <c r="B8414">
        <v>-119.081809431449</v>
      </c>
      <c r="C8414" t="s">
        <v>25</v>
      </c>
      <c r="D8414">
        <v>18.841744581878899</v>
      </c>
      <c r="E8414">
        <v>8</v>
      </c>
      <c r="F8414">
        <v>3528</v>
      </c>
      <c r="G8414">
        <v>2</v>
      </c>
      <c r="H8414">
        <v>1</v>
      </c>
      <c r="I8414">
        <v>1956</v>
      </c>
      <c r="J8414">
        <v>1</v>
      </c>
      <c r="K8414">
        <v>1</v>
      </c>
      <c r="L8414">
        <v>1</v>
      </c>
      <c r="M8414">
        <v>12</v>
      </c>
      <c r="N8414" t="s">
        <v>35</v>
      </c>
      <c r="O8414" t="s">
        <v>30</v>
      </c>
      <c r="P8414">
        <v>2.0099961250005398</v>
      </c>
      <c r="Q8414">
        <v>1.0087145667055299</v>
      </c>
      <c r="R8414">
        <v>5.1160866179654203</v>
      </c>
      <c r="S8414">
        <v>167</v>
      </c>
      <c r="T8414">
        <v>59</v>
      </c>
      <c r="U8414">
        <v>814.60952560444696</v>
      </c>
      <c r="V8414">
        <v>3.40136054421768E-3</v>
      </c>
      <c r="W8414">
        <v>2985578.68446125</v>
      </c>
      <c r="X8414" t="s">
        <v>38</v>
      </c>
      <c r="Y8414">
        <f>1-363-221-3997</f>
        <v>-4580</v>
      </c>
    </row>
    <row r="8415" spans="1:25" x14ac:dyDescent="0.35">
      <c r="A8415">
        <v>39.490500316774202</v>
      </c>
      <c r="B8415">
        <v>-118.218637234528</v>
      </c>
      <c r="C8415" t="s">
        <v>34</v>
      </c>
      <c r="D8415">
        <v>7.3333550192294901</v>
      </c>
      <c r="E8415">
        <v>8</v>
      </c>
      <c r="F8415">
        <v>1019</v>
      </c>
      <c r="G8415">
        <v>5</v>
      </c>
      <c r="H8415">
        <v>3</v>
      </c>
      <c r="I8415">
        <v>2002</v>
      </c>
      <c r="J8415">
        <v>0</v>
      </c>
      <c r="K8415">
        <v>0</v>
      </c>
      <c r="L8415">
        <v>0</v>
      </c>
      <c r="M8415">
        <v>11</v>
      </c>
      <c r="N8415" t="s">
        <v>26</v>
      </c>
      <c r="O8415" t="s">
        <v>32</v>
      </c>
      <c r="P8415">
        <v>5.7742254354524496</v>
      </c>
      <c r="Q8415">
        <v>1.0103124561038701</v>
      </c>
      <c r="R8415">
        <v>3.69510475051543</v>
      </c>
      <c r="S8415">
        <v>166</v>
      </c>
      <c r="T8415">
        <v>43</v>
      </c>
      <c r="U8415">
        <v>624.51092566967498</v>
      </c>
      <c r="V8415">
        <v>1.0794896957801701E-2</v>
      </c>
      <c r="W8415">
        <v>908460.44155178405</v>
      </c>
      <c r="X8415" t="s">
        <v>40</v>
      </c>
      <c r="Y8415">
        <f>1-939-649-9986</f>
        <v>-11573</v>
      </c>
    </row>
    <row r="8416" spans="1:25" x14ac:dyDescent="0.35">
      <c r="A8416">
        <v>39.638534467736903</v>
      </c>
      <c r="B8416">
        <v>-115.295934165468</v>
      </c>
      <c r="C8416" t="s">
        <v>25</v>
      </c>
      <c r="D8416">
        <v>42.9222225606633</v>
      </c>
      <c r="E8416">
        <v>6</v>
      </c>
      <c r="F8416">
        <v>2357</v>
      </c>
      <c r="G8416">
        <v>5</v>
      </c>
      <c r="H8416">
        <v>1</v>
      </c>
      <c r="I8416">
        <v>1960</v>
      </c>
      <c r="J8416">
        <v>0</v>
      </c>
      <c r="K8416">
        <v>1</v>
      </c>
      <c r="L8416">
        <v>1</v>
      </c>
      <c r="M8416">
        <v>2</v>
      </c>
      <c r="N8416" t="s">
        <v>41</v>
      </c>
      <c r="O8416" t="s">
        <v>27</v>
      </c>
      <c r="P8416">
        <v>14.093322867182801</v>
      </c>
      <c r="Q8416">
        <v>1.7115198496239199</v>
      </c>
      <c r="R8416">
        <v>3.95274276963442</v>
      </c>
      <c r="S8416">
        <v>115</v>
      </c>
      <c r="T8416">
        <v>60</v>
      </c>
      <c r="U8416">
        <v>952.46214182907704</v>
      </c>
      <c r="V8416">
        <v>8.4853627492575295E-4</v>
      </c>
      <c r="W8416">
        <v>2701484.6162811499</v>
      </c>
      <c r="X8416" t="s">
        <v>44</v>
      </c>
      <c r="Y8416">
        <f>1-459-617-2547</f>
        <v>-3622</v>
      </c>
    </row>
    <row r="8417" spans="1:25" x14ac:dyDescent="0.35">
      <c r="A8417">
        <v>32.657876418665197</v>
      </c>
      <c r="B8417">
        <v>-120.752813598957</v>
      </c>
      <c r="C8417" t="s">
        <v>34</v>
      </c>
      <c r="D8417">
        <v>30.071444300861199</v>
      </c>
      <c r="E8417">
        <v>0</v>
      </c>
      <c r="F8417">
        <v>1344</v>
      </c>
      <c r="G8417">
        <v>2</v>
      </c>
      <c r="H8417">
        <v>1</v>
      </c>
      <c r="I8417">
        <v>2010</v>
      </c>
      <c r="J8417">
        <v>0</v>
      </c>
      <c r="K8417">
        <v>0</v>
      </c>
      <c r="L8417">
        <v>0</v>
      </c>
      <c r="M8417">
        <v>9</v>
      </c>
      <c r="N8417" t="s">
        <v>41</v>
      </c>
      <c r="O8417" t="s">
        <v>32</v>
      </c>
      <c r="P8417">
        <v>11.478331560767</v>
      </c>
      <c r="Q8417">
        <v>1.52472996784098</v>
      </c>
      <c r="R8417">
        <v>5.2637106817253398</v>
      </c>
      <c r="S8417">
        <v>143</v>
      </c>
      <c r="T8417">
        <v>73</v>
      </c>
      <c r="U8417">
        <v>792.23094771748697</v>
      </c>
      <c r="V8417">
        <v>6.6964285714285702E-3</v>
      </c>
      <c r="W8417">
        <v>1244514.78103322</v>
      </c>
      <c r="X8417" t="s">
        <v>39</v>
      </c>
      <c r="Y8417">
        <f>1-846-156-5560</f>
        <v>-6561</v>
      </c>
    </row>
    <row r="8418" spans="1:25" x14ac:dyDescent="0.35">
      <c r="A8418">
        <v>35.189758709997299</v>
      </c>
      <c r="B8418">
        <v>-119.340701129387</v>
      </c>
      <c r="C8418" t="s">
        <v>34</v>
      </c>
      <c r="D8418">
        <v>26.298755770934999</v>
      </c>
      <c r="E8418">
        <v>4</v>
      </c>
      <c r="F8418">
        <v>3974</v>
      </c>
      <c r="G8418">
        <v>2</v>
      </c>
      <c r="H8418">
        <v>2</v>
      </c>
      <c r="I8418">
        <v>2001</v>
      </c>
      <c r="J8418">
        <v>1</v>
      </c>
      <c r="K8418">
        <v>0</v>
      </c>
      <c r="L8418">
        <v>1</v>
      </c>
      <c r="M8418">
        <v>14</v>
      </c>
      <c r="N8418" t="s">
        <v>37</v>
      </c>
      <c r="O8418" t="s">
        <v>27</v>
      </c>
      <c r="P8418">
        <v>2.6821761662512098</v>
      </c>
      <c r="Q8418">
        <v>1.2641748596995701</v>
      </c>
      <c r="R8418">
        <v>5.0299721990893698</v>
      </c>
      <c r="S8418">
        <v>154</v>
      </c>
      <c r="T8418">
        <v>54</v>
      </c>
      <c r="U8418">
        <v>469.36935080788902</v>
      </c>
      <c r="V8418">
        <v>3.5228988424760902E-3</v>
      </c>
      <c r="W8418">
        <v>2012376.90107646</v>
      </c>
      <c r="X8418" t="s">
        <v>28</v>
      </c>
      <c r="Y8418">
        <f>1-528-229-9906</f>
        <v>-10662</v>
      </c>
    </row>
    <row r="8419" spans="1:25" x14ac:dyDescent="0.35">
      <c r="A8419">
        <v>33.303554191172999</v>
      </c>
      <c r="B8419">
        <v>-121.93028813497</v>
      </c>
      <c r="C8419" t="s">
        <v>29</v>
      </c>
      <c r="D8419">
        <v>22.0157507206183</v>
      </c>
      <c r="E8419">
        <v>1</v>
      </c>
      <c r="F8419">
        <v>981</v>
      </c>
      <c r="G8419">
        <v>4</v>
      </c>
      <c r="H8419">
        <v>1</v>
      </c>
      <c r="I8419">
        <v>1956</v>
      </c>
      <c r="J8419">
        <v>0</v>
      </c>
      <c r="K8419">
        <v>1</v>
      </c>
      <c r="L8419">
        <v>0</v>
      </c>
      <c r="M8419">
        <v>11</v>
      </c>
      <c r="N8419" t="s">
        <v>41</v>
      </c>
      <c r="O8419" t="s">
        <v>30</v>
      </c>
      <c r="P8419">
        <v>6.9624960375432297</v>
      </c>
      <c r="Q8419">
        <v>1.89510208319846</v>
      </c>
      <c r="R8419">
        <v>9.5090485095707304</v>
      </c>
      <c r="S8419">
        <v>104</v>
      </c>
      <c r="T8419">
        <v>37</v>
      </c>
      <c r="U8419">
        <v>740.37153990443801</v>
      </c>
      <c r="V8419">
        <v>1.12130479102956E-2</v>
      </c>
      <c r="W8419">
        <v>957939.70922471897</v>
      </c>
      <c r="X8419" t="s">
        <v>31</v>
      </c>
      <c r="Y8419">
        <f>1-539-331-7804</f>
        <v>-8673</v>
      </c>
    </row>
    <row r="8420" spans="1:25" x14ac:dyDescent="0.35">
      <c r="A8420">
        <v>34.131094430163401</v>
      </c>
      <c r="B8420">
        <v>-121.00827818252</v>
      </c>
      <c r="C8420" t="s">
        <v>29</v>
      </c>
      <c r="D8420">
        <v>39.916798902122103</v>
      </c>
      <c r="E8420">
        <v>0</v>
      </c>
      <c r="F8420">
        <v>2795</v>
      </c>
      <c r="G8420">
        <v>2</v>
      </c>
      <c r="H8420">
        <v>2</v>
      </c>
      <c r="I8420">
        <v>2005</v>
      </c>
      <c r="J8420">
        <v>0</v>
      </c>
      <c r="K8420">
        <v>1</v>
      </c>
      <c r="L8420">
        <v>0</v>
      </c>
      <c r="M8420">
        <v>4</v>
      </c>
      <c r="N8420" t="s">
        <v>37</v>
      </c>
      <c r="O8420" t="s">
        <v>27</v>
      </c>
      <c r="P8420">
        <v>3.15667759885197</v>
      </c>
      <c r="Q8420">
        <v>0.56726061458465804</v>
      </c>
      <c r="R8420">
        <v>0.29508504999313601</v>
      </c>
      <c r="S8420">
        <v>49</v>
      </c>
      <c r="T8420">
        <v>77</v>
      </c>
      <c r="U8420">
        <v>795.85297607598204</v>
      </c>
      <c r="V8420">
        <v>1.43112701252236E-3</v>
      </c>
      <c r="W8420">
        <v>2412598.2988358899</v>
      </c>
      <c r="X8420" t="s">
        <v>38</v>
      </c>
      <c r="Y8420">
        <f>1-279-783-7612</f>
        <v>-8673</v>
      </c>
    </row>
    <row r="8421" spans="1:25" x14ac:dyDescent="0.35">
      <c r="A8421">
        <v>39.405728499088703</v>
      </c>
      <c r="B8421">
        <v>-123.99625256384</v>
      </c>
      <c r="C8421" t="s">
        <v>25</v>
      </c>
      <c r="D8421">
        <v>22.283604199356301</v>
      </c>
      <c r="E8421">
        <v>5</v>
      </c>
      <c r="F8421">
        <v>2379</v>
      </c>
      <c r="G8421">
        <v>5</v>
      </c>
      <c r="H8421">
        <v>3</v>
      </c>
      <c r="I8421">
        <v>1970</v>
      </c>
      <c r="J8421">
        <v>0</v>
      </c>
      <c r="K8421">
        <v>1</v>
      </c>
      <c r="L8421">
        <v>1</v>
      </c>
      <c r="M8421">
        <v>14</v>
      </c>
      <c r="N8421" t="s">
        <v>26</v>
      </c>
      <c r="O8421" t="s">
        <v>27</v>
      </c>
      <c r="P8421">
        <v>6.7028510057882604</v>
      </c>
      <c r="Q8421">
        <v>2.1788177128819401</v>
      </c>
      <c r="R8421">
        <v>3.7578909471011102</v>
      </c>
      <c r="S8421">
        <v>2</v>
      </c>
      <c r="T8421">
        <v>64</v>
      </c>
      <c r="U8421">
        <v>854.62128906732505</v>
      </c>
      <c r="V8421">
        <v>5.8848255569567002E-3</v>
      </c>
      <c r="W8421">
        <v>2428410.3607610902</v>
      </c>
      <c r="X8421" t="s">
        <v>36</v>
      </c>
      <c r="Y8421">
        <f>1-865-627-2913</f>
        <v>-4404</v>
      </c>
    </row>
    <row r="8422" spans="1:25" x14ac:dyDescent="0.35">
      <c r="A8422">
        <v>39.847151328274101</v>
      </c>
      <c r="B8422">
        <v>-122.188189042915</v>
      </c>
      <c r="C8422" t="s">
        <v>34</v>
      </c>
      <c r="D8422">
        <v>44.499703535135701</v>
      </c>
      <c r="E8422">
        <v>2</v>
      </c>
      <c r="F8422">
        <v>4469</v>
      </c>
      <c r="G8422">
        <v>2</v>
      </c>
      <c r="H8422">
        <v>3</v>
      </c>
      <c r="I8422">
        <v>1970</v>
      </c>
      <c r="J8422">
        <v>0</v>
      </c>
      <c r="K8422">
        <v>1</v>
      </c>
      <c r="L8422">
        <v>0</v>
      </c>
      <c r="M8422">
        <v>3</v>
      </c>
      <c r="N8422" t="s">
        <v>35</v>
      </c>
      <c r="O8422" t="s">
        <v>30</v>
      </c>
      <c r="P8422">
        <v>9.0977017143894194</v>
      </c>
      <c r="Q8422">
        <v>2.1035912520024498</v>
      </c>
      <c r="R8422">
        <v>9.5904403872265007</v>
      </c>
      <c r="S8422">
        <v>148</v>
      </c>
      <c r="T8422">
        <v>46</v>
      </c>
      <c r="U8422">
        <v>867.36691412662105</v>
      </c>
      <c r="V8422">
        <v>6.7129111658088998E-4</v>
      </c>
      <c r="W8422">
        <v>4072202.5651985002</v>
      </c>
      <c r="X8422" t="s">
        <v>31</v>
      </c>
      <c r="Y8422">
        <f>1-439-619-6688</f>
        <v>-7745</v>
      </c>
    </row>
    <row r="8423" spans="1:25" x14ac:dyDescent="0.35">
      <c r="A8423">
        <v>40.130375976698197</v>
      </c>
      <c r="B8423">
        <v>-120.38276671252299</v>
      </c>
      <c r="C8423" t="s">
        <v>34</v>
      </c>
      <c r="D8423">
        <v>25.243550924940401</v>
      </c>
      <c r="E8423">
        <v>5</v>
      </c>
      <c r="F8423">
        <v>1989</v>
      </c>
      <c r="G8423">
        <v>1</v>
      </c>
      <c r="H8423">
        <v>3</v>
      </c>
      <c r="I8423">
        <v>1974</v>
      </c>
      <c r="J8423">
        <v>0</v>
      </c>
      <c r="K8423">
        <v>0</v>
      </c>
      <c r="L8423">
        <v>0</v>
      </c>
      <c r="M8423">
        <v>5</v>
      </c>
      <c r="N8423" t="s">
        <v>37</v>
      </c>
      <c r="O8423" t="s">
        <v>30</v>
      </c>
      <c r="P8423">
        <v>11.7450856887606</v>
      </c>
      <c r="Q8423">
        <v>2.2513210578921701</v>
      </c>
      <c r="R8423">
        <v>5.32140761558564</v>
      </c>
      <c r="S8423">
        <v>10</v>
      </c>
      <c r="T8423">
        <v>69</v>
      </c>
      <c r="U8423">
        <v>496.93135195550201</v>
      </c>
      <c r="V8423">
        <v>2.5138260432377999E-3</v>
      </c>
      <c r="W8423">
        <v>1109412.7116237399</v>
      </c>
      <c r="X8423" t="s">
        <v>42</v>
      </c>
      <c r="Y8423">
        <f>1-321-315-4558</f>
        <v>-5193</v>
      </c>
    </row>
    <row r="8424" spans="1:25" x14ac:dyDescent="0.35">
      <c r="A8424">
        <v>39.592734431885098</v>
      </c>
      <c r="B8424">
        <v>-119.296392475969</v>
      </c>
      <c r="C8424" t="s">
        <v>29</v>
      </c>
      <c r="D8424">
        <v>1.07915889315</v>
      </c>
      <c r="E8424">
        <v>0</v>
      </c>
      <c r="F8424">
        <v>4843</v>
      </c>
      <c r="G8424">
        <v>4</v>
      </c>
      <c r="H8424">
        <v>1</v>
      </c>
      <c r="I8424">
        <v>1963</v>
      </c>
      <c r="J8424">
        <v>0</v>
      </c>
      <c r="K8424">
        <v>1</v>
      </c>
      <c r="L8424">
        <v>0</v>
      </c>
      <c r="M8424">
        <v>9</v>
      </c>
      <c r="N8424" t="s">
        <v>26</v>
      </c>
      <c r="O8424" t="s">
        <v>30</v>
      </c>
      <c r="P8424">
        <v>3.6212009118354498</v>
      </c>
      <c r="Q8424">
        <v>2.4772501286220199</v>
      </c>
      <c r="R8424">
        <v>0.15570401290467201</v>
      </c>
      <c r="S8424">
        <v>181</v>
      </c>
      <c r="T8424">
        <v>52</v>
      </c>
      <c r="U8424">
        <v>328.13960337788899</v>
      </c>
      <c r="V8424">
        <v>1.8583522609952499E-3</v>
      </c>
      <c r="W8424">
        <v>1721200.36895969</v>
      </c>
      <c r="X8424" t="s">
        <v>33</v>
      </c>
      <c r="Y8424">
        <f>1-619-704-8381</f>
        <v>-9703</v>
      </c>
    </row>
    <row r="8425" spans="1:25" x14ac:dyDescent="0.35">
      <c r="A8425">
        <v>38.385011700314202</v>
      </c>
      <c r="B8425">
        <v>-123.442998197618</v>
      </c>
      <c r="C8425" t="s">
        <v>34</v>
      </c>
      <c r="D8425">
        <v>1.3102367245021</v>
      </c>
      <c r="E8425">
        <v>3</v>
      </c>
      <c r="F8425">
        <v>4359</v>
      </c>
      <c r="G8425">
        <v>3</v>
      </c>
      <c r="H8425">
        <v>2</v>
      </c>
      <c r="I8425">
        <v>2008</v>
      </c>
      <c r="J8425">
        <v>1</v>
      </c>
      <c r="K8425">
        <v>0</v>
      </c>
      <c r="L8425">
        <v>1</v>
      </c>
      <c r="M8425">
        <v>9</v>
      </c>
      <c r="N8425" t="s">
        <v>37</v>
      </c>
      <c r="O8425" t="s">
        <v>27</v>
      </c>
      <c r="P8425">
        <v>10.7752841189241</v>
      </c>
      <c r="Q8425">
        <v>0.66627615143452601</v>
      </c>
      <c r="R8425">
        <v>9.20738292824546</v>
      </c>
      <c r="S8425">
        <v>104</v>
      </c>
      <c r="T8425">
        <v>54</v>
      </c>
      <c r="U8425">
        <v>772.91708743167703</v>
      </c>
      <c r="V8425">
        <v>2.0646937370956599E-3</v>
      </c>
      <c r="W8425">
        <v>3715657.2362250001</v>
      </c>
      <c r="X8425" t="s">
        <v>44</v>
      </c>
      <c r="Y8425">
        <f>1-393-983-7808</f>
        <v>-9183</v>
      </c>
    </row>
    <row r="8426" spans="1:25" x14ac:dyDescent="0.35">
      <c r="A8426">
        <v>37.043452785617298</v>
      </c>
      <c r="B8426">
        <v>-120.129778988022</v>
      </c>
      <c r="C8426" t="s">
        <v>25</v>
      </c>
      <c r="D8426">
        <v>43.674456078081398</v>
      </c>
      <c r="E8426">
        <v>5</v>
      </c>
      <c r="F8426">
        <v>4059</v>
      </c>
      <c r="G8426">
        <v>3</v>
      </c>
      <c r="H8426">
        <v>2</v>
      </c>
      <c r="I8426">
        <v>1951</v>
      </c>
      <c r="J8426">
        <v>1</v>
      </c>
      <c r="K8426">
        <v>0</v>
      </c>
      <c r="L8426">
        <v>1</v>
      </c>
      <c r="M8426">
        <v>4</v>
      </c>
      <c r="N8426" t="s">
        <v>35</v>
      </c>
      <c r="O8426" t="s">
        <v>27</v>
      </c>
      <c r="P8426">
        <v>7.4846489490445398</v>
      </c>
      <c r="Q8426">
        <v>0.898508777710322</v>
      </c>
      <c r="R8426">
        <v>9.2304866292911107</v>
      </c>
      <c r="S8426">
        <v>171</v>
      </c>
      <c r="T8426">
        <v>73</v>
      </c>
      <c r="U8426">
        <v>413.52347337553601</v>
      </c>
      <c r="V8426">
        <v>9.8546440009854601E-4</v>
      </c>
      <c r="W8426">
        <v>1848080.3171673</v>
      </c>
      <c r="X8426" t="s">
        <v>38</v>
      </c>
      <c r="Y8426">
        <f>1-271-906-4784</f>
        <v>-5960</v>
      </c>
    </row>
    <row r="8427" spans="1:25" x14ac:dyDescent="0.35">
      <c r="A8427">
        <v>33.3869234764475</v>
      </c>
      <c r="B8427">
        <v>-119.128529195255</v>
      </c>
      <c r="C8427" t="s">
        <v>34</v>
      </c>
      <c r="D8427">
        <v>31.023014195734699</v>
      </c>
      <c r="E8427">
        <v>4</v>
      </c>
      <c r="F8427">
        <v>1705</v>
      </c>
      <c r="G8427">
        <v>5</v>
      </c>
      <c r="H8427">
        <v>2</v>
      </c>
      <c r="I8427">
        <v>2016</v>
      </c>
      <c r="J8427">
        <v>0</v>
      </c>
      <c r="K8427">
        <v>1</v>
      </c>
      <c r="L8427">
        <v>1</v>
      </c>
      <c r="M8427">
        <v>13</v>
      </c>
      <c r="N8427" t="s">
        <v>37</v>
      </c>
      <c r="O8427" t="s">
        <v>32</v>
      </c>
      <c r="P8427">
        <v>8.4434068289222797</v>
      </c>
      <c r="Q8427">
        <v>1.50579783685534</v>
      </c>
      <c r="R8427">
        <v>4.7845008831884099</v>
      </c>
      <c r="S8427">
        <v>59</v>
      </c>
      <c r="T8427">
        <v>36</v>
      </c>
      <c r="U8427">
        <v>326.02061231979098</v>
      </c>
      <c r="V8427">
        <v>7.6246334310850396E-3</v>
      </c>
      <c r="W8427">
        <v>992059.16283405805</v>
      </c>
      <c r="X8427" t="s">
        <v>38</v>
      </c>
      <c r="Y8427">
        <f>1-826-379-1886</f>
        <v>-3090</v>
      </c>
    </row>
    <row r="8428" spans="1:25" x14ac:dyDescent="0.35">
      <c r="A8428">
        <v>39.960754383027499</v>
      </c>
      <c r="B8428">
        <v>-119.446008605693</v>
      </c>
      <c r="C8428" t="s">
        <v>34</v>
      </c>
      <c r="D8428">
        <v>47.296711604024502</v>
      </c>
      <c r="E8428">
        <v>1</v>
      </c>
      <c r="F8428">
        <v>781</v>
      </c>
      <c r="G8428">
        <v>3</v>
      </c>
      <c r="H8428">
        <v>1</v>
      </c>
      <c r="I8428">
        <v>1972</v>
      </c>
      <c r="J8428">
        <v>0</v>
      </c>
      <c r="K8428">
        <v>1</v>
      </c>
      <c r="L8428">
        <v>1</v>
      </c>
      <c r="M8428">
        <v>5</v>
      </c>
      <c r="N8428" t="s">
        <v>35</v>
      </c>
      <c r="O8428" t="s">
        <v>27</v>
      </c>
      <c r="P8428">
        <v>10.4189326547811</v>
      </c>
      <c r="Q8428">
        <v>1.0646519685726801</v>
      </c>
      <c r="R8428">
        <v>2.3282005263138799</v>
      </c>
      <c r="S8428">
        <v>123</v>
      </c>
      <c r="T8428">
        <v>46</v>
      </c>
      <c r="U8428">
        <v>320.74903064805397</v>
      </c>
      <c r="V8428">
        <v>6.4020486555697803E-3</v>
      </c>
      <c r="W8428">
        <v>570386.34459763498</v>
      </c>
      <c r="X8428" t="s">
        <v>44</v>
      </c>
      <c r="Y8428">
        <f>1-745-874-4072</f>
        <v>-5690</v>
      </c>
    </row>
    <row r="8429" spans="1:25" x14ac:dyDescent="0.35">
      <c r="A8429">
        <v>39.015062370082497</v>
      </c>
      <c r="B8429">
        <v>-118.695527861483</v>
      </c>
      <c r="C8429" t="s">
        <v>29</v>
      </c>
      <c r="D8429">
        <v>37.892822086866403</v>
      </c>
      <c r="E8429">
        <v>4</v>
      </c>
      <c r="F8429">
        <v>1911</v>
      </c>
      <c r="G8429">
        <v>2</v>
      </c>
      <c r="H8429">
        <v>3</v>
      </c>
      <c r="I8429">
        <v>2014</v>
      </c>
      <c r="J8429">
        <v>0</v>
      </c>
      <c r="K8429">
        <v>1</v>
      </c>
      <c r="L8429">
        <v>0</v>
      </c>
      <c r="M8429">
        <v>10</v>
      </c>
      <c r="N8429" t="s">
        <v>41</v>
      </c>
      <c r="O8429" t="s">
        <v>32</v>
      </c>
      <c r="P8429">
        <v>12.8653613286571</v>
      </c>
      <c r="Q8429">
        <v>2.3504616520927999</v>
      </c>
      <c r="R8429">
        <v>8.8845662478922005</v>
      </c>
      <c r="S8429">
        <v>32</v>
      </c>
      <c r="T8429">
        <v>45</v>
      </c>
      <c r="U8429">
        <v>879.18640409095497</v>
      </c>
      <c r="V8429">
        <v>5.2328623757195098E-3</v>
      </c>
      <c r="W8429">
        <v>2061446.7382086299</v>
      </c>
      <c r="X8429" t="s">
        <v>39</v>
      </c>
      <c r="Y8429">
        <f>1-673-384-6040</f>
        <v>-7096</v>
      </c>
    </row>
    <row r="8430" spans="1:25" x14ac:dyDescent="0.35">
      <c r="A8430">
        <v>37.681885874600098</v>
      </c>
      <c r="B8430">
        <v>-120.94726854484701</v>
      </c>
      <c r="C8430" t="s">
        <v>29</v>
      </c>
      <c r="D8430">
        <v>30.403933821925499</v>
      </c>
      <c r="E8430">
        <v>9</v>
      </c>
      <c r="F8430">
        <v>2232</v>
      </c>
      <c r="G8430">
        <v>2</v>
      </c>
      <c r="H8430">
        <v>1</v>
      </c>
      <c r="I8430">
        <v>1982</v>
      </c>
      <c r="J8430">
        <v>1</v>
      </c>
      <c r="K8430">
        <v>1</v>
      </c>
      <c r="L8430">
        <v>1</v>
      </c>
      <c r="M8430">
        <v>4</v>
      </c>
      <c r="N8430" t="s">
        <v>41</v>
      </c>
      <c r="O8430" t="s">
        <v>30</v>
      </c>
      <c r="P8430">
        <v>2.5793911144695501</v>
      </c>
      <c r="Q8430">
        <v>2.2612088147924601</v>
      </c>
      <c r="R8430">
        <v>6.8108712302302603</v>
      </c>
      <c r="S8430">
        <v>126</v>
      </c>
      <c r="T8430">
        <v>60</v>
      </c>
      <c r="U8430">
        <v>520.048325999947</v>
      </c>
      <c r="V8430">
        <v>1.7921146953405001E-3</v>
      </c>
      <c r="W8430">
        <v>1310736.1752714301</v>
      </c>
      <c r="X8430" t="s">
        <v>33</v>
      </c>
      <c r="Y8430">
        <f>1-938-670-6690</f>
        <v>-8297</v>
      </c>
    </row>
    <row r="8431" spans="1:25" x14ac:dyDescent="0.35">
      <c r="A8431">
        <v>38.911671563314101</v>
      </c>
      <c r="B8431">
        <v>-117.23956497066899</v>
      </c>
      <c r="C8431" t="s">
        <v>29</v>
      </c>
      <c r="D8431">
        <v>17.0511416903677</v>
      </c>
      <c r="E8431">
        <v>0</v>
      </c>
      <c r="F8431">
        <v>1037</v>
      </c>
      <c r="G8431">
        <v>1</v>
      </c>
      <c r="H8431">
        <v>2</v>
      </c>
      <c r="I8431">
        <v>2012</v>
      </c>
      <c r="J8431">
        <v>0</v>
      </c>
      <c r="K8431">
        <v>0</v>
      </c>
      <c r="L8431">
        <v>1</v>
      </c>
      <c r="M8431">
        <v>4</v>
      </c>
      <c r="N8431" t="s">
        <v>26</v>
      </c>
      <c r="O8431" t="s">
        <v>30</v>
      </c>
      <c r="P8431">
        <v>3.66031659359491</v>
      </c>
      <c r="Q8431">
        <v>1.9033136989970301</v>
      </c>
      <c r="R8431">
        <v>1.19477002684435</v>
      </c>
      <c r="S8431">
        <v>49</v>
      </c>
      <c r="T8431">
        <v>54</v>
      </c>
      <c r="U8431">
        <v>234.15416276992201</v>
      </c>
      <c r="V8431">
        <v>3.8572806171648902E-3</v>
      </c>
      <c r="W8431">
        <v>323799.93023750099</v>
      </c>
      <c r="X8431" t="s">
        <v>42</v>
      </c>
      <c r="Y8431">
        <f>1-310-828-1557</f>
        <v>-2694</v>
      </c>
    </row>
    <row r="8432" spans="1:25" x14ac:dyDescent="0.35">
      <c r="A8432">
        <v>37.524277535129201</v>
      </c>
      <c r="B8432">
        <v>-116.208033638475</v>
      </c>
      <c r="C8432" t="s">
        <v>29</v>
      </c>
      <c r="D8432">
        <v>49.100441585165598</v>
      </c>
      <c r="E8432">
        <v>0</v>
      </c>
      <c r="F8432">
        <v>2280</v>
      </c>
      <c r="G8432">
        <v>1</v>
      </c>
      <c r="H8432">
        <v>2</v>
      </c>
      <c r="I8432">
        <v>1974</v>
      </c>
      <c r="J8432">
        <v>1</v>
      </c>
      <c r="K8432">
        <v>1</v>
      </c>
      <c r="L8432">
        <v>0</v>
      </c>
      <c r="M8432">
        <v>12</v>
      </c>
      <c r="N8432" t="s">
        <v>41</v>
      </c>
      <c r="O8432" t="s">
        <v>32</v>
      </c>
      <c r="P8432">
        <v>7.8742456797877596</v>
      </c>
      <c r="Q8432">
        <v>1.77443672431514</v>
      </c>
      <c r="R8432">
        <v>5.7100332612371698</v>
      </c>
      <c r="S8432">
        <v>134</v>
      </c>
      <c r="T8432">
        <v>39</v>
      </c>
      <c r="U8432">
        <v>513.49145690768796</v>
      </c>
      <c r="V8432">
        <v>5.2631578947368403E-3</v>
      </c>
      <c r="W8432">
        <v>1460696.12527682</v>
      </c>
      <c r="X8432" t="s">
        <v>42</v>
      </c>
      <c r="Y8432">
        <f>1-709-808-3915</f>
        <v>-5431</v>
      </c>
    </row>
    <row r="8433" spans="1:25" x14ac:dyDescent="0.35">
      <c r="A8433">
        <v>34.688045514076499</v>
      </c>
      <c r="B8433">
        <v>-124.17302817320299</v>
      </c>
      <c r="C8433" t="s">
        <v>25</v>
      </c>
      <c r="D8433">
        <v>38.917784326742598</v>
      </c>
      <c r="E8433">
        <v>4</v>
      </c>
      <c r="F8433">
        <v>1320</v>
      </c>
      <c r="G8433">
        <v>1</v>
      </c>
      <c r="H8433">
        <v>3</v>
      </c>
      <c r="I8433">
        <v>2004</v>
      </c>
      <c r="J8433">
        <v>0</v>
      </c>
      <c r="K8433">
        <v>0</v>
      </c>
      <c r="L8433">
        <v>0</v>
      </c>
      <c r="M8433">
        <v>11</v>
      </c>
      <c r="N8433" t="s">
        <v>37</v>
      </c>
      <c r="O8433" t="s">
        <v>30</v>
      </c>
      <c r="P8433">
        <v>5.0141638979696204</v>
      </c>
      <c r="Q8433">
        <v>2.0128315475887302</v>
      </c>
      <c r="R8433">
        <v>5.9706889679449704</v>
      </c>
      <c r="S8433">
        <v>25</v>
      </c>
      <c r="T8433">
        <v>50</v>
      </c>
      <c r="U8433">
        <v>745.87618112805205</v>
      </c>
      <c r="V8433">
        <v>8.3333333333333297E-3</v>
      </c>
      <c r="W8433">
        <v>1130688.62395247</v>
      </c>
      <c r="X8433" t="s">
        <v>33</v>
      </c>
      <c r="Y8433">
        <f>1-244-939-5556</f>
        <v>-6738</v>
      </c>
    </row>
    <row r="8434" spans="1:25" x14ac:dyDescent="0.35">
      <c r="A8434">
        <v>36.530107247901903</v>
      </c>
      <c r="B8434">
        <v>-123.294708255343</v>
      </c>
      <c r="C8434" t="s">
        <v>25</v>
      </c>
      <c r="D8434">
        <v>20.192600344051002</v>
      </c>
      <c r="E8434">
        <v>7</v>
      </c>
      <c r="F8434">
        <v>4302</v>
      </c>
      <c r="G8434">
        <v>3</v>
      </c>
      <c r="H8434">
        <v>2</v>
      </c>
      <c r="I8434">
        <v>2020</v>
      </c>
      <c r="J8434">
        <v>0</v>
      </c>
      <c r="K8434">
        <v>1</v>
      </c>
      <c r="L8434">
        <v>1</v>
      </c>
      <c r="M8434">
        <v>6</v>
      </c>
      <c r="N8434" t="s">
        <v>37</v>
      </c>
      <c r="O8434" t="s">
        <v>27</v>
      </c>
      <c r="P8434">
        <v>4.6924404419396097</v>
      </c>
      <c r="Q8434">
        <v>0.63154785922619305</v>
      </c>
      <c r="R8434">
        <v>7.0057572589893002</v>
      </c>
      <c r="S8434">
        <v>107</v>
      </c>
      <c r="T8434">
        <v>43</v>
      </c>
      <c r="U8434">
        <v>287.798185100377</v>
      </c>
      <c r="V8434">
        <v>1.39470013947001E-3</v>
      </c>
      <c r="W8434">
        <v>1562846.29916226</v>
      </c>
      <c r="X8434" t="s">
        <v>31</v>
      </c>
      <c r="Y8434">
        <f>1-568-192-9388</f>
        <v>-10147</v>
      </c>
    </row>
    <row r="8435" spans="1:25" x14ac:dyDescent="0.35">
      <c r="A8435">
        <v>35.4273300321844</v>
      </c>
      <c r="B8435">
        <v>-115.538490931076</v>
      </c>
      <c r="C8435" t="s">
        <v>25</v>
      </c>
      <c r="D8435">
        <v>29.043375357570401</v>
      </c>
      <c r="E8435">
        <v>9</v>
      </c>
      <c r="F8435">
        <v>3688</v>
      </c>
      <c r="G8435">
        <v>4</v>
      </c>
      <c r="H8435">
        <v>2</v>
      </c>
      <c r="I8435">
        <v>1976</v>
      </c>
      <c r="J8435">
        <v>1</v>
      </c>
      <c r="K8435">
        <v>1</v>
      </c>
      <c r="L8435">
        <v>0</v>
      </c>
      <c r="M8435">
        <v>7</v>
      </c>
      <c r="N8435" t="s">
        <v>37</v>
      </c>
      <c r="O8435" t="s">
        <v>27</v>
      </c>
      <c r="P8435">
        <v>7.7304542899645403</v>
      </c>
      <c r="Q8435">
        <v>0.599308388177618</v>
      </c>
      <c r="R8435">
        <v>8.1388292829440001</v>
      </c>
      <c r="S8435">
        <v>96</v>
      </c>
      <c r="T8435">
        <v>33</v>
      </c>
      <c r="U8435">
        <v>683.29520224555199</v>
      </c>
      <c r="V8435">
        <v>1.89804772234273E-3</v>
      </c>
      <c r="W8435">
        <v>2967639.9021726898</v>
      </c>
      <c r="X8435" t="s">
        <v>36</v>
      </c>
      <c r="Y8435">
        <f>1-380-100-8194</f>
        <v>-8673</v>
      </c>
    </row>
    <row r="8436" spans="1:25" x14ac:dyDescent="0.35">
      <c r="A8436">
        <v>40.9599910510412</v>
      </c>
      <c r="B8436">
        <v>-114.77121427895401</v>
      </c>
      <c r="C8436" t="s">
        <v>34</v>
      </c>
      <c r="D8436">
        <v>3.2412326973085301</v>
      </c>
      <c r="E8436">
        <v>6</v>
      </c>
      <c r="F8436">
        <v>4293</v>
      </c>
      <c r="G8436">
        <v>5</v>
      </c>
      <c r="H8436">
        <v>2</v>
      </c>
      <c r="I8436">
        <v>2010</v>
      </c>
      <c r="J8436">
        <v>1</v>
      </c>
      <c r="K8436">
        <v>0</v>
      </c>
      <c r="L8436">
        <v>0</v>
      </c>
      <c r="M8436">
        <v>6</v>
      </c>
      <c r="N8436" t="s">
        <v>26</v>
      </c>
      <c r="O8436" t="s">
        <v>32</v>
      </c>
      <c r="P8436">
        <v>14.4478752759644</v>
      </c>
      <c r="Q8436">
        <v>1.3855544482204301</v>
      </c>
      <c r="R8436">
        <v>5.0468116356835697</v>
      </c>
      <c r="S8436">
        <v>71</v>
      </c>
      <c r="T8436">
        <v>57</v>
      </c>
      <c r="U8436">
        <v>541.97233914654998</v>
      </c>
      <c r="V8436">
        <v>1.39762403913347E-3</v>
      </c>
      <c r="W8436">
        <v>2732136.84664287</v>
      </c>
      <c r="X8436" t="s">
        <v>44</v>
      </c>
      <c r="Y8436">
        <f>1-545-658-6507</f>
        <v>-7709</v>
      </c>
    </row>
    <row r="8437" spans="1:25" x14ac:dyDescent="0.35">
      <c r="A8437">
        <v>33.106884714859902</v>
      </c>
      <c r="B8437">
        <v>-118.533053762336</v>
      </c>
      <c r="C8437" t="s">
        <v>34</v>
      </c>
      <c r="D8437">
        <v>10.682174554024099</v>
      </c>
      <c r="E8437">
        <v>4</v>
      </c>
      <c r="F8437">
        <v>2539</v>
      </c>
      <c r="G8437">
        <v>3</v>
      </c>
      <c r="H8437">
        <v>1</v>
      </c>
      <c r="I8437">
        <v>1975</v>
      </c>
      <c r="J8437">
        <v>0</v>
      </c>
      <c r="K8437">
        <v>1</v>
      </c>
      <c r="L8437">
        <v>0</v>
      </c>
      <c r="M8437">
        <v>3</v>
      </c>
      <c r="N8437" t="s">
        <v>41</v>
      </c>
      <c r="O8437" t="s">
        <v>27</v>
      </c>
      <c r="P8437">
        <v>10.415802413090599</v>
      </c>
      <c r="Q8437">
        <v>1.6683399326189301</v>
      </c>
      <c r="R8437">
        <v>3.6491580395261498</v>
      </c>
      <c r="S8437">
        <v>91</v>
      </c>
      <c r="T8437">
        <v>59</v>
      </c>
      <c r="U8437">
        <v>880.85543160230702</v>
      </c>
      <c r="V8437">
        <v>1.18156754627806E-3</v>
      </c>
      <c r="W8437">
        <v>2527949.1498900801</v>
      </c>
      <c r="X8437" t="s">
        <v>39</v>
      </c>
      <c r="Y8437">
        <f>1-514-956-8138</f>
        <v>-9607</v>
      </c>
    </row>
    <row r="8438" spans="1:25" x14ac:dyDescent="0.35">
      <c r="A8438">
        <v>40.2566671023014</v>
      </c>
      <c r="B8438">
        <v>-122.723314810597</v>
      </c>
      <c r="C8438" t="s">
        <v>29</v>
      </c>
      <c r="D8438">
        <v>23.660416318126401</v>
      </c>
      <c r="E8438">
        <v>3</v>
      </c>
      <c r="F8438">
        <v>4213</v>
      </c>
      <c r="G8438">
        <v>2</v>
      </c>
      <c r="H8438">
        <v>3</v>
      </c>
      <c r="I8438">
        <v>1996</v>
      </c>
      <c r="J8438">
        <v>1</v>
      </c>
      <c r="K8438">
        <v>1</v>
      </c>
      <c r="L8438">
        <v>1</v>
      </c>
      <c r="M8438">
        <v>5</v>
      </c>
      <c r="N8438" t="s">
        <v>41</v>
      </c>
      <c r="O8438" t="s">
        <v>30</v>
      </c>
      <c r="P8438">
        <v>7.5827004131492597</v>
      </c>
      <c r="Q8438">
        <v>2.2655780615006398</v>
      </c>
      <c r="R8438">
        <v>1.08580140689766</v>
      </c>
      <c r="S8438">
        <v>148</v>
      </c>
      <c r="T8438">
        <v>32</v>
      </c>
      <c r="U8438">
        <v>254.91675369195599</v>
      </c>
      <c r="V8438">
        <v>1.18680275338238E-3</v>
      </c>
      <c r="W8438">
        <v>1481874.6380473301</v>
      </c>
      <c r="X8438" t="s">
        <v>40</v>
      </c>
      <c r="Y8438">
        <f>1-341-272-3777</f>
        <v>-4389</v>
      </c>
    </row>
    <row r="8439" spans="1:25" x14ac:dyDescent="0.35">
      <c r="A8439">
        <v>39.5711746026805</v>
      </c>
      <c r="B8439">
        <v>-120.07331391667699</v>
      </c>
      <c r="C8439" t="s">
        <v>34</v>
      </c>
      <c r="D8439">
        <v>26.113508787257501</v>
      </c>
      <c r="E8439">
        <v>5</v>
      </c>
      <c r="F8439">
        <v>1487</v>
      </c>
      <c r="G8439">
        <v>2</v>
      </c>
      <c r="H8439">
        <v>1</v>
      </c>
      <c r="I8439">
        <v>2000</v>
      </c>
      <c r="J8439">
        <v>0</v>
      </c>
      <c r="K8439">
        <v>1</v>
      </c>
      <c r="L8439">
        <v>0</v>
      </c>
      <c r="M8439">
        <v>8</v>
      </c>
      <c r="N8439" t="s">
        <v>37</v>
      </c>
      <c r="O8439" t="s">
        <v>27</v>
      </c>
      <c r="P8439">
        <v>10.4690198706893</v>
      </c>
      <c r="Q8439">
        <v>0.66729492391548095</v>
      </c>
      <c r="R8439">
        <v>4.95968973999961</v>
      </c>
      <c r="S8439">
        <v>114</v>
      </c>
      <c r="T8439">
        <v>26</v>
      </c>
      <c r="U8439">
        <v>798.30618147221003</v>
      </c>
      <c r="V8439">
        <v>5.37995965030262E-3</v>
      </c>
      <c r="W8439">
        <v>1463544.2726457601</v>
      </c>
      <c r="X8439" t="s">
        <v>38</v>
      </c>
      <c r="Y8439">
        <f>1-737-322-8648</f>
        <v>-9706</v>
      </c>
    </row>
    <row r="8440" spans="1:25" x14ac:dyDescent="0.35">
      <c r="A8440">
        <v>40.650851218766</v>
      </c>
      <c r="B8440">
        <v>-124.00846279824501</v>
      </c>
      <c r="C8440" t="s">
        <v>34</v>
      </c>
      <c r="D8440">
        <v>3.3275289202531599</v>
      </c>
      <c r="E8440">
        <v>6</v>
      </c>
      <c r="F8440">
        <v>3887</v>
      </c>
      <c r="G8440">
        <v>2</v>
      </c>
      <c r="H8440">
        <v>2</v>
      </c>
      <c r="I8440">
        <v>1969</v>
      </c>
      <c r="J8440">
        <v>0</v>
      </c>
      <c r="K8440">
        <v>0</v>
      </c>
      <c r="L8440">
        <v>1</v>
      </c>
      <c r="M8440">
        <v>7</v>
      </c>
      <c r="N8440" t="s">
        <v>37</v>
      </c>
      <c r="O8440" t="s">
        <v>30</v>
      </c>
      <c r="P8440">
        <v>3.5130420118568</v>
      </c>
      <c r="Q8440">
        <v>1.75596792117544</v>
      </c>
      <c r="R8440">
        <v>9.1010244102596793</v>
      </c>
      <c r="S8440">
        <v>73</v>
      </c>
      <c r="T8440">
        <v>41</v>
      </c>
      <c r="U8440">
        <v>328.29346907510899</v>
      </c>
      <c r="V8440">
        <v>1.8008747105737E-3</v>
      </c>
      <c r="W8440">
        <v>1377512.7463237999</v>
      </c>
      <c r="X8440" t="s">
        <v>40</v>
      </c>
      <c r="Y8440">
        <f>1-270-777-6689</f>
        <v>-7735</v>
      </c>
    </row>
    <row r="8441" spans="1:25" x14ac:dyDescent="0.35">
      <c r="A8441">
        <v>39.333196907074402</v>
      </c>
      <c r="B8441">
        <v>-122.04120366570901</v>
      </c>
      <c r="C8441" t="s">
        <v>34</v>
      </c>
      <c r="D8441">
        <v>26.432337389707499</v>
      </c>
      <c r="E8441">
        <v>8</v>
      </c>
      <c r="F8441">
        <v>2901</v>
      </c>
      <c r="G8441">
        <v>5</v>
      </c>
      <c r="H8441">
        <v>1</v>
      </c>
      <c r="I8441">
        <v>1951</v>
      </c>
      <c r="J8441">
        <v>0</v>
      </c>
      <c r="K8441">
        <v>0</v>
      </c>
      <c r="L8441">
        <v>1</v>
      </c>
      <c r="M8441">
        <v>3</v>
      </c>
      <c r="N8441" t="s">
        <v>41</v>
      </c>
      <c r="O8441" t="s">
        <v>30</v>
      </c>
      <c r="P8441">
        <v>13.222990636108801</v>
      </c>
      <c r="Q8441">
        <v>1.50973356721395</v>
      </c>
      <c r="R8441">
        <v>2.2383896086684798</v>
      </c>
      <c r="S8441">
        <v>195</v>
      </c>
      <c r="T8441">
        <v>42</v>
      </c>
      <c r="U8441">
        <v>279.39134334304799</v>
      </c>
      <c r="V8441">
        <v>1.03412616339193E-3</v>
      </c>
      <c r="W8441">
        <v>1097297.92109872</v>
      </c>
      <c r="X8441" t="s">
        <v>42</v>
      </c>
      <c r="Y8441">
        <f>1-894-110-3693</f>
        <v>-4696</v>
      </c>
    </row>
    <row r="8442" spans="1:25" x14ac:dyDescent="0.35">
      <c r="A8442">
        <v>38.255289778053701</v>
      </c>
      <c r="B8442">
        <v>-118.32824956002599</v>
      </c>
      <c r="C8442" t="s">
        <v>29</v>
      </c>
      <c r="D8442">
        <v>40.584850621918903</v>
      </c>
      <c r="E8442">
        <v>4</v>
      </c>
      <c r="F8442">
        <v>4020</v>
      </c>
      <c r="G8442">
        <v>1</v>
      </c>
      <c r="H8442">
        <v>3</v>
      </c>
      <c r="I8442">
        <v>1971</v>
      </c>
      <c r="J8442">
        <v>0</v>
      </c>
      <c r="K8442">
        <v>1</v>
      </c>
      <c r="L8442">
        <v>1</v>
      </c>
      <c r="M8442">
        <v>9</v>
      </c>
      <c r="N8442" t="s">
        <v>35</v>
      </c>
      <c r="O8442" t="s">
        <v>30</v>
      </c>
      <c r="P8442">
        <v>12.2217877821653</v>
      </c>
      <c r="Q8442">
        <v>0.96377655391278005</v>
      </c>
      <c r="R8442">
        <v>4.7041674697825897</v>
      </c>
      <c r="S8442">
        <v>97</v>
      </c>
      <c r="T8442">
        <v>32</v>
      </c>
      <c r="U8442">
        <v>856.74325901365501</v>
      </c>
      <c r="V8442">
        <v>2.23880597014925E-3</v>
      </c>
      <c r="W8442">
        <v>3673421.75195916</v>
      </c>
      <c r="X8442" t="s">
        <v>28</v>
      </c>
      <c r="Y8442">
        <f>1-925-188-1549</f>
        <v>-2661</v>
      </c>
    </row>
    <row r="8443" spans="1:25" x14ac:dyDescent="0.35">
      <c r="A8443">
        <v>36.679757744585203</v>
      </c>
      <c r="B8443">
        <v>-118.040968455412</v>
      </c>
      <c r="C8443" t="s">
        <v>29</v>
      </c>
      <c r="D8443">
        <v>39.540028347020097</v>
      </c>
      <c r="E8443">
        <v>9</v>
      </c>
      <c r="F8443">
        <v>3108</v>
      </c>
      <c r="G8443">
        <v>3</v>
      </c>
      <c r="H8443">
        <v>2</v>
      </c>
      <c r="I8443">
        <v>1972</v>
      </c>
      <c r="J8443">
        <v>0</v>
      </c>
      <c r="K8443">
        <v>1</v>
      </c>
      <c r="L8443">
        <v>1</v>
      </c>
      <c r="M8443">
        <v>2</v>
      </c>
      <c r="N8443" t="s">
        <v>26</v>
      </c>
      <c r="O8443" t="s">
        <v>30</v>
      </c>
      <c r="P8443">
        <v>13.264754751625899</v>
      </c>
      <c r="Q8443">
        <v>2.1855606786187498</v>
      </c>
      <c r="R8443">
        <v>3.1180374520145802</v>
      </c>
      <c r="S8443">
        <v>84</v>
      </c>
      <c r="T8443">
        <v>32</v>
      </c>
      <c r="U8443">
        <v>814.25955843920701</v>
      </c>
      <c r="V8443">
        <v>6.4350064350064305E-4</v>
      </c>
      <c r="W8443">
        <v>2885391.5724319099</v>
      </c>
      <c r="X8443" t="s">
        <v>40</v>
      </c>
      <c r="Y8443">
        <f>1-952-972-6262</f>
        <v>-8185</v>
      </c>
    </row>
    <row r="8444" spans="1:25" x14ac:dyDescent="0.35">
      <c r="A8444">
        <v>36.936420225079502</v>
      </c>
      <c r="B8444">
        <v>-120.854440191796</v>
      </c>
      <c r="C8444" t="s">
        <v>34</v>
      </c>
      <c r="D8444">
        <v>21.193313859494701</v>
      </c>
      <c r="E8444">
        <v>2</v>
      </c>
      <c r="F8444">
        <v>2057</v>
      </c>
      <c r="G8444">
        <v>2</v>
      </c>
      <c r="H8444">
        <v>2</v>
      </c>
      <c r="I8444">
        <v>1956</v>
      </c>
      <c r="J8444">
        <v>1</v>
      </c>
      <c r="K8444">
        <v>1</v>
      </c>
      <c r="L8444">
        <v>0</v>
      </c>
      <c r="M8444">
        <v>5</v>
      </c>
      <c r="N8444" t="s">
        <v>26</v>
      </c>
      <c r="O8444" t="s">
        <v>32</v>
      </c>
      <c r="P8444">
        <v>9.3101217489616204</v>
      </c>
      <c r="Q8444">
        <v>0.60831867621074398</v>
      </c>
      <c r="R8444">
        <v>0.34135539333530002</v>
      </c>
      <c r="S8444">
        <v>12</v>
      </c>
      <c r="T8444">
        <v>30</v>
      </c>
      <c r="U8444">
        <v>650.45349589916304</v>
      </c>
      <c r="V8444">
        <v>2.4307243558580401E-3</v>
      </c>
      <c r="W8444">
        <v>1659848.76970792</v>
      </c>
      <c r="X8444" t="s">
        <v>38</v>
      </c>
      <c r="Y8444">
        <f>1-228-428-5531</f>
        <v>-6186</v>
      </c>
    </row>
    <row r="8445" spans="1:25" x14ac:dyDescent="0.35">
      <c r="A8445">
        <v>32.615485417182398</v>
      </c>
      <c r="B8445">
        <v>-118.130514257081</v>
      </c>
      <c r="C8445" t="s">
        <v>29</v>
      </c>
      <c r="D8445">
        <v>7.2167538384633296</v>
      </c>
      <c r="E8445">
        <v>4</v>
      </c>
      <c r="F8445">
        <v>1842</v>
      </c>
      <c r="G8445">
        <v>3</v>
      </c>
      <c r="H8445">
        <v>3</v>
      </c>
      <c r="I8445">
        <v>2002</v>
      </c>
      <c r="J8445">
        <v>0</v>
      </c>
      <c r="K8445">
        <v>1</v>
      </c>
      <c r="L8445">
        <v>0</v>
      </c>
      <c r="M8445">
        <v>10</v>
      </c>
      <c r="N8445" t="s">
        <v>37</v>
      </c>
      <c r="O8445" t="s">
        <v>30</v>
      </c>
      <c r="P8445">
        <v>12.7177347419047</v>
      </c>
      <c r="Q8445">
        <v>0.53610007582860897</v>
      </c>
      <c r="R8445">
        <v>0.90485280076706598</v>
      </c>
      <c r="S8445">
        <v>58</v>
      </c>
      <c r="T8445">
        <v>68</v>
      </c>
      <c r="U8445">
        <v>991.26069076463295</v>
      </c>
      <c r="V8445">
        <v>5.4288816503800198E-3</v>
      </c>
      <c r="W8445">
        <v>2198319.92127827</v>
      </c>
      <c r="X8445" t="s">
        <v>42</v>
      </c>
      <c r="Y8445">
        <f>1-364-973-8635</f>
        <v>-9971</v>
      </c>
    </row>
    <row r="8446" spans="1:25" x14ac:dyDescent="0.35">
      <c r="A8446">
        <v>36.778585944785597</v>
      </c>
      <c r="B8446">
        <v>-124.20932086236201</v>
      </c>
      <c r="C8446" t="s">
        <v>34</v>
      </c>
      <c r="D8446">
        <v>22.1690960227366</v>
      </c>
      <c r="E8446">
        <v>4</v>
      </c>
      <c r="F8446">
        <v>1694</v>
      </c>
      <c r="G8446">
        <v>1</v>
      </c>
      <c r="H8446">
        <v>1</v>
      </c>
      <c r="I8446">
        <v>2000</v>
      </c>
      <c r="J8446">
        <v>1</v>
      </c>
      <c r="K8446">
        <v>0</v>
      </c>
      <c r="L8446">
        <v>0</v>
      </c>
      <c r="M8446">
        <v>3</v>
      </c>
      <c r="N8446" t="s">
        <v>35</v>
      </c>
      <c r="O8446" t="s">
        <v>32</v>
      </c>
      <c r="P8446">
        <v>6.3995806576052496</v>
      </c>
      <c r="Q8446">
        <v>1.07569790292356</v>
      </c>
      <c r="R8446">
        <v>1.95078789649866</v>
      </c>
      <c r="S8446">
        <v>12</v>
      </c>
      <c r="T8446">
        <v>44</v>
      </c>
      <c r="U8446">
        <v>547.34330359869705</v>
      </c>
      <c r="V8446">
        <v>1.7709563164108599E-3</v>
      </c>
      <c r="W8446">
        <v>1045167.90146432</v>
      </c>
      <c r="X8446" t="s">
        <v>36</v>
      </c>
      <c r="Y8446">
        <f>1-502-723-1727</f>
        <v>-2951</v>
      </c>
    </row>
    <row r="8447" spans="1:25" x14ac:dyDescent="0.35">
      <c r="A8447">
        <v>39.072200639323498</v>
      </c>
      <c r="B8447">
        <v>-118.26095571263799</v>
      </c>
      <c r="C8447" t="s">
        <v>25</v>
      </c>
      <c r="D8447">
        <v>28.970665136460099</v>
      </c>
      <c r="E8447">
        <v>2</v>
      </c>
      <c r="F8447">
        <v>1882</v>
      </c>
      <c r="G8447">
        <v>2</v>
      </c>
      <c r="H8447">
        <v>2</v>
      </c>
      <c r="I8447">
        <v>1984</v>
      </c>
      <c r="J8447">
        <v>1</v>
      </c>
      <c r="K8447">
        <v>1</v>
      </c>
      <c r="L8447">
        <v>0</v>
      </c>
      <c r="M8447">
        <v>9</v>
      </c>
      <c r="N8447" t="s">
        <v>37</v>
      </c>
      <c r="O8447" t="s">
        <v>27</v>
      </c>
      <c r="P8447">
        <v>10.3044563980263</v>
      </c>
      <c r="Q8447">
        <v>0.81327269790964796</v>
      </c>
      <c r="R8447">
        <v>9.7610476249015701</v>
      </c>
      <c r="S8447">
        <v>71</v>
      </c>
      <c r="T8447">
        <v>76</v>
      </c>
      <c r="U8447">
        <v>361.03647538725397</v>
      </c>
      <c r="V8447">
        <v>4.7821466524973402E-3</v>
      </c>
      <c r="W8447">
        <v>955534.61074479902</v>
      </c>
      <c r="X8447" t="s">
        <v>38</v>
      </c>
      <c r="Y8447">
        <f>1-939-833-4828</f>
        <v>-6599</v>
      </c>
    </row>
    <row r="8448" spans="1:25" x14ac:dyDescent="0.35">
      <c r="A8448">
        <v>36.319135297743003</v>
      </c>
      <c r="B8448">
        <v>-118.214998343232</v>
      </c>
      <c r="C8448" t="s">
        <v>25</v>
      </c>
      <c r="D8448">
        <v>31.383551422486899</v>
      </c>
      <c r="E8448">
        <v>0</v>
      </c>
      <c r="F8448">
        <v>1311</v>
      </c>
      <c r="G8448">
        <v>3</v>
      </c>
      <c r="H8448">
        <v>1</v>
      </c>
      <c r="I8448">
        <v>1986</v>
      </c>
      <c r="J8448">
        <v>0</v>
      </c>
      <c r="K8448">
        <v>1</v>
      </c>
      <c r="L8448">
        <v>0</v>
      </c>
      <c r="M8448">
        <v>13</v>
      </c>
      <c r="N8448" t="s">
        <v>41</v>
      </c>
      <c r="O8448" t="s">
        <v>27</v>
      </c>
      <c r="P8448">
        <v>6.1660594375318398</v>
      </c>
      <c r="Q8448">
        <v>1.9225568451367301</v>
      </c>
      <c r="R8448">
        <v>6.9176313132022802</v>
      </c>
      <c r="S8448">
        <v>160</v>
      </c>
      <c r="T8448">
        <v>36</v>
      </c>
      <c r="U8448">
        <v>719.98058048799203</v>
      </c>
      <c r="V8448">
        <v>9.9160945842867998E-3</v>
      </c>
      <c r="W8448">
        <v>1192669.6089772601</v>
      </c>
      <c r="X8448" t="s">
        <v>40</v>
      </c>
      <c r="Y8448">
        <f>1-990-849-9343</f>
        <v>-11181</v>
      </c>
    </row>
    <row r="8449" spans="1:25" x14ac:dyDescent="0.35">
      <c r="A8449">
        <v>36.497092927333199</v>
      </c>
      <c r="B8449">
        <v>-116.113904264026</v>
      </c>
      <c r="C8449" t="s">
        <v>29</v>
      </c>
      <c r="D8449">
        <v>44.267041571247603</v>
      </c>
      <c r="E8449">
        <v>4</v>
      </c>
      <c r="F8449">
        <v>2881</v>
      </c>
      <c r="G8449">
        <v>2</v>
      </c>
      <c r="H8449">
        <v>2</v>
      </c>
      <c r="I8449">
        <v>1967</v>
      </c>
      <c r="J8449">
        <v>1</v>
      </c>
      <c r="K8449">
        <v>0</v>
      </c>
      <c r="L8449">
        <v>1</v>
      </c>
      <c r="M8449">
        <v>4</v>
      </c>
      <c r="N8449" t="s">
        <v>26</v>
      </c>
      <c r="O8449" t="s">
        <v>27</v>
      </c>
      <c r="P8449">
        <v>2.3668091481992901</v>
      </c>
      <c r="Q8449">
        <v>1.1352431150939299</v>
      </c>
      <c r="R8449">
        <v>2.8386841153006599</v>
      </c>
      <c r="S8449">
        <v>67</v>
      </c>
      <c r="T8449">
        <v>33</v>
      </c>
      <c r="U8449">
        <v>714.45124502614499</v>
      </c>
      <c r="V8449">
        <v>1.38840680319333E-3</v>
      </c>
      <c r="W8449">
        <v>2184195.2310473002</v>
      </c>
      <c r="X8449" t="s">
        <v>31</v>
      </c>
      <c r="Y8449">
        <f>1-618-731-2794</f>
        <v>-4142</v>
      </c>
    </row>
    <row r="8450" spans="1:25" x14ac:dyDescent="0.35">
      <c r="A8450">
        <v>33.164731771421799</v>
      </c>
      <c r="B8450">
        <v>-118.86627971592399</v>
      </c>
      <c r="C8450" t="s">
        <v>34</v>
      </c>
      <c r="D8450">
        <v>20.541298780065699</v>
      </c>
      <c r="E8450">
        <v>8</v>
      </c>
      <c r="F8450">
        <v>4385</v>
      </c>
      <c r="G8450">
        <v>3</v>
      </c>
      <c r="H8450">
        <v>3</v>
      </c>
      <c r="I8450">
        <v>2009</v>
      </c>
      <c r="J8450">
        <v>0</v>
      </c>
      <c r="K8450">
        <v>0</v>
      </c>
      <c r="L8450">
        <v>0</v>
      </c>
      <c r="M8450">
        <v>8</v>
      </c>
      <c r="N8450" t="s">
        <v>41</v>
      </c>
      <c r="O8450" t="s">
        <v>32</v>
      </c>
      <c r="P8450">
        <v>14.005190917783599</v>
      </c>
      <c r="Q8450">
        <v>2.0345825252193901</v>
      </c>
      <c r="R8450">
        <v>2.8220010580674999</v>
      </c>
      <c r="S8450">
        <v>168</v>
      </c>
      <c r="T8450">
        <v>58</v>
      </c>
      <c r="U8450">
        <v>560.83579932299494</v>
      </c>
      <c r="V8450">
        <v>1.8244013683010199E-3</v>
      </c>
      <c r="W8450">
        <v>2718423.5234718099</v>
      </c>
      <c r="X8450" t="s">
        <v>31</v>
      </c>
      <c r="Y8450">
        <f>1-731-323-1118</f>
        <v>-2171</v>
      </c>
    </row>
    <row r="8451" spans="1:25" x14ac:dyDescent="0.35">
      <c r="A8451">
        <v>34.076576745091401</v>
      </c>
      <c r="B8451">
        <v>-116.63396281534099</v>
      </c>
      <c r="C8451" t="s">
        <v>25</v>
      </c>
      <c r="D8451">
        <v>45.281348287905097</v>
      </c>
      <c r="E8451">
        <v>7</v>
      </c>
      <c r="F8451">
        <v>1341</v>
      </c>
      <c r="G8451">
        <v>5</v>
      </c>
      <c r="H8451">
        <v>3</v>
      </c>
      <c r="I8451">
        <v>1985</v>
      </c>
      <c r="J8451">
        <v>1</v>
      </c>
      <c r="K8451">
        <v>0</v>
      </c>
      <c r="L8451">
        <v>1</v>
      </c>
      <c r="M8451">
        <v>6</v>
      </c>
      <c r="N8451" t="s">
        <v>37</v>
      </c>
      <c r="O8451" t="s">
        <v>27</v>
      </c>
      <c r="P8451">
        <v>3.3665675074388099</v>
      </c>
      <c r="Q8451">
        <v>0.77723885859692499</v>
      </c>
      <c r="R8451">
        <v>8.6799020263482998</v>
      </c>
      <c r="S8451">
        <v>173</v>
      </c>
      <c r="T8451">
        <v>53</v>
      </c>
      <c r="U8451">
        <v>804.37644755521001</v>
      </c>
      <c r="V8451">
        <v>4.4742729306487599E-3</v>
      </c>
      <c r="W8451">
        <v>1370826.7783919801</v>
      </c>
      <c r="X8451" t="s">
        <v>44</v>
      </c>
      <c r="Y8451">
        <f>1-587-868-1068</f>
        <v>-2522</v>
      </c>
    </row>
    <row r="8452" spans="1:25" x14ac:dyDescent="0.35">
      <c r="A8452">
        <v>35.523469228929898</v>
      </c>
      <c r="B8452">
        <v>-124.309192693632</v>
      </c>
      <c r="C8452" t="s">
        <v>25</v>
      </c>
      <c r="D8452">
        <v>35.760327369334803</v>
      </c>
      <c r="E8452">
        <v>5</v>
      </c>
      <c r="F8452">
        <v>3836</v>
      </c>
      <c r="G8452">
        <v>1</v>
      </c>
      <c r="H8452">
        <v>2</v>
      </c>
      <c r="I8452">
        <v>1953</v>
      </c>
      <c r="J8452">
        <v>0</v>
      </c>
      <c r="K8452">
        <v>1</v>
      </c>
      <c r="L8452">
        <v>0</v>
      </c>
      <c r="M8452">
        <v>2</v>
      </c>
      <c r="N8452" t="s">
        <v>41</v>
      </c>
      <c r="O8452" t="s">
        <v>32</v>
      </c>
      <c r="P8452">
        <v>4.6124377303041202</v>
      </c>
      <c r="Q8452">
        <v>2.46854835096374</v>
      </c>
      <c r="R8452">
        <v>0.20607262057056699</v>
      </c>
      <c r="S8452">
        <v>103</v>
      </c>
      <c r="T8452">
        <v>39</v>
      </c>
      <c r="U8452">
        <v>400.49299092193502</v>
      </c>
      <c r="V8452">
        <v>5.2137643378519195E-4</v>
      </c>
      <c r="W8452">
        <v>1650237.8377002501</v>
      </c>
      <c r="X8452" t="s">
        <v>36</v>
      </c>
      <c r="Y8452">
        <f>1-505-867-7708</f>
        <v>-9079</v>
      </c>
    </row>
    <row r="8453" spans="1:25" x14ac:dyDescent="0.35">
      <c r="A8453">
        <v>33.187420743965802</v>
      </c>
      <c r="B8453">
        <v>-118.230764713662</v>
      </c>
      <c r="C8453" t="s">
        <v>25</v>
      </c>
      <c r="D8453">
        <v>46.417463608343198</v>
      </c>
      <c r="E8453">
        <v>3</v>
      </c>
      <c r="F8453">
        <v>3076</v>
      </c>
      <c r="G8453">
        <v>4</v>
      </c>
      <c r="H8453">
        <v>1</v>
      </c>
      <c r="I8453">
        <v>2022</v>
      </c>
      <c r="J8453">
        <v>0</v>
      </c>
      <c r="K8453">
        <v>1</v>
      </c>
      <c r="L8453">
        <v>0</v>
      </c>
      <c r="M8453">
        <v>4</v>
      </c>
      <c r="N8453" t="s">
        <v>26</v>
      </c>
      <c r="O8453" t="s">
        <v>32</v>
      </c>
      <c r="P8453">
        <v>12.2727873389018</v>
      </c>
      <c r="Q8453">
        <v>0.69970593898545996</v>
      </c>
      <c r="R8453">
        <v>3.8420941161519</v>
      </c>
      <c r="S8453">
        <v>142</v>
      </c>
      <c r="T8453">
        <v>77</v>
      </c>
      <c r="U8453">
        <v>565.14970040008302</v>
      </c>
      <c r="V8453">
        <v>1.3003901170351099E-3</v>
      </c>
      <c r="W8453">
        <v>2233343.7445860999</v>
      </c>
      <c r="X8453" t="s">
        <v>40</v>
      </c>
      <c r="Y8453">
        <f>1-824-894-9350</f>
        <v>-11067</v>
      </c>
    </row>
    <row r="8454" spans="1:25" x14ac:dyDescent="0.35">
      <c r="A8454">
        <v>37.536153867291802</v>
      </c>
      <c r="B8454">
        <v>-123.98185852898899</v>
      </c>
      <c r="C8454" t="s">
        <v>34</v>
      </c>
      <c r="D8454">
        <v>11.2315520528463</v>
      </c>
      <c r="E8454">
        <v>8</v>
      </c>
      <c r="F8454">
        <v>3009</v>
      </c>
      <c r="G8454">
        <v>1</v>
      </c>
      <c r="H8454">
        <v>3</v>
      </c>
      <c r="I8454">
        <v>1950</v>
      </c>
      <c r="J8454">
        <v>0</v>
      </c>
      <c r="K8454">
        <v>1</v>
      </c>
      <c r="L8454">
        <v>1</v>
      </c>
      <c r="M8454">
        <v>7</v>
      </c>
      <c r="N8454" t="s">
        <v>26</v>
      </c>
      <c r="O8454" t="s">
        <v>32</v>
      </c>
      <c r="P8454">
        <v>10.884410712464399</v>
      </c>
      <c r="Q8454">
        <v>0.61615590147458199</v>
      </c>
      <c r="R8454">
        <v>4.7251513676962498</v>
      </c>
      <c r="S8454">
        <v>81</v>
      </c>
      <c r="T8454">
        <v>61</v>
      </c>
      <c r="U8454">
        <v>741.48476933972302</v>
      </c>
      <c r="V8454">
        <v>2.32635427052176E-3</v>
      </c>
      <c r="W8454">
        <v>2413818.0855603302</v>
      </c>
      <c r="X8454" t="s">
        <v>43</v>
      </c>
      <c r="Y8454">
        <f>1-446-350-4100</f>
        <v>-4895</v>
      </c>
    </row>
    <row r="8455" spans="1:25" x14ac:dyDescent="0.35">
      <c r="A8455">
        <v>38.250318945622503</v>
      </c>
      <c r="B8455">
        <v>-120.442228804276</v>
      </c>
      <c r="C8455" t="s">
        <v>29</v>
      </c>
      <c r="D8455">
        <v>18.0180909429914</v>
      </c>
      <c r="E8455">
        <v>9</v>
      </c>
      <c r="F8455">
        <v>671</v>
      </c>
      <c r="G8455">
        <v>3</v>
      </c>
      <c r="H8455">
        <v>3</v>
      </c>
      <c r="I8455">
        <v>1961</v>
      </c>
      <c r="J8455">
        <v>1</v>
      </c>
      <c r="K8455">
        <v>0</v>
      </c>
      <c r="L8455">
        <v>1</v>
      </c>
      <c r="M8455">
        <v>9</v>
      </c>
      <c r="N8455" t="s">
        <v>26</v>
      </c>
      <c r="O8455" t="s">
        <v>30</v>
      </c>
      <c r="P8455">
        <v>7.6967286836194004</v>
      </c>
      <c r="Q8455">
        <v>1.2495195668113801</v>
      </c>
      <c r="R8455">
        <v>3.0051142561469102</v>
      </c>
      <c r="S8455">
        <v>24</v>
      </c>
      <c r="T8455">
        <v>62</v>
      </c>
      <c r="U8455">
        <v>248.95126013068099</v>
      </c>
      <c r="V8455">
        <v>1.34128166915052E-2</v>
      </c>
      <c r="W8455">
        <v>502900.50958739599</v>
      </c>
      <c r="X8455" t="s">
        <v>38</v>
      </c>
      <c r="Y8455">
        <f>1-915-489-1914</f>
        <v>-3317</v>
      </c>
    </row>
    <row r="8456" spans="1:25" x14ac:dyDescent="0.35">
      <c r="A8456">
        <v>38.431321756664701</v>
      </c>
      <c r="B8456">
        <v>-116.500776824423</v>
      </c>
      <c r="C8456" t="s">
        <v>29</v>
      </c>
      <c r="D8456">
        <v>17.736188320818901</v>
      </c>
      <c r="E8456">
        <v>9</v>
      </c>
      <c r="F8456">
        <v>1016</v>
      </c>
      <c r="G8456">
        <v>4</v>
      </c>
      <c r="H8456">
        <v>3</v>
      </c>
      <c r="I8456">
        <v>1991</v>
      </c>
      <c r="J8456">
        <v>0</v>
      </c>
      <c r="K8456">
        <v>0</v>
      </c>
      <c r="L8456">
        <v>0</v>
      </c>
      <c r="M8456">
        <v>7</v>
      </c>
      <c r="N8456" t="s">
        <v>26</v>
      </c>
      <c r="O8456" t="s">
        <v>30</v>
      </c>
      <c r="P8456">
        <v>3.3013636307433698</v>
      </c>
      <c r="Q8456">
        <v>1.93480734952561</v>
      </c>
      <c r="R8456">
        <v>5.0781227489254297</v>
      </c>
      <c r="S8456">
        <v>154</v>
      </c>
      <c r="T8456">
        <v>72</v>
      </c>
      <c r="U8456">
        <v>857.31200867339703</v>
      </c>
      <c r="V8456">
        <v>6.8897637795275503E-3</v>
      </c>
      <c r="W8456">
        <v>1084282.8420913899</v>
      </c>
      <c r="X8456" t="s">
        <v>31</v>
      </c>
      <c r="Y8456">
        <f>1-519-829-2158</f>
        <v>-3505</v>
      </c>
    </row>
    <row r="8457" spans="1:25" x14ac:dyDescent="0.35">
      <c r="A8457">
        <v>37.789916162326399</v>
      </c>
      <c r="B8457">
        <v>-117.69839677307399</v>
      </c>
      <c r="C8457" t="s">
        <v>29</v>
      </c>
      <c r="D8457">
        <v>11.752507739288999</v>
      </c>
      <c r="E8457">
        <v>6</v>
      </c>
      <c r="F8457">
        <v>4170</v>
      </c>
      <c r="G8457">
        <v>5</v>
      </c>
      <c r="H8457">
        <v>2</v>
      </c>
      <c r="I8457">
        <v>2002</v>
      </c>
      <c r="J8457">
        <v>0</v>
      </c>
      <c r="K8457">
        <v>0</v>
      </c>
      <c r="L8457">
        <v>1</v>
      </c>
      <c r="M8457">
        <v>12</v>
      </c>
      <c r="N8457" t="s">
        <v>37</v>
      </c>
      <c r="O8457" t="s">
        <v>27</v>
      </c>
      <c r="P8457">
        <v>2.97987811706105</v>
      </c>
      <c r="Q8457">
        <v>0.79279436869897102</v>
      </c>
      <c r="R8457">
        <v>0.44214848437973098</v>
      </c>
      <c r="S8457">
        <v>105</v>
      </c>
      <c r="T8457">
        <v>42</v>
      </c>
      <c r="U8457">
        <v>820.433868708094</v>
      </c>
      <c r="V8457">
        <v>2.8776978417266101E-3</v>
      </c>
      <c r="W8457">
        <v>3757992.5528682601</v>
      </c>
      <c r="X8457" t="s">
        <v>42</v>
      </c>
      <c r="Y8457">
        <f>1-893-234-3707</f>
        <v>-4833</v>
      </c>
    </row>
    <row r="8458" spans="1:25" x14ac:dyDescent="0.35">
      <c r="A8458">
        <v>38.499966248399403</v>
      </c>
      <c r="B8458">
        <v>-115.05022860134601</v>
      </c>
      <c r="C8458" t="s">
        <v>29</v>
      </c>
      <c r="D8458">
        <v>18.2811620593051</v>
      </c>
      <c r="E8458">
        <v>8</v>
      </c>
      <c r="F8458">
        <v>1674</v>
      </c>
      <c r="G8458">
        <v>3</v>
      </c>
      <c r="H8458">
        <v>2</v>
      </c>
      <c r="I8458">
        <v>1986</v>
      </c>
      <c r="J8458">
        <v>0</v>
      </c>
      <c r="K8458">
        <v>0</v>
      </c>
      <c r="L8458">
        <v>0</v>
      </c>
      <c r="M8458">
        <v>5</v>
      </c>
      <c r="N8458" t="s">
        <v>35</v>
      </c>
      <c r="O8458" t="s">
        <v>32</v>
      </c>
      <c r="P8458">
        <v>9.4489036947851908</v>
      </c>
      <c r="Q8458">
        <v>1.91342638362532</v>
      </c>
      <c r="R8458">
        <v>9.9850440998812893</v>
      </c>
      <c r="S8458">
        <v>125</v>
      </c>
      <c r="T8458">
        <v>71</v>
      </c>
      <c r="U8458">
        <v>306.66448629499899</v>
      </c>
      <c r="V8458">
        <v>2.9868578255675001E-3</v>
      </c>
      <c r="W8458">
        <v>730311.77988025604</v>
      </c>
      <c r="X8458" t="s">
        <v>44</v>
      </c>
      <c r="Y8458">
        <f>1-535-283-9173</f>
        <v>-9990</v>
      </c>
    </row>
    <row r="8459" spans="1:25" x14ac:dyDescent="0.35">
      <c r="A8459">
        <v>33.517261604186999</v>
      </c>
      <c r="B8459">
        <v>-115.76752745137</v>
      </c>
      <c r="C8459" t="s">
        <v>34</v>
      </c>
      <c r="D8459">
        <v>45.856381067903897</v>
      </c>
      <c r="E8459">
        <v>2</v>
      </c>
      <c r="F8459">
        <v>1208</v>
      </c>
      <c r="G8459">
        <v>5</v>
      </c>
      <c r="H8459">
        <v>3</v>
      </c>
      <c r="I8459">
        <v>1958</v>
      </c>
      <c r="J8459">
        <v>0</v>
      </c>
      <c r="K8459">
        <v>0</v>
      </c>
      <c r="L8459">
        <v>0</v>
      </c>
      <c r="M8459">
        <v>6</v>
      </c>
      <c r="N8459" t="s">
        <v>26</v>
      </c>
      <c r="O8459" t="s">
        <v>27</v>
      </c>
      <c r="P8459">
        <v>11.391841012332</v>
      </c>
      <c r="Q8459">
        <v>1.1095183893937599</v>
      </c>
      <c r="R8459">
        <v>8.0064055975642798</v>
      </c>
      <c r="S8459">
        <v>111</v>
      </c>
      <c r="T8459">
        <v>46</v>
      </c>
      <c r="U8459">
        <v>217.642710051954</v>
      </c>
      <c r="V8459">
        <v>4.9668874172185398E-3</v>
      </c>
      <c r="W8459">
        <v>520768.51243935502</v>
      </c>
      <c r="X8459" t="s">
        <v>40</v>
      </c>
      <c r="Y8459">
        <f>1-879-126-2487</f>
        <v>-3491</v>
      </c>
    </row>
    <row r="8460" spans="1:25" x14ac:dyDescent="0.35">
      <c r="A8460">
        <v>38.4340958080234</v>
      </c>
      <c r="B8460">
        <v>-118.784364972834</v>
      </c>
      <c r="C8460" t="s">
        <v>25</v>
      </c>
      <c r="D8460">
        <v>44.245196942139003</v>
      </c>
      <c r="E8460">
        <v>0</v>
      </c>
      <c r="F8460">
        <v>4277</v>
      </c>
      <c r="G8460">
        <v>5</v>
      </c>
      <c r="H8460">
        <v>1</v>
      </c>
      <c r="I8460">
        <v>1958</v>
      </c>
      <c r="J8460">
        <v>0</v>
      </c>
      <c r="K8460">
        <v>1</v>
      </c>
      <c r="L8460">
        <v>0</v>
      </c>
      <c r="M8460">
        <v>12</v>
      </c>
      <c r="N8460" t="s">
        <v>37</v>
      </c>
      <c r="O8460" t="s">
        <v>32</v>
      </c>
      <c r="P8460">
        <v>9.3238509466643098</v>
      </c>
      <c r="Q8460">
        <v>2.1408542635199299</v>
      </c>
      <c r="R8460">
        <v>2.9057345426038701</v>
      </c>
      <c r="S8460">
        <v>61</v>
      </c>
      <c r="T8460">
        <v>49</v>
      </c>
      <c r="U8460">
        <v>702.34340255833899</v>
      </c>
      <c r="V8460">
        <v>2.8057049333644998E-3</v>
      </c>
      <c r="W8460">
        <v>3332135.5989012802</v>
      </c>
      <c r="X8460" t="s">
        <v>44</v>
      </c>
      <c r="Y8460">
        <f>1-400-874-1852</f>
        <v>-3125</v>
      </c>
    </row>
    <row r="8461" spans="1:25" x14ac:dyDescent="0.35">
      <c r="A8461">
        <v>40.125741444881399</v>
      </c>
      <c r="B8461">
        <v>-122.927747619144</v>
      </c>
      <c r="C8461" t="s">
        <v>29</v>
      </c>
      <c r="D8461">
        <v>41.4799061904586</v>
      </c>
      <c r="E8461">
        <v>6</v>
      </c>
      <c r="F8461">
        <v>3256</v>
      </c>
      <c r="G8461">
        <v>2</v>
      </c>
      <c r="H8461">
        <v>1</v>
      </c>
      <c r="I8461">
        <v>1965</v>
      </c>
      <c r="J8461">
        <v>1</v>
      </c>
      <c r="K8461">
        <v>0</v>
      </c>
      <c r="L8461">
        <v>0</v>
      </c>
      <c r="M8461">
        <v>12</v>
      </c>
      <c r="N8461" t="s">
        <v>35</v>
      </c>
      <c r="O8461" t="s">
        <v>32</v>
      </c>
      <c r="P8461">
        <v>7.8282185511183897</v>
      </c>
      <c r="Q8461">
        <v>2.4386414228328799</v>
      </c>
      <c r="R8461">
        <v>6.6726537742022298</v>
      </c>
      <c r="S8461">
        <v>77</v>
      </c>
      <c r="T8461">
        <v>28</v>
      </c>
      <c r="U8461">
        <v>915.98353593805905</v>
      </c>
      <c r="V8461">
        <v>3.68550368550368E-3</v>
      </c>
      <c r="W8461">
        <v>3183746.9517824901</v>
      </c>
      <c r="X8461" t="s">
        <v>33</v>
      </c>
      <c r="Y8461">
        <f>1-226-589-6157</f>
        <v>-6971</v>
      </c>
    </row>
    <row r="8462" spans="1:25" x14ac:dyDescent="0.35">
      <c r="A8462">
        <v>37.731415181009801</v>
      </c>
      <c r="B8462">
        <v>-121.035592329526</v>
      </c>
      <c r="C8462" t="s">
        <v>29</v>
      </c>
      <c r="D8462">
        <v>11.1944511710385</v>
      </c>
      <c r="E8462">
        <v>3</v>
      </c>
      <c r="F8462">
        <v>1325</v>
      </c>
      <c r="G8462">
        <v>5</v>
      </c>
      <c r="H8462">
        <v>1</v>
      </c>
      <c r="I8462">
        <v>2014</v>
      </c>
      <c r="J8462">
        <v>0</v>
      </c>
      <c r="K8462">
        <v>0</v>
      </c>
      <c r="L8462">
        <v>1</v>
      </c>
      <c r="M8462">
        <v>12</v>
      </c>
      <c r="N8462" t="s">
        <v>26</v>
      </c>
      <c r="O8462" t="s">
        <v>30</v>
      </c>
      <c r="P8462">
        <v>10.5736756542512</v>
      </c>
      <c r="Q8462">
        <v>0.87555366089368003</v>
      </c>
      <c r="R8462">
        <v>8.6164394769903598</v>
      </c>
      <c r="S8462">
        <v>113</v>
      </c>
      <c r="T8462">
        <v>69</v>
      </c>
      <c r="U8462">
        <v>499.15966386772499</v>
      </c>
      <c r="V8462">
        <v>9.0566037735848991E-3</v>
      </c>
      <c r="W8462">
        <v>945647.69255696703</v>
      </c>
      <c r="X8462" t="s">
        <v>28</v>
      </c>
      <c r="Y8462">
        <f>1-753-210-1091</f>
        <v>-2053</v>
      </c>
    </row>
    <row r="8463" spans="1:25" x14ac:dyDescent="0.35">
      <c r="A8463">
        <v>39.6496973054142</v>
      </c>
      <c r="B8463">
        <v>-115.768544288108</v>
      </c>
      <c r="C8463" t="s">
        <v>25</v>
      </c>
      <c r="D8463">
        <v>48.582581141768898</v>
      </c>
      <c r="E8463">
        <v>2</v>
      </c>
      <c r="F8463">
        <v>4422</v>
      </c>
      <c r="G8463">
        <v>5</v>
      </c>
      <c r="H8463">
        <v>1</v>
      </c>
      <c r="I8463">
        <v>1960</v>
      </c>
      <c r="J8463">
        <v>0</v>
      </c>
      <c r="K8463">
        <v>0</v>
      </c>
      <c r="L8463">
        <v>1</v>
      </c>
      <c r="M8463">
        <v>9</v>
      </c>
      <c r="N8463" t="s">
        <v>26</v>
      </c>
      <c r="O8463" t="s">
        <v>32</v>
      </c>
      <c r="P8463">
        <v>7.2967086059806299</v>
      </c>
      <c r="Q8463">
        <v>0.63725672128524302</v>
      </c>
      <c r="R8463">
        <v>6.8071897338016001</v>
      </c>
      <c r="S8463">
        <v>86</v>
      </c>
      <c r="T8463">
        <v>62</v>
      </c>
      <c r="U8463">
        <v>699.32325526564398</v>
      </c>
      <c r="V8463">
        <v>2.0352781546811301E-3</v>
      </c>
      <c r="W8463">
        <v>3368572.75664212</v>
      </c>
      <c r="X8463" t="s">
        <v>38</v>
      </c>
      <c r="Y8463">
        <f>1-570-136-5581</f>
        <v>-6286</v>
      </c>
    </row>
    <row r="8464" spans="1:25" x14ac:dyDescent="0.35">
      <c r="A8464">
        <v>39.1053803290554</v>
      </c>
      <c r="B8464">
        <v>-123.092725971996</v>
      </c>
      <c r="C8464" t="s">
        <v>25</v>
      </c>
      <c r="D8464">
        <v>41.280897489994103</v>
      </c>
      <c r="E8464">
        <v>1</v>
      </c>
      <c r="F8464">
        <v>2813</v>
      </c>
      <c r="G8464">
        <v>1</v>
      </c>
      <c r="H8464">
        <v>3</v>
      </c>
      <c r="I8464">
        <v>1985</v>
      </c>
      <c r="J8464">
        <v>1</v>
      </c>
      <c r="K8464">
        <v>1</v>
      </c>
      <c r="L8464">
        <v>1</v>
      </c>
      <c r="M8464">
        <v>4</v>
      </c>
      <c r="N8464" t="s">
        <v>37</v>
      </c>
      <c r="O8464" t="s">
        <v>32</v>
      </c>
      <c r="P8464">
        <v>9.1098018797679199</v>
      </c>
      <c r="Q8464">
        <v>1.3654562131698</v>
      </c>
      <c r="R8464">
        <v>0.45984058979414899</v>
      </c>
      <c r="S8464">
        <v>113</v>
      </c>
      <c r="T8464">
        <v>79</v>
      </c>
      <c r="U8464">
        <v>310.29091360542202</v>
      </c>
      <c r="V8464">
        <v>1.4219694276572999E-3</v>
      </c>
      <c r="W8464">
        <v>1206179.5046953</v>
      </c>
      <c r="X8464" t="s">
        <v>36</v>
      </c>
      <c r="Y8464">
        <f>1-302-150-5472</f>
        <v>-5923</v>
      </c>
    </row>
    <row r="8465" spans="1:25" x14ac:dyDescent="0.35">
      <c r="A8465">
        <v>34.925201788182598</v>
      </c>
      <c r="B8465">
        <v>-114.947257497282</v>
      </c>
      <c r="C8465" t="s">
        <v>34</v>
      </c>
      <c r="D8465">
        <v>28.6721705112686</v>
      </c>
      <c r="E8465">
        <v>7</v>
      </c>
      <c r="F8465">
        <v>1207</v>
      </c>
      <c r="G8465">
        <v>3</v>
      </c>
      <c r="H8465">
        <v>2</v>
      </c>
      <c r="I8465">
        <v>1963</v>
      </c>
      <c r="J8465">
        <v>0</v>
      </c>
      <c r="K8465">
        <v>0</v>
      </c>
      <c r="L8465">
        <v>0</v>
      </c>
      <c r="M8465">
        <v>12</v>
      </c>
      <c r="N8465" t="s">
        <v>26</v>
      </c>
      <c r="O8465" t="s">
        <v>27</v>
      </c>
      <c r="P8465">
        <v>13.3219710498813</v>
      </c>
      <c r="Q8465">
        <v>1.37607109303548</v>
      </c>
      <c r="R8465">
        <v>4.5204786248556497</v>
      </c>
      <c r="S8465">
        <v>37</v>
      </c>
      <c r="T8465">
        <v>79</v>
      </c>
      <c r="U8465">
        <v>829.878844244427</v>
      </c>
      <c r="V8465">
        <v>9.9420049710024806E-3</v>
      </c>
      <c r="W8465">
        <v>1224376.4455091499</v>
      </c>
      <c r="X8465" t="s">
        <v>44</v>
      </c>
      <c r="Y8465">
        <f>1-804-974-1087</f>
        <v>-2864</v>
      </c>
    </row>
    <row r="8466" spans="1:25" x14ac:dyDescent="0.35">
      <c r="A8466">
        <v>33.479964787013202</v>
      </c>
      <c r="B8466">
        <v>-122.82600583404</v>
      </c>
      <c r="C8466" t="s">
        <v>34</v>
      </c>
      <c r="D8466">
        <v>32.1047932007626</v>
      </c>
      <c r="E8466">
        <v>7</v>
      </c>
      <c r="F8466">
        <v>4291</v>
      </c>
      <c r="G8466">
        <v>4</v>
      </c>
      <c r="H8466">
        <v>1</v>
      </c>
      <c r="I8466">
        <v>2018</v>
      </c>
      <c r="J8466">
        <v>1</v>
      </c>
      <c r="K8466">
        <v>1</v>
      </c>
      <c r="L8466">
        <v>0</v>
      </c>
      <c r="M8466">
        <v>11</v>
      </c>
      <c r="N8466" t="s">
        <v>37</v>
      </c>
      <c r="O8466" t="s">
        <v>32</v>
      </c>
      <c r="P8466">
        <v>4.3806711999744996</v>
      </c>
      <c r="Q8466">
        <v>2.0075409956897201</v>
      </c>
      <c r="R8466">
        <v>3.6458796274440801</v>
      </c>
      <c r="S8466">
        <v>68</v>
      </c>
      <c r="T8466">
        <v>37</v>
      </c>
      <c r="U8466">
        <v>730.19306271257005</v>
      </c>
      <c r="V8466">
        <v>2.5635050104870602E-3</v>
      </c>
      <c r="W8466">
        <v>3574434.7069731299</v>
      </c>
      <c r="X8466" t="s">
        <v>44</v>
      </c>
      <c r="Y8466">
        <f>1-333-438-7360</f>
        <v>-8130</v>
      </c>
    </row>
    <row r="8467" spans="1:25" x14ac:dyDescent="0.35">
      <c r="A8467">
        <v>33.754003413512201</v>
      </c>
      <c r="B8467">
        <v>-118.75110495625501</v>
      </c>
      <c r="C8467" t="s">
        <v>25</v>
      </c>
      <c r="D8467">
        <v>36.189738656988702</v>
      </c>
      <c r="E8467">
        <v>1</v>
      </c>
      <c r="F8467">
        <v>719</v>
      </c>
      <c r="G8467">
        <v>2</v>
      </c>
      <c r="H8467">
        <v>2</v>
      </c>
      <c r="I8467">
        <v>2012</v>
      </c>
      <c r="J8467">
        <v>0</v>
      </c>
      <c r="K8467">
        <v>1</v>
      </c>
      <c r="L8467">
        <v>0</v>
      </c>
      <c r="M8467">
        <v>14</v>
      </c>
      <c r="N8467" t="s">
        <v>26</v>
      </c>
      <c r="O8467" t="s">
        <v>32</v>
      </c>
      <c r="P8467">
        <v>10.659477951021699</v>
      </c>
      <c r="Q8467">
        <v>1.6257955915695199</v>
      </c>
      <c r="R8467">
        <v>1.9288095702182499</v>
      </c>
      <c r="S8467">
        <v>26</v>
      </c>
      <c r="T8467">
        <v>71</v>
      </c>
      <c r="U8467">
        <v>937.55747732725104</v>
      </c>
      <c r="V8467">
        <v>1.9471488178025E-2</v>
      </c>
      <c r="W8467">
        <v>897126.40660215495</v>
      </c>
      <c r="X8467" t="s">
        <v>44</v>
      </c>
      <c r="Y8467">
        <f>1-850-798-7081</f>
        <v>-8728</v>
      </c>
    </row>
    <row r="8468" spans="1:25" x14ac:dyDescent="0.35">
      <c r="A8468">
        <v>37.092561831728901</v>
      </c>
      <c r="B8468">
        <v>-121.11209234822699</v>
      </c>
      <c r="C8468" t="s">
        <v>34</v>
      </c>
      <c r="D8468">
        <v>7.33036083926772</v>
      </c>
      <c r="E8468">
        <v>9</v>
      </c>
      <c r="F8468">
        <v>3684</v>
      </c>
      <c r="G8468">
        <v>5</v>
      </c>
      <c r="H8468">
        <v>1</v>
      </c>
      <c r="I8468">
        <v>1967</v>
      </c>
      <c r="J8468">
        <v>0</v>
      </c>
      <c r="K8468">
        <v>0</v>
      </c>
      <c r="L8468">
        <v>1</v>
      </c>
      <c r="M8468">
        <v>10</v>
      </c>
      <c r="N8468" t="s">
        <v>35</v>
      </c>
      <c r="O8468" t="s">
        <v>27</v>
      </c>
      <c r="P8468">
        <v>3.3851311230041601</v>
      </c>
      <c r="Q8468">
        <v>2.4158817880373502</v>
      </c>
      <c r="R8468">
        <v>4.8209075733327804</v>
      </c>
      <c r="S8468">
        <v>40</v>
      </c>
      <c r="T8468">
        <v>61</v>
      </c>
      <c r="U8468">
        <v>648.36711232098696</v>
      </c>
      <c r="V8468">
        <v>2.7144408251900099E-3</v>
      </c>
      <c r="W8468">
        <v>2628484.6931631002</v>
      </c>
      <c r="X8468" t="s">
        <v>38</v>
      </c>
      <c r="Y8468">
        <f>1-607-774-9087</f>
        <v>-10467</v>
      </c>
    </row>
    <row r="8469" spans="1:25" x14ac:dyDescent="0.35">
      <c r="A8469">
        <v>33.305771673893503</v>
      </c>
      <c r="B8469">
        <v>-121.735267024123</v>
      </c>
      <c r="C8469" t="s">
        <v>34</v>
      </c>
      <c r="D8469">
        <v>48.2249763220589</v>
      </c>
      <c r="E8469">
        <v>9</v>
      </c>
      <c r="F8469">
        <v>2264</v>
      </c>
      <c r="G8469">
        <v>3</v>
      </c>
      <c r="H8469">
        <v>3</v>
      </c>
      <c r="I8469">
        <v>1958</v>
      </c>
      <c r="J8469">
        <v>1</v>
      </c>
      <c r="K8469">
        <v>0</v>
      </c>
      <c r="L8469">
        <v>0</v>
      </c>
      <c r="M8469">
        <v>8</v>
      </c>
      <c r="N8469" t="s">
        <v>37</v>
      </c>
      <c r="O8469" t="s">
        <v>32</v>
      </c>
      <c r="P8469">
        <v>10.811964297353599</v>
      </c>
      <c r="Q8469">
        <v>1.5918876231613299</v>
      </c>
      <c r="R8469">
        <v>5.21966757176512</v>
      </c>
      <c r="S8469">
        <v>129</v>
      </c>
      <c r="T8469">
        <v>29</v>
      </c>
      <c r="U8469">
        <v>738.38479108585295</v>
      </c>
      <c r="V8469">
        <v>3.53356890459363E-3</v>
      </c>
      <c r="W8469">
        <v>1872162.48479484</v>
      </c>
      <c r="X8469" t="s">
        <v>33</v>
      </c>
      <c r="Y8469">
        <f>1-971-439-3607</f>
        <v>-5016</v>
      </c>
    </row>
    <row r="8470" spans="1:25" x14ac:dyDescent="0.35">
      <c r="A8470">
        <v>37.562653141747397</v>
      </c>
      <c r="B8470">
        <v>-118.978248056856</v>
      </c>
      <c r="C8470" t="s">
        <v>34</v>
      </c>
      <c r="D8470">
        <v>38.437448112961199</v>
      </c>
      <c r="E8470">
        <v>9</v>
      </c>
      <c r="F8470">
        <v>4385</v>
      </c>
      <c r="G8470">
        <v>3</v>
      </c>
      <c r="H8470">
        <v>2</v>
      </c>
      <c r="I8470">
        <v>2021</v>
      </c>
      <c r="J8470">
        <v>1</v>
      </c>
      <c r="K8470">
        <v>1</v>
      </c>
      <c r="L8470">
        <v>1</v>
      </c>
      <c r="M8470">
        <v>3</v>
      </c>
      <c r="N8470" t="s">
        <v>35</v>
      </c>
      <c r="O8470" t="s">
        <v>30</v>
      </c>
      <c r="P8470">
        <v>3.5290359366892301</v>
      </c>
      <c r="Q8470">
        <v>2.3181953009742902</v>
      </c>
      <c r="R8470">
        <v>9.8951684139098699</v>
      </c>
      <c r="S8470">
        <v>86</v>
      </c>
      <c r="T8470">
        <v>20</v>
      </c>
      <c r="U8470">
        <v>829.01978116185899</v>
      </c>
      <c r="V8470">
        <v>6.8415051311288401E-4</v>
      </c>
      <c r="W8470">
        <v>4145501.1250132699</v>
      </c>
      <c r="X8470" t="s">
        <v>42</v>
      </c>
      <c r="Y8470">
        <f>1-251-214-9129</f>
        <v>-9593</v>
      </c>
    </row>
    <row r="8471" spans="1:25" x14ac:dyDescent="0.35">
      <c r="A8471">
        <v>36.1290101127531</v>
      </c>
      <c r="B8471">
        <v>-114.498258357023</v>
      </c>
      <c r="C8471" t="s">
        <v>29</v>
      </c>
      <c r="D8471">
        <v>11.3639510019357</v>
      </c>
      <c r="E8471">
        <v>6</v>
      </c>
      <c r="F8471">
        <v>2252</v>
      </c>
      <c r="G8471">
        <v>2</v>
      </c>
      <c r="H8471">
        <v>1</v>
      </c>
      <c r="I8471">
        <v>1967</v>
      </c>
      <c r="J8471">
        <v>0</v>
      </c>
      <c r="K8471">
        <v>1</v>
      </c>
      <c r="L8471">
        <v>0</v>
      </c>
      <c r="M8471">
        <v>13</v>
      </c>
      <c r="N8471" t="s">
        <v>37</v>
      </c>
      <c r="O8471" t="s">
        <v>27</v>
      </c>
      <c r="P8471">
        <v>9.7592751144439607</v>
      </c>
      <c r="Q8471">
        <v>2.0488681841323202</v>
      </c>
      <c r="R8471">
        <v>2.9610804172007201</v>
      </c>
      <c r="S8471">
        <v>184</v>
      </c>
      <c r="T8471">
        <v>40</v>
      </c>
      <c r="U8471">
        <v>363.18866255740102</v>
      </c>
      <c r="V8471">
        <v>5.7726465364120703E-3</v>
      </c>
      <c r="W8471">
        <v>1016481.5334158</v>
      </c>
      <c r="X8471" t="s">
        <v>28</v>
      </c>
      <c r="Y8471">
        <f>1-434-669-8837</f>
        <v>-9939</v>
      </c>
    </row>
    <row r="8472" spans="1:25" x14ac:dyDescent="0.35">
      <c r="A8472">
        <v>41.0732984885517</v>
      </c>
      <c r="B8472">
        <v>-114.586936477861</v>
      </c>
      <c r="C8472" t="s">
        <v>29</v>
      </c>
      <c r="D8472">
        <v>1.33488137747466</v>
      </c>
      <c r="E8472">
        <v>7</v>
      </c>
      <c r="F8472">
        <v>3109</v>
      </c>
      <c r="G8472">
        <v>1</v>
      </c>
      <c r="H8472">
        <v>2</v>
      </c>
      <c r="I8472">
        <v>2005</v>
      </c>
      <c r="J8472">
        <v>1</v>
      </c>
      <c r="K8472">
        <v>1</v>
      </c>
      <c r="L8472">
        <v>1</v>
      </c>
      <c r="M8472">
        <v>3</v>
      </c>
      <c r="N8472" t="s">
        <v>26</v>
      </c>
      <c r="O8472" t="s">
        <v>32</v>
      </c>
      <c r="P8472">
        <v>14.584807611071501</v>
      </c>
      <c r="Q8472">
        <v>0.95549632814380603</v>
      </c>
      <c r="R8472">
        <v>0.22757859827468799</v>
      </c>
      <c r="S8472">
        <v>65</v>
      </c>
      <c r="T8472">
        <v>27</v>
      </c>
      <c r="U8472">
        <v>214.76585009909999</v>
      </c>
      <c r="V8472">
        <v>9.6494049533611995E-4</v>
      </c>
      <c r="W8472">
        <v>1013791.69705993</v>
      </c>
      <c r="X8472" t="s">
        <v>39</v>
      </c>
      <c r="Y8472">
        <f>1-943-624-2749</f>
        <v>-4315</v>
      </c>
    </row>
    <row r="8473" spans="1:25" x14ac:dyDescent="0.35">
      <c r="A8473">
        <v>40.768912578175602</v>
      </c>
      <c r="B8473">
        <v>-115.50619700316599</v>
      </c>
      <c r="C8473" t="s">
        <v>34</v>
      </c>
      <c r="D8473">
        <v>25.899009084269601</v>
      </c>
      <c r="E8473">
        <v>0</v>
      </c>
      <c r="F8473">
        <v>4688</v>
      </c>
      <c r="G8473">
        <v>4</v>
      </c>
      <c r="H8473">
        <v>3</v>
      </c>
      <c r="I8473">
        <v>1962</v>
      </c>
      <c r="J8473">
        <v>1</v>
      </c>
      <c r="K8473">
        <v>0</v>
      </c>
      <c r="L8473">
        <v>1</v>
      </c>
      <c r="M8473">
        <v>13</v>
      </c>
      <c r="N8473" t="s">
        <v>37</v>
      </c>
      <c r="O8473" t="s">
        <v>30</v>
      </c>
      <c r="P8473">
        <v>4.4327303707435401</v>
      </c>
      <c r="Q8473">
        <v>0.81375304585607799</v>
      </c>
      <c r="R8473">
        <v>3.54281155994755</v>
      </c>
      <c r="S8473">
        <v>171</v>
      </c>
      <c r="T8473">
        <v>52</v>
      </c>
      <c r="U8473">
        <v>738.63223090429005</v>
      </c>
      <c r="V8473">
        <v>2.77303754266211E-3</v>
      </c>
      <c r="W8473">
        <v>3758985.6198097598</v>
      </c>
      <c r="X8473" t="s">
        <v>33</v>
      </c>
      <c r="Y8473">
        <f>1-230-630-8299</f>
        <v>-9158</v>
      </c>
    </row>
    <row r="8474" spans="1:25" x14ac:dyDescent="0.35">
      <c r="A8474">
        <v>39.386696639954501</v>
      </c>
      <c r="B8474">
        <v>-117.547469817745</v>
      </c>
      <c r="C8474" t="s">
        <v>29</v>
      </c>
      <c r="D8474">
        <v>43.090730902234903</v>
      </c>
      <c r="E8474">
        <v>8</v>
      </c>
      <c r="F8474">
        <v>2262</v>
      </c>
      <c r="G8474">
        <v>1</v>
      </c>
      <c r="H8474">
        <v>1</v>
      </c>
      <c r="I8474">
        <v>1999</v>
      </c>
      <c r="J8474">
        <v>0</v>
      </c>
      <c r="K8474">
        <v>1</v>
      </c>
      <c r="L8474">
        <v>0</v>
      </c>
      <c r="M8474">
        <v>6</v>
      </c>
      <c r="N8474" t="s">
        <v>35</v>
      </c>
      <c r="O8474" t="s">
        <v>27</v>
      </c>
      <c r="P8474">
        <v>6.3802671652651304</v>
      </c>
      <c r="Q8474">
        <v>1.4274375048130299</v>
      </c>
      <c r="R8474">
        <v>1.08525921863616</v>
      </c>
      <c r="S8474">
        <v>124</v>
      </c>
      <c r="T8474">
        <v>73</v>
      </c>
      <c r="U8474">
        <v>391.371702939778</v>
      </c>
      <c r="V8474">
        <v>2.6525198938992002E-3</v>
      </c>
      <c r="W8474">
        <v>1077306.6351259099</v>
      </c>
      <c r="X8474" t="s">
        <v>31</v>
      </c>
      <c r="Y8474">
        <f>1-681-694-3809</f>
        <v>-5183</v>
      </c>
    </row>
    <row r="8475" spans="1:25" x14ac:dyDescent="0.35">
      <c r="A8475">
        <v>39.850219254031401</v>
      </c>
      <c r="B8475">
        <v>-119.048443941465</v>
      </c>
      <c r="C8475" t="s">
        <v>29</v>
      </c>
      <c r="D8475">
        <v>26.2690105953419</v>
      </c>
      <c r="E8475">
        <v>7</v>
      </c>
      <c r="F8475">
        <v>1557</v>
      </c>
      <c r="G8475">
        <v>4</v>
      </c>
      <c r="H8475">
        <v>2</v>
      </c>
      <c r="I8475">
        <v>1989</v>
      </c>
      <c r="J8475">
        <v>0</v>
      </c>
      <c r="K8475">
        <v>0</v>
      </c>
      <c r="L8475">
        <v>0</v>
      </c>
      <c r="M8475">
        <v>6</v>
      </c>
      <c r="N8475" t="s">
        <v>26</v>
      </c>
      <c r="O8475" t="s">
        <v>27</v>
      </c>
      <c r="P8475">
        <v>7.8601263623093196</v>
      </c>
      <c r="Q8475">
        <v>0.56356009181299704</v>
      </c>
      <c r="R8475">
        <v>8.2206575859823303</v>
      </c>
      <c r="S8475">
        <v>67</v>
      </c>
      <c r="T8475">
        <v>41</v>
      </c>
      <c r="U8475">
        <v>905.08576794391399</v>
      </c>
      <c r="V8475">
        <v>3.85356454720616E-3</v>
      </c>
      <c r="W8475">
        <v>1586059.85659221</v>
      </c>
      <c r="X8475" t="s">
        <v>40</v>
      </c>
      <c r="Y8475">
        <f>1-870-505-5623</f>
        <v>-6997</v>
      </c>
    </row>
    <row r="8476" spans="1:25" x14ac:dyDescent="0.35">
      <c r="A8476">
        <v>37.843464467381303</v>
      </c>
      <c r="B8476">
        <v>-122.771881525197</v>
      </c>
      <c r="C8476" t="s">
        <v>25</v>
      </c>
      <c r="D8476">
        <v>40.758427222613498</v>
      </c>
      <c r="E8476">
        <v>8</v>
      </c>
      <c r="F8476">
        <v>2935</v>
      </c>
      <c r="G8476">
        <v>2</v>
      </c>
      <c r="H8476">
        <v>2</v>
      </c>
      <c r="I8476">
        <v>1978</v>
      </c>
      <c r="J8476">
        <v>0</v>
      </c>
      <c r="K8476">
        <v>1</v>
      </c>
      <c r="L8476">
        <v>1</v>
      </c>
      <c r="M8476">
        <v>4</v>
      </c>
      <c r="N8476" t="s">
        <v>26</v>
      </c>
      <c r="O8476" t="s">
        <v>27</v>
      </c>
      <c r="P8476">
        <v>13.131403319151699</v>
      </c>
      <c r="Q8476">
        <v>1.9706093757724901</v>
      </c>
      <c r="R8476">
        <v>7.7376776320146696</v>
      </c>
      <c r="S8476">
        <v>24</v>
      </c>
      <c r="T8476">
        <v>33</v>
      </c>
      <c r="U8476">
        <v>802.19355521765704</v>
      </c>
      <c r="V8476">
        <v>1.36286201022146E-3</v>
      </c>
      <c r="W8476">
        <v>2640840.3354916601</v>
      </c>
      <c r="X8476" t="s">
        <v>40</v>
      </c>
      <c r="Y8476">
        <f>1-636-555-8985</f>
        <v>-10175</v>
      </c>
    </row>
    <row r="8477" spans="1:25" x14ac:dyDescent="0.35">
      <c r="A8477">
        <v>39.153718414862901</v>
      </c>
      <c r="B8477">
        <v>-116.129967605018</v>
      </c>
      <c r="C8477" t="s">
        <v>29</v>
      </c>
      <c r="D8477">
        <v>18.040644917566802</v>
      </c>
      <c r="E8477">
        <v>3</v>
      </c>
      <c r="F8477">
        <v>2436</v>
      </c>
      <c r="G8477">
        <v>1</v>
      </c>
      <c r="H8477">
        <v>2</v>
      </c>
      <c r="I8477">
        <v>1982</v>
      </c>
      <c r="J8477">
        <v>0</v>
      </c>
      <c r="K8477">
        <v>1</v>
      </c>
      <c r="L8477">
        <v>1</v>
      </c>
      <c r="M8477">
        <v>8</v>
      </c>
      <c r="N8477" t="s">
        <v>37</v>
      </c>
      <c r="O8477" t="s">
        <v>30</v>
      </c>
      <c r="P8477">
        <v>3.6012873317966601</v>
      </c>
      <c r="Q8477">
        <v>2.01341223354361</v>
      </c>
      <c r="R8477">
        <v>6.38635840028829</v>
      </c>
      <c r="S8477">
        <v>158</v>
      </c>
      <c r="T8477">
        <v>35</v>
      </c>
      <c r="U8477">
        <v>845.61223891925499</v>
      </c>
      <c r="V8477">
        <v>3.28407224958949E-3</v>
      </c>
      <c r="W8477">
        <v>2150575.2581597799</v>
      </c>
      <c r="X8477" t="s">
        <v>44</v>
      </c>
      <c r="Y8477">
        <f>1-551-659-4152</f>
        <v>-5361</v>
      </c>
    </row>
    <row r="8478" spans="1:25" x14ac:dyDescent="0.35">
      <c r="A8478">
        <v>34.080916284326896</v>
      </c>
      <c r="B8478">
        <v>-118.589129235747</v>
      </c>
      <c r="C8478" t="s">
        <v>25</v>
      </c>
      <c r="D8478">
        <v>39.254224103877903</v>
      </c>
      <c r="E8478">
        <v>5</v>
      </c>
      <c r="F8478">
        <v>2223</v>
      </c>
      <c r="G8478">
        <v>2</v>
      </c>
      <c r="H8478">
        <v>3</v>
      </c>
      <c r="I8478">
        <v>2019</v>
      </c>
      <c r="J8478">
        <v>0</v>
      </c>
      <c r="K8478">
        <v>0</v>
      </c>
      <c r="L8478">
        <v>0</v>
      </c>
      <c r="M8478">
        <v>10</v>
      </c>
      <c r="N8478" t="s">
        <v>41</v>
      </c>
      <c r="O8478" t="s">
        <v>27</v>
      </c>
      <c r="P8478">
        <v>2.98922281971236</v>
      </c>
      <c r="Q8478">
        <v>1.14908275622658</v>
      </c>
      <c r="R8478">
        <v>5.78456505473891</v>
      </c>
      <c r="S8478">
        <v>88</v>
      </c>
      <c r="T8478">
        <v>67</v>
      </c>
      <c r="U8478">
        <v>802.077458453345</v>
      </c>
      <c r="V8478">
        <v>4.49842555105713E-3</v>
      </c>
      <c r="W8478">
        <v>1925700.09058571</v>
      </c>
      <c r="X8478" t="s">
        <v>44</v>
      </c>
      <c r="Y8478">
        <f>1-458-428-1986</f>
        <v>-2871</v>
      </c>
    </row>
    <row r="8479" spans="1:25" x14ac:dyDescent="0.35">
      <c r="A8479">
        <v>41.517537056707098</v>
      </c>
      <c r="B8479">
        <v>-116.01320648069</v>
      </c>
      <c r="C8479" t="s">
        <v>25</v>
      </c>
      <c r="D8479">
        <v>38.327588130137102</v>
      </c>
      <c r="E8479">
        <v>5</v>
      </c>
      <c r="F8479">
        <v>3846</v>
      </c>
      <c r="G8479">
        <v>5</v>
      </c>
      <c r="H8479">
        <v>3</v>
      </c>
      <c r="I8479">
        <v>1991</v>
      </c>
      <c r="J8479">
        <v>0</v>
      </c>
      <c r="K8479">
        <v>1</v>
      </c>
      <c r="L8479">
        <v>1</v>
      </c>
      <c r="M8479">
        <v>6</v>
      </c>
      <c r="N8479" t="s">
        <v>37</v>
      </c>
      <c r="O8479" t="s">
        <v>30</v>
      </c>
      <c r="P8479">
        <v>7.7099690957810596</v>
      </c>
      <c r="Q8479">
        <v>0.56236959426772204</v>
      </c>
      <c r="R8479">
        <v>9.6962603571128803</v>
      </c>
      <c r="S8479">
        <v>3</v>
      </c>
      <c r="T8479">
        <v>78</v>
      </c>
      <c r="U8479">
        <v>471.50197739360601</v>
      </c>
      <c r="V8479">
        <v>1.5600624024960999E-3</v>
      </c>
      <c r="W8479">
        <v>2201196.9201153498</v>
      </c>
      <c r="X8479" t="s">
        <v>40</v>
      </c>
      <c r="Y8479">
        <f>1-871-590-7452</f>
        <v>-8912</v>
      </c>
    </row>
    <row r="8480" spans="1:25" x14ac:dyDescent="0.35">
      <c r="A8480">
        <v>33.410199353948599</v>
      </c>
      <c r="B8480">
        <v>-118.961041088499</v>
      </c>
      <c r="C8480" t="s">
        <v>34</v>
      </c>
      <c r="D8480">
        <v>7.4199029432101202</v>
      </c>
      <c r="E8480">
        <v>8</v>
      </c>
      <c r="F8480">
        <v>3306</v>
      </c>
      <c r="G8480">
        <v>3</v>
      </c>
      <c r="H8480">
        <v>3</v>
      </c>
      <c r="I8480">
        <v>1975</v>
      </c>
      <c r="J8480">
        <v>1</v>
      </c>
      <c r="K8480">
        <v>1</v>
      </c>
      <c r="L8480">
        <v>1</v>
      </c>
      <c r="M8480">
        <v>5</v>
      </c>
      <c r="N8480" t="s">
        <v>37</v>
      </c>
      <c r="O8480" t="s">
        <v>30</v>
      </c>
      <c r="P8480">
        <v>2.4783357977965199</v>
      </c>
      <c r="Q8480">
        <v>0.64915352362238699</v>
      </c>
      <c r="R8480">
        <v>5.7416467544413798</v>
      </c>
      <c r="S8480">
        <v>15</v>
      </c>
      <c r="T8480">
        <v>58</v>
      </c>
      <c r="U8480">
        <v>807.64447648124803</v>
      </c>
      <c r="V8480">
        <v>1.51240169388989E-3</v>
      </c>
      <c r="W8480">
        <v>2974585.6011079499</v>
      </c>
      <c r="X8480" t="s">
        <v>33</v>
      </c>
      <c r="Y8480">
        <f>1-647-360-7479</f>
        <v>-8485</v>
      </c>
    </row>
    <row r="8481" spans="1:25" x14ac:dyDescent="0.35">
      <c r="A8481">
        <v>37.709932542666003</v>
      </c>
      <c r="B8481">
        <v>-116.48072667757501</v>
      </c>
      <c r="C8481" t="s">
        <v>29</v>
      </c>
      <c r="D8481">
        <v>33.629308511003003</v>
      </c>
      <c r="E8481">
        <v>4</v>
      </c>
      <c r="F8481">
        <v>3440</v>
      </c>
      <c r="G8481">
        <v>4</v>
      </c>
      <c r="H8481">
        <v>1</v>
      </c>
      <c r="I8481">
        <v>1961</v>
      </c>
      <c r="J8481">
        <v>0</v>
      </c>
      <c r="K8481">
        <v>0</v>
      </c>
      <c r="L8481">
        <v>0</v>
      </c>
      <c r="M8481">
        <v>4</v>
      </c>
      <c r="N8481" t="s">
        <v>26</v>
      </c>
      <c r="O8481" t="s">
        <v>32</v>
      </c>
      <c r="P8481">
        <v>8.4056891885650096</v>
      </c>
      <c r="Q8481">
        <v>1.62982284139246</v>
      </c>
      <c r="R8481">
        <v>6.3600484303334701</v>
      </c>
      <c r="S8481">
        <v>91</v>
      </c>
      <c r="T8481">
        <v>62</v>
      </c>
      <c r="U8481">
        <v>763.30657371940299</v>
      </c>
      <c r="V8481">
        <v>1.1627906976744099E-3</v>
      </c>
      <c r="W8481">
        <v>2779857.5604698299</v>
      </c>
      <c r="X8481" t="s">
        <v>38</v>
      </c>
      <c r="Y8481">
        <f>1-967-431-7555</f>
        <v>-8952</v>
      </c>
    </row>
    <row r="8482" spans="1:25" x14ac:dyDescent="0.35">
      <c r="A8482">
        <v>41.053045016290199</v>
      </c>
      <c r="B8482">
        <v>-118.548405980571</v>
      </c>
      <c r="C8482" t="s">
        <v>29</v>
      </c>
      <c r="D8482">
        <v>6.9611022119578196</v>
      </c>
      <c r="E8482">
        <v>8</v>
      </c>
      <c r="F8482">
        <v>3236</v>
      </c>
      <c r="G8482">
        <v>5</v>
      </c>
      <c r="H8482">
        <v>2</v>
      </c>
      <c r="I8482">
        <v>1962</v>
      </c>
      <c r="J8482">
        <v>0</v>
      </c>
      <c r="K8482">
        <v>1</v>
      </c>
      <c r="L8482">
        <v>0</v>
      </c>
      <c r="M8482">
        <v>13</v>
      </c>
      <c r="N8482" t="s">
        <v>26</v>
      </c>
      <c r="O8482" t="s">
        <v>30</v>
      </c>
      <c r="P8482">
        <v>9.8526777419318492</v>
      </c>
      <c r="Q8482">
        <v>0.88520277094080502</v>
      </c>
      <c r="R8482">
        <v>8.5633265310280908</v>
      </c>
      <c r="S8482">
        <v>126</v>
      </c>
      <c r="T8482">
        <v>37</v>
      </c>
      <c r="U8482">
        <v>328.04370418800499</v>
      </c>
      <c r="V8482">
        <v>4.0173053152039503E-3</v>
      </c>
      <c r="W8482">
        <v>1427239.42862426</v>
      </c>
      <c r="X8482" t="s">
        <v>36</v>
      </c>
      <c r="Y8482">
        <f>1-734-947-8702</f>
        <v>-10382</v>
      </c>
    </row>
    <row r="8483" spans="1:25" x14ac:dyDescent="0.35">
      <c r="A8483">
        <v>34.675867164205002</v>
      </c>
      <c r="B8483">
        <v>-117.348151989472</v>
      </c>
      <c r="C8483" t="s">
        <v>29</v>
      </c>
      <c r="D8483">
        <v>41.170043224339601</v>
      </c>
      <c r="E8483">
        <v>4</v>
      </c>
      <c r="F8483">
        <v>872</v>
      </c>
      <c r="G8483">
        <v>3</v>
      </c>
      <c r="H8483">
        <v>3</v>
      </c>
      <c r="I8483">
        <v>1991</v>
      </c>
      <c r="J8483">
        <v>1</v>
      </c>
      <c r="K8483">
        <v>0</v>
      </c>
      <c r="L8483">
        <v>0</v>
      </c>
      <c r="M8483">
        <v>6</v>
      </c>
      <c r="N8483" t="s">
        <v>41</v>
      </c>
      <c r="O8483" t="s">
        <v>27</v>
      </c>
      <c r="P8483">
        <v>4.3929976607238297</v>
      </c>
      <c r="Q8483">
        <v>2.3298696904235299</v>
      </c>
      <c r="R8483">
        <v>9.2140762206856994</v>
      </c>
      <c r="S8483">
        <v>77</v>
      </c>
      <c r="T8483">
        <v>47</v>
      </c>
      <c r="U8483">
        <v>272.69165297270598</v>
      </c>
      <c r="V8483">
        <v>6.8807339449541201E-3</v>
      </c>
      <c r="W8483">
        <v>483366.57223527401</v>
      </c>
      <c r="X8483" t="s">
        <v>33</v>
      </c>
      <c r="Y8483">
        <f>1-968-273-7786</f>
        <v>-9026</v>
      </c>
    </row>
    <row r="8484" spans="1:25" x14ac:dyDescent="0.35">
      <c r="A8484">
        <v>33.928318540104897</v>
      </c>
      <c r="B8484">
        <v>-120.734015135861</v>
      </c>
      <c r="C8484" t="s">
        <v>29</v>
      </c>
      <c r="D8484">
        <v>34.335251843665603</v>
      </c>
      <c r="E8484">
        <v>6</v>
      </c>
      <c r="F8484">
        <v>4304</v>
      </c>
      <c r="G8484">
        <v>2</v>
      </c>
      <c r="H8484">
        <v>2</v>
      </c>
      <c r="I8484">
        <v>1958</v>
      </c>
      <c r="J8484">
        <v>0</v>
      </c>
      <c r="K8484">
        <v>0</v>
      </c>
      <c r="L8484">
        <v>1</v>
      </c>
      <c r="M8484">
        <v>5</v>
      </c>
      <c r="N8484" t="s">
        <v>37</v>
      </c>
      <c r="O8484" t="s">
        <v>30</v>
      </c>
      <c r="P8484">
        <v>11.452134092571701</v>
      </c>
      <c r="Q8484">
        <v>0.55250424534787501</v>
      </c>
      <c r="R8484">
        <v>1.8440972235444399</v>
      </c>
      <c r="S8484">
        <v>72</v>
      </c>
      <c r="T8484">
        <v>49</v>
      </c>
      <c r="U8484">
        <v>803.56972069312997</v>
      </c>
      <c r="V8484">
        <v>1.1617100371747199E-3</v>
      </c>
      <c r="W8484">
        <v>3637567.1916849301</v>
      </c>
      <c r="X8484" t="s">
        <v>36</v>
      </c>
      <c r="Y8484">
        <f>1-996-863-8274</f>
        <v>-10132</v>
      </c>
    </row>
    <row r="8485" spans="1:25" x14ac:dyDescent="0.35">
      <c r="A8485">
        <v>37.751132429917298</v>
      </c>
      <c r="B8485">
        <v>-115.739801492287</v>
      </c>
      <c r="C8485" t="s">
        <v>34</v>
      </c>
      <c r="D8485">
        <v>18.502108147223002</v>
      </c>
      <c r="E8485">
        <v>9</v>
      </c>
      <c r="F8485">
        <v>2387</v>
      </c>
      <c r="G8485">
        <v>5</v>
      </c>
      <c r="H8485">
        <v>1</v>
      </c>
      <c r="I8485">
        <v>1991</v>
      </c>
      <c r="J8485">
        <v>1</v>
      </c>
      <c r="K8485">
        <v>0</v>
      </c>
      <c r="L8485">
        <v>1</v>
      </c>
      <c r="M8485">
        <v>10</v>
      </c>
      <c r="N8485" t="s">
        <v>37</v>
      </c>
      <c r="O8485" t="s">
        <v>32</v>
      </c>
      <c r="P8485">
        <v>6.6365207050599402</v>
      </c>
      <c r="Q8485">
        <v>0.601552947126055</v>
      </c>
      <c r="R8485">
        <v>5.3915000881387698</v>
      </c>
      <c r="S8485">
        <v>181</v>
      </c>
      <c r="T8485">
        <v>53</v>
      </c>
      <c r="U8485">
        <v>463.14746331401398</v>
      </c>
      <c r="V8485">
        <v>4.1893590280687003E-3</v>
      </c>
      <c r="W8485">
        <v>1400963.60736375</v>
      </c>
      <c r="X8485" t="s">
        <v>38</v>
      </c>
      <c r="Y8485">
        <f>1-681-754-6116</f>
        <v>-7550</v>
      </c>
    </row>
    <row r="8486" spans="1:25" x14ac:dyDescent="0.35">
      <c r="A8486">
        <v>38.700312169608701</v>
      </c>
      <c r="B8486">
        <v>-123.41875648677301</v>
      </c>
      <c r="C8486" t="s">
        <v>25</v>
      </c>
      <c r="D8486">
        <v>21.071281857080098</v>
      </c>
      <c r="E8486">
        <v>1</v>
      </c>
      <c r="F8486">
        <v>3167</v>
      </c>
      <c r="G8486">
        <v>4</v>
      </c>
      <c r="H8486">
        <v>1</v>
      </c>
      <c r="I8486">
        <v>1980</v>
      </c>
      <c r="J8486">
        <v>0</v>
      </c>
      <c r="K8486">
        <v>0</v>
      </c>
      <c r="L8486">
        <v>1</v>
      </c>
      <c r="M8486">
        <v>9</v>
      </c>
      <c r="N8486" t="s">
        <v>41</v>
      </c>
      <c r="O8486" t="s">
        <v>30</v>
      </c>
      <c r="P8486">
        <v>3.7562633069775102</v>
      </c>
      <c r="Q8486">
        <v>1.02584192870941</v>
      </c>
      <c r="R8486">
        <v>0.84029076972947403</v>
      </c>
      <c r="S8486">
        <v>81</v>
      </c>
      <c r="T8486">
        <v>67</v>
      </c>
      <c r="U8486">
        <v>764.49537627262896</v>
      </c>
      <c r="V8486">
        <v>2.8418061256709798E-3</v>
      </c>
      <c r="W8486">
        <v>2617952.2393815001</v>
      </c>
      <c r="X8486" t="s">
        <v>36</v>
      </c>
      <c r="Y8486">
        <f>1-418-326-2763</f>
        <v>-3506</v>
      </c>
    </row>
    <row r="8487" spans="1:25" x14ac:dyDescent="0.35">
      <c r="A8487">
        <v>40.170074384948798</v>
      </c>
      <c r="B8487">
        <v>-124.29200023648799</v>
      </c>
      <c r="C8487" t="s">
        <v>34</v>
      </c>
      <c r="D8487">
        <v>35.834875318659499</v>
      </c>
      <c r="E8487">
        <v>2</v>
      </c>
      <c r="F8487">
        <v>4786</v>
      </c>
      <c r="G8487">
        <v>2</v>
      </c>
      <c r="H8487">
        <v>2</v>
      </c>
      <c r="I8487">
        <v>1993</v>
      </c>
      <c r="J8487">
        <v>1</v>
      </c>
      <c r="K8487">
        <v>0</v>
      </c>
      <c r="L8487">
        <v>0</v>
      </c>
      <c r="M8487">
        <v>4</v>
      </c>
      <c r="N8487" t="s">
        <v>35</v>
      </c>
      <c r="O8487" t="s">
        <v>27</v>
      </c>
      <c r="P8487">
        <v>8.8805340991176607</v>
      </c>
      <c r="Q8487">
        <v>1.6045150008328199</v>
      </c>
      <c r="R8487">
        <v>3.05515543236144</v>
      </c>
      <c r="S8487">
        <v>163</v>
      </c>
      <c r="T8487">
        <v>33</v>
      </c>
      <c r="U8487">
        <v>413.68018391963199</v>
      </c>
      <c r="V8487">
        <v>8.3577099874634301E-4</v>
      </c>
      <c r="W8487">
        <v>2205523.50684084</v>
      </c>
      <c r="X8487" t="s">
        <v>28</v>
      </c>
      <c r="Y8487">
        <f>1-723-205-4110</f>
        <v>-5037</v>
      </c>
    </row>
    <row r="8488" spans="1:25" x14ac:dyDescent="0.35">
      <c r="A8488">
        <v>33.426896342469597</v>
      </c>
      <c r="B8488">
        <v>-120.582217290404</v>
      </c>
      <c r="C8488" t="s">
        <v>25</v>
      </c>
      <c r="D8488">
        <v>49.567970333405</v>
      </c>
      <c r="E8488">
        <v>2</v>
      </c>
      <c r="F8488">
        <v>2659</v>
      </c>
      <c r="G8488">
        <v>5</v>
      </c>
      <c r="H8488">
        <v>3</v>
      </c>
      <c r="I8488">
        <v>2008</v>
      </c>
      <c r="J8488">
        <v>0</v>
      </c>
      <c r="K8488">
        <v>0</v>
      </c>
      <c r="L8488">
        <v>1</v>
      </c>
      <c r="M8488">
        <v>10</v>
      </c>
      <c r="N8488" t="s">
        <v>35</v>
      </c>
      <c r="O8488" t="s">
        <v>32</v>
      </c>
      <c r="P8488">
        <v>3.7464458222324799</v>
      </c>
      <c r="Q8488">
        <v>1.3495979674936101</v>
      </c>
      <c r="R8488">
        <v>9.6327873335621703</v>
      </c>
      <c r="S8488">
        <v>55</v>
      </c>
      <c r="T8488">
        <v>72</v>
      </c>
      <c r="U8488">
        <v>453.91215644666801</v>
      </c>
      <c r="V8488">
        <v>3.7608123354644601E-3</v>
      </c>
      <c r="W8488">
        <v>1622319.42223505</v>
      </c>
      <c r="X8488" t="s">
        <v>28</v>
      </c>
      <c r="Y8488">
        <f>1-351-909-1928</f>
        <v>-3187</v>
      </c>
    </row>
    <row r="8489" spans="1:25" x14ac:dyDescent="0.35">
      <c r="A8489">
        <v>37.341119462357199</v>
      </c>
      <c r="B8489">
        <v>-114.650076914246</v>
      </c>
      <c r="C8489" t="s">
        <v>34</v>
      </c>
      <c r="D8489">
        <v>41.352770624022298</v>
      </c>
      <c r="E8489">
        <v>5</v>
      </c>
      <c r="F8489">
        <v>2980</v>
      </c>
      <c r="G8489">
        <v>4</v>
      </c>
      <c r="H8489">
        <v>3</v>
      </c>
      <c r="I8489">
        <v>2015</v>
      </c>
      <c r="J8489">
        <v>1</v>
      </c>
      <c r="K8489">
        <v>0</v>
      </c>
      <c r="L8489">
        <v>0</v>
      </c>
      <c r="M8489">
        <v>7</v>
      </c>
      <c r="N8489" t="s">
        <v>41</v>
      </c>
      <c r="O8489" t="s">
        <v>32</v>
      </c>
      <c r="P8489">
        <v>6.1273988512576496</v>
      </c>
      <c r="Q8489">
        <v>1.18132909288449</v>
      </c>
      <c r="R8489">
        <v>3.5393237612961901</v>
      </c>
      <c r="S8489">
        <v>23</v>
      </c>
      <c r="T8489">
        <v>42</v>
      </c>
      <c r="U8489">
        <v>960.611374465469</v>
      </c>
      <c r="V8489">
        <v>2.3489932885905999E-3</v>
      </c>
      <c r="W8489">
        <v>3269951.3557398701</v>
      </c>
      <c r="X8489" t="s">
        <v>36</v>
      </c>
      <c r="Y8489">
        <f>1-678-816-9722</f>
        <v>-11215</v>
      </c>
    </row>
    <row r="8490" spans="1:25" x14ac:dyDescent="0.35">
      <c r="A8490">
        <v>33.573968042056499</v>
      </c>
      <c r="B8490">
        <v>-115.231596037332</v>
      </c>
      <c r="C8490" t="s">
        <v>25</v>
      </c>
      <c r="D8490">
        <v>30.891132611979099</v>
      </c>
      <c r="E8490">
        <v>4</v>
      </c>
      <c r="F8490">
        <v>1313</v>
      </c>
      <c r="G8490">
        <v>5</v>
      </c>
      <c r="H8490">
        <v>3</v>
      </c>
      <c r="I8490">
        <v>2021</v>
      </c>
      <c r="J8490">
        <v>0</v>
      </c>
      <c r="K8490">
        <v>1</v>
      </c>
      <c r="L8490">
        <v>1</v>
      </c>
      <c r="M8490">
        <v>7</v>
      </c>
      <c r="N8490" t="s">
        <v>26</v>
      </c>
      <c r="O8490" t="s">
        <v>30</v>
      </c>
      <c r="P8490">
        <v>6.6679800802707803</v>
      </c>
      <c r="Q8490">
        <v>2.0538326433634002</v>
      </c>
      <c r="R8490">
        <v>3.8683826846540201</v>
      </c>
      <c r="S8490">
        <v>131</v>
      </c>
      <c r="T8490">
        <v>44</v>
      </c>
      <c r="U8490">
        <v>398.59875226640497</v>
      </c>
      <c r="V8490">
        <v>5.3313023610053302E-3</v>
      </c>
      <c r="W8490">
        <v>973376.880111165</v>
      </c>
      <c r="X8490" t="s">
        <v>36</v>
      </c>
      <c r="Y8490">
        <f>1-746-942-9566</f>
        <v>-11253</v>
      </c>
    </row>
    <row r="8491" spans="1:25" x14ac:dyDescent="0.35">
      <c r="A8491">
        <v>40.893829620872701</v>
      </c>
      <c r="B8491">
        <v>-123.56892195549899</v>
      </c>
      <c r="C8491" t="s">
        <v>34</v>
      </c>
      <c r="D8491">
        <v>7.1117959617968598</v>
      </c>
      <c r="E8491">
        <v>9</v>
      </c>
      <c r="F8491">
        <v>2677</v>
      </c>
      <c r="G8491">
        <v>4</v>
      </c>
      <c r="H8491">
        <v>3</v>
      </c>
      <c r="I8491">
        <v>2017</v>
      </c>
      <c r="J8491">
        <v>0</v>
      </c>
      <c r="K8491">
        <v>0</v>
      </c>
      <c r="L8491">
        <v>0</v>
      </c>
      <c r="M8491">
        <v>6</v>
      </c>
      <c r="N8491" t="s">
        <v>26</v>
      </c>
      <c r="O8491" t="s">
        <v>30</v>
      </c>
      <c r="P8491">
        <v>7.9532853891187401</v>
      </c>
      <c r="Q8491">
        <v>0.72554256912313897</v>
      </c>
      <c r="R8491">
        <v>2.8728235661211499</v>
      </c>
      <c r="S8491">
        <v>35</v>
      </c>
      <c r="T8491">
        <v>42</v>
      </c>
      <c r="U8491">
        <v>277.01843314257297</v>
      </c>
      <c r="V8491">
        <v>2.2413149047441098E-3</v>
      </c>
      <c r="W8491">
        <v>887358.29288177495</v>
      </c>
      <c r="X8491" t="s">
        <v>31</v>
      </c>
      <c r="Y8491">
        <f>1-500-210-1741</f>
        <v>-2450</v>
      </c>
    </row>
    <row r="8492" spans="1:25" x14ac:dyDescent="0.35">
      <c r="A8492">
        <v>39.238373999213103</v>
      </c>
      <c r="B8492">
        <v>-118.355212093128</v>
      </c>
      <c r="C8492" t="s">
        <v>29</v>
      </c>
      <c r="D8492">
        <v>23.9298042463287</v>
      </c>
      <c r="E8492">
        <v>9</v>
      </c>
      <c r="F8492">
        <v>565</v>
      </c>
      <c r="G8492">
        <v>5</v>
      </c>
      <c r="H8492">
        <v>3</v>
      </c>
      <c r="I8492">
        <v>2005</v>
      </c>
      <c r="J8492">
        <v>0</v>
      </c>
      <c r="K8492">
        <v>0</v>
      </c>
      <c r="L8492">
        <v>1</v>
      </c>
      <c r="M8492">
        <v>13</v>
      </c>
      <c r="N8492" t="s">
        <v>35</v>
      </c>
      <c r="O8492" t="s">
        <v>30</v>
      </c>
      <c r="P8492">
        <v>8.4775460390515605</v>
      </c>
      <c r="Q8492">
        <v>0.77042634310909797</v>
      </c>
      <c r="R8492">
        <v>0.320864758733239</v>
      </c>
      <c r="S8492">
        <v>34</v>
      </c>
      <c r="T8492">
        <v>46</v>
      </c>
      <c r="U8492">
        <v>360.73728825802903</v>
      </c>
      <c r="V8492">
        <v>2.3008849557522099E-2</v>
      </c>
      <c r="W8492">
        <v>593958.18313858204</v>
      </c>
      <c r="X8492" t="s">
        <v>28</v>
      </c>
      <c r="Y8492">
        <f>1-937-140-8240</f>
        <v>-9316</v>
      </c>
    </row>
    <row r="8493" spans="1:25" x14ac:dyDescent="0.35">
      <c r="A8493">
        <v>38.643048039630301</v>
      </c>
      <c r="B8493">
        <v>-119.12594068514601</v>
      </c>
      <c r="C8493" t="s">
        <v>25</v>
      </c>
      <c r="D8493">
        <v>13.094540309123101</v>
      </c>
      <c r="E8493">
        <v>0</v>
      </c>
      <c r="F8493">
        <v>793</v>
      </c>
      <c r="G8493">
        <v>2</v>
      </c>
      <c r="H8493">
        <v>2</v>
      </c>
      <c r="I8493">
        <v>1987</v>
      </c>
      <c r="J8493">
        <v>1</v>
      </c>
      <c r="K8493">
        <v>1</v>
      </c>
      <c r="L8493">
        <v>0</v>
      </c>
      <c r="M8493">
        <v>2</v>
      </c>
      <c r="N8493" t="s">
        <v>26</v>
      </c>
      <c r="O8493" t="s">
        <v>27</v>
      </c>
      <c r="P8493">
        <v>4.2943932882798004</v>
      </c>
      <c r="Q8493">
        <v>2.1526135632377899</v>
      </c>
      <c r="R8493">
        <v>2.4072914701879999</v>
      </c>
      <c r="S8493">
        <v>57</v>
      </c>
      <c r="T8493">
        <v>36</v>
      </c>
      <c r="U8493">
        <v>804.28627032224495</v>
      </c>
      <c r="V8493">
        <v>2.5220680958385798E-3</v>
      </c>
      <c r="W8493">
        <v>878897.52518031001</v>
      </c>
      <c r="X8493" t="s">
        <v>31</v>
      </c>
      <c r="Y8493">
        <f>1-915-428-1696</f>
        <v>-3038</v>
      </c>
    </row>
    <row r="8494" spans="1:25" x14ac:dyDescent="0.35">
      <c r="A8494">
        <v>37.100400074168398</v>
      </c>
      <c r="B8494">
        <v>-114.573913529414</v>
      </c>
      <c r="C8494" t="s">
        <v>25</v>
      </c>
      <c r="D8494">
        <v>23.5364781997894</v>
      </c>
      <c r="E8494">
        <v>4</v>
      </c>
      <c r="F8494">
        <v>3039</v>
      </c>
      <c r="G8494">
        <v>5</v>
      </c>
      <c r="H8494">
        <v>2</v>
      </c>
      <c r="I8494">
        <v>1952</v>
      </c>
      <c r="J8494">
        <v>0</v>
      </c>
      <c r="K8494">
        <v>0</v>
      </c>
      <c r="L8494">
        <v>0</v>
      </c>
      <c r="M8494">
        <v>3</v>
      </c>
      <c r="N8494" t="s">
        <v>41</v>
      </c>
      <c r="O8494" t="s">
        <v>32</v>
      </c>
      <c r="P8494">
        <v>6.6033923208534402</v>
      </c>
      <c r="Q8494">
        <v>1.4248798299247201</v>
      </c>
      <c r="R8494">
        <v>2.34435353153494</v>
      </c>
      <c r="S8494">
        <v>141</v>
      </c>
      <c r="T8494">
        <v>65</v>
      </c>
      <c r="U8494">
        <v>296.61281057774499</v>
      </c>
      <c r="V8494">
        <v>9.8716683119447093E-4</v>
      </c>
      <c r="W8494">
        <v>1184795.98495995</v>
      </c>
      <c r="X8494" t="s">
        <v>28</v>
      </c>
      <c r="Y8494">
        <f>1-358-697-1902</f>
        <v>-2956</v>
      </c>
    </row>
    <row r="8495" spans="1:25" x14ac:dyDescent="0.35">
      <c r="A8495">
        <v>38.207454608417898</v>
      </c>
      <c r="B8495">
        <v>-120.246700891464</v>
      </c>
      <c r="C8495" t="s">
        <v>25</v>
      </c>
      <c r="D8495">
        <v>49.5543126227169</v>
      </c>
      <c r="E8495">
        <v>4</v>
      </c>
      <c r="F8495">
        <v>3820</v>
      </c>
      <c r="G8495">
        <v>2</v>
      </c>
      <c r="H8495">
        <v>2</v>
      </c>
      <c r="I8495">
        <v>2006</v>
      </c>
      <c r="J8495">
        <v>0</v>
      </c>
      <c r="K8495">
        <v>0</v>
      </c>
      <c r="L8495">
        <v>0</v>
      </c>
      <c r="M8495">
        <v>11</v>
      </c>
      <c r="N8495" t="s">
        <v>37</v>
      </c>
      <c r="O8495" t="s">
        <v>27</v>
      </c>
      <c r="P8495">
        <v>11.509161303839299</v>
      </c>
      <c r="Q8495">
        <v>1.6239036595526499</v>
      </c>
      <c r="R8495">
        <v>4.5602977219802003</v>
      </c>
      <c r="S8495">
        <v>168</v>
      </c>
      <c r="T8495">
        <v>48</v>
      </c>
      <c r="U8495">
        <v>346.163225302444</v>
      </c>
      <c r="V8495">
        <v>2.8795811518324602E-3</v>
      </c>
      <c r="W8495">
        <v>1490177.3405397199</v>
      </c>
      <c r="X8495" t="s">
        <v>39</v>
      </c>
      <c r="Y8495">
        <f>1-732-891-5613</f>
        <v>-7235</v>
      </c>
    </row>
    <row r="8496" spans="1:25" x14ac:dyDescent="0.35">
      <c r="A8496">
        <v>36.6325008338925</v>
      </c>
      <c r="B8496">
        <v>-120.71731865019601</v>
      </c>
      <c r="C8496" t="s">
        <v>29</v>
      </c>
      <c r="D8496">
        <v>38.056301742804003</v>
      </c>
      <c r="E8496">
        <v>7</v>
      </c>
      <c r="F8496">
        <v>3293</v>
      </c>
      <c r="G8496">
        <v>5</v>
      </c>
      <c r="H8496">
        <v>3</v>
      </c>
      <c r="I8496">
        <v>1985</v>
      </c>
      <c r="J8496">
        <v>1</v>
      </c>
      <c r="K8496">
        <v>0</v>
      </c>
      <c r="L8496">
        <v>1</v>
      </c>
      <c r="M8496">
        <v>6</v>
      </c>
      <c r="N8496" t="s">
        <v>37</v>
      </c>
      <c r="O8496" t="s">
        <v>30</v>
      </c>
      <c r="P8496">
        <v>13.0583387024882</v>
      </c>
      <c r="Q8496">
        <v>2.1982018496900602</v>
      </c>
      <c r="R8496">
        <v>4.10914905409048</v>
      </c>
      <c r="S8496">
        <v>30</v>
      </c>
      <c r="T8496">
        <v>65</v>
      </c>
      <c r="U8496">
        <v>240.92249043848801</v>
      </c>
      <c r="V8496">
        <v>1.82204676586699E-3</v>
      </c>
      <c r="W8496">
        <v>1239738.66901949</v>
      </c>
      <c r="X8496" t="s">
        <v>42</v>
      </c>
      <c r="Y8496">
        <f>1-888-992-2780</f>
        <v>-4659</v>
      </c>
    </row>
    <row r="8497" spans="1:25" x14ac:dyDescent="0.35">
      <c r="A8497">
        <v>37.136031930402297</v>
      </c>
      <c r="B8497">
        <v>-115.272942902051</v>
      </c>
      <c r="C8497" t="s">
        <v>34</v>
      </c>
      <c r="D8497">
        <v>24.0852831181741</v>
      </c>
      <c r="E8497">
        <v>9</v>
      </c>
      <c r="F8497">
        <v>3428</v>
      </c>
      <c r="G8497">
        <v>4</v>
      </c>
      <c r="H8497">
        <v>3</v>
      </c>
      <c r="I8497">
        <v>1971</v>
      </c>
      <c r="J8497">
        <v>1</v>
      </c>
      <c r="K8497">
        <v>0</v>
      </c>
      <c r="L8497">
        <v>0</v>
      </c>
      <c r="M8497">
        <v>9</v>
      </c>
      <c r="N8497" t="s">
        <v>37</v>
      </c>
      <c r="O8497" t="s">
        <v>30</v>
      </c>
      <c r="P8497">
        <v>5.2105395084110002</v>
      </c>
      <c r="Q8497">
        <v>1.63740396340487</v>
      </c>
      <c r="R8497">
        <v>2.6832466139507098</v>
      </c>
      <c r="S8497">
        <v>26</v>
      </c>
      <c r="T8497">
        <v>43</v>
      </c>
      <c r="U8497">
        <v>562.40501113545201</v>
      </c>
      <c r="V8497">
        <v>2.6254375729288198E-3</v>
      </c>
      <c r="W8497">
        <v>2181061.6617936301</v>
      </c>
      <c r="X8497" t="s">
        <v>40</v>
      </c>
      <c r="Y8497">
        <f>1-877-533-1026</f>
        <v>-2435</v>
      </c>
    </row>
    <row r="8498" spans="1:25" x14ac:dyDescent="0.35">
      <c r="A8498">
        <v>41.1946399190997</v>
      </c>
      <c r="B8498">
        <v>-117.277473610851</v>
      </c>
      <c r="C8498" t="s">
        <v>34</v>
      </c>
      <c r="D8498">
        <v>9.88479773325178</v>
      </c>
      <c r="E8498">
        <v>2</v>
      </c>
      <c r="F8498">
        <v>4493</v>
      </c>
      <c r="G8498">
        <v>1</v>
      </c>
      <c r="H8498">
        <v>1</v>
      </c>
      <c r="I8498">
        <v>1992</v>
      </c>
      <c r="J8498">
        <v>0</v>
      </c>
      <c r="K8498">
        <v>1</v>
      </c>
      <c r="L8498">
        <v>0</v>
      </c>
      <c r="M8498">
        <v>5</v>
      </c>
      <c r="N8498" t="s">
        <v>26</v>
      </c>
      <c r="O8498" t="s">
        <v>30</v>
      </c>
      <c r="P8498">
        <v>5.9866415172224698</v>
      </c>
      <c r="Q8498">
        <v>1.4953241816144101</v>
      </c>
      <c r="R8498">
        <v>3.8698328732015801</v>
      </c>
      <c r="S8498">
        <v>163</v>
      </c>
      <c r="T8498">
        <v>60</v>
      </c>
      <c r="U8498">
        <v>288.47037443897102</v>
      </c>
      <c r="V8498">
        <v>1.1128421989761801E-3</v>
      </c>
      <c r="W8498">
        <v>1429678.9849372001</v>
      </c>
      <c r="X8498" t="s">
        <v>43</v>
      </c>
      <c r="Y8498">
        <f>1-258-235-7847</f>
        <v>-8339</v>
      </c>
    </row>
    <row r="8499" spans="1:25" x14ac:dyDescent="0.35">
      <c r="A8499">
        <v>41.182947008757303</v>
      </c>
      <c r="B8499">
        <v>-123.598357008297</v>
      </c>
      <c r="C8499" t="s">
        <v>29</v>
      </c>
      <c r="D8499">
        <v>6.1539216243590404</v>
      </c>
      <c r="E8499">
        <v>4</v>
      </c>
      <c r="F8499">
        <v>1242</v>
      </c>
      <c r="G8499">
        <v>5</v>
      </c>
      <c r="H8499">
        <v>3</v>
      </c>
      <c r="I8499">
        <v>2016</v>
      </c>
      <c r="J8499">
        <v>1</v>
      </c>
      <c r="K8499">
        <v>1</v>
      </c>
      <c r="L8499">
        <v>1</v>
      </c>
      <c r="M8499">
        <v>12</v>
      </c>
      <c r="N8499" t="s">
        <v>37</v>
      </c>
      <c r="O8499" t="s">
        <v>32</v>
      </c>
      <c r="P8499">
        <v>11.131189044406501</v>
      </c>
      <c r="Q8499">
        <v>1.90289724096727</v>
      </c>
      <c r="R8499">
        <v>0.40550240679716298</v>
      </c>
      <c r="S8499">
        <v>129</v>
      </c>
      <c r="T8499">
        <v>50</v>
      </c>
      <c r="U8499">
        <v>322.22559539738398</v>
      </c>
      <c r="V8499">
        <v>9.6618357487922701E-3</v>
      </c>
      <c r="W8499">
        <v>937757.510476419</v>
      </c>
      <c r="X8499" t="s">
        <v>43</v>
      </c>
      <c r="Y8499">
        <f>1-210-363-8080</f>
        <v>-8652</v>
      </c>
    </row>
    <row r="8500" spans="1:25" x14ac:dyDescent="0.35">
      <c r="A8500">
        <v>33.280723348681398</v>
      </c>
      <c r="B8500">
        <v>-117.41755538570401</v>
      </c>
      <c r="C8500" t="s">
        <v>29</v>
      </c>
      <c r="D8500">
        <v>32.067324100510497</v>
      </c>
      <c r="E8500">
        <v>7</v>
      </c>
      <c r="F8500">
        <v>2966</v>
      </c>
      <c r="G8500">
        <v>4</v>
      </c>
      <c r="H8500">
        <v>1</v>
      </c>
      <c r="I8500">
        <v>1951</v>
      </c>
      <c r="J8500">
        <v>0</v>
      </c>
      <c r="K8500">
        <v>0</v>
      </c>
      <c r="L8500">
        <v>1</v>
      </c>
      <c r="M8500">
        <v>8</v>
      </c>
      <c r="N8500" t="s">
        <v>35</v>
      </c>
      <c r="O8500" t="s">
        <v>27</v>
      </c>
      <c r="P8500">
        <v>10.391006759492001</v>
      </c>
      <c r="Q8500">
        <v>2.29943974573965</v>
      </c>
      <c r="R8500">
        <v>3.4915161239725201</v>
      </c>
      <c r="S8500">
        <v>53</v>
      </c>
      <c r="T8500">
        <v>30</v>
      </c>
      <c r="U8500">
        <v>945.01791621921598</v>
      </c>
      <c r="V8500">
        <v>2.6972353337828699E-3</v>
      </c>
      <c r="W8500">
        <v>3080952.51045541</v>
      </c>
      <c r="X8500" t="s">
        <v>28</v>
      </c>
      <c r="Y8500">
        <f>1-870-492-4994</f>
        <v>-6355</v>
      </c>
    </row>
    <row r="8501" spans="1:25" x14ac:dyDescent="0.35">
      <c r="A8501">
        <v>34.866238891495101</v>
      </c>
      <c r="B8501">
        <v>-118.49970212192</v>
      </c>
      <c r="C8501" t="s">
        <v>25</v>
      </c>
      <c r="D8501">
        <v>25.445980064630099</v>
      </c>
      <c r="E8501">
        <v>0</v>
      </c>
      <c r="F8501">
        <v>543</v>
      </c>
      <c r="G8501">
        <v>5</v>
      </c>
      <c r="H8501">
        <v>1</v>
      </c>
      <c r="I8501">
        <v>1977</v>
      </c>
      <c r="J8501">
        <v>0</v>
      </c>
      <c r="K8501">
        <v>0</v>
      </c>
      <c r="L8501">
        <v>1</v>
      </c>
      <c r="M8501">
        <v>2</v>
      </c>
      <c r="N8501" t="s">
        <v>37</v>
      </c>
      <c r="O8501" t="s">
        <v>27</v>
      </c>
      <c r="P8501">
        <v>14.9242083554178</v>
      </c>
      <c r="Q8501">
        <v>2.34748798329445</v>
      </c>
      <c r="R8501">
        <v>4.8206459456872599</v>
      </c>
      <c r="S8501">
        <v>118</v>
      </c>
      <c r="T8501">
        <v>65</v>
      </c>
      <c r="U8501">
        <v>653.27532142639302</v>
      </c>
      <c r="V8501">
        <v>3.6832412523020198E-3</v>
      </c>
      <c r="W8501">
        <v>638256.10161982896</v>
      </c>
      <c r="X8501" t="s">
        <v>39</v>
      </c>
      <c r="Y8501">
        <f>1-489-959-6624</f>
        <v>-8071</v>
      </c>
    </row>
    <row r="8502" spans="1:25" x14ac:dyDescent="0.35">
      <c r="A8502">
        <v>33.187469581391902</v>
      </c>
      <c r="B8502">
        <v>-118.985208457572</v>
      </c>
      <c r="C8502" t="s">
        <v>29</v>
      </c>
      <c r="D8502">
        <v>14.1144278912196</v>
      </c>
      <c r="E8502">
        <v>4</v>
      </c>
      <c r="F8502">
        <v>2771</v>
      </c>
      <c r="G8502">
        <v>3</v>
      </c>
      <c r="H8502">
        <v>1</v>
      </c>
      <c r="I8502">
        <v>1992</v>
      </c>
      <c r="J8502">
        <v>0</v>
      </c>
      <c r="K8502">
        <v>1</v>
      </c>
      <c r="L8502">
        <v>1</v>
      </c>
      <c r="M8502">
        <v>12</v>
      </c>
      <c r="N8502" t="s">
        <v>26</v>
      </c>
      <c r="O8502" t="s">
        <v>30</v>
      </c>
      <c r="P8502">
        <v>11.655570013737099</v>
      </c>
      <c r="Q8502">
        <v>1.91330073080819</v>
      </c>
      <c r="R8502">
        <v>0.97715732792380205</v>
      </c>
      <c r="S8502">
        <v>33</v>
      </c>
      <c r="T8502">
        <v>63</v>
      </c>
      <c r="U8502">
        <v>258.27251633138201</v>
      </c>
      <c r="V8502">
        <v>4.3305665824612E-3</v>
      </c>
      <c r="W8502">
        <v>1049415.8198021001</v>
      </c>
      <c r="X8502" t="s">
        <v>39</v>
      </c>
      <c r="Y8502">
        <f>1-739-788-7774</f>
        <v>-9300</v>
      </c>
    </row>
    <row r="8503" spans="1:25" x14ac:dyDescent="0.35">
      <c r="A8503">
        <v>35.2136951739366</v>
      </c>
      <c r="B8503">
        <v>-122.03572060746799</v>
      </c>
      <c r="C8503" t="s">
        <v>25</v>
      </c>
      <c r="D8503">
        <v>28.667207972423299</v>
      </c>
      <c r="E8503">
        <v>3</v>
      </c>
      <c r="F8503">
        <v>3185</v>
      </c>
      <c r="G8503">
        <v>2</v>
      </c>
      <c r="H8503">
        <v>2</v>
      </c>
      <c r="I8503">
        <v>1976</v>
      </c>
      <c r="J8503">
        <v>1</v>
      </c>
      <c r="K8503">
        <v>1</v>
      </c>
      <c r="L8503">
        <v>0</v>
      </c>
      <c r="M8503">
        <v>14</v>
      </c>
      <c r="N8503" t="s">
        <v>26</v>
      </c>
      <c r="O8503" t="s">
        <v>27</v>
      </c>
      <c r="P8503">
        <v>6.5097845251808302</v>
      </c>
      <c r="Q8503">
        <v>1.2094869247409299</v>
      </c>
      <c r="R8503">
        <v>4.2387566556307004</v>
      </c>
      <c r="S8503">
        <v>18</v>
      </c>
      <c r="T8503">
        <v>54</v>
      </c>
      <c r="U8503">
        <v>491.47525879826298</v>
      </c>
      <c r="V8503">
        <v>4.3956043956043904E-3</v>
      </c>
      <c r="W8503">
        <v>1845482.6303963</v>
      </c>
      <c r="X8503" t="s">
        <v>33</v>
      </c>
      <c r="Y8503">
        <f>1-981-153-4006</f>
        <v>-5139</v>
      </c>
    </row>
    <row r="8504" spans="1:25" x14ac:dyDescent="0.35">
      <c r="A8504">
        <v>35.687480628869302</v>
      </c>
      <c r="B8504">
        <v>-115.00759849901399</v>
      </c>
      <c r="C8504" t="s">
        <v>29</v>
      </c>
      <c r="D8504">
        <v>42.1541476318855</v>
      </c>
      <c r="E8504">
        <v>1</v>
      </c>
      <c r="F8504">
        <v>4723</v>
      </c>
      <c r="G8504">
        <v>3</v>
      </c>
      <c r="H8504">
        <v>1</v>
      </c>
      <c r="I8504">
        <v>2020</v>
      </c>
      <c r="J8504">
        <v>0</v>
      </c>
      <c r="K8504">
        <v>0</v>
      </c>
      <c r="L8504">
        <v>0</v>
      </c>
      <c r="M8504">
        <v>7</v>
      </c>
      <c r="N8504" t="s">
        <v>37</v>
      </c>
      <c r="O8504" t="s">
        <v>32</v>
      </c>
      <c r="P8504">
        <v>4.14656376451219</v>
      </c>
      <c r="Q8504">
        <v>1.0917859832180901</v>
      </c>
      <c r="R8504">
        <v>9.7519802941019993</v>
      </c>
      <c r="S8504">
        <v>9</v>
      </c>
      <c r="T8504">
        <v>64</v>
      </c>
      <c r="U8504">
        <v>645.13741825091404</v>
      </c>
      <c r="V8504">
        <v>1.4821088291340199E-3</v>
      </c>
      <c r="W8504">
        <v>3155449.4795918399</v>
      </c>
      <c r="X8504" t="s">
        <v>43</v>
      </c>
      <c r="Y8504">
        <f>1-360-363-5762</f>
        <v>-6484</v>
      </c>
    </row>
    <row r="8505" spans="1:25" x14ac:dyDescent="0.35">
      <c r="A8505">
        <v>33.959327260733303</v>
      </c>
      <c r="B8505">
        <v>-114.76892725182</v>
      </c>
      <c r="C8505" t="s">
        <v>25</v>
      </c>
      <c r="D8505">
        <v>16.102143233143799</v>
      </c>
      <c r="E8505">
        <v>9</v>
      </c>
      <c r="F8505">
        <v>3233</v>
      </c>
      <c r="G8505">
        <v>3</v>
      </c>
      <c r="H8505">
        <v>2</v>
      </c>
      <c r="I8505">
        <v>2009</v>
      </c>
      <c r="J8505">
        <v>1</v>
      </c>
      <c r="K8505">
        <v>1</v>
      </c>
      <c r="L8505">
        <v>1</v>
      </c>
      <c r="M8505">
        <v>9</v>
      </c>
      <c r="N8505" t="s">
        <v>26</v>
      </c>
      <c r="O8505" t="s">
        <v>32</v>
      </c>
      <c r="P8505">
        <v>7.5933205647089199</v>
      </c>
      <c r="Q8505">
        <v>0.90353386201479802</v>
      </c>
      <c r="R8505">
        <v>9.5887762111798107</v>
      </c>
      <c r="S8505">
        <v>65</v>
      </c>
      <c r="T8505">
        <v>45</v>
      </c>
      <c r="U8505">
        <v>220.054915351066</v>
      </c>
      <c r="V8505">
        <v>2.78379214351995E-3</v>
      </c>
      <c r="W8505">
        <v>1056394.0635993399</v>
      </c>
      <c r="X8505" t="s">
        <v>38</v>
      </c>
      <c r="Y8505">
        <f>1-253-353-3212</f>
        <v>-3817</v>
      </c>
    </row>
    <row r="8506" spans="1:25" x14ac:dyDescent="0.35">
      <c r="A8506">
        <v>41.4153481531688</v>
      </c>
      <c r="B8506">
        <v>-123.98821560620399</v>
      </c>
      <c r="C8506" t="s">
        <v>34</v>
      </c>
      <c r="D8506">
        <v>41.274181548900003</v>
      </c>
      <c r="E8506">
        <v>9</v>
      </c>
      <c r="F8506">
        <v>1501</v>
      </c>
      <c r="G8506">
        <v>5</v>
      </c>
      <c r="H8506">
        <v>1</v>
      </c>
      <c r="I8506">
        <v>1974</v>
      </c>
      <c r="J8506">
        <v>0</v>
      </c>
      <c r="K8506">
        <v>1</v>
      </c>
      <c r="L8506">
        <v>1</v>
      </c>
      <c r="M8506">
        <v>13</v>
      </c>
      <c r="N8506" t="s">
        <v>37</v>
      </c>
      <c r="O8506" t="s">
        <v>32</v>
      </c>
      <c r="P8506">
        <v>13.101869295202199</v>
      </c>
      <c r="Q8506">
        <v>0.806377175493456</v>
      </c>
      <c r="R8506">
        <v>1.94371861938279</v>
      </c>
      <c r="S8506">
        <v>87</v>
      </c>
      <c r="T8506">
        <v>61</v>
      </c>
      <c r="U8506">
        <v>578.02952306912596</v>
      </c>
      <c r="V8506">
        <v>8.6608927381745492E-3</v>
      </c>
      <c r="W8506">
        <v>1356798.5711171899</v>
      </c>
      <c r="X8506" t="s">
        <v>28</v>
      </c>
      <c r="Y8506">
        <f>1-570-937-4283</f>
        <v>-5789</v>
      </c>
    </row>
    <row r="8507" spans="1:25" x14ac:dyDescent="0.35">
      <c r="A8507">
        <v>40.208482426434898</v>
      </c>
      <c r="B8507">
        <v>-119.76913198056199</v>
      </c>
      <c r="C8507" t="s">
        <v>34</v>
      </c>
      <c r="D8507">
        <v>35.685960491849499</v>
      </c>
      <c r="E8507">
        <v>5</v>
      </c>
      <c r="F8507">
        <v>606</v>
      </c>
      <c r="G8507">
        <v>5</v>
      </c>
      <c r="H8507">
        <v>1</v>
      </c>
      <c r="I8507">
        <v>1964</v>
      </c>
      <c r="J8507">
        <v>1</v>
      </c>
      <c r="K8507">
        <v>0</v>
      </c>
      <c r="L8507">
        <v>0</v>
      </c>
      <c r="M8507">
        <v>10</v>
      </c>
      <c r="N8507" t="s">
        <v>41</v>
      </c>
      <c r="O8507" t="s">
        <v>32</v>
      </c>
      <c r="P8507">
        <v>3.7293581211310101</v>
      </c>
      <c r="Q8507">
        <v>2.4313711725170202</v>
      </c>
      <c r="R8507">
        <v>6.4954861321238297</v>
      </c>
      <c r="S8507">
        <v>42</v>
      </c>
      <c r="T8507">
        <v>74</v>
      </c>
      <c r="U8507">
        <v>498.021660941302</v>
      </c>
      <c r="V8507">
        <v>1.65016501650165E-2</v>
      </c>
      <c r="W8507">
        <v>489265.71997696301</v>
      </c>
      <c r="X8507" t="s">
        <v>31</v>
      </c>
      <c r="Y8507">
        <f>1-601-522-2246</f>
        <v>-3368</v>
      </c>
    </row>
    <row r="8508" spans="1:25" x14ac:dyDescent="0.35">
      <c r="A8508">
        <v>35.839613044480302</v>
      </c>
      <c r="B8508">
        <v>-114.093940314013</v>
      </c>
      <c r="C8508" t="s">
        <v>25</v>
      </c>
      <c r="D8508">
        <v>18.009870755424998</v>
      </c>
      <c r="E8508">
        <v>1</v>
      </c>
      <c r="F8508">
        <v>4027</v>
      </c>
      <c r="G8508">
        <v>4</v>
      </c>
      <c r="H8508">
        <v>1</v>
      </c>
      <c r="I8508">
        <v>1994</v>
      </c>
      <c r="J8508">
        <v>0</v>
      </c>
      <c r="K8508">
        <v>1</v>
      </c>
      <c r="L8508">
        <v>1</v>
      </c>
      <c r="M8508">
        <v>10</v>
      </c>
      <c r="N8508" t="s">
        <v>26</v>
      </c>
      <c r="O8508" t="s">
        <v>27</v>
      </c>
      <c r="P8508">
        <v>6.07523209037074</v>
      </c>
      <c r="Q8508">
        <v>1.3760842228277901</v>
      </c>
      <c r="R8508">
        <v>0.89987042155239405</v>
      </c>
      <c r="S8508">
        <v>121</v>
      </c>
      <c r="T8508">
        <v>32</v>
      </c>
      <c r="U8508">
        <v>573.86308213852203</v>
      </c>
      <c r="V8508">
        <v>2.48323814253786E-3</v>
      </c>
      <c r="W8508">
        <v>2610910.0345670199</v>
      </c>
      <c r="X8508" t="s">
        <v>44</v>
      </c>
      <c r="Y8508">
        <f>1-321-742-4286</f>
        <v>-5348</v>
      </c>
    </row>
    <row r="8509" spans="1:25" x14ac:dyDescent="0.35">
      <c r="A8509">
        <v>35.525471580929597</v>
      </c>
      <c r="B8509">
        <v>-115.25079807597901</v>
      </c>
      <c r="C8509" t="s">
        <v>29</v>
      </c>
      <c r="D8509">
        <v>2.73961976443913</v>
      </c>
      <c r="E8509">
        <v>3</v>
      </c>
      <c r="F8509">
        <v>3385</v>
      </c>
      <c r="G8509">
        <v>3</v>
      </c>
      <c r="H8509">
        <v>2</v>
      </c>
      <c r="I8509">
        <v>2018</v>
      </c>
      <c r="J8509">
        <v>0</v>
      </c>
      <c r="K8509">
        <v>0</v>
      </c>
      <c r="L8509">
        <v>0</v>
      </c>
      <c r="M8509">
        <v>14</v>
      </c>
      <c r="N8509" t="s">
        <v>41</v>
      </c>
      <c r="O8509" t="s">
        <v>30</v>
      </c>
      <c r="P8509">
        <v>3.4551062327309801</v>
      </c>
      <c r="Q8509">
        <v>1.01694985775974</v>
      </c>
      <c r="R8509">
        <v>7.3256875142490898</v>
      </c>
      <c r="S8509">
        <v>74</v>
      </c>
      <c r="T8509">
        <v>72</v>
      </c>
      <c r="U8509">
        <v>768.53844884350997</v>
      </c>
      <c r="V8509">
        <v>4.13589364844904E-3</v>
      </c>
      <c r="W8509">
        <v>2812504.4511091602</v>
      </c>
      <c r="X8509" t="s">
        <v>36</v>
      </c>
      <c r="Y8509">
        <f>1-247-120-6206</f>
        <v>-6572</v>
      </c>
    </row>
    <row r="8510" spans="1:25" x14ac:dyDescent="0.35">
      <c r="A8510">
        <v>35.616164637741797</v>
      </c>
      <c r="B8510">
        <v>-122.015412739087</v>
      </c>
      <c r="C8510" t="s">
        <v>25</v>
      </c>
      <c r="D8510">
        <v>14.4334819430322</v>
      </c>
      <c r="E8510">
        <v>7</v>
      </c>
      <c r="F8510">
        <v>4145</v>
      </c>
      <c r="G8510">
        <v>5</v>
      </c>
      <c r="H8510">
        <v>1</v>
      </c>
      <c r="I8510">
        <v>2020</v>
      </c>
      <c r="J8510">
        <v>1</v>
      </c>
      <c r="K8510">
        <v>1</v>
      </c>
      <c r="L8510">
        <v>0</v>
      </c>
      <c r="M8510">
        <v>12</v>
      </c>
      <c r="N8510" t="s">
        <v>26</v>
      </c>
      <c r="O8510" t="s">
        <v>30</v>
      </c>
      <c r="P8510">
        <v>2.6208422061467598</v>
      </c>
      <c r="Q8510">
        <v>1.8978408922351999</v>
      </c>
      <c r="R8510">
        <v>8.2587076006507001</v>
      </c>
      <c r="S8510">
        <v>150</v>
      </c>
      <c r="T8510">
        <v>53</v>
      </c>
      <c r="U8510">
        <v>935.05515968385498</v>
      </c>
      <c r="V8510">
        <v>2.8950542822677901E-3</v>
      </c>
      <c r="W8510">
        <v>4272692.3170641996</v>
      </c>
      <c r="X8510" t="s">
        <v>33</v>
      </c>
      <c r="Y8510">
        <f>1-378-783-7987</f>
        <v>-9147</v>
      </c>
    </row>
    <row r="8511" spans="1:25" x14ac:dyDescent="0.35">
      <c r="A8511">
        <v>35.487982223219298</v>
      </c>
      <c r="B8511">
        <v>-121.654554726379</v>
      </c>
      <c r="C8511" t="s">
        <v>25</v>
      </c>
      <c r="D8511">
        <v>34.693768496733</v>
      </c>
      <c r="E8511">
        <v>6</v>
      </c>
      <c r="F8511">
        <v>809</v>
      </c>
      <c r="G8511">
        <v>3</v>
      </c>
      <c r="H8511">
        <v>1</v>
      </c>
      <c r="I8511">
        <v>1984</v>
      </c>
      <c r="J8511">
        <v>1</v>
      </c>
      <c r="K8511">
        <v>0</v>
      </c>
      <c r="L8511">
        <v>1</v>
      </c>
      <c r="M8511">
        <v>7</v>
      </c>
      <c r="N8511" t="s">
        <v>37</v>
      </c>
      <c r="O8511" t="s">
        <v>32</v>
      </c>
      <c r="P8511">
        <v>5.8342701413957299</v>
      </c>
      <c r="Q8511">
        <v>2.3159997061162998</v>
      </c>
      <c r="R8511">
        <v>0.65031688549304101</v>
      </c>
      <c r="S8511">
        <v>156</v>
      </c>
      <c r="T8511">
        <v>64</v>
      </c>
      <c r="U8511">
        <v>655.85922695694205</v>
      </c>
      <c r="V8511">
        <v>8.65265760197775E-3</v>
      </c>
      <c r="W8511">
        <v>715726.167183407</v>
      </c>
      <c r="X8511" t="s">
        <v>44</v>
      </c>
      <c r="Y8511">
        <f>1-947-190-8635</f>
        <v>-9771</v>
      </c>
    </row>
    <row r="8512" spans="1:25" x14ac:dyDescent="0.35">
      <c r="A8512">
        <v>32.7400817496992</v>
      </c>
      <c r="B8512">
        <v>-117.165799040198</v>
      </c>
      <c r="C8512" t="s">
        <v>25</v>
      </c>
      <c r="D8512">
        <v>2.8143331891114101</v>
      </c>
      <c r="E8512">
        <v>8</v>
      </c>
      <c r="F8512">
        <v>3269</v>
      </c>
      <c r="G8512">
        <v>3</v>
      </c>
      <c r="H8512">
        <v>3</v>
      </c>
      <c r="I8512">
        <v>1983</v>
      </c>
      <c r="J8512">
        <v>0</v>
      </c>
      <c r="K8512">
        <v>0</v>
      </c>
      <c r="L8512">
        <v>1</v>
      </c>
      <c r="M8512">
        <v>5</v>
      </c>
      <c r="N8512" t="s">
        <v>35</v>
      </c>
      <c r="O8512" t="s">
        <v>30</v>
      </c>
      <c r="P8512">
        <v>8.1309798344017903</v>
      </c>
      <c r="Q8512">
        <v>0.705843844639648</v>
      </c>
      <c r="R8512">
        <v>1.73613603564083</v>
      </c>
      <c r="S8512">
        <v>162</v>
      </c>
      <c r="T8512">
        <v>62</v>
      </c>
      <c r="U8512">
        <v>420.45252695240902</v>
      </c>
      <c r="V8512">
        <v>1.52951973080452E-3</v>
      </c>
      <c r="W8512">
        <v>1561386.8866357999</v>
      </c>
      <c r="X8512" t="s">
        <v>33</v>
      </c>
      <c r="Y8512">
        <f>1-351-402-4919</f>
        <v>-5671</v>
      </c>
    </row>
    <row r="8513" spans="1:25" x14ac:dyDescent="0.35">
      <c r="A8513">
        <v>34.261322448636598</v>
      </c>
      <c r="B8513">
        <v>-118.646586170088</v>
      </c>
      <c r="C8513" t="s">
        <v>34</v>
      </c>
      <c r="D8513">
        <v>40.3380972084286</v>
      </c>
      <c r="E8513">
        <v>3</v>
      </c>
      <c r="F8513">
        <v>4464</v>
      </c>
      <c r="G8513">
        <v>5</v>
      </c>
      <c r="H8513">
        <v>1</v>
      </c>
      <c r="I8513">
        <v>1981</v>
      </c>
      <c r="J8513">
        <v>1</v>
      </c>
      <c r="K8513">
        <v>0</v>
      </c>
      <c r="L8513">
        <v>1</v>
      </c>
      <c r="M8513">
        <v>9</v>
      </c>
      <c r="N8513" t="s">
        <v>35</v>
      </c>
      <c r="O8513" t="s">
        <v>32</v>
      </c>
      <c r="P8513">
        <v>5.5200102178767896</v>
      </c>
      <c r="Q8513">
        <v>1.17059117848671</v>
      </c>
      <c r="R8513">
        <v>2.01650720156533</v>
      </c>
      <c r="S8513">
        <v>71</v>
      </c>
      <c r="T8513">
        <v>34</v>
      </c>
      <c r="U8513">
        <v>641.22838009768202</v>
      </c>
      <c r="V8513">
        <v>2.0161290322580601E-3</v>
      </c>
      <c r="W8513">
        <v>3208235.8943751398</v>
      </c>
      <c r="X8513" t="s">
        <v>33</v>
      </c>
      <c r="Y8513">
        <f>1-388-742-2844</f>
        <v>-3973</v>
      </c>
    </row>
    <row r="8514" spans="1:25" x14ac:dyDescent="0.35">
      <c r="A8514">
        <v>41.753037856991398</v>
      </c>
      <c r="B8514">
        <v>-120.360535372847</v>
      </c>
      <c r="C8514" t="s">
        <v>29</v>
      </c>
      <c r="D8514">
        <v>49.082966772913601</v>
      </c>
      <c r="E8514">
        <v>1</v>
      </c>
      <c r="F8514">
        <v>4869</v>
      </c>
      <c r="G8514">
        <v>2</v>
      </c>
      <c r="H8514">
        <v>1</v>
      </c>
      <c r="I8514">
        <v>1960</v>
      </c>
      <c r="J8514">
        <v>0</v>
      </c>
      <c r="K8514">
        <v>0</v>
      </c>
      <c r="L8514">
        <v>1</v>
      </c>
      <c r="M8514">
        <v>7</v>
      </c>
      <c r="N8514" t="s">
        <v>37</v>
      </c>
      <c r="O8514" t="s">
        <v>32</v>
      </c>
      <c r="P8514">
        <v>9.9918569837097309</v>
      </c>
      <c r="Q8514">
        <v>1.7124786823384299</v>
      </c>
      <c r="R8514">
        <v>4.3296186621219803</v>
      </c>
      <c r="S8514">
        <v>102</v>
      </c>
      <c r="T8514">
        <v>60</v>
      </c>
      <c r="U8514">
        <v>271.929265189212</v>
      </c>
      <c r="V8514">
        <v>1.43766687204764E-3</v>
      </c>
      <c r="W8514">
        <v>1430353.06571915</v>
      </c>
      <c r="X8514" t="s">
        <v>36</v>
      </c>
      <c r="Y8514">
        <f>1-701-764-5749</f>
        <v>-7213</v>
      </c>
    </row>
    <row r="8515" spans="1:25" x14ac:dyDescent="0.35">
      <c r="A8515">
        <v>40.248446142802202</v>
      </c>
      <c r="B8515">
        <v>-116.93602501126099</v>
      </c>
      <c r="C8515" t="s">
        <v>29</v>
      </c>
      <c r="D8515">
        <v>17.9871227710731</v>
      </c>
      <c r="E8515">
        <v>4</v>
      </c>
      <c r="F8515">
        <v>2763</v>
      </c>
      <c r="G8515">
        <v>3</v>
      </c>
      <c r="H8515">
        <v>2</v>
      </c>
      <c r="I8515">
        <v>1950</v>
      </c>
      <c r="J8515">
        <v>0</v>
      </c>
      <c r="K8515">
        <v>1</v>
      </c>
      <c r="L8515">
        <v>0</v>
      </c>
      <c r="M8515">
        <v>13</v>
      </c>
      <c r="N8515" t="s">
        <v>26</v>
      </c>
      <c r="O8515" t="s">
        <v>27</v>
      </c>
      <c r="P8515">
        <v>5.8480848470933404</v>
      </c>
      <c r="Q8515">
        <v>2.3117953035579202</v>
      </c>
      <c r="R8515">
        <v>6.6086468421015399</v>
      </c>
      <c r="S8515">
        <v>52</v>
      </c>
      <c r="T8515">
        <v>25</v>
      </c>
      <c r="U8515">
        <v>281.26538679425403</v>
      </c>
      <c r="V8515">
        <v>4.7050307636626798E-3</v>
      </c>
      <c r="W8515">
        <v>967725.98269847501</v>
      </c>
      <c r="X8515" t="s">
        <v>33</v>
      </c>
      <c r="Y8515">
        <f>1-685-794-8759</f>
        <v>-10237</v>
      </c>
    </row>
    <row r="8516" spans="1:25" x14ac:dyDescent="0.35">
      <c r="A8516">
        <v>39.704850454488103</v>
      </c>
      <c r="B8516">
        <v>-115.916119425844</v>
      </c>
      <c r="C8516" t="s">
        <v>25</v>
      </c>
      <c r="D8516">
        <v>9.2839524052637792</v>
      </c>
      <c r="E8516">
        <v>1</v>
      </c>
      <c r="F8516">
        <v>3283</v>
      </c>
      <c r="G8516">
        <v>3</v>
      </c>
      <c r="H8516">
        <v>3</v>
      </c>
      <c r="I8516">
        <v>1996</v>
      </c>
      <c r="J8516">
        <v>1</v>
      </c>
      <c r="K8516">
        <v>0</v>
      </c>
      <c r="L8516">
        <v>1</v>
      </c>
      <c r="M8516">
        <v>2</v>
      </c>
      <c r="N8516" t="s">
        <v>35</v>
      </c>
      <c r="O8516" t="s">
        <v>27</v>
      </c>
      <c r="P8516">
        <v>13.9571150704102</v>
      </c>
      <c r="Q8516">
        <v>1.9405415637235399</v>
      </c>
      <c r="R8516">
        <v>9.2843769552796491</v>
      </c>
      <c r="S8516">
        <v>66</v>
      </c>
      <c r="T8516">
        <v>36</v>
      </c>
      <c r="U8516">
        <v>465.15496266659699</v>
      </c>
      <c r="V8516">
        <v>6.0919890344197296E-4</v>
      </c>
      <c r="W8516">
        <v>1874081.2977601101</v>
      </c>
      <c r="X8516" t="s">
        <v>31</v>
      </c>
      <c r="Y8516">
        <f>1-346-881-5827</f>
        <v>-7053</v>
      </c>
    </row>
    <row r="8517" spans="1:25" x14ac:dyDescent="0.35">
      <c r="A8517">
        <v>39.505983299956199</v>
      </c>
      <c r="B8517">
        <v>-116.449000297116</v>
      </c>
      <c r="C8517" t="s">
        <v>25</v>
      </c>
      <c r="D8517">
        <v>35.895080353189599</v>
      </c>
      <c r="E8517">
        <v>4</v>
      </c>
      <c r="F8517">
        <v>2979</v>
      </c>
      <c r="G8517">
        <v>2</v>
      </c>
      <c r="H8517">
        <v>1</v>
      </c>
      <c r="I8517">
        <v>1952</v>
      </c>
      <c r="J8517">
        <v>0</v>
      </c>
      <c r="K8517">
        <v>0</v>
      </c>
      <c r="L8517">
        <v>1</v>
      </c>
      <c r="M8517">
        <v>5</v>
      </c>
      <c r="N8517" t="s">
        <v>35</v>
      </c>
      <c r="O8517" t="s">
        <v>32</v>
      </c>
      <c r="P8517">
        <v>5.3026147149194598</v>
      </c>
      <c r="Q8517">
        <v>1.5073889549235899</v>
      </c>
      <c r="R8517">
        <v>4.4097435955858799E-3</v>
      </c>
      <c r="S8517">
        <v>112</v>
      </c>
      <c r="T8517">
        <v>40</v>
      </c>
      <c r="U8517">
        <v>237.294636671132</v>
      </c>
      <c r="V8517">
        <v>1.6784155756965401E-3</v>
      </c>
      <c r="W8517">
        <v>693707.30539295799</v>
      </c>
      <c r="X8517" t="s">
        <v>42</v>
      </c>
      <c r="Y8517">
        <f>1-463-975-1406</f>
        <v>-2843</v>
      </c>
    </row>
    <row r="8518" spans="1:25" x14ac:dyDescent="0.35">
      <c r="A8518">
        <v>35.214614210117396</v>
      </c>
      <c r="B8518">
        <v>-120.006135849028</v>
      </c>
      <c r="C8518" t="s">
        <v>34</v>
      </c>
      <c r="D8518">
        <v>8.8308489574112894</v>
      </c>
      <c r="E8518">
        <v>5</v>
      </c>
      <c r="F8518">
        <v>2404</v>
      </c>
      <c r="G8518">
        <v>4</v>
      </c>
      <c r="H8518">
        <v>1</v>
      </c>
      <c r="I8518">
        <v>1996</v>
      </c>
      <c r="J8518">
        <v>1</v>
      </c>
      <c r="K8518">
        <v>1</v>
      </c>
      <c r="L8518">
        <v>0</v>
      </c>
      <c r="M8518">
        <v>12</v>
      </c>
      <c r="N8518" t="s">
        <v>35</v>
      </c>
      <c r="O8518" t="s">
        <v>30</v>
      </c>
      <c r="P8518">
        <v>14.481452581524</v>
      </c>
      <c r="Q8518">
        <v>1.86466385332655</v>
      </c>
      <c r="R8518">
        <v>1.56239935499658</v>
      </c>
      <c r="S8518">
        <v>71</v>
      </c>
      <c r="T8518">
        <v>34</v>
      </c>
      <c r="U8518">
        <v>887.15252115139799</v>
      </c>
      <c r="V8518">
        <v>4.9916805324459199E-3</v>
      </c>
      <c r="W8518">
        <v>2573907.4958608402</v>
      </c>
      <c r="X8518" t="s">
        <v>39</v>
      </c>
      <c r="Y8518">
        <f>1-435-463-7982</f>
        <v>-8879</v>
      </c>
    </row>
    <row r="8519" spans="1:25" x14ac:dyDescent="0.35">
      <c r="A8519">
        <v>39.756013590080599</v>
      </c>
      <c r="B8519">
        <v>-114.04569257380901</v>
      </c>
      <c r="C8519" t="s">
        <v>25</v>
      </c>
      <c r="D8519">
        <v>5.8222526360634301</v>
      </c>
      <c r="E8519">
        <v>6</v>
      </c>
      <c r="F8519">
        <v>761</v>
      </c>
      <c r="G8519">
        <v>5</v>
      </c>
      <c r="H8519">
        <v>2</v>
      </c>
      <c r="I8519">
        <v>1963</v>
      </c>
      <c r="J8519">
        <v>1</v>
      </c>
      <c r="K8519">
        <v>1</v>
      </c>
      <c r="L8519">
        <v>0</v>
      </c>
      <c r="M8519">
        <v>14</v>
      </c>
      <c r="N8519" t="s">
        <v>37</v>
      </c>
      <c r="O8519" t="s">
        <v>27</v>
      </c>
      <c r="P8519">
        <v>8.1595263601510695</v>
      </c>
      <c r="Q8519">
        <v>2.4581349399310999</v>
      </c>
      <c r="R8519">
        <v>5.1541210138247502</v>
      </c>
      <c r="S8519">
        <v>88</v>
      </c>
      <c r="T8519">
        <v>49</v>
      </c>
      <c r="U8519">
        <v>417.38275028121598</v>
      </c>
      <c r="V8519">
        <v>1.8396846254927698E-2</v>
      </c>
      <c r="W8519">
        <v>644114.38582210196</v>
      </c>
      <c r="X8519" t="s">
        <v>36</v>
      </c>
      <c r="Y8519">
        <f>1-444-667-1914</f>
        <v>-3024</v>
      </c>
    </row>
    <row r="8520" spans="1:25" x14ac:dyDescent="0.35">
      <c r="A8520">
        <v>38.987051571721302</v>
      </c>
      <c r="B8520">
        <v>-120.459250660843</v>
      </c>
      <c r="C8520" t="s">
        <v>29</v>
      </c>
      <c r="D8520">
        <v>44.272094033525804</v>
      </c>
      <c r="E8520">
        <v>0</v>
      </c>
      <c r="F8520">
        <v>3639</v>
      </c>
      <c r="G8520">
        <v>5</v>
      </c>
      <c r="H8520">
        <v>3</v>
      </c>
      <c r="I8520">
        <v>1956</v>
      </c>
      <c r="J8520">
        <v>0</v>
      </c>
      <c r="K8520">
        <v>0</v>
      </c>
      <c r="L8520">
        <v>0</v>
      </c>
      <c r="M8520">
        <v>6</v>
      </c>
      <c r="N8520" t="s">
        <v>26</v>
      </c>
      <c r="O8520" t="s">
        <v>27</v>
      </c>
      <c r="P8520">
        <v>4.3758494680714497</v>
      </c>
      <c r="Q8520">
        <v>1.6500373135108</v>
      </c>
      <c r="R8520">
        <v>0.54090372493081795</v>
      </c>
      <c r="S8520">
        <v>7</v>
      </c>
      <c r="T8520">
        <v>58</v>
      </c>
      <c r="U8520">
        <v>978.81121735542695</v>
      </c>
      <c r="V8520">
        <v>1.6488046166529199E-3</v>
      </c>
      <c r="W8520">
        <v>3827307.5837776</v>
      </c>
      <c r="X8520" t="s">
        <v>38</v>
      </c>
      <c r="Y8520">
        <f>1-273-203-6907</f>
        <v>-7382</v>
      </c>
    </row>
    <row r="8521" spans="1:25" x14ac:dyDescent="0.35">
      <c r="A8521">
        <v>36.597947546604402</v>
      </c>
      <c r="B8521">
        <v>-123.171674262191</v>
      </c>
      <c r="C8521" t="s">
        <v>34</v>
      </c>
      <c r="D8521">
        <v>4.5851625333043797</v>
      </c>
      <c r="E8521">
        <v>2</v>
      </c>
      <c r="F8521">
        <v>3692</v>
      </c>
      <c r="G8521">
        <v>2</v>
      </c>
      <c r="H8521">
        <v>3</v>
      </c>
      <c r="I8521">
        <v>1951</v>
      </c>
      <c r="J8521">
        <v>0</v>
      </c>
      <c r="K8521">
        <v>1</v>
      </c>
      <c r="L8521">
        <v>0</v>
      </c>
      <c r="M8521">
        <v>11</v>
      </c>
      <c r="N8521" t="s">
        <v>26</v>
      </c>
      <c r="O8521" t="s">
        <v>32</v>
      </c>
      <c r="P8521">
        <v>11.356842551292001</v>
      </c>
      <c r="Q8521">
        <v>2.1898610341187199</v>
      </c>
      <c r="R8521">
        <v>2.2617016393285501</v>
      </c>
      <c r="S8521">
        <v>118</v>
      </c>
      <c r="T8521">
        <v>46</v>
      </c>
      <c r="U8521">
        <v>905.22361751429298</v>
      </c>
      <c r="V8521">
        <v>2.9794149512459298E-3</v>
      </c>
      <c r="W8521">
        <v>3561395.2749477802</v>
      </c>
      <c r="X8521" t="s">
        <v>38</v>
      </c>
      <c r="Y8521">
        <f>1-435-796-9985</f>
        <v>-11215</v>
      </c>
    </row>
    <row r="8522" spans="1:25" x14ac:dyDescent="0.35">
      <c r="A8522">
        <v>37.805688668371197</v>
      </c>
      <c r="B8522">
        <v>-115.470032049929</v>
      </c>
      <c r="C8522" t="s">
        <v>34</v>
      </c>
      <c r="D8522">
        <v>26.6663702692614</v>
      </c>
      <c r="E8522">
        <v>9</v>
      </c>
      <c r="F8522">
        <v>1349</v>
      </c>
      <c r="G8522">
        <v>2</v>
      </c>
      <c r="H8522">
        <v>3</v>
      </c>
      <c r="I8522">
        <v>1973</v>
      </c>
      <c r="J8522">
        <v>0</v>
      </c>
      <c r="K8522">
        <v>1</v>
      </c>
      <c r="L8522">
        <v>0</v>
      </c>
      <c r="M8522">
        <v>10</v>
      </c>
      <c r="N8522" t="s">
        <v>37</v>
      </c>
      <c r="O8522" t="s">
        <v>30</v>
      </c>
      <c r="P8522">
        <v>11.561253156012199</v>
      </c>
      <c r="Q8522">
        <v>1.6809290102872601</v>
      </c>
      <c r="R8522">
        <v>1.26313019404014</v>
      </c>
      <c r="S8522">
        <v>87</v>
      </c>
      <c r="T8522">
        <v>63</v>
      </c>
      <c r="U8522">
        <v>678.44141626980104</v>
      </c>
      <c r="V8522">
        <v>7.4128984432913197E-3</v>
      </c>
      <c r="W8522">
        <v>1196626.3861986301</v>
      </c>
      <c r="X8522" t="s">
        <v>38</v>
      </c>
      <c r="Y8522">
        <f>1-325-456-5555</f>
        <v>-6335</v>
      </c>
    </row>
    <row r="8523" spans="1:25" x14ac:dyDescent="0.35">
      <c r="A8523">
        <v>41.413555016383903</v>
      </c>
      <c r="B8523">
        <v>-122.061469669622</v>
      </c>
      <c r="C8523" t="s">
        <v>29</v>
      </c>
      <c r="D8523">
        <v>34.118593881253702</v>
      </c>
      <c r="E8523">
        <v>4</v>
      </c>
      <c r="F8523">
        <v>3740</v>
      </c>
      <c r="G8523">
        <v>4</v>
      </c>
      <c r="H8523">
        <v>1</v>
      </c>
      <c r="I8523">
        <v>2001</v>
      </c>
      <c r="J8523">
        <v>0</v>
      </c>
      <c r="K8523">
        <v>1</v>
      </c>
      <c r="L8523">
        <v>1</v>
      </c>
      <c r="M8523">
        <v>5</v>
      </c>
      <c r="N8523" t="s">
        <v>35</v>
      </c>
      <c r="O8523" t="s">
        <v>30</v>
      </c>
      <c r="P8523">
        <v>13.8622519241811</v>
      </c>
      <c r="Q8523">
        <v>2.2056252515842898</v>
      </c>
      <c r="R8523">
        <v>1.40112153899256</v>
      </c>
      <c r="S8523">
        <v>104</v>
      </c>
      <c r="T8523">
        <v>66</v>
      </c>
      <c r="U8523">
        <v>347.40752195143</v>
      </c>
      <c r="V8523">
        <v>1.3368983957219201E-3</v>
      </c>
      <c r="W8523">
        <v>1765531.6258106399</v>
      </c>
      <c r="X8523" t="s">
        <v>38</v>
      </c>
      <c r="Y8523">
        <f>1-455-585-1722</f>
        <v>-2761</v>
      </c>
    </row>
    <row r="8524" spans="1:25" x14ac:dyDescent="0.35">
      <c r="A8524">
        <v>34.239310146005202</v>
      </c>
      <c r="B8524">
        <v>-118.040075725085</v>
      </c>
      <c r="C8524" t="s">
        <v>29</v>
      </c>
      <c r="D8524">
        <v>22.572940059839802</v>
      </c>
      <c r="E8524">
        <v>0</v>
      </c>
      <c r="F8524">
        <v>1482</v>
      </c>
      <c r="G8524">
        <v>3</v>
      </c>
      <c r="H8524">
        <v>3</v>
      </c>
      <c r="I8524">
        <v>2016</v>
      </c>
      <c r="J8524">
        <v>0</v>
      </c>
      <c r="K8524">
        <v>0</v>
      </c>
      <c r="L8524">
        <v>0</v>
      </c>
      <c r="M8524">
        <v>4</v>
      </c>
      <c r="N8524" t="s">
        <v>35</v>
      </c>
      <c r="O8524" t="s">
        <v>32</v>
      </c>
      <c r="P8524">
        <v>13.540078890358901</v>
      </c>
      <c r="Q8524">
        <v>2.4761035808469001</v>
      </c>
      <c r="R8524">
        <v>4.99375401350063</v>
      </c>
      <c r="S8524">
        <v>143</v>
      </c>
      <c r="T8524">
        <v>54</v>
      </c>
      <c r="U8524">
        <v>735.25286424630804</v>
      </c>
      <c r="V8524">
        <v>2.6990553306342701E-3</v>
      </c>
      <c r="W8524">
        <v>1382521.65912458</v>
      </c>
      <c r="X8524" t="s">
        <v>28</v>
      </c>
      <c r="Y8524">
        <f>1-612-491-4457</f>
        <v>-5559</v>
      </c>
    </row>
    <row r="8525" spans="1:25" x14ac:dyDescent="0.35">
      <c r="A8525">
        <v>33.157410543485398</v>
      </c>
      <c r="B8525">
        <v>-115.85958656214299</v>
      </c>
      <c r="C8525" t="s">
        <v>34</v>
      </c>
      <c r="D8525">
        <v>7.8776352699145296</v>
      </c>
      <c r="E8525">
        <v>1</v>
      </c>
      <c r="F8525">
        <v>3632</v>
      </c>
      <c r="G8525">
        <v>1</v>
      </c>
      <c r="H8525">
        <v>2</v>
      </c>
      <c r="I8525">
        <v>1984</v>
      </c>
      <c r="J8525">
        <v>0</v>
      </c>
      <c r="K8525">
        <v>1</v>
      </c>
      <c r="L8525">
        <v>0</v>
      </c>
      <c r="M8525">
        <v>12</v>
      </c>
      <c r="N8525" t="s">
        <v>41</v>
      </c>
      <c r="O8525" t="s">
        <v>32</v>
      </c>
      <c r="P8525">
        <v>8.3725959095392994</v>
      </c>
      <c r="Q8525">
        <v>1.4036438092771</v>
      </c>
      <c r="R8525">
        <v>6.1810579062711497</v>
      </c>
      <c r="S8525">
        <v>61</v>
      </c>
      <c r="T8525">
        <v>50</v>
      </c>
      <c r="U8525">
        <v>819.42454391859803</v>
      </c>
      <c r="V8525">
        <v>3.3039647577092499E-3</v>
      </c>
      <c r="W8525">
        <v>3185373.3578798999</v>
      </c>
      <c r="X8525" t="s">
        <v>28</v>
      </c>
      <c r="Y8525">
        <f>1-308-738-5508</f>
        <v>-6553</v>
      </c>
    </row>
    <row r="8526" spans="1:25" x14ac:dyDescent="0.35">
      <c r="A8526">
        <v>37.425074016625999</v>
      </c>
      <c r="B8526">
        <v>-122.65547754697</v>
      </c>
      <c r="C8526" t="s">
        <v>29</v>
      </c>
      <c r="D8526">
        <v>32.342910948841599</v>
      </c>
      <c r="E8526">
        <v>4</v>
      </c>
      <c r="F8526">
        <v>4831</v>
      </c>
      <c r="G8526">
        <v>4</v>
      </c>
      <c r="H8526">
        <v>1</v>
      </c>
      <c r="I8526">
        <v>2005</v>
      </c>
      <c r="J8526">
        <v>1</v>
      </c>
      <c r="K8526">
        <v>0</v>
      </c>
      <c r="L8526">
        <v>1</v>
      </c>
      <c r="M8526">
        <v>5</v>
      </c>
      <c r="N8526" t="s">
        <v>35</v>
      </c>
      <c r="O8526" t="s">
        <v>30</v>
      </c>
      <c r="P8526">
        <v>6.9362816301091703</v>
      </c>
      <c r="Q8526">
        <v>1.37377045509282</v>
      </c>
      <c r="R8526">
        <v>8.4893661835052701</v>
      </c>
      <c r="S8526">
        <v>22</v>
      </c>
      <c r="T8526">
        <v>67</v>
      </c>
      <c r="U8526">
        <v>993.88497344654195</v>
      </c>
      <c r="V8526">
        <v>1.0349824052991001E-3</v>
      </c>
      <c r="W8526">
        <v>5116029.3206147105</v>
      </c>
      <c r="X8526" t="s">
        <v>31</v>
      </c>
      <c r="Y8526">
        <f>1-325-595-5414</f>
        <v>-6333</v>
      </c>
    </row>
    <row r="8527" spans="1:25" x14ac:dyDescent="0.35">
      <c r="A8527">
        <v>41.748140328252099</v>
      </c>
      <c r="B8527">
        <v>-120.916184020632</v>
      </c>
      <c r="C8527" t="s">
        <v>25</v>
      </c>
      <c r="D8527">
        <v>3.1756513350232201</v>
      </c>
      <c r="E8527">
        <v>2</v>
      </c>
      <c r="F8527">
        <v>4079</v>
      </c>
      <c r="G8527">
        <v>5</v>
      </c>
      <c r="H8527">
        <v>1</v>
      </c>
      <c r="I8527">
        <v>1959</v>
      </c>
      <c r="J8527">
        <v>0</v>
      </c>
      <c r="K8527">
        <v>1</v>
      </c>
      <c r="L8527">
        <v>1</v>
      </c>
      <c r="M8527">
        <v>12</v>
      </c>
      <c r="N8527" t="s">
        <v>26</v>
      </c>
      <c r="O8527" t="s">
        <v>32</v>
      </c>
      <c r="P8527">
        <v>12.3852618869733</v>
      </c>
      <c r="Q8527">
        <v>2.2330660137006402</v>
      </c>
      <c r="R8527">
        <v>9.7999253925185492</v>
      </c>
      <c r="S8527">
        <v>151</v>
      </c>
      <c r="T8527">
        <v>28</v>
      </c>
      <c r="U8527">
        <v>793.40021869424402</v>
      </c>
      <c r="V8527">
        <v>2.9418975239029099E-3</v>
      </c>
      <c r="W8527">
        <v>3616166.2735911701</v>
      </c>
      <c r="X8527" t="s">
        <v>39</v>
      </c>
      <c r="Y8527">
        <f>1-323-824-3148</f>
        <v>-4294</v>
      </c>
    </row>
    <row r="8528" spans="1:25" x14ac:dyDescent="0.35">
      <c r="A8528">
        <v>35.717778701133803</v>
      </c>
      <c r="B8528">
        <v>-123.61692252477</v>
      </c>
      <c r="C8528" t="s">
        <v>34</v>
      </c>
      <c r="D8528">
        <v>31.6563878731343</v>
      </c>
      <c r="E8528">
        <v>6</v>
      </c>
      <c r="F8528">
        <v>4620</v>
      </c>
      <c r="G8528">
        <v>4</v>
      </c>
      <c r="H8528">
        <v>1</v>
      </c>
      <c r="I8528">
        <v>1958</v>
      </c>
      <c r="J8528">
        <v>0</v>
      </c>
      <c r="K8528">
        <v>1</v>
      </c>
      <c r="L8528">
        <v>1</v>
      </c>
      <c r="M8528">
        <v>10</v>
      </c>
      <c r="N8528" t="s">
        <v>35</v>
      </c>
      <c r="O8528" t="s">
        <v>32</v>
      </c>
      <c r="P8528">
        <v>6.7624896516754696</v>
      </c>
      <c r="Q8528">
        <v>0.743698205323156</v>
      </c>
      <c r="R8528">
        <v>3.6680285821750802</v>
      </c>
      <c r="S8528">
        <v>189</v>
      </c>
      <c r="T8528">
        <v>58</v>
      </c>
      <c r="U8528">
        <v>545.24797075025299</v>
      </c>
      <c r="V8528">
        <v>2.1645021645021602E-3</v>
      </c>
      <c r="W8528">
        <v>2786744.2706189398</v>
      </c>
      <c r="X8528" t="s">
        <v>36</v>
      </c>
      <c r="Y8528">
        <f>1-260-288-3900</f>
        <v>-4447</v>
      </c>
    </row>
    <row r="8529" spans="1:25" x14ac:dyDescent="0.35">
      <c r="A8529">
        <v>36.733383268692798</v>
      </c>
      <c r="B8529">
        <v>-116.77919046188499</v>
      </c>
      <c r="C8529" t="s">
        <v>34</v>
      </c>
      <c r="D8529">
        <v>30.355089127505</v>
      </c>
      <c r="E8529">
        <v>7</v>
      </c>
      <c r="F8529">
        <v>704</v>
      </c>
      <c r="G8529">
        <v>1</v>
      </c>
      <c r="H8529">
        <v>1</v>
      </c>
      <c r="I8529">
        <v>1966</v>
      </c>
      <c r="J8529">
        <v>0</v>
      </c>
      <c r="K8529">
        <v>0</v>
      </c>
      <c r="L8529">
        <v>1</v>
      </c>
      <c r="M8529">
        <v>11</v>
      </c>
      <c r="N8529" t="s">
        <v>37</v>
      </c>
      <c r="O8529" t="s">
        <v>27</v>
      </c>
      <c r="P8529">
        <v>10.481609429644701</v>
      </c>
      <c r="Q8529">
        <v>1.75626233814749</v>
      </c>
      <c r="R8529">
        <v>4.3115500085790304</v>
      </c>
      <c r="S8529">
        <v>65</v>
      </c>
      <c r="T8529">
        <v>27</v>
      </c>
      <c r="U8529">
        <v>706.37580618870504</v>
      </c>
      <c r="V8529">
        <v>1.5625E-2</v>
      </c>
      <c r="W8529">
        <v>639471.42728814005</v>
      </c>
      <c r="X8529" t="s">
        <v>39</v>
      </c>
      <c r="Y8529">
        <f>1-995-921-7233</f>
        <v>-9148</v>
      </c>
    </row>
    <row r="8530" spans="1:25" x14ac:dyDescent="0.35">
      <c r="A8530">
        <v>41.477350582014502</v>
      </c>
      <c r="B8530">
        <v>-118.898471112801</v>
      </c>
      <c r="C8530" t="s">
        <v>29</v>
      </c>
      <c r="D8530">
        <v>5.2527713662069502</v>
      </c>
      <c r="E8530">
        <v>8</v>
      </c>
      <c r="F8530">
        <v>1783</v>
      </c>
      <c r="G8530">
        <v>3</v>
      </c>
      <c r="H8530">
        <v>1</v>
      </c>
      <c r="I8530">
        <v>1978</v>
      </c>
      <c r="J8530">
        <v>1</v>
      </c>
      <c r="K8530">
        <v>0</v>
      </c>
      <c r="L8530">
        <v>1</v>
      </c>
      <c r="M8530">
        <v>6</v>
      </c>
      <c r="N8530" t="s">
        <v>41</v>
      </c>
      <c r="O8530" t="s">
        <v>27</v>
      </c>
      <c r="P8530">
        <v>2.0073586495474798</v>
      </c>
      <c r="Q8530">
        <v>1.5209061803483701</v>
      </c>
      <c r="R8530">
        <v>6.44608749051869</v>
      </c>
      <c r="S8530">
        <v>47</v>
      </c>
      <c r="T8530">
        <v>25</v>
      </c>
      <c r="U8530">
        <v>477.74224179409202</v>
      </c>
      <c r="V8530">
        <v>3.3651149747616301E-3</v>
      </c>
      <c r="W8530">
        <v>947151.11824458395</v>
      </c>
      <c r="X8530" t="s">
        <v>42</v>
      </c>
      <c r="Y8530">
        <f>1-495-669-6654</f>
        <v>-7817</v>
      </c>
    </row>
    <row r="8531" spans="1:25" x14ac:dyDescent="0.35">
      <c r="A8531">
        <v>33.139213583719297</v>
      </c>
      <c r="B8531">
        <v>-117.975215257535</v>
      </c>
      <c r="C8531" t="s">
        <v>29</v>
      </c>
      <c r="D8531">
        <v>32.805602196423003</v>
      </c>
      <c r="E8531">
        <v>2</v>
      </c>
      <c r="F8531">
        <v>2459</v>
      </c>
      <c r="G8531">
        <v>2</v>
      </c>
      <c r="H8531">
        <v>1</v>
      </c>
      <c r="I8531">
        <v>2000</v>
      </c>
      <c r="J8531">
        <v>1</v>
      </c>
      <c r="K8531">
        <v>1</v>
      </c>
      <c r="L8531">
        <v>1</v>
      </c>
      <c r="M8531">
        <v>3</v>
      </c>
      <c r="N8531" t="s">
        <v>37</v>
      </c>
      <c r="O8531" t="s">
        <v>30</v>
      </c>
      <c r="P8531">
        <v>9.4105515504940893</v>
      </c>
      <c r="Q8531">
        <v>2.3893371306283302</v>
      </c>
      <c r="R8531">
        <v>6.9355851037175897</v>
      </c>
      <c r="S8531">
        <v>83</v>
      </c>
      <c r="T8531">
        <v>75</v>
      </c>
      <c r="U8531">
        <v>857.37824745064495</v>
      </c>
      <c r="V8531">
        <v>1.22000813338755E-3</v>
      </c>
      <c r="W8531">
        <v>2446185.1794097298</v>
      </c>
      <c r="X8531" t="s">
        <v>39</v>
      </c>
      <c r="Y8531">
        <f>1-686-736-3764</f>
        <v>-5185</v>
      </c>
    </row>
    <row r="8532" spans="1:25" x14ac:dyDescent="0.35">
      <c r="A8532">
        <v>39.401950149870302</v>
      </c>
      <c r="B8532">
        <v>-123.19748059974999</v>
      </c>
      <c r="C8532" t="s">
        <v>25</v>
      </c>
      <c r="D8532">
        <v>15.6824888350533</v>
      </c>
      <c r="E8532">
        <v>9</v>
      </c>
      <c r="F8532">
        <v>4936</v>
      </c>
      <c r="G8532">
        <v>3</v>
      </c>
      <c r="H8532">
        <v>2</v>
      </c>
      <c r="I8532">
        <v>1960</v>
      </c>
      <c r="J8532">
        <v>1</v>
      </c>
      <c r="K8532">
        <v>1</v>
      </c>
      <c r="L8532">
        <v>0</v>
      </c>
      <c r="M8532">
        <v>4</v>
      </c>
      <c r="N8532" t="s">
        <v>26</v>
      </c>
      <c r="O8532" t="s">
        <v>27</v>
      </c>
      <c r="P8532">
        <v>6.9348024833010404</v>
      </c>
      <c r="Q8532">
        <v>1.0024058782728</v>
      </c>
      <c r="R8532">
        <v>7.4230389075919803</v>
      </c>
      <c r="S8532">
        <v>48</v>
      </c>
      <c r="T8532">
        <v>79</v>
      </c>
      <c r="U8532">
        <v>804.59588886914401</v>
      </c>
      <c r="V8532">
        <v>8.1037277147487797E-4</v>
      </c>
      <c r="W8532">
        <v>4289526.6377518997</v>
      </c>
      <c r="X8532" t="s">
        <v>28</v>
      </c>
      <c r="Y8532">
        <f>1-453-134-1984</f>
        <v>-2570</v>
      </c>
    </row>
    <row r="8533" spans="1:25" x14ac:dyDescent="0.35">
      <c r="A8533">
        <v>35.077716696835502</v>
      </c>
      <c r="B8533">
        <v>-120.861489815529</v>
      </c>
      <c r="C8533" t="s">
        <v>34</v>
      </c>
      <c r="D8533">
        <v>15.401284196650501</v>
      </c>
      <c r="E8533">
        <v>7</v>
      </c>
      <c r="F8533">
        <v>4330</v>
      </c>
      <c r="G8533">
        <v>2</v>
      </c>
      <c r="H8533">
        <v>3</v>
      </c>
      <c r="I8533">
        <v>2014</v>
      </c>
      <c r="J8533">
        <v>1</v>
      </c>
      <c r="K8533">
        <v>1</v>
      </c>
      <c r="L8533">
        <v>0</v>
      </c>
      <c r="M8533">
        <v>12</v>
      </c>
      <c r="N8533" t="s">
        <v>37</v>
      </c>
      <c r="O8533" t="s">
        <v>27</v>
      </c>
      <c r="P8533">
        <v>10.265116619750099</v>
      </c>
      <c r="Q8533">
        <v>1.8731183053143401</v>
      </c>
      <c r="R8533">
        <v>1.02740571999305</v>
      </c>
      <c r="S8533">
        <v>97</v>
      </c>
      <c r="T8533">
        <v>52</v>
      </c>
      <c r="U8533">
        <v>801.92681221781197</v>
      </c>
      <c r="V8533">
        <v>2.7713625866050799E-3</v>
      </c>
      <c r="W8533">
        <v>3885874.7287173201</v>
      </c>
      <c r="X8533" t="s">
        <v>44</v>
      </c>
      <c r="Y8533">
        <f>1-420-417-4536</f>
        <v>-5372</v>
      </c>
    </row>
    <row r="8534" spans="1:25" x14ac:dyDescent="0.35">
      <c r="A8534">
        <v>37.491805212477097</v>
      </c>
      <c r="B8534">
        <v>-117.613696721547</v>
      </c>
      <c r="C8534" t="s">
        <v>34</v>
      </c>
      <c r="D8534">
        <v>4.2938867507648499</v>
      </c>
      <c r="E8534">
        <v>0</v>
      </c>
      <c r="F8534">
        <v>2765</v>
      </c>
      <c r="G8534">
        <v>1</v>
      </c>
      <c r="H8534">
        <v>2</v>
      </c>
      <c r="I8534">
        <v>1982</v>
      </c>
      <c r="J8534">
        <v>1</v>
      </c>
      <c r="K8534">
        <v>1</v>
      </c>
      <c r="L8534">
        <v>0</v>
      </c>
      <c r="M8534">
        <v>9</v>
      </c>
      <c r="N8534" t="s">
        <v>37</v>
      </c>
      <c r="O8534" t="s">
        <v>27</v>
      </c>
      <c r="P8534">
        <v>12.784384534967</v>
      </c>
      <c r="Q8534">
        <v>1.96085835855623</v>
      </c>
      <c r="R8534">
        <v>5.9221672099614597</v>
      </c>
      <c r="S8534">
        <v>153</v>
      </c>
      <c r="T8534">
        <v>26</v>
      </c>
      <c r="U8534">
        <v>570.76352520458204</v>
      </c>
      <c r="V8534">
        <v>3.2549728752260302E-3</v>
      </c>
      <c r="W8534">
        <v>1979450.66004534</v>
      </c>
      <c r="X8534" t="s">
        <v>38</v>
      </c>
      <c r="Y8534">
        <f>1-441-307-2962</f>
        <v>-3709</v>
      </c>
    </row>
    <row r="8535" spans="1:25" x14ac:dyDescent="0.35">
      <c r="A8535">
        <v>35.948649796411999</v>
      </c>
      <c r="B8535">
        <v>-121.673487099203</v>
      </c>
      <c r="C8535" t="s">
        <v>29</v>
      </c>
      <c r="D8535">
        <v>36.508029387560498</v>
      </c>
      <c r="E8535">
        <v>1</v>
      </c>
      <c r="F8535">
        <v>4711</v>
      </c>
      <c r="G8535">
        <v>2</v>
      </c>
      <c r="H8535">
        <v>2</v>
      </c>
      <c r="I8535">
        <v>2014</v>
      </c>
      <c r="J8535">
        <v>1</v>
      </c>
      <c r="K8535">
        <v>1</v>
      </c>
      <c r="L8535">
        <v>1</v>
      </c>
      <c r="M8535">
        <v>7</v>
      </c>
      <c r="N8535" t="s">
        <v>37</v>
      </c>
      <c r="O8535" t="s">
        <v>30</v>
      </c>
      <c r="P8535">
        <v>6.5168488054868998</v>
      </c>
      <c r="Q8535">
        <v>0.72523076997588998</v>
      </c>
      <c r="R8535">
        <v>3.6271792307373301</v>
      </c>
      <c r="S8535">
        <v>113</v>
      </c>
      <c r="T8535">
        <v>26</v>
      </c>
      <c r="U8535">
        <v>538.54027589694601</v>
      </c>
      <c r="V8535">
        <v>1.4858841010401099E-3</v>
      </c>
      <c r="W8535">
        <v>2989454.14900005</v>
      </c>
      <c r="X8535" t="s">
        <v>31</v>
      </c>
      <c r="Y8535">
        <f>1-814-487-7651</f>
        <v>-8951</v>
      </c>
    </row>
    <row r="8536" spans="1:25" x14ac:dyDescent="0.35">
      <c r="A8536">
        <v>39.808441253841004</v>
      </c>
      <c r="B8536">
        <v>-114.766178449805</v>
      </c>
      <c r="C8536" t="s">
        <v>34</v>
      </c>
      <c r="D8536">
        <v>41.268590245293701</v>
      </c>
      <c r="E8536">
        <v>4</v>
      </c>
      <c r="F8536">
        <v>1696</v>
      </c>
      <c r="G8536">
        <v>3</v>
      </c>
      <c r="H8536">
        <v>2</v>
      </c>
      <c r="I8536">
        <v>2010</v>
      </c>
      <c r="J8536">
        <v>1</v>
      </c>
      <c r="K8536">
        <v>1</v>
      </c>
      <c r="L8536">
        <v>1</v>
      </c>
      <c r="M8536">
        <v>3</v>
      </c>
      <c r="N8536" t="s">
        <v>37</v>
      </c>
      <c r="O8536" t="s">
        <v>32</v>
      </c>
      <c r="P8536">
        <v>13.0341900244517</v>
      </c>
      <c r="Q8536">
        <v>1.10753104026869</v>
      </c>
      <c r="R8536">
        <v>5.7729668287109002</v>
      </c>
      <c r="S8536">
        <v>38</v>
      </c>
      <c r="T8536">
        <v>49</v>
      </c>
      <c r="U8536">
        <v>452.90252379438402</v>
      </c>
      <c r="V8536">
        <v>1.7688679245283E-3</v>
      </c>
      <c r="W8536">
        <v>1259403.82067615</v>
      </c>
      <c r="X8536" t="s">
        <v>36</v>
      </c>
      <c r="Y8536">
        <f>1-717-371-4255</f>
        <v>-5342</v>
      </c>
    </row>
    <row r="8537" spans="1:25" x14ac:dyDescent="0.35">
      <c r="A8537">
        <v>35.765751179174501</v>
      </c>
      <c r="B8537">
        <v>-118.607029517585</v>
      </c>
      <c r="C8537" t="s">
        <v>34</v>
      </c>
      <c r="D8537">
        <v>23.056862407845301</v>
      </c>
      <c r="E8537">
        <v>3</v>
      </c>
      <c r="F8537">
        <v>1059</v>
      </c>
      <c r="G8537">
        <v>3</v>
      </c>
      <c r="H8537">
        <v>2</v>
      </c>
      <c r="I8537">
        <v>1955</v>
      </c>
      <c r="J8537">
        <v>0</v>
      </c>
      <c r="K8537">
        <v>0</v>
      </c>
      <c r="L8537">
        <v>0</v>
      </c>
      <c r="M8537">
        <v>2</v>
      </c>
      <c r="N8537" t="s">
        <v>35</v>
      </c>
      <c r="O8537" t="s">
        <v>30</v>
      </c>
      <c r="P8537">
        <v>6.4990017309725499</v>
      </c>
      <c r="Q8537">
        <v>1.2002286626396299</v>
      </c>
      <c r="R8537">
        <v>2.8684074418413901</v>
      </c>
      <c r="S8537">
        <v>75</v>
      </c>
      <c r="T8537">
        <v>22</v>
      </c>
      <c r="U8537">
        <v>481.34632334430302</v>
      </c>
      <c r="V8537">
        <v>1.8885741265344601E-3</v>
      </c>
      <c r="W8537">
        <v>555567.71325772395</v>
      </c>
      <c r="X8537" t="s">
        <v>40</v>
      </c>
      <c r="Y8537">
        <f>1-877-998-4897</f>
        <v>-6771</v>
      </c>
    </row>
    <row r="8538" spans="1:25" x14ac:dyDescent="0.35">
      <c r="A8538">
        <v>36.6263174400897</v>
      </c>
      <c r="B8538">
        <v>-120.905273551533</v>
      </c>
      <c r="C8538" t="s">
        <v>29</v>
      </c>
      <c r="D8538">
        <v>11.197929784120401</v>
      </c>
      <c r="E8538">
        <v>2</v>
      </c>
      <c r="F8538">
        <v>698</v>
      </c>
      <c r="G8538">
        <v>3</v>
      </c>
      <c r="H8538">
        <v>2</v>
      </c>
      <c r="I8538">
        <v>1992</v>
      </c>
      <c r="J8538">
        <v>1</v>
      </c>
      <c r="K8538">
        <v>0</v>
      </c>
      <c r="L8538">
        <v>0</v>
      </c>
      <c r="M8538">
        <v>8</v>
      </c>
      <c r="N8538" t="s">
        <v>35</v>
      </c>
      <c r="O8538" t="s">
        <v>32</v>
      </c>
      <c r="P8538">
        <v>12.2550204739247</v>
      </c>
      <c r="Q8538">
        <v>2.0225745479652</v>
      </c>
      <c r="R8538">
        <v>4.1477549888757101</v>
      </c>
      <c r="S8538">
        <v>2</v>
      </c>
      <c r="T8538">
        <v>20</v>
      </c>
      <c r="U8538">
        <v>515.81983153856504</v>
      </c>
      <c r="V8538">
        <v>1.14613180515759E-2</v>
      </c>
      <c r="W8538">
        <v>668750.214035418</v>
      </c>
      <c r="X8538" t="s">
        <v>39</v>
      </c>
      <c r="Y8538">
        <f>1-727-528-4618</f>
        <v>-5872</v>
      </c>
    </row>
    <row r="8539" spans="1:25" x14ac:dyDescent="0.35">
      <c r="A8539">
        <v>38.069374289380903</v>
      </c>
      <c r="B8539">
        <v>-117.010689053344</v>
      </c>
      <c r="C8539" t="s">
        <v>29</v>
      </c>
      <c r="D8539">
        <v>14.9572661502025</v>
      </c>
      <c r="E8539">
        <v>9</v>
      </c>
      <c r="F8539">
        <v>4728</v>
      </c>
      <c r="G8539">
        <v>2</v>
      </c>
      <c r="H8539">
        <v>1</v>
      </c>
      <c r="I8539">
        <v>2020</v>
      </c>
      <c r="J8539">
        <v>1</v>
      </c>
      <c r="K8539">
        <v>0</v>
      </c>
      <c r="L8539">
        <v>0</v>
      </c>
      <c r="M8539">
        <v>3</v>
      </c>
      <c r="N8539" t="s">
        <v>37</v>
      </c>
      <c r="O8539" t="s">
        <v>30</v>
      </c>
      <c r="P8539">
        <v>4.8597874335190996</v>
      </c>
      <c r="Q8539">
        <v>1.1167513172538299</v>
      </c>
      <c r="R8539">
        <v>7.3331055862541499</v>
      </c>
      <c r="S8539">
        <v>129</v>
      </c>
      <c r="T8539">
        <v>77</v>
      </c>
      <c r="U8539">
        <v>490.76026842521401</v>
      </c>
      <c r="V8539">
        <v>6.3451776649746101E-4</v>
      </c>
      <c r="W8539">
        <v>2449504.0244539501</v>
      </c>
      <c r="X8539" t="s">
        <v>43</v>
      </c>
      <c r="Y8539">
        <f>1-611-761-4307</f>
        <v>-5678</v>
      </c>
    </row>
    <row r="8540" spans="1:25" x14ac:dyDescent="0.35">
      <c r="A8540">
        <v>36.491169537568901</v>
      </c>
      <c r="B8540">
        <v>-114.170454535978</v>
      </c>
      <c r="C8540" t="s">
        <v>29</v>
      </c>
      <c r="D8540">
        <v>36.237589382475399</v>
      </c>
      <c r="E8540">
        <v>8</v>
      </c>
      <c r="F8540">
        <v>4709</v>
      </c>
      <c r="G8540">
        <v>2</v>
      </c>
      <c r="H8540">
        <v>1</v>
      </c>
      <c r="I8540">
        <v>1994</v>
      </c>
      <c r="J8540">
        <v>0</v>
      </c>
      <c r="K8540">
        <v>0</v>
      </c>
      <c r="L8540">
        <v>0</v>
      </c>
      <c r="M8540">
        <v>4</v>
      </c>
      <c r="N8540" t="s">
        <v>26</v>
      </c>
      <c r="O8540" t="s">
        <v>30</v>
      </c>
      <c r="P8540">
        <v>12.140583269756201</v>
      </c>
      <c r="Q8540">
        <v>1.72742470145264</v>
      </c>
      <c r="R8540">
        <v>5.1987169365029002</v>
      </c>
      <c r="S8540">
        <v>79</v>
      </c>
      <c r="T8540">
        <v>58</v>
      </c>
      <c r="U8540">
        <v>905.90627716124402</v>
      </c>
      <c r="V8540">
        <v>8.4943724782331697E-4</v>
      </c>
      <c r="W8540">
        <v>4447521.9496600898</v>
      </c>
      <c r="X8540" t="s">
        <v>36</v>
      </c>
      <c r="Y8540">
        <f>1-804-939-8299</f>
        <v>-10041</v>
      </c>
    </row>
    <row r="8541" spans="1:25" x14ac:dyDescent="0.35">
      <c r="A8541">
        <v>36.339850133445097</v>
      </c>
      <c r="B8541">
        <v>-117.073995267176</v>
      </c>
      <c r="C8541" t="s">
        <v>25</v>
      </c>
      <c r="D8541">
        <v>22.961008916828401</v>
      </c>
      <c r="E8541">
        <v>4</v>
      </c>
      <c r="F8541">
        <v>1542</v>
      </c>
      <c r="G8541">
        <v>3</v>
      </c>
      <c r="H8541">
        <v>3</v>
      </c>
      <c r="I8541">
        <v>1988</v>
      </c>
      <c r="J8541">
        <v>1</v>
      </c>
      <c r="K8541">
        <v>0</v>
      </c>
      <c r="L8541">
        <v>0</v>
      </c>
      <c r="M8541">
        <v>8</v>
      </c>
      <c r="N8541" t="s">
        <v>41</v>
      </c>
      <c r="O8541" t="s">
        <v>32</v>
      </c>
      <c r="P8541">
        <v>3.6882982991631401</v>
      </c>
      <c r="Q8541">
        <v>2.48166316779069</v>
      </c>
      <c r="R8541">
        <v>0.47955132776146298</v>
      </c>
      <c r="S8541">
        <v>51</v>
      </c>
      <c r="T8541">
        <v>74</v>
      </c>
      <c r="U8541">
        <v>999.15225280699894</v>
      </c>
      <c r="V8541">
        <v>5.1880674448767797E-3</v>
      </c>
      <c r="W8541">
        <v>1748471.52373436</v>
      </c>
      <c r="X8541" t="s">
        <v>44</v>
      </c>
      <c r="Y8541">
        <f>1-606-205-5551</f>
        <v>-6361</v>
      </c>
    </row>
    <row r="8542" spans="1:25" x14ac:dyDescent="0.35">
      <c r="A8542">
        <v>38.915141068980802</v>
      </c>
      <c r="B8542">
        <v>-119.640475746907</v>
      </c>
      <c r="C8542" t="s">
        <v>29</v>
      </c>
      <c r="D8542">
        <v>11.5568518870517</v>
      </c>
      <c r="E8542">
        <v>9</v>
      </c>
      <c r="F8542">
        <v>2115</v>
      </c>
      <c r="G8542">
        <v>3</v>
      </c>
      <c r="H8542">
        <v>1</v>
      </c>
      <c r="I8542">
        <v>1972</v>
      </c>
      <c r="J8542">
        <v>0</v>
      </c>
      <c r="K8542">
        <v>1</v>
      </c>
      <c r="L8542">
        <v>1</v>
      </c>
      <c r="M8542">
        <v>4</v>
      </c>
      <c r="N8542" t="s">
        <v>35</v>
      </c>
      <c r="O8542" t="s">
        <v>27</v>
      </c>
      <c r="P8542">
        <v>7.3946050563941697</v>
      </c>
      <c r="Q8542">
        <v>0.95698114266827194</v>
      </c>
      <c r="R8542">
        <v>3.30408358877194</v>
      </c>
      <c r="S8542">
        <v>19</v>
      </c>
      <c r="T8542">
        <v>75</v>
      </c>
      <c r="U8542">
        <v>912.78658633837904</v>
      </c>
      <c r="V8542">
        <v>1.8912529550827401E-3</v>
      </c>
      <c r="W8542">
        <v>2226381.0658841901</v>
      </c>
      <c r="X8542" t="s">
        <v>42</v>
      </c>
      <c r="Y8542">
        <f>1-692-344-8402</f>
        <v>-9437</v>
      </c>
    </row>
    <row r="8543" spans="1:25" x14ac:dyDescent="0.35">
      <c r="A8543">
        <v>39.220268335463203</v>
      </c>
      <c r="B8543">
        <v>-115.147084226787</v>
      </c>
      <c r="C8543" t="s">
        <v>29</v>
      </c>
      <c r="D8543">
        <v>1.73553766961801</v>
      </c>
      <c r="E8543">
        <v>1</v>
      </c>
      <c r="F8543">
        <v>3040</v>
      </c>
      <c r="G8543">
        <v>1</v>
      </c>
      <c r="H8543">
        <v>2</v>
      </c>
      <c r="I8543">
        <v>2022</v>
      </c>
      <c r="J8543">
        <v>1</v>
      </c>
      <c r="K8543">
        <v>1</v>
      </c>
      <c r="L8543">
        <v>0</v>
      </c>
      <c r="M8543">
        <v>13</v>
      </c>
      <c r="N8543" t="s">
        <v>37</v>
      </c>
      <c r="O8543" t="s">
        <v>30</v>
      </c>
      <c r="P8543">
        <v>8.0215155373062608</v>
      </c>
      <c r="Q8543">
        <v>0.62497020392612801</v>
      </c>
      <c r="R8543">
        <v>4.8210422027767397</v>
      </c>
      <c r="S8543">
        <v>99</v>
      </c>
      <c r="T8543">
        <v>77</v>
      </c>
      <c r="U8543">
        <v>959.75095551542699</v>
      </c>
      <c r="V8543">
        <v>4.2763157894736802E-3</v>
      </c>
      <c r="W8543">
        <v>3235887.5512405001</v>
      </c>
      <c r="X8543" t="s">
        <v>40</v>
      </c>
      <c r="Y8543">
        <f>1-833-783-6551</f>
        <v>-8166</v>
      </c>
    </row>
    <row r="8544" spans="1:25" x14ac:dyDescent="0.35">
      <c r="A8544">
        <v>34.924626239786001</v>
      </c>
      <c r="B8544">
        <v>-122.33605731022099</v>
      </c>
      <c r="C8544" t="s">
        <v>34</v>
      </c>
      <c r="D8544">
        <v>1.38799919927476</v>
      </c>
      <c r="E8544">
        <v>1</v>
      </c>
      <c r="F8544">
        <v>4739</v>
      </c>
      <c r="G8544">
        <v>4</v>
      </c>
      <c r="H8544">
        <v>3</v>
      </c>
      <c r="I8544">
        <v>1995</v>
      </c>
      <c r="J8544">
        <v>1</v>
      </c>
      <c r="K8544">
        <v>1</v>
      </c>
      <c r="L8544">
        <v>1</v>
      </c>
      <c r="M8544">
        <v>10</v>
      </c>
      <c r="N8544" t="s">
        <v>37</v>
      </c>
      <c r="O8544" t="s">
        <v>32</v>
      </c>
      <c r="P8544">
        <v>2.7303398141743802</v>
      </c>
      <c r="Q8544">
        <v>2.1709267549034501</v>
      </c>
      <c r="R8544">
        <v>8.13146466506001</v>
      </c>
      <c r="S8544">
        <v>131</v>
      </c>
      <c r="T8544">
        <v>56</v>
      </c>
      <c r="U8544">
        <v>550.59861361497497</v>
      </c>
      <c r="V8544">
        <v>2.1101498206372599E-3</v>
      </c>
      <c r="W8544">
        <v>3044199.3178611002</v>
      </c>
      <c r="X8544" t="s">
        <v>38</v>
      </c>
      <c r="Y8544">
        <f>1-232-624-2161</f>
        <v>-3016</v>
      </c>
    </row>
    <row r="8545" spans="1:25" x14ac:dyDescent="0.35">
      <c r="A8545">
        <v>40.647613111232801</v>
      </c>
      <c r="B8545">
        <v>-119.613737946588</v>
      </c>
      <c r="C8545" t="s">
        <v>34</v>
      </c>
      <c r="D8545">
        <v>15.562287728340699</v>
      </c>
      <c r="E8545">
        <v>2</v>
      </c>
      <c r="F8545">
        <v>1003</v>
      </c>
      <c r="G8545">
        <v>2</v>
      </c>
      <c r="H8545">
        <v>1</v>
      </c>
      <c r="I8545">
        <v>1996</v>
      </c>
      <c r="J8545">
        <v>1</v>
      </c>
      <c r="K8545">
        <v>0</v>
      </c>
      <c r="L8545">
        <v>0</v>
      </c>
      <c r="M8545">
        <v>8</v>
      </c>
      <c r="N8545" t="s">
        <v>26</v>
      </c>
      <c r="O8545" t="s">
        <v>30</v>
      </c>
      <c r="P8545">
        <v>10.2261722288677</v>
      </c>
      <c r="Q8545">
        <v>1.8465608790366801</v>
      </c>
      <c r="R8545">
        <v>8.0871553616172296</v>
      </c>
      <c r="S8545">
        <v>106</v>
      </c>
      <c r="T8545">
        <v>56</v>
      </c>
      <c r="U8545">
        <v>574.78143281649398</v>
      </c>
      <c r="V8545">
        <v>7.9760717846460594E-3</v>
      </c>
      <c r="W8545">
        <v>820682.59544179996</v>
      </c>
      <c r="X8545" t="s">
        <v>33</v>
      </c>
      <c r="Y8545">
        <f>1-679-519-1381</f>
        <v>-2578</v>
      </c>
    </row>
    <row r="8546" spans="1:25" x14ac:dyDescent="0.35">
      <c r="A8546">
        <v>39.338587619535197</v>
      </c>
      <c r="B8546">
        <v>-121.84801675377</v>
      </c>
      <c r="C8546" t="s">
        <v>34</v>
      </c>
      <c r="D8546">
        <v>41.179380281082402</v>
      </c>
      <c r="E8546">
        <v>6</v>
      </c>
      <c r="F8546">
        <v>1773</v>
      </c>
      <c r="G8546">
        <v>1</v>
      </c>
      <c r="H8546">
        <v>3</v>
      </c>
      <c r="I8546">
        <v>1985</v>
      </c>
      <c r="J8546">
        <v>0</v>
      </c>
      <c r="K8546">
        <v>1</v>
      </c>
      <c r="L8546">
        <v>1</v>
      </c>
      <c r="M8546">
        <v>6</v>
      </c>
      <c r="N8546" t="s">
        <v>35</v>
      </c>
      <c r="O8546" t="s">
        <v>27</v>
      </c>
      <c r="P8546">
        <v>6.8508022928558301</v>
      </c>
      <c r="Q8546">
        <v>2.3837631801217398</v>
      </c>
      <c r="R8546">
        <v>8.2335608413775301</v>
      </c>
      <c r="S8546">
        <v>174</v>
      </c>
      <c r="T8546">
        <v>74</v>
      </c>
      <c r="U8546">
        <v>824.79631909270097</v>
      </c>
      <c r="V8546">
        <v>3.3840947546531302E-3</v>
      </c>
      <c r="W8546">
        <v>1618456.89454834</v>
      </c>
      <c r="X8546" t="s">
        <v>28</v>
      </c>
      <c r="Y8546">
        <f>1-979-953-1205</f>
        <v>-3136</v>
      </c>
    </row>
    <row r="8547" spans="1:25" x14ac:dyDescent="0.35">
      <c r="A8547">
        <v>40.5723072258846</v>
      </c>
      <c r="B8547">
        <v>-116.080367043511</v>
      </c>
      <c r="C8547" t="s">
        <v>25</v>
      </c>
      <c r="D8547">
        <v>32.870157180758397</v>
      </c>
      <c r="E8547">
        <v>8</v>
      </c>
      <c r="F8547">
        <v>1503</v>
      </c>
      <c r="G8547">
        <v>1</v>
      </c>
      <c r="H8547">
        <v>3</v>
      </c>
      <c r="I8547">
        <v>2020</v>
      </c>
      <c r="J8547">
        <v>1</v>
      </c>
      <c r="K8547">
        <v>0</v>
      </c>
      <c r="L8547">
        <v>0</v>
      </c>
      <c r="M8547">
        <v>5</v>
      </c>
      <c r="N8547" t="s">
        <v>37</v>
      </c>
      <c r="O8547" t="s">
        <v>30</v>
      </c>
      <c r="P8547">
        <v>11.658396205544999</v>
      </c>
      <c r="Q8547">
        <v>2.3746166611202999</v>
      </c>
      <c r="R8547">
        <v>8.71330680482418</v>
      </c>
      <c r="S8547">
        <v>73</v>
      </c>
      <c r="T8547">
        <v>25</v>
      </c>
      <c r="U8547">
        <v>521.76238159061097</v>
      </c>
      <c r="V8547">
        <v>3.3266799733865601E-3</v>
      </c>
      <c r="W8547">
        <v>1042137.5906967</v>
      </c>
      <c r="X8547" t="s">
        <v>40</v>
      </c>
      <c r="Y8547">
        <f>1-337-691-6873</f>
        <v>-7900</v>
      </c>
    </row>
    <row r="8548" spans="1:25" x14ac:dyDescent="0.35">
      <c r="A8548">
        <v>37.767742757916402</v>
      </c>
      <c r="B8548">
        <v>-124.229557807917</v>
      </c>
      <c r="C8548" t="s">
        <v>29</v>
      </c>
      <c r="D8548">
        <v>26.755008972762301</v>
      </c>
      <c r="E8548">
        <v>4</v>
      </c>
      <c r="F8548">
        <v>2124</v>
      </c>
      <c r="G8548">
        <v>2</v>
      </c>
      <c r="H8548">
        <v>2</v>
      </c>
      <c r="I8548">
        <v>1997</v>
      </c>
      <c r="J8548">
        <v>1</v>
      </c>
      <c r="K8548">
        <v>0</v>
      </c>
      <c r="L8548">
        <v>1</v>
      </c>
      <c r="M8548">
        <v>10</v>
      </c>
      <c r="N8548" t="s">
        <v>41</v>
      </c>
      <c r="O8548" t="s">
        <v>30</v>
      </c>
      <c r="P8548">
        <v>5.9645779820947196</v>
      </c>
      <c r="Q8548">
        <v>2.2423353961723702</v>
      </c>
      <c r="R8548">
        <v>1.3099898724025001</v>
      </c>
      <c r="S8548">
        <v>87</v>
      </c>
      <c r="T8548">
        <v>29</v>
      </c>
      <c r="U8548">
        <v>390.24505324082202</v>
      </c>
      <c r="V8548">
        <v>4.7080979284369103E-3</v>
      </c>
      <c r="W8548">
        <v>1026474.57569602</v>
      </c>
      <c r="X8548" t="s">
        <v>43</v>
      </c>
      <c r="Y8548">
        <f>1-805-945-4021</f>
        <v>-5770</v>
      </c>
    </row>
    <row r="8549" spans="1:25" x14ac:dyDescent="0.35">
      <c r="A8549">
        <v>37.929683056672403</v>
      </c>
      <c r="B8549">
        <v>-122.288246449051</v>
      </c>
      <c r="C8549" t="s">
        <v>25</v>
      </c>
      <c r="D8549">
        <v>40.945280486717401</v>
      </c>
      <c r="E8549">
        <v>4</v>
      </c>
      <c r="F8549">
        <v>4116</v>
      </c>
      <c r="G8549">
        <v>3</v>
      </c>
      <c r="H8549">
        <v>2</v>
      </c>
      <c r="I8549">
        <v>1999</v>
      </c>
      <c r="J8549">
        <v>0</v>
      </c>
      <c r="K8549">
        <v>0</v>
      </c>
      <c r="L8549">
        <v>0</v>
      </c>
      <c r="M8549">
        <v>7</v>
      </c>
      <c r="N8549" t="s">
        <v>41</v>
      </c>
      <c r="O8549" t="s">
        <v>30</v>
      </c>
      <c r="P8549">
        <v>10.8716658941993</v>
      </c>
      <c r="Q8549">
        <v>0.50431433934900305</v>
      </c>
      <c r="R8549">
        <v>0.23571976180433901</v>
      </c>
      <c r="S8549">
        <v>181</v>
      </c>
      <c r="T8549">
        <v>69</v>
      </c>
      <c r="U8549">
        <v>522.16335156235505</v>
      </c>
      <c r="V8549">
        <v>1.70068027210884E-3</v>
      </c>
      <c r="W8549">
        <v>2348568.3898446099</v>
      </c>
      <c r="X8549" t="s">
        <v>44</v>
      </c>
      <c r="Y8549">
        <f>1-557-619-3666</f>
        <v>-4841</v>
      </c>
    </row>
    <row r="8550" spans="1:25" x14ac:dyDescent="0.35">
      <c r="A8550">
        <v>38.380346335337002</v>
      </c>
      <c r="B8550">
        <v>-121.323463112262</v>
      </c>
      <c r="C8550" t="s">
        <v>34</v>
      </c>
      <c r="D8550">
        <v>47.531042460503002</v>
      </c>
      <c r="E8550">
        <v>9</v>
      </c>
      <c r="F8550">
        <v>1155</v>
      </c>
      <c r="G8550">
        <v>2</v>
      </c>
      <c r="H8550">
        <v>3</v>
      </c>
      <c r="I8550">
        <v>1961</v>
      </c>
      <c r="J8550">
        <v>1</v>
      </c>
      <c r="K8550">
        <v>0</v>
      </c>
      <c r="L8550">
        <v>0</v>
      </c>
      <c r="M8550">
        <v>5</v>
      </c>
      <c r="N8550" t="s">
        <v>37</v>
      </c>
      <c r="O8550" t="s">
        <v>27</v>
      </c>
      <c r="P8550">
        <v>4.6002368060418197</v>
      </c>
      <c r="Q8550">
        <v>0.72284540496502503</v>
      </c>
      <c r="R8550">
        <v>8.60719172935773</v>
      </c>
      <c r="S8550">
        <v>109</v>
      </c>
      <c r="T8550">
        <v>20</v>
      </c>
      <c r="U8550">
        <v>843.53851401582097</v>
      </c>
      <c r="V8550">
        <v>4.3290043290043203E-3</v>
      </c>
      <c r="W8550">
        <v>1149757.6497142201</v>
      </c>
      <c r="X8550" t="s">
        <v>28</v>
      </c>
      <c r="Y8550">
        <f>1-967-841-4970</f>
        <v>-6777</v>
      </c>
    </row>
    <row r="8551" spans="1:25" x14ac:dyDescent="0.35">
      <c r="A8551">
        <v>39.238691612126402</v>
      </c>
      <c r="B8551">
        <v>-118.22026894922099</v>
      </c>
      <c r="C8551" t="s">
        <v>29</v>
      </c>
      <c r="D8551">
        <v>4.3884609810983601</v>
      </c>
      <c r="E8551">
        <v>4</v>
      </c>
      <c r="F8551">
        <v>4459</v>
      </c>
      <c r="G8551">
        <v>1</v>
      </c>
      <c r="H8551">
        <v>3</v>
      </c>
      <c r="I8551">
        <v>1958</v>
      </c>
      <c r="J8551">
        <v>0</v>
      </c>
      <c r="K8551">
        <v>0</v>
      </c>
      <c r="L8551">
        <v>0</v>
      </c>
      <c r="M8551">
        <v>3</v>
      </c>
      <c r="N8551" t="s">
        <v>26</v>
      </c>
      <c r="O8551" t="s">
        <v>27</v>
      </c>
      <c r="P8551">
        <v>8.1972777756436592</v>
      </c>
      <c r="Q8551">
        <v>1.7127089539871301</v>
      </c>
      <c r="R8551">
        <v>9.0565544004332406</v>
      </c>
      <c r="S8551">
        <v>105</v>
      </c>
      <c r="T8551">
        <v>65</v>
      </c>
      <c r="U8551">
        <v>324.86130579703001</v>
      </c>
      <c r="V8551">
        <v>6.7279659116393803E-4</v>
      </c>
      <c r="W8551">
        <v>1521778.6157832299</v>
      </c>
      <c r="X8551" t="s">
        <v>44</v>
      </c>
      <c r="Y8551">
        <f>1-777-850-1139</f>
        <v>-2765</v>
      </c>
    </row>
    <row r="8552" spans="1:25" x14ac:dyDescent="0.35">
      <c r="A8552">
        <v>34.072654132820801</v>
      </c>
      <c r="B8552">
        <v>-123.07997507325101</v>
      </c>
      <c r="C8552" t="s">
        <v>34</v>
      </c>
      <c r="D8552">
        <v>23.797766245950701</v>
      </c>
      <c r="E8552">
        <v>2</v>
      </c>
      <c r="F8552">
        <v>910</v>
      </c>
      <c r="G8552">
        <v>1</v>
      </c>
      <c r="H8552">
        <v>3</v>
      </c>
      <c r="I8552">
        <v>1988</v>
      </c>
      <c r="J8552">
        <v>1</v>
      </c>
      <c r="K8552">
        <v>1</v>
      </c>
      <c r="L8552">
        <v>0</v>
      </c>
      <c r="M8552">
        <v>4</v>
      </c>
      <c r="N8552" t="s">
        <v>37</v>
      </c>
      <c r="O8552" t="s">
        <v>27</v>
      </c>
      <c r="P8552">
        <v>12.6257863210023</v>
      </c>
      <c r="Q8552">
        <v>0.53991564806676595</v>
      </c>
      <c r="R8552">
        <v>3.0155077768750198</v>
      </c>
      <c r="S8552">
        <v>136</v>
      </c>
      <c r="T8552">
        <v>41</v>
      </c>
      <c r="U8552">
        <v>467.04894218629698</v>
      </c>
      <c r="V8552">
        <v>4.3956043956043904E-3</v>
      </c>
      <c r="W8552">
        <v>769377.17448909895</v>
      </c>
      <c r="X8552" t="s">
        <v>42</v>
      </c>
      <c r="Y8552">
        <f>1-300-466-1168</f>
        <v>-1933</v>
      </c>
    </row>
    <row r="8553" spans="1:25" x14ac:dyDescent="0.35">
      <c r="A8553">
        <v>39.222205559565801</v>
      </c>
      <c r="B8553">
        <v>-117.220608885494</v>
      </c>
      <c r="C8553" t="s">
        <v>25</v>
      </c>
      <c r="D8553">
        <v>19.6240710121143</v>
      </c>
      <c r="E8553">
        <v>2</v>
      </c>
      <c r="F8553">
        <v>1876</v>
      </c>
      <c r="G8553">
        <v>5</v>
      </c>
      <c r="H8553">
        <v>3</v>
      </c>
      <c r="I8553">
        <v>2006</v>
      </c>
      <c r="J8553">
        <v>1</v>
      </c>
      <c r="K8553">
        <v>0</v>
      </c>
      <c r="L8553">
        <v>0</v>
      </c>
      <c r="M8553">
        <v>12</v>
      </c>
      <c r="N8553" t="s">
        <v>41</v>
      </c>
      <c r="O8553" t="s">
        <v>27</v>
      </c>
      <c r="P8553">
        <v>7.8488953127709102</v>
      </c>
      <c r="Q8553">
        <v>2.1876085879484699</v>
      </c>
      <c r="R8553">
        <v>2.9117054930992898</v>
      </c>
      <c r="S8553">
        <v>186</v>
      </c>
      <c r="T8553">
        <v>57</v>
      </c>
      <c r="U8553">
        <v>915.65306281143796</v>
      </c>
      <c r="V8553">
        <v>6.3965884861407196E-3</v>
      </c>
      <c r="W8553">
        <v>2034162.4326667299</v>
      </c>
      <c r="X8553" t="s">
        <v>31</v>
      </c>
      <c r="Y8553">
        <f>1-421-974-9876</f>
        <v>-11270</v>
      </c>
    </row>
    <row r="8554" spans="1:25" x14ac:dyDescent="0.35">
      <c r="A8554">
        <v>33.247857514078902</v>
      </c>
      <c r="B8554">
        <v>-123.980986965242</v>
      </c>
      <c r="C8554" t="s">
        <v>34</v>
      </c>
      <c r="D8554">
        <v>34.735163586410202</v>
      </c>
      <c r="E8554">
        <v>5</v>
      </c>
      <c r="F8554">
        <v>4358</v>
      </c>
      <c r="G8554">
        <v>2</v>
      </c>
      <c r="H8554">
        <v>2</v>
      </c>
      <c r="I8554">
        <v>1969</v>
      </c>
      <c r="J8554">
        <v>0</v>
      </c>
      <c r="K8554">
        <v>1</v>
      </c>
      <c r="L8554">
        <v>1</v>
      </c>
      <c r="M8554">
        <v>8</v>
      </c>
      <c r="N8554" t="s">
        <v>37</v>
      </c>
      <c r="O8554" t="s">
        <v>32</v>
      </c>
      <c r="P8554">
        <v>7.7573352821456103</v>
      </c>
      <c r="Q8554">
        <v>1.4719295488994799</v>
      </c>
      <c r="R8554">
        <v>3.8502143889024798</v>
      </c>
      <c r="S8554">
        <v>26</v>
      </c>
      <c r="T8554">
        <v>60</v>
      </c>
      <c r="U8554">
        <v>532.77712424598303</v>
      </c>
      <c r="V8554">
        <v>1.8357044515832899E-3</v>
      </c>
      <c r="W8554">
        <v>2600262.8460075301</v>
      </c>
      <c r="X8554" t="s">
        <v>43</v>
      </c>
      <c r="Y8554">
        <f>1-214-115-6431</f>
        <v>-6759</v>
      </c>
    </row>
    <row r="8555" spans="1:25" x14ac:dyDescent="0.35">
      <c r="A8555">
        <v>39.644798473834101</v>
      </c>
      <c r="B8555">
        <v>-118.17589012045499</v>
      </c>
      <c r="C8555" t="s">
        <v>34</v>
      </c>
      <c r="D8555">
        <v>34.883497956287101</v>
      </c>
      <c r="E8555">
        <v>5</v>
      </c>
      <c r="F8555">
        <v>1845</v>
      </c>
      <c r="G8555">
        <v>4</v>
      </c>
      <c r="H8555">
        <v>2</v>
      </c>
      <c r="I8555">
        <v>1974</v>
      </c>
      <c r="J8555">
        <v>0</v>
      </c>
      <c r="K8555">
        <v>0</v>
      </c>
      <c r="L8555">
        <v>1</v>
      </c>
      <c r="M8555">
        <v>12</v>
      </c>
      <c r="N8555" t="s">
        <v>26</v>
      </c>
      <c r="O8555" t="s">
        <v>32</v>
      </c>
      <c r="P8555">
        <v>5.8347896963256396</v>
      </c>
      <c r="Q8555">
        <v>1.26599422248583</v>
      </c>
      <c r="R8555">
        <v>3.2678352675632998</v>
      </c>
      <c r="S8555">
        <v>193</v>
      </c>
      <c r="T8555">
        <v>35</v>
      </c>
      <c r="U8555">
        <v>808.70343426390605</v>
      </c>
      <c r="V8555">
        <v>6.5040650406504004E-3</v>
      </c>
      <c r="W8555">
        <v>1768481.6029580401</v>
      </c>
      <c r="X8555" t="s">
        <v>31</v>
      </c>
      <c r="Y8555">
        <f>1-480-284-8669</f>
        <v>-9432</v>
      </c>
    </row>
    <row r="8556" spans="1:25" x14ac:dyDescent="0.35">
      <c r="A8556">
        <v>38.7700656950528</v>
      </c>
      <c r="B8556">
        <v>-122.598033050854</v>
      </c>
      <c r="C8556" t="s">
        <v>29</v>
      </c>
      <c r="D8556">
        <v>27.9389524713071</v>
      </c>
      <c r="E8556">
        <v>3</v>
      </c>
      <c r="F8556">
        <v>2789</v>
      </c>
      <c r="G8556">
        <v>3</v>
      </c>
      <c r="H8556">
        <v>1</v>
      </c>
      <c r="I8556">
        <v>2013</v>
      </c>
      <c r="J8556">
        <v>1</v>
      </c>
      <c r="K8556">
        <v>1</v>
      </c>
      <c r="L8556">
        <v>1</v>
      </c>
      <c r="M8556">
        <v>7</v>
      </c>
      <c r="N8556" t="s">
        <v>26</v>
      </c>
      <c r="O8556" t="s">
        <v>30</v>
      </c>
      <c r="P8556">
        <v>6.9607933969103897</v>
      </c>
      <c r="Q8556">
        <v>1.40596639573908</v>
      </c>
      <c r="R8556">
        <v>4.4873975013271599</v>
      </c>
      <c r="S8556">
        <v>49</v>
      </c>
      <c r="T8556">
        <v>76</v>
      </c>
      <c r="U8556">
        <v>391.98383699825098</v>
      </c>
      <c r="V8556">
        <v>2.5098601649336601E-3</v>
      </c>
      <c r="W8556">
        <v>1449538.36367073</v>
      </c>
      <c r="X8556" t="s">
        <v>42</v>
      </c>
      <c r="Y8556">
        <f>1-205-901-5164</f>
        <v>-6269</v>
      </c>
    </row>
    <row r="8557" spans="1:25" x14ac:dyDescent="0.35">
      <c r="A8557">
        <v>32.974607001904701</v>
      </c>
      <c r="B8557">
        <v>-117.61379622363</v>
      </c>
      <c r="C8557" t="s">
        <v>34</v>
      </c>
      <c r="D8557">
        <v>8.3762242050039308</v>
      </c>
      <c r="E8557">
        <v>2</v>
      </c>
      <c r="F8557">
        <v>4136</v>
      </c>
      <c r="G8557">
        <v>4</v>
      </c>
      <c r="H8557">
        <v>1</v>
      </c>
      <c r="I8557">
        <v>1959</v>
      </c>
      <c r="J8557">
        <v>1</v>
      </c>
      <c r="K8557">
        <v>0</v>
      </c>
      <c r="L8557">
        <v>0</v>
      </c>
      <c r="M8557">
        <v>7</v>
      </c>
      <c r="N8557" t="s">
        <v>26</v>
      </c>
      <c r="O8557" t="s">
        <v>27</v>
      </c>
      <c r="P8557">
        <v>11.432171127642601</v>
      </c>
      <c r="Q8557">
        <v>1.6045996727618801</v>
      </c>
      <c r="R8557">
        <v>8.8497550121845503</v>
      </c>
      <c r="S8557">
        <v>5</v>
      </c>
      <c r="T8557">
        <v>60</v>
      </c>
      <c r="U8557">
        <v>240.76444909009001</v>
      </c>
      <c r="V8557">
        <v>1.6924564796905199E-3</v>
      </c>
      <c r="W8557">
        <v>1256879.27634711</v>
      </c>
      <c r="X8557" t="s">
        <v>42</v>
      </c>
      <c r="Y8557">
        <f>1-416-239-5374</f>
        <v>-6028</v>
      </c>
    </row>
    <row r="8558" spans="1:25" x14ac:dyDescent="0.35">
      <c r="A8558">
        <v>33.4235818348278</v>
      </c>
      <c r="B8558">
        <v>-121.90182999436</v>
      </c>
      <c r="C8558" t="s">
        <v>34</v>
      </c>
      <c r="D8558">
        <v>46.538865240200501</v>
      </c>
      <c r="E8558">
        <v>8</v>
      </c>
      <c r="F8558">
        <v>4883</v>
      </c>
      <c r="G8558">
        <v>1</v>
      </c>
      <c r="H8558">
        <v>2</v>
      </c>
      <c r="I8558">
        <v>2006</v>
      </c>
      <c r="J8558">
        <v>1</v>
      </c>
      <c r="K8558">
        <v>1</v>
      </c>
      <c r="L8558">
        <v>1</v>
      </c>
      <c r="M8558">
        <v>11</v>
      </c>
      <c r="N8558" t="s">
        <v>41</v>
      </c>
      <c r="O8558" t="s">
        <v>30</v>
      </c>
      <c r="P8558">
        <v>10.868144340197</v>
      </c>
      <c r="Q8558">
        <v>1.5792190261513599</v>
      </c>
      <c r="R8558">
        <v>3.75777927444036</v>
      </c>
      <c r="S8558">
        <v>15</v>
      </c>
      <c r="T8558">
        <v>42</v>
      </c>
      <c r="U8558">
        <v>710.47392479638597</v>
      </c>
      <c r="V8558">
        <v>2.2527134958017598E-3</v>
      </c>
      <c r="W8558">
        <v>3801970.9205590901</v>
      </c>
      <c r="X8558" t="s">
        <v>28</v>
      </c>
      <c r="Y8558">
        <f>1-678-532-7212</f>
        <v>-8421</v>
      </c>
    </row>
    <row r="8559" spans="1:25" x14ac:dyDescent="0.35">
      <c r="A8559">
        <v>37.362640635514403</v>
      </c>
      <c r="B8559">
        <v>-115.742007391078</v>
      </c>
      <c r="C8559" t="s">
        <v>25</v>
      </c>
      <c r="D8559">
        <v>32.892986346000299</v>
      </c>
      <c r="E8559">
        <v>8</v>
      </c>
      <c r="F8559">
        <v>2486</v>
      </c>
      <c r="G8559">
        <v>2</v>
      </c>
      <c r="H8559">
        <v>3</v>
      </c>
      <c r="I8559">
        <v>1972</v>
      </c>
      <c r="J8559">
        <v>0</v>
      </c>
      <c r="K8559">
        <v>0</v>
      </c>
      <c r="L8559">
        <v>1</v>
      </c>
      <c r="M8559">
        <v>14</v>
      </c>
      <c r="N8559" t="s">
        <v>37</v>
      </c>
      <c r="O8559" t="s">
        <v>30</v>
      </c>
      <c r="P8559">
        <v>7.6438527341185001</v>
      </c>
      <c r="Q8559">
        <v>2.2302226172793498</v>
      </c>
      <c r="R8559">
        <v>9.5771791158122195</v>
      </c>
      <c r="S8559">
        <v>68</v>
      </c>
      <c r="T8559">
        <v>59</v>
      </c>
      <c r="U8559">
        <v>955.18590017814199</v>
      </c>
      <c r="V8559">
        <v>5.6315366049879299E-3</v>
      </c>
      <c r="W8559">
        <v>2541804.8839145801</v>
      </c>
      <c r="X8559" t="s">
        <v>33</v>
      </c>
      <c r="Y8559">
        <f>1-962-260-1069</f>
        <v>-2290</v>
      </c>
    </row>
    <row r="8560" spans="1:25" x14ac:dyDescent="0.35">
      <c r="A8560">
        <v>39.281964821902001</v>
      </c>
      <c r="B8560">
        <v>-120.613052852764</v>
      </c>
      <c r="C8560" t="s">
        <v>25</v>
      </c>
      <c r="D8560">
        <v>10.800418268748199</v>
      </c>
      <c r="E8560">
        <v>4</v>
      </c>
      <c r="F8560">
        <v>1496</v>
      </c>
      <c r="G8560">
        <v>4</v>
      </c>
      <c r="H8560">
        <v>2</v>
      </c>
      <c r="I8560">
        <v>1968</v>
      </c>
      <c r="J8560">
        <v>1</v>
      </c>
      <c r="K8560">
        <v>1</v>
      </c>
      <c r="L8560">
        <v>0</v>
      </c>
      <c r="M8560">
        <v>6</v>
      </c>
      <c r="N8560" t="s">
        <v>41</v>
      </c>
      <c r="O8560" t="s">
        <v>30</v>
      </c>
      <c r="P8560">
        <v>4.0037710149359897</v>
      </c>
      <c r="Q8560">
        <v>2.0923474855056301</v>
      </c>
      <c r="R8560">
        <v>1.4331444168667999</v>
      </c>
      <c r="S8560">
        <v>14</v>
      </c>
      <c r="T8560">
        <v>57</v>
      </c>
      <c r="U8560">
        <v>635.37752633403102</v>
      </c>
      <c r="V8560">
        <v>4.0106951871657697E-3</v>
      </c>
      <c r="W8560">
        <v>1302512.3662681601</v>
      </c>
      <c r="X8560" t="s">
        <v>39</v>
      </c>
      <c r="Y8560">
        <f>1-811-663-7145</f>
        <v>-8618</v>
      </c>
    </row>
    <row r="8561" spans="1:25" x14ac:dyDescent="0.35">
      <c r="A8561">
        <v>36.216710237784604</v>
      </c>
      <c r="B8561">
        <v>-116.226448188858</v>
      </c>
      <c r="C8561" t="s">
        <v>29</v>
      </c>
      <c r="D8561">
        <v>1.2909646535693799</v>
      </c>
      <c r="E8561">
        <v>5</v>
      </c>
      <c r="F8561">
        <v>844</v>
      </c>
      <c r="G8561">
        <v>2</v>
      </c>
      <c r="H8561">
        <v>3</v>
      </c>
      <c r="I8561">
        <v>2011</v>
      </c>
      <c r="J8561">
        <v>0</v>
      </c>
      <c r="K8561">
        <v>1</v>
      </c>
      <c r="L8561">
        <v>1</v>
      </c>
      <c r="M8561">
        <v>7</v>
      </c>
      <c r="N8561" t="s">
        <v>41</v>
      </c>
      <c r="O8561" t="s">
        <v>30</v>
      </c>
      <c r="P8561">
        <v>12.158321161364601</v>
      </c>
      <c r="Q8561">
        <v>2.0544964580684901</v>
      </c>
      <c r="R8561">
        <v>1.1199894955757299</v>
      </c>
      <c r="S8561">
        <v>168</v>
      </c>
      <c r="T8561">
        <v>45</v>
      </c>
      <c r="U8561">
        <v>432.07098363490502</v>
      </c>
      <c r="V8561">
        <v>8.2938388625592406E-3</v>
      </c>
      <c r="W8561">
        <v>708734.34126858204</v>
      </c>
      <c r="X8561" t="s">
        <v>39</v>
      </c>
      <c r="Y8561">
        <f>1-506-277-1312</f>
        <v>-2094</v>
      </c>
    </row>
    <row r="8562" spans="1:25" x14ac:dyDescent="0.35">
      <c r="A8562">
        <v>36.338720437399999</v>
      </c>
      <c r="B8562">
        <v>-119.120684441251</v>
      </c>
      <c r="C8562" t="s">
        <v>25</v>
      </c>
      <c r="D8562">
        <v>48.339068451537102</v>
      </c>
      <c r="E8562">
        <v>9</v>
      </c>
      <c r="F8562">
        <v>945</v>
      </c>
      <c r="G8562">
        <v>5</v>
      </c>
      <c r="H8562">
        <v>2</v>
      </c>
      <c r="I8562">
        <v>1994</v>
      </c>
      <c r="J8562">
        <v>1</v>
      </c>
      <c r="K8562">
        <v>0</v>
      </c>
      <c r="L8562">
        <v>0</v>
      </c>
      <c r="M8562">
        <v>11</v>
      </c>
      <c r="N8562" t="s">
        <v>26</v>
      </c>
      <c r="O8562" t="s">
        <v>30</v>
      </c>
      <c r="P8562">
        <v>14.6751038729816</v>
      </c>
      <c r="Q8562">
        <v>1.5236747291938699</v>
      </c>
      <c r="R8562">
        <v>8.89254596556599</v>
      </c>
      <c r="S8562">
        <v>160</v>
      </c>
      <c r="T8562">
        <v>60</v>
      </c>
      <c r="U8562">
        <v>842.66275699972402</v>
      </c>
      <c r="V8562">
        <v>1.16402116402116E-2</v>
      </c>
      <c r="W8562">
        <v>1246554.68861295</v>
      </c>
      <c r="X8562" t="s">
        <v>43</v>
      </c>
      <c r="Y8562">
        <f>1-753-505-4624</f>
        <v>-5881</v>
      </c>
    </row>
    <row r="8563" spans="1:25" x14ac:dyDescent="0.35">
      <c r="A8563">
        <v>33.658735583001899</v>
      </c>
      <c r="B8563">
        <v>-120.886246427697</v>
      </c>
      <c r="C8563" t="s">
        <v>25</v>
      </c>
      <c r="D8563">
        <v>24.114354186447201</v>
      </c>
      <c r="E8563">
        <v>7</v>
      </c>
      <c r="F8563">
        <v>670</v>
      </c>
      <c r="G8563">
        <v>5</v>
      </c>
      <c r="H8563">
        <v>3</v>
      </c>
      <c r="I8563">
        <v>1966</v>
      </c>
      <c r="J8563">
        <v>1</v>
      </c>
      <c r="K8563">
        <v>0</v>
      </c>
      <c r="L8563">
        <v>0</v>
      </c>
      <c r="M8563">
        <v>10</v>
      </c>
      <c r="N8563" t="s">
        <v>37</v>
      </c>
      <c r="O8563" t="s">
        <v>27</v>
      </c>
      <c r="P8563">
        <v>3.9179923793241298</v>
      </c>
      <c r="Q8563">
        <v>1.29784578480282</v>
      </c>
      <c r="R8563">
        <v>8.8782775895095902</v>
      </c>
      <c r="S8563">
        <v>153</v>
      </c>
      <c r="T8563">
        <v>38</v>
      </c>
      <c r="U8563">
        <v>711.30594305142699</v>
      </c>
      <c r="V8563">
        <v>1.4925373134328301E-2</v>
      </c>
      <c r="W8563">
        <v>707426.92643892998</v>
      </c>
      <c r="X8563" t="s">
        <v>40</v>
      </c>
      <c r="Y8563">
        <f>1-817-804-4856</f>
        <v>-6476</v>
      </c>
    </row>
    <row r="8564" spans="1:25" x14ac:dyDescent="0.35">
      <c r="A8564">
        <v>35.541679244152</v>
      </c>
      <c r="B8564">
        <v>-121.27895132182201</v>
      </c>
      <c r="C8564" t="s">
        <v>25</v>
      </c>
      <c r="D8564">
        <v>45.819609905895</v>
      </c>
      <c r="E8564">
        <v>7</v>
      </c>
      <c r="F8564">
        <v>1202</v>
      </c>
      <c r="G8564">
        <v>4</v>
      </c>
      <c r="H8564">
        <v>2</v>
      </c>
      <c r="I8564">
        <v>1962</v>
      </c>
      <c r="J8564">
        <v>0</v>
      </c>
      <c r="K8564">
        <v>0</v>
      </c>
      <c r="L8564">
        <v>0</v>
      </c>
      <c r="M8564">
        <v>6</v>
      </c>
      <c r="N8564" t="s">
        <v>41</v>
      </c>
      <c r="O8564" t="s">
        <v>30</v>
      </c>
      <c r="P8564">
        <v>8.0260726349768596</v>
      </c>
      <c r="Q8564">
        <v>0.71175685968825397</v>
      </c>
      <c r="R8564">
        <v>4.3219915768722004</v>
      </c>
      <c r="S8564">
        <v>11</v>
      </c>
      <c r="T8564">
        <v>43</v>
      </c>
      <c r="U8564">
        <v>613.57329336276098</v>
      </c>
      <c r="V8564">
        <v>4.9916805324459199E-3</v>
      </c>
      <c r="W8564">
        <v>1015227.8375532</v>
      </c>
      <c r="X8564" t="s">
        <v>44</v>
      </c>
      <c r="Y8564">
        <f>1-474-974-2774</f>
        <v>-4221</v>
      </c>
    </row>
    <row r="8565" spans="1:25" x14ac:dyDescent="0.35">
      <c r="A8565">
        <v>39.439077547315897</v>
      </c>
      <c r="B8565">
        <v>-117.978523428307</v>
      </c>
      <c r="C8565" t="s">
        <v>25</v>
      </c>
      <c r="D8565">
        <v>2.3316507872633001</v>
      </c>
      <c r="E8565">
        <v>1</v>
      </c>
      <c r="F8565">
        <v>1410</v>
      </c>
      <c r="G8565">
        <v>4</v>
      </c>
      <c r="H8565">
        <v>2</v>
      </c>
      <c r="I8565">
        <v>1956</v>
      </c>
      <c r="J8565">
        <v>0</v>
      </c>
      <c r="K8565">
        <v>1</v>
      </c>
      <c r="L8565">
        <v>0</v>
      </c>
      <c r="M8565">
        <v>13</v>
      </c>
      <c r="N8565" t="s">
        <v>41</v>
      </c>
      <c r="O8565" t="s">
        <v>32</v>
      </c>
      <c r="P8565">
        <v>14.1888788120838</v>
      </c>
      <c r="Q8565">
        <v>0.91810304451082403</v>
      </c>
      <c r="R8565">
        <v>3.17675036676982</v>
      </c>
      <c r="S8565">
        <v>140</v>
      </c>
      <c r="T8565">
        <v>36</v>
      </c>
      <c r="U8565">
        <v>697.80294219906796</v>
      </c>
      <c r="V8565">
        <v>9.2198581560283595E-3</v>
      </c>
      <c r="W8565">
        <v>1354629.45562902</v>
      </c>
      <c r="X8565" t="s">
        <v>36</v>
      </c>
      <c r="Y8565">
        <f>1-595-378-7452</f>
        <v>-8424</v>
      </c>
    </row>
    <row r="8566" spans="1:25" x14ac:dyDescent="0.35">
      <c r="A8566">
        <v>33.960402169498799</v>
      </c>
      <c r="B8566">
        <v>-123.90634882460201</v>
      </c>
      <c r="C8566" t="s">
        <v>25</v>
      </c>
      <c r="D8566">
        <v>7.7149421152302198</v>
      </c>
      <c r="E8566">
        <v>2</v>
      </c>
      <c r="F8566">
        <v>2673</v>
      </c>
      <c r="G8566">
        <v>4</v>
      </c>
      <c r="H8566">
        <v>2</v>
      </c>
      <c r="I8566">
        <v>1991</v>
      </c>
      <c r="J8566">
        <v>0</v>
      </c>
      <c r="K8566">
        <v>1</v>
      </c>
      <c r="L8566">
        <v>1</v>
      </c>
      <c r="M8566">
        <v>7</v>
      </c>
      <c r="N8566" t="s">
        <v>26</v>
      </c>
      <c r="O8566" t="s">
        <v>27</v>
      </c>
      <c r="P8566">
        <v>5.2905959122786799</v>
      </c>
      <c r="Q8566">
        <v>2.0439048368644501</v>
      </c>
      <c r="R8566">
        <v>0.96359618336499597</v>
      </c>
      <c r="S8566">
        <v>117</v>
      </c>
      <c r="T8566">
        <v>52</v>
      </c>
      <c r="U8566">
        <v>490.02925592995098</v>
      </c>
      <c r="V8566">
        <v>2.6187803965581698E-3</v>
      </c>
      <c r="W8566">
        <v>1686796.7527373999</v>
      </c>
      <c r="X8566" t="s">
        <v>31</v>
      </c>
      <c r="Y8566">
        <f>1-788-384-8689</f>
        <v>-9860</v>
      </c>
    </row>
    <row r="8567" spans="1:25" x14ac:dyDescent="0.35">
      <c r="A8567">
        <v>33.867427406507403</v>
      </c>
      <c r="B8567">
        <v>-120.713000891706</v>
      </c>
      <c r="C8567" t="s">
        <v>29</v>
      </c>
      <c r="D8567">
        <v>20.8486211502907</v>
      </c>
      <c r="E8567">
        <v>3</v>
      </c>
      <c r="F8567">
        <v>2620</v>
      </c>
      <c r="G8567">
        <v>3</v>
      </c>
      <c r="H8567">
        <v>1</v>
      </c>
      <c r="I8567">
        <v>1989</v>
      </c>
      <c r="J8567">
        <v>1</v>
      </c>
      <c r="K8567">
        <v>1</v>
      </c>
      <c r="L8567">
        <v>1</v>
      </c>
      <c r="M8567">
        <v>14</v>
      </c>
      <c r="N8567" t="s">
        <v>26</v>
      </c>
      <c r="O8567" t="s">
        <v>32</v>
      </c>
      <c r="P8567">
        <v>5.6161605627550903</v>
      </c>
      <c r="Q8567">
        <v>1.0667000151846699</v>
      </c>
      <c r="R8567">
        <v>9.66493815616092</v>
      </c>
      <c r="S8567">
        <v>14</v>
      </c>
      <c r="T8567">
        <v>36</v>
      </c>
      <c r="U8567">
        <v>765.110082789236</v>
      </c>
      <c r="V8567">
        <v>5.3435114503816699E-3</v>
      </c>
      <c r="W8567">
        <v>2389442.6072880598</v>
      </c>
      <c r="X8567" t="s">
        <v>43</v>
      </c>
      <c r="Y8567">
        <f>1-754-354-1696</f>
        <v>-2803</v>
      </c>
    </row>
    <row r="8568" spans="1:25" x14ac:dyDescent="0.35">
      <c r="A8568">
        <v>35.6329555355113</v>
      </c>
      <c r="B8568">
        <v>-121.40684001055</v>
      </c>
      <c r="C8568" t="s">
        <v>34</v>
      </c>
      <c r="D8568">
        <v>18.5800641815005</v>
      </c>
      <c r="E8568">
        <v>0</v>
      </c>
      <c r="F8568">
        <v>3925</v>
      </c>
      <c r="G8568">
        <v>1</v>
      </c>
      <c r="H8568">
        <v>2</v>
      </c>
      <c r="I8568">
        <v>1962</v>
      </c>
      <c r="J8568">
        <v>1</v>
      </c>
      <c r="K8568">
        <v>1</v>
      </c>
      <c r="L8568">
        <v>1</v>
      </c>
      <c r="M8568">
        <v>6</v>
      </c>
      <c r="N8568" t="s">
        <v>41</v>
      </c>
      <c r="O8568" t="s">
        <v>30</v>
      </c>
      <c r="P8568">
        <v>3.46425659771212</v>
      </c>
      <c r="Q8568">
        <v>2.2057770103124699</v>
      </c>
      <c r="R8568">
        <v>5.7277341821055803</v>
      </c>
      <c r="S8568">
        <v>66</v>
      </c>
      <c r="T8568">
        <v>56</v>
      </c>
      <c r="U8568">
        <v>628.70828719799499</v>
      </c>
      <c r="V8568">
        <v>1.5286624203821599E-3</v>
      </c>
      <c r="W8568">
        <v>2673807.2927701599</v>
      </c>
      <c r="X8568" t="s">
        <v>28</v>
      </c>
      <c r="Y8568">
        <f>1-474-903-3066</f>
        <v>-4442</v>
      </c>
    </row>
    <row r="8569" spans="1:25" x14ac:dyDescent="0.35">
      <c r="A8569">
        <v>36.590079934973801</v>
      </c>
      <c r="B8569">
        <v>-116.44661552266599</v>
      </c>
      <c r="C8569" t="s">
        <v>34</v>
      </c>
      <c r="D8569">
        <v>40.051022064807498</v>
      </c>
      <c r="E8569">
        <v>6</v>
      </c>
      <c r="F8569">
        <v>3927</v>
      </c>
      <c r="G8569">
        <v>2</v>
      </c>
      <c r="H8569">
        <v>3</v>
      </c>
      <c r="I8569">
        <v>1979</v>
      </c>
      <c r="J8569">
        <v>0</v>
      </c>
      <c r="K8569">
        <v>1</v>
      </c>
      <c r="L8569">
        <v>0</v>
      </c>
      <c r="M8569">
        <v>14</v>
      </c>
      <c r="N8569" t="s">
        <v>26</v>
      </c>
      <c r="O8569" t="s">
        <v>32</v>
      </c>
      <c r="P8569">
        <v>3.9841154479120999</v>
      </c>
      <c r="Q8569">
        <v>1.51268354627577</v>
      </c>
      <c r="R8569">
        <v>5.4310564572026898</v>
      </c>
      <c r="S8569">
        <v>167</v>
      </c>
      <c r="T8569">
        <v>32</v>
      </c>
      <c r="U8569">
        <v>615.57895700088102</v>
      </c>
      <c r="V8569">
        <v>3.5650623885918001E-3</v>
      </c>
      <c r="W8569">
        <v>2718272.3914032402</v>
      </c>
      <c r="X8569" t="s">
        <v>44</v>
      </c>
      <c r="Y8569">
        <f>1-630-669-4742</f>
        <v>-6040</v>
      </c>
    </row>
    <row r="8570" spans="1:25" x14ac:dyDescent="0.35">
      <c r="A8570">
        <v>36.688856641271698</v>
      </c>
      <c r="B8570">
        <v>-118.91715817654401</v>
      </c>
      <c r="C8570" t="s">
        <v>34</v>
      </c>
      <c r="D8570">
        <v>30.5787990669198</v>
      </c>
      <c r="E8570">
        <v>4</v>
      </c>
      <c r="F8570">
        <v>3601</v>
      </c>
      <c r="G8570">
        <v>2</v>
      </c>
      <c r="H8570">
        <v>3</v>
      </c>
      <c r="I8570">
        <v>2012</v>
      </c>
      <c r="J8570">
        <v>0</v>
      </c>
      <c r="K8570">
        <v>1</v>
      </c>
      <c r="L8570">
        <v>0</v>
      </c>
      <c r="M8570">
        <v>3</v>
      </c>
      <c r="N8570" t="s">
        <v>35</v>
      </c>
      <c r="O8570" t="s">
        <v>30</v>
      </c>
      <c r="P8570">
        <v>11.0018252406126</v>
      </c>
      <c r="Q8570">
        <v>1.2331884499611701</v>
      </c>
      <c r="R8570">
        <v>7.0393052618113803</v>
      </c>
      <c r="S8570">
        <v>129</v>
      </c>
      <c r="T8570">
        <v>36</v>
      </c>
      <c r="U8570">
        <v>663.55175663577904</v>
      </c>
      <c r="V8570">
        <v>8.3310191613440699E-4</v>
      </c>
      <c r="W8570">
        <v>2708376.0748636401</v>
      </c>
      <c r="X8570" t="s">
        <v>39</v>
      </c>
      <c r="Y8570">
        <f>1-493-513-7075</f>
        <v>-8080</v>
      </c>
    </row>
    <row r="8571" spans="1:25" x14ac:dyDescent="0.35">
      <c r="A8571">
        <v>40.275239171230197</v>
      </c>
      <c r="B8571">
        <v>-114.20555513101</v>
      </c>
      <c r="C8571" t="s">
        <v>29</v>
      </c>
      <c r="D8571">
        <v>3.6996800854613099</v>
      </c>
      <c r="E8571">
        <v>5</v>
      </c>
      <c r="F8571">
        <v>747</v>
      </c>
      <c r="G8571">
        <v>5</v>
      </c>
      <c r="H8571">
        <v>1</v>
      </c>
      <c r="I8571">
        <v>1979</v>
      </c>
      <c r="J8571">
        <v>1</v>
      </c>
      <c r="K8571">
        <v>0</v>
      </c>
      <c r="L8571">
        <v>0</v>
      </c>
      <c r="M8571">
        <v>13</v>
      </c>
      <c r="N8571" t="s">
        <v>37</v>
      </c>
      <c r="O8571" t="s">
        <v>27</v>
      </c>
      <c r="P8571">
        <v>4.24699742428602</v>
      </c>
      <c r="Q8571">
        <v>0.55469773597879302</v>
      </c>
      <c r="R8571">
        <v>6.2779610690528802</v>
      </c>
      <c r="S8571">
        <v>147</v>
      </c>
      <c r="T8571">
        <v>43</v>
      </c>
      <c r="U8571">
        <v>736.95232916207897</v>
      </c>
      <c r="V8571">
        <v>1.7402945113788398E-2</v>
      </c>
      <c r="W8571">
        <v>754486.65074603097</v>
      </c>
      <c r="X8571" t="s">
        <v>36</v>
      </c>
      <c r="Y8571">
        <f>1-625-816-2569</f>
        <v>-4009</v>
      </c>
    </row>
    <row r="8572" spans="1:25" x14ac:dyDescent="0.35">
      <c r="A8572">
        <v>35.465167097546903</v>
      </c>
      <c r="B8572">
        <v>-115.109093180852</v>
      </c>
      <c r="C8572" t="s">
        <v>34</v>
      </c>
      <c r="D8572">
        <v>4.9920339751771303</v>
      </c>
      <c r="E8572">
        <v>8</v>
      </c>
      <c r="F8572">
        <v>4116</v>
      </c>
      <c r="G8572">
        <v>4</v>
      </c>
      <c r="H8572">
        <v>2</v>
      </c>
      <c r="I8572">
        <v>1952</v>
      </c>
      <c r="J8572">
        <v>0</v>
      </c>
      <c r="K8572">
        <v>0</v>
      </c>
      <c r="L8572">
        <v>0</v>
      </c>
      <c r="M8572">
        <v>10</v>
      </c>
      <c r="N8572" t="s">
        <v>41</v>
      </c>
      <c r="O8572" t="s">
        <v>27</v>
      </c>
      <c r="P8572">
        <v>3.7076722120594301</v>
      </c>
      <c r="Q8572">
        <v>2.2275264919611901</v>
      </c>
      <c r="R8572">
        <v>6.5319352195388696</v>
      </c>
      <c r="S8572">
        <v>157</v>
      </c>
      <c r="T8572">
        <v>25</v>
      </c>
      <c r="U8572">
        <v>203.81308100693099</v>
      </c>
      <c r="V8572">
        <v>2.42954324586977E-3</v>
      </c>
      <c r="W8572">
        <v>969207.34879752295</v>
      </c>
      <c r="X8572" t="s">
        <v>38</v>
      </c>
      <c r="Y8572">
        <f>1-603-433-2692</f>
        <v>-3727</v>
      </c>
    </row>
    <row r="8573" spans="1:25" x14ac:dyDescent="0.35">
      <c r="A8573">
        <v>34.1594200543461</v>
      </c>
      <c r="B8573">
        <v>-118.479545823704</v>
      </c>
      <c r="C8573" t="s">
        <v>25</v>
      </c>
      <c r="D8573">
        <v>11.6194631419404</v>
      </c>
      <c r="E8573">
        <v>8</v>
      </c>
      <c r="F8573">
        <v>4549</v>
      </c>
      <c r="G8573">
        <v>4</v>
      </c>
      <c r="H8573">
        <v>1</v>
      </c>
      <c r="I8573">
        <v>1996</v>
      </c>
      <c r="J8573">
        <v>0</v>
      </c>
      <c r="K8573">
        <v>0</v>
      </c>
      <c r="L8573">
        <v>1</v>
      </c>
      <c r="M8573">
        <v>3</v>
      </c>
      <c r="N8573" t="s">
        <v>35</v>
      </c>
      <c r="O8573" t="s">
        <v>30</v>
      </c>
      <c r="P8573">
        <v>5.3503000590644003</v>
      </c>
      <c r="Q8573">
        <v>0.831827527716541</v>
      </c>
      <c r="R8573">
        <v>7.5241527720353298</v>
      </c>
      <c r="S8573">
        <v>151</v>
      </c>
      <c r="T8573">
        <v>50</v>
      </c>
      <c r="U8573">
        <v>968.73235504268803</v>
      </c>
      <c r="V8573">
        <v>6.5948560123103904E-4</v>
      </c>
      <c r="W8573">
        <v>4716364.7998398999</v>
      </c>
      <c r="X8573" t="s">
        <v>31</v>
      </c>
      <c r="Y8573">
        <f>1-865-873-3295</f>
        <v>-5032</v>
      </c>
    </row>
    <row r="8574" spans="1:25" x14ac:dyDescent="0.35">
      <c r="A8574">
        <v>40.1831171451797</v>
      </c>
      <c r="B8574">
        <v>-117.126989441311</v>
      </c>
      <c r="C8574" t="s">
        <v>25</v>
      </c>
      <c r="D8574">
        <v>26.1656294977548</v>
      </c>
      <c r="E8574">
        <v>4</v>
      </c>
      <c r="F8574">
        <v>1756</v>
      </c>
      <c r="G8574">
        <v>4</v>
      </c>
      <c r="H8574">
        <v>2</v>
      </c>
      <c r="I8574">
        <v>2022</v>
      </c>
      <c r="J8574">
        <v>1</v>
      </c>
      <c r="K8574">
        <v>0</v>
      </c>
      <c r="L8574">
        <v>0</v>
      </c>
      <c r="M8574">
        <v>9</v>
      </c>
      <c r="N8574" t="s">
        <v>35</v>
      </c>
      <c r="O8574" t="s">
        <v>30</v>
      </c>
      <c r="P8574">
        <v>12.728355925586399</v>
      </c>
      <c r="Q8574">
        <v>0.78211869213419305</v>
      </c>
      <c r="R8574">
        <v>7.3896111757730303</v>
      </c>
      <c r="S8574">
        <v>108</v>
      </c>
      <c r="T8574">
        <v>61</v>
      </c>
      <c r="U8574">
        <v>325.54327718303603</v>
      </c>
      <c r="V8574">
        <v>5.1252847380409998E-3</v>
      </c>
      <c r="W8574">
        <v>950370.52412327798</v>
      </c>
      <c r="X8574" t="s">
        <v>33</v>
      </c>
      <c r="Y8574">
        <f>1-405-251-7858</f>
        <v>-8513</v>
      </c>
    </row>
    <row r="8575" spans="1:25" x14ac:dyDescent="0.35">
      <c r="A8575">
        <v>38.390712497375603</v>
      </c>
      <c r="B8575">
        <v>-118.94936159916</v>
      </c>
      <c r="C8575" t="s">
        <v>34</v>
      </c>
      <c r="D8575">
        <v>18.8550001035644</v>
      </c>
      <c r="E8575">
        <v>5</v>
      </c>
      <c r="F8575">
        <v>3045</v>
      </c>
      <c r="G8575">
        <v>3</v>
      </c>
      <c r="H8575">
        <v>2</v>
      </c>
      <c r="I8575">
        <v>1989</v>
      </c>
      <c r="J8575">
        <v>1</v>
      </c>
      <c r="K8575">
        <v>0</v>
      </c>
      <c r="L8575">
        <v>1</v>
      </c>
      <c r="M8575">
        <v>9</v>
      </c>
      <c r="N8575" t="s">
        <v>26</v>
      </c>
      <c r="O8575" t="s">
        <v>27</v>
      </c>
      <c r="P8575">
        <v>14.4661137161147</v>
      </c>
      <c r="Q8575">
        <v>1.6803216846204001</v>
      </c>
      <c r="R8575">
        <v>6.2658613111028902</v>
      </c>
      <c r="S8575">
        <v>65</v>
      </c>
      <c r="T8575">
        <v>74</v>
      </c>
      <c r="U8575">
        <v>763.96175139917898</v>
      </c>
      <c r="V8575">
        <v>2.9556650246305399E-3</v>
      </c>
      <c r="W8575">
        <v>2632504.5184925501</v>
      </c>
      <c r="X8575" t="s">
        <v>43</v>
      </c>
      <c r="Y8575">
        <f>1-556-849-7507</f>
        <v>-8911</v>
      </c>
    </row>
    <row r="8576" spans="1:25" x14ac:dyDescent="0.35">
      <c r="A8576">
        <v>34.004081898162198</v>
      </c>
      <c r="B8576">
        <v>-115.509481377874</v>
      </c>
      <c r="C8576" t="s">
        <v>34</v>
      </c>
      <c r="D8576">
        <v>9.0179128794061505</v>
      </c>
      <c r="E8576">
        <v>0</v>
      </c>
      <c r="F8576">
        <v>2049</v>
      </c>
      <c r="G8576">
        <v>3</v>
      </c>
      <c r="H8576">
        <v>3</v>
      </c>
      <c r="I8576">
        <v>1999</v>
      </c>
      <c r="J8576">
        <v>0</v>
      </c>
      <c r="K8576">
        <v>1</v>
      </c>
      <c r="L8576">
        <v>1</v>
      </c>
      <c r="M8576">
        <v>2</v>
      </c>
      <c r="N8576" t="s">
        <v>26</v>
      </c>
      <c r="O8576" t="s">
        <v>27</v>
      </c>
      <c r="P8576">
        <v>5.0281403256096597</v>
      </c>
      <c r="Q8576">
        <v>0.85345837539926495</v>
      </c>
      <c r="R8576">
        <v>6.9984002848870803</v>
      </c>
      <c r="S8576">
        <v>109</v>
      </c>
      <c r="T8576">
        <v>24</v>
      </c>
      <c r="U8576">
        <v>368.69544012407999</v>
      </c>
      <c r="V8576">
        <v>9.7608589555880899E-4</v>
      </c>
      <c r="W8576">
        <v>1161459.9785392</v>
      </c>
      <c r="X8576" t="s">
        <v>44</v>
      </c>
      <c r="Y8576">
        <f>1-912-588-6455</f>
        <v>-7954</v>
      </c>
    </row>
    <row r="8577" spans="1:25" x14ac:dyDescent="0.35">
      <c r="A8577">
        <v>38.703403204800601</v>
      </c>
      <c r="B8577">
        <v>-122.603754444567</v>
      </c>
      <c r="C8577" t="s">
        <v>25</v>
      </c>
      <c r="D8577">
        <v>2.9934356899249801</v>
      </c>
      <c r="E8577">
        <v>7</v>
      </c>
      <c r="F8577">
        <v>689</v>
      </c>
      <c r="G8577">
        <v>4</v>
      </c>
      <c r="H8577">
        <v>2</v>
      </c>
      <c r="I8577">
        <v>2019</v>
      </c>
      <c r="J8577">
        <v>0</v>
      </c>
      <c r="K8577">
        <v>0</v>
      </c>
      <c r="L8577">
        <v>0</v>
      </c>
      <c r="M8577">
        <v>7</v>
      </c>
      <c r="N8577" t="s">
        <v>35</v>
      </c>
      <c r="O8577" t="s">
        <v>32</v>
      </c>
      <c r="P8577">
        <v>13.7397768114211</v>
      </c>
      <c r="Q8577">
        <v>0.73457805721458402</v>
      </c>
      <c r="R8577">
        <v>7.2449377111863704</v>
      </c>
      <c r="S8577">
        <v>193</v>
      </c>
      <c r="T8577">
        <v>79</v>
      </c>
      <c r="U8577">
        <v>306.633502877507</v>
      </c>
      <c r="V8577">
        <v>1.01596516690856E-2</v>
      </c>
      <c r="W8577">
        <v>549745.99493394198</v>
      </c>
      <c r="X8577" t="s">
        <v>36</v>
      </c>
      <c r="Y8577">
        <f>1-313-664-6351</f>
        <v>-7327</v>
      </c>
    </row>
    <row r="8578" spans="1:25" x14ac:dyDescent="0.35">
      <c r="A8578">
        <v>36.9202118956932</v>
      </c>
      <c r="B8578">
        <v>-117.076730561063</v>
      </c>
      <c r="C8578" t="s">
        <v>25</v>
      </c>
      <c r="D8578">
        <v>17.308452711696798</v>
      </c>
      <c r="E8578">
        <v>0</v>
      </c>
      <c r="F8578">
        <v>3512</v>
      </c>
      <c r="G8578">
        <v>5</v>
      </c>
      <c r="H8578">
        <v>3</v>
      </c>
      <c r="I8578">
        <v>1952</v>
      </c>
      <c r="J8578">
        <v>1</v>
      </c>
      <c r="K8578">
        <v>0</v>
      </c>
      <c r="L8578">
        <v>1</v>
      </c>
      <c r="M8578">
        <v>14</v>
      </c>
      <c r="N8578" t="s">
        <v>41</v>
      </c>
      <c r="O8578" t="s">
        <v>32</v>
      </c>
      <c r="P8578">
        <v>4.1076165722020104</v>
      </c>
      <c r="Q8578">
        <v>0.62548893274180395</v>
      </c>
      <c r="R8578">
        <v>6.7992596600830799</v>
      </c>
      <c r="S8578">
        <v>33</v>
      </c>
      <c r="T8578">
        <v>79</v>
      </c>
      <c r="U8578">
        <v>803.65862409624106</v>
      </c>
      <c r="V8578">
        <v>3.9863325740318901E-3</v>
      </c>
      <c r="W8578">
        <v>3144824.0205987501</v>
      </c>
      <c r="X8578" t="s">
        <v>43</v>
      </c>
      <c r="Y8578">
        <f>1-446-231-4217</f>
        <v>-4893</v>
      </c>
    </row>
    <row r="8579" spans="1:25" x14ac:dyDescent="0.35">
      <c r="A8579">
        <v>41.486032000191699</v>
      </c>
      <c r="B8579">
        <v>-119.10676228265299</v>
      </c>
      <c r="C8579" t="s">
        <v>34</v>
      </c>
      <c r="D8579">
        <v>12.524931521967501</v>
      </c>
      <c r="E8579">
        <v>6</v>
      </c>
      <c r="F8579">
        <v>1814</v>
      </c>
      <c r="G8579">
        <v>4</v>
      </c>
      <c r="H8579">
        <v>1</v>
      </c>
      <c r="I8579">
        <v>1950</v>
      </c>
      <c r="J8579">
        <v>1</v>
      </c>
      <c r="K8579">
        <v>1</v>
      </c>
      <c r="L8579">
        <v>0</v>
      </c>
      <c r="M8579">
        <v>6</v>
      </c>
      <c r="N8579" t="s">
        <v>26</v>
      </c>
      <c r="O8579" t="s">
        <v>27</v>
      </c>
      <c r="P8579">
        <v>12.456731779139499</v>
      </c>
      <c r="Q8579">
        <v>1.4256148823022501</v>
      </c>
      <c r="R8579">
        <v>8.6070263026415201</v>
      </c>
      <c r="S8579">
        <v>180</v>
      </c>
      <c r="T8579">
        <v>22</v>
      </c>
      <c r="U8579">
        <v>375.63455330979798</v>
      </c>
      <c r="V8579">
        <v>3.30760749724366E-3</v>
      </c>
      <c r="W8579">
        <v>887684.90021870402</v>
      </c>
      <c r="X8579" t="s">
        <v>36</v>
      </c>
      <c r="Y8579">
        <f>1-504-342-3377</f>
        <v>-4222</v>
      </c>
    </row>
    <row r="8580" spans="1:25" x14ac:dyDescent="0.35">
      <c r="A8580">
        <v>39.121030611791397</v>
      </c>
      <c r="B8580">
        <v>-120.647679191555</v>
      </c>
      <c r="C8580" t="s">
        <v>25</v>
      </c>
      <c r="D8580">
        <v>9.8993394863469195</v>
      </c>
      <c r="E8580">
        <v>5</v>
      </c>
      <c r="F8580">
        <v>1608</v>
      </c>
      <c r="G8580">
        <v>1</v>
      </c>
      <c r="H8580">
        <v>3</v>
      </c>
      <c r="I8580">
        <v>1990</v>
      </c>
      <c r="J8580">
        <v>0</v>
      </c>
      <c r="K8580">
        <v>0</v>
      </c>
      <c r="L8580">
        <v>0</v>
      </c>
      <c r="M8580">
        <v>12</v>
      </c>
      <c r="N8580" t="s">
        <v>41</v>
      </c>
      <c r="O8580" t="s">
        <v>27</v>
      </c>
      <c r="P8580">
        <v>14.795947838042199</v>
      </c>
      <c r="Q8580">
        <v>2.0378239232560098</v>
      </c>
      <c r="R8580">
        <v>1.0046404199791401</v>
      </c>
      <c r="S8580">
        <v>23</v>
      </c>
      <c r="T8580">
        <v>46</v>
      </c>
      <c r="U8580">
        <v>234.04478041380099</v>
      </c>
      <c r="V8580">
        <v>7.4626865671641703E-3</v>
      </c>
      <c r="W8580">
        <v>530099.40282566706</v>
      </c>
      <c r="X8580" t="s">
        <v>42</v>
      </c>
      <c r="Y8580">
        <f>1-918-348-5976</f>
        <v>-7241</v>
      </c>
    </row>
    <row r="8581" spans="1:25" x14ac:dyDescent="0.35">
      <c r="A8581">
        <v>35.4754032117674</v>
      </c>
      <c r="B8581">
        <v>-119.968042769395</v>
      </c>
      <c r="C8581" t="s">
        <v>34</v>
      </c>
      <c r="D8581">
        <v>2.4825399516295499</v>
      </c>
      <c r="E8581">
        <v>5</v>
      </c>
      <c r="F8581">
        <v>2078</v>
      </c>
      <c r="G8581">
        <v>4</v>
      </c>
      <c r="H8581">
        <v>3</v>
      </c>
      <c r="I8581">
        <v>1993</v>
      </c>
      <c r="J8581">
        <v>1</v>
      </c>
      <c r="K8581">
        <v>0</v>
      </c>
      <c r="L8581">
        <v>1</v>
      </c>
      <c r="M8581">
        <v>9</v>
      </c>
      <c r="N8581" t="s">
        <v>35</v>
      </c>
      <c r="O8581" t="s">
        <v>32</v>
      </c>
      <c r="P8581">
        <v>8.8640139836575802</v>
      </c>
      <c r="Q8581">
        <v>2.3448414643183799</v>
      </c>
      <c r="R8581">
        <v>6.0209624329856597</v>
      </c>
      <c r="S8581">
        <v>149</v>
      </c>
      <c r="T8581">
        <v>79</v>
      </c>
      <c r="U8581">
        <v>247.59615632410899</v>
      </c>
      <c r="V8581">
        <v>4.3310875842155899E-3</v>
      </c>
      <c r="W8581">
        <v>916549.26659003797</v>
      </c>
      <c r="X8581" t="s">
        <v>38</v>
      </c>
      <c r="Y8581">
        <f>1-485-652-2872</f>
        <v>-4008</v>
      </c>
    </row>
    <row r="8582" spans="1:25" x14ac:dyDescent="0.35">
      <c r="A8582">
        <v>33.419691577070402</v>
      </c>
      <c r="B8582">
        <v>-115.52557164676099</v>
      </c>
      <c r="C8582" t="s">
        <v>29</v>
      </c>
      <c r="D8582">
        <v>41.386310204443198</v>
      </c>
      <c r="E8582">
        <v>3</v>
      </c>
      <c r="F8582">
        <v>3707</v>
      </c>
      <c r="G8582">
        <v>4</v>
      </c>
      <c r="H8582">
        <v>2</v>
      </c>
      <c r="I8582">
        <v>1999</v>
      </c>
      <c r="J8582">
        <v>1</v>
      </c>
      <c r="K8582">
        <v>0</v>
      </c>
      <c r="L8582">
        <v>0</v>
      </c>
      <c r="M8582">
        <v>7</v>
      </c>
      <c r="N8582" t="s">
        <v>41</v>
      </c>
      <c r="O8582" t="s">
        <v>27</v>
      </c>
      <c r="P8582">
        <v>6.4597578752255398</v>
      </c>
      <c r="Q8582">
        <v>1.59308216674629</v>
      </c>
      <c r="R8582">
        <v>8.0704711182314099</v>
      </c>
      <c r="S8582">
        <v>46</v>
      </c>
      <c r="T8582">
        <v>40</v>
      </c>
      <c r="U8582">
        <v>449.75002387672703</v>
      </c>
      <c r="V8582">
        <v>1.88831939573779E-3</v>
      </c>
      <c r="W8582">
        <v>1929669.7178156101</v>
      </c>
      <c r="X8582" t="s">
        <v>33</v>
      </c>
      <c r="Y8582">
        <f>1-238-332-1058</f>
        <v>-1627</v>
      </c>
    </row>
    <row r="8583" spans="1:25" x14ac:dyDescent="0.35">
      <c r="A8583">
        <v>36.756171602248898</v>
      </c>
      <c r="B8583">
        <v>-124.147659287227</v>
      </c>
      <c r="C8583" t="s">
        <v>34</v>
      </c>
      <c r="D8583">
        <v>48.589191452085402</v>
      </c>
      <c r="E8583">
        <v>4</v>
      </c>
      <c r="F8583">
        <v>3776</v>
      </c>
      <c r="G8583">
        <v>4</v>
      </c>
      <c r="H8583">
        <v>1</v>
      </c>
      <c r="I8583">
        <v>1999</v>
      </c>
      <c r="J8583">
        <v>0</v>
      </c>
      <c r="K8583">
        <v>0</v>
      </c>
      <c r="L8583">
        <v>0</v>
      </c>
      <c r="M8583">
        <v>4</v>
      </c>
      <c r="N8583" t="s">
        <v>26</v>
      </c>
      <c r="O8583" t="s">
        <v>32</v>
      </c>
      <c r="P8583">
        <v>3.4630665764209798</v>
      </c>
      <c r="Q8583">
        <v>1.1774210715140401</v>
      </c>
      <c r="R8583">
        <v>7.4474641947520599</v>
      </c>
      <c r="S8583">
        <v>18</v>
      </c>
      <c r="T8583">
        <v>71</v>
      </c>
      <c r="U8583">
        <v>280.74127430557797</v>
      </c>
      <c r="V8583">
        <v>1.0593220338983001E-3</v>
      </c>
      <c r="W8583">
        <v>1253546.4474695099</v>
      </c>
      <c r="X8583" t="s">
        <v>33</v>
      </c>
      <c r="Y8583">
        <f>1-383-155-6021</f>
        <v>-6558</v>
      </c>
    </row>
    <row r="8584" spans="1:25" x14ac:dyDescent="0.35">
      <c r="A8584">
        <v>41.545625112807897</v>
      </c>
      <c r="B8584">
        <v>-117.154266248288</v>
      </c>
      <c r="C8584" t="s">
        <v>25</v>
      </c>
      <c r="D8584">
        <v>3.6169134953672102</v>
      </c>
      <c r="E8584">
        <v>5</v>
      </c>
      <c r="F8584">
        <v>4912</v>
      </c>
      <c r="G8584">
        <v>4</v>
      </c>
      <c r="H8584">
        <v>1</v>
      </c>
      <c r="I8584">
        <v>1973</v>
      </c>
      <c r="J8584">
        <v>1</v>
      </c>
      <c r="K8584">
        <v>1</v>
      </c>
      <c r="L8584">
        <v>1</v>
      </c>
      <c r="M8584">
        <v>6</v>
      </c>
      <c r="N8584" t="s">
        <v>37</v>
      </c>
      <c r="O8584" t="s">
        <v>27</v>
      </c>
      <c r="P8584">
        <v>8.8447636426641303</v>
      </c>
      <c r="Q8584">
        <v>0.77370506273845296</v>
      </c>
      <c r="R8584">
        <v>7.3457103616241302</v>
      </c>
      <c r="S8584">
        <v>56</v>
      </c>
      <c r="T8584">
        <v>49</v>
      </c>
      <c r="U8584">
        <v>524.127436499954</v>
      </c>
      <c r="V8584">
        <v>1.2214983713355E-3</v>
      </c>
      <c r="W8584">
        <v>2923506.7652104399</v>
      </c>
      <c r="X8584" t="s">
        <v>40</v>
      </c>
      <c r="Y8584">
        <f>1-412-667-9110</f>
        <v>-10188</v>
      </c>
    </row>
    <row r="8585" spans="1:25" x14ac:dyDescent="0.35">
      <c r="A8585">
        <v>39.367710357502901</v>
      </c>
      <c r="B8585">
        <v>-118.15200700780299</v>
      </c>
      <c r="C8585" t="s">
        <v>25</v>
      </c>
      <c r="D8585">
        <v>31.9309421345625</v>
      </c>
      <c r="E8585">
        <v>5</v>
      </c>
      <c r="F8585">
        <v>2088</v>
      </c>
      <c r="G8585">
        <v>3</v>
      </c>
      <c r="H8585">
        <v>1</v>
      </c>
      <c r="I8585">
        <v>1995</v>
      </c>
      <c r="J8585">
        <v>0</v>
      </c>
      <c r="K8585">
        <v>0</v>
      </c>
      <c r="L8585">
        <v>0</v>
      </c>
      <c r="M8585">
        <v>9</v>
      </c>
      <c r="N8585" t="s">
        <v>41</v>
      </c>
      <c r="O8585" t="s">
        <v>30</v>
      </c>
      <c r="P8585">
        <v>3.8338225758196498</v>
      </c>
      <c r="Q8585">
        <v>1.1255707564525299</v>
      </c>
      <c r="R8585">
        <v>2.0936496411557299</v>
      </c>
      <c r="S8585">
        <v>102</v>
      </c>
      <c r="T8585">
        <v>36</v>
      </c>
      <c r="U8585">
        <v>422.058955808017</v>
      </c>
      <c r="V8585">
        <v>4.3103448275861999E-3</v>
      </c>
      <c r="W8585">
        <v>971971.54249885795</v>
      </c>
      <c r="X8585" t="s">
        <v>36</v>
      </c>
      <c r="Y8585">
        <f>1-993-752-8974</f>
        <v>-10718</v>
      </c>
    </row>
    <row r="8586" spans="1:25" x14ac:dyDescent="0.35">
      <c r="A8586">
        <v>41.610334340795603</v>
      </c>
      <c r="B8586">
        <v>-121.532584272916</v>
      </c>
      <c r="C8586" t="s">
        <v>25</v>
      </c>
      <c r="D8586">
        <v>43.919372385221699</v>
      </c>
      <c r="E8586">
        <v>6</v>
      </c>
      <c r="F8586">
        <v>2731</v>
      </c>
      <c r="G8586">
        <v>3</v>
      </c>
      <c r="H8586">
        <v>3</v>
      </c>
      <c r="I8586">
        <v>1958</v>
      </c>
      <c r="J8586">
        <v>0</v>
      </c>
      <c r="K8586">
        <v>0</v>
      </c>
      <c r="L8586">
        <v>0</v>
      </c>
      <c r="M8586">
        <v>5</v>
      </c>
      <c r="N8586" t="s">
        <v>35</v>
      </c>
      <c r="O8586" t="s">
        <v>32</v>
      </c>
      <c r="P8586">
        <v>12.1503455647051</v>
      </c>
      <c r="Q8586">
        <v>1.9687273006211901</v>
      </c>
      <c r="R8586">
        <v>3.1030716453555698</v>
      </c>
      <c r="S8586">
        <v>97</v>
      </c>
      <c r="T8586">
        <v>38</v>
      </c>
      <c r="U8586">
        <v>285.50822515213002</v>
      </c>
      <c r="V8586">
        <v>1.8308311973636001E-3</v>
      </c>
      <c r="W8586">
        <v>924511.73448581295</v>
      </c>
      <c r="X8586" t="s">
        <v>38</v>
      </c>
      <c r="Y8586">
        <f>1-882-241-2375</f>
        <v>-3497</v>
      </c>
    </row>
    <row r="8587" spans="1:25" x14ac:dyDescent="0.35">
      <c r="A8587">
        <v>40.413662714708003</v>
      </c>
      <c r="B8587">
        <v>-116.10600631396299</v>
      </c>
      <c r="C8587" t="s">
        <v>25</v>
      </c>
      <c r="D8587">
        <v>41.237269740451303</v>
      </c>
      <c r="E8587">
        <v>8</v>
      </c>
      <c r="F8587">
        <v>3432</v>
      </c>
      <c r="G8587">
        <v>2</v>
      </c>
      <c r="H8587">
        <v>3</v>
      </c>
      <c r="I8587">
        <v>1972</v>
      </c>
      <c r="J8587">
        <v>1</v>
      </c>
      <c r="K8587">
        <v>0</v>
      </c>
      <c r="L8587">
        <v>0</v>
      </c>
      <c r="M8587">
        <v>8</v>
      </c>
      <c r="N8587" t="s">
        <v>41</v>
      </c>
      <c r="O8587" t="s">
        <v>27</v>
      </c>
      <c r="P8587">
        <v>13.464427327732199</v>
      </c>
      <c r="Q8587">
        <v>2.35846390619459</v>
      </c>
      <c r="R8587">
        <v>5.73309995049694</v>
      </c>
      <c r="S8587">
        <v>60</v>
      </c>
      <c r="T8587">
        <v>60</v>
      </c>
      <c r="U8587">
        <v>504.74173816605798</v>
      </c>
      <c r="V8587">
        <v>2.3310023310023301E-3</v>
      </c>
      <c r="W8587">
        <v>2046799.38217784</v>
      </c>
      <c r="X8587" t="s">
        <v>39</v>
      </c>
      <c r="Y8587">
        <f>1-765-545-6078</f>
        <v>-7387</v>
      </c>
    </row>
    <row r="8588" spans="1:25" x14ac:dyDescent="0.35">
      <c r="A8588">
        <v>41.693143819248903</v>
      </c>
      <c r="B8588">
        <v>-120.72096430850399</v>
      </c>
      <c r="C8588" t="s">
        <v>34</v>
      </c>
      <c r="D8588">
        <v>28.1696181437195</v>
      </c>
      <c r="E8588">
        <v>8</v>
      </c>
      <c r="F8588">
        <v>2413</v>
      </c>
      <c r="G8588">
        <v>1</v>
      </c>
      <c r="H8588">
        <v>1</v>
      </c>
      <c r="I8588">
        <v>1972</v>
      </c>
      <c r="J8588">
        <v>1</v>
      </c>
      <c r="K8588">
        <v>1</v>
      </c>
      <c r="L8588">
        <v>1</v>
      </c>
      <c r="M8588">
        <v>8</v>
      </c>
      <c r="N8588" t="s">
        <v>35</v>
      </c>
      <c r="O8588" t="s">
        <v>32</v>
      </c>
      <c r="P8588">
        <v>7.8656429527686296</v>
      </c>
      <c r="Q8588">
        <v>2.28700267985865</v>
      </c>
      <c r="R8588">
        <v>2.33772401132053</v>
      </c>
      <c r="S8588">
        <v>88</v>
      </c>
      <c r="T8588">
        <v>45</v>
      </c>
      <c r="U8588">
        <v>842.68134533365401</v>
      </c>
      <c r="V8588">
        <v>3.3153750518027298E-3</v>
      </c>
      <c r="W8588">
        <v>2264058.30907166</v>
      </c>
      <c r="X8588" t="s">
        <v>42</v>
      </c>
      <c r="Y8588">
        <f>1-615-367-1590</f>
        <v>-2571</v>
      </c>
    </row>
    <row r="8589" spans="1:25" x14ac:dyDescent="0.35">
      <c r="A8589">
        <v>40.685800251552799</v>
      </c>
      <c r="B8589">
        <v>-122.358350866371</v>
      </c>
      <c r="C8589" t="s">
        <v>34</v>
      </c>
      <c r="D8589">
        <v>16.265771642584401</v>
      </c>
      <c r="E8589">
        <v>2</v>
      </c>
      <c r="F8589">
        <v>1385</v>
      </c>
      <c r="G8589">
        <v>5</v>
      </c>
      <c r="H8589">
        <v>2</v>
      </c>
      <c r="I8589">
        <v>1972</v>
      </c>
      <c r="J8589">
        <v>1</v>
      </c>
      <c r="K8589">
        <v>0</v>
      </c>
      <c r="L8589">
        <v>1</v>
      </c>
      <c r="M8589">
        <v>11</v>
      </c>
      <c r="N8589" t="s">
        <v>26</v>
      </c>
      <c r="O8589" t="s">
        <v>27</v>
      </c>
      <c r="P8589">
        <v>6.5160300482886697</v>
      </c>
      <c r="Q8589">
        <v>1.2004783850972101</v>
      </c>
      <c r="R8589">
        <v>4.7649214110016</v>
      </c>
      <c r="S8589">
        <v>144</v>
      </c>
      <c r="T8589">
        <v>48</v>
      </c>
      <c r="U8589">
        <v>970.56607461107899</v>
      </c>
      <c r="V8589">
        <v>7.9422382671480093E-3</v>
      </c>
      <c r="W8589">
        <v>1660078.9484842001</v>
      </c>
      <c r="X8589" t="s">
        <v>44</v>
      </c>
      <c r="Y8589">
        <f>1-868-659-6983</f>
        <v>-8509</v>
      </c>
    </row>
    <row r="8590" spans="1:25" x14ac:dyDescent="0.35">
      <c r="A8590">
        <v>38.599227623673997</v>
      </c>
      <c r="B8590">
        <v>-124.198056129747</v>
      </c>
      <c r="C8590" t="s">
        <v>29</v>
      </c>
      <c r="D8590">
        <v>39.9911325305453</v>
      </c>
      <c r="E8590">
        <v>6</v>
      </c>
      <c r="F8590">
        <v>3130</v>
      </c>
      <c r="G8590">
        <v>4</v>
      </c>
      <c r="H8590">
        <v>1</v>
      </c>
      <c r="I8590">
        <v>2001</v>
      </c>
      <c r="J8590">
        <v>1</v>
      </c>
      <c r="K8590">
        <v>1</v>
      </c>
      <c r="L8590">
        <v>1</v>
      </c>
      <c r="M8590">
        <v>14</v>
      </c>
      <c r="N8590" t="s">
        <v>35</v>
      </c>
      <c r="O8590" t="s">
        <v>30</v>
      </c>
      <c r="P8590">
        <v>2.2327750003715701</v>
      </c>
      <c r="Q8590">
        <v>0.782796847828791</v>
      </c>
      <c r="R8590">
        <v>6.9201505238575196</v>
      </c>
      <c r="S8590">
        <v>115</v>
      </c>
      <c r="T8590">
        <v>76</v>
      </c>
      <c r="U8590">
        <v>759.06300532320699</v>
      </c>
      <c r="V8590">
        <v>4.4728434504792301E-3</v>
      </c>
      <c r="W8590">
        <v>2750306.40570811</v>
      </c>
      <c r="X8590" t="s">
        <v>43</v>
      </c>
      <c r="Y8590">
        <f>1-266-802-7092</f>
        <v>-8159</v>
      </c>
    </row>
    <row r="8591" spans="1:25" x14ac:dyDescent="0.35">
      <c r="A8591">
        <v>34.649300598862602</v>
      </c>
      <c r="B8591">
        <v>-119.050405418544</v>
      </c>
      <c r="C8591" t="s">
        <v>29</v>
      </c>
      <c r="D8591">
        <v>46.034445502885902</v>
      </c>
      <c r="E8591">
        <v>9</v>
      </c>
      <c r="F8591">
        <v>3477</v>
      </c>
      <c r="G8591">
        <v>3</v>
      </c>
      <c r="H8591">
        <v>2</v>
      </c>
      <c r="I8591">
        <v>2005</v>
      </c>
      <c r="J8591">
        <v>0</v>
      </c>
      <c r="K8591">
        <v>1</v>
      </c>
      <c r="L8591">
        <v>0</v>
      </c>
      <c r="M8591">
        <v>11</v>
      </c>
      <c r="N8591" t="s">
        <v>37</v>
      </c>
      <c r="O8591" t="s">
        <v>27</v>
      </c>
      <c r="P8591">
        <v>3.9627846596919398</v>
      </c>
      <c r="Q8591">
        <v>0.65307666478466997</v>
      </c>
      <c r="R8591">
        <v>2.8778290233091499</v>
      </c>
      <c r="S8591">
        <v>166</v>
      </c>
      <c r="T8591">
        <v>51</v>
      </c>
      <c r="U8591">
        <v>814.99355968854798</v>
      </c>
      <c r="V8591">
        <v>3.1636468219729602E-3</v>
      </c>
      <c r="W8591">
        <v>3085882.2328625098</v>
      </c>
      <c r="X8591" t="s">
        <v>44</v>
      </c>
      <c r="Y8591">
        <f>1-237-387-1662</f>
        <v>-2285</v>
      </c>
    </row>
    <row r="8592" spans="1:25" x14ac:dyDescent="0.35">
      <c r="A8592">
        <v>40.5933026202568</v>
      </c>
      <c r="B8592">
        <v>-115.62544070225501</v>
      </c>
      <c r="C8592" t="s">
        <v>25</v>
      </c>
      <c r="D8592">
        <v>3.36055984305762</v>
      </c>
      <c r="E8592">
        <v>5</v>
      </c>
      <c r="F8592">
        <v>3585</v>
      </c>
      <c r="G8592">
        <v>3</v>
      </c>
      <c r="H8592">
        <v>1</v>
      </c>
      <c r="I8592">
        <v>1966</v>
      </c>
      <c r="J8592">
        <v>1</v>
      </c>
      <c r="K8592">
        <v>0</v>
      </c>
      <c r="L8592">
        <v>1</v>
      </c>
      <c r="M8592">
        <v>8</v>
      </c>
      <c r="N8592" t="s">
        <v>35</v>
      </c>
      <c r="O8592" t="s">
        <v>27</v>
      </c>
      <c r="P8592">
        <v>14.759472036380799</v>
      </c>
      <c r="Q8592">
        <v>0.62306236596473497</v>
      </c>
      <c r="R8592">
        <v>1.4318904800652601</v>
      </c>
      <c r="S8592">
        <v>135</v>
      </c>
      <c r="T8592">
        <v>27</v>
      </c>
      <c r="U8592">
        <v>884.32109995631697</v>
      </c>
      <c r="V8592">
        <v>2.2315202231520202E-3</v>
      </c>
      <c r="W8592">
        <v>3510746.7622806798</v>
      </c>
      <c r="X8592" t="s">
        <v>28</v>
      </c>
      <c r="Y8592">
        <f>1-787-983-6992</f>
        <v>-8761</v>
      </c>
    </row>
    <row r="8593" spans="1:25" x14ac:dyDescent="0.35">
      <c r="A8593">
        <v>37.085897008705402</v>
      </c>
      <c r="B8593">
        <v>-114.803874295592</v>
      </c>
      <c r="C8593" t="s">
        <v>29</v>
      </c>
      <c r="D8593">
        <v>41.454844800676497</v>
      </c>
      <c r="E8593">
        <v>2</v>
      </c>
      <c r="F8593">
        <v>733</v>
      </c>
      <c r="G8593">
        <v>2</v>
      </c>
      <c r="H8593">
        <v>3</v>
      </c>
      <c r="I8593">
        <v>1953</v>
      </c>
      <c r="J8593">
        <v>0</v>
      </c>
      <c r="K8593">
        <v>0</v>
      </c>
      <c r="L8593">
        <v>0</v>
      </c>
      <c r="M8593">
        <v>7</v>
      </c>
      <c r="N8593" t="s">
        <v>35</v>
      </c>
      <c r="O8593" t="s">
        <v>27</v>
      </c>
      <c r="P8593">
        <v>7.5230196541854504</v>
      </c>
      <c r="Q8593">
        <v>2.3829243204700101</v>
      </c>
      <c r="R8593">
        <v>7.0172161407601399</v>
      </c>
      <c r="S8593">
        <v>171</v>
      </c>
      <c r="T8593">
        <v>36</v>
      </c>
      <c r="U8593">
        <v>593.91587430825996</v>
      </c>
      <c r="V8593">
        <v>9.5497953615279602E-3</v>
      </c>
      <c r="W8593">
        <v>526778.61814621498</v>
      </c>
      <c r="X8593" t="s">
        <v>28</v>
      </c>
      <c r="Y8593">
        <f>1-714-229-5573</f>
        <v>-6515</v>
      </c>
    </row>
    <row r="8594" spans="1:25" x14ac:dyDescent="0.35">
      <c r="A8594">
        <v>41.323247706764697</v>
      </c>
      <c r="B8594">
        <v>-115.974707008678</v>
      </c>
      <c r="C8594" t="s">
        <v>25</v>
      </c>
      <c r="D8594">
        <v>19.163606372507399</v>
      </c>
      <c r="E8594">
        <v>4</v>
      </c>
      <c r="F8594">
        <v>3794</v>
      </c>
      <c r="G8594">
        <v>5</v>
      </c>
      <c r="H8594">
        <v>3</v>
      </c>
      <c r="I8594">
        <v>2021</v>
      </c>
      <c r="J8594">
        <v>1</v>
      </c>
      <c r="K8594">
        <v>0</v>
      </c>
      <c r="L8594">
        <v>1</v>
      </c>
      <c r="M8594">
        <v>13</v>
      </c>
      <c r="N8594" t="s">
        <v>35</v>
      </c>
      <c r="O8594" t="s">
        <v>27</v>
      </c>
      <c r="P8594">
        <v>14.8693544395271</v>
      </c>
      <c r="Q8594">
        <v>1.5933136732836</v>
      </c>
      <c r="R8594">
        <v>6.7457477608303398</v>
      </c>
      <c r="S8594">
        <v>65</v>
      </c>
      <c r="T8594">
        <v>53</v>
      </c>
      <c r="U8594">
        <v>880.83248801087598</v>
      </c>
      <c r="V8594">
        <v>3.4264628360569302E-3</v>
      </c>
      <c r="W8594">
        <v>3798396.8317589001</v>
      </c>
      <c r="X8594" t="s">
        <v>28</v>
      </c>
      <c r="Y8594">
        <f>1-484-564-9702</f>
        <v>-10749</v>
      </c>
    </row>
    <row r="8595" spans="1:25" x14ac:dyDescent="0.35">
      <c r="A8595">
        <v>40.238470940429501</v>
      </c>
      <c r="B8595">
        <v>-122.251377856185</v>
      </c>
      <c r="C8595" t="s">
        <v>25</v>
      </c>
      <c r="D8595">
        <v>10.9548138618576</v>
      </c>
      <c r="E8595">
        <v>4</v>
      </c>
      <c r="F8595">
        <v>1990</v>
      </c>
      <c r="G8595">
        <v>1</v>
      </c>
      <c r="H8595">
        <v>2</v>
      </c>
      <c r="I8595">
        <v>1987</v>
      </c>
      <c r="J8595">
        <v>1</v>
      </c>
      <c r="K8595">
        <v>1</v>
      </c>
      <c r="L8595">
        <v>1</v>
      </c>
      <c r="M8595">
        <v>9</v>
      </c>
      <c r="N8595" t="s">
        <v>26</v>
      </c>
      <c r="O8595" t="s">
        <v>30</v>
      </c>
      <c r="P8595">
        <v>14.4016828523387</v>
      </c>
      <c r="Q8595">
        <v>2.49893454349654</v>
      </c>
      <c r="R8595">
        <v>9.6706449491763298</v>
      </c>
      <c r="S8595">
        <v>199</v>
      </c>
      <c r="T8595">
        <v>63</v>
      </c>
      <c r="U8595">
        <v>989.96191792711102</v>
      </c>
      <c r="V8595">
        <v>4.5226130653266304E-3</v>
      </c>
      <c r="W8595">
        <v>2188053.74653801</v>
      </c>
      <c r="X8595" t="s">
        <v>43</v>
      </c>
      <c r="Y8595">
        <f>1-775-162-5960</f>
        <v>-6896</v>
      </c>
    </row>
    <row r="8596" spans="1:25" x14ac:dyDescent="0.35">
      <c r="A8596">
        <v>34.609079275841601</v>
      </c>
      <c r="B8596">
        <v>-114.087653147876</v>
      </c>
      <c r="C8596" t="s">
        <v>34</v>
      </c>
      <c r="D8596">
        <v>18.284310244653899</v>
      </c>
      <c r="E8596">
        <v>1</v>
      </c>
      <c r="F8596">
        <v>2057</v>
      </c>
      <c r="G8596">
        <v>2</v>
      </c>
      <c r="H8596">
        <v>3</v>
      </c>
      <c r="I8596">
        <v>1973</v>
      </c>
      <c r="J8596">
        <v>1</v>
      </c>
      <c r="K8596">
        <v>1</v>
      </c>
      <c r="L8596">
        <v>1</v>
      </c>
      <c r="M8596">
        <v>10</v>
      </c>
      <c r="N8596" t="s">
        <v>37</v>
      </c>
      <c r="O8596" t="s">
        <v>27</v>
      </c>
      <c r="P8596">
        <v>12.0554945675628</v>
      </c>
      <c r="Q8596">
        <v>1.0364962280499299</v>
      </c>
      <c r="R8596">
        <v>2.2258861644408201</v>
      </c>
      <c r="S8596">
        <v>2</v>
      </c>
      <c r="T8596">
        <v>45</v>
      </c>
      <c r="U8596">
        <v>500.26913490467001</v>
      </c>
      <c r="V8596">
        <v>4.8614487117160897E-3</v>
      </c>
      <c r="W8596">
        <v>1372727.0766196901</v>
      </c>
      <c r="X8596" t="s">
        <v>36</v>
      </c>
      <c r="Y8596">
        <f>1-901-317-6537</f>
        <v>-7754</v>
      </c>
    </row>
    <row r="8597" spans="1:25" x14ac:dyDescent="0.35">
      <c r="A8597">
        <v>34.422809886931802</v>
      </c>
      <c r="B8597">
        <v>-122.486908200145</v>
      </c>
      <c r="C8597" t="s">
        <v>34</v>
      </c>
      <c r="D8597">
        <v>13.695282755483699</v>
      </c>
      <c r="E8597">
        <v>4</v>
      </c>
      <c r="F8597">
        <v>4206</v>
      </c>
      <c r="G8597">
        <v>1</v>
      </c>
      <c r="H8597">
        <v>2</v>
      </c>
      <c r="I8597">
        <v>1965</v>
      </c>
      <c r="J8597">
        <v>1</v>
      </c>
      <c r="K8597">
        <v>1</v>
      </c>
      <c r="L8597">
        <v>1</v>
      </c>
      <c r="M8597">
        <v>3</v>
      </c>
      <c r="N8597" t="s">
        <v>37</v>
      </c>
      <c r="O8597" t="s">
        <v>27</v>
      </c>
      <c r="P8597">
        <v>12.7799121869293</v>
      </c>
      <c r="Q8597">
        <v>1.2807278728520901</v>
      </c>
      <c r="R8597">
        <v>8.3031841734280398</v>
      </c>
      <c r="S8597">
        <v>174</v>
      </c>
      <c r="T8597">
        <v>44</v>
      </c>
      <c r="U8597">
        <v>599.178474515419</v>
      </c>
      <c r="V8597">
        <v>7.1326676176890105E-4</v>
      </c>
      <c r="W8597">
        <v>2772056.6472458201</v>
      </c>
      <c r="X8597" t="s">
        <v>31</v>
      </c>
      <c r="Y8597">
        <f>1-629-444-8413</f>
        <v>-9485</v>
      </c>
    </row>
    <row r="8598" spans="1:25" x14ac:dyDescent="0.35">
      <c r="A8598">
        <v>34.258840544738398</v>
      </c>
      <c r="B8598">
        <v>-119.846335074143</v>
      </c>
      <c r="C8598" t="s">
        <v>29</v>
      </c>
      <c r="D8598">
        <v>18.7817761606738</v>
      </c>
      <c r="E8598">
        <v>5</v>
      </c>
      <c r="F8598">
        <v>2654</v>
      </c>
      <c r="G8598">
        <v>2</v>
      </c>
      <c r="H8598">
        <v>1</v>
      </c>
      <c r="I8598">
        <v>1978</v>
      </c>
      <c r="J8598">
        <v>0</v>
      </c>
      <c r="K8598">
        <v>0</v>
      </c>
      <c r="L8598">
        <v>0</v>
      </c>
      <c r="M8598">
        <v>12</v>
      </c>
      <c r="N8598" t="s">
        <v>37</v>
      </c>
      <c r="O8598" t="s">
        <v>30</v>
      </c>
      <c r="P8598">
        <v>7.1910838622414701</v>
      </c>
      <c r="Q8598">
        <v>1.4113634167431199</v>
      </c>
      <c r="R8598">
        <v>1.5683514155595</v>
      </c>
      <c r="S8598">
        <v>24</v>
      </c>
      <c r="T8598">
        <v>26</v>
      </c>
      <c r="U8598">
        <v>855.69107302486998</v>
      </c>
      <c r="V8598">
        <v>4.5214770158251696E-3</v>
      </c>
      <c r="W8598">
        <v>2351613.4435139098</v>
      </c>
      <c r="X8598" t="s">
        <v>36</v>
      </c>
      <c r="Y8598">
        <f>1-793-777-5851</f>
        <v>-7420</v>
      </c>
    </row>
    <row r="8599" spans="1:25" x14ac:dyDescent="0.35">
      <c r="A8599">
        <v>34.635257034479402</v>
      </c>
      <c r="B8599">
        <v>-119.967608896171</v>
      </c>
      <c r="C8599" t="s">
        <v>34</v>
      </c>
      <c r="D8599">
        <v>9.6138369309071798</v>
      </c>
      <c r="E8599">
        <v>4</v>
      </c>
      <c r="F8599">
        <v>1918</v>
      </c>
      <c r="G8599">
        <v>1</v>
      </c>
      <c r="H8599">
        <v>1</v>
      </c>
      <c r="I8599">
        <v>2002</v>
      </c>
      <c r="J8599">
        <v>0</v>
      </c>
      <c r="K8599">
        <v>0</v>
      </c>
      <c r="L8599">
        <v>1</v>
      </c>
      <c r="M8599">
        <v>7</v>
      </c>
      <c r="N8599" t="s">
        <v>37</v>
      </c>
      <c r="O8599" t="s">
        <v>27</v>
      </c>
      <c r="P8599">
        <v>10.321963858815201</v>
      </c>
      <c r="Q8599">
        <v>2.08613890357719</v>
      </c>
      <c r="R8599">
        <v>6.1668675555589703</v>
      </c>
      <c r="S8599">
        <v>107</v>
      </c>
      <c r="T8599">
        <v>26</v>
      </c>
      <c r="U8599">
        <v>543.26389588783195</v>
      </c>
      <c r="V8599">
        <v>3.6496350364963498E-3</v>
      </c>
      <c r="W8599">
        <v>1118739.0172792501</v>
      </c>
      <c r="X8599" t="s">
        <v>31</v>
      </c>
      <c r="Y8599">
        <f>1-659-535-6856</f>
        <v>-8049</v>
      </c>
    </row>
    <row r="8600" spans="1:25" x14ac:dyDescent="0.35">
      <c r="A8600">
        <v>36.359275677561797</v>
      </c>
      <c r="B8600">
        <v>-118.41075583667001</v>
      </c>
      <c r="C8600" t="s">
        <v>25</v>
      </c>
      <c r="D8600">
        <v>41.354351819630999</v>
      </c>
      <c r="E8600">
        <v>0</v>
      </c>
      <c r="F8600">
        <v>2759</v>
      </c>
      <c r="G8600">
        <v>4</v>
      </c>
      <c r="H8600">
        <v>3</v>
      </c>
      <c r="I8600">
        <v>1955</v>
      </c>
      <c r="J8600">
        <v>0</v>
      </c>
      <c r="K8600">
        <v>1</v>
      </c>
      <c r="L8600">
        <v>1</v>
      </c>
      <c r="M8600">
        <v>12</v>
      </c>
      <c r="N8600" t="s">
        <v>37</v>
      </c>
      <c r="O8600" t="s">
        <v>27</v>
      </c>
      <c r="P8600">
        <v>7.1533011480858102</v>
      </c>
      <c r="Q8600">
        <v>1.29785292364195</v>
      </c>
      <c r="R8600">
        <v>2.9178798987240699</v>
      </c>
      <c r="S8600">
        <v>156</v>
      </c>
      <c r="T8600">
        <v>20</v>
      </c>
      <c r="U8600">
        <v>917.74945726235796</v>
      </c>
      <c r="V8600">
        <v>4.3494019572308798E-3</v>
      </c>
      <c r="W8600">
        <v>2835971.0627240399</v>
      </c>
      <c r="X8600" t="s">
        <v>40</v>
      </c>
      <c r="Y8600">
        <f>1-465-828-5489</f>
        <v>-6781</v>
      </c>
    </row>
    <row r="8601" spans="1:25" x14ac:dyDescent="0.35">
      <c r="A8601">
        <v>38.760672640712798</v>
      </c>
      <c r="B8601">
        <v>-118.53828833216799</v>
      </c>
      <c r="C8601" t="s">
        <v>25</v>
      </c>
      <c r="D8601">
        <v>10.1481802846544</v>
      </c>
      <c r="E8601">
        <v>5</v>
      </c>
      <c r="F8601">
        <v>625</v>
      </c>
      <c r="G8601">
        <v>4</v>
      </c>
      <c r="H8601">
        <v>3</v>
      </c>
      <c r="I8601">
        <v>2004</v>
      </c>
      <c r="J8601">
        <v>0</v>
      </c>
      <c r="K8601">
        <v>1</v>
      </c>
      <c r="L8601">
        <v>1</v>
      </c>
      <c r="M8601">
        <v>4</v>
      </c>
      <c r="N8601" t="s">
        <v>37</v>
      </c>
      <c r="O8601" t="s">
        <v>32</v>
      </c>
      <c r="P8601">
        <v>6.4010628589819101</v>
      </c>
      <c r="Q8601">
        <v>1.70249308508912</v>
      </c>
      <c r="R8601">
        <v>7.7878089009338103</v>
      </c>
      <c r="S8601">
        <v>37</v>
      </c>
      <c r="T8601">
        <v>38</v>
      </c>
      <c r="U8601">
        <v>791.71230177531095</v>
      </c>
      <c r="V8601">
        <v>6.4000000000000003E-3</v>
      </c>
      <c r="W8601">
        <v>936524.661859866</v>
      </c>
      <c r="X8601" t="s">
        <v>43</v>
      </c>
      <c r="Y8601">
        <f>1-214-618-4143</f>
        <v>-4974</v>
      </c>
    </row>
    <row r="8602" spans="1:25" x14ac:dyDescent="0.35">
      <c r="A8602">
        <v>39.836072071075797</v>
      </c>
      <c r="B8602">
        <v>-117.69137771934101</v>
      </c>
      <c r="C8602" t="s">
        <v>34</v>
      </c>
      <c r="D8602">
        <v>39.174449024637802</v>
      </c>
      <c r="E8602">
        <v>8</v>
      </c>
      <c r="F8602">
        <v>1298</v>
      </c>
      <c r="G8602">
        <v>5</v>
      </c>
      <c r="H8602">
        <v>1</v>
      </c>
      <c r="I8602">
        <v>1986</v>
      </c>
      <c r="J8602">
        <v>0</v>
      </c>
      <c r="K8602">
        <v>1</v>
      </c>
      <c r="L8602">
        <v>0</v>
      </c>
      <c r="M8602">
        <v>4</v>
      </c>
      <c r="N8602" t="s">
        <v>26</v>
      </c>
      <c r="O8602" t="s">
        <v>30</v>
      </c>
      <c r="P8602">
        <v>8.3134963949363598</v>
      </c>
      <c r="Q8602">
        <v>1.1246478568364</v>
      </c>
      <c r="R8602">
        <v>3.5587451365534402</v>
      </c>
      <c r="S8602">
        <v>122</v>
      </c>
      <c r="T8602">
        <v>32</v>
      </c>
      <c r="U8602">
        <v>320.47654028131501</v>
      </c>
      <c r="V8602">
        <v>3.08166409861325E-3</v>
      </c>
      <c r="W8602">
        <v>824270.76008397399</v>
      </c>
      <c r="X8602" t="s">
        <v>28</v>
      </c>
      <c r="Y8602">
        <f>1-907-480-3208</f>
        <v>-4594</v>
      </c>
    </row>
    <row r="8603" spans="1:25" x14ac:dyDescent="0.35">
      <c r="A8603">
        <v>33.0991881700809</v>
      </c>
      <c r="B8603">
        <v>-124.04371470011</v>
      </c>
      <c r="C8603" t="s">
        <v>29</v>
      </c>
      <c r="D8603">
        <v>4.1192849546948596</v>
      </c>
      <c r="E8603">
        <v>3</v>
      </c>
      <c r="F8603">
        <v>3565</v>
      </c>
      <c r="G8603">
        <v>3</v>
      </c>
      <c r="H8603">
        <v>2</v>
      </c>
      <c r="I8603">
        <v>1959</v>
      </c>
      <c r="J8603">
        <v>0</v>
      </c>
      <c r="K8603">
        <v>0</v>
      </c>
      <c r="L8603">
        <v>1</v>
      </c>
      <c r="M8603">
        <v>8</v>
      </c>
      <c r="N8603" t="s">
        <v>41</v>
      </c>
      <c r="O8603" t="s">
        <v>32</v>
      </c>
      <c r="P8603">
        <v>6.6242636580145904</v>
      </c>
      <c r="Q8603">
        <v>1.7049974039942399</v>
      </c>
      <c r="R8603">
        <v>0.34085558800712501</v>
      </c>
      <c r="S8603">
        <v>186</v>
      </c>
      <c r="T8603">
        <v>58</v>
      </c>
      <c r="U8603">
        <v>819.12414927749899</v>
      </c>
      <c r="V8603">
        <v>2.2440392706872302E-3</v>
      </c>
      <c r="W8603">
        <v>3029308.1610574601</v>
      </c>
      <c r="X8603" t="s">
        <v>42</v>
      </c>
      <c r="Y8603">
        <f>1-235-780-1726</f>
        <v>-2740</v>
      </c>
    </row>
    <row r="8604" spans="1:25" x14ac:dyDescent="0.35">
      <c r="A8604">
        <v>39.493795186373802</v>
      </c>
      <c r="B8604">
        <v>-116.949706408955</v>
      </c>
      <c r="C8604" t="s">
        <v>34</v>
      </c>
      <c r="D8604">
        <v>2.05586054750778</v>
      </c>
      <c r="E8604">
        <v>8</v>
      </c>
      <c r="F8604">
        <v>2160</v>
      </c>
      <c r="G8604">
        <v>3</v>
      </c>
      <c r="H8604">
        <v>1</v>
      </c>
      <c r="I8604">
        <v>2004</v>
      </c>
      <c r="J8604">
        <v>0</v>
      </c>
      <c r="K8604">
        <v>0</v>
      </c>
      <c r="L8604">
        <v>0</v>
      </c>
      <c r="M8604">
        <v>12</v>
      </c>
      <c r="N8604" t="s">
        <v>35</v>
      </c>
      <c r="O8604" t="s">
        <v>30</v>
      </c>
      <c r="P8604">
        <v>2.3559928869227802</v>
      </c>
      <c r="Q8604">
        <v>1.2992150162388201</v>
      </c>
      <c r="R8604">
        <v>8.7209581151190392</v>
      </c>
      <c r="S8604">
        <v>173</v>
      </c>
      <c r="T8604">
        <v>38</v>
      </c>
      <c r="U8604">
        <v>346.165036523688</v>
      </c>
      <c r="V8604">
        <v>5.5555555555555497E-3</v>
      </c>
      <c r="W8604">
        <v>837152.38047986804</v>
      </c>
      <c r="X8604" t="s">
        <v>38</v>
      </c>
      <c r="Y8604">
        <f>1-665-723-8394</f>
        <v>-9781</v>
      </c>
    </row>
    <row r="8605" spans="1:25" x14ac:dyDescent="0.35">
      <c r="A8605">
        <v>38.1541672977202</v>
      </c>
      <c r="B8605">
        <v>-121.635308294921</v>
      </c>
      <c r="C8605" t="s">
        <v>29</v>
      </c>
      <c r="D8605">
        <v>41.405626920920497</v>
      </c>
      <c r="E8605">
        <v>4</v>
      </c>
      <c r="F8605">
        <v>3802</v>
      </c>
      <c r="G8605">
        <v>3</v>
      </c>
      <c r="H8605">
        <v>3</v>
      </c>
      <c r="I8605">
        <v>1991</v>
      </c>
      <c r="J8605">
        <v>0</v>
      </c>
      <c r="K8605">
        <v>0</v>
      </c>
      <c r="L8605">
        <v>1</v>
      </c>
      <c r="M8605">
        <v>9</v>
      </c>
      <c r="N8605" t="s">
        <v>26</v>
      </c>
      <c r="O8605" t="s">
        <v>27</v>
      </c>
      <c r="P8605">
        <v>10.1012730529244</v>
      </c>
      <c r="Q8605">
        <v>1.9892094403987599</v>
      </c>
      <c r="R8605">
        <v>2.4493503601648801</v>
      </c>
      <c r="S8605">
        <v>49</v>
      </c>
      <c r="T8605">
        <v>56</v>
      </c>
      <c r="U8605">
        <v>742.85322522218598</v>
      </c>
      <c r="V8605">
        <v>2.3671751709626499E-3</v>
      </c>
      <c r="W8605">
        <v>3149791.19646751</v>
      </c>
      <c r="X8605" t="s">
        <v>40</v>
      </c>
      <c r="Y8605">
        <f>1-217-936-4130</f>
        <v>-5282</v>
      </c>
    </row>
    <row r="8606" spans="1:25" x14ac:dyDescent="0.35">
      <c r="A8606">
        <v>35.944112841882102</v>
      </c>
      <c r="B8606">
        <v>-115.59797462650501</v>
      </c>
      <c r="C8606" t="s">
        <v>29</v>
      </c>
      <c r="D8606">
        <v>23.991597610407599</v>
      </c>
      <c r="E8606">
        <v>9</v>
      </c>
      <c r="F8606">
        <v>4300</v>
      </c>
      <c r="G8606">
        <v>3</v>
      </c>
      <c r="H8606">
        <v>3</v>
      </c>
      <c r="I8606">
        <v>1996</v>
      </c>
      <c r="J8606">
        <v>0</v>
      </c>
      <c r="K8606">
        <v>1</v>
      </c>
      <c r="L8606">
        <v>0</v>
      </c>
      <c r="M8606">
        <v>13</v>
      </c>
      <c r="N8606" t="s">
        <v>41</v>
      </c>
      <c r="O8606" t="s">
        <v>27</v>
      </c>
      <c r="P8606">
        <v>6.5809950289043604</v>
      </c>
      <c r="Q8606">
        <v>1.9897472271579</v>
      </c>
      <c r="R8606">
        <v>6.5237497799444704</v>
      </c>
      <c r="S8606">
        <v>63</v>
      </c>
      <c r="T8606">
        <v>40</v>
      </c>
      <c r="U8606">
        <v>854.95067541975197</v>
      </c>
      <c r="V8606">
        <v>3.02325581395348E-3</v>
      </c>
      <c r="W8606">
        <v>3957972.1847933098</v>
      </c>
      <c r="X8606" t="s">
        <v>39</v>
      </c>
      <c r="Y8606">
        <f>1-452-335-5013</f>
        <v>-5799</v>
      </c>
    </row>
    <row r="8607" spans="1:25" x14ac:dyDescent="0.35">
      <c r="A8607">
        <v>36.216146470199902</v>
      </c>
      <c r="B8607">
        <v>-120.885029797312</v>
      </c>
      <c r="C8607" t="s">
        <v>29</v>
      </c>
      <c r="D8607">
        <v>42.302323640733299</v>
      </c>
      <c r="E8607">
        <v>8</v>
      </c>
      <c r="F8607">
        <v>2745</v>
      </c>
      <c r="G8607">
        <v>3</v>
      </c>
      <c r="H8607">
        <v>3</v>
      </c>
      <c r="I8607">
        <v>1965</v>
      </c>
      <c r="J8607">
        <v>1</v>
      </c>
      <c r="K8607">
        <v>0</v>
      </c>
      <c r="L8607">
        <v>0</v>
      </c>
      <c r="M8607">
        <v>6</v>
      </c>
      <c r="N8607" t="s">
        <v>26</v>
      </c>
      <c r="O8607" t="s">
        <v>30</v>
      </c>
      <c r="P8607">
        <v>4.6615783879130896</v>
      </c>
      <c r="Q8607">
        <v>2.1946976857944298</v>
      </c>
      <c r="R8607">
        <v>7.9283177605308399</v>
      </c>
      <c r="S8607">
        <v>24</v>
      </c>
      <c r="T8607">
        <v>51</v>
      </c>
      <c r="U8607">
        <v>295.52567082021602</v>
      </c>
      <c r="V8607">
        <v>2.1857923497267699E-3</v>
      </c>
      <c r="W8607">
        <v>985932.52166202303</v>
      </c>
      <c r="X8607" t="s">
        <v>43</v>
      </c>
      <c r="Y8607">
        <f>1-598-635-4501</f>
        <v>-5733</v>
      </c>
    </row>
    <row r="8608" spans="1:25" x14ac:dyDescent="0.35">
      <c r="A8608">
        <v>37.780391249427197</v>
      </c>
      <c r="B8608">
        <v>-117.46849925009001</v>
      </c>
      <c r="C8608" t="s">
        <v>25</v>
      </c>
      <c r="D8608">
        <v>45.822998995299997</v>
      </c>
      <c r="E8608">
        <v>2</v>
      </c>
      <c r="F8608">
        <v>4786</v>
      </c>
      <c r="G8608">
        <v>3</v>
      </c>
      <c r="H8608">
        <v>1</v>
      </c>
      <c r="I8608">
        <v>1962</v>
      </c>
      <c r="J8608">
        <v>0</v>
      </c>
      <c r="K8608">
        <v>0</v>
      </c>
      <c r="L8608">
        <v>1</v>
      </c>
      <c r="M8608">
        <v>6</v>
      </c>
      <c r="N8608" t="s">
        <v>37</v>
      </c>
      <c r="O8608" t="s">
        <v>27</v>
      </c>
      <c r="P8608">
        <v>4.67014037796634</v>
      </c>
      <c r="Q8608">
        <v>0.77915213445004405</v>
      </c>
      <c r="R8608">
        <v>0.24799327947409</v>
      </c>
      <c r="S8608">
        <v>192</v>
      </c>
      <c r="T8608">
        <v>37</v>
      </c>
      <c r="U8608">
        <v>954.39179197191595</v>
      </c>
      <c r="V8608">
        <v>1.25365649811951E-3</v>
      </c>
      <c r="W8608">
        <v>4714473.13047483</v>
      </c>
      <c r="X8608" t="s">
        <v>33</v>
      </c>
      <c r="Y8608">
        <f>1-306-112-5199</f>
        <v>-5616</v>
      </c>
    </row>
    <row r="8609" spans="1:25" x14ac:dyDescent="0.35">
      <c r="A8609">
        <v>35.677657366482499</v>
      </c>
      <c r="B8609">
        <v>-123.825155412369</v>
      </c>
      <c r="C8609" t="s">
        <v>29</v>
      </c>
      <c r="D8609">
        <v>26.134246262662199</v>
      </c>
      <c r="E8609">
        <v>2</v>
      </c>
      <c r="F8609">
        <v>2268</v>
      </c>
      <c r="G8609">
        <v>3</v>
      </c>
      <c r="H8609">
        <v>1</v>
      </c>
      <c r="I8609">
        <v>2009</v>
      </c>
      <c r="J8609">
        <v>1</v>
      </c>
      <c r="K8609">
        <v>1</v>
      </c>
      <c r="L8609">
        <v>0</v>
      </c>
      <c r="M8609">
        <v>4</v>
      </c>
      <c r="N8609" t="s">
        <v>41</v>
      </c>
      <c r="O8609" t="s">
        <v>30</v>
      </c>
      <c r="P8609">
        <v>8.9519939182019908</v>
      </c>
      <c r="Q8609">
        <v>0.56971138932802901</v>
      </c>
      <c r="R8609">
        <v>1.0736042463056801</v>
      </c>
      <c r="S8609">
        <v>77</v>
      </c>
      <c r="T8609">
        <v>51</v>
      </c>
      <c r="U8609">
        <v>557.10866022505002</v>
      </c>
      <c r="V8609">
        <v>1.76366843033509E-3</v>
      </c>
      <c r="W8609">
        <v>1656485.8557926</v>
      </c>
      <c r="X8609" t="s">
        <v>28</v>
      </c>
      <c r="Y8609">
        <f>1-747-759-5643</f>
        <v>-7148</v>
      </c>
    </row>
    <row r="8610" spans="1:25" x14ac:dyDescent="0.35">
      <c r="A8610">
        <v>37.926296669313302</v>
      </c>
      <c r="B8610">
        <v>-123.288042607899</v>
      </c>
      <c r="C8610" t="s">
        <v>25</v>
      </c>
      <c r="D8610">
        <v>1.4844180199097201</v>
      </c>
      <c r="E8610">
        <v>5</v>
      </c>
      <c r="F8610">
        <v>3593</v>
      </c>
      <c r="G8610">
        <v>4</v>
      </c>
      <c r="H8610">
        <v>2</v>
      </c>
      <c r="I8610">
        <v>1961</v>
      </c>
      <c r="J8610">
        <v>1</v>
      </c>
      <c r="K8610">
        <v>0</v>
      </c>
      <c r="L8610">
        <v>0</v>
      </c>
      <c r="M8610">
        <v>3</v>
      </c>
      <c r="N8610" t="s">
        <v>26</v>
      </c>
      <c r="O8610" t="s">
        <v>27</v>
      </c>
      <c r="P8610">
        <v>9.3090841542339096</v>
      </c>
      <c r="Q8610">
        <v>1.23938374825262</v>
      </c>
      <c r="R8610">
        <v>2.0200224495112198</v>
      </c>
      <c r="S8610">
        <v>69</v>
      </c>
      <c r="T8610">
        <v>68</v>
      </c>
      <c r="U8610">
        <v>545.26307314363896</v>
      </c>
      <c r="V8610">
        <v>8.3495686056220405E-4</v>
      </c>
      <c r="W8610">
        <v>2138949.7668098598</v>
      </c>
      <c r="X8610" t="s">
        <v>43</v>
      </c>
      <c r="Y8610">
        <f>1-399-520-8318</f>
        <v>-9236</v>
      </c>
    </row>
    <row r="8611" spans="1:25" x14ac:dyDescent="0.35">
      <c r="A8611">
        <v>39.712027999434902</v>
      </c>
      <c r="B8611">
        <v>-123.90467422850099</v>
      </c>
      <c r="C8611" t="s">
        <v>25</v>
      </c>
      <c r="D8611">
        <v>40.219412051665302</v>
      </c>
      <c r="E8611">
        <v>1</v>
      </c>
      <c r="F8611">
        <v>729</v>
      </c>
      <c r="G8611">
        <v>4</v>
      </c>
      <c r="H8611">
        <v>1</v>
      </c>
      <c r="I8611">
        <v>1978</v>
      </c>
      <c r="J8611">
        <v>1</v>
      </c>
      <c r="K8611">
        <v>0</v>
      </c>
      <c r="L8611">
        <v>1</v>
      </c>
      <c r="M8611">
        <v>11</v>
      </c>
      <c r="N8611" t="s">
        <v>41</v>
      </c>
      <c r="O8611" t="s">
        <v>27</v>
      </c>
      <c r="P8611">
        <v>12.0463975544383</v>
      </c>
      <c r="Q8611">
        <v>1.3897355076514799</v>
      </c>
      <c r="R8611">
        <v>1.2435089395611101</v>
      </c>
      <c r="S8611">
        <v>85</v>
      </c>
      <c r="T8611">
        <v>74</v>
      </c>
      <c r="U8611">
        <v>861.41462014369404</v>
      </c>
      <c r="V8611">
        <v>1.50891632373113E-2</v>
      </c>
      <c r="W8611">
        <v>882857.24676797097</v>
      </c>
      <c r="X8611" t="s">
        <v>28</v>
      </c>
      <c r="Y8611">
        <f>1-209-769-4550</f>
        <v>-5527</v>
      </c>
    </row>
    <row r="8612" spans="1:25" x14ac:dyDescent="0.35">
      <c r="A8612">
        <v>39.867236706960902</v>
      </c>
      <c r="B8612">
        <v>-118.157976004926</v>
      </c>
      <c r="C8612" t="s">
        <v>25</v>
      </c>
      <c r="D8612">
        <v>43.926297551317397</v>
      </c>
      <c r="E8612">
        <v>2</v>
      </c>
      <c r="F8612">
        <v>1720</v>
      </c>
      <c r="G8612">
        <v>3</v>
      </c>
      <c r="H8612">
        <v>3</v>
      </c>
      <c r="I8612">
        <v>1988</v>
      </c>
      <c r="J8612">
        <v>1</v>
      </c>
      <c r="K8612">
        <v>0</v>
      </c>
      <c r="L8612">
        <v>0</v>
      </c>
      <c r="M8612">
        <v>5</v>
      </c>
      <c r="N8612" t="s">
        <v>35</v>
      </c>
      <c r="O8612" t="s">
        <v>30</v>
      </c>
      <c r="P8612">
        <v>3.33035936483147</v>
      </c>
      <c r="Q8612">
        <v>1.8010195576371999</v>
      </c>
      <c r="R8612">
        <v>3.3406564485046699</v>
      </c>
      <c r="S8612">
        <v>41</v>
      </c>
      <c r="T8612">
        <v>48</v>
      </c>
      <c r="U8612">
        <v>731.52534270035596</v>
      </c>
      <c r="V8612">
        <v>2.90697674418604E-3</v>
      </c>
      <c r="W8612">
        <v>1400100.6044209099</v>
      </c>
      <c r="X8612" t="s">
        <v>44</v>
      </c>
      <c r="Y8612">
        <f>1-514-710-9728</f>
        <v>-10951</v>
      </c>
    </row>
    <row r="8613" spans="1:25" x14ac:dyDescent="0.35">
      <c r="A8613">
        <v>37.602245473329603</v>
      </c>
      <c r="B8613">
        <v>-118.91137411942</v>
      </c>
      <c r="C8613" t="s">
        <v>34</v>
      </c>
      <c r="D8613">
        <v>26.3604291875222</v>
      </c>
      <c r="E8613">
        <v>0</v>
      </c>
      <c r="F8613">
        <v>4189</v>
      </c>
      <c r="G8613">
        <v>3</v>
      </c>
      <c r="H8613">
        <v>1</v>
      </c>
      <c r="I8613">
        <v>1958</v>
      </c>
      <c r="J8613">
        <v>0</v>
      </c>
      <c r="K8613">
        <v>0</v>
      </c>
      <c r="L8613">
        <v>0</v>
      </c>
      <c r="M8613">
        <v>14</v>
      </c>
      <c r="N8613" t="s">
        <v>41</v>
      </c>
      <c r="O8613" t="s">
        <v>30</v>
      </c>
      <c r="P8613">
        <v>7.5327793939849599</v>
      </c>
      <c r="Q8613">
        <v>1.9035423488469301</v>
      </c>
      <c r="R8613">
        <v>7.24446965738872</v>
      </c>
      <c r="S8613">
        <v>121</v>
      </c>
      <c r="T8613">
        <v>45</v>
      </c>
      <c r="U8613">
        <v>935.89651366111195</v>
      </c>
      <c r="V8613">
        <v>3.3420864168059198E-3</v>
      </c>
      <c r="W8613">
        <v>4131884.30089607</v>
      </c>
      <c r="X8613" t="s">
        <v>38</v>
      </c>
      <c r="Y8613">
        <f>1-375-619-8030</f>
        <v>-9023</v>
      </c>
    </row>
    <row r="8614" spans="1:25" x14ac:dyDescent="0.35">
      <c r="A8614">
        <v>35.999684505071798</v>
      </c>
      <c r="B8614">
        <v>-121.31545215405001</v>
      </c>
      <c r="C8614" t="s">
        <v>34</v>
      </c>
      <c r="D8614">
        <v>5.5281356084434696</v>
      </c>
      <c r="E8614">
        <v>6</v>
      </c>
      <c r="F8614">
        <v>3636</v>
      </c>
      <c r="G8614">
        <v>1</v>
      </c>
      <c r="H8614">
        <v>3</v>
      </c>
      <c r="I8614">
        <v>1951</v>
      </c>
      <c r="J8614">
        <v>1</v>
      </c>
      <c r="K8614">
        <v>1</v>
      </c>
      <c r="L8614">
        <v>0</v>
      </c>
      <c r="M8614">
        <v>5</v>
      </c>
      <c r="N8614" t="s">
        <v>41</v>
      </c>
      <c r="O8614" t="s">
        <v>27</v>
      </c>
      <c r="P8614">
        <v>6.8528558554391896</v>
      </c>
      <c r="Q8614">
        <v>2.3521943306710198</v>
      </c>
      <c r="R8614">
        <v>1.9442725647224199</v>
      </c>
      <c r="S8614">
        <v>74</v>
      </c>
      <c r="T8614">
        <v>76</v>
      </c>
      <c r="U8614">
        <v>416.85431007097901</v>
      </c>
      <c r="V8614">
        <v>1.37513751375137E-3</v>
      </c>
      <c r="W8614">
        <v>1715341.72710916</v>
      </c>
      <c r="X8614" t="s">
        <v>42</v>
      </c>
      <c r="Y8614">
        <f>1-315-449-1326</f>
        <v>-2089</v>
      </c>
    </row>
    <row r="8615" spans="1:25" x14ac:dyDescent="0.35">
      <c r="A8615">
        <v>37.234298301516397</v>
      </c>
      <c r="B8615">
        <v>-117.53440532034899</v>
      </c>
      <c r="C8615" t="s">
        <v>34</v>
      </c>
      <c r="D8615">
        <v>25.4750436363123</v>
      </c>
      <c r="E8615">
        <v>7</v>
      </c>
      <c r="F8615">
        <v>852</v>
      </c>
      <c r="G8615">
        <v>1</v>
      </c>
      <c r="H8615">
        <v>2</v>
      </c>
      <c r="I8615">
        <v>2015</v>
      </c>
      <c r="J8615">
        <v>0</v>
      </c>
      <c r="K8615">
        <v>0</v>
      </c>
      <c r="L8615">
        <v>0</v>
      </c>
      <c r="M8615">
        <v>8</v>
      </c>
      <c r="N8615" t="s">
        <v>26</v>
      </c>
      <c r="O8615" t="s">
        <v>27</v>
      </c>
      <c r="P8615">
        <v>2.9217275732329702</v>
      </c>
      <c r="Q8615">
        <v>2.1527065126495399</v>
      </c>
      <c r="R8615">
        <v>5.6980961039395801</v>
      </c>
      <c r="S8615">
        <v>2</v>
      </c>
      <c r="T8615">
        <v>45</v>
      </c>
      <c r="U8615">
        <v>362.66657085370099</v>
      </c>
      <c r="V8615">
        <v>9.3896713615023407E-3</v>
      </c>
      <c r="W8615">
        <v>365924.75669759698</v>
      </c>
      <c r="X8615" t="s">
        <v>39</v>
      </c>
      <c r="Y8615">
        <f>1-701-117-3287</f>
        <v>-4104</v>
      </c>
    </row>
    <row r="8616" spans="1:25" x14ac:dyDescent="0.35">
      <c r="A8616">
        <v>37.513977162947697</v>
      </c>
      <c r="B8616">
        <v>-120.68965972926</v>
      </c>
      <c r="C8616" t="s">
        <v>25</v>
      </c>
      <c r="D8616">
        <v>24.1767872670647</v>
      </c>
      <c r="E8616">
        <v>2</v>
      </c>
      <c r="F8616">
        <v>2223</v>
      </c>
      <c r="G8616">
        <v>1</v>
      </c>
      <c r="H8616">
        <v>2</v>
      </c>
      <c r="I8616">
        <v>2009</v>
      </c>
      <c r="J8616">
        <v>1</v>
      </c>
      <c r="K8616">
        <v>1</v>
      </c>
      <c r="L8616">
        <v>0</v>
      </c>
      <c r="M8616">
        <v>12</v>
      </c>
      <c r="N8616" t="s">
        <v>41</v>
      </c>
      <c r="O8616" t="s">
        <v>32</v>
      </c>
      <c r="P8616">
        <v>7.2291850095496901</v>
      </c>
      <c r="Q8616">
        <v>2.1756968782601001</v>
      </c>
      <c r="R8616">
        <v>5.5854900704110904</v>
      </c>
      <c r="S8616">
        <v>109</v>
      </c>
      <c r="T8616">
        <v>44</v>
      </c>
      <c r="U8616">
        <v>284.02284215894701</v>
      </c>
      <c r="V8616">
        <v>5.3981106612685497E-3</v>
      </c>
      <c r="W8616">
        <v>858014.91801570705</v>
      </c>
      <c r="X8616" t="s">
        <v>28</v>
      </c>
      <c r="Y8616">
        <f>1-409-615-8802</f>
        <v>-9825</v>
      </c>
    </row>
    <row r="8617" spans="1:25" x14ac:dyDescent="0.35">
      <c r="A8617">
        <v>36.734780277800702</v>
      </c>
      <c r="B8617">
        <v>-123.57135091383</v>
      </c>
      <c r="C8617" t="s">
        <v>34</v>
      </c>
      <c r="D8617">
        <v>21.355948605746502</v>
      </c>
      <c r="E8617">
        <v>1</v>
      </c>
      <c r="F8617">
        <v>2839</v>
      </c>
      <c r="G8617">
        <v>1</v>
      </c>
      <c r="H8617">
        <v>2</v>
      </c>
      <c r="I8617">
        <v>1964</v>
      </c>
      <c r="J8617">
        <v>0</v>
      </c>
      <c r="K8617">
        <v>1</v>
      </c>
      <c r="L8617">
        <v>0</v>
      </c>
      <c r="M8617">
        <v>6</v>
      </c>
      <c r="N8617" t="s">
        <v>26</v>
      </c>
      <c r="O8617" t="s">
        <v>32</v>
      </c>
      <c r="P8617">
        <v>13.7128993934999</v>
      </c>
      <c r="Q8617">
        <v>1.1392036550481699</v>
      </c>
      <c r="R8617">
        <v>6.0021189323005597</v>
      </c>
      <c r="S8617">
        <v>71</v>
      </c>
      <c r="T8617">
        <v>44</v>
      </c>
      <c r="U8617">
        <v>864.20972645367499</v>
      </c>
      <c r="V8617">
        <v>2.1134202183867501E-3</v>
      </c>
      <c r="W8617">
        <v>2691763.2020463501</v>
      </c>
      <c r="X8617" t="s">
        <v>44</v>
      </c>
      <c r="Y8617">
        <f>1-336-605-4173</f>
        <v>-5113</v>
      </c>
    </row>
    <row r="8618" spans="1:25" x14ac:dyDescent="0.35">
      <c r="A8618">
        <v>38.164914092571102</v>
      </c>
      <c r="B8618">
        <v>-114.300315199094</v>
      </c>
      <c r="C8618" t="s">
        <v>29</v>
      </c>
      <c r="D8618">
        <v>28.335607227096801</v>
      </c>
      <c r="E8618">
        <v>5</v>
      </c>
      <c r="F8618">
        <v>1578</v>
      </c>
      <c r="G8618">
        <v>1</v>
      </c>
      <c r="H8618">
        <v>1</v>
      </c>
      <c r="I8618">
        <v>1974</v>
      </c>
      <c r="J8618">
        <v>0</v>
      </c>
      <c r="K8618">
        <v>1</v>
      </c>
      <c r="L8618">
        <v>1</v>
      </c>
      <c r="M8618">
        <v>8</v>
      </c>
      <c r="N8618" t="s">
        <v>35</v>
      </c>
      <c r="O8618" t="s">
        <v>30</v>
      </c>
      <c r="P8618">
        <v>14.939199995089499</v>
      </c>
      <c r="Q8618">
        <v>2.0294860212186401</v>
      </c>
      <c r="R8618">
        <v>8.5775123077499398</v>
      </c>
      <c r="S8618">
        <v>185</v>
      </c>
      <c r="T8618">
        <v>76</v>
      </c>
      <c r="U8618">
        <v>528.41305166318705</v>
      </c>
      <c r="V8618">
        <v>5.0697084917617199E-3</v>
      </c>
      <c r="W8618">
        <v>1042777.12961714</v>
      </c>
      <c r="X8618" t="s">
        <v>40</v>
      </c>
      <c r="Y8618">
        <f>1-736-395-8668</f>
        <v>-9798</v>
      </c>
    </row>
    <row r="8619" spans="1:25" x14ac:dyDescent="0.35">
      <c r="A8619">
        <v>41.288080133955901</v>
      </c>
      <c r="B8619">
        <v>-117.090784522143</v>
      </c>
      <c r="C8619" t="s">
        <v>29</v>
      </c>
      <c r="D8619">
        <v>17.732436897918099</v>
      </c>
      <c r="E8619">
        <v>1</v>
      </c>
      <c r="F8619">
        <v>4907</v>
      </c>
      <c r="G8619">
        <v>2</v>
      </c>
      <c r="H8619">
        <v>3</v>
      </c>
      <c r="I8619">
        <v>2002</v>
      </c>
      <c r="J8619">
        <v>0</v>
      </c>
      <c r="K8619">
        <v>1</v>
      </c>
      <c r="L8619">
        <v>1</v>
      </c>
      <c r="M8619">
        <v>7</v>
      </c>
      <c r="N8619" t="s">
        <v>37</v>
      </c>
      <c r="O8619" t="s">
        <v>27</v>
      </c>
      <c r="P8619">
        <v>3.7061818875559398</v>
      </c>
      <c r="Q8619">
        <v>1.9452420924729501</v>
      </c>
      <c r="R8619">
        <v>1.5416490403226999</v>
      </c>
      <c r="S8619">
        <v>110</v>
      </c>
      <c r="T8619">
        <v>70</v>
      </c>
      <c r="U8619">
        <v>867.64483322155695</v>
      </c>
      <c r="V8619">
        <v>1.4265335235377999E-3</v>
      </c>
      <c r="W8619">
        <v>4486639.4654626399</v>
      </c>
      <c r="X8619" t="s">
        <v>39</v>
      </c>
      <c r="Y8619">
        <f>1-282-450-5141</f>
        <v>-5872</v>
      </c>
    </row>
    <row r="8620" spans="1:25" x14ac:dyDescent="0.35">
      <c r="A8620">
        <v>41.4716200314597</v>
      </c>
      <c r="B8620">
        <v>-120.898172259611</v>
      </c>
      <c r="C8620" t="s">
        <v>25</v>
      </c>
      <c r="D8620">
        <v>49.288065399869097</v>
      </c>
      <c r="E8620">
        <v>7</v>
      </c>
      <c r="F8620">
        <v>3243</v>
      </c>
      <c r="G8620">
        <v>3</v>
      </c>
      <c r="H8620">
        <v>3</v>
      </c>
      <c r="I8620">
        <v>1950</v>
      </c>
      <c r="J8620">
        <v>0</v>
      </c>
      <c r="K8620">
        <v>0</v>
      </c>
      <c r="L8620">
        <v>0</v>
      </c>
      <c r="M8620">
        <v>13</v>
      </c>
      <c r="N8620" t="s">
        <v>35</v>
      </c>
      <c r="O8620" t="s">
        <v>27</v>
      </c>
      <c r="P8620">
        <v>10.0775271642921</v>
      </c>
      <c r="Q8620">
        <v>2.4042994011071301</v>
      </c>
      <c r="R8620">
        <v>5.3877757275402898</v>
      </c>
      <c r="S8620">
        <v>136</v>
      </c>
      <c r="T8620">
        <v>68</v>
      </c>
      <c r="U8620">
        <v>624.38530868683199</v>
      </c>
      <c r="V8620">
        <v>4.0086339808818898E-3</v>
      </c>
      <c r="W8620">
        <v>2243110.6733621401</v>
      </c>
      <c r="X8620" t="s">
        <v>39</v>
      </c>
      <c r="Y8620">
        <f>1-562-650-4190</f>
        <v>-5401</v>
      </c>
    </row>
    <row r="8621" spans="1:25" x14ac:dyDescent="0.35">
      <c r="A8621">
        <v>36.577335335735199</v>
      </c>
      <c r="B8621">
        <v>-119.444813832934</v>
      </c>
      <c r="C8621" t="s">
        <v>34</v>
      </c>
      <c r="D8621">
        <v>34.902773214312802</v>
      </c>
      <c r="E8621">
        <v>3</v>
      </c>
      <c r="F8621">
        <v>3484</v>
      </c>
      <c r="G8621">
        <v>5</v>
      </c>
      <c r="H8621">
        <v>1</v>
      </c>
      <c r="I8621">
        <v>2005</v>
      </c>
      <c r="J8621">
        <v>1</v>
      </c>
      <c r="K8621">
        <v>1</v>
      </c>
      <c r="L8621">
        <v>0</v>
      </c>
      <c r="M8621">
        <v>5</v>
      </c>
      <c r="N8621" t="s">
        <v>37</v>
      </c>
      <c r="O8621" t="s">
        <v>32</v>
      </c>
      <c r="P8621">
        <v>13.320959489705499</v>
      </c>
      <c r="Q8621">
        <v>1.67441027050016</v>
      </c>
      <c r="R8621">
        <v>0.94730365540049399</v>
      </c>
      <c r="S8621">
        <v>31</v>
      </c>
      <c r="T8621">
        <v>69</v>
      </c>
      <c r="U8621">
        <v>919.58539340436698</v>
      </c>
      <c r="V8621">
        <v>1.43513203214695E-3</v>
      </c>
      <c r="W8621">
        <v>3746759.1675326298</v>
      </c>
      <c r="X8621" t="s">
        <v>38</v>
      </c>
      <c r="Y8621">
        <f>1-483-781-4998</f>
        <v>-6261</v>
      </c>
    </row>
    <row r="8622" spans="1:25" x14ac:dyDescent="0.35">
      <c r="A8622">
        <v>35.399486446146099</v>
      </c>
      <c r="B8622">
        <v>-115.069293858742</v>
      </c>
      <c r="C8622" t="s">
        <v>25</v>
      </c>
      <c r="D8622">
        <v>46.203978062018003</v>
      </c>
      <c r="E8622">
        <v>2</v>
      </c>
      <c r="F8622">
        <v>768</v>
      </c>
      <c r="G8622">
        <v>3</v>
      </c>
      <c r="H8622">
        <v>1</v>
      </c>
      <c r="I8622">
        <v>1953</v>
      </c>
      <c r="J8622">
        <v>1</v>
      </c>
      <c r="K8622">
        <v>1</v>
      </c>
      <c r="L8622">
        <v>0</v>
      </c>
      <c r="M8622">
        <v>5</v>
      </c>
      <c r="N8622" t="s">
        <v>41</v>
      </c>
      <c r="O8622" t="s">
        <v>32</v>
      </c>
      <c r="P8622">
        <v>10.964264133459301</v>
      </c>
      <c r="Q8622">
        <v>2.01916110857699</v>
      </c>
      <c r="R8622">
        <v>3.0885924985846498</v>
      </c>
      <c r="S8622">
        <v>85</v>
      </c>
      <c r="T8622">
        <v>74</v>
      </c>
      <c r="U8622">
        <v>593.16353174728795</v>
      </c>
      <c r="V8622">
        <v>6.51041666666666E-3</v>
      </c>
      <c r="W8622">
        <v>761523.06437928195</v>
      </c>
      <c r="X8622" t="s">
        <v>44</v>
      </c>
      <c r="Y8622">
        <f>1-565-449-7125</f>
        <v>-8138</v>
      </c>
    </row>
    <row r="8623" spans="1:25" x14ac:dyDescent="0.35">
      <c r="A8623">
        <v>39.247902489981001</v>
      </c>
      <c r="B8623">
        <v>-116.661409213738</v>
      </c>
      <c r="C8623" t="s">
        <v>29</v>
      </c>
      <c r="D8623">
        <v>17.098100105459402</v>
      </c>
      <c r="E8623">
        <v>4</v>
      </c>
      <c r="F8623">
        <v>584</v>
      </c>
      <c r="G8623">
        <v>4</v>
      </c>
      <c r="H8623">
        <v>3</v>
      </c>
      <c r="I8623">
        <v>1951</v>
      </c>
      <c r="J8623">
        <v>0</v>
      </c>
      <c r="K8623">
        <v>1</v>
      </c>
      <c r="L8623">
        <v>0</v>
      </c>
      <c r="M8623">
        <v>6</v>
      </c>
      <c r="N8623" t="s">
        <v>26</v>
      </c>
      <c r="O8623" t="s">
        <v>30</v>
      </c>
      <c r="P8623">
        <v>9.3216737234457696</v>
      </c>
      <c r="Q8623">
        <v>2.21586043044005</v>
      </c>
      <c r="R8623">
        <v>7.1531622492945903</v>
      </c>
      <c r="S8623">
        <v>53</v>
      </c>
      <c r="T8623">
        <v>21</v>
      </c>
      <c r="U8623">
        <v>852.74203341641203</v>
      </c>
      <c r="V8623">
        <v>1.0273972602739699E-2</v>
      </c>
      <c r="W8623">
        <v>847640.96501421405</v>
      </c>
      <c r="X8623" t="s">
        <v>40</v>
      </c>
      <c r="Y8623">
        <f>1-838-375-4485</f>
        <v>-5697</v>
      </c>
    </row>
    <row r="8624" spans="1:25" x14ac:dyDescent="0.35">
      <c r="A8624">
        <v>33.616545270536299</v>
      </c>
      <c r="B8624">
        <v>-117.620924230703</v>
      </c>
      <c r="C8624" t="s">
        <v>29</v>
      </c>
      <c r="D8624">
        <v>1.22217835321069</v>
      </c>
      <c r="E8624">
        <v>2</v>
      </c>
      <c r="F8624">
        <v>3272</v>
      </c>
      <c r="G8624">
        <v>4</v>
      </c>
      <c r="H8624">
        <v>1</v>
      </c>
      <c r="I8624">
        <v>2021</v>
      </c>
      <c r="J8624">
        <v>1</v>
      </c>
      <c r="K8624">
        <v>0</v>
      </c>
      <c r="L8624">
        <v>0</v>
      </c>
      <c r="M8624">
        <v>9</v>
      </c>
      <c r="N8624" t="s">
        <v>37</v>
      </c>
      <c r="O8624" t="s">
        <v>30</v>
      </c>
      <c r="P8624">
        <v>9.7053303696093902</v>
      </c>
      <c r="Q8624">
        <v>1.6291569185805901</v>
      </c>
      <c r="R8624">
        <v>8.8253434398882096</v>
      </c>
      <c r="S8624">
        <v>168</v>
      </c>
      <c r="T8624">
        <v>46</v>
      </c>
      <c r="U8624">
        <v>245.53791912726399</v>
      </c>
      <c r="V8624">
        <v>2.7506112469437602E-3</v>
      </c>
      <c r="W8624">
        <v>1109060.22226604</v>
      </c>
      <c r="X8624" t="s">
        <v>43</v>
      </c>
      <c r="Y8624">
        <f>1-315-210-1474</f>
        <v>-1998</v>
      </c>
    </row>
    <row r="8625" spans="1:25" x14ac:dyDescent="0.35">
      <c r="A8625">
        <v>37.077858476407499</v>
      </c>
      <c r="B8625">
        <v>-123.763513166466</v>
      </c>
      <c r="C8625" t="s">
        <v>34</v>
      </c>
      <c r="D8625">
        <v>30.6044745849291</v>
      </c>
      <c r="E8625">
        <v>5</v>
      </c>
      <c r="F8625">
        <v>2389</v>
      </c>
      <c r="G8625">
        <v>1</v>
      </c>
      <c r="H8625">
        <v>1</v>
      </c>
      <c r="I8625">
        <v>1963</v>
      </c>
      <c r="J8625">
        <v>1</v>
      </c>
      <c r="K8625">
        <v>1</v>
      </c>
      <c r="L8625">
        <v>0</v>
      </c>
      <c r="M8625">
        <v>11</v>
      </c>
      <c r="N8625" t="s">
        <v>37</v>
      </c>
      <c r="O8625" t="s">
        <v>32</v>
      </c>
      <c r="P8625">
        <v>7.6986958104781102</v>
      </c>
      <c r="Q8625">
        <v>1.90574202213208</v>
      </c>
      <c r="R8625">
        <v>8.5220900444550391</v>
      </c>
      <c r="S8625">
        <v>107</v>
      </c>
      <c r="T8625">
        <v>77</v>
      </c>
      <c r="U8625">
        <v>322.09601931732402</v>
      </c>
      <c r="V8625">
        <v>4.6044370029300896E-3</v>
      </c>
      <c r="W8625">
        <v>991584.49334876298</v>
      </c>
      <c r="X8625" t="s">
        <v>31</v>
      </c>
      <c r="Y8625">
        <f>1-521-863-1626</f>
        <v>-3009</v>
      </c>
    </row>
    <row r="8626" spans="1:25" x14ac:dyDescent="0.35">
      <c r="A8626">
        <v>40.372121748275298</v>
      </c>
      <c r="B8626">
        <v>-122.79032537544801</v>
      </c>
      <c r="C8626" t="s">
        <v>25</v>
      </c>
      <c r="D8626">
        <v>23.590074731490802</v>
      </c>
      <c r="E8626">
        <v>5</v>
      </c>
      <c r="F8626">
        <v>3875</v>
      </c>
      <c r="G8626">
        <v>5</v>
      </c>
      <c r="H8626">
        <v>2</v>
      </c>
      <c r="I8626">
        <v>2016</v>
      </c>
      <c r="J8626">
        <v>0</v>
      </c>
      <c r="K8626">
        <v>1</v>
      </c>
      <c r="L8626">
        <v>1</v>
      </c>
      <c r="M8626">
        <v>2</v>
      </c>
      <c r="N8626" t="s">
        <v>35</v>
      </c>
      <c r="O8626" t="s">
        <v>27</v>
      </c>
      <c r="P8626">
        <v>3.8681056729211001</v>
      </c>
      <c r="Q8626">
        <v>1.8875069996492</v>
      </c>
      <c r="R8626">
        <v>3.5736947277281401</v>
      </c>
      <c r="S8626">
        <v>159</v>
      </c>
      <c r="T8626">
        <v>37</v>
      </c>
      <c r="U8626">
        <v>377.56117913941102</v>
      </c>
      <c r="V8626">
        <v>5.16129032258064E-4</v>
      </c>
      <c r="W8626">
        <v>1873413.59628879</v>
      </c>
      <c r="X8626" t="s">
        <v>42</v>
      </c>
      <c r="Y8626">
        <f>1-346-909-6201</f>
        <v>-7455</v>
      </c>
    </row>
    <row r="8627" spans="1:25" x14ac:dyDescent="0.35">
      <c r="A8627">
        <v>34.786719519332998</v>
      </c>
      <c r="B8627">
        <v>-115.24539970614499</v>
      </c>
      <c r="C8627" t="s">
        <v>29</v>
      </c>
      <c r="D8627">
        <v>1.8558118140651201</v>
      </c>
      <c r="E8627">
        <v>1</v>
      </c>
      <c r="F8627">
        <v>2952</v>
      </c>
      <c r="G8627">
        <v>4</v>
      </c>
      <c r="H8627">
        <v>1</v>
      </c>
      <c r="I8627">
        <v>1986</v>
      </c>
      <c r="J8627">
        <v>0</v>
      </c>
      <c r="K8627">
        <v>0</v>
      </c>
      <c r="L8627">
        <v>0</v>
      </c>
      <c r="M8627">
        <v>4</v>
      </c>
      <c r="N8627" t="s">
        <v>26</v>
      </c>
      <c r="O8627" t="s">
        <v>27</v>
      </c>
      <c r="P8627">
        <v>6.2734151926250696</v>
      </c>
      <c r="Q8627">
        <v>1.3497223732352801</v>
      </c>
      <c r="R8627">
        <v>4.0440215033767002</v>
      </c>
      <c r="S8627">
        <v>44</v>
      </c>
      <c r="T8627">
        <v>51</v>
      </c>
      <c r="U8627">
        <v>543.276017583814</v>
      </c>
      <c r="V8627">
        <v>1.3550135501355001E-3</v>
      </c>
      <c r="W8627">
        <v>1861556.7775763399</v>
      </c>
      <c r="X8627" t="s">
        <v>44</v>
      </c>
      <c r="Y8627">
        <f>1-754-149-9749</f>
        <v>-10651</v>
      </c>
    </row>
    <row r="8628" spans="1:25" x14ac:dyDescent="0.35">
      <c r="A8628">
        <v>40.740094312008601</v>
      </c>
      <c r="B8628">
        <v>-123.65529466512599</v>
      </c>
      <c r="C8628" t="s">
        <v>29</v>
      </c>
      <c r="D8628">
        <v>18.4807064563479</v>
      </c>
      <c r="E8628">
        <v>7</v>
      </c>
      <c r="F8628">
        <v>4867</v>
      </c>
      <c r="G8628">
        <v>3</v>
      </c>
      <c r="H8628">
        <v>3</v>
      </c>
      <c r="I8628">
        <v>1995</v>
      </c>
      <c r="J8628">
        <v>1</v>
      </c>
      <c r="K8628">
        <v>1</v>
      </c>
      <c r="L8628">
        <v>1</v>
      </c>
      <c r="M8628">
        <v>12</v>
      </c>
      <c r="N8628" t="s">
        <v>41</v>
      </c>
      <c r="O8628" t="s">
        <v>27</v>
      </c>
      <c r="P8628">
        <v>5.5064576725479402</v>
      </c>
      <c r="Q8628">
        <v>0.52435542683391401</v>
      </c>
      <c r="R8628">
        <v>4.5054821693056102</v>
      </c>
      <c r="S8628">
        <v>188</v>
      </c>
      <c r="T8628">
        <v>50</v>
      </c>
      <c r="U8628">
        <v>333.54896468524601</v>
      </c>
      <c r="V8628">
        <v>2.4655845490034901E-3</v>
      </c>
      <c r="W8628">
        <v>1986466.1101945899</v>
      </c>
      <c r="X8628" t="s">
        <v>33</v>
      </c>
      <c r="Y8628">
        <f>1-556-618-8851</f>
        <v>-10024</v>
      </c>
    </row>
    <row r="8629" spans="1:25" x14ac:dyDescent="0.35">
      <c r="A8629">
        <v>37.416511789140998</v>
      </c>
      <c r="B8629">
        <v>-119.338705860967</v>
      </c>
      <c r="C8629" t="s">
        <v>25</v>
      </c>
      <c r="D8629">
        <v>3.45304176184192</v>
      </c>
      <c r="E8629">
        <v>6</v>
      </c>
      <c r="F8629">
        <v>3887</v>
      </c>
      <c r="G8629">
        <v>5</v>
      </c>
      <c r="H8629">
        <v>1</v>
      </c>
      <c r="I8629">
        <v>2005</v>
      </c>
      <c r="J8629">
        <v>1</v>
      </c>
      <c r="K8629">
        <v>0</v>
      </c>
      <c r="L8629">
        <v>1</v>
      </c>
      <c r="M8629">
        <v>3</v>
      </c>
      <c r="N8629" t="s">
        <v>41</v>
      </c>
      <c r="O8629" t="s">
        <v>30</v>
      </c>
      <c r="P8629">
        <v>5.0876413571219103</v>
      </c>
      <c r="Q8629">
        <v>0.90920554284492805</v>
      </c>
      <c r="R8629">
        <v>1.98905366731625</v>
      </c>
      <c r="S8629">
        <v>91</v>
      </c>
      <c r="T8629">
        <v>39</v>
      </c>
      <c r="U8629">
        <v>367.76336960989499</v>
      </c>
      <c r="V8629">
        <v>7.7180344738873104E-4</v>
      </c>
      <c r="W8629">
        <v>1789901.3468454699</v>
      </c>
      <c r="X8629" t="s">
        <v>44</v>
      </c>
      <c r="Y8629">
        <f>1-819-341-7450</f>
        <v>-8609</v>
      </c>
    </row>
    <row r="8630" spans="1:25" x14ac:dyDescent="0.35">
      <c r="A8630">
        <v>36.992228884249499</v>
      </c>
      <c r="B8630">
        <v>-123.63002639068</v>
      </c>
      <c r="C8630" t="s">
        <v>34</v>
      </c>
      <c r="D8630">
        <v>34.9136527465878</v>
      </c>
      <c r="E8630">
        <v>6</v>
      </c>
      <c r="F8630">
        <v>4911</v>
      </c>
      <c r="G8630">
        <v>4</v>
      </c>
      <c r="H8630">
        <v>3</v>
      </c>
      <c r="I8630">
        <v>1958</v>
      </c>
      <c r="J8630">
        <v>1</v>
      </c>
      <c r="K8630">
        <v>1</v>
      </c>
      <c r="L8630">
        <v>1</v>
      </c>
      <c r="M8630">
        <v>8</v>
      </c>
      <c r="N8630" t="s">
        <v>41</v>
      </c>
      <c r="O8630" t="s">
        <v>32</v>
      </c>
      <c r="P8630">
        <v>11.734392775792699</v>
      </c>
      <c r="Q8630">
        <v>0.66817965007273805</v>
      </c>
      <c r="R8630">
        <v>8.7951820534060001</v>
      </c>
      <c r="S8630">
        <v>47</v>
      </c>
      <c r="T8630">
        <v>23</v>
      </c>
      <c r="U8630">
        <v>974.64248128335896</v>
      </c>
      <c r="V8630">
        <v>1.6289961311341801E-3</v>
      </c>
      <c r="W8630">
        <v>5257987.1035719002</v>
      </c>
      <c r="X8630" t="s">
        <v>39</v>
      </c>
      <c r="Y8630">
        <f>1-667-466-2992</f>
        <v>-4124</v>
      </c>
    </row>
    <row r="8631" spans="1:25" x14ac:dyDescent="0.35">
      <c r="A8631">
        <v>38.298274644512297</v>
      </c>
      <c r="B8631">
        <v>-120.31533617184</v>
      </c>
      <c r="C8631" t="s">
        <v>29</v>
      </c>
      <c r="D8631">
        <v>26.569272539812999</v>
      </c>
      <c r="E8631">
        <v>6</v>
      </c>
      <c r="F8631">
        <v>2418</v>
      </c>
      <c r="G8631">
        <v>2</v>
      </c>
      <c r="H8631">
        <v>3</v>
      </c>
      <c r="I8631">
        <v>2004</v>
      </c>
      <c r="J8631">
        <v>1</v>
      </c>
      <c r="K8631">
        <v>0</v>
      </c>
      <c r="L8631">
        <v>1</v>
      </c>
      <c r="M8631">
        <v>12</v>
      </c>
      <c r="N8631" t="s">
        <v>26</v>
      </c>
      <c r="O8631" t="s">
        <v>27</v>
      </c>
      <c r="P8631">
        <v>2.98410486509519</v>
      </c>
      <c r="Q8631">
        <v>1.3661820060685601</v>
      </c>
      <c r="R8631">
        <v>1.6465655586599599</v>
      </c>
      <c r="S8631">
        <v>180</v>
      </c>
      <c r="T8631">
        <v>79</v>
      </c>
      <c r="U8631">
        <v>586.26660915216803</v>
      </c>
      <c r="V8631">
        <v>4.96277915632754E-3</v>
      </c>
      <c r="W8631">
        <v>1700990.87069341</v>
      </c>
      <c r="X8631" t="s">
        <v>28</v>
      </c>
      <c r="Y8631">
        <f>1-605-381-1482</f>
        <v>-2467</v>
      </c>
    </row>
    <row r="8632" spans="1:25" x14ac:dyDescent="0.35">
      <c r="A8632">
        <v>34.1333026187014</v>
      </c>
      <c r="B8632">
        <v>-119.545015953622</v>
      </c>
      <c r="C8632" t="s">
        <v>29</v>
      </c>
      <c r="D8632">
        <v>30.157588594993399</v>
      </c>
      <c r="E8632">
        <v>7</v>
      </c>
      <c r="F8632">
        <v>4175</v>
      </c>
      <c r="G8632">
        <v>3</v>
      </c>
      <c r="H8632">
        <v>3</v>
      </c>
      <c r="I8632">
        <v>2014</v>
      </c>
      <c r="J8632">
        <v>1</v>
      </c>
      <c r="K8632">
        <v>0</v>
      </c>
      <c r="L8632">
        <v>1</v>
      </c>
      <c r="M8632">
        <v>7</v>
      </c>
      <c r="N8632" t="s">
        <v>37</v>
      </c>
      <c r="O8632" t="s">
        <v>30</v>
      </c>
      <c r="P8632">
        <v>12.171180602942099</v>
      </c>
      <c r="Q8632">
        <v>2.2841284428936199</v>
      </c>
      <c r="R8632">
        <v>5.0810790124538201</v>
      </c>
      <c r="S8632">
        <v>73</v>
      </c>
      <c r="T8632">
        <v>34</v>
      </c>
      <c r="U8632">
        <v>441.84450836208299</v>
      </c>
      <c r="V8632">
        <v>1.67664670658682E-3</v>
      </c>
      <c r="W8632">
        <v>2231166.0261615198</v>
      </c>
      <c r="X8632" t="s">
        <v>31</v>
      </c>
      <c r="Y8632">
        <f>1-504-891-1075</f>
        <v>-2469</v>
      </c>
    </row>
    <row r="8633" spans="1:25" x14ac:dyDescent="0.35">
      <c r="A8633">
        <v>33.849199062377799</v>
      </c>
      <c r="B8633">
        <v>-119.197186058546</v>
      </c>
      <c r="C8633" t="s">
        <v>25</v>
      </c>
      <c r="D8633">
        <v>9.5422455164418292</v>
      </c>
      <c r="E8633">
        <v>1</v>
      </c>
      <c r="F8633">
        <v>3473</v>
      </c>
      <c r="G8633">
        <v>3</v>
      </c>
      <c r="H8633">
        <v>3</v>
      </c>
      <c r="I8633">
        <v>2004</v>
      </c>
      <c r="J8633">
        <v>0</v>
      </c>
      <c r="K8633">
        <v>1</v>
      </c>
      <c r="L8633">
        <v>1</v>
      </c>
      <c r="M8633">
        <v>5</v>
      </c>
      <c r="N8633" t="s">
        <v>37</v>
      </c>
      <c r="O8633" t="s">
        <v>27</v>
      </c>
      <c r="P8633">
        <v>2.2490805213645402</v>
      </c>
      <c r="Q8633">
        <v>0.59851498564879202</v>
      </c>
      <c r="R8633">
        <v>2.2923767592436501</v>
      </c>
      <c r="S8633">
        <v>54</v>
      </c>
      <c r="T8633">
        <v>24</v>
      </c>
      <c r="U8633">
        <v>679.01852674021598</v>
      </c>
      <c r="V8633">
        <v>1.4396775122372499E-3</v>
      </c>
      <c r="W8633">
        <v>2667014.7509595798</v>
      </c>
      <c r="X8633" t="s">
        <v>42</v>
      </c>
      <c r="Y8633">
        <f>1-715-929-7902</f>
        <v>-9545</v>
      </c>
    </row>
    <row r="8634" spans="1:25" x14ac:dyDescent="0.35">
      <c r="A8634">
        <v>41.232036286637801</v>
      </c>
      <c r="B8634">
        <v>-115.416616380723</v>
      </c>
      <c r="C8634" t="s">
        <v>34</v>
      </c>
      <c r="D8634">
        <v>17.581368168456699</v>
      </c>
      <c r="E8634">
        <v>3</v>
      </c>
      <c r="F8634">
        <v>937</v>
      </c>
      <c r="G8634">
        <v>1</v>
      </c>
      <c r="H8634">
        <v>2</v>
      </c>
      <c r="I8634">
        <v>1975</v>
      </c>
      <c r="J8634">
        <v>0</v>
      </c>
      <c r="K8634">
        <v>0</v>
      </c>
      <c r="L8634">
        <v>0</v>
      </c>
      <c r="M8634">
        <v>3</v>
      </c>
      <c r="N8634" t="s">
        <v>41</v>
      </c>
      <c r="O8634" t="s">
        <v>27</v>
      </c>
      <c r="P8634">
        <v>13.099592089777399</v>
      </c>
      <c r="Q8634">
        <v>2.4538825687407799</v>
      </c>
      <c r="R8634">
        <v>6.1125580278397802</v>
      </c>
      <c r="S8634">
        <v>8</v>
      </c>
      <c r="T8634">
        <v>69</v>
      </c>
      <c r="U8634">
        <v>428.62751017235701</v>
      </c>
      <c r="V8634">
        <v>3.2017075773745898E-3</v>
      </c>
      <c r="W8634">
        <v>537824.08096087398</v>
      </c>
      <c r="X8634" t="s">
        <v>43</v>
      </c>
      <c r="Y8634">
        <f>1-770-960-4294</f>
        <v>-6023</v>
      </c>
    </row>
    <row r="8635" spans="1:25" x14ac:dyDescent="0.35">
      <c r="A8635">
        <v>32.792358236016199</v>
      </c>
      <c r="B8635">
        <v>-114.55181217175701</v>
      </c>
      <c r="C8635" t="s">
        <v>34</v>
      </c>
      <c r="D8635">
        <v>45.974551469295001</v>
      </c>
      <c r="E8635">
        <v>6</v>
      </c>
      <c r="F8635">
        <v>2155</v>
      </c>
      <c r="G8635">
        <v>4</v>
      </c>
      <c r="H8635">
        <v>1</v>
      </c>
      <c r="I8635">
        <v>1985</v>
      </c>
      <c r="J8635">
        <v>1</v>
      </c>
      <c r="K8635">
        <v>1</v>
      </c>
      <c r="L8635">
        <v>0</v>
      </c>
      <c r="M8635">
        <v>4</v>
      </c>
      <c r="N8635" t="s">
        <v>37</v>
      </c>
      <c r="O8635" t="s">
        <v>27</v>
      </c>
      <c r="P8635">
        <v>9.1138521441229496</v>
      </c>
      <c r="Q8635">
        <v>2.1019179547033802</v>
      </c>
      <c r="R8635">
        <v>4.0004449982062296</v>
      </c>
      <c r="S8635">
        <v>177</v>
      </c>
      <c r="T8635">
        <v>49</v>
      </c>
      <c r="U8635">
        <v>392.26947223837902</v>
      </c>
      <c r="V8635">
        <v>1.8561484918793499E-3</v>
      </c>
      <c r="W8635">
        <v>1220022.7509198601</v>
      </c>
      <c r="X8635" t="s">
        <v>39</v>
      </c>
      <c r="Y8635">
        <f>1-720-414-2632</f>
        <v>-3765</v>
      </c>
    </row>
    <row r="8636" spans="1:25" x14ac:dyDescent="0.35">
      <c r="A8636">
        <v>34.885589667629603</v>
      </c>
      <c r="B8636">
        <v>-120.285871668063</v>
      </c>
      <c r="C8636" t="s">
        <v>25</v>
      </c>
      <c r="D8636">
        <v>44.737896344429203</v>
      </c>
      <c r="E8636">
        <v>0</v>
      </c>
      <c r="F8636">
        <v>3787</v>
      </c>
      <c r="G8636">
        <v>2</v>
      </c>
      <c r="H8636">
        <v>1</v>
      </c>
      <c r="I8636">
        <v>1960</v>
      </c>
      <c r="J8636">
        <v>0</v>
      </c>
      <c r="K8636">
        <v>1</v>
      </c>
      <c r="L8636">
        <v>1</v>
      </c>
      <c r="M8636">
        <v>7</v>
      </c>
      <c r="N8636" t="s">
        <v>26</v>
      </c>
      <c r="O8636" t="s">
        <v>27</v>
      </c>
      <c r="P8636">
        <v>7.7219017057742896</v>
      </c>
      <c r="Q8636">
        <v>1.4070516386285801</v>
      </c>
      <c r="R8636">
        <v>0.65688012518888494</v>
      </c>
      <c r="S8636">
        <v>137</v>
      </c>
      <c r="T8636">
        <v>32</v>
      </c>
      <c r="U8636">
        <v>228.42211535134399</v>
      </c>
      <c r="V8636">
        <v>1.8484288354898299E-3</v>
      </c>
      <c r="W8636">
        <v>1110240.6173227499</v>
      </c>
      <c r="X8636" t="s">
        <v>28</v>
      </c>
      <c r="Y8636">
        <f>1-618-490-7277</f>
        <v>-8384</v>
      </c>
    </row>
    <row r="8637" spans="1:25" x14ac:dyDescent="0.35">
      <c r="A8637">
        <v>34.667961954067401</v>
      </c>
      <c r="B8637">
        <v>-123.86913430998899</v>
      </c>
      <c r="C8637" t="s">
        <v>25</v>
      </c>
      <c r="D8637">
        <v>14.3006513609956</v>
      </c>
      <c r="E8637">
        <v>8</v>
      </c>
      <c r="F8637">
        <v>1018</v>
      </c>
      <c r="G8637">
        <v>3</v>
      </c>
      <c r="H8637">
        <v>2</v>
      </c>
      <c r="I8637">
        <v>1997</v>
      </c>
      <c r="J8637">
        <v>0</v>
      </c>
      <c r="K8637">
        <v>0</v>
      </c>
      <c r="L8637">
        <v>0</v>
      </c>
      <c r="M8637">
        <v>13</v>
      </c>
      <c r="N8637" t="s">
        <v>37</v>
      </c>
      <c r="O8637" t="s">
        <v>30</v>
      </c>
      <c r="P8637">
        <v>14.9783556176461</v>
      </c>
      <c r="Q8637">
        <v>2.4387330652647301</v>
      </c>
      <c r="R8637">
        <v>3.85451806094113</v>
      </c>
      <c r="S8637">
        <v>63</v>
      </c>
      <c r="T8637">
        <v>44</v>
      </c>
      <c r="U8637">
        <v>243.92166065073201</v>
      </c>
      <c r="V8637">
        <v>1.27701375245579E-2</v>
      </c>
      <c r="W8637">
        <v>510102.52730078402</v>
      </c>
      <c r="X8637" t="s">
        <v>38</v>
      </c>
      <c r="Y8637">
        <f>1-886-535-8687</f>
        <v>-10107</v>
      </c>
    </row>
    <row r="8638" spans="1:25" x14ac:dyDescent="0.35">
      <c r="A8638">
        <v>39.884407672213101</v>
      </c>
      <c r="B8638">
        <v>-115.63880637939999</v>
      </c>
      <c r="C8638" t="s">
        <v>25</v>
      </c>
      <c r="D8638">
        <v>6.7600731845617501</v>
      </c>
      <c r="E8638">
        <v>1</v>
      </c>
      <c r="F8638">
        <v>4150</v>
      </c>
      <c r="G8638">
        <v>4</v>
      </c>
      <c r="H8638">
        <v>1</v>
      </c>
      <c r="I8638">
        <v>2008</v>
      </c>
      <c r="J8638">
        <v>1</v>
      </c>
      <c r="K8638">
        <v>1</v>
      </c>
      <c r="L8638">
        <v>0</v>
      </c>
      <c r="M8638">
        <v>8</v>
      </c>
      <c r="N8638" t="s">
        <v>26</v>
      </c>
      <c r="O8638" t="s">
        <v>32</v>
      </c>
      <c r="P8638">
        <v>5.2234748356216301</v>
      </c>
      <c r="Q8638">
        <v>1.50875113673131</v>
      </c>
      <c r="R8638">
        <v>6.4215946270790099</v>
      </c>
      <c r="S8638">
        <v>149</v>
      </c>
      <c r="T8638">
        <v>28</v>
      </c>
      <c r="U8638">
        <v>781.13534178548002</v>
      </c>
      <c r="V8638">
        <v>1.92771084337349E-3</v>
      </c>
      <c r="W8638">
        <v>3525918.6098565101</v>
      </c>
      <c r="X8638" t="s">
        <v>38</v>
      </c>
      <c r="Y8638">
        <f>1-719-230-7435</f>
        <v>-8383</v>
      </c>
    </row>
    <row r="8639" spans="1:25" x14ac:dyDescent="0.35">
      <c r="A8639">
        <v>35.715291300143797</v>
      </c>
      <c r="B8639">
        <v>-123.154197182733</v>
      </c>
      <c r="C8639" t="s">
        <v>25</v>
      </c>
      <c r="D8639">
        <v>24.6900104232678</v>
      </c>
      <c r="E8639">
        <v>6</v>
      </c>
      <c r="F8639">
        <v>4582</v>
      </c>
      <c r="G8639">
        <v>1</v>
      </c>
      <c r="H8639">
        <v>3</v>
      </c>
      <c r="I8639">
        <v>1972</v>
      </c>
      <c r="J8639">
        <v>0</v>
      </c>
      <c r="K8639">
        <v>1</v>
      </c>
      <c r="L8639">
        <v>0</v>
      </c>
      <c r="M8639">
        <v>2</v>
      </c>
      <c r="N8639" t="s">
        <v>41</v>
      </c>
      <c r="O8639" t="s">
        <v>27</v>
      </c>
      <c r="P8639">
        <v>7.7199576830952097</v>
      </c>
      <c r="Q8639">
        <v>0.59264864621716595</v>
      </c>
      <c r="R8639">
        <v>6.4930657941946102</v>
      </c>
      <c r="S8639">
        <v>1</v>
      </c>
      <c r="T8639">
        <v>65</v>
      </c>
      <c r="U8639">
        <v>269.32688743458402</v>
      </c>
      <c r="V8639">
        <v>4.3649061545176701E-4</v>
      </c>
      <c r="W8639">
        <v>1430813.19650034</v>
      </c>
      <c r="X8639" t="s">
        <v>39</v>
      </c>
      <c r="Y8639">
        <f>1-317-805-3007</f>
        <v>-4128</v>
      </c>
    </row>
    <row r="8640" spans="1:25" x14ac:dyDescent="0.35">
      <c r="A8640">
        <v>37.337827267709798</v>
      </c>
      <c r="B8640">
        <v>-123.627310035327</v>
      </c>
      <c r="C8640" t="s">
        <v>25</v>
      </c>
      <c r="D8640">
        <v>48.942173764443297</v>
      </c>
      <c r="E8640">
        <v>5</v>
      </c>
      <c r="F8640">
        <v>4362</v>
      </c>
      <c r="G8640">
        <v>5</v>
      </c>
      <c r="H8640">
        <v>1</v>
      </c>
      <c r="I8640">
        <v>1968</v>
      </c>
      <c r="J8640">
        <v>1</v>
      </c>
      <c r="K8640">
        <v>1</v>
      </c>
      <c r="L8640">
        <v>1</v>
      </c>
      <c r="M8640">
        <v>5</v>
      </c>
      <c r="N8640" t="s">
        <v>35</v>
      </c>
      <c r="O8640" t="s">
        <v>27</v>
      </c>
      <c r="P8640">
        <v>5.3956501954984502</v>
      </c>
      <c r="Q8640">
        <v>1.0695075497077999</v>
      </c>
      <c r="R8640">
        <v>5.5906689488375596</v>
      </c>
      <c r="S8640">
        <v>121</v>
      </c>
      <c r="T8640">
        <v>64</v>
      </c>
      <c r="U8640">
        <v>381.43131736003897</v>
      </c>
      <c r="V8640">
        <v>1.14626318202659E-3</v>
      </c>
      <c r="W8640">
        <v>2023015.23798998</v>
      </c>
      <c r="X8640" t="s">
        <v>28</v>
      </c>
      <c r="Y8640">
        <f>1-226-164-1199</f>
        <v>-1588</v>
      </c>
    </row>
    <row r="8641" spans="1:25" x14ac:dyDescent="0.35">
      <c r="A8641">
        <v>34.1963481793467</v>
      </c>
      <c r="B8641">
        <v>-121.95146788113099</v>
      </c>
      <c r="C8641" t="s">
        <v>34</v>
      </c>
      <c r="D8641">
        <v>45.427183345146403</v>
      </c>
      <c r="E8641">
        <v>2</v>
      </c>
      <c r="F8641">
        <v>4467</v>
      </c>
      <c r="G8641">
        <v>4</v>
      </c>
      <c r="H8641">
        <v>3</v>
      </c>
      <c r="I8641">
        <v>1955</v>
      </c>
      <c r="J8641">
        <v>1</v>
      </c>
      <c r="K8641">
        <v>1</v>
      </c>
      <c r="L8641">
        <v>0</v>
      </c>
      <c r="M8641">
        <v>3</v>
      </c>
      <c r="N8641" t="s">
        <v>26</v>
      </c>
      <c r="O8641" t="s">
        <v>32</v>
      </c>
      <c r="P8641">
        <v>3.44877708064636</v>
      </c>
      <c r="Q8641">
        <v>1.8596834874114101</v>
      </c>
      <c r="R8641">
        <v>0.30453707380223899</v>
      </c>
      <c r="S8641">
        <v>98</v>
      </c>
      <c r="T8641">
        <v>70</v>
      </c>
      <c r="U8641">
        <v>349.86758038387802</v>
      </c>
      <c r="V8641">
        <v>6.7159167226326397E-4</v>
      </c>
      <c r="W8641">
        <v>1929943.84671422</v>
      </c>
      <c r="X8641" t="s">
        <v>28</v>
      </c>
      <c r="Y8641">
        <f>1-478-484-4130</f>
        <v>-5091</v>
      </c>
    </row>
    <row r="8642" spans="1:25" x14ac:dyDescent="0.35">
      <c r="A8642">
        <v>34.725119123247303</v>
      </c>
      <c r="B8642">
        <v>-120.400335541128</v>
      </c>
      <c r="C8642" t="s">
        <v>34</v>
      </c>
      <c r="D8642">
        <v>13.536487047040501</v>
      </c>
      <c r="E8642">
        <v>2</v>
      </c>
      <c r="F8642">
        <v>1517</v>
      </c>
      <c r="G8642">
        <v>1</v>
      </c>
      <c r="H8642">
        <v>2</v>
      </c>
      <c r="I8642">
        <v>1952</v>
      </c>
      <c r="J8642">
        <v>0</v>
      </c>
      <c r="K8642">
        <v>1</v>
      </c>
      <c r="L8642">
        <v>1</v>
      </c>
      <c r="M8642">
        <v>14</v>
      </c>
      <c r="N8642" t="s">
        <v>37</v>
      </c>
      <c r="O8642" t="s">
        <v>32</v>
      </c>
      <c r="P8642">
        <v>11.147816534255799</v>
      </c>
      <c r="Q8642">
        <v>1.2100379776705401</v>
      </c>
      <c r="R8642">
        <v>1.5972834340825299</v>
      </c>
      <c r="S8642">
        <v>57</v>
      </c>
      <c r="T8642">
        <v>31</v>
      </c>
      <c r="U8642">
        <v>631.87945037783197</v>
      </c>
      <c r="V8642">
        <v>9.2287409360580098E-3</v>
      </c>
      <c r="W8642">
        <v>1221582.0521448301</v>
      </c>
      <c r="X8642" t="s">
        <v>33</v>
      </c>
      <c r="Y8642">
        <f>1-311-922-1556</f>
        <v>-2788</v>
      </c>
    </row>
    <row r="8643" spans="1:25" x14ac:dyDescent="0.35">
      <c r="A8643">
        <v>33.453103216338697</v>
      </c>
      <c r="B8643">
        <v>-115.711161915018</v>
      </c>
      <c r="C8643" t="s">
        <v>34</v>
      </c>
      <c r="D8643">
        <v>35.969433044505898</v>
      </c>
      <c r="E8643">
        <v>9</v>
      </c>
      <c r="F8643">
        <v>4169</v>
      </c>
      <c r="G8643">
        <v>5</v>
      </c>
      <c r="H8643">
        <v>1</v>
      </c>
      <c r="I8643">
        <v>1995</v>
      </c>
      <c r="J8643">
        <v>1</v>
      </c>
      <c r="K8643">
        <v>0</v>
      </c>
      <c r="L8643">
        <v>1</v>
      </c>
      <c r="M8643">
        <v>4</v>
      </c>
      <c r="N8643" t="s">
        <v>37</v>
      </c>
      <c r="O8643" t="s">
        <v>30</v>
      </c>
      <c r="P8643">
        <v>7.9377728154185698</v>
      </c>
      <c r="Q8643">
        <v>1.42630362065186</v>
      </c>
      <c r="R8643">
        <v>2.2634567877555202E-3</v>
      </c>
      <c r="S8643">
        <v>136</v>
      </c>
      <c r="T8643">
        <v>36</v>
      </c>
      <c r="U8643">
        <v>764.74415669327504</v>
      </c>
      <c r="V8643">
        <v>9.5946270088750299E-4</v>
      </c>
      <c r="W8643">
        <v>3536641.7011714499</v>
      </c>
      <c r="X8643" t="s">
        <v>28</v>
      </c>
      <c r="Y8643">
        <f>1-599-127-7191</f>
        <v>-7916</v>
      </c>
    </row>
    <row r="8644" spans="1:25" x14ac:dyDescent="0.35">
      <c r="A8644">
        <v>34.769110687372098</v>
      </c>
      <c r="B8644">
        <v>-116.77502362516501</v>
      </c>
      <c r="C8644" t="s">
        <v>29</v>
      </c>
      <c r="D8644">
        <v>13.0640765602238</v>
      </c>
      <c r="E8644">
        <v>8</v>
      </c>
      <c r="F8644">
        <v>2755</v>
      </c>
      <c r="G8644">
        <v>2</v>
      </c>
      <c r="H8644">
        <v>3</v>
      </c>
      <c r="I8644">
        <v>2008</v>
      </c>
      <c r="J8644">
        <v>1</v>
      </c>
      <c r="K8644">
        <v>0</v>
      </c>
      <c r="L8644">
        <v>1</v>
      </c>
      <c r="M8644">
        <v>12</v>
      </c>
      <c r="N8644" t="s">
        <v>26</v>
      </c>
      <c r="O8644" t="s">
        <v>27</v>
      </c>
      <c r="P8644">
        <v>11.566902582725399</v>
      </c>
      <c r="Q8644">
        <v>0.72726458008244199</v>
      </c>
      <c r="R8644">
        <v>6.9279521429500797</v>
      </c>
      <c r="S8644">
        <v>173</v>
      </c>
      <c r="T8644">
        <v>35</v>
      </c>
      <c r="U8644">
        <v>277.26941306004301</v>
      </c>
      <c r="V8644">
        <v>4.3557168784028998E-3</v>
      </c>
      <c r="W8644">
        <v>1079467.50996285</v>
      </c>
      <c r="X8644" t="s">
        <v>33</v>
      </c>
      <c r="Y8644">
        <f>1-315-707-6039</f>
        <v>-7060</v>
      </c>
    </row>
    <row r="8645" spans="1:25" x14ac:dyDescent="0.35">
      <c r="A8645">
        <v>35.686330807496901</v>
      </c>
      <c r="B8645">
        <v>-121.678287493198</v>
      </c>
      <c r="C8645" t="s">
        <v>25</v>
      </c>
      <c r="D8645">
        <v>20.884419984584799</v>
      </c>
      <c r="E8645">
        <v>6</v>
      </c>
      <c r="F8645">
        <v>2155</v>
      </c>
      <c r="G8645">
        <v>5</v>
      </c>
      <c r="H8645">
        <v>1</v>
      </c>
      <c r="I8645">
        <v>1962</v>
      </c>
      <c r="J8645">
        <v>0</v>
      </c>
      <c r="K8645">
        <v>1</v>
      </c>
      <c r="L8645">
        <v>1</v>
      </c>
      <c r="M8645">
        <v>8</v>
      </c>
      <c r="N8645" t="s">
        <v>35</v>
      </c>
      <c r="O8645" t="s">
        <v>32</v>
      </c>
      <c r="P8645">
        <v>2.31176961644687</v>
      </c>
      <c r="Q8645">
        <v>1.3029235342102199</v>
      </c>
      <c r="R8645">
        <v>7.2029670898164894E-2</v>
      </c>
      <c r="S8645">
        <v>36</v>
      </c>
      <c r="T8645">
        <v>72</v>
      </c>
      <c r="U8645">
        <v>281.62963375068199</v>
      </c>
      <c r="V8645">
        <v>3.7122969837586998E-3</v>
      </c>
      <c r="W8645">
        <v>911555.59674512502</v>
      </c>
      <c r="X8645" t="s">
        <v>33</v>
      </c>
      <c r="Y8645">
        <f>1-298-807-4868</f>
        <v>-5972</v>
      </c>
    </row>
    <row r="8646" spans="1:25" x14ac:dyDescent="0.35">
      <c r="A8646">
        <v>39.072558128974102</v>
      </c>
      <c r="B8646">
        <v>-121.12382793666799</v>
      </c>
      <c r="C8646" t="s">
        <v>25</v>
      </c>
      <c r="D8646">
        <v>45.051577675454702</v>
      </c>
      <c r="E8646">
        <v>7</v>
      </c>
      <c r="F8646">
        <v>1916</v>
      </c>
      <c r="G8646">
        <v>3</v>
      </c>
      <c r="H8646">
        <v>2</v>
      </c>
      <c r="I8646">
        <v>2005</v>
      </c>
      <c r="J8646">
        <v>0</v>
      </c>
      <c r="K8646">
        <v>0</v>
      </c>
      <c r="L8646">
        <v>1</v>
      </c>
      <c r="M8646">
        <v>6</v>
      </c>
      <c r="N8646" t="s">
        <v>41</v>
      </c>
      <c r="O8646" t="s">
        <v>32</v>
      </c>
      <c r="P8646">
        <v>8.9566156388048501</v>
      </c>
      <c r="Q8646">
        <v>1.3678499723101201</v>
      </c>
      <c r="R8646">
        <v>7.7067877706625998</v>
      </c>
      <c r="S8646">
        <v>128</v>
      </c>
      <c r="T8646">
        <v>41</v>
      </c>
      <c r="U8646">
        <v>594.31196626969995</v>
      </c>
      <c r="V8646">
        <v>3.1315240083507299E-3</v>
      </c>
      <c r="W8646">
        <v>1383971.3763653201</v>
      </c>
      <c r="X8646" t="s">
        <v>40</v>
      </c>
      <c r="Y8646">
        <f>1-491-667-4572</f>
        <v>-5729</v>
      </c>
    </row>
    <row r="8647" spans="1:25" x14ac:dyDescent="0.35">
      <c r="A8647">
        <v>36.441973140686201</v>
      </c>
      <c r="B8647">
        <v>-119.768379244182</v>
      </c>
      <c r="C8647" t="s">
        <v>29</v>
      </c>
      <c r="D8647">
        <v>14.4377490114142</v>
      </c>
      <c r="E8647">
        <v>5</v>
      </c>
      <c r="F8647">
        <v>3102</v>
      </c>
      <c r="G8647">
        <v>4</v>
      </c>
      <c r="H8647">
        <v>2</v>
      </c>
      <c r="I8647">
        <v>2005</v>
      </c>
      <c r="J8647">
        <v>1</v>
      </c>
      <c r="K8647">
        <v>1</v>
      </c>
      <c r="L8647">
        <v>1</v>
      </c>
      <c r="M8647">
        <v>11</v>
      </c>
      <c r="N8647" t="s">
        <v>26</v>
      </c>
      <c r="O8647" t="s">
        <v>27</v>
      </c>
      <c r="P8647">
        <v>2.24109637520962</v>
      </c>
      <c r="Q8647">
        <v>1.59630312219909</v>
      </c>
      <c r="R8647">
        <v>8.5400519508958599</v>
      </c>
      <c r="S8647">
        <v>162</v>
      </c>
      <c r="T8647">
        <v>59</v>
      </c>
      <c r="U8647">
        <v>334.82463952683401</v>
      </c>
      <c r="V8647">
        <v>3.54609929078014E-3</v>
      </c>
      <c r="W8647">
        <v>1511465.95311087</v>
      </c>
      <c r="X8647" t="s">
        <v>40</v>
      </c>
      <c r="Y8647">
        <f>1-891-164-4357</f>
        <v>-5411</v>
      </c>
    </row>
    <row r="8648" spans="1:25" x14ac:dyDescent="0.35">
      <c r="A8648">
        <v>40.585333082172397</v>
      </c>
      <c r="B8648">
        <v>-124.05941922916401</v>
      </c>
      <c r="C8648" t="s">
        <v>29</v>
      </c>
      <c r="D8648">
        <v>38.293592823377402</v>
      </c>
      <c r="E8648">
        <v>6</v>
      </c>
      <c r="F8648">
        <v>1263</v>
      </c>
      <c r="G8648">
        <v>5</v>
      </c>
      <c r="H8648">
        <v>3</v>
      </c>
      <c r="I8648">
        <v>1968</v>
      </c>
      <c r="J8648">
        <v>1</v>
      </c>
      <c r="K8648">
        <v>0</v>
      </c>
      <c r="L8648">
        <v>0</v>
      </c>
      <c r="M8648">
        <v>10</v>
      </c>
      <c r="N8648" t="s">
        <v>26</v>
      </c>
      <c r="O8648" t="s">
        <v>32</v>
      </c>
      <c r="P8648">
        <v>6.3479086536542404</v>
      </c>
      <c r="Q8648">
        <v>1.44978028290264</v>
      </c>
      <c r="R8648">
        <v>8.9485328395529802</v>
      </c>
      <c r="S8648">
        <v>69</v>
      </c>
      <c r="T8648">
        <v>73</v>
      </c>
      <c r="U8648">
        <v>456.80322002174501</v>
      </c>
      <c r="V8648">
        <v>7.91765637371338E-3</v>
      </c>
      <c r="W8648">
        <v>924571.93296079501</v>
      </c>
      <c r="X8648" t="s">
        <v>28</v>
      </c>
      <c r="Y8648">
        <f>1-244-779-9867</f>
        <v>-10889</v>
      </c>
    </row>
    <row r="8649" spans="1:25" x14ac:dyDescent="0.35">
      <c r="A8649">
        <v>32.965365259101503</v>
      </c>
      <c r="B8649">
        <v>-117.975333252312</v>
      </c>
      <c r="C8649" t="s">
        <v>34</v>
      </c>
      <c r="D8649">
        <v>23.829979497162299</v>
      </c>
      <c r="E8649">
        <v>4</v>
      </c>
      <c r="F8649">
        <v>4036</v>
      </c>
      <c r="G8649">
        <v>5</v>
      </c>
      <c r="H8649">
        <v>3</v>
      </c>
      <c r="I8649">
        <v>2000</v>
      </c>
      <c r="J8649">
        <v>0</v>
      </c>
      <c r="K8649">
        <v>0</v>
      </c>
      <c r="L8649">
        <v>1</v>
      </c>
      <c r="M8649">
        <v>14</v>
      </c>
      <c r="N8649" t="s">
        <v>26</v>
      </c>
      <c r="O8649" t="s">
        <v>27</v>
      </c>
      <c r="P8649">
        <v>2.5355597147003999</v>
      </c>
      <c r="Q8649">
        <v>0.71198498273150501</v>
      </c>
      <c r="R8649">
        <v>4.2703425078042301</v>
      </c>
      <c r="S8649">
        <v>0</v>
      </c>
      <c r="T8649">
        <v>76</v>
      </c>
      <c r="U8649">
        <v>978.15821025521495</v>
      </c>
      <c r="V8649">
        <v>3.4687809712586701E-3</v>
      </c>
      <c r="W8649">
        <v>4294664.8916067202</v>
      </c>
      <c r="X8649" t="s">
        <v>38</v>
      </c>
      <c r="Y8649">
        <f>1-976-516-9640</f>
        <v>-11131</v>
      </c>
    </row>
    <row r="8650" spans="1:25" x14ac:dyDescent="0.35">
      <c r="A8650">
        <v>38.016455473809003</v>
      </c>
      <c r="B8650">
        <v>-124.20820579625899</v>
      </c>
      <c r="C8650" t="s">
        <v>29</v>
      </c>
      <c r="D8650">
        <v>6.0261062528319602</v>
      </c>
      <c r="E8650">
        <v>9</v>
      </c>
      <c r="F8650">
        <v>2462</v>
      </c>
      <c r="G8650">
        <v>3</v>
      </c>
      <c r="H8650">
        <v>3</v>
      </c>
      <c r="I8650">
        <v>1994</v>
      </c>
      <c r="J8650">
        <v>1</v>
      </c>
      <c r="K8650">
        <v>0</v>
      </c>
      <c r="L8650">
        <v>0</v>
      </c>
      <c r="M8650">
        <v>5</v>
      </c>
      <c r="N8650" t="s">
        <v>37</v>
      </c>
      <c r="O8650" t="s">
        <v>27</v>
      </c>
      <c r="P8650">
        <v>3.6374499251998702</v>
      </c>
      <c r="Q8650">
        <v>1.2786866490103399</v>
      </c>
      <c r="R8650">
        <v>9.9458891725692506</v>
      </c>
      <c r="S8650">
        <v>154</v>
      </c>
      <c r="T8650">
        <v>22</v>
      </c>
      <c r="U8650">
        <v>758.83212124031797</v>
      </c>
      <c r="V8650">
        <v>2.0308692120227399E-3</v>
      </c>
      <c r="W8650">
        <v>2131914.01116275</v>
      </c>
      <c r="X8650" t="s">
        <v>28</v>
      </c>
      <c r="Y8650">
        <f>1-754-567-1215</f>
        <v>-2535</v>
      </c>
    </row>
    <row r="8651" spans="1:25" x14ac:dyDescent="0.35">
      <c r="A8651">
        <v>34.671690873579301</v>
      </c>
      <c r="B8651">
        <v>-115.534049928885</v>
      </c>
      <c r="C8651" t="s">
        <v>25</v>
      </c>
      <c r="D8651">
        <v>1.3969963772224401</v>
      </c>
      <c r="E8651">
        <v>6</v>
      </c>
      <c r="F8651">
        <v>3670</v>
      </c>
      <c r="G8651">
        <v>5</v>
      </c>
      <c r="H8651">
        <v>3</v>
      </c>
      <c r="I8651">
        <v>1997</v>
      </c>
      <c r="J8651">
        <v>1</v>
      </c>
      <c r="K8651">
        <v>0</v>
      </c>
      <c r="L8651">
        <v>1</v>
      </c>
      <c r="M8651">
        <v>14</v>
      </c>
      <c r="N8651" t="s">
        <v>37</v>
      </c>
      <c r="O8651" t="s">
        <v>32</v>
      </c>
      <c r="P8651">
        <v>5.6781478477942597</v>
      </c>
      <c r="Q8651">
        <v>2.45834578692339</v>
      </c>
      <c r="R8651">
        <v>4.9533801858668296</v>
      </c>
      <c r="S8651">
        <v>20</v>
      </c>
      <c r="T8651">
        <v>60</v>
      </c>
      <c r="U8651">
        <v>787.52140398225595</v>
      </c>
      <c r="V8651">
        <v>3.81471389645776E-3</v>
      </c>
      <c r="W8651">
        <v>3338493.65776029</v>
      </c>
      <c r="X8651" t="s">
        <v>38</v>
      </c>
      <c r="Y8651">
        <f>1-946-630-9478</f>
        <v>-11053</v>
      </c>
    </row>
    <row r="8652" spans="1:25" x14ac:dyDescent="0.35">
      <c r="A8652">
        <v>39.7408592848873</v>
      </c>
      <c r="B8652">
        <v>-123.76707214052399</v>
      </c>
      <c r="C8652" t="s">
        <v>29</v>
      </c>
      <c r="D8652">
        <v>9.8302918892325906</v>
      </c>
      <c r="E8652">
        <v>4</v>
      </c>
      <c r="F8652">
        <v>3534</v>
      </c>
      <c r="G8652">
        <v>2</v>
      </c>
      <c r="H8652">
        <v>3</v>
      </c>
      <c r="I8652">
        <v>1955</v>
      </c>
      <c r="J8652">
        <v>1</v>
      </c>
      <c r="K8652">
        <v>1</v>
      </c>
      <c r="L8652">
        <v>1</v>
      </c>
      <c r="M8652">
        <v>10</v>
      </c>
      <c r="N8652" t="s">
        <v>37</v>
      </c>
      <c r="O8652" t="s">
        <v>30</v>
      </c>
      <c r="P8652">
        <v>3.3106895517719699</v>
      </c>
      <c r="Q8652">
        <v>1.50409553814988</v>
      </c>
      <c r="R8652">
        <v>4.9456064034898697</v>
      </c>
      <c r="S8652">
        <v>95</v>
      </c>
      <c r="T8652">
        <v>35</v>
      </c>
      <c r="U8652">
        <v>867.85284312558804</v>
      </c>
      <c r="V8652">
        <v>2.8296547821165799E-3</v>
      </c>
      <c r="W8652">
        <v>3273293.9135897001</v>
      </c>
      <c r="X8652" t="s">
        <v>42</v>
      </c>
      <c r="Y8652">
        <f>1-340-632-5023</f>
        <v>-5994</v>
      </c>
    </row>
    <row r="8653" spans="1:25" x14ac:dyDescent="0.35">
      <c r="A8653">
        <v>40.451985328424101</v>
      </c>
      <c r="B8653">
        <v>-122.98378766809201</v>
      </c>
      <c r="C8653" t="s">
        <v>29</v>
      </c>
      <c r="D8653">
        <v>22.018885079753801</v>
      </c>
      <c r="E8653">
        <v>3</v>
      </c>
      <c r="F8653">
        <v>2787</v>
      </c>
      <c r="G8653">
        <v>2</v>
      </c>
      <c r="H8653">
        <v>3</v>
      </c>
      <c r="I8653">
        <v>1973</v>
      </c>
      <c r="J8653">
        <v>1</v>
      </c>
      <c r="K8653">
        <v>0</v>
      </c>
      <c r="L8653">
        <v>1</v>
      </c>
      <c r="M8653">
        <v>11</v>
      </c>
      <c r="N8653" t="s">
        <v>26</v>
      </c>
      <c r="O8653" t="s">
        <v>32</v>
      </c>
      <c r="P8653">
        <v>13.1001844763849</v>
      </c>
      <c r="Q8653">
        <v>1.7708630069567799</v>
      </c>
      <c r="R8653">
        <v>6.8463150890606999</v>
      </c>
      <c r="S8653">
        <v>127</v>
      </c>
      <c r="T8653">
        <v>57</v>
      </c>
      <c r="U8653">
        <v>300.50535707598499</v>
      </c>
      <c r="V8653">
        <v>3.9468963042698204E-3</v>
      </c>
      <c r="W8653">
        <v>1197965.2448223799</v>
      </c>
      <c r="X8653" t="s">
        <v>42</v>
      </c>
      <c r="Y8653">
        <f>1-628-847-7788</f>
        <v>-9262</v>
      </c>
    </row>
    <row r="8654" spans="1:25" x14ac:dyDescent="0.35">
      <c r="A8654">
        <v>36.168039882214899</v>
      </c>
      <c r="B8654">
        <v>-121.49091348592</v>
      </c>
      <c r="C8654" t="s">
        <v>29</v>
      </c>
      <c r="D8654">
        <v>27.502529727258398</v>
      </c>
      <c r="E8654">
        <v>5</v>
      </c>
      <c r="F8654">
        <v>4029</v>
      </c>
      <c r="G8654">
        <v>1</v>
      </c>
      <c r="H8654">
        <v>2</v>
      </c>
      <c r="I8654">
        <v>2016</v>
      </c>
      <c r="J8654">
        <v>0</v>
      </c>
      <c r="K8654">
        <v>1</v>
      </c>
      <c r="L8654">
        <v>1</v>
      </c>
      <c r="M8654">
        <v>6</v>
      </c>
      <c r="N8654" t="s">
        <v>41</v>
      </c>
      <c r="O8654" t="s">
        <v>27</v>
      </c>
      <c r="P8654">
        <v>2.4724093782363799</v>
      </c>
      <c r="Q8654">
        <v>1.0991422580219301</v>
      </c>
      <c r="R8654">
        <v>6.9745660576117601</v>
      </c>
      <c r="S8654">
        <v>13</v>
      </c>
      <c r="T8654">
        <v>30</v>
      </c>
      <c r="U8654">
        <v>835.88496827338702</v>
      </c>
      <c r="V8654">
        <v>1.4892032762472E-3</v>
      </c>
      <c r="W8654">
        <v>3584654.5040922998</v>
      </c>
      <c r="X8654" t="s">
        <v>39</v>
      </c>
      <c r="Y8654">
        <f>1-939-985-2891</f>
        <v>-4814</v>
      </c>
    </row>
    <row r="8655" spans="1:25" x14ac:dyDescent="0.35">
      <c r="A8655">
        <v>38.236435490343702</v>
      </c>
      <c r="B8655">
        <v>-119.19508774785299</v>
      </c>
      <c r="C8655" t="s">
        <v>25</v>
      </c>
      <c r="D8655">
        <v>30.0448340744523</v>
      </c>
      <c r="E8655">
        <v>9</v>
      </c>
      <c r="F8655">
        <v>3072</v>
      </c>
      <c r="G8655">
        <v>3</v>
      </c>
      <c r="H8655">
        <v>1</v>
      </c>
      <c r="I8655">
        <v>1970</v>
      </c>
      <c r="J8655">
        <v>1</v>
      </c>
      <c r="K8655">
        <v>1</v>
      </c>
      <c r="L8655">
        <v>1</v>
      </c>
      <c r="M8655">
        <v>2</v>
      </c>
      <c r="N8655" t="s">
        <v>26</v>
      </c>
      <c r="O8655" t="s">
        <v>30</v>
      </c>
      <c r="P8655">
        <v>8.4497121883714907</v>
      </c>
      <c r="Q8655">
        <v>1.38888450696688</v>
      </c>
      <c r="R8655">
        <v>0.84357803427266398</v>
      </c>
      <c r="S8655">
        <v>37</v>
      </c>
      <c r="T8655">
        <v>20</v>
      </c>
      <c r="U8655">
        <v>958.18162144355597</v>
      </c>
      <c r="V8655">
        <v>6.5104166666666598E-4</v>
      </c>
      <c r="W8655">
        <v>3293890.6258642501</v>
      </c>
      <c r="X8655" t="s">
        <v>36</v>
      </c>
      <c r="Y8655">
        <f>1-375-241-8391</f>
        <v>-9006</v>
      </c>
    </row>
    <row r="8656" spans="1:25" x14ac:dyDescent="0.35">
      <c r="A8656">
        <v>35.2497687523664</v>
      </c>
      <c r="B8656">
        <v>-118.101826244349</v>
      </c>
      <c r="C8656" t="s">
        <v>29</v>
      </c>
      <c r="D8656">
        <v>36.361994307407798</v>
      </c>
      <c r="E8656">
        <v>1</v>
      </c>
      <c r="F8656">
        <v>3587</v>
      </c>
      <c r="G8656">
        <v>2</v>
      </c>
      <c r="H8656">
        <v>1</v>
      </c>
      <c r="I8656">
        <v>1971</v>
      </c>
      <c r="J8656">
        <v>0</v>
      </c>
      <c r="K8656">
        <v>0</v>
      </c>
      <c r="L8656">
        <v>0</v>
      </c>
      <c r="M8656">
        <v>5</v>
      </c>
      <c r="N8656" t="s">
        <v>37</v>
      </c>
      <c r="O8656" t="s">
        <v>30</v>
      </c>
      <c r="P8656">
        <v>10.400106936954799</v>
      </c>
      <c r="Q8656">
        <v>1.90621521740699</v>
      </c>
      <c r="R8656">
        <v>4.2604606233381599</v>
      </c>
      <c r="S8656">
        <v>165</v>
      </c>
      <c r="T8656">
        <v>48</v>
      </c>
      <c r="U8656">
        <v>309.03123076451999</v>
      </c>
      <c r="V8656">
        <v>1.3939224979091099E-3</v>
      </c>
      <c r="W8656">
        <v>1193527.9470890099</v>
      </c>
      <c r="X8656" t="s">
        <v>36</v>
      </c>
      <c r="Y8656">
        <f>1-466-350-9879</f>
        <v>-10694</v>
      </c>
    </row>
    <row r="8657" spans="1:25" x14ac:dyDescent="0.35">
      <c r="A8657">
        <v>32.6422525131794</v>
      </c>
      <c r="B8657">
        <v>-123.88778263112</v>
      </c>
      <c r="C8657" t="s">
        <v>29</v>
      </c>
      <c r="D8657">
        <v>12.919749414557</v>
      </c>
      <c r="E8657">
        <v>0</v>
      </c>
      <c r="F8657">
        <v>3375</v>
      </c>
      <c r="G8657">
        <v>2</v>
      </c>
      <c r="H8657">
        <v>1</v>
      </c>
      <c r="I8657">
        <v>1994</v>
      </c>
      <c r="J8657">
        <v>0</v>
      </c>
      <c r="K8657">
        <v>0</v>
      </c>
      <c r="L8657">
        <v>0</v>
      </c>
      <c r="M8657">
        <v>6</v>
      </c>
      <c r="N8657" t="s">
        <v>35</v>
      </c>
      <c r="O8657" t="s">
        <v>30</v>
      </c>
      <c r="P8657">
        <v>12.537429871787401</v>
      </c>
      <c r="Q8657">
        <v>1.03242231917578</v>
      </c>
      <c r="R8657">
        <v>5.3257619488465098</v>
      </c>
      <c r="S8657">
        <v>21</v>
      </c>
      <c r="T8657">
        <v>70</v>
      </c>
      <c r="U8657">
        <v>442.84949028400899</v>
      </c>
      <c r="V8657">
        <v>1.7777777777777701E-3</v>
      </c>
      <c r="W8657">
        <v>1665615.01558602</v>
      </c>
      <c r="X8657" t="s">
        <v>31</v>
      </c>
      <c r="Y8657">
        <f>1-273-576-2548</f>
        <v>-3396</v>
      </c>
    </row>
    <row r="8658" spans="1:25" x14ac:dyDescent="0.35">
      <c r="A8658">
        <v>33.292310330188002</v>
      </c>
      <c r="B8658">
        <v>-115.140275637022</v>
      </c>
      <c r="C8658" t="s">
        <v>29</v>
      </c>
      <c r="D8658">
        <v>39.335339111878802</v>
      </c>
      <c r="E8658">
        <v>5</v>
      </c>
      <c r="F8658">
        <v>4989</v>
      </c>
      <c r="G8658">
        <v>4</v>
      </c>
      <c r="H8658">
        <v>2</v>
      </c>
      <c r="I8658">
        <v>1956</v>
      </c>
      <c r="J8658">
        <v>1</v>
      </c>
      <c r="K8658">
        <v>0</v>
      </c>
      <c r="L8658">
        <v>1</v>
      </c>
      <c r="M8658">
        <v>11</v>
      </c>
      <c r="N8658" t="s">
        <v>26</v>
      </c>
      <c r="O8658" t="s">
        <v>32</v>
      </c>
      <c r="P8658">
        <v>3.9974129699091199</v>
      </c>
      <c r="Q8658">
        <v>0.68014035853627797</v>
      </c>
      <c r="R8658">
        <v>2.0522726044525901</v>
      </c>
      <c r="S8658">
        <v>154</v>
      </c>
      <c r="T8658">
        <v>70</v>
      </c>
      <c r="U8658">
        <v>877.98542205233002</v>
      </c>
      <c r="V8658">
        <v>2.2048506714772501E-3</v>
      </c>
      <c r="W8658">
        <v>4639254.7894694097</v>
      </c>
      <c r="X8658" t="s">
        <v>33</v>
      </c>
      <c r="Y8658">
        <f>1-449-557-9235</f>
        <v>-10240</v>
      </c>
    </row>
    <row r="8659" spans="1:25" x14ac:dyDescent="0.35">
      <c r="A8659">
        <v>38.433012049827099</v>
      </c>
      <c r="B8659">
        <v>-115.60789429541499</v>
      </c>
      <c r="C8659" t="s">
        <v>29</v>
      </c>
      <c r="D8659">
        <v>40.500262840687903</v>
      </c>
      <c r="E8659">
        <v>8</v>
      </c>
      <c r="F8659">
        <v>4082</v>
      </c>
      <c r="G8659">
        <v>1</v>
      </c>
      <c r="H8659">
        <v>1</v>
      </c>
      <c r="I8659">
        <v>1976</v>
      </c>
      <c r="J8659">
        <v>1</v>
      </c>
      <c r="K8659">
        <v>0</v>
      </c>
      <c r="L8659">
        <v>1</v>
      </c>
      <c r="M8659">
        <v>13</v>
      </c>
      <c r="N8659" t="s">
        <v>26</v>
      </c>
      <c r="O8659" t="s">
        <v>27</v>
      </c>
      <c r="P8659">
        <v>14.2651939731289</v>
      </c>
      <c r="Q8659">
        <v>0.62557993293660996</v>
      </c>
      <c r="R8659">
        <v>2.7611587180664801E-3</v>
      </c>
      <c r="S8659">
        <v>69</v>
      </c>
      <c r="T8659">
        <v>48</v>
      </c>
      <c r="U8659">
        <v>252.463711464478</v>
      </c>
      <c r="V8659">
        <v>3.1847133757961698E-3</v>
      </c>
      <c r="W8659">
        <v>1170835.23003157</v>
      </c>
      <c r="X8659" t="s">
        <v>44</v>
      </c>
      <c r="Y8659">
        <f>1-874-788-2847</f>
        <v>-4508</v>
      </c>
    </row>
    <row r="8660" spans="1:25" x14ac:dyDescent="0.35">
      <c r="A8660">
        <v>38.025890302994704</v>
      </c>
      <c r="B8660">
        <v>-122.159010060301</v>
      </c>
      <c r="C8660" t="s">
        <v>29</v>
      </c>
      <c r="D8660">
        <v>30.3664439971283</v>
      </c>
      <c r="E8660">
        <v>0</v>
      </c>
      <c r="F8660">
        <v>797</v>
      </c>
      <c r="G8660">
        <v>3</v>
      </c>
      <c r="H8660">
        <v>2</v>
      </c>
      <c r="I8660">
        <v>1981</v>
      </c>
      <c r="J8660">
        <v>0</v>
      </c>
      <c r="K8660">
        <v>0</v>
      </c>
      <c r="L8660">
        <v>0</v>
      </c>
      <c r="M8660">
        <v>4</v>
      </c>
      <c r="N8660" t="s">
        <v>37</v>
      </c>
      <c r="O8660" t="s">
        <v>30</v>
      </c>
      <c r="P8660">
        <v>7.8443685735548003</v>
      </c>
      <c r="Q8660">
        <v>0.59591523602580998</v>
      </c>
      <c r="R8660">
        <v>7.2178534228528903</v>
      </c>
      <c r="S8660">
        <v>124</v>
      </c>
      <c r="T8660">
        <v>26</v>
      </c>
      <c r="U8660">
        <v>586.98887756210195</v>
      </c>
      <c r="V8660">
        <v>5.0188205771643599E-3</v>
      </c>
      <c r="W8660">
        <v>578981.89121737902</v>
      </c>
      <c r="X8660" t="s">
        <v>33</v>
      </c>
      <c r="Y8660">
        <f>1-812-370-9948</f>
        <v>-11129</v>
      </c>
    </row>
    <row r="8661" spans="1:25" x14ac:dyDescent="0.35">
      <c r="A8661">
        <v>36.205534359911198</v>
      </c>
      <c r="B8661">
        <v>-119.643409328598</v>
      </c>
      <c r="C8661" t="s">
        <v>34</v>
      </c>
      <c r="D8661">
        <v>30.895360111352801</v>
      </c>
      <c r="E8661">
        <v>6</v>
      </c>
      <c r="F8661">
        <v>3861</v>
      </c>
      <c r="G8661">
        <v>4</v>
      </c>
      <c r="H8661">
        <v>2</v>
      </c>
      <c r="I8661">
        <v>1968</v>
      </c>
      <c r="J8661">
        <v>1</v>
      </c>
      <c r="K8661">
        <v>1</v>
      </c>
      <c r="L8661">
        <v>0</v>
      </c>
      <c r="M8661">
        <v>8</v>
      </c>
      <c r="N8661" t="s">
        <v>37</v>
      </c>
      <c r="O8661" t="s">
        <v>32</v>
      </c>
      <c r="P8661">
        <v>6.0923482997857397</v>
      </c>
      <c r="Q8661">
        <v>1.29355499894012</v>
      </c>
      <c r="R8661">
        <v>1.89304680598699</v>
      </c>
      <c r="S8661">
        <v>15</v>
      </c>
      <c r="T8661">
        <v>47</v>
      </c>
      <c r="U8661">
        <v>267.69998343410401</v>
      </c>
      <c r="V8661">
        <v>2.07200207200207E-3</v>
      </c>
      <c r="W8661">
        <v>1458289.2914300701</v>
      </c>
      <c r="X8661" t="s">
        <v>39</v>
      </c>
      <c r="Y8661">
        <f>1-778-680-6523</f>
        <v>-7980</v>
      </c>
    </row>
    <row r="8662" spans="1:25" x14ac:dyDescent="0.35">
      <c r="A8662">
        <v>35.334282094653403</v>
      </c>
      <c r="B8662">
        <v>-116.28606379891799</v>
      </c>
      <c r="C8662" t="s">
        <v>29</v>
      </c>
      <c r="D8662">
        <v>19.372368985042399</v>
      </c>
      <c r="E8662">
        <v>1</v>
      </c>
      <c r="F8662">
        <v>1252</v>
      </c>
      <c r="G8662">
        <v>4</v>
      </c>
      <c r="H8662">
        <v>1</v>
      </c>
      <c r="I8662">
        <v>1962</v>
      </c>
      <c r="J8662">
        <v>0</v>
      </c>
      <c r="K8662">
        <v>0</v>
      </c>
      <c r="L8662">
        <v>0</v>
      </c>
      <c r="M8662">
        <v>10</v>
      </c>
      <c r="N8662" t="s">
        <v>41</v>
      </c>
      <c r="O8662" t="s">
        <v>27</v>
      </c>
      <c r="P8662">
        <v>11.536877042267299</v>
      </c>
      <c r="Q8662">
        <v>2.4335396580441802</v>
      </c>
      <c r="R8662">
        <v>1.3458588587862099</v>
      </c>
      <c r="S8662">
        <v>76</v>
      </c>
      <c r="T8662">
        <v>24</v>
      </c>
      <c r="U8662">
        <v>595.27628305374503</v>
      </c>
      <c r="V8662">
        <v>7.9872204472843395E-3</v>
      </c>
      <c r="W8662">
        <v>948463.55211329705</v>
      </c>
      <c r="X8662" t="s">
        <v>39</v>
      </c>
      <c r="Y8662">
        <f>1-574-669-2182</f>
        <v>-3424</v>
      </c>
    </row>
    <row r="8663" spans="1:25" x14ac:dyDescent="0.35">
      <c r="A8663">
        <v>33.850536271486</v>
      </c>
      <c r="B8663">
        <v>-115.967895614376</v>
      </c>
      <c r="C8663" t="s">
        <v>29</v>
      </c>
      <c r="D8663">
        <v>37.433300986544701</v>
      </c>
      <c r="E8663">
        <v>4</v>
      </c>
      <c r="F8663">
        <v>777</v>
      </c>
      <c r="G8663">
        <v>2</v>
      </c>
      <c r="H8663">
        <v>3</v>
      </c>
      <c r="I8663">
        <v>1950</v>
      </c>
      <c r="J8663">
        <v>0</v>
      </c>
      <c r="K8663">
        <v>1</v>
      </c>
      <c r="L8663">
        <v>1</v>
      </c>
      <c r="M8663">
        <v>11</v>
      </c>
      <c r="N8663" t="s">
        <v>26</v>
      </c>
      <c r="O8663" t="s">
        <v>27</v>
      </c>
      <c r="P8663">
        <v>8.27642176017401</v>
      </c>
      <c r="Q8663">
        <v>1.8033515442118899</v>
      </c>
      <c r="R8663">
        <v>3.5586723708591701</v>
      </c>
      <c r="S8663">
        <v>17</v>
      </c>
      <c r="T8663">
        <v>72</v>
      </c>
      <c r="U8663">
        <v>960.95773207827699</v>
      </c>
      <c r="V8663">
        <v>1.41570141570141E-2</v>
      </c>
      <c r="W8663">
        <v>1022650.62014529</v>
      </c>
      <c r="X8663" t="s">
        <v>42</v>
      </c>
      <c r="Y8663">
        <f>1-948-290-6244</f>
        <v>-7481</v>
      </c>
    </row>
    <row r="8664" spans="1:25" x14ac:dyDescent="0.35">
      <c r="A8664">
        <v>33.848190168229898</v>
      </c>
      <c r="B8664">
        <v>-123.162291182804</v>
      </c>
      <c r="C8664" t="s">
        <v>29</v>
      </c>
      <c r="D8664">
        <v>26.003425026377599</v>
      </c>
      <c r="E8664">
        <v>4</v>
      </c>
      <c r="F8664">
        <v>2682</v>
      </c>
      <c r="G8664">
        <v>5</v>
      </c>
      <c r="H8664">
        <v>1</v>
      </c>
      <c r="I8664">
        <v>1997</v>
      </c>
      <c r="J8664">
        <v>0</v>
      </c>
      <c r="K8664">
        <v>0</v>
      </c>
      <c r="L8664">
        <v>0</v>
      </c>
      <c r="M8664">
        <v>5</v>
      </c>
      <c r="N8664" t="s">
        <v>35</v>
      </c>
      <c r="O8664" t="s">
        <v>27</v>
      </c>
      <c r="P8664">
        <v>13.553281080323901</v>
      </c>
      <c r="Q8664">
        <v>0.951701515483657</v>
      </c>
      <c r="R8664">
        <v>2.4626260138846399</v>
      </c>
      <c r="S8664">
        <v>115</v>
      </c>
      <c r="T8664">
        <v>31</v>
      </c>
      <c r="U8664">
        <v>960.55848785479702</v>
      </c>
      <c r="V8664">
        <v>1.86428038777032E-3</v>
      </c>
      <c r="W8664">
        <v>2994140.1110314801</v>
      </c>
      <c r="X8664" t="s">
        <v>33</v>
      </c>
      <c r="Y8664">
        <f>1-443-304-2613</f>
        <v>-3359</v>
      </c>
    </row>
    <row r="8665" spans="1:25" x14ac:dyDescent="0.35">
      <c r="A8665">
        <v>39.336970016666697</v>
      </c>
      <c r="B8665">
        <v>-115.10849182026</v>
      </c>
      <c r="C8665" t="s">
        <v>29</v>
      </c>
      <c r="D8665">
        <v>5.42858876143716</v>
      </c>
      <c r="E8665">
        <v>2</v>
      </c>
      <c r="F8665">
        <v>1350</v>
      </c>
      <c r="G8665">
        <v>2</v>
      </c>
      <c r="H8665">
        <v>3</v>
      </c>
      <c r="I8665">
        <v>1980</v>
      </c>
      <c r="J8665">
        <v>0</v>
      </c>
      <c r="K8665">
        <v>1</v>
      </c>
      <c r="L8665">
        <v>1</v>
      </c>
      <c r="M8665">
        <v>5</v>
      </c>
      <c r="N8665" t="s">
        <v>26</v>
      </c>
      <c r="O8665" t="s">
        <v>32</v>
      </c>
      <c r="P8665">
        <v>10.169563076331499</v>
      </c>
      <c r="Q8665">
        <v>1.0777692927147799</v>
      </c>
      <c r="R8665">
        <v>8.8705361351369501</v>
      </c>
      <c r="S8665">
        <v>156</v>
      </c>
      <c r="T8665">
        <v>65</v>
      </c>
      <c r="U8665">
        <v>753.31186622799203</v>
      </c>
      <c r="V8665">
        <v>3.7037037037036999E-3</v>
      </c>
      <c r="W8665">
        <v>1300965.2420582799</v>
      </c>
      <c r="X8665" t="s">
        <v>33</v>
      </c>
      <c r="Y8665">
        <f>1-590-547-6814</f>
        <v>-7950</v>
      </c>
    </row>
    <row r="8666" spans="1:25" x14ac:dyDescent="0.35">
      <c r="A8666">
        <v>40.347898083407301</v>
      </c>
      <c r="B8666">
        <v>-121.910066370927</v>
      </c>
      <c r="C8666" t="s">
        <v>34</v>
      </c>
      <c r="D8666">
        <v>9.7115280202954608</v>
      </c>
      <c r="E8666">
        <v>0</v>
      </c>
      <c r="F8666">
        <v>1219</v>
      </c>
      <c r="G8666">
        <v>2</v>
      </c>
      <c r="H8666">
        <v>3</v>
      </c>
      <c r="I8666">
        <v>1955</v>
      </c>
      <c r="J8666">
        <v>0</v>
      </c>
      <c r="K8666">
        <v>0</v>
      </c>
      <c r="L8666">
        <v>1</v>
      </c>
      <c r="M8666">
        <v>6</v>
      </c>
      <c r="N8666" t="s">
        <v>26</v>
      </c>
      <c r="O8666" t="s">
        <v>32</v>
      </c>
      <c r="P8666">
        <v>8.0294206662861907</v>
      </c>
      <c r="Q8666">
        <v>0.60344284173482399</v>
      </c>
      <c r="R8666">
        <v>1.126344871308</v>
      </c>
      <c r="S8666">
        <v>27</v>
      </c>
      <c r="T8666">
        <v>58</v>
      </c>
      <c r="U8666">
        <v>644.48688851523195</v>
      </c>
      <c r="V8666">
        <v>4.9220672682526601E-3</v>
      </c>
      <c r="W8666">
        <v>947293.71088666096</v>
      </c>
      <c r="X8666" t="s">
        <v>43</v>
      </c>
      <c r="Y8666">
        <f>1-742-729-7443</f>
        <v>-8913</v>
      </c>
    </row>
    <row r="8667" spans="1:25" x14ac:dyDescent="0.35">
      <c r="A8667">
        <v>37.242881634272401</v>
      </c>
      <c r="B8667">
        <v>-114.890123689818</v>
      </c>
      <c r="C8667" t="s">
        <v>29</v>
      </c>
      <c r="D8667">
        <v>12.4853589128297</v>
      </c>
      <c r="E8667">
        <v>8</v>
      </c>
      <c r="F8667">
        <v>2906</v>
      </c>
      <c r="G8667">
        <v>3</v>
      </c>
      <c r="H8667">
        <v>3</v>
      </c>
      <c r="I8667">
        <v>1962</v>
      </c>
      <c r="J8667">
        <v>1</v>
      </c>
      <c r="K8667">
        <v>1</v>
      </c>
      <c r="L8667">
        <v>1</v>
      </c>
      <c r="M8667">
        <v>2</v>
      </c>
      <c r="N8667" t="s">
        <v>26</v>
      </c>
      <c r="O8667" t="s">
        <v>30</v>
      </c>
      <c r="P8667">
        <v>4.2510956117206904</v>
      </c>
      <c r="Q8667">
        <v>2.38766258290114</v>
      </c>
      <c r="R8667">
        <v>8.0054202311176095</v>
      </c>
      <c r="S8667">
        <v>194</v>
      </c>
      <c r="T8667">
        <v>49</v>
      </c>
      <c r="U8667">
        <v>254.94746446350999</v>
      </c>
      <c r="V8667">
        <v>6.8823124569855404E-4</v>
      </c>
      <c r="W8667">
        <v>1050667.4491382199</v>
      </c>
      <c r="X8667" t="s">
        <v>38</v>
      </c>
      <c r="Y8667">
        <f>1-328-192-2107</f>
        <v>-2626</v>
      </c>
    </row>
    <row r="8668" spans="1:25" x14ac:dyDescent="0.35">
      <c r="A8668">
        <v>38.962230793969503</v>
      </c>
      <c r="B8668">
        <v>-117.64233038142299</v>
      </c>
      <c r="C8668" t="s">
        <v>25</v>
      </c>
      <c r="D8668">
        <v>41.081442492139097</v>
      </c>
      <c r="E8668">
        <v>5</v>
      </c>
      <c r="F8668">
        <v>2805</v>
      </c>
      <c r="G8668">
        <v>1</v>
      </c>
      <c r="H8668">
        <v>3</v>
      </c>
      <c r="I8668">
        <v>1969</v>
      </c>
      <c r="J8668">
        <v>1</v>
      </c>
      <c r="K8668">
        <v>0</v>
      </c>
      <c r="L8668">
        <v>1</v>
      </c>
      <c r="M8668">
        <v>13</v>
      </c>
      <c r="N8668" t="s">
        <v>37</v>
      </c>
      <c r="O8668" t="s">
        <v>30</v>
      </c>
      <c r="P8668">
        <v>4.9287556513462398</v>
      </c>
      <c r="Q8668">
        <v>2.0333521979596498</v>
      </c>
      <c r="R8668">
        <v>5.0244979411152704</v>
      </c>
      <c r="S8668">
        <v>196</v>
      </c>
      <c r="T8668">
        <v>44</v>
      </c>
      <c r="U8668">
        <v>739.63172071029601</v>
      </c>
      <c r="V8668">
        <v>4.6345811051693398E-3</v>
      </c>
      <c r="W8668">
        <v>2241827.7610542099</v>
      </c>
      <c r="X8668" t="s">
        <v>33</v>
      </c>
      <c r="Y8668">
        <f>1-398-812-7649</f>
        <v>-8858</v>
      </c>
    </row>
    <row r="8669" spans="1:25" x14ac:dyDescent="0.35">
      <c r="A8669">
        <v>37.442733697905297</v>
      </c>
      <c r="B8669">
        <v>-117.12844375464501</v>
      </c>
      <c r="C8669" t="s">
        <v>34</v>
      </c>
      <c r="D8669">
        <v>27.542430297880902</v>
      </c>
      <c r="E8669">
        <v>2</v>
      </c>
      <c r="F8669">
        <v>756</v>
      </c>
      <c r="G8669">
        <v>3</v>
      </c>
      <c r="H8669">
        <v>3</v>
      </c>
      <c r="I8669">
        <v>1950</v>
      </c>
      <c r="J8669">
        <v>0</v>
      </c>
      <c r="K8669">
        <v>1</v>
      </c>
      <c r="L8669">
        <v>1</v>
      </c>
      <c r="M8669">
        <v>5</v>
      </c>
      <c r="N8669" t="s">
        <v>26</v>
      </c>
      <c r="O8669" t="s">
        <v>27</v>
      </c>
      <c r="P8669">
        <v>4.2422587372959102</v>
      </c>
      <c r="Q8669">
        <v>1.57574607489789</v>
      </c>
      <c r="R8669">
        <v>2.2406407536188202</v>
      </c>
      <c r="S8669">
        <v>104</v>
      </c>
      <c r="T8669">
        <v>23</v>
      </c>
      <c r="U8669">
        <v>821.43302680331897</v>
      </c>
      <c r="V8669">
        <v>6.6137566137566099E-3</v>
      </c>
      <c r="W8669">
        <v>848691.44731351</v>
      </c>
      <c r="X8669" t="s">
        <v>38</v>
      </c>
      <c r="Y8669">
        <f>1-344-696-1435</f>
        <v>-2474</v>
      </c>
    </row>
    <row r="8670" spans="1:25" x14ac:dyDescent="0.35">
      <c r="A8670">
        <v>41.162926084727196</v>
      </c>
      <c r="B8670">
        <v>-121.286357996859</v>
      </c>
      <c r="C8670" t="s">
        <v>29</v>
      </c>
      <c r="D8670">
        <v>33.208376442397501</v>
      </c>
      <c r="E8670">
        <v>8</v>
      </c>
      <c r="F8670">
        <v>4139</v>
      </c>
      <c r="G8670">
        <v>1</v>
      </c>
      <c r="H8670">
        <v>3</v>
      </c>
      <c r="I8670">
        <v>1962</v>
      </c>
      <c r="J8670">
        <v>1</v>
      </c>
      <c r="K8670">
        <v>1</v>
      </c>
      <c r="L8670">
        <v>0</v>
      </c>
      <c r="M8670">
        <v>9</v>
      </c>
      <c r="N8670" t="s">
        <v>37</v>
      </c>
      <c r="O8670" t="s">
        <v>30</v>
      </c>
      <c r="P8670">
        <v>7.0093625956833003</v>
      </c>
      <c r="Q8670">
        <v>0.757283114712337</v>
      </c>
      <c r="R8670">
        <v>4.7831746216302697</v>
      </c>
      <c r="S8670">
        <v>66</v>
      </c>
      <c r="T8670">
        <v>25</v>
      </c>
      <c r="U8670">
        <v>468.16747546941701</v>
      </c>
      <c r="V8670">
        <v>2.1744382701135499E-3</v>
      </c>
      <c r="W8670">
        <v>2162923.6631229599</v>
      </c>
      <c r="X8670" t="s">
        <v>36</v>
      </c>
      <c r="Y8670">
        <f>1-331-575-8405</f>
        <v>-9310</v>
      </c>
    </row>
    <row r="8671" spans="1:25" x14ac:dyDescent="0.35">
      <c r="A8671">
        <v>38.377170143077997</v>
      </c>
      <c r="B8671">
        <v>-117.716843338267</v>
      </c>
      <c r="C8671" t="s">
        <v>29</v>
      </c>
      <c r="D8671">
        <v>34.6411761988088</v>
      </c>
      <c r="E8671">
        <v>6</v>
      </c>
      <c r="F8671">
        <v>2606</v>
      </c>
      <c r="G8671">
        <v>2</v>
      </c>
      <c r="H8671">
        <v>1</v>
      </c>
      <c r="I8671">
        <v>1978</v>
      </c>
      <c r="J8671">
        <v>1</v>
      </c>
      <c r="K8671">
        <v>0</v>
      </c>
      <c r="L8671">
        <v>1</v>
      </c>
      <c r="M8671">
        <v>7</v>
      </c>
      <c r="N8671" t="s">
        <v>37</v>
      </c>
      <c r="O8671" t="s">
        <v>32</v>
      </c>
      <c r="P8671">
        <v>14.376833539495101</v>
      </c>
      <c r="Q8671">
        <v>0.778167342559829</v>
      </c>
      <c r="R8671">
        <v>5.3837367228325599</v>
      </c>
      <c r="S8671">
        <v>179</v>
      </c>
      <c r="T8671">
        <v>71</v>
      </c>
      <c r="U8671">
        <v>814.70915146950301</v>
      </c>
      <c r="V8671">
        <v>2.6861089792785801E-3</v>
      </c>
      <c r="W8671">
        <v>2294627.3598474502</v>
      </c>
      <c r="X8671" t="s">
        <v>38</v>
      </c>
      <c r="Y8671">
        <f>1-953-718-4289</f>
        <v>-5959</v>
      </c>
    </row>
    <row r="8672" spans="1:25" x14ac:dyDescent="0.35">
      <c r="A8672">
        <v>41.2970528371957</v>
      </c>
      <c r="B8672">
        <v>-117.55937824345099</v>
      </c>
      <c r="C8672" t="s">
        <v>34</v>
      </c>
      <c r="D8672">
        <v>17.183822013278501</v>
      </c>
      <c r="E8672">
        <v>7</v>
      </c>
      <c r="F8672">
        <v>3438</v>
      </c>
      <c r="G8672">
        <v>4</v>
      </c>
      <c r="H8672">
        <v>2</v>
      </c>
      <c r="I8672">
        <v>1977</v>
      </c>
      <c r="J8672">
        <v>1</v>
      </c>
      <c r="K8672">
        <v>0</v>
      </c>
      <c r="L8672">
        <v>1</v>
      </c>
      <c r="M8672">
        <v>4</v>
      </c>
      <c r="N8672" t="s">
        <v>35</v>
      </c>
      <c r="O8672" t="s">
        <v>30</v>
      </c>
      <c r="P8672">
        <v>2.9832283906528301</v>
      </c>
      <c r="Q8672">
        <v>1.6610833481938601</v>
      </c>
      <c r="R8672">
        <v>7.8404119642299497</v>
      </c>
      <c r="S8672">
        <v>66</v>
      </c>
      <c r="T8672">
        <v>47</v>
      </c>
      <c r="U8672">
        <v>562.88712852416097</v>
      </c>
      <c r="V8672">
        <v>1.1634671320535099E-3</v>
      </c>
      <c r="W8672">
        <v>2161114.7891807202</v>
      </c>
      <c r="X8672" t="s">
        <v>42</v>
      </c>
      <c r="Y8672">
        <f>1-884-373-6178</f>
        <v>-7434</v>
      </c>
    </row>
    <row r="8673" spans="1:25" x14ac:dyDescent="0.35">
      <c r="A8673">
        <v>33.998572314739803</v>
      </c>
      <c r="B8673">
        <v>-120.836171779789</v>
      </c>
      <c r="C8673" t="s">
        <v>25</v>
      </c>
      <c r="D8673">
        <v>37.047762157830597</v>
      </c>
      <c r="E8673">
        <v>9</v>
      </c>
      <c r="F8673">
        <v>3639</v>
      </c>
      <c r="G8673">
        <v>5</v>
      </c>
      <c r="H8673">
        <v>3</v>
      </c>
      <c r="I8673">
        <v>1969</v>
      </c>
      <c r="J8673">
        <v>0</v>
      </c>
      <c r="K8673">
        <v>1</v>
      </c>
      <c r="L8673">
        <v>1</v>
      </c>
      <c r="M8673">
        <v>6</v>
      </c>
      <c r="N8673" t="s">
        <v>35</v>
      </c>
      <c r="O8673" t="s">
        <v>27</v>
      </c>
      <c r="P8673">
        <v>4.2066533544855798</v>
      </c>
      <c r="Q8673">
        <v>2.1935359322512298</v>
      </c>
      <c r="R8673">
        <v>3.43372249683495</v>
      </c>
      <c r="S8673">
        <v>3</v>
      </c>
      <c r="T8673">
        <v>67</v>
      </c>
      <c r="U8673">
        <v>644.69548810895003</v>
      </c>
      <c r="V8673">
        <v>1.6488046166529199E-3</v>
      </c>
      <c r="W8673">
        <v>2778481.33889195</v>
      </c>
      <c r="X8673" t="s">
        <v>43</v>
      </c>
      <c r="Y8673">
        <f>1-969-699-7229</f>
        <v>-8896</v>
      </c>
    </row>
    <row r="8674" spans="1:25" x14ac:dyDescent="0.35">
      <c r="A8674">
        <v>39.951390441589801</v>
      </c>
      <c r="B8674">
        <v>-114.532779106386</v>
      </c>
      <c r="C8674" t="s">
        <v>25</v>
      </c>
      <c r="D8674">
        <v>2.9753992793566302</v>
      </c>
      <c r="E8674">
        <v>4</v>
      </c>
      <c r="F8674">
        <v>1076</v>
      </c>
      <c r="G8674">
        <v>1</v>
      </c>
      <c r="H8674">
        <v>1</v>
      </c>
      <c r="I8674">
        <v>2008</v>
      </c>
      <c r="J8674">
        <v>0</v>
      </c>
      <c r="K8674">
        <v>1</v>
      </c>
      <c r="L8674">
        <v>0</v>
      </c>
      <c r="M8674">
        <v>5</v>
      </c>
      <c r="N8674" t="s">
        <v>35</v>
      </c>
      <c r="O8674" t="s">
        <v>32</v>
      </c>
      <c r="P8674">
        <v>12.7905314067593</v>
      </c>
      <c r="Q8674">
        <v>1.75204222705724</v>
      </c>
      <c r="R8674">
        <v>8.5368200141306296</v>
      </c>
      <c r="S8674">
        <v>181</v>
      </c>
      <c r="T8674">
        <v>20</v>
      </c>
      <c r="U8674">
        <v>348.13397948420197</v>
      </c>
      <c r="V8674">
        <v>4.6468401486988798E-3</v>
      </c>
      <c r="W8674">
        <v>583558.48712743202</v>
      </c>
      <c r="X8674" t="s">
        <v>39</v>
      </c>
      <c r="Y8674">
        <f>1-910-609-4176</f>
        <v>-5694</v>
      </c>
    </row>
    <row r="8675" spans="1:25" x14ac:dyDescent="0.35">
      <c r="A8675">
        <v>39.606525439777997</v>
      </c>
      <c r="B8675">
        <v>-122.289457027541</v>
      </c>
      <c r="C8675" t="s">
        <v>25</v>
      </c>
      <c r="D8675">
        <v>8.9650263141078899</v>
      </c>
      <c r="E8675">
        <v>2</v>
      </c>
      <c r="F8675">
        <v>4026</v>
      </c>
      <c r="G8675">
        <v>2</v>
      </c>
      <c r="H8675">
        <v>2</v>
      </c>
      <c r="I8675">
        <v>1972</v>
      </c>
      <c r="J8675">
        <v>0</v>
      </c>
      <c r="K8675">
        <v>0</v>
      </c>
      <c r="L8675">
        <v>0</v>
      </c>
      <c r="M8675">
        <v>13</v>
      </c>
      <c r="N8675" t="s">
        <v>41</v>
      </c>
      <c r="O8675" t="s">
        <v>32</v>
      </c>
      <c r="P8675">
        <v>10.468569225515299</v>
      </c>
      <c r="Q8675">
        <v>1.5157154254045</v>
      </c>
      <c r="R8675">
        <v>6.1270849239909504</v>
      </c>
      <c r="S8675">
        <v>84</v>
      </c>
      <c r="T8675">
        <v>78</v>
      </c>
      <c r="U8675">
        <v>680.51385674855396</v>
      </c>
      <c r="V8675">
        <v>3.2290114257327298E-3</v>
      </c>
      <c r="W8675">
        <v>2881424.3008789201</v>
      </c>
      <c r="X8675" t="s">
        <v>43</v>
      </c>
      <c r="Y8675">
        <f>1-400-144-7582</f>
        <v>-8125</v>
      </c>
    </row>
    <row r="8676" spans="1:25" x14ac:dyDescent="0.35">
      <c r="A8676">
        <v>40.861306722484102</v>
      </c>
      <c r="B8676">
        <v>-118.8925914693</v>
      </c>
      <c r="C8676" t="s">
        <v>34</v>
      </c>
      <c r="D8676">
        <v>28.108072944909299</v>
      </c>
      <c r="E8676">
        <v>3</v>
      </c>
      <c r="F8676">
        <v>4807</v>
      </c>
      <c r="G8676">
        <v>5</v>
      </c>
      <c r="H8676">
        <v>3</v>
      </c>
      <c r="I8676">
        <v>1978</v>
      </c>
      <c r="J8676">
        <v>1</v>
      </c>
      <c r="K8676">
        <v>0</v>
      </c>
      <c r="L8676">
        <v>1</v>
      </c>
      <c r="M8676">
        <v>2</v>
      </c>
      <c r="N8676" t="s">
        <v>26</v>
      </c>
      <c r="O8676" t="s">
        <v>30</v>
      </c>
      <c r="P8676">
        <v>14.1820966006674</v>
      </c>
      <c r="Q8676">
        <v>2.32735200287238</v>
      </c>
      <c r="R8676">
        <v>1.0301351479860601</v>
      </c>
      <c r="S8676">
        <v>37</v>
      </c>
      <c r="T8676">
        <v>31</v>
      </c>
      <c r="U8676">
        <v>834.71969994241999</v>
      </c>
      <c r="V8676">
        <v>4.1605991262741801E-4</v>
      </c>
      <c r="W8676">
        <v>4533579.7542846296</v>
      </c>
      <c r="X8676" t="s">
        <v>40</v>
      </c>
      <c r="Y8676">
        <f>1-606-418-6056</f>
        <v>-7079</v>
      </c>
    </row>
    <row r="8677" spans="1:25" x14ac:dyDescent="0.35">
      <c r="A8677">
        <v>37.661031284029001</v>
      </c>
      <c r="B8677">
        <v>-115.90955503248</v>
      </c>
      <c r="C8677" t="s">
        <v>34</v>
      </c>
      <c r="D8677">
        <v>8.3688331259423006</v>
      </c>
      <c r="E8677">
        <v>3</v>
      </c>
      <c r="F8677">
        <v>3516</v>
      </c>
      <c r="G8677">
        <v>4</v>
      </c>
      <c r="H8677">
        <v>3</v>
      </c>
      <c r="I8677">
        <v>2004</v>
      </c>
      <c r="J8677">
        <v>0</v>
      </c>
      <c r="K8677">
        <v>0</v>
      </c>
      <c r="L8677">
        <v>1</v>
      </c>
      <c r="M8677">
        <v>14</v>
      </c>
      <c r="N8677" t="s">
        <v>37</v>
      </c>
      <c r="O8677" t="s">
        <v>32</v>
      </c>
      <c r="P8677">
        <v>8.5142995205735001</v>
      </c>
      <c r="Q8677">
        <v>1.5594810337571301</v>
      </c>
      <c r="R8677">
        <v>9.4270557375048494</v>
      </c>
      <c r="S8677">
        <v>84</v>
      </c>
      <c r="T8677">
        <v>56</v>
      </c>
      <c r="U8677">
        <v>961.22347886073305</v>
      </c>
      <c r="V8677">
        <v>3.9817974971558499E-3</v>
      </c>
      <c r="W8677">
        <v>3628427.9644688098</v>
      </c>
      <c r="X8677" t="s">
        <v>42</v>
      </c>
      <c r="Y8677">
        <f>1-376-402-9473</f>
        <v>-10250</v>
      </c>
    </row>
    <row r="8678" spans="1:25" x14ac:dyDescent="0.35">
      <c r="A8678">
        <v>37.163440115730403</v>
      </c>
      <c r="B8678">
        <v>-123.683605287616</v>
      </c>
      <c r="C8678" t="s">
        <v>25</v>
      </c>
      <c r="D8678">
        <v>3.6362596314976101</v>
      </c>
      <c r="E8678">
        <v>7</v>
      </c>
      <c r="F8678">
        <v>4408</v>
      </c>
      <c r="G8678">
        <v>4</v>
      </c>
      <c r="H8678">
        <v>3</v>
      </c>
      <c r="I8678">
        <v>2015</v>
      </c>
      <c r="J8678">
        <v>0</v>
      </c>
      <c r="K8678">
        <v>0</v>
      </c>
      <c r="L8678">
        <v>1</v>
      </c>
      <c r="M8678">
        <v>14</v>
      </c>
      <c r="N8678" t="s">
        <v>26</v>
      </c>
      <c r="O8678" t="s">
        <v>27</v>
      </c>
      <c r="P8678">
        <v>8.2541623821260401</v>
      </c>
      <c r="Q8678">
        <v>1.5783568545040501</v>
      </c>
      <c r="R8678">
        <v>6.3670650612335997</v>
      </c>
      <c r="S8678">
        <v>111</v>
      </c>
      <c r="T8678">
        <v>47</v>
      </c>
      <c r="U8678">
        <v>337.68298347311202</v>
      </c>
      <c r="V8678">
        <v>3.1760435571687798E-3</v>
      </c>
      <c r="W8678">
        <v>1847698.3136889499</v>
      </c>
      <c r="X8678" t="s">
        <v>44</v>
      </c>
      <c r="Y8678">
        <f>1-974-617-7452</f>
        <v>-9042</v>
      </c>
    </row>
    <row r="8679" spans="1:25" x14ac:dyDescent="0.35">
      <c r="A8679">
        <v>41.426730797810798</v>
      </c>
      <c r="B8679">
        <v>-119.77056038056</v>
      </c>
      <c r="C8679" t="s">
        <v>25</v>
      </c>
      <c r="D8679">
        <v>33.897337816079499</v>
      </c>
      <c r="E8679">
        <v>8</v>
      </c>
      <c r="F8679">
        <v>563</v>
      </c>
      <c r="G8679">
        <v>2</v>
      </c>
      <c r="H8679">
        <v>3</v>
      </c>
      <c r="I8679">
        <v>1996</v>
      </c>
      <c r="J8679">
        <v>1</v>
      </c>
      <c r="K8679">
        <v>0</v>
      </c>
      <c r="L8679">
        <v>0</v>
      </c>
      <c r="M8679">
        <v>10</v>
      </c>
      <c r="N8679" t="s">
        <v>37</v>
      </c>
      <c r="O8679" t="s">
        <v>32</v>
      </c>
      <c r="P8679">
        <v>9.8543700316058995</v>
      </c>
      <c r="Q8679">
        <v>1.9352413736893801</v>
      </c>
      <c r="R8679">
        <v>9.7190970499680507</v>
      </c>
      <c r="S8679">
        <v>160</v>
      </c>
      <c r="T8679">
        <v>77</v>
      </c>
      <c r="U8679">
        <v>800.31767692711105</v>
      </c>
      <c r="V8679">
        <v>1.77619893428063E-2</v>
      </c>
      <c r="W8679">
        <v>645933.88845254795</v>
      </c>
      <c r="X8679" t="s">
        <v>33</v>
      </c>
      <c r="Y8679">
        <f>1-349-429-9859</f>
        <v>-10636</v>
      </c>
    </row>
    <row r="8680" spans="1:25" x14ac:dyDescent="0.35">
      <c r="A8680">
        <v>33.098167100450702</v>
      </c>
      <c r="B8680">
        <v>-117.315741841145</v>
      </c>
      <c r="C8680" t="s">
        <v>29</v>
      </c>
      <c r="D8680">
        <v>45.744503772799497</v>
      </c>
      <c r="E8680">
        <v>7</v>
      </c>
      <c r="F8680">
        <v>3370</v>
      </c>
      <c r="G8680">
        <v>5</v>
      </c>
      <c r="H8680">
        <v>1</v>
      </c>
      <c r="I8680">
        <v>2006</v>
      </c>
      <c r="J8680">
        <v>0</v>
      </c>
      <c r="K8680">
        <v>1</v>
      </c>
      <c r="L8680">
        <v>0</v>
      </c>
      <c r="M8680">
        <v>6</v>
      </c>
      <c r="N8680" t="s">
        <v>41</v>
      </c>
      <c r="O8680" t="s">
        <v>30</v>
      </c>
      <c r="P8680">
        <v>14.2493419416775</v>
      </c>
      <c r="Q8680">
        <v>1.5183307628865601</v>
      </c>
      <c r="R8680">
        <v>3.1516988489468498</v>
      </c>
      <c r="S8680">
        <v>57</v>
      </c>
      <c r="T8680">
        <v>78</v>
      </c>
      <c r="U8680">
        <v>713.09798296428698</v>
      </c>
      <c r="V8680">
        <v>1.7804154302670601E-3</v>
      </c>
      <c r="W8680">
        <v>2865946.1628410802</v>
      </c>
      <c r="X8680" t="s">
        <v>33</v>
      </c>
      <c r="Y8680">
        <f>1-997-448-6444</f>
        <v>-7888</v>
      </c>
    </row>
    <row r="8681" spans="1:25" x14ac:dyDescent="0.35">
      <c r="A8681">
        <v>37.9862836604404</v>
      </c>
      <c r="B8681">
        <v>-123.87262825191399</v>
      </c>
      <c r="C8681" t="s">
        <v>29</v>
      </c>
      <c r="D8681">
        <v>39.731127356217499</v>
      </c>
      <c r="E8681">
        <v>7</v>
      </c>
      <c r="F8681">
        <v>885</v>
      </c>
      <c r="G8681">
        <v>3</v>
      </c>
      <c r="H8681">
        <v>1</v>
      </c>
      <c r="I8681">
        <v>1990</v>
      </c>
      <c r="J8681">
        <v>0</v>
      </c>
      <c r="K8681">
        <v>1</v>
      </c>
      <c r="L8681">
        <v>1</v>
      </c>
      <c r="M8681">
        <v>11</v>
      </c>
      <c r="N8681" t="s">
        <v>26</v>
      </c>
      <c r="O8681" t="s">
        <v>30</v>
      </c>
      <c r="P8681">
        <v>2.9291098387221899</v>
      </c>
      <c r="Q8681">
        <v>0.85022381798918001</v>
      </c>
      <c r="R8681">
        <v>7.8011937015350998</v>
      </c>
      <c r="S8681">
        <v>57</v>
      </c>
      <c r="T8681">
        <v>24</v>
      </c>
      <c r="U8681">
        <v>362.16499683639199</v>
      </c>
      <c r="V8681">
        <v>1.24293785310734E-2</v>
      </c>
      <c r="W8681">
        <v>467465.33352879598</v>
      </c>
      <c r="X8681" t="s">
        <v>33</v>
      </c>
      <c r="Y8681">
        <f>1-502-410-5815</f>
        <v>-6726</v>
      </c>
    </row>
    <row r="8682" spans="1:25" x14ac:dyDescent="0.35">
      <c r="A8682">
        <v>41.225566332952702</v>
      </c>
      <c r="B8682">
        <v>-115.042818901038</v>
      </c>
      <c r="C8682" t="s">
        <v>29</v>
      </c>
      <c r="D8682">
        <v>40.785839268631797</v>
      </c>
      <c r="E8682">
        <v>9</v>
      </c>
      <c r="F8682">
        <v>2462</v>
      </c>
      <c r="G8682">
        <v>3</v>
      </c>
      <c r="H8682">
        <v>1</v>
      </c>
      <c r="I8682">
        <v>1953</v>
      </c>
      <c r="J8682">
        <v>0</v>
      </c>
      <c r="K8682">
        <v>0</v>
      </c>
      <c r="L8682">
        <v>0</v>
      </c>
      <c r="M8682">
        <v>8</v>
      </c>
      <c r="N8682" t="s">
        <v>41</v>
      </c>
      <c r="O8682" t="s">
        <v>27</v>
      </c>
      <c r="P8682">
        <v>12.9116023390356</v>
      </c>
      <c r="Q8682">
        <v>1.6871818356216299</v>
      </c>
      <c r="R8682">
        <v>3.1981683303543398</v>
      </c>
      <c r="S8682">
        <v>168</v>
      </c>
      <c r="T8682">
        <v>76</v>
      </c>
      <c r="U8682">
        <v>981.15058055508905</v>
      </c>
      <c r="V8682">
        <v>3.24939073923639E-3</v>
      </c>
      <c r="W8682">
        <v>2579197.6562039298</v>
      </c>
      <c r="X8682" t="s">
        <v>31</v>
      </c>
      <c r="Y8682">
        <f>1-888-211-4777</f>
        <v>-5875</v>
      </c>
    </row>
    <row r="8683" spans="1:25" x14ac:dyDescent="0.35">
      <c r="A8683">
        <v>41.414238241059401</v>
      </c>
      <c r="B8683">
        <v>-117.89513977993001</v>
      </c>
      <c r="C8683" t="s">
        <v>25</v>
      </c>
      <c r="D8683">
        <v>21.3082659043836</v>
      </c>
      <c r="E8683">
        <v>9</v>
      </c>
      <c r="F8683">
        <v>3271</v>
      </c>
      <c r="G8683">
        <v>2</v>
      </c>
      <c r="H8683">
        <v>2</v>
      </c>
      <c r="I8683">
        <v>1980</v>
      </c>
      <c r="J8683">
        <v>0</v>
      </c>
      <c r="K8683">
        <v>0</v>
      </c>
      <c r="L8683">
        <v>0</v>
      </c>
      <c r="M8683">
        <v>11</v>
      </c>
      <c r="N8683" t="s">
        <v>41</v>
      </c>
      <c r="O8683" t="s">
        <v>32</v>
      </c>
      <c r="P8683">
        <v>9.4965150566673504</v>
      </c>
      <c r="Q8683">
        <v>1.21155998022065</v>
      </c>
      <c r="R8683">
        <v>8.4535287681738005</v>
      </c>
      <c r="S8683">
        <v>66</v>
      </c>
      <c r="T8683">
        <v>25</v>
      </c>
      <c r="U8683">
        <v>314.05957031115003</v>
      </c>
      <c r="V8683">
        <v>3.3628859675940001E-3</v>
      </c>
      <c r="W8683">
        <v>1154843.26958844</v>
      </c>
      <c r="X8683" t="s">
        <v>43</v>
      </c>
      <c r="Y8683">
        <f>1-707-173-7270</f>
        <v>-8149</v>
      </c>
    </row>
    <row r="8684" spans="1:25" x14ac:dyDescent="0.35">
      <c r="A8684">
        <v>34.562748867212598</v>
      </c>
      <c r="B8684">
        <v>-123.73439080332901</v>
      </c>
      <c r="C8684" t="s">
        <v>29</v>
      </c>
      <c r="D8684">
        <v>35.419364581687397</v>
      </c>
      <c r="E8684">
        <v>2</v>
      </c>
      <c r="F8684">
        <v>1650</v>
      </c>
      <c r="G8684">
        <v>5</v>
      </c>
      <c r="H8684">
        <v>2</v>
      </c>
      <c r="I8684">
        <v>1969</v>
      </c>
      <c r="J8684">
        <v>1</v>
      </c>
      <c r="K8684">
        <v>1</v>
      </c>
      <c r="L8684">
        <v>1</v>
      </c>
      <c r="M8684">
        <v>10</v>
      </c>
      <c r="N8684" t="s">
        <v>35</v>
      </c>
      <c r="O8684" t="s">
        <v>32</v>
      </c>
      <c r="P8684">
        <v>9.7925522461639094</v>
      </c>
      <c r="Q8684">
        <v>1.5623324801766001</v>
      </c>
      <c r="R8684">
        <v>2.85592550832434</v>
      </c>
      <c r="S8684">
        <v>29</v>
      </c>
      <c r="T8684">
        <v>77</v>
      </c>
      <c r="U8684">
        <v>596.85603192840495</v>
      </c>
      <c r="V8684">
        <v>6.0606060606060597E-3</v>
      </c>
      <c r="W8684">
        <v>1476291.1839866301</v>
      </c>
      <c r="X8684" t="s">
        <v>33</v>
      </c>
      <c r="Y8684">
        <f>1-747-227-4030</f>
        <v>-5003</v>
      </c>
    </row>
    <row r="8685" spans="1:25" x14ac:dyDescent="0.35">
      <c r="A8685">
        <v>37.384029052137599</v>
      </c>
      <c r="B8685">
        <v>-121.82621608702701</v>
      </c>
      <c r="C8685" t="s">
        <v>25</v>
      </c>
      <c r="D8685">
        <v>36.812880936975702</v>
      </c>
      <c r="E8685">
        <v>9</v>
      </c>
      <c r="F8685">
        <v>3991</v>
      </c>
      <c r="G8685">
        <v>2</v>
      </c>
      <c r="H8685">
        <v>2</v>
      </c>
      <c r="I8685">
        <v>1973</v>
      </c>
      <c r="J8685">
        <v>0</v>
      </c>
      <c r="K8685">
        <v>1</v>
      </c>
      <c r="L8685">
        <v>0</v>
      </c>
      <c r="M8685">
        <v>11</v>
      </c>
      <c r="N8685" t="s">
        <v>41</v>
      </c>
      <c r="O8685" t="s">
        <v>30</v>
      </c>
      <c r="P8685">
        <v>13.726428044794799</v>
      </c>
      <c r="Q8685">
        <v>0.72398607545619797</v>
      </c>
      <c r="R8685">
        <v>5.7613893739613502</v>
      </c>
      <c r="S8685">
        <v>169</v>
      </c>
      <c r="T8685">
        <v>51</v>
      </c>
      <c r="U8685">
        <v>785.12673543783001</v>
      </c>
      <c r="V8685">
        <v>2.7562014532698498E-3</v>
      </c>
      <c r="W8685">
        <v>3458629.7934492002</v>
      </c>
      <c r="X8685" t="s">
        <v>40</v>
      </c>
      <c r="Y8685">
        <f>1-895-446-7772</f>
        <v>-9112</v>
      </c>
    </row>
    <row r="8686" spans="1:25" x14ac:dyDescent="0.35">
      <c r="A8686">
        <v>39.663928997190602</v>
      </c>
      <c r="B8686">
        <v>-117.17688007901</v>
      </c>
      <c r="C8686" t="s">
        <v>25</v>
      </c>
      <c r="D8686">
        <v>25.1820879729366</v>
      </c>
      <c r="E8686">
        <v>4</v>
      </c>
      <c r="F8686">
        <v>3924</v>
      </c>
      <c r="G8686">
        <v>5</v>
      </c>
      <c r="H8686">
        <v>2</v>
      </c>
      <c r="I8686">
        <v>1976</v>
      </c>
      <c r="J8686">
        <v>1</v>
      </c>
      <c r="K8686">
        <v>0</v>
      </c>
      <c r="L8686">
        <v>1</v>
      </c>
      <c r="M8686">
        <v>8</v>
      </c>
      <c r="N8686" t="s">
        <v>41</v>
      </c>
      <c r="O8686" t="s">
        <v>27</v>
      </c>
      <c r="P8686">
        <v>6.5690217374973603</v>
      </c>
      <c r="Q8686">
        <v>1.4360738315153201</v>
      </c>
      <c r="R8686">
        <v>4.1074921463905101</v>
      </c>
      <c r="S8686">
        <v>127</v>
      </c>
      <c r="T8686">
        <v>42</v>
      </c>
      <c r="U8686">
        <v>484.22919065801898</v>
      </c>
      <c r="V8686">
        <v>2.0387359836901101E-3</v>
      </c>
      <c r="W8686">
        <v>2224514.6214468302</v>
      </c>
      <c r="X8686" t="s">
        <v>43</v>
      </c>
      <c r="Y8686">
        <f>1-543-143-3628</f>
        <v>-4313</v>
      </c>
    </row>
    <row r="8687" spans="1:25" x14ac:dyDescent="0.35">
      <c r="A8687">
        <v>36.598932114655199</v>
      </c>
      <c r="B8687">
        <v>-120.62715415138901</v>
      </c>
      <c r="C8687" t="s">
        <v>25</v>
      </c>
      <c r="D8687">
        <v>18.703757923722499</v>
      </c>
      <c r="E8687">
        <v>9</v>
      </c>
      <c r="F8687">
        <v>2794</v>
      </c>
      <c r="G8687">
        <v>3</v>
      </c>
      <c r="H8687">
        <v>2</v>
      </c>
      <c r="I8687">
        <v>1976</v>
      </c>
      <c r="J8687">
        <v>0</v>
      </c>
      <c r="K8687">
        <v>0</v>
      </c>
      <c r="L8687">
        <v>0</v>
      </c>
      <c r="M8687">
        <v>14</v>
      </c>
      <c r="N8687" t="s">
        <v>26</v>
      </c>
      <c r="O8687" t="s">
        <v>27</v>
      </c>
      <c r="P8687">
        <v>3.7021451603212401</v>
      </c>
      <c r="Q8687">
        <v>2.22276330689709</v>
      </c>
      <c r="R8687">
        <v>0.71173758889712502</v>
      </c>
      <c r="S8687">
        <v>18</v>
      </c>
      <c r="T8687">
        <v>49</v>
      </c>
      <c r="U8687">
        <v>656.18326423654503</v>
      </c>
      <c r="V8687">
        <v>5.0107372942018603E-3</v>
      </c>
      <c r="W8687">
        <v>2029749.6407784401</v>
      </c>
      <c r="X8687" t="s">
        <v>28</v>
      </c>
      <c r="Y8687">
        <f>1-613-963-8829</f>
        <v>-10404</v>
      </c>
    </row>
    <row r="8688" spans="1:25" x14ac:dyDescent="0.35">
      <c r="A8688">
        <v>41.0918204635649</v>
      </c>
      <c r="B8688">
        <v>-118.18626009979199</v>
      </c>
      <c r="C8688" t="s">
        <v>25</v>
      </c>
      <c r="D8688">
        <v>42.402901404412297</v>
      </c>
      <c r="E8688">
        <v>7</v>
      </c>
      <c r="F8688">
        <v>2305</v>
      </c>
      <c r="G8688">
        <v>3</v>
      </c>
      <c r="H8688">
        <v>1</v>
      </c>
      <c r="I8688">
        <v>1970</v>
      </c>
      <c r="J8688">
        <v>0</v>
      </c>
      <c r="K8688">
        <v>1</v>
      </c>
      <c r="L8688">
        <v>0</v>
      </c>
      <c r="M8688">
        <v>10</v>
      </c>
      <c r="N8688" t="s">
        <v>37</v>
      </c>
      <c r="O8688" t="s">
        <v>27</v>
      </c>
      <c r="P8688">
        <v>3.6135113163660102</v>
      </c>
      <c r="Q8688">
        <v>0.80102138351892604</v>
      </c>
      <c r="R8688">
        <v>1.7517205996852701</v>
      </c>
      <c r="S8688">
        <v>182</v>
      </c>
      <c r="T8688">
        <v>26</v>
      </c>
      <c r="U8688">
        <v>295.68593266058298</v>
      </c>
      <c r="V8688">
        <v>4.3383947939262396E-3</v>
      </c>
      <c r="W8688">
        <v>816936.96284947498</v>
      </c>
      <c r="X8688" t="s">
        <v>33</v>
      </c>
      <c r="Y8688">
        <f>1-204-583-4381</f>
        <v>-5167</v>
      </c>
    </row>
    <row r="8689" spans="1:25" x14ac:dyDescent="0.35">
      <c r="A8689">
        <v>40.473763528362099</v>
      </c>
      <c r="B8689">
        <v>-124.121765765992</v>
      </c>
      <c r="C8689" t="s">
        <v>34</v>
      </c>
      <c r="D8689">
        <v>24.696596610521201</v>
      </c>
      <c r="E8689">
        <v>9</v>
      </c>
      <c r="F8689">
        <v>1365</v>
      </c>
      <c r="G8689">
        <v>3</v>
      </c>
      <c r="H8689">
        <v>1</v>
      </c>
      <c r="I8689">
        <v>1981</v>
      </c>
      <c r="J8689">
        <v>1</v>
      </c>
      <c r="K8689">
        <v>1</v>
      </c>
      <c r="L8689">
        <v>0</v>
      </c>
      <c r="M8689">
        <v>4</v>
      </c>
      <c r="N8689" t="s">
        <v>35</v>
      </c>
      <c r="O8689" t="s">
        <v>27</v>
      </c>
      <c r="P8689">
        <v>14.008090316225401</v>
      </c>
      <c r="Q8689">
        <v>0.83231031172966596</v>
      </c>
      <c r="R8689">
        <v>3.4593835658116698</v>
      </c>
      <c r="S8689">
        <v>112</v>
      </c>
      <c r="T8689">
        <v>71</v>
      </c>
      <c r="U8689">
        <v>820.21985154787399</v>
      </c>
      <c r="V8689">
        <v>2.93040293040293E-3</v>
      </c>
      <c r="W8689">
        <v>1491829.14180864</v>
      </c>
      <c r="X8689" t="s">
        <v>33</v>
      </c>
      <c r="Y8689">
        <f>1-651-472-1728</f>
        <v>-2850</v>
      </c>
    </row>
    <row r="8690" spans="1:25" x14ac:dyDescent="0.35">
      <c r="A8690">
        <v>38.357545721368297</v>
      </c>
      <c r="B8690">
        <v>-117.58765632588501</v>
      </c>
      <c r="C8690" t="s">
        <v>29</v>
      </c>
      <c r="D8690">
        <v>9.8373200436427304</v>
      </c>
      <c r="E8690">
        <v>6</v>
      </c>
      <c r="F8690">
        <v>4156</v>
      </c>
      <c r="G8690">
        <v>3</v>
      </c>
      <c r="H8690">
        <v>1</v>
      </c>
      <c r="I8690">
        <v>2002</v>
      </c>
      <c r="J8690">
        <v>0</v>
      </c>
      <c r="K8690">
        <v>1</v>
      </c>
      <c r="L8690">
        <v>0</v>
      </c>
      <c r="M8690">
        <v>7</v>
      </c>
      <c r="N8690" t="s">
        <v>35</v>
      </c>
      <c r="O8690" t="s">
        <v>30</v>
      </c>
      <c r="P8690">
        <v>3.4892200267486002</v>
      </c>
      <c r="Q8690">
        <v>2.4703572837066798</v>
      </c>
      <c r="R8690">
        <v>7.2289937570772898</v>
      </c>
      <c r="S8690">
        <v>39</v>
      </c>
      <c r="T8690">
        <v>44</v>
      </c>
      <c r="U8690">
        <v>267.98981482178903</v>
      </c>
      <c r="V8690">
        <v>1.68431183830606E-3</v>
      </c>
      <c r="W8690">
        <v>1377713.67636682</v>
      </c>
      <c r="X8690" t="s">
        <v>40</v>
      </c>
      <c r="Y8690">
        <f>1-966-354-4888</f>
        <v>-6207</v>
      </c>
    </row>
    <row r="8691" spans="1:25" x14ac:dyDescent="0.35">
      <c r="A8691">
        <v>41.747012687876598</v>
      </c>
      <c r="B8691">
        <v>-121.37979114618101</v>
      </c>
      <c r="C8691" t="s">
        <v>25</v>
      </c>
      <c r="D8691">
        <v>32.666756368458699</v>
      </c>
      <c r="E8691">
        <v>8</v>
      </c>
      <c r="F8691">
        <v>2653</v>
      </c>
      <c r="G8691">
        <v>1</v>
      </c>
      <c r="H8691">
        <v>2</v>
      </c>
      <c r="I8691">
        <v>2005</v>
      </c>
      <c r="J8691">
        <v>1</v>
      </c>
      <c r="K8691">
        <v>0</v>
      </c>
      <c r="L8691">
        <v>0</v>
      </c>
      <c r="M8691">
        <v>9</v>
      </c>
      <c r="N8691" t="s">
        <v>26</v>
      </c>
      <c r="O8691" t="s">
        <v>30</v>
      </c>
      <c r="P8691">
        <v>9.1094398683211093</v>
      </c>
      <c r="Q8691">
        <v>1.43452807577594</v>
      </c>
      <c r="R8691">
        <v>1.58012494184702</v>
      </c>
      <c r="S8691">
        <v>127</v>
      </c>
      <c r="T8691">
        <v>76</v>
      </c>
      <c r="U8691">
        <v>205.48897567051901</v>
      </c>
      <c r="V8691">
        <v>3.3923859781379499E-3</v>
      </c>
      <c r="W8691">
        <v>634899.990847704</v>
      </c>
      <c r="X8691" t="s">
        <v>44</v>
      </c>
      <c r="Y8691">
        <f>1-828-375-4631</f>
        <v>-5833</v>
      </c>
    </row>
    <row r="8692" spans="1:25" x14ac:dyDescent="0.35">
      <c r="A8692">
        <v>33.093616096755298</v>
      </c>
      <c r="B8692">
        <v>-124.023477080825</v>
      </c>
      <c r="C8692" t="s">
        <v>34</v>
      </c>
      <c r="D8692">
        <v>32.103572483356899</v>
      </c>
      <c r="E8692">
        <v>6</v>
      </c>
      <c r="F8692">
        <v>1187</v>
      </c>
      <c r="G8692">
        <v>4</v>
      </c>
      <c r="H8692">
        <v>2</v>
      </c>
      <c r="I8692">
        <v>1964</v>
      </c>
      <c r="J8692">
        <v>1</v>
      </c>
      <c r="K8692">
        <v>1</v>
      </c>
      <c r="L8692">
        <v>0</v>
      </c>
      <c r="M8692">
        <v>11</v>
      </c>
      <c r="N8692" t="s">
        <v>26</v>
      </c>
      <c r="O8692" t="s">
        <v>27</v>
      </c>
      <c r="P8692">
        <v>14.9083301927022</v>
      </c>
      <c r="Q8692">
        <v>0.53040481058669697</v>
      </c>
      <c r="R8692">
        <v>0.94177578093422498</v>
      </c>
      <c r="S8692">
        <v>55</v>
      </c>
      <c r="T8692">
        <v>32</v>
      </c>
      <c r="U8692">
        <v>258.33428002622099</v>
      </c>
      <c r="V8692">
        <v>9.2670598146587999E-3</v>
      </c>
      <c r="W8692">
        <v>747044.98633156403</v>
      </c>
      <c r="X8692" t="s">
        <v>36</v>
      </c>
      <c r="Y8692">
        <f>1-927-414-2871</f>
        <v>-4211</v>
      </c>
    </row>
    <row r="8693" spans="1:25" x14ac:dyDescent="0.35">
      <c r="A8693">
        <v>41.6662051782818</v>
      </c>
      <c r="B8693">
        <v>-120.779998939256</v>
      </c>
      <c r="C8693" t="s">
        <v>29</v>
      </c>
      <c r="D8693">
        <v>23.794507403640299</v>
      </c>
      <c r="E8693">
        <v>2</v>
      </c>
      <c r="F8693">
        <v>3468</v>
      </c>
      <c r="G8693">
        <v>4</v>
      </c>
      <c r="H8693">
        <v>3</v>
      </c>
      <c r="I8693">
        <v>1966</v>
      </c>
      <c r="J8693">
        <v>1</v>
      </c>
      <c r="K8693">
        <v>0</v>
      </c>
      <c r="L8693">
        <v>1</v>
      </c>
      <c r="M8693">
        <v>7</v>
      </c>
      <c r="N8693" t="s">
        <v>37</v>
      </c>
      <c r="O8693" t="s">
        <v>30</v>
      </c>
      <c r="P8693">
        <v>8.4687278918334901</v>
      </c>
      <c r="Q8693">
        <v>1.9070091128456199</v>
      </c>
      <c r="R8693">
        <v>7.2782152329188596</v>
      </c>
      <c r="S8693">
        <v>122</v>
      </c>
      <c r="T8693">
        <v>76</v>
      </c>
      <c r="U8693">
        <v>981.94755804399301</v>
      </c>
      <c r="V8693">
        <v>2.0184544405997601E-3</v>
      </c>
      <c r="W8693">
        <v>3751244.0666353698</v>
      </c>
      <c r="X8693" t="s">
        <v>40</v>
      </c>
      <c r="Y8693">
        <f>1-627-165-3731</f>
        <v>-4522</v>
      </c>
    </row>
    <row r="8694" spans="1:25" x14ac:dyDescent="0.35">
      <c r="A8694">
        <v>38.231108811712602</v>
      </c>
      <c r="B8694">
        <v>-119.688583955395</v>
      </c>
      <c r="C8694" t="s">
        <v>34</v>
      </c>
      <c r="D8694">
        <v>28.046988804953099</v>
      </c>
      <c r="E8694">
        <v>2</v>
      </c>
      <c r="F8694">
        <v>1506</v>
      </c>
      <c r="G8694">
        <v>4</v>
      </c>
      <c r="H8694">
        <v>1</v>
      </c>
      <c r="I8694">
        <v>2004</v>
      </c>
      <c r="J8694">
        <v>0</v>
      </c>
      <c r="K8694">
        <v>0</v>
      </c>
      <c r="L8694">
        <v>1</v>
      </c>
      <c r="M8694">
        <v>4</v>
      </c>
      <c r="N8694" t="s">
        <v>37</v>
      </c>
      <c r="O8694" t="s">
        <v>30</v>
      </c>
      <c r="P8694">
        <v>6.6956553755451003</v>
      </c>
      <c r="Q8694">
        <v>1.01141690274935</v>
      </c>
      <c r="R8694">
        <v>8.1583651912215505</v>
      </c>
      <c r="S8694">
        <v>86</v>
      </c>
      <c r="T8694">
        <v>39</v>
      </c>
      <c r="U8694">
        <v>930.475232217864</v>
      </c>
      <c r="V8694">
        <v>2.6560424966799402E-3</v>
      </c>
      <c r="W8694">
        <v>1616551.46442113</v>
      </c>
      <c r="X8694" t="s">
        <v>39</v>
      </c>
      <c r="Y8694">
        <f>1-615-569-4149</f>
        <v>-5332</v>
      </c>
    </row>
    <row r="8695" spans="1:25" x14ac:dyDescent="0.35">
      <c r="A8695">
        <v>39.958093593547801</v>
      </c>
      <c r="B8695">
        <v>-117.20772519619599</v>
      </c>
      <c r="C8695" t="s">
        <v>25</v>
      </c>
      <c r="D8695">
        <v>18.400935390243401</v>
      </c>
      <c r="E8695">
        <v>0</v>
      </c>
      <c r="F8695">
        <v>991</v>
      </c>
      <c r="G8695">
        <v>1</v>
      </c>
      <c r="H8695">
        <v>1</v>
      </c>
      <c r="I8695">
        <v>1981</v>
      </c>
      <c r="J8695">
        <v>0</v>
      </c>
      <c r="K8695">
        <v>1</v>
      </c>
      <c r="L8695">
        <v>0</v>
      </c>
      <c r="M8695">
        <v>11</v>
      </c>
      <c r="N8695" t="s">
        <v>35</v>
      </c>
      <c r="O8695" t="s">
        <v>32</v>
      </c>
      <c r="P8695">
        <v>3.0789799160943798</v>
      </c>
      <c r="Q8695">
        <v>1.8809493766765499</v>
      </c>
      <c r="R8695">
        <v>9.1718370480867701</v>
      </c>
      <c r="S8695">
        <v>31</v>
      </c>
      <c r="T8695">
        <v>57</v>
      </c>
      <c r="U8695">
        <v>567.12813313010201</v>
      </c>
      <c r="V8695">
        <v>1.1099899091826401E-2</v>
      </c>
      <c r="W8695">
        <v>641954.10175162205</v>
      </c>
      <c r="X8695" t="s">
        <v>44</v>
      </c>
      <c r="Y8695">
        <f>1-751-877-5572</f>
        <v>-7199</v>
      </c>
    </row>
    <row r="8696" spans="1:25" x14ac:dyDescent="0.35">
      <c r="A8696">
        <v>35.089691537906901</v>
      </c>
      <c r="B8696">
        <v>-114.96611075913199</v>
      </c>
      <c r="C8696" t="s">
        <v>34</v>
      </c>
      <c r="D8696">
        <v>17.665778593354101</v>
      </c>
      <c r="E8696">
        <v>8</v>
      </c>
      <c r="F8696">
        <v>3063</v>
      </c>
      <c r="G8696">
        <v>4</v>
      </c>
      <c r="H8696">
        <v>2</v>
      </c>
      <c r="I8696">
        <v>2019</v>
      </c>
      <c r="J8696">
        <v>1</v>
      </c>
      <c r="K8696">
        <v>0</v>
      </c>
      <c r="L8696">
        <v>1</v>
      </c>
      <c r="M8696">
        <v>2</v>
      </c>
      <c r="N8696" t="s">
        <v>26</v>
      </c>
      <c r="O8696" t="s">
        <v>27</v>
      </c>
      <c r="P8696">
        <v>9.2054379735173395</v>
      </c>
      <c r="Q8696">
        <v>1.6962502429614099</v>
      </c>
      <c r="R8696">
        <v>1.9508832429679701</v>
      </c>
      <c r="S8696">
        <v>103</v>
      </c>
      <c r="T8696">
        <v>75</v>
      </c>
      <c r="U8696">
        <v>811.44420092075495</v>
      </c>
      <c r="V8696">
        <v>6.5295461965393404E-4</v>
      </c>
      <c r="W8696">
        <v>2872483.0752105899</v>
      </c>
      <c r="X8696" t="s">
        <v>43</v>
      </c>
      <c r="Y8696">
        <f>1-832-200-9994</f>
        <v>-11025</v>
      </c>
    </row>
    <row r="8697" spans="1:25" x14ac:dyDescent="0.35">
      <c r="A8697">
        <v>37.448605764719197</v>
      </c>
      <c r="B8697">
        <v>-114.899775091248</v>
      </c>
      <c r="C8697" t="s">
        <v>34</v>
      </c>
      <c r="D8697">
        <v>33.2253395335864</v>
      </c>
      <c r="E8697">
        <v>9</v>
      </c>
      <c r="F8697">
        <v>1369</v>
      </c>
      <c r="G8697">
        <v>2</v>
      </c>
      <c r="H8697">
        <v>2</v>
      </c>
      <c r="I8697">
        <v>1964</v>
      </c>
      <c r="J8697">
        <v>0</v>
      </c>
      <c r="K8697">
        <v>1</v>
      </c>
      <c r="L8697">
        <v>1</v>
      </c>
      <c r="M8697">
        <v>12</v>
      </c>
      <c r="N8697" t="s">
        <v>26</v>
      </c>
      <c r="O8697" t="s">
        <v>30</v>
      </c>
      <c r="P8697">
        <v>2.45551423818597</v>
      </c>
      <c r="Q8697">
        <v>0.59687823712024202</v>
      </c>
      <c r="R8697">
        <v>8.4693631308575199</v>
      </c>
      <c r="S8697">
        <v>117</v>
      </c>
      <c r="T8697">
        <v>69</v>
      </c>
      <c r="U8697">
        <v>584.809474122084</v>
      </c>
      <c r="V8697">
        <v>8.7655222790357906E-3</v>
      </c>
      <c r="W8697">
        <v>996845.31786772504</v>
      </c>
      <c r="X8697" t="s">
        <v>38</v>
      </c>
      <c r="Y8697">
        <f>1-407-715-9508</f>
        <v>-10629</v>
      </c>
    </row>
    <row r="8698" spans="1:25" x14ac:dyDescent="0.35">
      <c r="A8698">
        <v>35.002017567281698</v>
      </c>
      <c r="B8698">
        <v>-122.018589034979</v>
      </c>
      <c r="C8698" t="s">
        <v>29</v>
      </c>
      <c r="D8698">
        <v>11.484800083771299</v>
      </c>
      <c r="E8698">
        <v>4</v>
      </c>
      <c r="F8698">
        <v>1877</v>
      </c>
      <c r="G8698">
        <v>5</v>
      </c>
      <c r="H8698">
        <v>1</v>
      </c>
      <c r="I8698">
        <v>2015</v>
      </c>
      <c r="J8698">
        <v>1</v>
      </c>
      <c r="K8698">
        <v>0</v>
      </c>
      <c r="L8698">
        <v>1</v>
      </c>
      <c r="M8698">
        <v>13</v>
      </c>
      <c r="N8698" t="s">
        <v>41</v>
      </c>
      <c r="O8698" t="s">
        <v>27</v>
      </c>
      <c r="P8698">
        <v>6.5096529855550198</v>
      </c>
      <c r="Q8698">
        <v>1.9123198558280201</v>
      </c>
      <c r="R8698">
        <v>1.2989674061223</v>
      </c>
      <c r="S8698">
        <v>109</v>
      </c>
      <c r="T8698">
        <v>45</v>
      </c>
      <c r="U8698">
        <v>897.61950625274096</v>
      </c>
      <c r="V8698">
        <v>6.9259456579648304E-3</v>
      </c>
      <c r="W8698">
        <v>2047284.8059765</v>
      </c>
      <c r="X8698" t="s">
        <v>33</v>
      </c>
      <c r="Y8698">
        <f>1-871-369-7860</f>
        <v>-9099</v>
      </c>
    </row>
    <row r="8699" spans="1:25" x14ac:dyDescent="0.35">
      <c r="A8699">
        <v>35.875044261042397</v>
      </c>
      <c r="B8699">
        <v>-116.33326337532</v>
      </c>
      <c r="C8699" t="s">
        <v>25</v>
      </c>
      <c r="D8699">
        <v>18.417536015444799</v>
      </c>
      <c r="E8699">
        <v>4</v>
      </c>
      <c r="F8699">
        <v>609</v>
      </c>
      <c r="G8699">
        <v>4</v>
      </c>
      <c r="H8699">
        <v>1</v>
      </c>
      <c r="I8699">
        <v>1993</v>
      </c>
      <c r="J8699">
        <v>1</v>
      </c>
      <c r="K8699">
        <v>1</v>
      </c>
      <c r="L8699">
        <v>0</v>
      </c>
      <c r="M8699">
        <v>3</v>
      </c>
      <c r="N8699" t="s">
        <v>35</v>
      </c>
      <c r="O8699" t="s">
        <v>27</v>
      </c>
      <c r="P8699">
        <v>7.8063794255743897</v>
      </c>
      <c r="Q8699">
        <v>0.56891271057172699</v>
      </c>
      <c r="R8699">
        <v>6.39798768594357</v>
      </c>
      <c r="S8699">
        <v>162</v>
      </c>
      <c r="T8699">
        <v>41</v>
      </c>
      <c r="U8699">
        <v>318.24839285332098</v>
      </c>
      <c r="V8699">
        <v>4.9261083743842296E-3</v>
      </c>
      <c r="W8699">
        <v>499661.45791978098</v>
      </c>
      <c r="X8699" t="s">
        <v>40</v>
      </c>
      <c r="Y8699">
        <f>1-575-343-2869</f>
        <v>-3786</v>
      </c>
    </row>
    <row r="8700" spans="1:25" x14ac:dyDescent="0.35">
      <c r="A8700">
        <v>35.553254211474901</v>
      </c>
      <c r="B8700">
        <v>-121.098522572604</v>
      </c>
      <c r="C8700" t="s">
        <v>25</v>
      </c>
      <c r="D8700">
        <v>26.701492305828101</v>
      </c>
      <c r="E8700">
        <v>8</v>
      </c>
      <c r="F8700">
        <v>1128</v>
      </c>
      <c r="G8700">
        <v>3</v>
      </c>
      <c r="H8700">
        <v>1</v>
      </c>
      <c r="I8700">
        <v>1969</v>
      </c>
      <c r="J8700">
        <v>0</v>
      </c>
      <c r="K8700">
        <v>0</v>
      </c>
      <c r="L8700">
        <v>1</v>
      </c>
      <c r="M8700">
        <v>4</v>
      </c>
      <c r="N8700" t="s">
        <v>41</v>
      </c>
      <c r="O8700" t="s">
        <v>32</v>
      </c>
      <c r="P8700">
        <v>2.9986015927584799</v>
      </c>
      <c r="Q8700">
        <v>1.3441051008881699</v>
      </c>
      <c r="R8700">
        <v>0.63737337092090196</v>
      </c>
      <c r="S8700">
        <v>198</v>
      </c>
      <c r="T8700">
        <v>36</v>
      </c>
      <c r="U8700">
        <v>510.00199338622502</v>
      </c>
      <c r="V8700">
        <v>3.54609929078014E-3</v>
      </c>
      <c r="W8700">
        <v>652288.17015490006</v>
      </c>
      <c r="X8700" t="s">
        <v>39</v>
      </c>
      <c r="Y8700">
        <f>1-711-983-2083</f>
        <v>-3776</v>
      </c>
    </row>
    <row r="8701" spans="1:25" x14ac:dyDescent="0.35">
      <c r="A8701">
        <v>34.094207741666899</v>
      </c>
      <c r="B8701">
        <v>-120.98437014317</v>
      </c>
      <c r="C8701" t="s">
        <v>25</v>
      </c>
      <c r="D8701">
        <v>8.3452433045086902</v>
      </c>
      <c r="E8701">
        <v>0</v>
      </c>
      <c r="F8701">
        <v>3458</v>
      </c>
      <c r="G8701">
        <v>2</v>
      </c>
      <c r="H8701">
        <v>3</v>
      </c>
      <c r="I8701">
        <v>1969</v>
      </c>
      <c r="J8701">
        <v>0</v>
      </c>
      <c r="K8701">
        <v>0</v>
      </c>
      <c r="L8701">
        <v>0</v>
      </c>
      <c r="M8701">
        <v>8</v>
      </c>
      <c r="N8701" t="s">
        <v>35</v>
      </c>
      <c r="O8701" t="s">
        <v>30</v>
      </c>
      <c r="P8701">
        <v>12.8388511236203</v>
      </c>
      <c r="Q8701">
        <v>1.8234390147745101</v>
      </c>
      <c r="R8701">
        <v>5.82739982369882</v>
      </c>
      <c r="S8701">
        <v>0</v>
      </c>
      <c r="T8701">
        <v>67</v>
      </c>
      <c r="U8701">
        <v>925.34533126660904</v>
      </c>
      <c r="V8701">
        <v>2.3134759976865199E-3</v>
      </c>
      <c r="W8701">
        <v>3397273.2733447198</v>
      </c>
      <c r="X8701" t="s">
        <v>40</v>
      </c>
      <c r="Y8701">
        <f>1-320-615-8051</f>
        <v>-8985</v>
      </c>
    </row>
    <row r="8702" spans="1:25" x14ac:dyDescent="0.35">
      <c r="A8702">
        <v>34.0372230748942</v>
      </c>
      <c r="B8702">
        <v>-114.282950216778</v>
      </c>
      <c r="C8702" t="s">
        <v>34</v>
      </c>
      <c r="D8702">
        <v>35.103056864898399</v>
      </c>
      <c r="E8702">
        <v>8</v>
      </c>
      <c r="F8702">
        <v>4016</v>
      </c>
      <c r="G8702">
        <v>4</v>
      </c>
      <c r="H8702">
        <v>2</v>
      </c>
      <c r="I8702">
        <v>1958</v>
      </c>
      <c r="J8702">
        <v>1</v>
      </c>
      <c r="K8702">
        <v>0</v>
      </c>
      <c r="L8702">
        <v>0</v>
      </c>
      <c r="M8702">
        <v>9</v>
      </c>
      <c r="N8702" t="s">
        <v>35</v>
      </c>
      <c r="O8702" t="s">
        <v>32</v>
      </c>
      <c r="P8702">
        <v>10.5003434276218</v>
      </c>
      <c r="Q8702">
        <v>0.62490483615589398</v>
      </c>
      <c r="R8702">
        <v>0.13462517409908201</v>
      </c>
      <c r="S8702">
        <v>165</v>
      </c>
      <c r="T8702">
        <v>45</v>
      </c>
      <c r="U8702">
        <v>915.73612662318601</v>
      </c>
      <c r="V8702">
        <v>2.2410358565737002E-3</v>
      </c>
      <c r="W8702">
        <v>3931637.15609559</v>
      </c>
      <c r="X8702" t="s">
        <v>43</v>
      </c>
      <c r="Y8702">
        <f>1-608-140-5759</f>
        <v>-6506</v>
      </c>
    </row>
    <row r="8703" spans="1:25" x14ac:dyDescent="0.35">
      <c r="A8703">
        <v>41.110118248673999</v>
      </c>
      <c r="B8703">
        <v>-120.25539716933</v>
      </c>
      <c r="C8703" t="s">
        <v>34</v>
      </c>
      <c r="D8703">
        <v>10.6301480090422</v>
      </c>
      <c r="E8703">
        <v>0</v>
      </c>
      <c r="F8703">
        <v>4613</v>
      </c>
      <c r="G8703">
        <v>5</v>
      </c>
      <c r="H8703">
        <v>3</v>
      </c>
      <c r="I8703">
        <v>1977</v>
      </c>
      <c r="J8703">
        <v>1</v>
      </c>
      <c r="K8703">
        <v>0</v>
      </c>
      <c r="L8703">
        <v>1</v>
      </c>
      <c r="M8703">
        <v>9</v>
      </c>
      <c r="N8703" t="s">
        <v>35</v>
      </c>
      <c r="O8703" t="s">
        <v>32</v>
      </c>
      <c r="P8703">
        <v>7.8235259874515899</v>
      </c>
      <c r="Q8703">
        <v>2.2687067198014099</v>
      </c>
      <c r="R8703">
        <v>6.1579073604271697</v>
      </c>
      <c r="S8703">
        <v>139</v>
      </c>
      <c r="T8703">
        <v>41</v>
      </c>
      <c r="U8703">
        <v>342.93869061208602</v>
      </c>
      <c r="V8703">
        <v>1.95100802081075E-3</v>
      </c>
      <c r="W8703">
        <v>1907704.5957879601</v>
      </c>
      <c r="X8703" t="s">
        <v>31</v>
      </c>
      <c r="Y8703">
        <f>1-624-755-2202</f>
        <v>-3580</v>
      </c>
    </row>
    <row r="8704" spans="1:25" x14ac:dyDescent="0.35">
      <c r="A8704">
        <v>38.420927740052001</v>
      </c>
      <c r="B8704">
        <v>-116.81861951943699</v>
      </c>
      <c r="C8704" t="s">
        <v>29</v>
      </c>
      <c r="D8704">
        <v>2.0327550175526201</v>
      </c>
      <c r="E8704">
        <v>9</v>
      </c>
      <c r="F8704">
        <v>542</v>
      </c>
      <c r="G8704">
        <v>2</v>
      </c>
      <c r="H8704">
        <v>3</v>
      </c>
      <c r="I8704">
        <v>1964</v>
      </c>
      <c r="J8704">
        <v>1</v>
      </c>
      <c r="K8704">
        <v>1</v>
      </c>
      <c r="L8704">
        <v>1</v>
      </c>
      <c r="M8704">
        <v>14</v>
      </c>
      <c r="N8704" t="s">
        <v>26</v>
      </c>
      <c r="O8704" t="s">
        <v>30</v>
      </c>
      <c r="P8704">
        <v>3.75026958736454</v>
      </c>
      <c r="Q8704">
        <v>1.9327097643765601</v>
      </c>
      <c r="R8704">
        <v>2.7913414831767498</v>
      </c>
      <c r="S8704">
        <v>172</v>
      </c>
      <c r="T8704">
        <v>45</v>
      </c>
      <c r="U8704">
        <v>988.93246038501002</v>
      </c>
      <c r="V8704">
        <v>2.5830258302582999E-2</v>
      </c>
      <c r="W8704">
        <v>807320.15033483703</v>
      </c>
      <c r="X8704" t="s">
        <v>44</v>
      </c>
      <c r="Y8704">
        <f>1-806-518-6145</f>
        <v>-7468</v>
      </c>
    </row>
    <row r="8705" spans="1:25" x14ac:dyDescent="0.35">
      <c r="A8705">
        <v>41.9981308013665</v>
      </c>
      <c r="B8705">
        <v>-124.014797946954</v>
      </c>
      <c r="C8705" t="s">
        <v>25</v>
      </c>
      <c r="D8705">
        <v>8.4703138363701598</v>
      </c>
      <c r="E8705">
        <v>5</v>
      </c>
      <c r="F8705">
        <v>2055</v>
      </c>
      <c r="G8705">
        <v>4</v>
      </c>
      <c r="H8705">
        <v>2</v>
      </c>
      <c r="I8705">
        <v>2011</v>
      </c>
      <c r="J8705">
        <v>1</v>
      </c>
      <c r="K8705">
        <v>0</v>
      </c>
      <c r="L8705">
        <v>0</v>
      </c>
      <c r="M8705">
        <v>12</v>
      </c>
      <c r="N8705" t="s">
        <v>35</v>
      </c>
      <c r="O8705" t="s">
        <v>32</v>
      </c>
      <c r="P8705">
        <v>9.5228829149851499</v>
      </c>
      <c r="Q8705">
        <v>2.3011324267945001</v>
      </c>
      <c r="R8705">
        <v>9.3903017745874706</v>
      </c>
      <c r="S8705">
        <v>102</v>
      </c>
      <c r="T8705">
        <v>22</v>
      </c>
      <c r="U8705">
        <v>976.81356777545898</v>
      </c>
      <c r="V8705">
        <v>5.8394160583941602E-3</v>
      </c>
      <c r="W8705">
        <v>2358786.2536209798</v>
      </c>
      <c r="X8705" t="s">
        <v>33</v>
      </c>
      <c r="Y8705">
        <f>1-823-961-6745</f>
        <v>-8528</v>
      </c>
    </row>
    <row r="8706" spans="1:25" x14ac:dyDescent="0.35">
      <c r="A8706">
        <v>39.093355490308703</v>
      </c>
      <c r="B8706">
        <v>-121.891492782778</v>
      </c>
      <c r="C8706" t="s">
        <v>29</v>
      </c>
      <c r="D8706">
        <v>35.336077417755803</v>
      </c>
      <c r="E8706">
        <v>5</v>
      </c>
      <c r="F8706">
        <v>4792</v>
      </c>
      <c r="G8706">
        <v>1</v>
      </c>
      <c r="H8706">
        <v>1</v>
      </c>
      <c r="I8706">
        <v>1995</v>
      </c>
      <c r="J8706">
        <v>0</v>
      </c>
      <c r="K8706">
        <v>1</v>
      </c>
      <c r="L8706">
        <v>0</v>
      </c>
      <c r="M8706">
        <v>6</v>
      </c>
      <c r="N8706" t="s">
        <v>41</v>
      </c>
      <c r="O8706" t="s">
        <v>30</v>
      </c>
      <c r="P8706">
        <v>4.0376951377742998</v>
      </c>
      <c r="Q8706">
        <v>1.519296119309</v>
      </c>
      <c r="R8706">
        <v>3.8052882211969901</v>
      </c>
      <c r="S8706">
        <v>62</v>
      </c>
      <c r="T8706">
        <v>24</v>
      </c>
      <c r="U8706">
        <v>372.24332052698003</v>
      </c>
      <c r="V8706">
        <v>1.2520868113522501E-3</v>
      </c>
      <c r="W8706">
        <v>1901216.4512658</v>
      </c>
      <c r="X8706" t="s">
        <v>42</v>
      </c>
      <c r="Y8706">
        <f>1-707-561-9890</f>
        <v>-11157</v>
      </c>
    </row>
    <row r="8707" spans="1:25" x14ac:dyDescent="0.35">
      <c r="A8707">
        <v>38.314629522950597</v>
      </c>
      <c r="B8707">
        <v>-116.054612160416</v>
      </c>
      <c r="C8707" t="s">
        <v>29</v>
      </c>
      <c r="D8707">
        <v>45.431597338853699</v>
      </c>
      <c r="E8707">
        <v>8</v>
      </c>
      <c r="F8707">
        <v>4339</v>
      </c>
      <c r="G8707">
        <v>2</v>
      </c>
      <c r="H8707">
        <v>2</v>
      </c>
      <c r="I8707">
        <v>1990</v>
      </c>
      <c r="J8707">
        <v>0</v>
      </c>
      <c r="K8707">
        <v>1</v>
      </c>
      <c r="L8707">
        <v>0</v>
      </c>
      <c r="M8707">
        <v>10</v>
      </c>
      <c r="N8707" t="s">
        <v>37</v>
      </c>
      <c r="O8707" t="s">
        <v>32</v>
      </c>
      <c r="P8707">
        <v>10.3642930695262</v>
      </c>
      <c r="Q8707">
        <v>0.88295929610909196</v>
      </c>
      <c r="R8707">
        <v>7.3763807552945897</v>
      </c>
      <c r="S8707">
        <v>45</v>
      </c>
      <c r="T8707">
        <v>43</v>
      </c>
      <c r="U8707">
        <v>880.49814890363098</v>
      </c>
      <c r="V8707">
        <v>2.3046784973496199E-3</v>
      </c>
      <c r="W8707">
        <v>4082332.50367577</v>
      </c>
      <c r="X8707" t="s">
        <v>43</v>
      </c>
      <c r="Y8707">
        <f>1-564-225-5301</f>
        <v>-6089</v>
      </c>
    </row>
    <row r="8708" spans="1:25" x14ac:dyDescent="0.35">
      <c r="A8708">
        <v>39.1999741656495</v>
      </c>
      <c r="B8708">
        <v>-124.46658191668</v>
      </c>
      <c r="C8708" t="s">
        <v>25</v>
      </c>
      <c r="D8708">
        <v>49.334569432890497</v>
      </c>
      <c r="E8708">
        <v>7</v>
      </c>
      <c r="F8708">
        <v>1686</v>
      </c>
      <c r="G8708">
        <v>4</v>
      </c>
      <c r="H8708">
        <v>1</v>
      </c>
      <c r="I8708">
        <v>1997</v>
      </c>
      <c r="J8708">
        <v>0</v>
      </c>
      <c r="K8708">
        <v>1</v>
      </c>
      <c r="L8708">
        <v>0</v>
      </c>
      <c r="M8708">
        <v>8</v>
      </c>
      <c r="N8708" t="s">
        <v>35</v>
      </c>
      <c r="O8708" t="s">
        <v>32</v>
      </c>
      <c r="P8708">
        <v>8.7308648809237095</v>
      </c>
      <c r="Q8708">
        <v>2.4110231662138699</v>
      </c>
      <c r="R8708">
        <v>2.6760598145282501</v>
      </c>
      <c r="S8708">
        <v>97</v>
      </c>
      <c r="T8708">
        <v>65</v>
      </c>
      <c r="U8708">
        <v>620.98895291198301</v>
      </c>
      <c r="V8708">
        <v>4.7449584816132801E-3</v>
      </c>
      <c r="W8708">
        <v>1438923.5684726201</v>
      </c>
      <c r="X8708" t="s">
        <v>42</v>
      </c>
      <c r="Y8708">
        <f>1-331-736-6432</f>
        <v>-7498</v>
      </c>
    </row>
    <row r="8709" spans="1:25" x14ac:dyDescent="0.35">
      <c r="A8709">
        <v>33.076748052599001</v>
      </c>
      <c r="B8709">
        <v>-123.008670495156</v>
      </c>
      <c r="C8709" t="s">
        <v>25</v>
      </c>
      <c r="D8709">
        <v>43.9047914999407</v>
      </c>
      <c r="E8709">
        <v>7</v>
      </c>
      <c r="F8709">
        <v>2740</v>
      </c>
      <c r="G8709">
        <v>5</v>
      </c>
      <c r="H8709">
        <v>3</v>
      </c>
      <c r="I8709">
        <v>2012</v>
      </c>
      <c r="J8709">
        <v>1</v>
      </c>
      <c r="K8709">
        <v>0</v>
      </c>
      <c r="L8709">
        <v>0</v>
      </c>
      <c r="M8709">
        <v>3</v>
      </c>
      <c r="N8709" t="s">
        <v>37</v>
      </c>
      <c r="O8709" t="s">
        <v>32</v>
      </c>
      <c r="P8709">
        <v>3.24976316209789</v>
      </c>
      <c r="Q8709">
        <v>1.8746184342101</v>
      </c>
      <c r="R8709">
        <v>3.1654688681967</v>
      </c>
      <c r="S8709">
        <v>119</v>
      </c>
      <c r="T8709">
        <v>77</v>
      </c>
      <c r="U8709">
        <v>342.82577244136399</v>
      </c>
      <c r="V8709">
        <v>1.0948905109489E-3</v>
      </c>
      <c r="W8709">
        <v>1237085.7592799701</v>
      </c>
      <c r="X8709" t="s">
        <v>42</v>
      </c>
      <c r="Y8709">
        <f>1-945-576-6143</f>
        <v>-7663</v>
      </c>
    </row>
    <row r="8710" spans="1:25" x14ac:dyDescent="0.35">
      <c r="A8710">
        <v>39.736591464866798</v>
      </c>
      <c r="B8710">
        <v>-117.41693907318</v>
      </c>
      <c r="C8710" t="s">
        <v>25</v>
      </c>
      <c r="D8710">
        <v>8.4650939726449792</v>
      </c>
      <c r="E8710">
        <v>2</v>
      </c>
      <c r="F8710">
        <v>2767</v>
      </c>
      <c r="G8710">
        <v>5</v>
      </c>
      <c r="H8710">
        <v>3</v>
      </c>
      <c r="I8710">
        <v>1985</v>
      </c>
      <c r="J8710">
        <v>0</v>
      </c>
      <c r="K8710">
        <v>1</v>
      </c>
      <c r="L8710">
        <v>1</v>
      </c>
      <c r="M8710">
        <v>14</v>
      </c>
      <c r="N8710" t="s">
        <v>26</v>
      </c>
      <c r="O8710" t="s">
        <v>30</v>
      </c>
      <c r="P8710">
        <v>7.1899862205290903</v>
      </c>
      <c r="Q8710">
        <v>2.1992504465728899</v>
      </c>
      <c r="R8710">
        <v>2.9263836013434399</v>
      </c>
      <c r="S8710">
        <v>168</v>
      </c>
      <c r="T8710">
        <v>55</v>
      </c>
      <c r="U8710">
        <v>219.80014988567501</v>
      </c>
      <c r="V8710">
        <v>5.0596313697144901E-3</v>
      </c>
      <c r="W8710">
        <v>1004756.21460286</v>
      </c>
      <c r="X8710" t="s">
        <v>40</v>
      </c>
      <c r="Y8710">
        <f>1-627-191-6158</f>
        <v>-6975</v>
      </c>
    </row>
    <row r="8711" spans="1:25" x14ac:dyDescent="0.35">
      <c r="A8711">
        <v>41.339337996372002</v>
      </c>
      <c r="B8711">
        <v>-118.928683638061</v>
      </c>
      <c r="C8711" t="s">
        <v>25</v>
      </c>
      <c r="D8711">
        <v>33.309716966920099</v>
      </c>
      <c r="E8711">
        <v>0</v>
      </c>
      <c r="F8711">
        <v>1416</v>
      </c>
      <c r="G8711">
        <v>1</v>
      </c>
      <c r="H8711">
        <v>1</v>
      </c>
      <c r="I8711">
        <v>1988</v>
      </c>
      <c r="J8711">
        <v>1</v>
      </c>
      <c r="K8711">
        <v>0</v>
      </c>
      <c r="L8711">
        <v>0</v>
      </c>
      <c r="M8711">
        <v>12</v>
      </c>
      <c r="N8711" t="s">
        <v>35</v>
      </c>
      <c r="O8711" t="s">
        <v>27</v>
      </c>
      <c r="P8711">
        <v>6.3295871913537596</v>
      </c>
      <c r="Q8711">
        <v>1.3161670352336601</v>
      </c>
      <c r="R8711">
        <v>2.3039301825467899</v>
      </c>
      <c r="S8711">
        <v>32</v>
      </c>
      <c r="T8711">
        <v>39</v>
      </c>
      <c r="U8711">
        <v>719.52802545824795</v>
      </c>
      <c r="V8711">
        <v>8.4745762711864406E-3</v>
      </c>
      <c r="W8711">
        <v>1063417.7926701801</v>
      </c>
      <c r="X8711" t="s">
        <v>40</v>
      </c>
      <c r="Y8711">
        <f>1-532-735-8168</f>
        <v>-9434</v>
      </c>
    </row>
    <row r="8712" spans="1:25" x14ac:dyDescent="0.35">
      <c r="A8712">
        <v>32.764903420063497</v>
      </c>
      <c r="B8712">
        <v>-123.918403287163</v>
      </c>
      <c r="C8712" t="s">
        <v>29</v>
      </c>
      <c r="D8712">
        <v>44.516152728633003</v>
      </c>
      <c r="E8712">
        <v>5</v>
      </c>
      <c r="F8712">
        <v>3960</v>
      </c>
      <c r="G8712">
        <v>1</v>
      </c>
      <c r="H8712">
        <v>3</v>
      </c>
      <c r="I8712">
        <v>1974</v>
      </c>
      <c r="J8712">
        <v>0</v>
      </c>
      <c r="K8712">
        <v>0</v>
      </c>
      <c r="L8712">
        <v>0</v>
      </c>
      <c r="M8712">
        <v>12</v>
      </c>
      <c r="N8712" t="s">
        <v>26</v>
      </c>
      <c r="O8712" t="s">
        <v>32</v>
      </c>
      <c r="P8712">
        <v>4.9023559132676402</v>
      </c>
      <c r="Q8712">
        <v>1.2270615322857099</v>
      </c>
      <c r="R8712">
        <v>6.6269584351797697</v>
      </c>
      <c r="S8712">
        <v>44</v>
      </c>
      <c r="T8712">
        <v>71</v>
      </c>
      <c r="U8712">
        <v>574.49760553377098</v>
      </c>
      <c r="V8712">
        <v>3.0303030303030299E-3</v>
      </c>
      <c r="W8712">
        <v>2358183.20000281</v>
      </c>
      <c r="X8712" t="s">
        <v>39</v>
      </c>
      <c r="Y8712">
        <f>1-751-778-6137</f>
        <v>-7665</v>
      </c>
    </row>
    <row r="8713" spans="1:25" x14ac:dyDescent="0.35">
      <c r="A8713">
        <v>32.973234722864298</v>
      </c>
      <c r="B8713">
        <v>-124.062610708161</v>
      </c>
      <c r="C8713" t="s">
        <v>34</v>
      </c>
      <c r="D8713">
        <v>17.974798717673199</v>
      </c>
      <c r="E8713">
        <v>0</v>
      </c>
      <c r="F8713">
        <v>1861</v>
      </c>
      <c r="G8713">
        <v>3</v>
      </c>
      <c r="H8713">
        <v>2</v>
      </c>
      <c r="I8713">
        <v>1965</v>
      </c>
      <c r="J8713">
        <v>1</v>
      </c>
      <c r="K8713">
        <v>1</v>
      </c>
      <c r="L8713">
        <v>0</v>
      </c>
      <c r="M8713">
        <v>11</v>
      </c>
      <c r="N8713" t="s">
        <v>26</v>
      </c>
      <c r="O8713" t="s">
        <v>32</v>
      </c>
      <c r="P8713">
        <v>2.63195796582737</v>
      </c>
      <c r="Q8713">
        <v>2.4672718572013199</v>
      </c>
      <c r="R8713">
        <v>0.40175735255602502</v>
      </c>
      <c r="S8713">
        <v>190</v>
      </c>
      <c r="T8713">
        <v>67</v>
      </c>
      <c r="U8713">
        <v>496.54314145292102</v>
      </c>
      <c r="V8713">
        <v>5.9108006448146096E-3</v>
      </c>
      <c r="W8713">
        <v>1190893.5608912001</v>
      </c>
      <c r="X8713" t="s">
        <v>39</v>
      </c>
      <c r="Y8713">
        <f>1-891-419-7910</f>
        <v>-9219</v>
      </c>
    </row>
    <row r="8714" spans="1:25" x14ac:dyDescent="0.35">
      <c r="A8714">
        <v>38.046370773498602</v>
      </c>
      <c r="B8714">
        <v>-119.456618567033</v>
      </c>
      <c r="C8714" t="s">
        <v>25</v>
      </c>
      <c r="D8714">
        <v>2.9730778100592299</v>
      </c>
      <c r="E8714">
        <v>1</v>
      </c>
      <c r="F8714">
        <v>1682</v>
      </c>
      <c r="G8714">
        <v>1</v>
      </c>
      <c r="H8714">
        <v>3</v>
      </c>
      <c r="I8714">
        <v>1952</v>
      </c>
      <c r="J8714">
        <v>0</v>
      </c>
      <c r="K8714">
        <v>0</v>
      </c>
      <c r="L8714">
        <v>1</v>
      </c>
      <c r="M8714">
        <v>6</v>
      </c>
      <c r="N8714" t="s">
        <v>41</v>
      </c>
      <c r="O8714" t="s">
        <v>27</v>
      </c>
      <c r="P8714">
        <v>11.572490920083</v>
      </c>
      <c r="Q8714">
        <v>2.1134639443943501</v>
      </c>
      <c r="R8714">
        <v>9.3774489199524194</v>
      </c>
      <c r="S8714">
        <v>128</v>
      </c>
      <c r="T8714">
        <v>60</v>
      </c>
      <c r="U8714">
        <v>717.40918000274701</v>
      </c>
      <c r="V8714">
        <v>3.5671819262782399E-3</v>
      </c>
      <c r="W8714">
        <v>1199192.67143723</v>
      </c>
      <c r="X8714" t="s">
        <v>28</v>
      </c>
      <c r="Y8714">
        <f>1-918-134-4560</f>
        <v>-5611</v>
      </c>
    </row>
    <row r="8715" spans="1:25" x14ac:dyDescent="0.35">
      <c r="A8715">
        <v>41.446044341024901</v>
      </c>
      <c r="B8715">
        <v>-115.80434547721801</v>
      </c>
      <c r="C8715" t="s">
        <v>25</v>
      </c>
      <c r="D8715">
        <v>48.670068334744201</v>
      </c>
      <c r="E8715">
        <v>1</v>
      </c>
      <c r="F8715">
        <v>2946</v>
      </c>
      <c r="G8715">
        <v>3</v>
      </c>
      <c r="H8715">
        <v>2</v>
      </c>
      <c r="I8715">
        <v>2002</v>
      </c>
      <c r="J8715">
        <v>0</v>
      </c>
      <c r="K8715">
        <v>1</v>
      </c>
      <c r="L8715">
        <v>1</v>
      </c>
      <c r="M8715">
        <v>7</v>
      </c>
      <c r="N8715" t="s">
        <v>26</v>
      </c>
      <c r="O8715" t="s">
        <v>27</v>
      </c>
      <c r="P8715">
        <v>10.244694567229701</v>
      </c>
      <c r="Q8715">
        <v>1.2601930972889801</v>
      </c>
      <c r="R8715">
        <v>3.0009446067030501</v>
      </c>
      <c r="S8715">
        <v>189</v>
      </c>
      <c r="T8715">
        <v>42</v>
      </c>
      <c r="U8715">
        <v>205.03474911374599</v>
      </c>
      <c r="V8715">
        <v>2.37610319076714E-3</v>
      </c>
      <c r="W8715">
        <v>932453.37995643995</v>
      </c>
      <c r="X8715" t="s">
        <v>40</v>
      </c>
      <c r="Y8715">
        <f>1-871-830-3150</f>
        <v>-4850</v>
      </c>
    </row>
    <row r="8716" spans="1:25" x14ac:dyDescent="0.35">
      <c r="A8716">
        <v>36.044340986162602</v>
      </c>
      <c r="B8716">
        <v>-115.51051225479399</v>
      </c>
      <c r="C8716" t="s">
        <v>25</v>
      </c>
      <c r="D8716">
        <v>17.1524844406912</v>
      </c>
      <c r="E8716">
        <v>6</v>
      </c>
      <c r="F8716">
        <v>534</v>
      </c>
      <c r="G8716">
        <v>2</v>
      </c>
      <c r="H8716">
        <v>2</v>
      </c>
      <c r="I8716">
        <v>2011</v>
      </c>
      <c r="J8716">
        <v>0</v>
      </c>
      <c r="K8716">
        <v>0</v>
      </c>
      <c r="L8716">
        <v>1</v>
      </c>
      <c r="M8716">
        <v>11</v>
      </c>
      <c r="N8716" t="s">
        <v>37</v>
      </c>
      <c r="O8716" t="s">
        <v>30</v>
      </c>
      <c r="P8716">
        <v>5.2243138133468303</v>
      </c>
      <c r="Q8716">
        <v>2.0741952483897599</v>
      </c>
      <c r="R8716">
        <v>4.6085485069979004</v>
      </c>
      <c r="S8716">
        <v>16</v>
      </c>
      <c r="T8716">
        <v>32</v>
      </c>
      <c r="U8716">
        <v>435.09419135941801</v>
      </c>
      <c r="V8716">
        <v>2.05992509363295E-2</v>
      </c>
      <c r="W8716">
        <v>495886.57067775301</v>
      </c>
      <c r="X8716" t="s">
        <v>42</v>
      </c>
      <c r="Y8716">
        <f>1-794-122-8580</f>
        <v>-9495</v>
      </c>
    </row>
    <row r="8717" spans="1:25" x14ac:dyDescent="0.35">
      <c r="A8717">
        <v>36.1204073325301</v>
      </c>
      <c r="B8717">
        <v>-115.61249850823</v>
      </c>
      <c r="C8717" t="s">
        <v>34</v>
      </c>
      <c r="D8717">
        <v>45.585216550785603</v>
      </c>
      <c r="E8717">
        <v>0</v>
      </c>
      <c r="F8717">
        <v>2502</v>
      </c>
      <c r="G8717">
        <v>5</v>
      </c>
      <c r="H8717">
        <v>2</v>
      </c>
      <c r="I8717">
        <v>1964</v>
      </c>
      <c r="J8717">
        <v>0</v>
      </c>
      <c r="K8717">
        <v>0</v>
      </c>
      <c r="L8717">
        <v>0</v>
      </c>
      <c r="M8717">
        <v>6</v>
      </c>
      <c r="N8717" t="s">
        <v>26</v>
      </c>
      <c r="O8717" t="s">
        <v>32</v>
      </c>
      <c r="P8717">
        <v>13.353336907498999</v>
      </c>
      <c r="Q8717">
        <v>2.2392065368613201</v>
      </c>
      <c r="R8717">
        <v>0.52109249193519802</v>
      </c>
      <c r="S8717">
        <v>106</v>
      </c>
      <c r="T8717">
        <v>27</v>
      </c>
      <c r="U8717">
        <v>735.72786719290104</v>
      </c>
      <c r="V8717">
        <v>2.3980815347721799E-3</v>
      </c>
      <c r="W8717">
        <v>2097219.2290138402</v>
      </c>
      <c r="X8717" t="s">
        <v>28</v>
      </c>
      <c r="Y8717">
        <f>1-630-499-4257</f>
        <v>-5385</v>
      </c>
    </row>
    <row r="8718" spans="1:25" x14ac:dyDescent="0.35">
      <c r="A8718">
        <v>35.764430387050901</v>
      </c>
      <c r="B8718">
        <v>-121.327159900834</v>
      </c>
      <c r="C8718" t="s">
        <v>25</v>
      </c>
      <c r="D8718">
        <v>37.862082431658401</v>
      </c>
      <c r="E8718">
        <v>2</v>
      </c>
      <c r="F8718">
        <v>3502</v>
      </c>
      <c r="G8718">
        <v>5</v>
      </c>
      <c r="H8718">
        <v>3</v>
      </c>
      <c r="I8718">
        <v>2000</v>
      </c>
      <c r="J8718">
        <v>0</v>
      </c>
      <c r="K8718">
        <v>1</v>
      </c>
      <c r="L8718">
        <v>0</v>
      </c>
      <c r="M8718">
        <v>13</v>
      </c>
      <c r="N8718" t="s">
        <v>35</v>
      </c>
      <c r="O8718" t="s">
        <v>27</v>
      </c>
      <c r="P8718">
        <v>5.9341934780194796</v>
      </c>
      <c r="Q8718">
        <v>0.67053941070971901</v>
      </c>
      <c r="R8718">
        <v>1.6648181274778</v>
      </c>
      <c r="S8718">
        <v>54</v>
      </c>
      <c r="T8718">
        <v>30</v>
      </c>
      <c r="U8718">
        <v>997.82017952033095</v>
      </c>
      <c r="V8718">
        <v>3.7121644774414601E-3</v>
      </c>
      <c r="W8718">
        <v>3940889.8206440401</v>
      </c>
      <c r="X8718" t="s">
        <v>44</v>
      </c>
      <c r="Y8718">
        <f>1-616-180-1102</f>
        <v>-1897</v>
      </c>
    </row>
    <row r="8719" spans="1:25" x14ac:dyDescent="0.35">
      <c r="A8719">
        <v>40.005438994629898</v>
      </c>
      <c r="B8719">
        <v>-114.511144539778</v>
      </c>
      <c r="C8719" t="s">
        <v>29</v>
      </c>
      <c r="D8719">
        <v>40.420915162879098</v>
      </c>
      <c r="E8719">
        <v>3</v>
      </c>
      <c r="F8719">
        <v>2973</v>
      </c>
      <c r="G8719">
        <v>5</v>
      </c>
      <c r="H8719">
        <v>3</v>
      </c>
      <c r="I8719">
        <v>2007</v>
      </c>
      <c r="J8719">
        <v>1</v>
      </c>
      <c r="K8719">
        <v>0</v>
      </c>
      <c r="L8719">
        <v>0</v>
      </c>
      <c r="M8719">
        <v>13</v>
      </c>
      <c r="N8719" t="s">
        <v>26</v>
      </c>
      <c r="O8719" t="s">
        <v>30</v>
      </c>
      <c r="P8719">
        <v>5.2764199853973901</v>
      </c>
      <c r="Q8719">
        <v>1.2039587643013501</v>
      </c>
      <c r="R8719">
        <v>6.9311648187476802</v>
      </c>
      <c r="S8719">
        <v>104</v>
      </c>
      <c r="T8719">
        <v>59</v>
      </c>
      <c r="U8719">
        <v>447.55856586205101</v>
      </c>
      <c r="V8719">
        <v>4.3726875210225299E-3</v>
      </c>
      <c r="W8719">
        <v>1700873.63870298</v>
      </c>
      <c r="X8719" t="s">
        <v>42</v>
      </c>
      <c r="Y8719">
        <f>1-316-459-7731</f>
        <v>-8505</v>
      </c>
    </row>
    <row r="8720" spans="1:25" x14ac:dyDescent="0.35">
      <c r="A8720">
        <v>40.212113822827398</v>
      </c>
      <c r="B8720">
        <v>-123.86328504437699</v>
      </c>
      <c r="C8720" t="s">
        <v>29</v>
      </c>
      <c r="D8720">
        <v>45.326796612851602</v>
      </c>
      <c r="E8720">
        <v>1</v>
      </c>
      <c r="F8720">
        <v>4678</v>
      </c>
      <c r="G8720">
        <v>3</v>
      </c>
      <c r="H8720">
        <v>1</v>
      </c>
      <c r="I8720">
        <v>1995</v>
      </c>
      <c r="J8720">
        <v>1</v>
      </c>
      <c r="K8720">
        <v>1</v>
      </c>
      <c r="L8720">
        <v>0</v>
      </c>
      <c r="M8720">
        <v>4</v>
      </c>
      <c r="N8720" t="s">
        <v>41</v>
      </c>
      <c r="O8720" t="s">
        <v>32</v>
      </c>
      <c r="P8720">
        <v>5.8293982329101404</v>
      </c>
      <c r="Q8720">
        <v>1.9970182804803001</v>
      </c>
      <c r="R8720">
        <v>4.5522096877211302</v>
      </c>
      <c r="S8720">
        <v>108</v>
      </c>
      <c r="T8720">
        <v>55</v>
      </c>
      <c r="U8720">
        <v>238.97906710789499</v>
      </c>
      <c r="V8720">
        <v>8.5506626763574096E-4</v>
      </c>
      <c r="W8720">
        <v>1440468.85571496</v>
      </c>
      <c r="X8720" t="s">
        <v>43</v>
      </c>
      <c r="Y8720">
        <f>1-961-246-3080</f>
        <v>-4286</v>
      </c>
    </row>
    <row r="8721" spans="1:25" x14ac:dyDescent="0.35">
      <c r="A8721">
        <v>37.987542906654298</v>
      </c>
      <c r="B8721">
        <v>-123.552021584364</v>
      </c>
      <c r="C8721" t="s">
        <v>29</v>
      </c>
      <c r="D8721">
        <v>30.309681388314299</v>
      </c>
      <c r="E8721">
        <v>8</v>
      </c>
      <c r="F8721">
        <v>3335</v>
      </c>
      <c r="G8721">
        <v>3</v>
      </c>
      <c r="H8721">
        <v>1</v>
      </c>
      <c r="I8721">
        <v>1988</v>
      </c>
      <c r="J8721">
        <v>1</v>
      </c>
      <c r="K8721">
        <v>1</v>
      </c>
      <c r="L8721">
        <v>1</v>
      </c>
      <c r="M8721">
        <v>9</v>
      </c>
      <c r="N8721" t="s">
        <v>26</v>
      </c>
      <c r="O8721" t="s">
        <v>32</v>
      </c>
      <c r="P8721">
        <v>4.8128278502020896</v>
      </c>
      <c r="Q8721">
        <v>1.01245983889598</v>
      </c>
      <c r="R8721">
        <v>9.6772372922412195</v>
      </c>
      <c r="S8721">
        <v>140</v>
      </c>
      <c r="T8721">
        <v>78</v>
      </c>
      <c r="U8721">
        <v>935.08366540937504</v>
      </c>
      <c r="V8721">
        <v>2.6986506746626599E-3</v>
      </c>
      <c r="W8721">
        <v>3499454.9285515002</v>
      </c>
      <c r="X8721" t="s">
        <v>39</v>
      </c>
      <c r="Y8721">
        <f>1-564-408-8409</f>
        <v>-9380</v>
      </c>
    </row>
    <row r="8722" spans="1:25" x14ac:dyDescent="0.35">
      <c r="A8722">
        <v>34.343246809515598</v>
      </c>
      <c r="B8722">
        <v>-114.19477788883501</v>
      </c>
      <c r="C8722" t="s">
        <v>25</v>
      </c>
      <c r="D8722">
        <v>16.7339435949822</v>
      </c>
      <c r="E8722">
        <v>7</v>
      </c>
      <c r="F8722">
        <v>2173</v>
      </c>
      <c r="G8722">
        <v>2</v>
      </c>
      <c r="H8722">
        <v>2</v>
      </c>
      <c r="I8722">
        <v>2011</v>
      </c>
      <c r="J8722">
        <v>0</v>
      </c>
      <c r="K8722">
        <v>0</v>
      </c>
      <c r="L8722">
        <v>1</v>
      </c>
      <c r="M8722">
        <v>13</v>
      </c>
      <c r="N8722" t="s">
        <v>37</v>
      </c>
      <c r="O8722" t="s">
        <v>30</v>
      </c>
      <c r="P8722">
        <v>3.7390443232837902</v>
      </c>
      <c r="Q8722">
        <v>1.3190567947562699</v>
      </c>
      <c r="R8722">
        <v>6.6146760618001901</v>
      </c>
      <c r="S8722">
        <v>15</v>
      </c>
      <c r="T8722">
        <v>53</v>
      </c>
      <c r="U8722">
        <v>642.03196287328501</v>
      </c>
      <c r="V8722">
        <v>5.9825126553152298E-3</v>
      </c>
      <c r="W8722">
        <v>1633410.73708352</v>
      </c>
      <c r="X8722" t="s">
        <v>43</v>
      </c>
      <c r="Y8722">
        <f>1-548-865-3278</f>
        <v>-4690</v>
      </c>
    </row>
    <row r="8723" spans="1:25" x14ac:dyDescent="0.35">
      <c r="A8723">
        <v>40.427979226854198</v>
      </c>
      <c r="B8723">
        <v>-123.096014429703</v>
      </c>
      <c r="C8723" t="s">
        <v>25</v>
      </c>
      <c r="D8723">
        <v>22.592384822016701</v>
      </c>
      <c r="E8723">
        <v>2</v>
      </c>
      <c r="F8723">
        <v>4108</v>
      </c>
      <c r="G8723">
        <v>4</v>
      </c>
      <c r="H8723">
        <v>2</v>
      </c>
      <c r="I8723">
        <v>1977</v>
      </c>
      <c r="J8723">
        <v>1</v>
      </c>
      <c r="K8723">
        <v>0</v>
      </c>
      <c r="L8723">
        <v>1</v>
      </c>
      <c r="M8723">
        <v>4</v>
      </c>
      <c r="N8723" t="s">
        <v>35</v>
      </c>
      <c r="O8723" t="s">
        <v>32</v>
      </c>
      <c r="P8723">
        <v>12.404529209888</v>
      </c>
      <c r="Q8723">
        <v>0.58690363412633995</v>
      </c>
      <c r="R8723">
        <v>7.9191272214355397</v>
      </c>
      <c r="S8723">
        <v>153</v>
      </c>
      <c r="T8723">
        <v>40</v>
      </c>
      <c r="U8723">
        <v>915.03652317459796</v>
      </c>
      <c r="V8723">
        <v>9.7370983446932796E-4</v>
      </c>
      <c r="W8723">
        <v>4141504.6910677501</v>
      </c>
      <c r="X8723" t="s">
        <v>38</v>
      </c>
      <c r="Y8723">
        <f>1-281-277-5665</f>
        <v>-6222</v>
      </c>
    </row>
    <row r="8724" spans="1:25" x14ac:dyDescent="0.35">
      <c r="A8724">
        <v>35.923298440480401</v>
      </c>
      <c r="B8724">
        <v>-114.19787409301</v>
      </c>
      <c r="C8724" t="s">
        <v>25</v>
      </c>
      <c r="D8724">
        <v>33.682266103750401</v>
      </c>
      <c r="E8724">
        <v>5</v>
      </c>
      <c r="F8724">
        <v>4483</v>
      </c>
      <c r="G8724">
        <v>2</v>
      </c>
      <c r="H8724">
        <v>2</v>
      </c>
      <c r="I8724">
        <v>1950</v>
      </c>
      <c r="J8724">
        <v>0</v>
      </c>
      <c r="K8724">
        <v>0</v>
      </c>
      <c r="L8724">
        <v>0</v>
      </c>
      <c r="M8724">
        <v>4</v>
      </c>
      <c r="N8724" t="s">
        <v>35</v>
      </c>
      <c r="O8724" t="s">
        <v>30</v>
      </c>
      <c r="P8724">
        <v>4.7136912380829603</v>
      </c>
      <c r="Q8724">
        <v>0.56705717067018901</v>
      </c>
      <c r="R8724">
        <v>4.7967403047236097</v>
      </c>
      <c r="S8724">
        <v>140</v>
      </c>
      <c r="T8724">
        <v>60</v>
      </c>
      <c r="U8724">
        <v>232.45409457402101</v>
      </c>
      <c r="V8724">
        <v>8.9225964755743905E-4</v>
      </c>
      <c r="W8724">
        <v>1193833.17580711</v>
      </c>
      <c r="X8724" t="s">
        <v>42</v>
      </c>
      <c r="Y8724">
        <f>1-367-789-4385</f>
        <v>-5540</v>
      </c>
    </row>
    <row r="8725" spans="1:25" x14ac:dyDescent="0.35">
      <c r="A8725">
        <v>38.264895813658597</v>
      </c>
      <c r="B8725">
        <v>-117.352912429825</v>
      </c>
      <c r="C8725" t="s">
        <v>29</v>
      </c>
      <c r="D8725">
        <v>5.8959947992485198</v>
      </c>
      <c r="E8725">
        <v>9</v>
      </c>
      <c r="F8725">
        <v>2660</v>
      </c>
      <c r="G8725">
        <v>4</v>
      </c>
      <c r="H8725">
        <v>2</v>
      </c>
      <c r="I8725">
        <v>1990</v>
      </c>
      <c r="J8725">
        <v>0</v>
      </c>
      <c r="K8725">
        <v>0</v>
      </c>
      <c r="L8725">
        <v>1</v>
      </c>
      <c r="M8725">
        <v>6</v>
      </c>
      <c r="N8725" t="s">
        <v>41</v>
      </c>
      <c r="O8725" t="s">
        <v>32</v>
      </c>
      <c r="P8725">
        <v>8.3485683266212192</v>
      </c>
      <c r="Q8725">
        <v>2.3021686237611099</v>
      </c>
      <c r="R8725">
        <v>4.2365995001992696</v>
      </c>
      <c r="S8725">
        <v>101</v>
      </c>
      <c r="T8725">
        <v>33</v>
      </c>
      <c r="U8725">
        <v>629.86836308408397</v>
      </c>
      <c r="V8725">
        <v>2.2556390977443602E-3</v>
      </c>
      <c r="W8725">
        <v>1907967.9058073401</v>
      </c>
      <c r="X8725" t="s">
        <v>43</v>
      </c>
      <c r="Y8725">
        <f>1-278-967-7015</f>
        <v>-8259</v>
      </c>
    </row>
    <row r="8726" spans="1:25" x14ac:dyDescent="0.35">
      <c r="A8726">
        <v>37.953876923291801</v>
      </c>
      <c r="B8726">
        <v>-121.421400035508</v>
      </c>
      <c r="C8726" t="s">
        <v>25</v>
      </c>
      <c r="D8726">
        <v>45.985985798505901</v>
      </c>
      <c r="E8726">
        <v>5</v>
      </c>
      <c r="F8726">
        <v>3067</v>
      </c>
      <c r="G8726">
        <v>3</v>
      </c>
      <c r="H8726">
        <v>1</v>
      </c>
      <c r="I8726">
        <v>1962</v>
      </c>
      <c r="J8726">
        <v>0</v>
      </c>
      <c r="K8726">
        <v>1</v>
      </c>
      <c r="L8726">
        <v>1</v>
      </c>
      <c r="M8726">
        <v>7</v>
      </c>
      <c r="N8726" t="s">
        <v>37</v>
      </c>
      <c r="O8726" t="s">
        <v>27</v>
      </c>
      <c r="P8726">
        <v>8.5795595147399499</v>
      </c>
      <c r="Q8726">
        <v>0.91153316877554003</v>
      </c>
      <c r="R8726">
        <v>8.0360819434455397</v>
      </c>
      <c r="S8726">
        <v>31</v>
      </c>
      <c r="T8726">
        <v>48</v>
      </c>
      <c r="U8726">
        <v>848.19902626371595</v>
      </c>
      <c r="V8726">
        <v>2.28236061297685E-3</v>
      </c>
      <c r="W8726">
        <v>2989790.66620187</v>
      </c>
      <c r="X8726" t="s">
        <v>33</v>
      </c>
      <c r="Y8726">
        <f>1-825-240-1318</f>
        <v>-2382</v>
      </c>
    </row>
    <row r="8727" spans="1:25" x14ac:dyDescent="0.35">
      <c r="A8727">
        <v>33.041690855586999</v>
      </c>
      <c r="B8727">
        <v>-115.348417877277</v>
      </c>
      <c r="C8727" t="s">
        <v>34</v>
      </c>
      <c r="D8727">
        <v>3.0053475635048801</v>
      </c>
      <c r="E8727">
        <v>5</v>
      </c>
      <c r="F8727">
        <v>1102</v>
      </c>
      <c r="G8727">
        <v>4</v>
      </c>
      <c r="H8727">
        <v>1</v>
      </c>
      <c r="I8727">
        <v>1979</v>
      </c>
      <c r="J8727">
        <v>1</v>
      </c>
      <c r="K8727">
        <v>1</v>
      </c>
      <c r="L8727">
        <v>1</v>
      </c>
      <c r="M8727">
        <v>11</v>
      </c>
      <c r="N8727" t="s">
        <v>37</v>
      </c>
      <c r="O8727" t="s">
        <v>27</v>
      </c>
      <c r="P8727">
        <v>13.418619504422001</v>
      </c>
      <c r="Q8727">
        <v>2.22547010970891</v>
      </c>
      <c r="R8727">
        <v>6.8791538747696004</v>
      </c>
      <c r="S8727">
        <v>86</v>
      </c>
      <c r="T8727">
        <v>24</v>
      </c>
      <c r="U8727">
        <v>675.46865512936995</v>
      </c>
      <c r="V8727">
        <v>9.9818511796733195E-3</v>
      </c>
      <c r="W8727">
        <v>1179999.4949306799</v>
      </c>
      <c r="X8727" t="s">
        <v>40</v>
      </c>
      <c r="Y8727">
        <f>1-467-541-7320</f>
        <v>-8327</v>
      </c>
    </row>
    <row r="8728" spans="1:25" x14ac:dyDescent="0.35">
      <c r="A8728">
        <v>41.714535661222698</v>
      </c>
      <c r="B8728">
        <v>-116.615721178115</v>
      </c>
      <c r="C8728" t="s">
        <v>25</v>
      </c>
      <c r="D8728">
        <v>42.313620003821597</v>
      </c>
      <c r="E8728">
        <v>9</v>
      </c>
      <c r="F8728">
        <v>4212</v>
      </c>
      <c r="G8728">
        <v>4</v>
      </c>
      <c r="H8728">
        <v>3</v>
      </c>
      <c r="I8728">
        <v>1998</v>
      </c>
      <c r="J8728">
        <v>1</v>
      </c>
      <c r="K8728">
        <v>1</v>
      </c>
      <c r="L8728">
        <v>0</v>
      </c>
      <c r="M8728">
        <v>5</v>
      </c>
      <c r="N8728" t="s">
        <v>37</v>
      </c>
      <c r="O8728" t="s">
        <v>27</v>
      </c>
      <c r="P8728">
        <v>4.4012494232602597</v>
      </c>
      <c r="Q8728">
        <v>2.3281644979420002</v>
      </c>
      <c r="R8728">
        <v>0.87209313791047205</v>
      </c>
      <c r="S8728">
        <v>7</v>
      </c>
      <c r="T8728">
        <v>62</v>
      </c>
      <c r="U8728">
        <v>551.63506464300997</v>
      </c>
      <c r="V8728">
        <v>1.18708452041785E-3</v>
      </c>
      <c r="W8728">
        <v>2734896.6362659801</v>
      </c>
      <c r="X8728" t="s">
        <v>31</v>
      </c>
      <c r="Y8728">
        <f>1-528-291-5121</f>
        <v>-5939</v>
      </c>
    </row>
    <row r="8729" spans="1:25" x14ac:dyDescent="0.35">
      <c r="A8729">
        <v>40.6519731686342</v>
      </c>
      <c r="B8729">
        <v>-116.19874583342499</v>
      </c>
      <c r="C8729" t="s">
        <v>29</v>
      </c>
      <c r="D8729">
        <v>27.633641137931001</v>
      </c>
      <c r="E8729">
        <v>8</v>
      </c>
      <c r="F8729">
        <v>3738</v>
      </c>
      <c r="G8729">
        <v>4</v>
      </c>
      <c r="H8729">
        <v>1</v>
      </c>
      <c r="I8729">
        <v>2011</v>
      </c>
      <c r="J8729">
        <v>1</v>
      </c>
      <c r="K8729">
        <v>0</v>
      </c>
      <c r="L8729">
        <v>0</v>
      </c>
      <c r="M8729">
        <v>12</v>
      </c>
      <c r="N8729" t="s">
        <v>26</v>
      </c>
      <c r="O8729" t="s">
        <v>32</v>
      </c>
      <c r="P8729">
        <v>12.0944017720657</v>
      </c>
      <c r="Q8729">
        <v>2.2979483785517498</v>
      </c>
      <c r="R8729">
        <v>3.60410814487346</v>
      </c>
      <c r="S8729">
        <v>13</v>
      </c>
      <c r="T8729">
        <v>24</v>
      </c>
      <c r="U8729">
        <v>546.04391079047105</v>
      </c>
      <c r="V8729">
        <v>3.2102728731942202E-3</v>
      </c>
      <c r="W8729">
        <v>2351596.1326924302</v>
      </c>
      <c r="X8729" t="s">
        <v>38</v>
      </c>
      <c r="Y8729">
        <f>1-849-588-2635</f>
        <v>-4071</v>
      </c>
    </row>
    <row r="8730" spans="1:25" x14ac:dyDescent="0.35">
      <c r="A8730">
        <v>36.406436389352798</v>
      </c>
      <c r="B8730">
        <v>-119.853704774652</v>
      </c>
      <c r="C8730" t="s">
        <v>29</v>
      </c>
      <c r="D8730">
        <v>7.0007018471519196</v>
      </c>
      <c r="E8730">
        <v>9</v>
      </c>
      <c r="F8730">
        <v>1045</v>
      </c>
      <c r="G8730">
        <v>2</v>
      </c>
      <c r="H8730">
        <v>3</v>
      </c>
      <c r="I8730">
        <v>1959</v>
      </c>
      <c r="J8730">
        <v>0</v>
      </c>
      <c r="K8730">
        <v>0</v>
      </c>
      <c r="L8730">
        <v>0</v>
      </c>
      <c r="M8730">
        <v>13</v>
      </c>
      <c r="N8730" t="s">
        <v>41</v>
      </c>
      <c r="O8730" t="s">
        <v>30</v>
      </c>
      <c r="P8730">
        <v>6.22444272775253</v>
      </c>
      <c r="Q8730">
        <v>2.0556321566125901</v>
      </c>
      <c r="R8730">
        <v>2.8729698882908599</v>
      </c>
      <c r="S8730">
        <v>5</v>
      </c>
      <c r="T8730">
        <v>63</v>
      </c>
      <c r="U8730">
        <v>838.57042433926495</v>
      </c>
      <c r="V8730">
        <v>1.24401913875598E-2</v>
      </c>
      <c r="W8730">
        <v>971793.17039246799</v>
      </c>
      <c r="X8730" t="s">
        <v>43</v>
      </c>
      <c r="Y8730">
        <f>1-957-580-5882</f>
        <v>-7418</v>
      </c>
    </row>
    <row r="8731" spans="1:25" x14ac:dyDescent="0.35">
      <c r="A8731">
        <v>35.982268301178699</v>
      </c>
      <c r="B8731">
        <v>-120.060883498946</v>
      </c>
      <c r="C8731" t="s">
        <v>29</v>
      </c>
      <c r="D8731">
        <v>46.227272629767199</v>
      </c>
      <c r="E8731">
        <v>8</v>
      </c>
      <c r="F8731">
        <v>4898</v>
      </c>
      <c r="G8731">
        <v>5</v>
      </c>
      <c r="H8731">
        <v>3</v>
      </c>
      <c r="I8731">
        <v>2008</v>
      </c>
      <c r="J8731">
        <v>0</v>
      </c>
      <c r="K8731">
        <v>0</v>
      </c>
      <c r="L8731">
        <v>0</v>
      </c>
      <c r="M8731">
        <v>9</v>
      </c>
      <c r="N8731" t="s">
        <v>41</v>
      </c>
      <c r="O8731" t="s">
        <v>27</v>
      </c>
      <c r="P8731">
        <v>7.5535984048848297</v>
      </c>
      <c r="Q8731">
        <v>1.46452336015063</v>
      </c>
      <c r="R8731">
        <v>5.7178202344116196</v>
      </c>
      <c r="S8731">
        <v>134</v>
      </c>
      <c r="T8731">
        <v>20</v>
      </c>
      <c r="U8731">
        <v>245.50731151258</v>
      </c>
      <c r="V8731">
        <v>1.8374846876275999E-3</v>
      </c>
      <c r="W8731">
        <v>1424202.6599151799</v>
      </c>
      <c r="X8731" t="s">
        <v>36</v>
      </c>
      <c r="Y8731">
        <f>1-679-129-6121</f>
        <v>-6928</v>
      </c>
    </row>
    <row r="8732" spans="1:25" x14ac:dyDescent="0.35">
      <c r="A8732">
        <v>32.891245880332299</v>
      </c>
      <c r="B8732">
        <v>-119.596556924403</v>
      </c>
      <c r="C8732" t="s">
        <v>34</v>
      </c>
      <c r="D8732">
        <v>9.0281494767467407</v>
      </c>
      <c r="E8732">
        <v>0</v>
      </c>
      <c r="F8732">
        <v>4607</v>
      </c>
      <c r="G8732">
        <v>1</v>
      </c>
      <c r="H8732">
        <v>1</v>
      </c>
      <c r="I8732">
        <v>1997</v>
      </c>
      <c r="J8732">
        <v>0</v>
      </c>
      <c r="K8732">
        <v>1</v>
      </c>
      <c r="L8732">
        <v>0</v>
      </c>
      <c r="M8732">
        <v>6</v>
      </c>
      <c r="N8732" t="s">
        <v>37</v>
      </c>
      <c r="O8732" t="s">
        <v>32</v>
      </c>
      <c r="P8732">
        <v>4.2157883373947396</v>
      </c>
      <c r="Q8732">
        <v>1.4256742210604501</v>
      </c>
      <c r="R8732">
        <v>2.3401238967160798</v>
      </c>
      <c r="S8732">
        <v>109</v>
      </c>
      <c r="T8732">
        <v>49</v>
      </c>
      <c r="U8732">
        <v>835.52335340488105</v>
      </c>
      <c r="V8732">
        <v>1.3023659648361101E-3</v>
      </c>
      <c r="W8732">
        <v>3982421.0824758299</v>
      </c>
      <c r="X8732" t="s">
        <v>31</v>
      </c>
      <c r="Y8732">
        <f>1-792-516-4355</f>
        <v>-5662</v>
      </c>
    </row>
    <row r="8733" spans="1:25" x14ac:dyDescent="0.35">
      <c r="A8733">
        <v>36.684934570619603</v>
      </c>
      <c r="B8733">
        <v>-121.72286320824099</v>
      </c>
      <c r="C8733" t="s">
        <v>34</v>
      </c>
      <c r="D8733">
        <v>34.4129970587963</v>
      </c>
      <c r="E8733">
        <v>6</v>
      </c>
      <c r="F8733">
        <v>4913</v>
      </c>
      <c r="G8733">
        <v>1</v>
      </c>
      <c r="H8733">
        <v>2</v>
      </c>
      <c r="I8733">
        <v>1981</v>
      </c>
      <c r="J8733">
        <v>1</v>
      </c>
      <c r="K8733">
        <v>0</v>
      </c>
      <c r="L8733">
        <v>0</v>
      </c>
      <c r="M8733">
        <v>3</v>
      </c>
      <c r="N8733" t="s">
        <v>41</v>
      </c>
      <c r="O8733" t="s">
        <v>30</v>
      </c>
      <c r="P8733">
        <v>2.7768927164338999</v>
      </c>
      <c r="Q8733">
        <v>0.75891133445761005</v>
      </c>
      <c r="R8733">
        <v>3.5586102252251002</v>
      </c>
      <c r="S8733">
        <v>170</v>
      </c>
      <c r="T8733">
        <v>42</v>
      </c>
      <c r="U8733">
        <v>857.97143035521106</v>
      </c>
      <c r="V8733">
        <v>6.1062487278648397E-4</v>
      </c>
      <c r="W8733">
        <v>4348617.0993732698</v>
      </c>
      <c r="X8733" t="s">
        <v>36</v>
      </c>
      <c r="Y8733">
        <f>1-939-764-5402</f>
        <v>-7104</v>
      </c>
    </row>
    <row r="8734" spans="1:25" x14ac:dyDescent="0.35">
      <c r="A8734">
        <v>39.083946194028101</v>
      </c>
      <c r="B8734">
        <v>-117.96501751466199</v>
      </c>
      <c r="C8734" t="s">
        <v>25</v>
      </c>
      <c r="D8734">
        <v>1.4715757497769599</v>
      </c>
      <c r="E8734">
        <v>6</v>
      </c>
      <c r="F8734">
        <v>983</v>
      </c>
      <c r="G8734">
        <v>3</v>
      </c>
      <c r="H8734">
        <v>1</v>
      </c>
      <c r="I8734">
        <v>1993</v>
      </c>
      <c r="J8734">
        <v>1</v>
      </c>
      <c r="K8734">
        <v>1</v>
      </c>
      <c r="L8734">
        <v>1</v>
      </c>
      <c r="M8734">
        <v>5</v>
      </c>
      <c r="N8734" t="s">
        <v>41</v>
      </c>
      <c r="O8734" t="s">
        <v>32</v>
      </c>
      <c r="P8734">
        <v>5.9136694266975001</v>
      </c>
      <c r="Q8734">
        <v>1.1312450878006</v>
      </c>
      <c r="R8734">
        <v>7.5442415478164602</v>
      </c>
      <c r="S8734">
        <v>125</v>
      </c>
      <c r="T8734">
        <v>44</v>
      </c>
      <c r="U8734">
        <v>880.66485248755805</v>
      </c>
      <c r="V8734">
        <v>5.0864699898270603E-3</v>
      </c>
      <c r="W8734">
        <v>1171167.00332209</v>
      </c>
      <c r="X8734" t="s">
        <v>40</v>
      </c>
      <c r="Y8734">
        <f>1-977-572-3410</f>
        <v>-4958</v>
      </c>
    </row>
    <row r="8735" spans="1:25" x14ac:dyDescent="0.35">
      <c r="A8735">
        <v>36.8310771813318</v>
      </c>
      <c r="B8735">
        <v>-124.31652322587399</v>
      </c>
      <c r="C8735" t="s">
        <v>34</v>
      </c>
      <c r="D8735">
        <v>39.4257766249127</v>
      </c>
      <c r="E8735">
        <v>1</v>
      </c>
      <c r="F8735">
        <v>3504</v>
      </c>
      <c r="G8735">
        <v>4</v>
      </c>
      <c r="H8735">
        <v>2</v>
      </c>
      <c r="I8735">
        <v>1953</v>
      </c>
      <c r="J8735">
        <v>1</v>
      </c>
      <c r="K8735">
        <v>1</v>
      </c>
      <c r="L8735">
        <v>1</v>
      </c>
      <c r="M8735">
        <v>14</v>
      </c>
      <c r="N8735" t="s">
        <v>35</v>
      </c>
      <c r="O8735" t="s">
        <v>27</v>
      </c>
      <c r="P8735">
        <v>4.5893244146550902</v>
      </c>
      <c r="Q8735">
        <v>1.6799354495798899</v>
      </c>
      <c r="R8735">
        <v>2.8749814175445301</v>
      </c>
      <c r="S8735">
        <v>135</v>
      </c>
      <c r="T8735">
        <v>74</v>
      </c>
      <c r="U8735">
        <v>457.69587081363801</v>
      </c>
      <c r="V8735">
        <v>3.9954337899543299E-3</v>
      </c>
      <c r="W8735">
        <v>1846299.19725066</v>
      </c>
      <c r="X8735" t="s">
        <v>39</v>
      </c>
      <c r="Y8735">
        <f>1-252-983-7054</f>
        <v>-8288</v>
      </c>
    </row>
    <row r="8736" spans="1:25" x14ac:dyDescent="0.35">
      <c r="A8736">
        <v>38.087018586139898</v>
      </c>
      <c r="B8736">
        <v>-118.61738129400899</v>
      </c>
      <c r="C8736" t="s">
        <v>34</v>
      </c>
      <c r="D8736">
        <v>49.733012261156901</v>
      </c>
      <c r="E8736">
        <v>4</v>
      </c>
      <c r="F8736">
        <v>3591</v>
      </c>
      <c r="G8736">
        <v>2</v>
      </c>
      <c r="H8736">
        <v>2</v>
      </c>
      <c r="I8736">
        <v>1983</v>
      </c>
      <c r="J8736">
        <v>0</v>
      </c>
      <c r="K8736">
        <v>1</v>
      </c>
      <c r="L8736">
        <v>0</v>
      </c>
      <c r="M8736">
        <v>9</v>
      </c>
      <c r="N8736" t="s">
        <v>41</v>
      </c>
      <c r="O8736" t="s">
        <v>30</v>
      </c>
      <c r="P8736">
        <v>3.23762648390881</v>
      </c>
      <c r="Q8736">
        <v>0.56866298241423996</v>
      </c>
      <c r="R8736">
        <v>7.7030270703363399</v>
      </c>
      <c r="S8736">
        <v>109</v>
      </c>
      <c r="T8736">
        <v>43</v>
      </c>
      <c r="U8736">
        <v>325.71814058786998</v>
      </c>
      <c r="V8736">
        <v>2.5062656641604E-3</v>
      </c>
      <c r="W8736">
        <v>1357006.09070092</v>
      </c>
      <c r="X8736" t="s">
        <v>39</v>
      </c>
      <c r="Y8736">
        <f>1-442-353-9360</f>
        <v>-10154</v>
      </c>
    </row>
    <row r="8737" spans="1:25" x14ac:dyDescent="0.35">
      <c r="A8737">
        <v>34.834972222729</v>
      </c>
      <c r="B8737">
        <v>-115.045610861406</v>
      </c>
      <c r="C8737" t="s">
        <v>29</v>
      </c>
      <c r="D8737">
        <v>7.9737467855650603</v>
      </c>
      <c r="E8737">
        <v>7</v>
      </c>
      <c r="F8737">
        <v>3973</v>
      </c>
      <c r="G8737">
        <v>1</v>
      </c>
      <c r="H8737">
        <v>2</v>
      </c>
      <c r="I8737">
        <v>1957</v>
      </c>
      <c r="J8737">
        <v>0</v>
      </c>
      <c r="K8737">
        <v>0</v>
      </c>
      <c r="L8737">
        <v>1</v>
      </c>
      <c r="M8737">
        <v>4</v>
      </c>
      <c r="N8737" t="s">
        <v>37</v>
      </c>
      <c r="O8737" t="s">
        <v>27</v>
      </c>
      <c r="P8737">
        <v>13.404142878677799</v>
      </c>
      <c r="Q8737">
        <v>1.88885830671696</v>
      </c>
      <c r="R8737">
        <v>1.6453848350090301</v>
      </c>
      <c r="S8737">
        <v>159</v>
      </c>
      <c r="T8737">
        <v>23</v>
      </c>
      <c r="U8737">
        <v>248.52060800146</v>
      </c>
      <c r="V8737">
        <v>1.00679587213692E-3</v>
      </c>
      <c r="W8737">
        <v>1142143.9147242701</v>
      </c>
      <c r="X8737" t="s">
        <v>38</v>
      </c>
      <c r="Y8737">
        <f>1-393-161-9075</f>
        <v>-9628</v>
      </c>
    </row>
    <row r="8738" spans="1:25" x14ac:dyDescent="0.35">
      <c r="A8738">
        <v>35.452664889290602</v>
      </c>
      <c r="B8738">
        <v>-116.659983178174</v>
      </c>
      <c r="C8738" t="s">
        <v>29</v>
      </c>
      <c r="D8738">
        <v>6.6232629688995699</v>
      </c>
      <c r="E8738">
        <v>9</v>
      </c>
      <c r="F8738">
        <v>1221</v>
      </c>
      <c r="G8738">
        <v>3</v>
      </c>
      <c r="H8738">
        <v>1</v>
      </c>
      <c r="I8738">
        <v>1950</v>
      </c>
      <c r="J8738">
        <v>0</v>
      </c>
      <c r="K8738">
        <v>1</v>
      </c>
      <c r="L8738">
        <v>0</v>
      </c>
      <c r="M8738">
        <v>12</v>
      </c>
      <c r="N8738" t="s">
        <v>37</v>
      </c>
      <c r="O8738" t="s">
        <v>27</v>
      </c>
      <c r="P8738">
        <v>8.5823443121772396</v>
      </c>
      <c r="Q8738">
        <v>0.71089434481045399</v>
      </c>
      <c r="R8738">
        <v>4.1696892232957197</v>
      </c>
      <c r="S8738">
        <v>99</v>
      </c>
      <c r="T8738">
        <v>41</v>
      </c>
      <c r="U8738">
        <v>949.87006552724301</v>
      </c>
      <c r="V8738">
        <v>9.8280098280098208E-3</v>
      </c>
      <c r="W8738">
        <v>1360711.5079691701</v>
      </c>
      <c r="X8738" t="s">
        <v>43</v>
      </c>
      <c r="Y8738">
        <f>1-514-410-4783</f>
        <v>-5706</v>
      </c>
    </row>
    <row r="8739" spans="1:25" x14ac:dyDescent="0.35">
      <c r="A8739">
        <v>41.529108041105701</v>
      </c>
      <c r="B8739">
        <v>-122.22743709434199</v>
      </c>
      <c r="C8739" t="s">
        <v>34</v>
      </c>
      <c r="D8739">
        <v>10.6398817073826</v>
      </c>
      <c r="E8739">
        <v>0</v>
      </c>
      <c r="F8739">
        <v>951</v>
      </c>
      <c r="G8739">
        <v>1</v>
      </c>
      <c r="H8739">
        <v>3</v>
      </c>
      <c r="I8739">
        <v>1994</v>
      </c>
      <c r="J8739">
        <v>0</v>
      </c>
      <c r="K8739">
        <v>1</v>
      </c>
      <c r="L8739">
        <v>1</v>
      </c>
      <c r="M8739">
        <v>2</v>
      </c>
      <c r="N8739" t="s">
        <v>35</v>
      </c>
      <c r="O8739" t="s">
        <v>30</v>
      </c>
      <c r="P8739">
        <v>14.714944449954601</v>
      </c>
      <c r="Q8739">
        <v>1.72993254289182</v>
      </c>
      <c r="R8739">
        <v>5.8381993642461003</v>
      </c>
      <c r="S8739">
        <v>135</v>
      </c>
      <c r="T8739">
        <v>29</v>
      </c>
      <c r="U8739">
        <v>623.89515272013102</v>
      </c>
      <c r="V8739">
        <v>2.1030494216613999E-3</v>
      </c>
      <c r="W8739">
        <v>889428.71819769195</v>
      </c>
      <c r="X8739" t="s">
        <v>33</v>
      </c>
      <c r="Y8739">
        <f>1-708-414-8615</f>
        <v>-9736</v>
      </c>
    </row>
    <row r="8740" spans="1:25" x14ac:dyDescent="0.35">
      <c r="A8740">
        <v>39.547498557367597</v>
      </c>
      <c r="B8740">
        <v>-121.91324680279</v>
      </c>
      <c r="C8740" t="s">
        <v>34</v>
      </c>
      <c r="D8740">
        <v>41.597312319878398</v>
      </c>
      <c r="E8740">
        <v>7</v>
      </c>
      <c r="F8740">
        <v>2108</v>
      </c>
      <c r="G8740">
        <v>5</v>
      </c>
      <c r="H8740">
        <v>1</v>
      </c>
      <c r="I8740">
        <v>1954</v>
      </c>
      <c r="J8740">
        <v>1</v>
      </c>
      <c r="K8740">
        <v>1</v>
      </c>
      <c r="L8740">
        <v>0</v>
      </c>
      <c r="M8740">
        <v>8</v>
      </c>
      <c r="N8740" t="s">
        <v>41</v>
      </c>
      <c r="O8740" t="s">
        <v>30</v>
      </c>
      <c r="P8740">
        <v>13.103819060086501</v>
      </c>
      <c r="Q8740">
        <v>2.1526257667754298</v>
      </c>
      <c r="R8740">
        <v>5.0678324038745304</v>
      </c>
      <c r="S8740">
        <v>48</v>
      </c>
      <c r="T8740">
        <v>48</v>
      </c>
      <c r="U8740">
        <v>308.76962928115</v>
      </c>
      <c r="V8740">
        <v>3.7950664136622301E-3</v>
      </c>
      <c r="W8740">
        <v>1110139.1362610499</v>
      </c>
      <c r="X8740" t="s">
        <v>42</v>
      </c>
      <c r="Y8740">
        <f>1-832-261-5287</f>
        <v>-6379</v>
      </c>
    </row>
    <row r="8741" spans="1:25" x14ac:dyDescent="0.35">
      <c r="A8741">
        <v>39.264839016585299</v>
      </c>
      <c r="B8741">
        <v>-123.626325517447</v>
      </c>
      <c r="C8741" t="s">
        <v>29</v>
      </c>
      <c r="D8741">
        <v>28.283993851032498</v>
      </c>
      <c r="E8741">
        <v>0</v>
      </c>
      <c r="F8741">
        <v>3390</v>
      </c>
      <c r="G8741">
        <v>2</v>
      </c>
      <c r="H8741">
        <v>1</v>
      </c>
      <c r="I8741">
        <v>2021</v>
      </c>
      <c r="J8741">
        <v>1</v>
      </c>
      <c r="K8741">
        <v>1</v>
      </c>
      <c r="L8741">
        <v>1</v>
      </c>
      <c r="M8741">
        <v>3</v>
      </c>
      <c r="N8741" t="s">
        <v>26</v>
      </c>
      <c r="O8741" t="s">
        <v>32</v>
      </c>
      <c r="P8741">
        <v>13.037051823796901</v>
      </c>
      <c r="Q8741">
        <v>1.5365776758777401</v>
      </c>
      <c r="R8741">
        <v>6.81152820486657</v>
      </c>
      <c r="S8741">
        <v>101</v>
      </c>
      <c r="T8741">
        <v>25</v>
      </c>
      <c r="U8741">
        <v>319.30801025595599</v>
      </c>
      <c r="V8741">
        <v>8.8495575221238904E-4</v>
      </c>
      <c r="W8741">
        <v>1437305.30716409</v>
      </c>
      <c r="X8741" t="s">
        <v>28</v>
      </c>
      <c r="Y8741">
        <f>1-764-139-3692</f>
        <v>-4594</v>
      </c>
    </row>
    <row r="8742" spans="1:25" x14ac:dyDescent="0.35">
      <c r="A8742">
        <v>35.9249303464143</v>
      </c>
      <c r="B8742">
        <v>-121.540183491039</v>
      </c>
      <c r="C8742" t="s">
        <v>29</v>
      </c>
      <c r="D8742">
        <v>13.043669735048701</v>
      </c>
      <c r="E8742">
        <v>4</v>
      </c>
      <c r="F8742">
        <v>4011</v>
      </c>
      <c r="G8742">
        <v>1</v>
      </c>
      <c r="H8742">
        <v>2</v>
      </c>
      <c r="I8742">
        <v>2017</v>
      </c>
      <c r="J8742">
        <v>1</v>
      </c>
      <c r="K8742">
        <v>0</v>
      </c>
      <c r="L8742">
        <v>1</v>
      </c>
      <c r="M8742">
        <v>10</v>
      </c>
      <c r="N8742" t="s">
        <v>26</v>
      </c>
      <c r="O8742" t="s">
        <v>30</v>
      </c>
      <c r="P8742">
        <v>8.1049003451799599</v>
      </c>
      <c r="Q8742">
        <v>1.8089799771316499</v>
      </c>
      <c r="R8742">
        <v>8.68489879281619</v>
      </c>
      <c r="S8742">
        <v>152</v>
      </c>
      <c r="T8742">
        <v>26</v>
      </c>
      <c r="U8742">
        <v>494.365294310791</v>
      </c>
      <c r="V8742">
        <v>2.49314385440039E-3</v>
      </c>
      <c r="W8742">
        <v>2196147.3244819101</v>
      </c>
      <c r="X8742" t="s">
        <v>40</v>
      </c>
      <c r="Y8742">
        <f>1-761-234-2919</f>
        <v>-3913</v>
      </c>
    </row>
    <row r="8743" spans="1:25" x14ac:dyDescent="0.35">
      <c r="A8743">
        <v>33.030372678453602</v>
      </c>
      <c r="B8743">
        <v>-120.140275448305</v>
      </c>
      <c r="C8743" t="s">
        <v>34</v>
      </c>
      <c r="D8743">
        <v>22.5706451686418</v>
      </c>
      <c r="E8743">
        <v>3</v>
      </c>
      <c r="F8743">
        <v>1314</v>
      </c>
      <c r="G8743">
        <v>5</v>
      </c>
      <c r="H8743">
        <v>1</v>
      </c>
      <c r="I8743">
        <v>1997</v>
      </c>
      <c r="J8743">
        <v>1</v>
      </c>
      <c r="K8743">
        <v>0</v>
      </c>
      <c r="L8743">
        <v>1</v>
      </c>
      <c r="M8743">
        <v>2</v>
      </c>
      <c r="N8743" t="s">
        <v>35</v>
      </c>
      <c r="O8743" t="s">
        <v>32</v>
      </c>
      <c r="P8743">
        <v>5.4673028343552499</v>
      </c>
      <c r="Q8743">
        <v>1.74931775576684</v>
      </c>
      <c r="R8743">
        <v>7.8385322637934296</v>
      </c>
      <c r="S8743">
        <v>131</v>
      </c>
      <c r="T8743">
        <v>30</v>
      </c>
      <c r="U8743">
        <v>848.66625642919905</v>
      </c>
      <c r="V8743">
        <v>1.5220700152207001E-3</v>
      </c>
      <c r="W8743">
        <v>1340562.5102260001</v>
      </c>
      <c r="X8743" t="s">
        <v>42</v>
      </c>
      <c r="Y8743">
        <f>1-223-665-6273</f>
        <v>-7160</v>
      </c>
    </row>
    <row r="8744" spans="1:25" x14ac:dyDescent="0.35">
      <c r="A8744">
        <v>39.7992282854431</v>
      </c>
      <c r="B8744">
        <v>-121.072097013057</v>
      </c>
      <c r="C8744" t="s">
        <v>34</v>
      </c>
      <c r="D8744">
        <v>8.2790039338532804</v>
      </c>
      <c r="E8744">
        <v>2</v>
      </c>
      <c r="F8744">
        <v>2439</v>
      </c>
      <c r="G8744">
        <v>3</v>
      </c>
      <c r="H8744">
        <v>1</v>
      </c>
      <c r="I8744">
        <v>1968</v>
      </c>
      <c r="J8744">
        <v>1</v>
      </c>
      <c r="K8744">
        <v>1</v>
      </c>
      <c r="L8744">
        <v>0</v>
      </c>
      <c r="M8744">
        <v>4</v>
      </c>
      <c r="N8744" t="s">
        <v>35</v>
      </c>
      <c r="O8744" t="s">
        <v>30</v>
      </c>
      <c r="P8744">
        <v>5.6652375244561304</v>
      </c>
      <c r="Q8744">
        <v>1.56916781207659</v>
      </c>
      <c r="R8744">
        <v>8.3308050051338007</v>
      </c>
      <c r="S8744">
        <v>16</v>
      </c>
      <c r="T8744">
        <v>31</v>
      </c>
      <c r="U8744">
        <v>887.58485732049303</v>
      </c>
      <c r="V8744">
        <v>1.640016400164E-3</v>
      </c>
      <c r="W8744">
        <v>2445774.18425404</v>
      </c>
      <c r="X8744" t="s">
        <v>39</v>
      </c>
      <c r="Y8744">
        <f>1-494-927-5108</f>
        <v>-6528</v>
      </c>
    </row>
    <row r="8745" spans="1:25" x14ac:dyDescent="0.35">
      <c r="A8745">
        <v>36.133569030803997</v>
      </c>
      <c r="B8745">
        <v>-123.26171025612599</v>
      </c>
      <c r="C8745" t="s">
        <v>29</v>
      </c>
      <c r="D8745">
        <v>42.219897638746602</v>
      </c>
      <c r="E8745">
        <v>4</v>
      </c>
      <c r="F8745">
        <v>4993</v>
      </c>
      <c r="G8745">
        <v>3</v>
      </c>
      <c r="H8745">
        <v>3</v>
      </c>
      <c r="I8745">
        <v>1994</v>
      </c>
      <c r="J8745">
        <v>1</v>
      </c>
      <c r="K8745">
        <v>1</v>
      </c>
      <c r="L8745">
        <v>0</v>
      </c>
      <c r="M8745">
        <v>14</v>
      </c>
      <c r="N8745" t="s">
        <v>26</v>
      </c>
      <c r="O8745" t="s">
        <v>27</v>
      </c>
      <c r="P8745">
        <v>13.6353755450256</v>
      </c>
      <c r="Q8745">
        <v>0.88711550561817898</v>
      </c>
      <c r="R8745">
        <v>0.59114390611485901</v>
      </c>
      <c r="S8745">
        <v>162</v>
      </c>
      <c r="T8745">
        <v>72</v>
      </c>
      <c r="U8745">
        <v>841.74717123150799</v>
      </c>
      <c r="V8745">
        <v>2.8039254956939699E-3</v>
      </c>
      <c r="W8745">
        <v>4672680.4341051998</v>
      </c>
      <c r="X8745" t="s">
        <v>39</v>
      </c>
      <c r="Y8745">
        <f>1-960-440-2699</f>
        <v>-4098</v>
      </c>
    </row>
    <row r="8746" spans="1:25" x14ac:dyDescent="0.35">
      <c r="A8746">
        <v>35.397433275622802</v>
      </c>
      <c r="B8746">
        <v>-119.44979777232599</v>
      </c>
      <c r="C8746" t="s">
        <v>25</v>
      </c>
      <c r="D8746">
        <v>35.385093104628403</v>
      </c>
      <c r="E8746">
        <v>2</v>
      </c>
      <c r="F8746">
        <v>647</v>
      </c>
      <c r="G8746">
        <v>2</v>
      </c>
      <c r="H8746">
        <v>1</v>
      </c>
      <c r="I8746">
        <v>1974</v>
      </c>
      <c r="J8746">
        <v>0</v>
      </c>
      <c r="K8746">
        <v>0</v>
      </c>
      <c r="L8746">
        <v>0</v>
      </c>
      <c r="M8746">
        <v>9</v>
      </c>
      <c r="N8746" t="s">
        <v>37</v>
      </c>
      <c r="O8746" t="s">
        <v>30</v>
      </c>
      <c r="P8746">
        <v>11.142573479835701</v>
      </c>
      <c r="Q8746">
        <v>1.2517964727478099</v>
      </c>
      <c r="R8746">
        <v>6.8245574316422299</v>
      </c>
      <c r="S8746">
        <v>22</v>
      </c>
      <c r="T8746">
        <v>21</v>
      </c>
      <c r="U8746">
        <v>719.85337477325095</v>
      </c>
      <c r="V8746">
        <v>1.39103554868624E-2</v>
      </c>
      <c r="W8746">
        <v>623193.67164440895</v>
      </c>
      <c r="X8746" t="s">
        <v>36</v>
      </c>
      <c r="Y8746">
        <f>1-370-518-4747</f>
        <v>-5634</v>
      </c>
    </row>
    <row r="8747" spans="1:25" x14ac:dyDescent="0.35">
      <c r="A8747">
        <v>40.821342685781403</v>
      </c>
      <c r="B8747">
        <v>-117.554669696345</v>
      </c>
      <c r="C8747" t="s">
        <v>34</v>
      </c>
      <c r="D8747">
        <v>29.986405200750301</v>
      </c>
      <c r="E8747">
        <v>0</v>
      </c>
      <c r="F8747">
        <v>2439</v>
      </c>
      <c r="G8747">
        <v>2</v>
      </c>
      <c r="H8747">
        <v>2</v>
      </c>
      <c r="I8747">
        <v>1996</v>
      </c>
      <c r="J8747">
        <v>1</v>
      </c>
      <c r="K8747">
        <v>1</v>
      </c>
      <c r="L8747">
        <v>1</v>
      </c>
      <c r="M8747">
        <v>6</v>
      </c>
      <c r="N8747" t="s">
        <v>37</v>
      </c>
      <c r="O8747" t="s">
        <v>32</v>
      </c>
      <c r="P8747">
        <v>12.108555414299</v>
      </c>
      <c r="Q8747">
        <v>0.96707500788499701</v>
      </c>
      <c r="R8747">
        <v>2.3151468801902801</v>
      </c>
      <c r="S8747">
        <v>71</v>
      </c>
      <c r="T8747">
        <v>50</v>
      </c>
      <c r="U8747">
        <v>611.73585876210996</v>
      </c>
      <c r="V8747">
        <v>2.4600246002459999E-3</v>
      </c>
      <c r="W8747">
        <v>1806688.4407771199</v>
      </c>
      <c r="X8747" t="s">
        <v>38</v>
      </c>
      <c r="Y8747">
        <f>1-718-740-4324</f>
        <v>-5781</v>
      </c>
    </row>
    <row r="8748" spans="1:25" x14ac:dyDescent="0.35">
      <c r="A8748">
        <v>35.168035395669797</v>
      </c>
      <c r="B8748">
        <v>-117.30952883630999</v>
      </c>
      <c r="C8748" t="s">
        <v>29</v>
      </c>
      <c r="D8748">
        <v>17.089012445959099</v>
      </c>
      <c r="E8748">
        <v>2</v>
      </c>
      <c r="F8748">
        <v>3148</v>
      </c>
      <c r="G8748">
        <v>5</v>
      </c>
      <c r="H8748">
        <v>1</v>
      </c>
      <c r="I8748">
        <v>2012</v>
      </c>
      <c r="J8748">
        <v>0</v>
      </c>
      <c r="K8748">
        <v>0</v>
      </c>
      <c r="L8748">
        <v>1</v>
      </c>
      <c r="M8748">
        <v>14</v>
      </c>
      <c r="N8748" t="s">
        <v>35</v>
      </c>
      <c r="O8748" t="s">
        <v>27</v>
      </c>
      <c r="P8748">
        <v>6.6534202643492399</v>
      </c>
      <c r="Q8748">
        <v>1.4201214894102101</v>
      </c>
      <c r="R8748">
        <v>3.0752389606869701</v>
      </c>
      <c r="S8748">
        <v>109</v>
      </c>
      <c r="T8748">
        <v>26</v>
      </c>
      <c r="U8748">
        <v>958.95838073365803</v>
      </c>
      <c r="V8748">
        <v>4.4472681067344302E-3</v>
      </c>
      <c r="W8748">
        <v>3271186.3799695</v>
      </c>
      <c r="X8748" t="s">
        <v>40</v>
      </c>
      <c r="Y8748">
        <f>1-701-392-7062</f>
        <v>-8154</v>
      </c>
    </row>
    <row r="8749" spans="1:25" x14ac:dyDescent="0.35">
      <c r="A8749">
        <v>32.791381274240301</v>
      </c>
      <c r="B8749">
        <v>-121.301753062766</v>
      </c>
      <c r="C8749" t="s">
        <v>29</v>
      </c>
      <c r="D8749">
        <v>9.8584209765426198</v>
      </c>
      <c r="E8749">
        <v>3</v>
      </c>
      <c r="F8749">
        <v>3269</v>
      </c>
      <c r="G8749">
        <v>1</v>
      </c>
      <c r="H8749">
        <v>3</v>
      </c>
      <c r="I8749">
        <v>1959</v>
      </c>
      <c r="J8749">
        <v>1</v>
      </c>
      <c r="K8749">
        <v>1</v>
      </c>
      <c r="L8749">
        <v>1</v>
      </c>
      <c r="M8749">
        <v>10</v>
      </c>
      <c r="N8749" t="s">
        <v>35</v>
      </c>
      <c r="O8749" t="s">
        <v>32</v>
      </c>
      <c r="P8749">
        <v>5.12853559857587</v>
      </c>
      <c r="Q8749">
        <v>0.55228829049025396</v>
      </c>
      <c r="R8749">
        <v>5.0124033737370803</v>
      </c>
      <c r="S8749">
        <v>198</v>
      </c>
      <c r="T8749">
        <v>76</v>
      </c>
      <c r="U8749">
        <v>275.12563236083901</v>
      </c>
      <c r="V8749">
        <v>3.05903946160905E-3</v>
      </c>
      <c r="W8749">
        <v>1069090.97394717</v>
      </c>
      <c r="X8749" t="s">
        <v>36</v>
      </c>
      <c r="Y8749">
        <f>1-852-864-2885</f>
        <v>-4600</v>
      </c>
    </row>
    <row r="8750" spans="1:25" x14ac:dyDescent="0.35">
      <c r="A8750">
        <v>39.811570605710401</v>
      </c>
      <c r="B8750">
        <v>-121.08032532591901</v>
      </c>
      <c r="C8750" t="s">
        <v>25</v>
      </c>
      <c r="D8750">
        <v>48.812759404115702</v>
      </c>
      <c r="E8750">
        <v>5</v>
      </c>
      <c r="F8750">
        <v>4640</v>
      </c>
      <c r="G8750">
        <v>4</v>
      </c>
      <c r="H8750">
        <v>1</v>
      </c>
      <c r="I8750">
        <v>2018</v>
      </c>
      <c r="J8750">
        <v>1</v>
      </c>
      <c r="K8750">
        <v>0</v>
      </c>
      <c r="L8750">
        <v>1</v>
      </c>
      <c r="M8750">
        <v>10</v>
      </c>
      <c r="N8750" t="s">
        <v>37</v>
      </c>
      <c r="O8750" t="s">
        <v>32</v>
      </c>
      <c r="P8750">
        <v>7.3294619098236096</v>
      </c>
      <c r="Q8750">
        <v>1.5472843254111299</v>
      </c>
      <c r="R8750">
        <v>0.31298207043649401</v>
      </c>
      <c r="S8750">
        <v>75</v>
      </c>
      <c r="T8750">
        <v>74</v>
      </c>
      <c r="U8750">
        <v>218.10024968661401</v>
      </c>
      <c r="V8750">
        <v>2.1551724137930999E-3</v>
      </c>
      <c r="W8750">
        <v>1325718.1259381601</v>
      </c>
      <c r="X8750" t="s">
        <v>31</v>
      </c>
      <c r="Y8750">
        <f>1-712-698-9170</f>
        <v>-10579</v>
      </c>
    </row>
    <row r="8751" spans="1:25" x14ac:dyDescent="0.35">
      <c r="A8751">
        <v>37.557679433867001</v>
      </c>
      <c r="B8751">
        <v>-114.224252728179</v>
      </c>
      <c r="C8751" t="s">
        <v>34</v>
      </c>
      <c r="D8751">
        <v>13.7567827063823</v>
      </c>
      <c r="E8751">
        <v>8</v>
      </c>
      <c r="F8751">
        <v>1286</v>
      </c>
      <c r="G8751">
        <v>3</v>
      </c>
      <c r="H8751">
        <v>1</v>
      </c>
      <c r="I8751">
        <v>2004</v>
      </c>
      <c r="J8751">
        <v>1</v>
      </c>
      <c r="K8751">
        <v>1</v>
      </c>
      <c r="L8751">
        <v>0</v>
      </c>
      <c r="M8751">
        <v>9</v>
      </c>
      <c r="N8751" t="s">
        <v>41</v>
      </c>
      <c r="O8751" t="s">
        <v>32</v>
      </c>
      <c r="P8751">
        <v>5.3818599244708798</v>
      </c>
      <c r="Q8751">
        <v>1.9573603026606201</v>
      </c>
      <c r="R8751">
        <v>0.60870950637175703</v>
      </c>
      <c r="S8751">
        <v>118</v>
      </c>
      <c r="T8751">
        <v>41</v>
      </c>
      <c r="U8751">
        <v>779.23816989094098</v>
      </c>
      <c r="V8751">
        <v>6.99844479004665E-3</v>
      </c>
      <c r="W8751">
        <v>1247432.7924768</v>
      </c>
      <c r="X8751" t="s">
        <v>44</v>
      </c>
      <c r="Y8751">
        <f>1-565-966-9254</f>
        <v>-10784</v>
      </c>
    </row>
    <row r="8752" spans="1:25" x14ac:dyDescent="0.35">
      <c r="A8752">
        <v>35.390869295133001</v>
      </c>
      <c r="B8752">
        <v>-114.785527915172</v>
      </c>
      <c r="C8752" t="s">
        <v>25</v>
      </c>
      <c r="D8752">
        <v>48.457577783168603</v>
      </c>
      <c r="E8752">
        <v>2</v>
      </c>
      <c r="F8752">
        <v>2566</v>
      </c>
      <c r="G8752">
        <v>3</v>
      </c>
      <c r="H8752">
        <v>3</v>
      </c>
      <c r="I8752">
        <v>1953</v>
      </c>
      <c r="J8752">
        <v>1</v>
      </c>
      <c r="K8752">
        <v>1</v>
      </c>
      <c r="L8752">
        <v>1</v>
      </c>
      <c r="M8752">
        <v>4</v>
      </c>
      <c r="N8752" t="s">
        <v>37</v>
      </c>
      <c r="O8752" t="s">
        <v>27</v>
      </c>
      <c r="P8752">
        <v>2.4095626758618298</v>
      </c>
      <c r="Q8752">
        <v>2.07985216841716</v>
      </c>
      <c r="R8752">
        <v>8.5515424022923998</v>
      </c>
      <c r="S8752">
        <v>13</v>
      </c>
      <c r="T8752">
        <v>67</v>
      </c>
      <c r="U8752">
        <v>693.24722244518705</v>
      </c>
      <c r="V8752">
        <v>1.55884645362431E-3</v>
      </c>
      <c r="W8752">
        <v>2076097.0927720999</v>
      </c>
      <c r="X8752" t="s">
        <v>31</v>
      </c>
      <c r="Y8752">
        <f>1-234-311-4114</f>
        <v>-4658</v>
      </c>
    </row>
    <row r="8753" spans="1:25" x14ac:dyDescent="0.35">
      <c r="A8753">
        <v>41.161889856775097</v>
      </c>
      <c r="B8753">
        <v>-121.324248832531</v>
      </c>
      <c r="C8753" t="s">
        <v>34</v>
      </c>
      <c r="D8753">
        <v>34.752539042912701</v>
      </c>
      <c r="E8753">
        <v>4</v>
      </c>
      <c r="F8753">
        <v>2665</v>
      </c>
      <c r="G8753">
        <v>1</v>
      </c>
      <c r="H8753">
        <v>3</v>
      </c>
      <c r="I8753">
        <v>1958</v>
      </c>
      <c r="J8753">
        <v>0</v>
      </c>
      <c r="K8753">
        <v>1</v>
      </c>
      <c r="L8753">
        <v>1</v>
      </c>
      <c r="M8753">
        <v>5</v>
      </c>
      <c r="N8753" t="s">
        <v>35</v>
      </c>
      <c r="O8753" t="s">
        <v>27</v>
      </c>
      <c r="P8753">
        <v>11.548069454925299</v>
      </c>
      <c r="Q8753">
        <v>0.60847097910399806</v>
      </c>
      <c r="R8753">
        <v>3.5467573258776599</v>
      </c>
      <c r="S8753">
        <v>108</v>
      </c>
      <c r="T8753">
        <v>21</v>
      </c>
      <c r="U8753">
        <v>804.04872384262796</v>
      </c>
      <c r="V8753">
        <v>1.87617260787992E-3</v>
      </c>
      <c r="W8753">
        <v>2391754.1138753402</v>
      </c>
      <c r="X8753" t="s">
        <v>44</v>
      </c>
      <c r="Y8753">
        <f>1-364-898-9876</f>
        <v>-11137</v>
      </c>
    </row>
    <row r="8754" spans="1:25" x14ac:dyDescent="0.35">
      <c r="A8754">
        <v>33.583918977843702</v>
      </c>
      <c r="B8754">
        <v>-118.32677532729799</v>
      </c>
      <c r="C8754" t="s">
        <v>34</v>
      </c>
      <c r="D8754">
        <v>1.3761864453270001</v>
      </c>
      <c r="E8754">
        <v>3</v>
      </c>
      <c r="F8754">
        <v>724</v>
      </c>
      <c r="G8754">
        <v>4</v>
      </c>
      <c r="H8754">
        <v>3</v>
      </c>
      <c r="I8754">
        <v>1976</v>
      </c>
      <c r="J8754">
        <v>1</v>
      </c>
      <c r="K8754">
        <v>0</v>
      </c>
      <c r="L8754">
        <v>1</v>
      </c>
      <c r="M8754">
        <v>4</v>
      </c>
      <c r="N8754" t="s">
        <v>35</v>
      </c>
      <c r="O8754" t="s">
        <v>27</v>
      </c>
      <c r="P8754">
        <v>14.760689963632601</v>
      </c>
      <c r="Q8754">
        <v>1.0739723962255601</v>
      </c>
      <c r="R8754">
        <v>9.8066702991817994E-2</v>
      </c>
      <c r="S8754">
        <v>150</v>
      </c>
      <c r="T8754">
        <v>38</v>
      </c>
      <c r="U8754">
        <v>896.06064545453796</v>
      </c>
      <c r="V8754">
        <v>5.5248618784530298E-3</v>
      </c>
      <c r="W8754">
        <v>1116848.3265052901</v>
      </c>
      <c r="X8754" t="s">
        <v>39</v>
      </c>
      <c r="Y8754">
        <f>1-592-640-8889</f>
        <v>-10120</v>
      </c>
    </row>
    <row r="8755" spans="1:25" x14ac:dyDescent="0.35">
      <c r="A8755">
        <v>41.094439174302103</v>
      </c>
      <c r="B8755">
        <v>-120.528793765475</v>
      </c>
      <c r="C8755" t="s">
        <v>25</v>
      </c>
      <c r="D8755">
        <v>1.4761467214537201</v>
      </c>
      <c r="E8755">
        <v>6</v>
      </c>
      <c r="F8755">
        <v>3391</v>
      </c>
      <c r="G8755">
        <v>1</v>
      </c>
      <c r="H8755">
        <v>3</v>
      </c>
      <c r="I8755">
        <v>1963</v>
      </c>
      <c r="J8755">
        <v>0</v>
      </c>
      <c r="K8755">
        <v>0</v>
      </c>
      <c r="L8755">
        <v>1</v>
      </c>
      <c r="M8755">
        <v>14</v>
      </c>
      <c r="N8755" t="s">
        <v>41</v>
      </c>
      <c r="O8755" t="s">
        <v>32</v>
      </c>
      <c r="P8755">
        <v>7.4608576270465496</v>
      </c>
      <c r="Q8755">
        <v>1.90971129988008</v>
      </c>
      <c r="R8755">
        <v>6.6968669536081702</v>
      </c>
      <c r="S8755">
        <v>90</v>
      </c>
      <c r="T8755">
        <v>42</v>
      </c>
      <c r="U8755">
        <v>660.97093494379396</v>
      </c>
      <c r="V8755">
        <v>4.1285756414037103E-3</v>
      </c>
      <c r="W8755">
        <v>2343029.0495438301</v>
      </c>
      <c r="X8755" t="s">
        <v>33</v>
      </c>
      <c r="Y8755">
        <f>1-325-361-2939</f>
        <v>-3624</v>
      </c>
    </row>
    <row r="8756" spans="1:25" x14ac:dyDescent="0.35">
      <c r="A8756">
        <v>40.907800252861001</v>
      </c>
      <c r="B8756">
        <v>-120.686515489326</v>
      </c>
      <c r="C8756" t="s">
        <v>34</v>
      </c>
      <c r="D8756">
        <v>3.1462774076658002</v>
      </c>
      <c r="E8756">
        <v>6</v>
      </c>
      <c r="F8756">
        <v>4632</v>
      </c>
      <c r="G8756">
        <v>1</v>
      </c>
      <c r="H8756">
        <v>3</v>
      </c>
      <c r="I8756">
        <v>2016</v>
      </c>
      <c r="J8756">
        <v>0</v>
      </c>
      <c r="K8756">
        <v>0</v>
      </c>
      <c r="L8756">
        <v>1</v>
      </c>
      <c r="M8756">
        <v>6</v>
      </c>
      <c r="N8756" t="s">
        <v>41</v>
      </c>
      <c r="O8756" t="s">
        <v>27</v>
      </c>
      <c r="P8756">
        <v>7.3128691069505498</v>
      </c>
      <c r="Q8756">
        <v>2.4202685710752898</v>
      </c>
      <c r="R8756">
        <v>4.0503822515540397</v>
      </c>
      <c r="S8756">
        <v>196</v>
      </c>
      <c r="T8756">
        <v>78</v>
      </c>
      <c r="U8756">
        <v>538.384533096155</v>
      </c>
      <c r="V8756">
        <v>1.2953367875647599E-3</v>
      </c>
      <c r="W8756">
        <v>2622354.9380923999</v>
      </c>
      <c r="X8756" t="s">
        <v>42</v>
      </c>
      <c r="Y8756">
        <f>1-466-682-9675</f>
        <v>-10822</v>
      </c>
    </row>
    <row r="8757" spans="1:25" x14ac:dyDescent="0.35">
      <c r="A8757">
        <v>38.452208266934598</v>
      </c>
      <c r="B8757">
        <v>-116.364483668288</v>
      </c>
      <c r="C8757" t="s">
        <v>34</v>
      </c>
      <c r="D8757">
        <v>26.248337743361599</v>
      </c>
      <c r="E8757">
        <v>1</v>
      </c>
      <c r="F8757">
        <v>4465</v>
      </c>
      <c r="G8757">
        <v>5</v>
      </c>
      <c r="H8757">
        <v>3</v>
      </c>
      <c r="I8757">
        <v>1960</v>
      </c>
      <c r="J8757">
        <v>1</v>
      </c>
      <c r="K8757">
        <v>1</v>
      </c>
      <c r="L8757">
        <v>0</v>
      </c>
      <c r="M8757">
        <v>7</v>
      </c>
      <c r="N8757" t="s">
        <v>37</v>
      </c>
      <c r="O8757" t="s">
        <v>32</v>
      </c>
      <c r="P8757">
        <v>10.763421094445199</v>
      </c>
      <c r="Q8757">
        <v>0.71082894780670303</v>
      </c>
      <c r="R8757">
        <v>7.2617825044146498</v>
      </c>
      <c r="S8757">
        <v>134</v>
      </c>
      <c r="T8757">
        <v>28</v>
      </c>
      <c r="U8757">
        <v>605.57117237040404</v>
      </c>
      <c r="V8757">
        <v>1.56774916013437E-3</v>
      </c>
      <c r="W8757">
        <v>3186765.82962602</v>
      </c>
      <c r="X8757" t="s">
        <v>44</v>
      </c>
      <c r="Y8757">
        <f>1-651-753-2033</f>
        <v>-3436</v>
      </c>
    </row>
    <row r="8758" spans="1:25" x14ac:dyDescent="0.35">
      <c r="A8758">
        <v>34.944460613787101</v>
      </c>
      <c r="B8758">
        <v>-118.626330055149</v>
      </c>
      <c r="C8758" t="s">
        <v>34</v>
      </c>
      <c r="D8758">
        <v>29.718245908285599</v>
      </c>
      <c r="E8758">
        <v>4</v>
      </c>
      <c r="F8758">
        <v>4883</v>
      </c>
      <c r="G8758">
        <v>5</v>
      </c>
      <c r="H8758">
        <v>2</v>
      </c>
      <c r="I8758">
        <v>2006</v>
      </c>
      <c r="J8758">
        <v>1</v>
      </c>
      <c r="K8758">
        <v>1</v>
      </c>
      <c r="L8758">
        <v>0</v>
      </c>
      <c r="M8758">
        <v>7</v>
      </c>
      <c r="N8758" t="s">
        <v>26</v>
      </c>
      <c r="O8758" t="s">
        <v>27</v>
      </c>
      <c r="P8758">
        <v>13.4103399034831</v>
      </c>
      <c r="Q8758">
        <v>1.6199806794131599</v>
      </c>
      <c r="R8758">
        <v>7.6934186482357099</v>
      </c>
      <c r="S8758">
        <v>199</v>
      </c>
      <c r="T8758">
        <v>29</v>
      </c>
      <c r="U8758">
        <v>634.98347808076005</v>
      </c>
      <c r="V8758">
        <v>1.4335449518738401E-3</v>
      </c>
      <c r="W8758">
        <v>3552072.71579231</v>
      </c>
      <c r="X8758" t="s">
        <v>43</v>
      </c>
      <c r="Y8758">
        <f>1-249-382-9821</f>
        <v>-10451</v>
      </c>
    </row>
    <row r="8759" spans="1:25" x14ac:dyDescent="0.35">
      <c r="A8759">
        <v>34.215248496129199</v>
      </c>
      <c r="B8759">
        <v>-122.37718329045801</v>
      </c>
      <c r="C8759" t="s">
        <v>29</v>
      </c>
      <c r="D8759">
        <v>26.322264792553501</v>
      </c>
      <c r="E8759">
        <v>5</v>
      </c>
      <c r="F8759">
        <v>3947</v>
      </c>
      <c r="G8759">
        <v>5</v>
      </c>
      <c r="H8759">
        <v>2</v>
      </c>
      <c r="I8759">
        <v>1978</v>
      </c>
      <c r="J8759">
        <v>0</v>
      </c>
      <c r="K8759">
        <v>0</v>
      </c>
      <c r="L8759">
        <v>0</v>
      </c>
      <c r="M8759">
        <v>7</v>
      </c>
      <c r="N8759" t="s">
        <v>41</v>
      </c>
      <c r="O8759" t="s">
        <v>32</v>
      </c>
      <c r="P8759">
        <v>9.3952544669316094</v>
      </c>
      <c r="Q8759">
        <v>0.82020041984574799</v>
      </c>
      <c r="R8759">
        <v>2.0004389111410301</v>
      </c>
      <c r="S8759">
        <v>32</v>
      </c>
      <c r="T8759">
        <v>54</v>
      </c>
      <c r="U8759">
        <v>924.72467400052096</v>
      </c>
      <c r="V8759">
        <v>1.77349885989359E-3</v>
      </c>
      <c r="W8759">
        <v>3944617.9004364498</v>
      </c>
      <c r="X8759" t="s">
        <v>40</v>
      </c>
      <c r="Y8759">
        <f>1-825-962-4729</f>
        <v>-6515</v>
      </c>
    </row>
    <row r="8760" spans="1:25" x14ac:dyDescent="0.35">
      <c r="A8760">
        <v>37.098273814790197</v>
      </c>
      <c r="B8760">
        <v>-118.320462782896</v>
      </c>
      <c r="C8760" t="s">
        <v>34</v>
      </c>
      <c r="D8760">
        <v>33.733091114499302</v>
      </c>
      <c r="E8760">
        <v>3</v>
      </c>
      <c r="F8760">
        <v>2124</v>
      </c>
      <c r="G8760">
        <v>4</v>
      </c>
      <c r="H8760">
        <v>3</v>
      </c>
      <c r="I8760">
        <v>1972</v>
      </c>
      <c r="J8760">
        <v>1</v>
      </c>
      <c r="K8760">
        <v>0</v>
      </c>
      <c r="L8760">
        <v>0</v>
      </c>
      <c r="M8760">
        <v>7</v>
      </c>
      <c r="N8760" t="s">
        <v>41</v>
      </c>
      <c r="O8760" t="s">
        <v>27</v>
      </c>
      <c r="P8760">
        <v>14.3189956357214</v>
      </c>
      <c r="Q8760">
        <v>1.3926270662065701</v>
      </c>
      <c r="R8760">
        <v>1.19227366940727</v>
      </c>
      <c r="S8760">
        <v>104</v>
      </c>
      <c r="T8760">
        <v>52</v>
      </c>
      <c r="U8760">
        <v>837.02770719396597</v>
      </c>
      <c r="V8760">
        <v>3.2956685499058299E-3</v>
      </c>
      <c r="W8760">
        <v>2114745.08292162</v>
      </c>
      <c r="X8760" t="s">
        <v>39</v>
      </c>
      <c r="Y8760">
        <f>1-460-786-1976</f>
        <v>-3221</v>
      </c>
    </row>
    <row r="8761" spans="1:25" x14ac:dyDescent="0.35">
      <c r="A8761">
        <v>38.357832695011403</v>
      </c>
      <c r="B8761">
        <v>-116.995881619611</v>
      </c>
      <c r="C8761" t="s">
        <v>29</v>
      </c>
      <c r="D8761">
        <v>1.0530925994317599</v>
      </c>
      <c r="E8761">
        <v>4</v>
      </c>
      <c r="F8761">
        <v>3502</v>
      </c>
      <c r="G8761">
        <v>5</v>
      </c>
      <c r="H8761">
        <v>3</v>
      </c>
      <c r="I8761">
        <v>1990</v>
      </c>
      <c r="J8761">
        <v>0</v>
      </c>
      <c r="K8761">
        <v>0</v>
      </c>
      <c r="L8761">
        <v>0</v>
      </c>
      <c r="M8761">
        <v>14</v>
      </c>
      <c r="N8761" t="s">
        <v>41</v>
      </c>
      <c r="O8761" t="s">
        <v>30</v>
      </c>
      <c r="P8761">
        <v>10.402407593650199</v>
      </c>
      <c r="Q8761">
        <v>0.56568316461697299</v>
      </c>
      <c r="R8761">
        <v>7.8946462156025099</v>
      </c>
      <c r="S8761">
        <v>180</v>
      </c>
      <c r="T8761">
        <v>37</v>
      </c>
      <c r="U8761">
        <v>842.81174129136605</v>
      </c>
      <c r="V8761">
        <v>3.9977155910908002E-3</v>
      </c>
      <c r="W8761">
        <v>3250272.6646554698</v>
      </c>
      <c r="X8761" t="s">
        <v>44</v>
      </c>
      <c r="Y8761">
        <f>1-397-831-5581</f>
        <v>-6808</v>
      </c>
    </row>
    <row r="8762" spans="1:25" x14ac:dyDescent="0.35">
      <c r="A8762">
        <v>41.184166145471899</v>
      </c>
      <c r="B8762">
        <v>-115.993011322565</v>
      </c>
      <c r="C8762" t="s">
        <v>25</v>
      </c>
      <c r="D8762">
        <v>49.818035559447999</v>
      </c>
      <c r="E8762">
        <v>5</v>
      </c>
      <c r="F8762">
        <v>3509</v>
      </c>
      <c r="G8762">
        <v>5</v>
      </c>
      <c r="H8762">
        <v>2</v>
      </c>
      <c r="I8762">
        <v>1951</v>
      </c>
      <c r="J8762">
        <v>1</v>
      </c>
      <c r="K8762">
        <v>0</v>
      </c>
      <c r="L8762">
        <v>0</v>
      </c>
      <c r="M8762">
        <v>2</v>
      </c>
      <c r="N8762" t="s">
        <v>37</v>
      </c>
      <c r="O8762" t="s">
        <v>27</v>
      </c>
      <c r="P8762">
        <v>7.6146364265706499</v>
      </c>
      <c r="Q8762">
        <v>1.60447763697224</v>
      </c>
      <c r="R8762">
        <v>4.0790835132299303</v>
      </c>
      <c r="S8762">
        <v>105</v>
      </c>
      <c r="T8762">
        <v>46</v>
      </c>
      <c r="U8762">
        <v>366.42253445797701</v>
      </c>
      <c r="V8762">
        <v>5.6996295240809296E-4</v>
      </c>
      <c r="W8762">
        <v>1623296.5064866799</v>
      </c>
      <c r="X8762" t="s">
        <v>40</v>
      </c>
      <c r="Y8762">
        <f>1-548-810-2692</f>
        <v>-4049</v>
      </c>
    </row>
    <row r="8763" spans="1:25" x14ac:dyDescent="0.35">
      <c r="A8763">
        <v>32.976824759119097</v>
      </c>
      <c r="B8763">
        <v>-121.25452326471699</v>
      </c>
      <c r="C8763" t="s">
        <v>29</v>
      </c>
      <c r="D8763">
        <v>2.7347615274491601</v>
      </c>
      <c r="E8763">
        <v>2</v>
      </c>
      <c r="F8763">
        <v>655</v>
      </c>
      <c r="G8763">
        <v>5</v>
      </c>
      <c r="H8763">
        <v>2</v>
      </c>
      <c r="I8763">
        <v>2006</v>
      </c>
      <c r="J8763">
        <v>0</v>
      </c>
      <c r="K8763">
        <v>0</v>
      </c>
      <c r="L8763">
        <v>0</v>
      </c>
      <c r="M8763">
        <v>4</v>
      </c>
      <c r="N8763" t="s">
        <v>41</v>
      </c>
      <c r="O8763" t="s">
        <v>30</v>
      </c>
      <c r="P8763">
        <v>9.8714325541787193</v>
      </c>
      <c r="Q8763">
        <v>0.93062427322331798</v>
      </c>
      <c r="R8763">
        <v>8.9903046602584293</v>
      </c>
      <c r="S8763">
        <v>104</v>
      </c>
      <c r="T8763">
        <v>21</v>
      </c>
      <c r="U8763">
        <v>417.78105458918401</v>
      </c>
      <c r="V8763">
        <v>6.1068702290076301E-3</v>
      </c>
      <c r="W8763">
        <v>527901.89217059698</v>
      </c>
      <c r="X8763" t="s">
        <v>36</v>
      </c>
      <c r="Y8763">
        <f>1-418-290-9575</f>
        <v>-10282</v>
      </c>
    </row>
    <row r="8764" spans="1:25" x14ac:dyDescent="0.35">
      <c r="A8764">
        <v>36.079850712804998</v>
      </c>
      <c r="B8764">
        <v>-121.406772636594</v>
      </c>
      <c r="C8764" t="s">
        <v>34</v>
      </c>
      <c r="D8764">
        <v>42.705153873391801</v>
      </c>
      <c r="E8764">
        <v>8</v>
      </c>
      <c r="F8764">
        <v>2390</v>
      </c>
      <c r="G8764">
        <v>5</v>
      </c>
      <c r="H8764">
        <v>1</v>
      </c>
      <c r="I8764">
        <v>2017</v>
      </c>
      <c r="J8764">
        <v>1</v>
      </c>
      <c r="K8764">
        <v>1</v>
      </c>
      <c r="L8764">
        <v>0</v>
      </c>
      <c r="M8764">
        <v>11</v>
      </c>
      <c r="N8764" t="s">
        <v>26</v>
      </c>
      <c r="O8764" t="s">
        <v>32</v>
      </c>
      <c r="P8764">
        <v>14.964236780205001</v>
      </c>
      <c r="Q8764">
        <v>2.2243069374951698</v>
      </c>
      <c r="R8764">
        <v>9.0379981309347901</v>
      </c>
      <c r="S8764">
        <v>83</v>
      </c>
      <c r="T8764">
        <v>46</v>
      </c>
      <c r="U8764">
        <v>737.85054110756801</v>
      </c>
      <c r="V8764">
        <v>4.6025104602510402E-3</v>
      </c>
      <c r="W8764">
        <v>2303463.24759052</v>
      </c>
      <c r="X8764" t="s">
        <v>38</v>
      </c>
      <c r="Y8764">
        <f>1-410-173-9231</f>
        <v>-9813</v>
      </c>
    </row>
    <row r="8765" spans="1:25" x14ac:dyDescent="0.35">
      <c r="A8765">
        <v>40.695027121139198</v>
      </c>
      <c r="B8765">
        <v>-118.92890550412299</v>
      </c>
      <c r="C8765" t="s">
        <v>25</v>
      </c>
      <c r="D8765">
        <v>9.6611752369102</v>
      </c>
      <c r="E8765">
        <v>1</v>
      </c>
      <c r="F8765">
        <v>3996</v>
      </c>
      <c r="G8765">
        <v>2</v>
      </c>
      <c r="H8765">
        <v>3</v>
      </c>
      <c r="I8765">
        <v>1996</v>
      </c>
      <c r="J8765">
        <v>1</v>
      </c>
      <c r="K8765">
        <v>1</v>
      </c>
      <c r="L8765">
        <v>0</v>
      </c>
      <c r="M8765">
        <v>6</v>
      </c>
      <c r="N8765" t="s">
        <v>35</v>
      </c>
      <c r="O8765" t="s">
        <v>30</v>
      </c>
      <c r="P8765">
        <v>3.3194252708108198</v>
      </c>
      <c r="Q8765">
        <v>1.3673573829213099</v>
      </c>
      <c r="R8765">
        <v>1.4238672842384601</v>
      </c>
      <c r="S8765">
        <v>15</v>
      </c>
      <c r="T8765">
        <v>67</v>
      </c>
      <c r="U8765">
        <v>372.02474458006799</v>
      </c>
      <c r="V8765">
        <v>1.5015015015015E-3</v>
      </c>
      <c r="W8765">
        <v>1906507.3106606901</v>
      </c>
      <c r="X8765" t="s">
        <v>42</v>
      </c>
      <c r="Y8765">
        <f>1-637-392-4810</f>
        <v>-5838</v>
      </c>
    </row>
    <row r="8766" spans="1:25" x14ac:dyDescent="0.35">
      <c r="A8766">
        <v>33.5583658222968</v>
      </c>
      <c r="B8766">
        <v>-116.205933208442</v>
      </c>
      <c r="C8766" t="s">
        <v>34</v>
      </c>
      <c r="D8766">
        <v>37.169960072752097</v>
      </c>
      <c r="E8766">
        <v>0</v>
      </c>
      <c r="F8766">
        <v>2653</v>
      </c>
      <c r="G8766">
        <v>1</v>
      </c>
      <c r="H8766">
        <v>1</v>
      </c>
      <c r="I8766">
        <v>1953</v>
      </c>
      <c r="J8766">
        <v>0</v>
      </c>
      <c r="K8766">
        <v>1</v>
      </c>
      <c r="L8766">
        <v>1</v>
      </c>
      <c r="M8766">
        <v>6</v>
      </c>
      <c r="N8766" t="s">
        <v>26</v>
      </c>
      <c r="O8766" t="s">
        <v>32</v>
      </c>
      <c r="P8766">
        <v>12.932005577069701</v>
      </c>
      <c r="Q8766">
        <v>1.6796065798898001</v>
      </c>
      <c r="R8766">
        <v>9.6535432872735392</v>
      </c>
      <c r="S8766">
        <v>159</v>
      </c>
      <c r="T8766">
        <v>32</v>
      </c>
      <c r="U8766">
        <v>641.25581932775106</v>
      </c>
      <c r="V8766">
        <v>2.2615906520919698E-3</v>
      </c>
      <c r="W8766">
        <v>1873824.4643196401</v>
      </c>
      <c r="X8766" t="s">
        <v>44</v>
      </c>
      <c r="Y8766">
        <f>1-766-209-9222</f>
        <v>-10196</v>
      </c>
    </row>
    <row r="8767" spans="1:25" x14ac:dyDescent="0.35">
      <c r="A8767">
        <v>35.548182934743899</v>
      </c>
      <c r="B8767">
        <v>-119.280350877289</v>
      </c>
      <c r="C8767" t="s">
        <v>25</v>
      </c>
      <c r="D8767">
        <v>5.8680433685654201</v>
      </c>
      <c r="E8767">
        <v>7</v>
      </c>
      <c r="F8767">
        <v>1650</v>
      </c>
      <c r="G8767">
        <v>5</v>
      </c>
      <c r="H8767">
        <v>3</v>
      </c>
      <c r="I8767">
        <v>2001</v>
      </c>
      <c r="J8767">
        <v>0</v>
      </c>
      <c r="K8767">
        <v>1</v>
      </c>
      <c r="L8767">
        <v>0</v>
      </c>
      <c r="M8767">
        <v>10</v>
      </c>
      <c r="N8767" t="s">
        <v>26</v>
      </c>
      <c r="O8767" t="s">
        <v>30</v>
      </c>
      <c r="P8767">
        <v>12.3284492792755</v>
      </c>
      <c r="Q8767">
        <v>1.8849318582588499</v>
      </c>
      <c r="R8767">
        <v>7.7363316335825996</v>
      </c>
      <c r="S8767">
        <v>84</v>
      </c>
      <c r="T8767">
        <v>76</v>
      </c>
      <c r="U8767">
        <v>569.18373236960804</v>
      </c>
      <c r="V8767">
        <v>6.0606060606060597E-3</v>
      </c>
      <c r="W8767">
        <v>1339209.30882661</v>
      </c>
      <c r="X8767" t="s">
        <v>36</v>
      </c>
      <c r="Y8767">
        <f>1-963-179-3057</f>
        <v>-4198</v>
      </c>
    </row>
    <row r="8768" spans="1:25" x14ac:dyDescent="0.35">
      <c r="A8768">
        <v>37.999403756910098</v>
      </c>
      <c r="B8768">
        <v>-120.04878745047201</v>
      </c>
      <c r="C8768" t="s">
        <v>25</v>
      </c>
      <c r="D8768">
        <v>49.153640105318601</v>
      </c>
      <c r="E8768">
        <v>4</v>
      </c>
      <c r="F8768">
        <v>710</v>
      </c>
      <c r="G8768">
        <v>1</v>
      </c>
      <c r="H8768">
        <v>1</v>
      </c>
      <c r="I8768">
        <v>1951</v>
      </c>
      <c r="J8768">
        <v>0</v>
      </c>
      <c r="K8768">
        <v>0</v>
      </c>
      <c r="L8768">
        <v>0</v>
      </c>
      <c r="M8768">
        <v>7</v>
      </c>
      <c r="N8768" t="s">
        <v>37</v>
      </c>
      <c r="O8768" t="s">
        <v>27</v>
      </c>
      <c r="P8768">
        <v>2.6779627811000402</v>
      </c>
      <c r="Q8768">
        <v>0.84097673980974397</v>
      </c>
      <c r="R8768">
        <v>2.3971709469998901</v>
      </c>
      <c r="S8768">
        <v>134</v>
      </c>
      <c r="T8768">
        <v>57</v>
      </c>
      <c r="U8768">
        <v>274.22218247809599</v>
      </c>
      <c r="V8768">
        <v>9.8591549295774603E-3</v>
      </c>
      <c r="W8768">
        <v>151111.04076952001</v>
      </c>
      <c r="X8768" t="s">
        <v>44</v>
      </c>
      <c r="Y8768">
        <f>1-658-602-3031</f>
        <v>-4290</v>
      </c>
    </row>
    <row r="8769" spans="1:25" x14ac:dyDescent="0.35">
      <c r="A8769">
        <v>39.233106113015999</v>
      </c>
      <c r="B8769">
        <v>-123.33089595789799</v>
      </c>
      <c r="C8769" t="s">
        <v>25</v>
      </c>
      <c r="D8769">
        <v>8.2224992375992798</v>
      </c>
      <c r="E8769">
        <v>4</v>
      </c>
      <c r="F8769">
        <v>2726</v>
      </c>
      <c r="G8769">
        <v>5</v>
      </c>
      <c r="H8769">
        <v>2</v>
      </c>
      <c r="I8769">
        <v>1963</v>
      </c>
      <c r="J8769">
        <v>0</v>
      </c>
      <c r="K8769">
        <v>1</v>
      </c>
      <c r="L8769">
        <v>0</v>
      </c>
      <c r="M8769">
        <v>10</v>
      </c>
      <c r="N8769" t="s">
        <v>35</v>
      </c>
      <c r="O8769" t="s">
        <v>30</v>
      </c>
      <c r="P8769">
        <v>11.569946657035199</v>
      </c>
      <c r="Q8769">
        <v>0.90405081405365195</v>
      </c>
      <c r="R8769">
        <v>6.6516721795185898</v>
      </c>
      <c r="S8769">
        <v>34</v>
      </c>
      <c r="T8769">
        <v>35</v>
      </c>
      <c r="U8769">
        <v>540.86190732059697</v>
      </c>
      <c r="V8769">
        <v>3.66837857666911E-3</v>
      </c>
      <c r="W8769">
        <v>1842495.0327850899</v>
      </c>
      <c r="X8769" t="s">
        <v>42</v>
      </c>
      <c r="Y8769">
        <f>1-936-648-7548</f>
        <v>-9131</v>
      </c>
    </row>
    <row r="8770" spans="1:25" x14ac:dyDescent="0.35">
      <c r="A8770">
        <v>38.356364303091702</v>
      </c>
      <c r="B8770">
        <v>-116.00467046055201</v>
      </c>
      <c r="C8770" t="s">
        <v>29</v>
      </c>
      <c r="D8770">
        <v>39.979387087119001</v>
      </c>
      <c r="E8770">
        <v>5</v>
      </c>
      <c r="F8770">
        <v>3168</v>
      </c>
      <c r="G8770">
        <v>1</v>
      </c>
      <c r="H8770">
        <v>2</v>
      </c>
      <c r="I8770">
        <v>1984</v>
      </c>
      <c r="J8770">
        <v>0</v>
      </c>
      <c r="K8770">
        <v>1</v>
      </c>
      <c r="L8770">
        <v>0</v>
      </c>
      <c r="M8770">
        <v>4</v>
      </c>
      <c r="N8770" t="s">
        <v>37</v>
      </c>
      <c r="O8770" t="s">
        <v>30</v>
      </c>
      <c r="P8770">
        <v>6.2300258624081097</v>
      </c>
      <c r="Q8770">
        <v>2.32520477491504</v>
      </c>
      <c r="R8770">
        <v>5.9195738869077204</v>
      </c>
      <c r="S8770">
        <v>36</v>
      </c>
      <c r="T8770">
        <v>63</v>
      </c>
      <c r="U8770">
        <v>261.79068546418</v>
      </c>
      <c r="V8770">
        <v>1.2626262626262599E-3</v>
      </c>
      <c r="W8770">
        <v>956983.50566236395</v>
      </c>
      <c r="X8770" t="s">
        <v>43</v>
      </c>
      <c r="Y8770">
        <f>1-547-840-6079</f>
        <v>-7465</v>
      </c>
    </row>
    <row r="8771" spans="1:25" x14ac:dyDescent="0.35">
      <c r="A8771">
        <v>39.838763423474198</v>
      </c>
      <c r="B8771">
        <v>-123.205998796976</v>
      </c>
      <c r="C8771" t="s">
        <v>25</v>
      </c>
      <c r="D8771">
        <v>17.3953493434724</v>
      </c>
      <c r="E8771">
        <v>2</v>
      </c>
      <c r="F8771">
        <v>1771</v>
      </c>
      <c r="G8771">
        <v>3</v>
      </c>
      <c r="H8771">
        <v>2</v>
      </c>
      <c r="I8771">
        <v>1985</v>
      </c>
      <c r="J8771">
        <v>0</v>
      </c>
      <c r="K8771">
        <v>0</v>
      </c>
      <c r="L8771">
        <v>1</v>
      </c>
      <c r="M8771">
        <v>12</v>
      </c>
      <c r="N8771" t="s">
        <v>37</v>
      </c>
      <c r="O8771" t="s">
        <v>32</v>
      </c>
      <c r="P8771">
        <v>6.8249976833627697</v>
      </c>
      <c r="Q8771">
        <v>2.3238768798216101</v>
      </c>
      <c r="R8771">
        <v>4.85435021151266</v>
      </c>
      <c r="S8771">
        <v>11</v>
      </c>
      <c r="T8771">
        <v>64</v>
      </c>
      <c r="U8771">
        <v>699.04596980771601</v>
      </c>
      <c r="V8771">
        <v>6.7758328627893797E-3</v>
      </c>
      <c r="W8771">
        <v>1497922.99595112</v>
      </c>
      <c r="X8771" t="s">
        <v>36</v>
      </c>
      <c r="Y8771">
        <f>1-854-493-8006</f>
        <v>-9352</v>
      </c>
    </row>
    <row r="8772" spans="1:25" x14ac:dyDescent="0.35">
      <c r="A8772">
        <v>33.710098434140598</v>
      </c>
      <c r="B8772">
        <v>-117.805272610321</v>
      </c>
      <c r="C8772" t="s">
        <v>25</v>
      </c>
      <c r="D8772">
        <v>34.586551064343801</v>
      </c>
      <c r="E8772">
        <v>7</v>
      </c>
      <c r="F8772">
        <v>3970</v>
      </c>
      <c r="G8772">
        <v>2</v>
      </c>
      <c r="H8772">
        <v>2</v>
      </c>
      <c r="I8772">
        <v>1980</v>
      </c>
      <c r="J8772">
        <v>1</v>
      </c>
      <c r="K8772">
        <v>1</v>
      </c>
      <c r="L8772">
        <v>1</v>
      </c>
      <c r="M8772">
        <v>2</v>
      </c>
      <c r="N8772" t="s">
        <v>37</v>
      </c>
      <c r="O8772" t="s">
        <v>30</v>
      </c>
      <c r="P8772">
        <v>12.4649177124635</v>
      </c>
      <c r="Q8772">
        <v>0.954536213026284</v>
      </c>
      <c r="R8772">
        <v>7.0783433375280698</v>
      </c>
      <c r="S8772">
        <v>114</v>
      </c>
      <c r="T8772">
        <v>33</v>
      </c>
      <c r="U8772">
        <v>779.47156314855397</v>
      </c>
      <c r="V8772">
        <v>5.0377833753148602E-4</v>
      </c>
      <c r="W8772">
        <v>3423572.76623856</v>
      </c>
      <c r="X8772" t="s">
        <v>38</v>
      </c>
      <c r="Y8772">
        <f>1-626-515-9810</f>
        <v>-10950</v>
      </c>
    </row>
    <row r="8773" spans="1:25" x14ac:dyDescent="0.35">
      <c r="A8773">
        <v>33.011534737830999</v>
      </c>
      <c r="B8773">
        <v>-122.24000035752699</v>
      </c>
      <c r="C8773" t="s">
        <v>34</v>
      </c>
      <c r="D8773">
        <v>18.507954314360099</v>
      </c>
      <c r="E8773">
        <v>8</v>
      </c>
      <c r="F8773">
        <v>931</v>
      </c>
      <c r="G8773">
        <v>1</v>
      </c>
      <c r="H8773">
        <v>3</v>
      </c>
      <c r="I8773">
        <v>1964</v>
      </c>
      <c r="J8773">
        <v>0</v>
      </c>
      <c r="K8773">
        <v>1</v>
      </c>
      <c r="L8773">
        <v>1</v>
      </c>
      <c r="M8773">
        <v>11</v>
      </c>
      <c r="N8773" t="s">
        <v>26</v>
      </c>
      <c r="O8773" t="s">
        <v>30</v>
      </c>
      <c r="P8773">
        <v>13.7351434137911</v>
      </c>
      <c r="Q8773">
        <v>2.4040773709768399</v>
      </c>
      <c r="R8773">
        <v>7.5920524713889597</v>
      </c>
      <c r="S8773">
        <v>167</v>
      </c>
      <c r="T8773">
        <v>73</v>
      </c>
      <c r="U8773">
        <v>359.12406605986399</v>
      </c>
      <c r="V8773">
        <v>1.18152524167561E-2</v>
      </c>
      <c r="W8773">
        <v>573250.927915751</v>
      </c>
      <c r="X8773" t="s">
        <v>42</v>
      </c>
      <c r="Y8773">
        <f>1-795-172-7763</f>
        <v>-8729</v>
      </c>
    </row>
    <row r="8774" spans="1:25" x14ac:dyDescent="0.35">
      <c r="A8774">
        <v>33.705413339058197</v>
      </c>
      <c r="B8774">
        <v>-116.463009622694</v>
      </c>
      <c r="C8774" t="s">
        <v>29</v>
      </c>
      <c r="D8774">
        <v>28.1796526404828</v>
      </c>
      <c r="E8774">
        <v>0</v>
      </c>
      <c r="F8774">
        <v>3931</v>
      </c>
      <c r="G8774">
        <v>1</v>
      </c>
      <c r="H8774">
        <v>2</v>
      </c>
      <c r="I8774">
        <v>1956</v>
      </c>
      <c r="J8774">
        <v>0</v>
      </c>
      <c r="K8774">
        <v>0</v>
      </c>
      <c r="L8774">
        <v>1</v>
      </c>
      <c r="M8774">
        <v>9</v>
      </c>
      <c r="N8774" t="s">
        <v>35</v>
      </c>
      <c r="O8774" t="s">
        <v>30</v>
      </c>
      <c r="P8774">
        <v>11.544091999788</v>
      </c>
      <c r="Q8774">
        <v>2.0644461914825598</v>
      </c>
      <c r="R8774">
        <v>3.9373864137455499</v>
      </c>
      <c r="S8774">
        <v>60</v>
      </c>
      <c r="T8774">
        <v>31</v>
      </c>
      <c r="U8774">
        <v>535.89191406294401</v>
      </c>
      <c r="V8774">
        <v>2.2894937674891799E-3</v>
      </c>
      <c r="W8774">
        <v>2126955.14403687</v>
      </c>
      <c r="X8774" t="s">
        <v>36</v>
      </c>
      <c r="Y8774">
        <f>1-579-979-8145</f>
        <v>-9702</v>
      </c>
    </row>
    <row r="8775" spans="1:25" x14ac:dyDescent="0.35">
      <c r="A8775">
        <v>36.1489220446784</v>
      </c>
      <c r="B8775">
        <v>-123.409187351287</v>
      </c>
      <c r="C8775" t="s">
        <v>29</v>
      </c>
      <c r="D8775">
        <v>38.651444254553198</v>
      </c>
      <c r="E8775">
        <v>6</v>
      </c>
      <c r="F8775">
        <v>2497</v>
      </c>
      <c r="G8775">
        <v>5</v>
      </c>
      <c r="H8775">
        <v>2</v>
      </c>
      <c r="I8775">
        <v>1956</v>
      </c>
      <c r="J8775">
        <v>1</v>
      </c>
      <c r="K8775">
        <v>1</v>
      </c>
      <c r="L8775">
        <v>1</v>
      </c>
      <c r="M8775">
        <v>7</v>
      </c>
      <c r="N8775" t="s">
        <v>37</v>
      </c>
      <c r="O8775" t="s">
        <v>27</v>
      </c>
      <c r="P8775">
        <v>5.9118172852201702</v>
      </c>
      <c r="Q8775">
        <v>1.2685063133128101</v>
      </c>
      <c r="R8775">
        <v>2.9248056090297099</v>
      </c>
      <c r="S8775">
        <v>16</v>
      </c>
      <c r="T8775">
        <v>42</v>
      </c>
      <c r="U8775">
        <v>947.61680881232496</v>
      </c>
      <c r="V8775">
        <v>2.80336403684421E-3</v>
      </c>
      <c r="W8775">
        <v>2841837.6869440698</v>
      </c>
      <c r="X8775" t="s">
        <v>38</v>
      </c>
      <c r="Y8775">
        <f>1-257-543-8801</f>
        <v>-9600</v>
      </c>
    </row>
    <row r="8776" spans="1:25" x14ac:dyDescent="0.35">
      <c r="A8776">
        <v>35.637191924253003</v>
      </c>
      <c r="B8776">
        <v>-121.83673810109001</v>
      </c>
      <c r="C8776" t="s">
        <v>29</v>
      </c>
      <c r="D8776">
        <v>46.230491635622798</v>
      </c>
      <c r="E8776">
        <v>1</v>
      </c>
      <c r="F8776">
        <v>3163</v>
      </c>
      <c r="G8776">
        <v>5</v>
      </c>
      <c r="H8776">
        <v>2</v>
      </c>
      <c r="I8776">
        <v>1998</v>
      </c>
      <c r="J8776">
        <v>0</v>
      </c>
      <c r="K8776">
        <v>0</v>
      </c>
      <c r="L8776">
        <v>0</v>
      </c>
      <c r="M8776">
        <v>5</v>
      </c>
      <c r="N8776" t="s">
        <v>41</v>
      </c>
      <c r="O8776" t="s">
        <v>30</v>
      </c>
      <c r="P8776">
        <v>6.3793241932817697</v>
      </c>
      <c r="Q8776">
        <v>1.5618199925334899</v>
      </c>
      <c r="R8776">
        <v>7.3857536312001004</v>
      </c>
      <c r="S8776">
        <v>166</v>
      </c>
      <c r="T8776">
        <v>47</v>
      </c>
      <c r="U8776">
        <v>774.07952975760702</v>
      </c>
      <c r="V8776">
        <v>1.5807777426493799E-3</v>
      </c>
      <c r="W8776">
        <v>2731579.6921331701</v>
      </c>
      <c r="X8776" t="s">
        <v>33</v>
      </c>
      <c r="Y8776">
        <f>1-326-468-6630</f>
        <v>-7423</v>
      </c>
    </row>
    <row r="8777" spans="1:25" x14ac:dyDescent="0.35">
      <c r="A8777">
        <v>38.9447691436132</v>
      </c>
      <c r="B8777">
        <v>-123.250764960743</v>
      </c>
      <c r="C8777" t="s">
        <v>34</v>
      </c>
      <c r="D8777">
        <v>26.6844388220686</v>
      </c>
      <c r="E8777">
        <v>3</v>
      </c>
      <c r="F8777">
        <v>4422</v>
      </c>
      <c r="G8777">
        <v>1</v>
      </c>
      <c r="H8777">
        <v>2</v>
      </c>
      <c r="I8777">
        <v>2015</v>
      </c>
      <c r="J8777">
        <v>1</v>
      </c>
      <c r="K8777">
        <v>1</v>
      </c>
      <c r="L8777">
        <v>1</v>
      </c>
      <c r="M8777">
        <v>12</v>
      </c>
      <c r="N8777" t="s">
        <v>37</v>
      </c>
      <c r="O8777" t="s">
        <v>27</v>
      </c>
      <c r="P8777">
        <v>11.569361087890201</v>
      </c>
      <c r="Q8777">
        <v>1.7350205734214801</v>
      </c>
      <c r="R8777">
        <v>3.5265305242752598</v>
      </c>
      <c r="S8777">
        <v>150</v>
      </c>
      <c r="T8777">
        <v>35</v>
      </c>
      <c r="U8777">
        <v>494.107009777467</v>
      </c>
      <c r="V8777">
        <v>2.7137042062415099E-3</v>
      </c>
      <c r="W8777">
        <v>2543154.29915267</v>
      </c>
      <c r="X8777" t="s">
        <v>44</v>
      </c>
      <c r="Y8777">
        <f>1-575-337-9733</f>
        <v>-10644</v>
      </c>
    </row>
    <row r="8778" spans="1:25" x14ac:dyDescent="0.35">
      <c r="A8778">
        <v>36.352150076182703</v>
      </c>
      <c r="B8778">
        <v>-123.608932505992</v>
      </c>
      <c r="C8778" t="s">
        <v>25</v>
      </c>
      <c r="D8778">
        <v>1.27385676816293</v>
      </c>
      <c r="E8778">
        <v>5</v>
      </c>
      <c r="F8778">
        <v>855</v>
      </c>
      <c r="G8778">
        <v>1</v>
      </c>
      <c r="H8778">
        <v>3</v>
      </c>
      <c r="I8778">
        <v>2017</v>
      </c>
      <c r="J8778">
        <v>0</v>
      </c>
      <c r="K8778">
        <v>1</v>
      </c>
      <c r="L8778">
        <v>1</v>
      </c>
      <c r="M8778">
        <v>11</v>
      </c>
      <c r="N8778" t="s">
        <v>41</v>
      </c>
      <c r="O8778" t="s">
        <v>30</v>
      </c>
      <c r="P8778">
        <v>11.4545592793894</v>
      </c>
      <c r="Q8778">
        <v>1.05427376634152</v>
      </c>
      <c r="R8778">
        <v>7.5414870879635298</v>
      </c>
      <c r="S8778">
        <v>65</v>
      </c>
      <c r="T8778">
        <v>64</v>
      </c>
      <c r="U8778">
        <v>791.83304331373802</v>
      </c>
      <c r="V8778">
        <v>1.2865497076023301E-2</v>
      </c>
      <c r="W8778">
        <v>1047955.64190215</v>
      </c>
      <c r="X8778" t="s">
        <v>31</v>
      </c>
      <c r="Y8778">
        <f>1-947-644-1598</f>
        <v>-3188</v>
      </c>
    </row>
    <row r="8779" spans="1:25" x14ac:dyDescent="0.35">
      <c r="A8779">
        <v>33.109620861973603</v>
      </c>
      <c r="B8779">
        <v>-115.478769287525</v>
      </c>
      <c r="C8779" t="s">
        <v>29</v>
      </c>
      <c r="D8779">
        <v>32.637031056465801</v>
      </c>
      <c r="E8779">
        <v>8</v>
      </c>
      <c r="F8779">
        <v>572</v>
      </c>
      <c r="G8779">
        <v>3</v>
      </c>
      <c r="H8779">
        <v>1</v>
      </c>
      <c r="I8779">
        <v>1957</v>
      </c>
      <c r="J8779">
        <v>0</v>
      </c>
      <c r="K8779">
        <v>0</v>
      </c>
      <c r="L8779">
        <v>1</v>
      </c>
      <c r="M8779">
        <v>11</v>
      </c>
      <c r="N8779" t="s">
        <v>41</v>
      </c>
      <c r="O8779" t="s">
        <v>27</v>
      </c>
      <c r="P8779">
        <v>7.3223955360840201</v>
      </c>
      <c r="Q8779">
        <v>1.54662785638386</v>
      </c>
      <c r="R8779">
        <v>3.1629620418762898</v>
      </c>
      <c r="S8779">
        <v>146</v>
      </c>
      <c r="T8779">
        <v>29</v>
      </c>
      <c r="U8779">
        <v>233.19081431357799</v>
      </c>
      <c r="V8779">
        <v>1.9230769230769201E-2</v>
      </c>
      <c r="W8779">
        <v>219493.60389011999</v>
      </c>
      <c r="X8779" t="s">
        <v>43</v>
      </c>
      <c r="Y8779">
        <f>1-575-208-1775</f>
        <v>-2557</v>
      </c>
    </row>
    <row r="8780" spans="1:25" x14ac:dyDescent="0.35">
      <c r="A8780">
        <v>40.575110328413302</v>
      </c>
      <c r="B8780">
        <v>-119.259880879478</v>
      </c>
      <c r="C8780" t="s">
        <v>25</v>
      </c>
      <c r="D8780">
        <v>37.680245595146403</v>
      </c>
      <c r="E8780">
        <v>0</v>
      </c>
      <c r="F8780">
        <v>1413</v>
      </c>
      <c r="G8780">
        <v>2</v>
      </c>
      <c r="H8780">
        <v>3</v>
      </c>
      <c r="I8780">
        <v>1987</v>
      </c>
      <c r="J8780">
        <v>1</v>
      </c>
      <c r="K8780">
        <v>1</v>
      </c>
      <c r="L8780">
        <v>1</v>
      </c>
      <c r="M8780">
        <v>8</v>
      </c>
      <c r="N8780" t="s">
        <v>26</v>
      </c>
      <c r="O8780" t="s">
        <v>30</v>
      </c>
      <c r="P8780">
        <v>13.3168043747325</v>
      </c>
      <c r="Q8780">
        <v>0.98761301460811401</v>
      </c>
      <c r="R8780">
        <v>6.2860914917993096</v>
      </c>
      <c r="S8780">
        <v>155</v>
      </c>
      <c r="T8780">
        <v>51</v>
      </c>
      <c r="U8780">
        <v>809.38070242286904</v>
      </c>
      <c r="V8780">
        <v>5.6617126680820898E-3</v>
      </c>
      <c r="W8780">
        <v>1516319.3020886299</v>
      </c>
      <c r="X8780" t="s">
        <v>39</v>
      </c>
      <c r="Y8780">
        <f>1-580-517-9914</f>
        <v>-11010</v>
      </c>
    </row>
    <row r="8781" spans="1:25" x14ac:dyDescent="0.35">
      <c r="A8781">
        <v>39.707424986655397</v>
      </c>
      <c r="B8781">
        <v>-120.367762207889</v>
      </c>
      <c r="C8781" t="s">
        <v>25</v>
      </c>
      <c r="D8781">
        <v>25.908512241598199</v>
      </c>
      <c r="E8781">
        <v>0</v>
      </c>
      <c r="F8781">
        <v>4683</v>
      </c>
      <c r="G8781">
        <v>3</v>
      </c>
      <c r="H8781">
        <v>1</v>
      </c>
      <c r="I8781">
        <v>1968</v>
      </c>
      <c r="J8781">
        <v>0</v>
      </c>
      <c r="K8781">
        <v>0</v>
      </c>
      <c r="L8781">
        <v>1</v>
      </c>
      <c r="M8781">
        <v>7</v>
      </c>
      <c r="N8781" t="s">
        <v>26</v>
      </c>
      <c r="O8781" t="s">
        <v>32</v>
      </c>
      <c r="P8781">
        <v>8.1684704334766902</v>
      </c>
      <c r="Q8781">
        <v>2.2519556030521999</v>
      </c>
      <c r="R8781">
        <v>4.7172855468706603</v>
      </c>
      <c r="S8781">
        <v>48</v>
      </c>
      <c r="T8781">
        <v>40</v>
      </c>
      <c r="U8781">
        <v>420.01474102036502</v>
      </c>
      <c r="V8781">
        <v>1.4947683109118E-3</v>
      </c>
      <c r="W8781">
        <v>2193681.0568604399</v>
      </c>
      <c r="X8781" t="s">
        <v>31</v>
      </c>
      <c r="Y8781">
        <f>1-851-546-9628</f>
        <v>-11024</v>
      </c>
    </row>
    <row r="8782" spans="1:25" x14ac:dyDescent="0.35">
      <c r="A8782">
        <v>32.518111623007798</v>
      </c>
      <c r="B8782">
        <v>-117.823578954943</v>
      </c>
      <c r="C8782" t="s">
        <v>34</v>
      </c>
      <c r="D8782">
        <v>47.865057300242398</v>
      </c>
      <c r="E8782">
        <v>4</v>
      </c>
      <c r="F8782">
        <v>4413</v>
      </c>
      <c r="G8782">
        <v>3</v>
      </c>
      <c r="H8782">
        <v>2</v>
      </c>
      <c r="I8782">
        <v>1958</v>
      </c>
      <c r="J8782">
        <v>0</v>
      </c>
      <c r="K8782">
        <v>0</v>
      </c>
      <c r="L8782">
        <v>0</v>
      </c>
      <c r="M8782">
        <v>9</v>
      </c>
      <c r="N8782" t="s">
        <v>35</v>
      </c>
      <c r="O8782" t="s">
        <v>30</v>
      </c>
      <c r="P8782">
        <v>14.205296806816101</v>
      </c>
      <c r="Q8782">
        <v>2.1028285075433102</v>
      </c>
      <c r="R8782">
        <v>3.8756868010697998</v>
      </c>
      <c r="S8782">
        <v>61</v>
      </c>
      <c r="T8782">
        <v>42</v>
      </c>
      <c r="U8782">
        <v>818.44618214203001</v>
      </c>
      <c r="V8782">
        <v>2.0394289598912301E-3</v>
      </c>
      <c r="W8782">
        <v>3818264.7009233302</v>
      </c>
      <c r="X8782" t="s">
        <v>28</v>
      </c>
      <c r="Y8782">
        <f>1-774-833-2808</f>
        <v>-4414</v>
      </c>
    </row>
    <row r="8783" spans="1:25" x14ac:dyDescent="0.35">
      <c r="A8783">
        <v>34.861213203054398</v>
      </c>
      <c r="B8783">
        <v>-120.370210434809</v>
      </c>
      <c r="C8783" t="s">
        <v>34</v>
      </c>
      <c r="D8783">
        <v>12.495406809748699</v>
      </c>
      <c r="E8783">
        <v>9</v>
      </c>
      <c r="F8783">
        <v>1909</v>
      </c>
      <c r="G8783">
        <v>4</v>
      </c>
      <c r="H8783">
        <v>2</v>
      </c>
      <c r="I8783">
        <v>1993</v>
      </c>
      <c r="J8783">
        <v>0</v>
      </c>
      <c r="K8783">
        <v>1</v>
      </c>
      <c r="L8783">
        <v>1</v>
      </c>
      <c r="M8783">
        <v>13</v>
      </c>
      <c r="N8783" t="s">
        <v>26</v>
      </c>
      <c r="O8783" t="s">
        <v>32</v>
      </c>
      <c r="P8783">
        <v>12.867701987921301</v>
      </c>
      <c r="Q8783">
        <v>1.7318991054809501</v>
      </c>
      <c r="R8783">
        <v>0.51160479537940895</v>
      </c>
      <c r="S8783">
        <v>166</v>
      </c>
      <c r="T8783">
        <v>30</v>
      </c>
      <c r="U8783">
        <v>631.45756433916199</v>
      </c>
      <c r="V8783">
        <v>6.8098480880041902E-3</v>
      </c>
      <c r="W8783">
        <v>1616191.56858344</v>
      </c>
      <c r="X8783" t="s">
        <v>28</v>
      </c>
      <c r="Y8783">
        <f>1-651-268-9505</f>
        <v>-10423</v>
      </c>
    </row>
    <row r="8784" spans="1:25" x14ac:dyDescent="0.35">
      <c r="A8784">
        <v>41.735313148524298</v>
      </c>
      <c r="B8784">
        <v>-120.910355404767</v>
      </c>
      <c r="C8784" t="s">
        <v>29</v>
      </c>
      <c r="D8784">
        <v>34.783209407565202</v>
      </c>
      <c r="E8784">
        <v>0</v>
      </c>
      <c r="F8784">
        <v>3525</v>
      </c>
      <c r="G8784">
        <v>4</v>
      </c>
      <c r="H8784">
        <v>1</v>
      </c>
      <c r="I8784">
        <v>2020</v>
      </c>
      <c r="J8784">
        <v>0</v>
      </c>
      <c r="K8784">
        <v>0</v>
      </c>
      <c r="L8784">
        <v>0</v>
      </c>
      <c r="M8784">
        <v>10</v>
      </c>
      <c r="N8784" t="s">
        <v>37</v>
      </c>
      <c r="O8784" t="s">
        <v>27</v>
      </c>
      <c r="P8784">
        <v>11.2266126635859</v>
      </c>
      <c r="Q8784">
        <v>0.997592354050995</v>
      </c>
      <c r="R8784">
        <v>0.71642937726838496</v>
      </c>
      <c r="S8784">
        <v>175</v>
      </c>
      <c r="T8784">
        <v>56</v>
      </c>
      <c r="U8784">
        <v>856.175852817791</v>
      </c>
      <c r="V8784">
        <v>2.8368794326241102E-3</v>
      </c>
      <c r="W8784">
        <v>3255346.7032369501</v>
      </c>
      <c r="X8784" t="s">
        <v>42</v>
      </c>
      <c r="Y8784">
        <f>1-291-704-6574</f>
        <v>-7568</v>
      </c>
    </row>
    <row r="8785" spans="1:25" x14ac:dyDescent="0.35">
      <c r="A8785">
        <v>34.033447136054299</v>
      </c>
      <c r="B8785">
        <v>-123.838934145029</v>
      </c>
      <c r="C8785" t="s">
        <v>34</v>
      </c>
      <c r="D8785">
        <v>9.2940662530234501</v>
      </c>
      <c r="E8785">
        <v>5</v>
      </c>
      <c r="F8785">
        <v>3803</v>
      </c>
      <c r="G8785">
        <v>5</v>
      </c>
      <c r="H8785">
        <v>3</v>
      </c>
      <c r="I8785">
        <v>1973</v>
      </c>
      <c r="J8785">
        <v>0</v>
      </c>
      <c r="K8785">
        <v>1</v>
      </c>
      <c r="L8785">
        <v>0</v>
      </c>
      <c r="M8785">
        <v>3</v>
      </c>
      <c r="N8785" t="s">
        <v>41</v>
      </c>
      <c r="O8785" t="s">
        <v>32</v>
      </c>
      <c r="P8785">
        <v>8.2565009264538105</v>
      </c>
      <c r="Q8785">
        <v>1.4173463839868801</v>
      </c>
      <c r="R8785">
        <v>8.5682909555988207</v>
      </c>
      <c r="S8785">
        <v>35</v>
      </c>
      <c r="T8785">
        <v>62</v>
      </c>
      <c r="U8785">
        <v>636.30111730380497</v>
      </c>
      <c r="V8785">
        <v>7.8885090717854302E-4</v>
      </c>
      <c r="W8785">
        <v>2821466.0481551401</v>
      </c>
      <c r="X8785" t="s">
        <v>28</v>
      </c>
      <c r="Y8785">
        <f>1-283-956-2379</f>
        <v>-3617</v>
      </c>
    </row>
    <row r="8786" spans="1:25" x14ac:dyDescent="0.35">
      <c r="A8786">
        <v>35.8956463436501</v>
      </c>
      <c r="B8786">
        <v>-114.45393549994201</v>
      </c>
      <c r="C8786" t="s">
        <v>34</v>
      </c>
      <c r="D8786">
        <v>23.034658891425099</v>
      </c>
      <c r="E8786">
        <v>2</v>
      </c>
      <c r="F8786">
        <v>1040</v>
      </c>
      <c r="G8786">
        <v>3</v>
      </c>
      <c r="H8786">
        <v>2</v>
      </c>
      <c r="I8786">
        <v>1955</v>
      </c>
      <c r="J8786">
        <v>0</v>
      </c>
      <c r="K8786">
        <v>0</v>
      </c>
      <c r="L8786">
        <v>0</v>
      </c>
      <c r="M8786">
        <v>11</v>
      </c>
      <c r="N8786" t="s">
        <v>26</v>
      </c>
      <c r="O8786" t="s">
        <v>27</v>
      </c>
      <c r="P8786">
        <v>7.6434123646989196</v>
      </c>
      <c r="Q8786">
        <v>0.75998668743919695</v>
      </c>
      <c r="R8786">
        <v>0.94563089652242205</v>
      </c>
      <c r="S8786">
        <v>179</v>
      </c>
      <c r="T8786">
        <v>59</v>
      </c>
      <c r="U8786">
        <v>257.62747362997197</v>
      </c>
      <c r="V8786">
        <v>1.0576923076922999E-2</v>
      </c>
      <c r="W8786">
        <v>372947.34310086799</v>
      </c>
      <c r="X8786" t="s">
        <v>43</v>
      </c>
      <c r="Y8786">
        <f>1-856-926-7682</f>
        <v>-9463</v>
      </c>
    </row>
    <row r="8787" spans="1:25" x14ac:dyDescent="0.35">
      <c r="A8787">
        <v>37.2008684556058</v>
      </c>
      <c r="B8787">
        <v>-116.220845661309</v>
      </c>
      <c r="C8787" t="s">
        <v>29</v>
      </c>
      <c r="D8787">
        <v>25.7722273484023</v>
      </c>
      <c r="E8787">
        <v>9</v>
      </c>
      <c r="F8787">
        <v>2490</v>
      </c>
      <c r="G8787">
        <v>4</v>
      </c>
      <c r="H8787">
        <v>2</v>
      </c>
      <c r="I8787">
        <v>1979</v>
      </c>
      <c r="J8787">
        <v>1</v>
      </c>
      <c r="K8787">
        <v>1</v>
      </c>
      <c r="L8787">
        <v>1</v>
      </c>
      <c r="M8787">
        <v>13</v>
      </c>
      <c r="N8787" t="s">
        <v>35</v>
      </c>
      <c r="O8787" t="s">
        <v>32</v>
      </c>
      <c r="P8787">
        <v>12.7623143674508</v>
      </c>
      <c r="Q8787">
        <v>2.18729106313861</v>
      </c>
      <c r="R8787">
        <v>5.0149509917997204</v>
      </c>
      <c r="S8787">
        <v>116</v>
      </c>
      <c r="T8787">
        <v>36</v>
      </c>
      <c r="U8787">
        <v>545.88021214221703</v>
      </c>
      <c r="V8787">
        <v>5.2208835341365396E-3</v>
      </c>
      <c r="W8787">
        <v>1855374.85997544</v>
      </c>
      <c r="X8787" t="s">
        <v>40</v>
      </c>
      <c r="Y8787">
        <f>1-959-931-5738</f>
        <v>-7627</v>
      </c>
    </row>
    <row r="8788" spans="1:25" x14ac:dyDescent="0.35">
      <c r="A8788">
        <v>32.7854864125907</v>
      </c>
      <c r="B8788">
        <v>-117.84362563014599</v>
      </c>
      <c r="C8788" t="s">
        <v>34</v>
      </c>
      <c r="D8788">
        <v>18.3808193574848</v>
      </c>
      <c r="E8788">
        <v>8</v>
      </c>
      <c r="F8788">
        <v>1289</v>
      </c>
      <c r="G8788">
        <v>1</v>
      </c>
      <c r="H8788">
        <v>3</v>
      </c>
      <c r="I8788">
        <v>1983</v>
      </c>
      <c r="J8788">
        <v>1</v>
      </c>
      <c r="K8788">
        <v>1</v>
      </c>
      <c r="L8788">
        <v>0</v>
      </c>
      <c r="M8788">
        <v>13</v>
      </c>
      <c r="N8788" t="s">
        <v>41</v>
      </c>
      <c r="O8788" t="s">
        <v>32</v>
      </c>
      <c r="P8788">
        <v>13.3993738532268</v>
      </c>
      <c r="Q8788">
        <v>0.58573671038832598</v>
      </c>
      <c r="R8788">
        <v>8.5460989977311392</v>
      </c>
      <c r="S8788">
        <v>159</v>
      </c>
      <c r="T8788">
        <v>68</v>
      </c>
      <c r="U8788">
        <v>251.19499862659401</v>
      </c>
      <c r="V8788">
        <v>1.0085337470907599E-2</v>
      </c>
      <c r="W8788">
        <v>637084.36776556703</v>
      </c>
      <c r="X8788" t="s">
        <v>38</v>
      </c>
      <c r="Y8788">
        <f>1-408-338-6583</f>
        <v>-7328</v>
      </c>
    </row>
    <row r="8789" spans="1:25" x14ac:dyDescent="0.35">
      <c r="A8789">
        <v>40.003323964061501</v>
      </c>
      <c r="B8789">
        <v>-123.800040603856</v>
      </c>
      <c r="C8789" t="s">
        <v>25</v>
      </c>
      <c r="D8789">
        <v>9.3397509468485005</v>
      </c>
      <c r="E8789">
        <v>9</v>
      </c>
      <c r="F8789">
        <v>4422</v>
      </c>
      <c r="G8789">
        <v>5</v>
      </c>
      <c r="H8789">
        <v>2</v>
      </c>
      <c r="I8789">
        <v>1950</v>
      </c>
      <c r="J8789">
        <v>1</v>
      </c>
      <c r="K8789">
        <v>1</v>
      </c>
      <c r="L8789">
        <v>0</v>
      </c>
      <c r="M8789">
        <v>10</v>
      </c>
      <c r="N8789" t="s">
        <v>26</v>
      </c>
      <c r="O8789" t="s">
        <v>30</v>
      </c>
      <c r="P8789">
        <v>2.3394387870462801</v>
      </c>
      <c r="Q8789">
        <v>2.3419398620571399</v>
      </c>
      <c r="R8789">
        <v>4.0780127808181597</v>
      </c>
      <c r="S8789">
        <v>174</v>
      </c>
      <c r="T8789">
        <v>40</v>
      </c>
      <c r="U8789">
        <v>442.972390332732</v>
      </c>
      <c r="V8789">
        <v>2.2614201718679301E-3</v>
      </c>
      <c r="W8789">
        <v>2262687.29779637</v>
      </c>
      <c r="X8789" t="s">
        <v>40</v>
      </c>
      <c r="Y8789">
        <f>1-360-829-8561</f>
        <v>-9749</v>
      </c>
    </row>
    <row r="8790" spans="1:25" x14ac:dyDescent="0.35">
      <c r="A8790">
        <v>35.69527227124</v>
      </c>
      <c r="B8790">
        <v>-114.903873587164</v>
      </c>
      <c r="C8790" t="s">
        <v>25</v>
      </c>
      <c r="D8790">
        <v>6.0916279806980302</v>
      </c>
      <c r="E8790">
        <v>2</v>
      </c>
      <c r="F8790">
        <v>4636</v>
      </c>
      <c r="G8790">
        <v>4</v>
      </c>
      <c r="H8790">
        <v>3</v>
      </c>
      <c r="I8790">
        <v>1955</v>
      </c>
      <c r="J8790">
        <v>0</v>
      </c>
      <c r="K8790">
        <v>0</v>
      </c>
      <c r="L8790">
        <v>0</v>
      </c>
      <c r="M8790">
        <v>14</v>
      </c>
      <c r="N8790" t="s">
        <v>26</v>
      </c>
      <c r="O8790" t="s">
        <v>27</v>
      </c>
      <c r="P8790">
        <v>3.45361097626198</v>
      </c>
      <c r="Q8790">
        <v>2.2985928566130598</v>
      </c>
      <c r="R8790">
        <v>0.116179600906751</v>
      </c>
      <c r="S8790">
        <v>53</v>
      </c>
      <c r="T8790">
        <v>66</v>
      </c>
      <c r="U8790">
        <v>331.49173426816901</v>
      </c>
      <c r="V8790">
        <v>3.0198446937014598E-3</v>
      </c>
      <c r="W8790">
        <v>1680127.9619984501</v>
      </c>
      <c r="X8790" t="s">
        <v>43</v>
      </c>
      <c r="Y8790">
        <f>1-973-808-1303</f>
        <v>-3083</v>
      </c>
    </row>
    <row r="8791" spans="1:25" x14ac:dyDescent="0.35">
      <c r="A8791">
        <v>40.7535579276839</v>
      </c>
      <c r="B8791">
        <v>-119.419022625024</v>
      </c>
      <c r="C8791" t="s">
        <v>25</v>
      </c>
      <c r="D8791">
        <v>42.5999889746425</v>
      </c>
      <c r="E8791">
        <v>4</v>
      </c>
      <c r="F8791">
        <v>4024</v>
      </c>
      <c r="G8791">
        <v>1</v>
      </c>
      <c r="H8791">
        <v>3</v>
      </c>
      <c r="I8791">
        <v>1955</v>
      </c>
      <c r="J8791">
        <v>0</v>
      </c>
      <c r="K8791">
        <v>1</v>
      </c>
      <c r="L8791">
        <v>1</v>
      </c>
      <c r="M8791">
        <v>8</v>
      </c>
      <c r="N8791" t="s">
        <v>37</v>
      </c>
      <c r="O8791" t="s">
        <v>30</v>
      </c>
      <c r="P8791">
        <v>6.3455132589831198</v>
      </c>
      <c r="Q8791">
        <v>0.57147033087649901</v>
      </c>
      <c r="R8791">
        <v>0.81941474927914904</v>
      </c>
      <c r="S8791">
        <v>75</v>
      </c>
      <c r="T8791">
        <v>57</v>
      </c>
      <c r="U8791">
        <v>932.33497578359902</v>
      </c>
      <c r="V8791">
        <v>1.9880715705765401E-3</v>
      </c>
      <c r="W8791">
        <v>3920309.3421662301</v>
      </c>
      <c r="X8791" t="s">
        <v>36</v>
      </c>
      <c r="Y8791">
        <f>1-669-392-3176</f>
        <v>-4236</v>
      </c>
    </row>
    <row r="8792" spans="1:25" x14ac:dyDescent="0.35">
      <c r="A8792">
        <v>33.628820754110698</v>
      </c>
      <c r="B8792">
        <v>-123.96955544642699</v>
      </c>
      <c r="C8792" t="s">
        <v>34</v>
      </c>
      <c r="D8792">
        <v>20.241310460077599</v>
      </c>
      <c r="E8792">
        <v>4</v>
      </c>
      <c r="F8792">
        <v>1070</v>
      </c>
      <c r="G8792">
        <v>5</v>
      </c>
      <c r="H8792">
        <v>3</v>
      </c>
      <c r="I8792">
        <v>1980</v>
      </c>
      <c r="J8792">
        <v>1</v>
      </c>
      <c r="K8792">
        <v>0</v>
      </c>
      <c r="L8792">
        <v>0</v>
      </c>
      <c r="M8792">
        <v>8</v>
      </c>
      <c r="N8792" t="s">
        <v>41</v>
      </c>
      <c r="O8792" t="s">
        <v>30</v>
      </c>
      <c r="P8792">
        <v>7.9153678656030602</v>
      </c>
      <c r="Q8792">
        <v>1.6618278014386201</v>
      </c>
      <c r="R8792">
        <v>1.7246898457031601</v>
      </c>
      <c r="S8792">
        <v>190</v>
      </c>
      <c r="T8792">
        <v>51</v>
      </c>
      <c r="U8792">
        <v>263.77318659108198</v>
      </c>
      <c r="V8792">
        <v>7.4766355140186902E-3</v>
      </c>
      <c r="W8792">
        <v>681395.50318951102</v>
      </c>
      <c r="X8792" t="s">
        <v>44</v>
      </c>
      <c r="Y8792">
        <f>1-612-684-9198</f>
        <v>-10493</v>
      </c>
    </row>
    <row r="8793" spans="1:25" x14ac:dyDescent="0.35">
      <c r="A8793">
        <v>34.425316349303898</v>
      </c>
      <c r="B8793">
        <v>-117.76496316403799</v>
      </c>
      <c r="C8793" t="s">
        <v>29</v>
      </c>
      <c r="D8793">
        <v>49.200443197098402</v>
      </c>
      <c r="E8793">
        <v>3</v>
      </c>
      <c r="F8793">
        <v>1408</v>
      </c>
      <c r="G8793">
        <v>1</v>
      </c>
      <c r="H8793">
        <v>3</v>
      </c>
      <c r="I8793">
        <v>2001</v>
      </c>
      <c r="J8793">
        <v>0</v>
      </c>
      <c r="K8793">
        <v>0</v>
      </c>
      <c r="L8793">
        <v>0</v>
      </c>
      <c r="M8793">
        <v>5</v>
      </c>
      <c r="N8793" t="s">
        <v>41</v>
      </c>
      <c r="O8793" t="s">
        <v>30</v>
      </c>
      <c r="P8793">
        <v>8.0161151607363497</v>
      </c>
      <c r="Q8793">
        <v>2.2334998108367401</v>
      </c>
      <c r="R8793">
        <v>4.6504577926704096</v>
      </c>
      <c r="S8793">
        <v>48</v>
      </c>
      <c r="T8793">
        <v>58</v>
      </c>
      <c r="U8793">
        <v>965.37168217675105</v>
      </c>
      <c r="V8793">
        <v>3.55113636363636E-3</v>
      </c>
      <c r="W8793">
        <v>1403812.1473880501</v>
      </c>
      <c r="X8793" t="s">
        <v>44</v>
      </c>
      <c r="Y8793">
        <f>1-703-572-3175</f>
        <v>-4449</v>
      </c>
    </row>
    <row r="8794" spans="1:25" x14ac:dyDescent="0.35">
      <c r="A8794">
        <v>33.827116277163597</v>
      </c>
      <c r="B8794">
        <v>-118.750019756982</v>
      </c>
      <c r="C8794" t="s">
        <v>25</v>
      </c>
      <c r="D8794">
        <v>24.264054115980201</v>
      </c>
      <c r="E8794">
        <v>6</v>
      </c>
      <c r="F8794">
        <v>3531</v>
      </c>
      <c r="G8794">
        <v>3</v>
      </c>
      <c r="H8794">
        <v>1</v>
      </c>
      <c r="I8794">
        <v>1953</v>
      </c>
      <c r="J8794">
        <v>0</v>
      </c>
      <c r="K8794">
        <v>0</v>
      </c>
      <c r="L8794">
        <v>0</v>
      </c>
      <c r="M8794">
        <v>11</v>
      </c>
      <c r="N8794" t="s">
        <v>41</v>
      </c>
      <c r="O8794" t="s">
        <v>27</v>
      </c>
      <c r="P8794">
        <v>8.0766414606713806</v>
      </c>
      <c r="Q8794">
        <v>0.66057589619887402</v>
      </c>
      <c r="R8794">
        <v>4.5680254485403902</v>
      </c>
      <c r="S8794">
        <v>44</v>
      </c>
      <c r="T8794">
        <v>24</v>
      </c>
      <c r="U8794">
        <v>392.88353757131199</v>
      </c>
      <c r="V8794">
        <v>3.1152647975077798E-3</v>
      </c>
      <c r="W8794">
        <v>1529694.3930329899</v>
      </c>
      <c r="X8794" t="s">
        <v>39</v>
      </c>
      <c r="Y8794">
        <f>1-602-707-4230</f>
        <v>-5538</v>
      </c>
    </row>
    <row r="8795" spans="1:25" x14ac:dyDescent="0.35">
      <c r="A8795">
        <v>36.653583426602403</v>
      </c>
      <c r="B8795">
        <v>-114.828017215608</v>
      </c>
      <c r="C8795" t="s">
        <v>25</v>
      </c>
      <c r="D8795">
        <v>3.78715642158474</v>
      </c>
      <c r="E8795">
        <v>0</v>
      </c>
      <c r="F8795">
        <v>2914</v>
      </c>
      <c r="G8795">
        <v>1</v>
      </c>
      <c r="H8795">
        <v>3</v>
      </c>
      <c r="I8795">
        <v>1983</v>
      </c>
      <c r="J8795">
        <v>1</v>
      </c>
      <c r="K8795">
        <v>0</v>
      </c>
      <c r="L8795">
        <v>1</v>
      </c>
      <c r="M8795">
        <v>11</v>
      </c>
      <c r="N8795" t="s">
        <v>37</v>
      </c>
      <c r="O8795" t="s">
        <v>27</v>
      </c>
      <c r="P8795">
        <v>12.9227347716085</v>
      </c>
      <c r="Q8795">
        <v>2.2560750054661498</v>
      </c>
      <c r="R8795">
        <v>9.7734720871415206</v>
      </c>
      <c r="S8795">
        <v>99</v>
      </c>
      <c r="T8795">
        <v>59</v>
      </c>
      <c r="U8795">
        <v>257.73416330193299</v>
      </c>
      <c r="V8795">
        <v>3.7748798901853101E-3</v>
      </c>
      <c r="W8795">
        <v>928988.04487449897</v>
      </c>
      <c r="X8795" t="s">
        <v>38</v>
      </c>
      <c r="Y8795">
        <f>1-915-268-8342</f>
        <v>-9524</v>
      </c>
    </row>
    <row r="8796" spans="1:25" x14ac:dyDescent="0.35">
      <c r="A8796">
        <v>39.176896872052197</v>
      </c>
      <c r="B8796">
        <v>-115.49638893300801</v>
      </c>
      <c r="C8796" t="s">
        <v>25</v>
      </c>
      <c r="D8796">
        <v>1.9758538352925701</v>
      </c>
      <c r="E8796">
        <v>2</v>
      </c>
      <c r="F8796">
        <v>3213</v>
      </c>
      <c r="G8796">
        <v>3</v>
      </c>
      <c r="H8796">
        <v>3</v>
      </c>
      <c r="I8796">
        <v>1960</v>
      </c>
      <c r="J8796">
        <v>0</v>
      </c>
      <c r="K8796">
        <v>0</v>
      </c>
      <c r="L8796">
        <v>0</v>
      </c>
      <c r="M8796">
        <v>11</v>
      </c>
      <c r="N8796" t="s">
        <v>35</v>
      </c>
      <c r="O8796" t="s">
        <v>27</v>
      </c>
      <c r="P8796">
        <v>2.8175197578093201</v>
      </c>
      <c r="Q8796">
        <v>1.7452620102782099</v>
      </c>
      <c r="R8796">
        <v>6.0109228978287703</v>
      </c>
      <c r="S8796">
        <v>147</v>
      </c>
      <c r="T8796">
        <v>27</v>
      </c>
      <c r="U8796">
        <v>658.71946901190495</v>
      </c>
      <c r="V8796">
        <v>3.4235916588857699E-3</v>
      </c>
      <c r="W8796">
        <v>2377380.5956776799</v>
      </c>
      <c r="X8796" t="s">
        <v>38</v>
      </c>
      <c r="Y8796">
        <f>1-558-908-9988</f>
        <v>-11453</v>
      </c>
    </row>
    <row r="8797" spans="1:25" x14ac:dyDescent="0.35">
      <c r="A8797">
        <v>33.088703232599698</v>
      </c>
      <c r="B8797">
        <v>-123.14387428820601</v>
      </c>
      <c r="C8797" t="s">
        <v>29</v>
      </c>
      <c r="D8797">
        <v>9.3764847381471004</v>
      </c>
      <c r="E8797">
        <v>1</v>
      </c>
      <c r="F8797">
        <v>1497</v>
      </c>
      <c r="G8797">
        <v>4</v>
      </c>
      <c r="H8797">
        <v>1</v>
      </c>
      <c r="I8797">
        <v>1962</v>
      </c>
      <c r="J8797">
        <v>1</v>
      </c>
      <c r="K8797">
        <v>0</v>
      </c>
      <c r="L8797">
        <v>0</v>
      </c>
      <c r="M8797">
        <v>14</v>
      </c>
      <c r="N8797" t="s">
        <v>41</v>
      </c>
      <c r="O8797" t="s">
        <v>30</v>
      </c>
      <c r="P8797">
        <v>9.4314264943607498</v>
      </c>
      <c r="Q8797">
        <v>1.72128305202305</v>
      </c>
      <c r="R8797">
        <v>6.3137520516056096</v>
      </c>
      <c r="S8797">
        <v>104</v>
      </c>
      <c r="T8797">
        <v>59</v>
      </c>
      <c r="U8797">
        <v>285.56515167990602</v>
      </c>
      <c r="V8797">
        <v>9.3520374081496292E-3</v>
      </c>
      <c r="W8797">
        <v>681917.22658975294</v>
      </c>
      <c r="X8797" t="s">
        <v>40</v>
      </c>
      <c r="Y8797">
        <f>1-257-364-8065</f>
        <v>-8685</v>
      </c>
    </row>
    <row r="8798" spans="1:25" x14ac:dyDescent="0.35">
      <c r="A8798">
        <v>38.798857761656301</v>
      </c>
      <c r="B8798">
        <v>-122.76633302232101</v>
      </c>
      <c r="C8798" t="s">
        <v>25</v>
      </c>
      <c r="D8798">
        <v>7.2459458758372701</v>
      </c>
      <c r="E8798">
        <v>1</v>
      </c>
      <c r="F8798">
        <v>2594</v>
      </c>
      <c r="G8798">
        <v>1</v>
      </c>
      <c r="H8798">
        <v>1</v>
      </c>
      <c r="I8798">
        <v>1974</v>
      </c>
      <c r="J8798">
        <v>1</v>
      </c>
      <c r="K8798">
        <v>0</v>
      </c>
      <c r="L8798">
        <v>1</v>
      </c>
      <c r="M8798">
        <v>3</v>
      </c>
      <c r="N8798" t="s">
        <v>35</v>
      </c>
      <c r="O8798" t="s">
        <v>32</v>
      </c>
      <c r="P8798">
        <v>6.1028460185883304</v>
      </c>
      <c r="Q8798">
        <v>0.94194125702756804</v>
      </c>
      <c r="R8798">
        <v>7.5101594715926598</v>
      </c>
      <c r="S8798">
        <v>41</v>
      </c>
      <c r="T8798">
        <v>22</v>
      </c>
      <c r="U8798">
        <v>662.62206187533502</v>
      </c>
      <c r="V8798">
        <v>1.15651503469545E-3</v>
      </c>
      <c r="W8798">
        <v>1744609.19514836</v>
      </c>
      <c r="X8798" t="s">
        <v>39</v>
      </c>
      <c r="Y8798">
        <f>1-976-869-2937</f>
        <v>-4781</v>
      </c>
    </row>
    <row r="8799" spans="1:25" x14ac:dyDescent="0.35">
      <c r="A8799">
        <v>36.828271172567199</v>
      </c>
      <c r="B8799">
        <v>-121.397239966995</v>
      </c>
      <c r="C8799" t="s">
        <v>34</v>
      </c>
      <c r="D8799">
        <v>41.419698622277501</v>
      </c>
      <c r="E8799">
        <v>1</v>
      </c>
      <c r="F8799">
        <v>4275</v>
      </c>
      <c r="G8799">
        <v>2</v>
      </c>
      <c r="H8799">
        <v>3</v>
      </c>
      <c r="I8799">
        <v>1971</v>
      </c>
      <c r="J8799">
        <v>0</v>
      </c>
      <c r="K8799">
        <v>0</v>
      </c>
      <c r="L8799">
        <v>1</v>
      </c>
      <c r="M8799">
        <v>11</v>
      </c>
      <c r="N8799" t="s">
        <v>37</v>
      </c>
      <c r="O8799" t="s">
        <v>27</v>
      </c>
      <c r="P8799">
        <v>12.993520293394999</v>
      </c>
      <c r="Q8799">
        <v>1.1143513712445701</v>
      </c>
      <c r="R8799">
        <v>4.1442367897461097</v>
      </c>
      <c r="S8799">
        <v>6</v>
      </c>
      <c r="T8799">
        <v>79</v>
      </c>
      <c r="U8799">
        <v>833.01791818571496</v>
      </c>
      <c r="V8799">
        <v>2.5730994152046698E-3</v>
      </c>
      <c r="W8799">
        <v>3864035.4073233302</v>
      </c>
      <c r="X8799" t="s">
        <v>42</v>
      </c>
      <c r="Y8799">
        <f>1-872-647-5353</f>
        <v>-6871</v>
      </c>
    </row>
    <row r="8800" spans="1:25" x14ac:dyDescent="0.35">
      <c r="A8800">
        <v>33.227712600556501</v>
      </c>
      <c r="B8800">
        <v>-119.922059594389</v>
      </c>
      <c r="C8800" t="s">
        <v>29</v>
      </c>
      <c r="D8800">
        <v>38.017042584653197</v>
      </c>
      <c r="E8800">
        <v>2</v>
      </c>
      <c r="F8800">
        <v>2183</v>
      </c>
      <c r="G8800">
        <v>3</v>
      </c>
      <c r="H8800">
        <v>2</v>
      </c>
      <c r="I8800">
        <v>1956</v>
      </c>
      <c r="J8800">
        <v>0</v>
      </c>
      <c r="K8800">
        <v>1</v>
      </c>
      <c r="L8800">
        <v>1</v>
      </c>
      <c r="M8800">
        <v>11</v>
      </c>
      <c r="N8800" t="s">
        <v>26</v>
      </c>
      <c r="O8800" t="s">
        <v>27</v>
      </c>
      <c r="P8800">
        <v>11.9939846071068</v>
      </c>
      <c r="Q8800">
        <v>0.75364275583634799</v>
      </c>
      <c r="R8800">
        <v>1.06240117812526</v>
      </c>
      <c r="S8800">
        <v>112</v>
      </c>
      <c r="T8800">
        <v>41</v>
      </c>
      <c r="U8800">
        <v>861.72554089060304</v>
      </c>
      <c r="V8800">
        <v>5.0389372423270701E-3</v>
      </c>
      <c r="W8800">
        <v>2226670.0625081402</v>
      </c>
      <c r="X8800" t="s">
        <v>38</v>
      </c>
      <c r="Y8800">
        <f>1-784-460-6400</f>
        <v>-7643</v>
      </c>
    </row>
    <row r="8801" spans="1:25" x14ac:dyDescent="0.35">
      <c r="A8801">
        <v>38.781158634019498</v>
      </c>
      <c r="B8801">
        <v>-124.432702070183</v>
      </c>
      <c r="C8801" t="s">
        <v>34</v>
      </c>
      <c r="D8801">
        <v>31.463505967128501</v>
      </c>
      <c r="E8801">
        <v>4</v>
      </c>
      <c r="F8801">
        <v>3173</v>
      </c>
      <c r="G8801">
        <v>4</v>
      </c>
      <c r="H8801">
        <v>2</v>
      </c>
      <c r="I8801">
        <v>1951</v>
      </c>
      <c r="J8801">
        <v>0</v>
      </c>
      <c r="K8801">
        <v>0</v>
      </c>
      <c r="L8801">
        <v>1</v>
      </c>
      <c r="M8801">
        <v>4</v>
      </c>
      <c r="N8801" t="s">
        <v>35</v>
      </c>
      <c r="O8801" t="s">
        <v>32</v>
      </c>
      <c r="P8801">
        <v>7.5406145578946697</v>
      </c>
      <c r="Q8801">
        <v>0.59417501567975595</v>
      </c>
      <c r="R8801">
        <v>0.40049368875586</v>
      </c>
      <c r="S8801">
        <v>99</v>
      </c>
      <c r="T8801">
        <v>48</v>
      </c>
      <c r="U8801">
        <v>620.654365443816</v>
      </c>
      <c r="V8801">
        <v>1.26063662149385E-3</v>
      </c>
      <c r="W8801">
        <v>2247057.5260308301</v>
      </c>
      <c r="X8801" t="s">
        <v>39</v>
      </c>
      <c r="Y8801">
        <f>1-987-484-3820</f>
        <v>-5290</v>
      </c>
    </row>
    <row r="8802" spans="1:25" x14ac:dyDescent="0.35">
      <c r="A8802">
        <v>39.233676365142003</v>
      </c>
      <c r="B8802">
        <v>-118.07899427129099</v>
      </c>
      <c r="C8802" t="s">
        <v>25</v>
      </c>
      <c r="D8802">
        <v>34.073168320400903</v>
      </c>
      <c r="E8802">
        <v>1</v>
      </c>
      <c r="F8802">
        <v>4320</v>
      </c>
      <c r="G8802">
        <v>1</v>
      </c>
      <c r="H8802">
        <v>3</v>
      </c>
      <c r="I8802">
        <v>2018</v>
      </c>
      <c r="J8802">
        <v>1</v>
      </c>
      <c r="K8802">
        <v>1</v>
      </c>
      <c r="L8802">
        <v>1</v>
      </c>
      <c r="M8802">
        <v>3</v>
      </c>
      <c r="N8802" t="s">
        <v>35</v>
      </c>
      <c r="O8802" t="s">
        <v>27</v>
      </c>
      <c r="P8802">
        <v>11.3989441331802</v>
      </c>
      <c r="Q8802">
        <v>1.6716305735385899</v>
      </c>
      <c r="R8802">
        <v>1.34048146337577</v>
      </c>
      <c r="S8802">
        <v>32</v>
      </c>
      <c r="T8802">
        <v>78</v>
      </c>
      <c r="U8802">
        <v>574.74743968382404</v>
      </c>
      <c r="V8802">
        <v>6.9444444444444404E-4</v>
      </c>
      <c r="W8802">
        <v>2896902.1398652298</v>
      </c>
      <c r="X8802" t="s">
        <v>44</v>
      </c>
      <c r="Y8802">
        <f>1-536-110-9451</f>
        <v>-10096</v>
      </c>
    </row>
    <row r="8803" spans="1:25" x14ac:dyDescent="0.35">
      <c r="A8803">
        <v>39.907904589415601</v>
      </c>
      <c r="B8803">
        <v>-123.740432467491</v>
      </c>
      <c r="C8803" t="s">
        <v>34</v>
      </c>
      <c r="D8803">
        <v>45.097247429437999</v>
      </c>
      <c r="E8803">
        <v>5</v>
      </c>
      <c r="F8803">
        <v>2697</v>
      </c>
      <c r="G8803">
        <v>2</v>
      </c>
      <c r="H8803">
        <v>2</v>
      </c>
      <c r="I8803">
        <v>1986</v>
      </c>
      <c r="J8803">
        <v>0</v>
      </c>
      <c r="K8803">
        <v>1</v>
      </c>
      <c r="L8803">
        <v>0</v>
      </c>
      <c r="M8803">
        <v>7</v>
      </c>
      <c r="N8803" t="s">
        <v>26</v>
      </c>
      <c r="O8803" t="s">
        <v>32</v>
      </c>
      <c r="P8803">
        <v>12.1252857509789</v>
      </c>
      <c r="Q8803">
        <v>0.68724385670492705</v>
      </c>
      <c r="R8803">
        <v>7.7408241204275496</v>
      </c>
      <c r="S8803">
        <v>66</v>
      </c>
      <c r="T8803">
        <v>49</v>
      </c>
      <c r="U8803">
        <v>247.29983310490701</v>
      </c>
      <c r="V8803">
        <v>2.5954764553207201E-3</v>
      </c>
      <c r="W8803">
        <v>1031305.58986265</v>
      </c>
      <c r="X8803" t="s">
        <v>44</v>
      </c>
      <c r="Y8803">
        <f>1-935-879-8566</f>
        <v>-10379</v>
      </c>
    </row>
    <row r="8804" spans="1:25" x14ac:dyDescent="0.35">
      <c r="A8804">
        <v>40.540899430594401</v>
      </c>
      <c r="B8804">
        <v>-117.399474395296</v>
      </c>
      <c r="C8804" t="s">
        <v>25</v>
      </c>
      <c r="D8804">
        <v>8.4393271429141699</v>
      </c>
      <c r="E8804">
        <v>3</v>
      </c>
      <c r="F8804">
        <v>3649</v>
      </c>
      <c r="G8804">
        <v>1</v>
      </c>
      <c r="H8804">
        <v>1</v>
      </c>
      <c r="I8804">
        <v>1955</v>
      </c>
      <c r="J8804">
        <v>0</v>
      </c>
      <c r="K8804">
        <v>1</v>
      </c>
      <c r="L8804">
        <v>1</v>
      </c>
      <c r="M8804">
        <v>7</v>
      </c>
      <c r="N8804" t="s">
        <v>41</v>
      </c>
      <c r="O8804" t="s">
        <v>27</v>
      </c>
      <c r="P8804">
        <v>13.0576975245004</v>
      </c>
      <c r="Q8804">
        <v>2.2121750868121302</v>
      </c>
      <c r="R8804">
        <v>9.8270027439423302</v>
      </c>
      <c r="S8804">
        <v>186</v>
      </c>
      <c r="T8804">
        <v>79</v>
      </c>
      <c r="U8804">
        <v>523.19704026071497</v>
      </c>
      <c r="V8804">
        <v>1.9183337900794701E-3</v>
      </c>
      <c r="W8804">
        <v>2117487.0146900802</v>
      </c>
      <c r="X8804" t="s">
        <v>31</v>
      </c>
      <c r="Y8804">
        <f>1-959-397-3166</f>
        <v>-4521</v>
      </c>
    </row>
    <row r="8805" spans="1:25" x14ac:dyDescent="0.35">
      <c r="A8805">
        <v>40.903374361579203</v>
      </c>
      <c r="B8805">
        <v>-124.35016840336699</v>
      </c>
      <c r="C8805" t="s">
        <v>29</v>
      </c>
      <c r="D8805">
        <v>26.976313206463001</v>
      </c>
      <c r="E8805">
        <v>8</v>
      </c>
      <c r="F8805">
        <v>3045</v>
      </c>
      <c r="G8805">
        <v>4</v>
      </c>
      <c r="H8805">
        <v>3</v>
      </c>
      <c r="I8805">
        <v>2001</v>
      </c>
      <c r="J8805">
        <v>0</v>
      </c>
      <c r="K8805">
        <v>0</v>
      </c>
      <c r="L8805">
        <v>1</v>
      </c>
      <c r="M8805">
        <v>10</v>
      </c>
      <c r="N8805" t="s">
        <v>41</v>
      </c>
      <c r="O8805" t="s">
        <v>27</v>
      </c>
      <c r="P8805">
        <v>6.9226531624541598</v>
      </c>
      <c r="Q8805">
        <v>2.29031764419942</v>
      </c>
      <c r="R8805">
        <v>5.6425152298680796</v>
      </c>
      <c r="S8805">
        <v>196</v>
      </c>
      <c r="T8805">
        <v>42</v>
      </c>
      <c r="U8805">
        <v>713.74039311241404</v>
      </c>
      <c r="V8805">
        <v>3.28407224958949E-3</v>
      </c>
      <c r="W8805">
        <v>2479191.1590485298</v>
      </c>
      <c r="X8805" t="s">
        <v>39</v>
      </c>
      <c r="Y8805">
        <f>1-495-341-9043</f>
        <v>-9878</v>
      </c>
    </row>
    <row r="8806" spans="1:25" x14ac:dyDescent="0.35">
      <c r="A8806">
        <v>36.905634405986902</v>
      </c>
      <c r="B8806">
        <v>-116.18704442579801</v>
      </c>
      <c r="C8806" t="s">
        <v>29</v>
      </c>
      <c r="D8806">
        <v>7.70786291773552</v>
      </c>
      <c r="E8806">
        <v>7</v>
      </c>
      <c r="F8806">
        <v>3306</v>
      </c>
      <c r="G8806">
        <v>2</v>
      </c>
      <c r="H8806">
        <v>3</v>
      </c>
      <c r="I8806">
        <v>1955</v>
      </c>
      <c r="J8806">
        <v>0</v>
      </c>
      <c r="K8806">
        <v>0</v>
      </c>
      <c r="L8806">
        <v>1</v>
      </c>
      <c r="M8806">
        <v>10</v>
      </c>
      <c r="N8806" t="s">
        <v>37</v>
      </c>
      <c r="O8806" t="s">
        <v>30</v>
      </c>
      <c r="P8806">
        <v>5.2128425681246098</v>
      </c>
      <c r="Q8806">
        <v>0.68427829864964096</v>
      </c>
      <c r="R8806">
        <v>7.8040981823121998</v>
      </c>
      <c r="S8806">
        <v>176</v>
      </c>
      <c r="T8806">
        <v>42</v>
      </c>
      <c r="U8806">
        <v>928.97365021207895</v>
      </c>
      <c r="V8806">
        <v>3.02480338777979E-3</v>
      </c>
      <c r="W8806">
        <v>3111505.3087011599</v>
      </c>
      <c r="X8806" t="s">
        <v>43</v>
      </c>
      <c r="Y8806">
        <f>1-365-183-2637</f>
        <v>-3184</v>
      </c>
    </row>
    <row r="8807" spans="1:25" x14ac:dyDescent="0.35">
      <c r="A8807">
        <v>33.511580689131897</v>
      </c>
      <c r="B8807">
        <v>-118.603182015096</v>
      </c>
      <c r="C8807" t="s">
        <v>25</v>
      </c>
      <c r="D8807">
        <v>49.8238204543783</v>
      </c>
      <c r="E8807">
        <v>6</v>
      </c>
      <c r="F8807">
        <v>4246</v>
      </c>
      <c r="G8807">
        <v>2</v>
      </c>
      <c r="H8807">
        <v>3</v>
      </c>
      <c r="I8807">
        <v>1986</v>
      </c>
      <c r="J8807">
        <v>0</v>
      </c>
      <c r="K8807">
        <v>1</v>
      </c>
      <c r="L8807">
        <v>1</v>
      </c>
      <c r="M8807">
        <v>11</v>
      </c>
      <c r="N8807" t="s">
        <v>26</v>
      </c>
      <c r="O8807" t="s">
        <v>30</v>
      </c>
      <c r="P8807">
        <v>8.3881475182966501</v>
      </c>
      <c r="Q8807">
        <v>2.45581518872295</v>
      </c>
      <c r="R8807">
        <v>1.28181331861397</v>
      </c>
      <c r="S8807">
        <v>105</v>
      </c>
      <c r="T8807">
        <v>46</v>
      </c>
      <c r="U8807">
        <v>775.17177429192304</v>
      </c>
      <c r="V8807">
        <v>2.5906735751295299E-3</v>
      </c>
      <c r="W8807">
        <v>3592590.3472365602</v>
      </c>
      <c r="X8807" t="s">
        <v>28</v>
      </c>
      <c r="Y8807">
        <f>1-257-515-6744</f>
        <v>-7515</v>
      </c>
    </row>
    <row r="8808" spans="1:25" x14ac:dyDescent="0.35">
      <c r="A8808">
        <v>39.8881478238347</v>
      </c>
      <c r="B8808">
        <v>-114.871809844347</v>
      </c>
      <c r="C8808" t="s">
        <v>34</v>
      </c>
      <c r="D8808">
        <v>16.152468979597199</v>
      </c>
      <c r="E8808">
        <v>9</v>
      </c>
      <c r="F8808">
        <v>4768</v>
      </c>
      <c r="G8808">
        <v>3</v>
      </c>
      <c r="H8808">
        <v>2</v>
      </c>
      <c r="I8808">
        <v>1975</v>
      </c>
      <c r="J8808">
        <v>1</v>
      </c>
      <c r="K8808">
        <v>0</v>
      </c>
      <c r="L8808">
        <v>1</v>
      </c>
      <c r="M8808">
        <v>10</v>
      </c>
      <c r="N8808" t="s">
        <v>35</v>
      </c>
      <c r="O8808" t="s">
        <v>32</v>
      </c>
      <c r="P8808">
        <v>8.0134679714028891</v>
      </c>
      <c r="Q8808">
        <v>2.1182399111541401</v>
      </c>
      <c r="R8808">
        <v>3.3172816658287201</v>
      </c>
      <c r="S8808">
        <v>63</v>
      </c>
      <c r="T8808">
        <v>79</v>
      </c>
      <c r="U8808">
        <v>764.95993406319599</v>
      </c>
      <c r="V8808">
        <v>2.0973154362416099E-3</v>
      </c>
      <c r="W8808">
        <v>3934079.8237933302</v>
      </c>
      <c r="X8808" t="s">
        <v>42</v>
      </c>
      <c r="Y8808">
        <f>1-568-610-5481</f>
        <v>-6658</v>
      </c>
    </row>
    <row r="8809" spans="1:25" x14ac:dyDescent="0.35">
      <c r="A8809">
        <v>39.474870099484697</v>
      </c>
      <c r="B8809">
        <v>-117.88837001029999</v>
      </c>
      <c r="C8809" t="s">
        <v>29</v>
      </c>
      <c r="D8809">
        <v>20.649907813114801</v>
      </c>
      <c r="E8809">
        <v>0</v>
      </c>
      <c r="F8809">
        <v>2127</v>
      </c>
      <c r="G8809">
        <v>3</v>
      </c>
      <c r="H8809">
        <v>1</v>
      </c>
      <c r="I8809">
        <v>1970</v>
      </c>
      <c r="J8809">
        <v>0</v>
      </c>
      <c r="K8809">
        <v>1</v>
      </c>
      <c r="L8809">
        <v>0</v>
      </c>
      <c r="M8809">
        <v>11</v>
      </c>
      <c r="N8809" t="s">
        <v>35</v>
      </c>
      <c r="O8809" t="s">
        <v>27</v>
      </c>
      <c r="P8809">
        <v>5.8250725518210196</v>
      </c>
      <c r="Q8809">
        <v>1.7579567480237399</v>
      </c>
      <c r="R8809">
        <v>6.1757331681533296</v>
      </c>
      <c r="S8809">
        <v>116</v>
      </c>
      <c r="T8809">
        <v>37</v>
      </c>
      <c r="U8809">
        <v>951.96272490098397</v>
      </c>
      <c r="V8809">
        <v>5.1716031969910601E-3</v>
      </c>
      <c r="W8809">
        <v>2220349.5123703498</v>
      </c>
      <c r="X8809" t="s">
        <v>40</v>
      </c>
      <c r="Y8809">
        <f>1-205-304-7346</f>
        <v>-7854</v>
      </c>
    </row>
    <row r="8810" spans="1:25" x14ac:dyDescent="0.35">
      <c r="A8810">
        <v>38.460032719331103</v>
      </c>
      <c r="B8810">
        <v>-119.209880892416</v>
      </c>
      <c r="C8810" t="s">
        <v>34</v>
      </c>
      <c r="D8810">
        <v>49.364356115768302</v>
      </c>
      <c r="E8810">
        <v>4</v>
      </c>
      <c r="F8810">
        <v>1761</v>
      </c>
      <c r="G8810">
        <v>2</v>
      </c>
      <c r="H8810">
        <v>1</v>
      </c>
      <c r="I8810">
        <v>1962</v>
      </c>
      <c r="J8810">
        <v>0</v>
      </c>
      <c r="K8810">
        <v>0</v>
      </c>
      <c r="L8810">
        <v>0</v>
      </c>
      <c r="M8810">
        <v>2</v>
      </c>
      <c r="N8810" t="s">
        <v>41</v>
      </c>
      <c r="O8810" t="s">
        <v>27</v>
      </c>
      <c r="P8810">
        <v>13.4289397278005</v>
      </c>
      <c r="Q8810">
        <v>2.2313850434795501</v>
      </c>
      <c r="R8810">
        <v>4.61922896028815</v>
      </c>
      <c r="S8810">
        <v>61</v>
      </c>
      <c r="T8810">
        <v>75</v>
      </c>
      <c r="U8810">
        <v>470.13774032952603</v>
      </c>
      <c r="V8810">
        <v>1.13571834185122E-3</v>
      </c>
      <c r="W8810">
        <v>922623.78309732606</v>
      </c>
      <c r="X8810" t="s">
        <v>36</v>
      </c>
      <c r="Y8810">
        <f>1-891-696-4249</f>
        <v>-5835</v>
      </c>
    </row>
    <row r="8811" spans="1:25" x14ac:dyDescent="0.35">
      <c r="A8811">
        <v>34.479851161310002</v>
      </c>
      <c r="B8811">
        <v>-120.813772692768</v>
      </c>
      <c r="C8811" t="s">
        <v>29</v>
      </c>
      <c r="D8811">
        <v>28.743762218323798</v>
      </c>
      <c r="E8811">
        <v>6</v>
      </c>
      <c r="F8811">
        <v>857</v>
      </c>
      <c r="G8811">
        <v>4</v>
      </c>
      <c r="H8811">
        <v>1</v>
      </c>
      <c r="I8811">
        <v>1970</v>
      </c>
      <c r="J8811">
        <v>1</v>
      </c>
      <c r="K8811">
        <v>1</v>
      </c>
      <c r="L8811">
        <v>0</v>
      </c>
      <c r="M8811">
        <v>5</v>
      </c>
      <c r="N8811" t="s">
        <v>41</v>
      </c>
      <c r="O8811" t="s">
        <v>30</v>
      </c>
      <c r="P8811">
        <v>14.366395493167399</v>
      </c>
      <c r="Q8811">
        <v>0.61784987903852695</v>
      </c>
      <c r="R8811">
        <v>1.3303959800816401</v>
      </c>
      <c r="S8811">
        <v>67</v>
      </c>
      <c r="T8811">
        <v>66</v>
      </c>
      <c r="U8811">
        <v>269.51055135061898</v>
      </c>
      <c r="V8811">
        <v>5.8343057176195997E-3</v>
      </c>
      <c r="W8811">
        <v>679959.13944656798</v>
      </c>
      <c r="X8811" t="s">
        <v>43</v>
      </c>
      <c r="Y8811">
        <f>1-376-644-5175</f>
        <v>-6194</v>
      </c>
    </row>
    <row r="8812" spans="1:25" x14ac:dyDescent="0.35">
      <c r="A8812">
        <v>41.461820412737701</v>
      </c>
      <c r="B8812">
        <v>-117.597674098648</v>
      </c>
      <c r="C8812" t="s">
        <v>34</v>
      </c>
      <c r="D8812">
        <v>46.959110056946997</v>
      </c>
      <c r="E8812">
        <v>0</v>
      </c>
      <c r="F8812">
        <v>850</v>
      </c>
      <c r="G8812">
        <v>1</v>
      </c>
      <c r="H8812">
        <v>2</v>
      </c>
      <c r="I8812">
        <v>1981</v>
      </c>
      <c r="J8812">
        <v>1</v>
      </c>
      <c r="K8812">
        <v>0</v>
      </c>
      <c r="L8812">
        <v>1</v>
      </c>
      <c r="M8812">
        <v>10</v>
      </c>
      <c r="N8812" t="s">
        <v>26</v>
      </c>
      <c r="O8812" t="s">
        <v>32</v>
      </c>
      <c r="P8812">
        <v>3.8597511934680302</v>
      </c>
      <c r="Q8812">
        <v>1.9320171113609701</v>
      </c>
      <c r="R8812">
        <v>8.6838656050894993</v>
      </c>
      <c r="S8812">
        <v>75</v>
      </c>
      <c r="T8812">
        <v>55</v>
      </c>
      <c r="U8812">
        <v>397.73245781089003</v>
      </c>
      <c r="V8812">
        <v>1.1764705882352899E-2</v>
      </c>
      <c r="W8812">
        <v>408750.83242458297</v>
      </c>
      <c r="X8812" t="s">
        <v>38</v>
      </c>
      <c r="Y8812">
        <f>1-961-667-2907</f>
        <v>-4534</v>
      </c>
    </row>
    <row r="8813" spans="1:25" x14ac:dyDescent="0.35">
      <c r="A8813">
        <v>35.542255535357398</v>
      </c>
      <c r="B8813">
        <v>-120.015136573248</v>
      </c>
      <c r="C8813" t="s">
        <v>34</v>
      </c>
      <c r="D8813">
        <v>25.000494235266899</v>
      </c>
      <c r="E8813">
        <v>5</v>
      </c>
      <c r="F8813">
        <v>1449</v>
      </c>
      <c r="G8813">
        <v>4</v>
      </c>
      <c r="H8813">
        <v>3</v>
      </c>
      <c r="I8813">
        <v>1979</v>
      </c>
      <c r="J8813">
        <v>1</v>
      </c>
      <c r="K8813">
        <v>0</v>
      </c>
      <c r="L8813">
        <v>1</v>
      </c>
      <c r="M8813">
        <v>8</v>
      </c>
      <c r="N8813" t="s">
        <v>41</v>
      </c>
      <c r="O8813" t="s">
        <v>32</v>
      </c>
      <c r="P8813">
        <v>7.13226106207859</v>
      </c>
      <c r="Q8813">
        <v>0.75890295148046405</v>
      </c>
      <c r="R8813">
        <v>0.57960152255939901</v>
      </c>
      <c r="S8813">
        <v>158</v>
      </c>
      <c r="T8813">
        <v>40</v>
      </c>
      <c r="U8813">
        <v>601.59622929529803</v>
      </c>
      <c r="V8813">
        <v>5.5210489993098603E-3</v>
      </c>
      <c r="W8813">
        <v>1235457.8242838699</v>
      </c>
      <c r="X8813" t="s">
        <v>38</v>
      </c>
      <c r="Y8813">
        <f>1-558-313-9817</f>
        <v>-10687</v>
      </c>
    </row>
    <row r="8814" spans="1:25" x14ac:dyDescent="0.35">
      <c r="A8814">
        <v>34.929385250229899</v>
      </c>
      <c r="B8814">
        <v>-115.305163878057</v>
      </c>
      <c r="C8814" t="s">
        <v>25</v>
      </c>
      <c r="D8814">
        <v>6.7313187476308904</v>
      </c>
      <c r="E8814">
        <v>5</v>
      </c>
      <c r="F8814">
        <v>1224</v>
      </c>
      <c r="G8814">
        <v>5</v>
      </c>
      <c r="H8814">
        <v>3</v>
      </c>
      <c r="I8814">
        <v>2021</v>
      </c>
      <c r="J8814">
        <v>0</v>
      </c>
      <c r="K8814">
        <v>1</v>
      </c>
      <c r="L8814">
        <v>0</v>
      </c>
      <c r="M8814">
        <v>11</v>
      </c>
      <c r="N8814" t="s">
        <v>41</v>
      </c>
      <c r="O8814" t="s">
        <v>30</v>
      </c>
      <c r="P8814">
        <v>3.6687221426713199</v>
      </c>
      <c r="Q8814">
        <v>0.99431243636467703</v>
      </c>
      <c r="R8814">
        <v>5.7377182352604796</v>
      </c>
      <c r="S8814">
        <v>148</v>
      </c>
      <c r="T8814">
        <v>57</v>
      </c>
      <c r="U8814">
        <v>210.01681182619299</v>
      </c>
      <c r="V8814">
        <v>8.9869281045751592E-3</v>
      </c>
      <c r="W8814">
        <v>643347.682323677</v>
      </c>
      <c r="X8814" t="s">
        <v>31</v>
      </c>
      <c r="Y8814">
        <f>1-466-441-5572</f>
        <v>-6478</v>
      </c>
    </row>
    <row r="8815" spans="1:25" x14ac:dyDescent="0.35">
      <c r="A8815">
        <v>37.559433023392302</v>
      </c>
      <c r="B8815">
        <v>-121.657699944817</v>
      </c>
      <c r="C8815" t="s">
        <v>25</v>
      </c>
      <c r="D8815">
        <v>47.280978305971601</v>
      </c>
      <c r="E8815">
        <v>5</v>
      </c>
      <c r="F8815">
        <v>3116</v>
      </c>
      <c r="G8815">
        <v>5</v>
      </c>
      <c r="H8815">
        <v>2</v>
      </c>
      <c r="I8815">
        <v>1980</v>
      </c>
      <c r="J8815">
        <v>1</v>
      </c>
      <c r="K8815">
        <v>1</v>
      </c>
      <c r="L8815">
        <v>1</v>
      </c>
      <c r="M8815">
        <v>9</v>
      </c>
      <c r="N8815" t="s">
        <v>26</v>
      </c>
      <c r="O8815" t="s">
        <v>32</v>
      </c>
      <c r="P8815">
        <v>2.0821418818055801</v>
      </c>
      <c r="Q8815">
        <v>2.1304326070842001</v>
      </c>
      <c r="R8815">
        <v>6.6273059127587803</v>
      </c>
      <c r="S8815">
        <v>14</v>
      </c>
      <c r="T8815">
        <v>33</v>
      </c>
      <c r="U8815">
        <v>219.007393501065</v>
      </c>
      <c r="V8815">
        <v>2.8883183568677701E-3</v>
      </c>
      <c r="W8815">
        <v>1147228.5592213699</v>
      </c>
      <c r="X8815" t="s">
        <v>31</v>
      </c>
      <c r="Y8815">
        <f>1-436-977-7223</f>
        <v>-8635</v>
      </c>
    </row>
    <row r="8816" spans="1:25" x14ac:dyDescent="0.35">
      <c r="A8816">
        <v>35.834534682066298</v>
      </c>
      <c r="B8816">
        <v>-121.089009591639</v>
      </c>
      <c r="C8816" t="s">
        <v>29</v>
      </c>
      <c r="D8816">
        <v>13.699963819483401</v>
      </c>
      <c r="E8816">
        <v>6</v>
      </c>
      <c r="F8816">
        <v>3166</v>
      </c>
      <c r="G8816">
        <v>4</v>
      </c>
      <c r="H8816">
        <v>3</v>
      </c>
      <c r="I8816">
        <v>1987</v>
      </c>
      <c r="J8816">
        <v>1</v>
      </c>
      <c r="K8816">
        <v>0</v>
      </c>
      <c r="L8816">
        <v>0</v>
      </c>
      <c r="M8816">
        <v>7</v>
      </c>
      <c r="N8816" t="s">
        <v>37</v>
      </c>
      <c r="O8816" t="s">
        <v>32</v>
      </c>
      <c r="P8816">
        <v>10.967334016869399</v>
      </c>
      <c r="Q8816">
        <v>1.4463374065341901</v>
      </c>
      <c r="R8816">
        <v>2.8344109246204798</v>
      </c>
      <c r="S8816">
        <v>87</v>
      </c>
      <c r="T8816">
        <v>54</v>
      </c>
      <c r="U8816">
        <v>263.26601614268202</v>
      </c>
      <c r="V8816">
        <v>2.2109917877447798E-3</v>
      </c>
      <c r="W8816">
        <v>1198028.69574528</v>
      </c>
      <c r="X8816" t="s">
        <v>42</v>
      </c>
      <c r="Y8816">
        <f>1-767-420-8796</f>
        <v>-9982</v>
      </c>
    </row>
    <row r="8817" spans="1:25" x14ac:dyDescent="0.35">
      <c r="A8817">
        <v>40.165983812798402</v>
      </c>
      <c r="B8817">
        <v>-121.70459354182201</v>
      </c>
      <c r="C8817" t="s">
        <v>25</v>
      </c>
      <c r="D8817">
        <v>24.553730817238598</v>
      </c>
      <c r="E8817">
        <v>2</v>
      </c>
      <c r="F8817">
        <v>2874</v>
      </c>
      <c r="G8817">
        <v>4</v>
      </c>
      <c r="H8817">
        <v>1</v>
      </c>
      <c r="I8817">
        <v>1974</v>
      </c>
      <c r="J8817">
        <v>0</v>
      </c>
      <c r="K8817">
        <v>0</v>
      </c>
      <c r="L8817">
        <v>1</v>
      </c>
      <c r="M8817">
        <v>9</v>
      </c>
      <c r="N8817" t="s">
        <v>35</v>
      </c>
      <c r="O8817" t="s">
        <v>32</v>
      </c>
      <c r="P8817">
        <v>2.7673152110662902</v>
      </c>
      <c r="Q8817">
        <v>1.97416853459685</v>
      </c>
      <c r="R8817">
        <v>1.36488987038263</v>
      </c>
      <c r="S8817">
        <v>125</v>
      </c>
      <c r="T8817">
        <v>29</v>
      </c>
      <c r="U8817">
        <v>428.43871512933998</v>
      </c>
      <c r="V8817">
        <v>3.1315240083507299E-3</v>
      </c>
      <c r="W8817">
        <v>1421771.07595597</v>
      </c>
      <c r="X8817" t="s">
        <v>28</v>
      </c>
      <c r="Y8817">
        <f>1-270-133-2238</f>
        <v>-2640</v>
      </c>
    </row>
    <row r="8818" spans="1:25" x14ac:dyDescent="0.35">
      <c r="A8818">
        <v>32.886945558143402</v>
      </c>
      <c r="B8818">
        <v>-122.99871242683</v>
      </c>
      <c r="C8818" t="s">
        <v>34</v>
      </c>
      <c r="D8818">
        <v>5.3666843880686601</v>
      </c>
      <c r="E8818">
        <v>7</v>
      </c>
      <c r="F8818">
        <v>3004</v>
      </c>
      <c r="G8818">
        <v>1</v>
      </c>
      <c r="H8818">
        <v>2</v>
      </c>
      <c r="I8818">
        <v>2018</v>
      </c>
      <c r="J8818">
        <v>0</v>
      </c>
      <c r="K8818">
        <v>1</v>
      </c>
      <c r="L8818">
        <v>1</v>
      </c>
      <c r="M8818">
        <v>6</v>
      </c>
      <c r="N8818" t="s">
        <v>35</v>
      </c>
      <c r="O8818" t="s">
        <v>30</v>
      </c>
      <c r="P8818">
        <v>7.4876071448626904</v>
      </c>
      <c r="Q8818">
        <v>1.13184453684429</v>
      </c>
      <c r="R8818">
        <v>9.8822431593203497</v>
      </c>
      <c r="S8818">
        <v>72</v>
      </c>
      <c r="T8818">
        <v>30</v>
      </c>
      <c r="U8818">
        <v>646.48656408320198</v>
      </c>
      <c r="V8818">
        <v>1.9973368841544599E-3</v>
      </c>
      <c r="W8818">
        <v>2221619.5400682702</v>
      </c>
      <c r="X8818" t="s">
        <v>33</v>
      </c>
      <c r="Y8818">
        <f>1-768-944-2547</f>
        <v>-4258</v>
      </c>
    </row>
    <row r="8819" spans="1:25" x14ac:dyDescent="0.35">
      <c r="A8819">
        <v>37.117158647498698</v>
      </c>
      <c r="B8819">
        <v>-123.635998462925</v>
      </c>
      <c r="C8819" t="s">
        <v>29</v>
      </c>
      <c r="D8819">
        <v>7.3598437278321098</v>
      </c>
      <c r="E8819">
        <v>8</v>
      </c>
      <c r="F8819">
        <v>1099</v>
      </c>
      <c r="G8819">
        <v>4</v>
      </c>
      <c r="H8819">
        <v>3</v>
      </c>
      <c r="I8819">
        <v>1990</v>
      </c>
      <c r="J8819">
        <v>0</v>
      </c>
      <c r="K8819">
        <v>0</v>
      </c>
      <c r="L8819">
        <v>0</v>
      </c>
      <c r="M8819">
        <v>6</v>
      </c>
      <c r="N8819" t="s">
        <v>35</v>
      </c>
      <c r="O8819" t="s">
        <v>30</v>
      </c>
      <c r="P8819">
        <v>10.4470694861068</v>
      </c>
      <c r="Q8819">
        <v>0.78269335770795601</v>
      </c>
      <c r="R8819">
        <v>8.7802219602869407</v>
      </c>
      <c r="S8819">
        <v>75</v>
      </c>
      <c r="T8819">
        <v>20</v>
      </c>
      <c r="U8819">
        <v>585.37979414301901</v>
      </c>
      <c r="V8819">
        <v>5.4595086442220204E-3</v>
      </c>
      <c r="W8819">
        <v>997632.13000962103</v>
      </c>
      <c r="X8819" t="s">
        <v>43</v>
      </c>
      <c r="Y8819">
        <f>1-943-459-7165</f>
        <v>-8566</v>
      </c>
    </row>
    <row r="8820" spans="1:25" x14ac:dyDescent="0.35">
      <c r="A8820">
        <v>33.226894493643201</v>
      </c>
      <c r="B8820">
        <v>-118.593717385292</v>
      </c>
      <c r="C8820" t="s">
        <v>25</v>
      </c>
      <c r="D8820">
        <v>35.313932576093798</v>
      </c>
      <c r="E8820">
        <v>3</v>
      </c>
      <c r="F8820">
        <v>4396</v>
      </c>
      <c r="G8820">
        <v>4</v>
      </c>
      <c r="H8820">
        <v>3</v>
      </c>
      <c r="I8820">
        <v>1973</v>
      </c>
      <c r="J8820">
        <v>1</v>
      </c>
      <c r="K8820">
        <v>1</v>
      </c>
      <c r="L8820">
        <v>1</v>
      </c>
      <c r="M8820">
        <v>8</v>
      </c>
      <c r="N8820" t="s">
        <v>35</v>
      </c>
      <c r="O8820" t="s">
        <v>32</v>
      </c>
      <c r="P8820">
        <v>8.5367645932731797</v>
      </c>
      <c r="Q8820">
        <v>0.93081740184403094</v>
      </c>
      <c r="R8820">
        <v>1.8844065932360699E-2</v>
      </c>
      <c r="S8820">
        <v>167</v>
      </c>
      <c r="T8820">
        <v>51</v>
      </c>
      <c r="U8820">
        <v>287.74117276773097</v>
      </c>
      <c r="V8820">
        <v>1.8198362147406699E-3</v>
      </c>
      <c r="W8820">
        <v>1664842.5382786701</v>
      </c>
      <c r="X8820" t="s">
        <v>36</v>
      </c>
      <c r="Y8820">
        <f>1-784-133-6518</f>
        <v>-7434</v>
      </c>
    </row>
    <row r="8821" spans="1:25" x14ac:dyDescent="0.35">
      <c r="A8821">
        <v>41.666524255060096</v>
      </c>
      <c r="B8821">
        <v>-117.06419053195999</v>
      </c>
      <c r="C8821" t="s">
        <v>29</v>
      </c>
      <c r="D8821">
        <v>27.2348198795634</v>
      </c>
      <c r="E8821">
        <v>9</v>
      </c>
      <c r="F8821">
        <v>801</v>
      </c>
      <c r="G8821">
        <v>4</v>
      </c>
      <c r="H8821">
        <v>2</v>
      </c>
      <c r="I8821">
        <v>2006</v>
      </c>
      <c r="J8821">
        <v>0</v>
      </c>
      <c r="K8821">
        <v>1</v>
      </c>
      <c r="L8821">
        <v>0</v>
      </c>
      <c r="M8821">
        <v>14</v>
      </c>
      <c r="N8821" t="s">
        <v>41</v>
      </c>
      <c r="O8821" t="s">
        <v>27</v>
      </c>
      <c r="P8821">
        <v>13.1701890574128</v>
      </c>
      <c r="Q8821">
        <v>1.68788419938115</v>
      </c>
      <c r="R8821">
        <v>0.40806630462475402</v>
      </c>
      <c r="S8821">
        <v>123</v>
      </c>
      <c r="T8821">
        <v>35</v>
      </c>
      <c r="U8821">
        <v>643.46354257650398</v>
      </c>
      <c r="V8821">
        <v>1.7478152309612902E-2</v>
      </c>
      <c r="W8821">
        <v>938657.21766357904</v>
      </c>
      <c r="X8821" t="s">
        <v>31</v>
      </c>
      <c r="Y8821">
        <f>1-554-598-6329</f>
        <v>-7480</v>
      </c>
    </row>
    <row r="8822" spans="1:25" x14ac:dyDescent="0.35">
      <c r="A8822">
        <v>35.724178476968198</v>
      </c>
      <c r="B8822">
        <v>-120.69572015500501</v>
      </c>
      <c r="C8822" t="s">
        <v>25</v>
      </c>
      <c r="D8822">
        <v>22.007677843961499</v>
      </c>
      <c r="E8822">
        <v>8</v>
      </c>
      <c r="F8822">
        <v>3747</v>
      </c>
      <c r="G8822">
        <v>3</v>
      </c>
      <c r="H8822">
        <v>3</v>
      </c>
      <c r="I8822">
        <v>1984</v>
      </c>
      <c r="J8822">
        <v>1</v>
      </c>
      <c r="K8822">
        <v>1</v>
      </c>
      <c r="L8822">
        <v>1</v>
      </c>
      <c r="M8822">
        <v>4</v>
      </c>
      <c r="N8822" t="s">
        <v>35</v>
      </c>
      <c r="O8822" t="s">
        <v>27</v>
      </c>
      <c r="P8822">
        <v>13.535854923053099</v>
      </c>
      <c r="Q8822">
        <v>1.2652749228487501</v>
      </c>
      <c r="R8822">
        <v>1.2207165677160801</v>
      </c>
      <c r="S8822">
        <v>27</v>
      </c>
      <c r="T8822">
        <v>65</v>
      </c>
      <c r="U8822">
        <v>412.67108794558197</v>
      </c>
      <c r="V8822">
        <v>1.0675206832132301E-3</v>
      </c>
      <c r="W8822">
        <v>2056582.07139342</v>
      </c>
      <c r="X8822" t="s">
        <v>44</v>
      </c>
      <c r="Y8822">
        <f>1-585-435-6708</f>
        <v>-7727</v>
      </c>
    </row>
    <row r="8823" spans="1:25" x14ac:dyDescent="0.35">
      <c r="A8823">
        <v>38.223370337234201</v>
      </c>
      <c r="B8823">
        <v>-114.81903859244299</v>
      </c>
      <c r="C8823" t="s">
        <v>25</v>
      </c>
      <c r="D8823">
        <v>43.974288583754202</v>
      </c>
      <c r="E8823">
        <v>3</v>
      </c>
      <c r="F8823">
        <v>2832</v>
      </c>
      <c r="G8823">
        <v>3</v>
      </c>
      <c r="H8823">
        <v>1</v>
      </c>
      <c r="I8823">
        <v>1971</v>
      </c>
      <c r="J8823">
        <v>0</v>
      </c>
      <c r="K8823">
        <v>1</v>
      </c>
      <c r="L8823">
        <v>1</v>
      </c>
      <c r="M8823">
        <v>2</v>
      </c>
      <c r="N8823" t="s">
        <v>41</v>
      </c>
      <c r="O8823" t="s">
        <v>32</v>
      </c>
      <c r="P8823">
        <v>13.0598963455919</v>
      </c>
      <c r="Q8823">
        <v>1.4686393367069399</v>
      </c>
      <c r="R8823">
        <v>8.4672695013264798E-2</v>
      </c>
      <c r="S8823">
        <v>56</v>
      </c>
      <c r="T8823">
        <v>29</v>
      </c>
      <c r="U8823">
        <v>516.94698251239197</v>
      </c>
      <c r="V8823">
        <v>7.0621468926553596E-4</v>
      </c>
      <c r="W8823">
        <v>1839303.80162833</v>
      </c>
      <c r="X8823" t="s">
        <v>36</v>
      </c>
      <c r="Y8823">
        <f>1-207-474-7597</f>
        <v>-8277</v>
      </c>
    </row>
    <row r="8824" spans="1:25" x14ac:dyDescent="0.35">
      <c r="A8824">
        <v>39.197571914759202</v>
      </c>
      <c r="B8824">
        <v>-122.932011998734</v>
      </c>
      <c r="C8824" t="s">
        <v>29</v>
      </c>
      <c r="D8824">
        <v>28.742963538563</v>
      </c>
      <c r="E8824">
        <v>1</v>
      </c>
      <c r="F8824">
        <v>4002</v>
      </c>
      <c r="G8824">
        <v>4</v>
      </c>
      <c r="H8824">
        <v>2</v>
      </c>
      <c r="I8824">
        <v>1965</v>
      </c>
      <c r="J8824">
        <v>1</v>
      </c>
      <c r="K8824">
        <v>1</v>
      </c>
      <c r="L8824">
        <v>0</v>
      </c>
      <c r="M8824">
        <v>4</v>
      </c>
      <c r="N8824" t="s">
        <v>26</v>
      </c>
      <c r="O8824" t="s">
        <v>32</v>
      </c>
      <c r="P8824">
        <v>3.4940400362704298</v>
      </c>
      <c r="Q8824">
        <v>1.0918489687323101</v>
      </c>
      <c r="R8824">
        <v>2.4152243113416599E-2</v>
      </c>
      <c r="S8824">
        <v>102</v>
      </c>
      <c r="T8824">
        <v>24</v>
      </c>
      <c r="U8824">
        <v>868.86726529435805</v>
      </c>
      <c r="V8824">
        <v>9.99500249875062E-4</v>
      </c>
      <c r="W8824">
        <v>3724115.6834611199</v>
      </c>
      <c r="X8824" t="s">
        <v>43</v>
      </c>
      <c r="Y8824">
        <f>1-805-681-7578</f>
        <v>-9063</v>
      </c>
    </row>
    <row r="8825" spans="1:25" x14ac:dyDescent="0.35">
      <c r="A8825">
        <v>35.219371493531597</v>
      </c>
      <c r="B8825">
        <v>-118.373659281876</v>
      </c>
      <c r="C8825" t="s">
        <v>34</v>
      </c>
      <c r="D8825">
        <v>29.785579594367402</v>
      </c>
      <c r="E8825">
        <v>4</v>
      </c>
      <c r="F8825">
        <v>4793</v>
      </c>
      <c r="G8825">
        <v>5</v>
      </c>
      <c r="H8825">
        <v>3</v>
      </c>
      <c r="I8825">
        <v>2008</v>
      </c>
      <c r="J8825">
        <v>0</v>
      </c>
      <c r="K8825">
        <v>1</v>
      </c>
      <c r="L8825">
        <v>0</v>
      </c>
      <c r="M8825">
        <v>4</v>
      </c>
      <c r="N8825" t="s">
        <v>37</v>
      </c>
      <c r="O8825" t="s">
        <v>32</v>
      </c>
      <c r="P8825">
        <v>4.0939240844802498</v>
      </c>
      <c r="Q8825">
        <v>2.4951502946208102</v>
      </c>
      <c r="R8825">
        <v>2.6620746644558202</v>
      </c>
      <c r="S8825">
        <v>127</v>
      </c>
      <c r="T8825">
        <v>22</v>
      </c>
      <c r="U8825">
        <v>739.33333813044305</v>
      </c>
      <c r="V8825">
        <v>8.3455038597955299E-4</v>
      </c>
      <c r="W8825">
        <v>3936636.5510515599</v>
      </c>
      <c r="X8825" t="s">
        <v>39</v>
      </c>
      <c r="Y8825">
        <f>1-952-891-3255</f>
        <v>-5097</v>
      </c>
    </row>
    <row r="8826" spans="1:25" x14ac:dyDescent="0.35">
      <c r="A8826">
        <v>41.994915363970797</v>
      </c>
      <c r="B8826">
        <v>-122.22938089012</v>
      </c>
      <c r="C8826" t="s">
        <v>34</v>
      </c>
      <c r="D8826">
        <v>28.664415003165999</v>
      </c>
      <c r="E8826">
        <v>7</v>
      </c>
      <c r="F8826">
        <v>4514</v>
      </c>
      <c r="G8826">
        <v>3</v>
      </c>
      <c r="H8826">
        <v>2</v>
      </c>
      <c r="I8826">
        <v>1978</v>
      </c>
      <c r="J8826">
        <v>1</v>
      </c>
      <c r="K8826">
        <v>1</v>
      </c>
      <c r="L8826">
        <v>0</v>
      </c>
      <c r="M8826">
        <v>12</v>
      </c>
      <c r="N8826" t="s">
        <v>41</v>
      </c>
      <c r="O8826" t="s">
        <v>30</v>
      </c>
      <c r="P8826">
        <v>12.1129291595525</v>
      </c>
      <c r="Q8826">
        <v>2.0605571402308001</v>
      </c>
      <c r="R8826">
        <v>7.0810531670306904</v>
      </c>
      <c r="S8826">
        <v>12</v>
      </c>
      <c r="T8826">
        <v>22</v>
      </c>
      <c r="U8826">
        <v>797.41851251351204</v>
      </c>
      <c r="V8826">
        <v>2.6583961010190498E-3</v>
      </c>
      <c r="W8826">
        <v>4002620.65915165</v>
      </c>
      <c r="X8826" t="s">
        <v>39</v>
      </c>
      <c r="Y8826">
        <f>1-946-520-6325</f>
        <v>-7790</v>
      </c>
    </row>
    <row r="8827" spans="1:25" x14ac:dyDescent="0.35">
      <c r="A8827">
        <v>36.9334859415954</v>
      </c>
      <c r="B8827">
        <v>-121.132629469981</v>
      </c>
      <c r="C8827" t="s">
        <v>34</v>
      </c>
      <c r="D8827">
        <v>4.4065881350989304</v>
      </c>
      <c r="E8827">
        <v>6</v>
      </c>
      <c r="F8827">
        <v>4001</v>
      </c>
      <c r="G8827">
        <v>4</v>
      </c>
      <c r="H8827">
        <v>2</v>
      </c>
      <c r="I8827">
        <v>2002</v>
      </c>
      <c r="J8827">
        <v>1</v>
      </c>
      <c r="K8827">
        <v>0</v>
      </c>
      <c r="L8827">
        <v>0</v>
      </c>
      <c r="M8827">
        <v>2</v>
      </c>
      <c r="N8827" t="s">
        <v>35</v>
      </c>
      <c r="O8827" t="s">
        <v>30</v>
      </c>
      <c r="P8827">
        <v>5.0632320866557299</v>
      </c>
      <c r="Q8827">
        <v>1.9850106081446399</v>
      </c>
      <c r="R8827">
        <v>2.4513772965883902</v>
      </c>
      <c r="S8827">
        <v>40</v>
      </c>
      <c r="T8827">
        <v>20</v>
      </c>
      <c r="U8827">
        <v>363.10120988738203</v>
      </c>
      <c r="V8827">
        <v>4.9987503124218895E-4</v>
      </c>
      <c r="W8827">
        <v>1696872.0329243001</v>
      </c>
      <c r="X8827" t="s">
        <v>31</v>
      </c>
      <c r="Y8827">
        <f>1-260-283-4684</f>
        <v>-5226</v>
      </c>
    </row>
    <row r="8828" spans="1:25" x14ac:dyDescent="0.35">
      <c r="A8828">
        <v>37.062059048543702</v>
      </c>
      <c r="B8828">
        <v>-124.325454650073</v>
      </c>
      <c r="C8828" t="s">
        <v>34</v>
      </c>
      <c r="D8828">
        <v>45.686628170648703</v>
      </c>
      <c r="E8828">
        <v>2</v>
      </c>
      <c r="F8828">
        <v>3997</v>
      </c>
      <c r="G8828">
        <v>5</v>
      </c>
      <c r="H8828">
        <v>1</v>
      </c>
      <c r="I8828">
        <v>1970</v>
      </c>
      <c r="J8828">
        <v>1</v>
      </c>
      <c r="K8828">
        <v>0</v>
      </c>
      <c r="L8828">
        <v>0</v>
      </c>
      <c r="M8828">
        <v>4</v>
      </c>
      <c r="N8828" t="s">
        <v>26</v>
      </c>
      <c r="O8828" t="s">
        <v>32</v>
      </c>
      <c r="P8828">
        <v>2.8720531511676</v>
      </c>
      <c r="Q8828">
        <v>2.4858584940494399</v>
      </c>
      <c r="R8828">
        <v>7.0693013736061499</v>
      </c>
      <c r="S8828">
        <v>7</v>
      </c>
      <c r="T8828">
        <v>38</v>
      </c>
      <c r="U8828">
        <v>249.385915039748</v>
      </c>
      <c r="V8828">
        <v>1.0007505629221901E-3</v>
      </c>
      <c r="W8828">
        <v>1241095.4539111301</v>
      </c>
      <c r="X8828" t="s">
        <v>43</v>
      </c>
      <c r="Y8828">
        <f>1-210-700-9358</f>
        <v>-10267</v>
      </c>
    </row>
    <row r="8829" spans="1:25" x14ac:dyDescent="0.35">
      <c r="A8829">
        <v>33.673137919945802</v>
      </c>
      <c r="B8829">
        <v>-115.539721989681</v>
      </c>
      <c r="C8829" t="s">
        <v>25</v>
      </c>
      <c r="D8829">
        <v>37.443399723263802</v>
      </c>
      <c r="E8829">
        <v>6</v>
      </c>
      <c r="F8829">
        <v>4327</v>
      </c>
      <c r="G8829">
        <v>1</v>
      </c>
      <c r="H8829">
        <v>2</v>
      </c>
      <c r="I8829">
        <v>2014</v>
      </c>
      <c r="J8829">
        <v>0</v>
      </c>
      <c r="K8829">
        <v>0</v>
      </c>
      <c r="L8829">
        <v>0</v>
      </c>
      <c r="M8829">
        <v>5</v>
      </c>
      <c r="N8829" t="s">
        <v>41</v>
      </c>
      <c r="O8829" t="s">
        <v>27</v>
      </c>
      <c r="P8829">
        <v>5.6336800041547201</v>
      </c>
      <c r="Q8829">
        <v>2.19871687837299</v>
      </c>
      <c r="R8829">
        <v>0.74173494990992705</v>
      </c>
      <c r="S8829">
        <v>173</v>
      </c>
      <c r="T8829">
        <v>41</v>
      </c>
      <c r="U8829">
        <v>227.46229307086799</v>
      </c>
      <c r="V8829">
        <v>1.1555350127108799E-3</v>
      </c>
      <c r="W8829">
        <v>1132807.65154236</v>
      </c>
      <c r="X8829" t="s">
        <v>43</v>
      </c>
      <c r="Y8829">
        <f>1-943-812-9152</f>
        <v>-10906</v>
      </c>
    </row>
    <row r="8830" spans="1:25" x14ac:dyDescent="0.35">
      <c r="A8830">
        <v>39.137294775729998</v>
      </c>
      <c r="B8830">
        <v>-120.22786321725</v>
      </c>
      <c r="C8830" t="s">
        <v>29</v>
      </c>
      <c r="D8830">
        <v>35.4597795047681</v>
      </c>
      <c r="E8830">
        <v>6</v>
      </c>
      <c r="F8830">
        <v>2168</v>
      </c>
      <c r="G8830">
        <v>5</v>
      </c>
      <c r="H8830">
        <v>1</v>
      </c>
      <c r="I8830">
        <v>1952</v>
      </c>
      <c r="J8830">
        <v>1</v>
      </c>
      <c r="K8830">
        <v>0</v>
      </c>
      <c r="L8830">
        <v>1</v>
      </c>
      <c r="M8830">
        <v>7</v>
      </c>
      <c r="N8830" t="s">
        <v>37</v>
      </c>
      <c r="O8830" t="s">
        <v>27</v>
      </c>
      <c r="P8830">
        <v>7.34942209289472</v>
      </c>
      <c r="Q8830">
        <v>2.1755423212386402</v>
      </c>
      <c r="R8830">
        <v>6.7892376735200797</v>
      </c>
      <c r="S8830">
        <v>13</v>
      </c>
      <c r="T8830">
        <v>62</v>
      </c>
      <c r="U8830">
        <v>258.096171412258</v>
      </c>
      <c r="V8830">
        <v>3.2287822878228701E-3</v>
      </c>
      <c r="W8830">
        <v>855283.594120575</v>
      </c>
      <c r="X8830" t="s">
        <v>44</v>
      </c>
      <c r="Y8830">
        <f>1-944-161-1474</f>
        <v>-2578</v>
      </c>
    </row>
    <row r="8831" spans="1:25" x14ac:dyDescent="0.35">
      <c r="A8831">
        <v>37.621957201733998</v>
      </c>
      <c r="B8831">
        <v>-118.97720829129599</v>
      </c>
      <c r="C8831" t="s">
        <v>29</v>
      </c>
      <c r="D8831">
        <v>40.933215047910402</v>
      </c>
      <c r="E8831">
        <v>4</v>
      </c>
      <c r="F8831">
        <v>4051</v>
      </c>
      <c r="G8831">
        <v>3</v>
      </c>
      <c r="H8831">
        <v>3</v>
      </c>
      <c r="I8831">
        <v>1992</v>
      </c>
      <c r="J8831">
        <v>1</v>
      </c>
      <c r="K8831">
        <v>1</v>
      </c>
      <c r="L8831">
        <v>0</v>
      </c>
      <c r="M8831">
        <v>10</v>
      </c>
      <c r="N8831" t="s">
        <v>37</v>
      </c>
      <c r="O8831" t="s">
        <v>32</v>
      </c>
      <c r="P8831">
        <v>6.9378522563396698</v>
      </c>
      <c r="Q8831">
        <v>0.96217967433833995</v>
      </c>
      <c r="R8831">
        <v>9.6947613903112195</v>
      </c>
      <c r="S8831">
        <v>124</v>
      </c>
      <c r="T8831">
        <v>34</v>
      </c>
      <c r="U8831">
        <v>241.28552488537301</v>
      </c>
      <c r="V8831">
        <v>2.4685262898049799E-3</v>
      </c>
      <c r="W8831">
        <v>1281221.73465698</v>
      </c>
      <c r="X8831" t="s">
        <v>31</v>
      </c>
      <c r="Y8831">
        <f>1-942-601-4117</f>
        <v>-5659</v>
      </c>
    </row>
    <row r="8832" spans="1:25" x14ac:dyDescent="0.35">
      <c r="A8832">
        <v>38.724349320907201</v>
      </c>
      <c r="B8832">
        <v>-121.608851785197</v>
      </c>
      <c r="C8832" t="s">
        <v>29</v>
      </c>
      <c r="D8832">
        <v>12.4369852983789</v>
      </c>
      <c r="E8832">
        <v>4</v>
      </c>
      <c r="F8832">
        <v>2018</v>
      </c>
      <c r="G8832">
        <v>4</v>
      </c>
      <c r="H8832">
        <v>2</v>
      </c>
      <c r="I8832">
        <v>2007</v>
      </c>
      <c r="J8832">
        <v>1</v>
      </c>
      <c r="K8832">
        <v>0</v>
      </c>
      <c r="L8832">
        <v>0</v>
      </c>
      <c r="M8832">
        <v>9</v>
      </c>
      <c r="N8832" t="s">
        <v>37</v>
      </c>
      <c r="O8832" t="s">
        <v>30</v>
      </c>
      <c r="P8832">
        <v>11.3066330826437</v>
      </c>
      <c r="Q8832">
        <v>2.1957365941928599</v>
      </c>
      <c r="R8832">
        <v>7.7050612053808702</v>
      </c>
      <c r="S8832">
        <v>139</v>
      </c>
      <c r="T8832">
        <v>23</v>
      </c>
      <c r="U8832">
        <v>687.618908312146</v>
      </c>
      <c r="V8832">
        <v>4.45986124876114E-3</v>
      </c>
      <c r="W8832">
        <v>1731289.2483204999</v>
      </c>
      <c r="X8832" t="s">
        <v>38</v>
      </c>
      <c r="Y8832">
        <f>1-878-959-2476</f>
        <v>-4312</v>
      </c>
    </row>
    <row r="8833" spans="1:25" x14ac:dyDescent="0.35">
      <c r="A8833">
        <v>33.429872325220302</v>
      </c>
      <c r="B8833">
        <v>-123.076048756574</v>
      </c>
      <c r="C8833" t="s">
        <v>25</v>
      </c>
      <c r="D8833">
        <v>20.641297701502602</v>
      </c>
      <c r="E8833">
        <v>7</v>
      </c>
      <c r="F8833">
        <v>3533</v>
      </c>
      <c r="G8833">
        <v>1</v>
      </c>
      <c r="H8833">
        <v>1</v>
      </c>
      <c r="I8833">
        <v>1993</v>
      </c>
      <c r="J8833">
        <v>0</v>
      </c>
      <c r="K8833">
        <v>0</v>
      </c>
      <c r="L8833">
        <v>1</v>
      </c>
      <c r="M8833">
        <v>8</v>
      </c>
      <c r="N8833" t="s">
        <v>37</v>
      </c>
      <c r="O8833" t="s">
        <v>30</v>
      </c>
      <c r="P8833">
        <v>11.235184743154401</v>
      </c>
      <c r="Q8833">
        <v>0.88026264890384498</v>
      </c>
      <c r="R8833">
        <v>8.8191603436626202</v>
      </c>
      <c r="S8833">
        <v>128</v>
      </c>
      <c r="T8833">
        <v>47</v>
      </c>
      <c r="U8833">
        <v>566.62721688556098</v>
      </c>
      <c r="V8833">
        <v>2.2643645626945902E-3</v>
      </c>
      <c r="W8833">
        <v>2131967.5606841701</v>
      </c>
      <c r="X8833" t="s">
        <v>44</v>
      </c>
      <c r="Y8833">
        <f>1-933-799-8564</f>
        <v>-10295</v>
      </c>
    </row>
    <row r="8834" spans="1:25" x14ac:dyDescent="0.35">
      <c r="A8834">
        <v>40.099922599156599</v>
      </c>
      <c r="B8834">
        <v>-121.77423864756</v>
      </c>
      <c r="C8834" t="s">
        <v>34</v>
      </c>
      <c r="D8834">
        <v>14.922608727284199</v>
      </c>
      <c r="E8834">
        <v>9</v>
      </c>
      <c r="F8834">
        <v>3242</v>
      </c>
      <c r="G8834">
        <v>1</v>
      </c>
      <c r="H8834">
        <v>1</v>
      </c>
      <c r="I8834">
        <v>1968</v>
      </c>
      <c r="J8834">
        <v>0</v>
      </c>
      <c r="K8834">
        <v>1</v>
      </c>
      <c r="L8834">
        <v>0</v>
      </c>
      <c r="M8834">
        <v>4</v>
      </c>
      <c r="N8834" t="s">
        <v>35</v>
      </c>
      <c r="O8834" t="s">
        <v>30</v>
      </c>
      <c r="P8834">
        <v>8.4295219423704797</v>
      </c>
      <c r="Q8834">
        <v>0.87344369602237804</v>
      </c>
      <c r="R8834">
        <v>0.20307850406636799</v>
      </c>
      <c r="S8834">
        <v>187</v>
      </c>
      <c r="T8834">
        <v>42</v>
      </c>
      <c r="U8834">
        <v>575.49112901326396</v>
      </c>
      <c r="V8834">
        <v>1.23380629241209E-3</v>
      </c>
      <c r="W8834">
        <v>2028425.4132304699</v>
      </c>
      <c r="X8834" t="s">
        <v>42</v>
      </c>
      <c r="Y8834">
        <f>1-878-438-3778</f>
        <v>-5093</v>
      </c>
    </row>
    <row r="8835" spans="1:25" x14ac:dyDescent="0.35">
      <c r="A8835">
        <v>41.03289476866</v>
      </c>
      <c r="B8835">
        <v>-123.7371676424</v>
      </c>
      <c r="C8835" t="s">
        <v>25</v>
      </c>
      <c r="D8835">
        <v>33.552467386473197</v>
      </c>
      <c r="E8835">
        <v>4</v>
      </c>
      <c r="F8835">
        <v>3438</v>
      </c>
      <c r="G8835">
        <v>2</v>
      </c>
      <c r="H8835">
        <v>3</v>
      </c>
      <c r="I8835">
        <v>1966</v>
      </c>
      <c r="J8835">
        <v>0</v>
      </c>
      <c r="K8835">
        <v>1</v>
      </c>
      <c r="L8835">
        <v>0</v>
      </c>
      <c r="M8835">
        <v>3</v>
      </c>
      <c r="N8835" t="s">
        <v>37</v>
      </c>
      <c r="O8835" t="s">
        <v>32</v>
      </c>
      <c r="P8835">
        <v>14.763626448317</v>
      </c>
      <c r="Q8835">
        <v>1.6132999625468101</v>
      </c>
      <c r="R8835">
        <v>5.1520186371633203</v>
      </c>
      <c r="S8835">
        <v>153</v>
      </c>
      <c r="T8835">
        <v>66</v>
      </c>
      <c r="U8835">
        <v>240.68975600218201</v>
      </c>
      <c r="V8835">
        <v>8.7260034904013898E-4</v>
      </c>
      <c r="W8835">
        <v>1046316.93216094</v>
      </c>
      <c r="X8835" t="s">
        <v>42</v>
      </c>
      <c r="Y8835">
        <f>1-497-526-8259</f>
        <v>-9281</v>
      </c>
    </row>
    <row r="8836" spans="1:25" x14ac:dyDescent="0.35">
      <c r="A8836">
        <v>41.777876062687703</v>
      </c>
      <c r="B8836">
        <v>-118.32425206214199</v>
      </c>
      <c r="C8836" t="s">
        <v>29</v>
      </c>
      <c r="D8836">
        <v>41.772423375801502</v>
      </c>
      <c r="E8836">
        <v>6</v>
      </c>
      <c r="F8836">
        <v>3160</v>
      </c>
      <c r="G8836">
        <v>5</v>
      </c>
      <c r="H8836">
        <v>2</v>
      </c>
      <c r="I8836">
        <v>1979</v>
      </c>
      <c r="J8836">
        <v>0</v>
      </c>
      <c r="K8836">
        <v>1</v>
      </c>
      <c r="L8836">
        <v>1</v>
      </c>
      <c r="M8836">
        <v>14</v>
      </c>
      <c r="N8836" t="s">
        <v>35</v>
      </c>
      <c r="O8836" t="s">
        <v>32</v>
      </c>
      <c r="P8836">
        <v>2.87560017318116</v>
      </c>
      <c r="Q8836">
        <v>1.4945550578503799</v>
      </c>
      <c r="R8836">
        <v>9.3280088900333897</v>
      </c>
      <c r="S8836">
        <v>191</v>
      </c>
      <c r="T8836">
        <v>72</v>
      </c>
      <c r="U8836">
        <v>963.52941355182497</v>
      </c>
      <c r="V8836">
        <v>4.4303797468354398E-3</v>
      </c>
      <c r="W8836">
        <v>3348940.1043210202</v>
      </c>
      <c r="X8836" t="s">
        <v>44</v>
      </c>
      <c r="Y8836">
        <f>1-929-521-6998</f>
        <v>-8447</v>
      </c>
    </row>
    <row r="8837" spans="1:25" x14ac:dyDescent="0.35">
      <c r="A8837">
        <v>39.966090204589797</v>
      </c>
      <c r="B8837">
        <v>-124.34910551246401</v>
      </c>
      <c r="C8837" t="s">
        <v>29</v>
      </c>
      <c r="D8837">
        <v>40.127810816387303</v>
      </c>
      <c r="E8837">
        <v>3</v>
      </c>
      <c r="F8837">
        <v>3549</v>
      </c>
      <c r="G8837">
        <v>4</v>
      </c>
      <c r="H8837">
        <v>3</v>
      </c>
      <c r="I8837">
        <v>1973</v>
      </c>
      <c r="J8837">
        <v>0</v>
      </c>
      <c r="K8837">
        <v>0</v>
      </c>
      <c r="L8837">
        <v>0</v>
      </c>
      <c r="M8837">
        <v>3</v>
      </c>
      <c r="N8837" t="s">
        <v>35</v>
      </c>
      <c r="O8837" t="s">
        <v>32</v>
      </c>
      <c r="P8837">
        <v>3.70285659327793</v>
      </c>
      <c r="Q8837">
        <v>0.52481215300794803</v>
      </c>
      <c r="R8837">
        <v>2.1771920459621401</v>
      </c>
      <c r="S8837">
        <v>104</v>
      </c>
      <c r="T8837">
        <v>39</v>
      </c>
      <c r="U8837">
        <v>917.39335865490204</v>
      </c>
      <c r="V8837">
        <v>8.4530853761622901E-4</v>
      </c>
      <c r="W8837">
        <v>3441267.30825694</v>
      </c>
      <c r="X8837" t="s">
        <v>40</v>
      </c>
      <c r="Y8837">
        <f>1-713-638-6240</f>
        <v>-7590</v>
      </c>
    </row>
    <row r="8838" spans="1:25" x14ac:dyDescent="0.35">
      <c r="A8838">
        <v>37.616347923869697</v>
      </c>
      <c r="B8838">
        <v>-116.557563145885</v>
      </c>
      <c r="C8838" t="s">
        <v>29</v>
      </c>
      <c r="D8838">
        <v>16.5479858316465</v>
      </c>
      <c r="E8838">
        <v>8</v>
      </c>
      <c r="F8838">
        <v>4766</v>
      </c>
      <c r="G8838">
        <v>3</v>
      </c>
      <c r="H8838">
        <v>3</v>
      </c>
      <c r="I8838">
        <v>1974</v>
      </c>
      <c r="J8838">
        <v>1</v>
      </c>
      <c r="K8838">
        <v>0</v>
      </c>
      <c r="L8838">
        <v>0</v>
      </c>
      <c r="M8838">
        <v>12</v>
      </c>
      <c r="N8838" t="s">
        <v>37</v>
      </c>
      <c r="O8838" t="s">
        <v>32</v>
      </c>
      <c r="P8838">
        <v>10.109125892655401</v>
      </c>
      <c r="Q8838">
        <v>1.38191300380388</v>
      </c>
      <c r="R8838">
        <v>6.9438594131206104</v>
      </c>
      <c r="S8838">
        <v>15</v>
      </c>
      <c r="T8838">
        <v>27</v>
      </c>
      <c r="U8838">
        <v>369.70597128573303</v>
      </c>
      <c r="V8838">
        <v>2.5178346621905099E-3</v>
      </c>
      <c r="W8838">
        <v>1987441.3190681101</v>
      </c>
      <c r="X8838" t="s">
        <v>42</v>
      </c>
      <c r="Y8838">
        <f>1-603-947-8613</f>
        <v>-10162</v>
      </c>
    </row>
    <row r="8839" spans="1:25" x14ac:dyDescent="0.35">
      <c r="A8839">
        <v>38.006115292050801</v>
      </c>
      <c r="B8839">
        <v>-120.980393979986</v>
      </c>
      <c r="C8839" t="s">
        <v>29</v>
      </c>
      <c r="D8839">
        <v>19.7550956029615</v>
      </c>
      <c r="E8839">
        <v>3</v>
      </c>
      <c r="F8839">
        <v>3055</v>
      </c>
      <c r="G8839">
        <v>4</v>
      </c>
      <c r="H8839">
        <v>1</v>
      </c>
      <c r="I8839">
        <v>2010</v>
      </c>
      <c r="J8839">
        <v>0</v>
      </c>
      <c r="K8839">
        <v>0</v>
      </c>
      <c r="L8839">
        <v>0</v>
      </c>
      <c r="M8839">
        <v>9</v>
      </c>
      <c r="N8839" t="s">
        <v>41</v>
      </c>
      <c r="O8839" t="s">
        <v>30</v>
      </c>
      <c r="P8839">
        <v>11.977186291966699</v>
      </c>
      <c r="Q8839">
        <v>1.73785338055028</v>
      </c>
      <c r="R8839">
        <v>1.49289364542854</v>
      </c>
      <c r="S8839">
        <v>147</v>
      </c>
      <c r="T8839">
        <v>64</v>
      </c>
      <c r="U8839">
        <v>714.55006588335505</v>
      </c>
      <c r="V8839">
        <v>2.9459901800327299E-3</v>
      </c>
      <c r="W8839">
        <v>2501883.2489117701</v>
      </c>
      <c r="X8839" t="s">
        <v>44</v>
      </c>
      <c r="Y8839">
        <f>1-485-663-8006</f>
        <v>-9153</v>
      </c>
    </row>
    <row r="8840" spans="1:25" x14ac:dyDescent="0.35">
      <c r="A8840">
        <v>40.1418586287284</v>
      </c>
      <c r="B8840">
        <v>-116.332290907442</v>
      </c>
      <c r="C8840" t="s">
        <v>25</v>
      </c>
      <c r="D8840">
        <v>46.032321151579801</v>
      </c>
      <c r="E8840">
        <v>7</v>
      </c>
      <c r="F8840">
        <v>1370</v>
      </c>
      <c r="G8840">
        <v>5</v>
      </c>
      <c r="H8840">
        <v>1</v>
      </c>
      <c r="I8840">
        <v>1988</v>
      </c>
      <c r="J8840">
        <v>1</v>
      </c>
      <c r="K8840">
        <v>1</v>
      </c>
      <c r="L8840">
        <v>1</v>
      </c>
      <c r="M8840">
        <v>8</v>
      </c>
      <c r="N8840" t="s">
        <v>37</v>
      </c>
      <c r="O8840" t="s">
        <v>30</v>
      </c>
      <c r="P8840">
        <v>10.3232803953884</v>
      </c>
      <c r="Q8840">
        <v>2.3011981596329201</v>
      </c>
      <c r="R8840">
        <v>3.4435236996060499</v>
      </c>
      <c r="S8840">
        <v>74</v>
      </c>
      <c r="T8840">
        <v>54</v>
      </c>
      <c r="U8840">
        <v>385.11797013022402</v>
      </c>
      <c r="V8840">
        <v>5.8394160583941602E-3</v>
      </c>
      <c r="W8840">
        <v>948931.82572865696</v>
      </c>
      <c r="X8840" t="s">
        <v>40</v>
      </c>
      <c r="Y8840">
        <f>1-560-604-2018</f>
        <v>-3181</v>
      </c>
    </row>
    <row r="8841" spans="1:25" x14ac:dyDescent="0.35">
      <c r="A8841">
        <v>37.118755463542698</v>
      </c>
      <c r="B8841">
        <v>-119.052981117781</v>
      </c>
      <c r="C8841" t="s">
        <v>29</v>
      </c>
      <c r="D8841">
        <v>23.215172590565899</v>
      </c>
      <c r="E8841">
        <v>9</v>
      </c>
      <c r="F8841">
        <v>2215</v>
      </c>
      <c r="G8841">
        <v>5</v>
      </c>
      <c r="H8841">
        <v>3</v>
      </c>
      <c r="I8841">
        <v>1994</v>
      </c>
      <c r="J8841">
        <v>1</v>
      </c>
      <c r="K8841">
        <v>0</v>
      </c>
      <c r="L8841">
        <v>1</v>
      </c>
      <c r="M8841">
        <v>4</v>
      </c>
      <c r="N8841" t="s">
        <v>35</v>
      </c>
      <c r="O8841" t="s">
        <v>30</v>
      </c>
      <c r="P8841">
        <v>5.6327468596669696</v>
      </c>
      <c r="Q8841">
        <v>2.2949696733147098</v>
      </c>
      <c r="R8841">
        <v>2.7088960150347998</v>
      </c>
      <c r="S8841">
        <v>150</v>
      </c>
      <c r="T8841">
        <v>74</v>
      </c>
      <c r="U8841">
        <v>372.56733698129102</v>
      </c>
      <c r="V8841">
        <v>1.8058690744920901E-3</v>
      </c>
      <c r="W8841">
        <v>1278559.18061347</v>
      </c>
      <c r="X8841" t="s">
        <v>38</v>
      </c>
      <c r="Y8841">
        <f>1-317-768-5347</f>
        <v>-6431</v>
      </c>
    </row>
    <row r="8842" spans="1:25" x14ac:dyDescent="0.35">
      <c r="A8842">
        <v>35.260912244624002</v>
      </c>
      <c r="B8842">
        <v>-123.569983946083</v>
      </c>
      <c r="C8842" t="s">
        <v>29</v>
      </c>
      <c r="D8842">
        <v>9.8768406843843195</v>
      </c>
      <c r="E8842">
        <v>9</v>
      </c>
      <c r="F8842">
        <v>4805</v>
      </c>
      <c r="G8842">
        <v>1</v>
      </c>
      <c r="H8842">
        <v>2</v>
      </c>
      <c r="I8842">
        <v>1986</v>
      </c>
      <c r="J8842">
        <v>0</v>
      </c>
      <c r="K8842">
        <v>1</v>
      </c>
      <c r="L8842">
        <v>1</v>
      </c>
      <c r="M8842">
        <v>10</v>
      </c>
      <c r="N8842" t="s">
        <v>41</v>
      </c>
      <c r="O8842" t="s">
        <v>27</v>
      </c>
      <c r="P8842">
        <v>3.44974000344983</v>
      </c>
      <c r="Q8842">
        <v>1.06375829817331</v>
      </c>
      <c r="R8842">
        <v>4.8504603725830302</v>
      </c>
      <c r="S8842">
        <v>12</v>
      </c>
      <c r="T8842">
        <v>57</v>
      </c>
      <c r="U8842">
        <v>678.82309586642896</v>
      </c>
      <c r="V8842">
        <v>2.0811654526534801E-3</v>
      </c>
      <c r="W8842">
        <v>3522736.79546247</v>
      </c>
      <c r="X8842" t="s">
        <v>42</v>
      </c>
      <c r="Y8842">
        <f>1-477-203-8511</f>
        <v>-9190</v>
      </c>
    </row>
    <row r="8843" spans="1:25" x14ac:dyDescent="0.35">
      <c r="A8843">
        <v>39.653536532689998</v>
      </c>
      <c r="B8843">
        <v>-119.231349357946</v>
      </c>
      <c r="C8843" t="s">
        <v>29</v>
      </c>
      <c r="D8843">
        <v>36.156198875069201</v>
      </c>
      <c r="E8843">
        <v>0</v>
      </c>
      <c r="F8843">
        <v>2276</v>
      </c>
      <c r="G8843">
        <v>4</v>
      </c>
      <c r="H8843">
        <v>2</v>
      </c>
      <c r="I8843">
        <v>1965</v>
      </c>
      <c r="J8843">
        <v>0</v>
      </c>
      <c r="K8843">
        <v>0</v>
      </c>
      <c r="L8843">
        <v>0</v>
      </c>
      <c r="M8843">
        <v>5</v>
      </c>
      <c r="N8843" t="s">
        <v>35</v>
      </c>
      <c r="O8843" t="s">
        <v>30</v>
      </c>
      <c r="P8843">
        <v>7.4402860979533596</v>
      </c>
      <c r="Q8843">
        <v>0.62615332608270702</v>
      </c>
      <c r="R8843">
        <v>1.6417890560772599</v>
      </c>
      <c r="S8843">
        <v>10</v>
      </c>
      <c r="T8843">
        <v>45</v>
      </c>
      <c r="U8843">
        <v>640.81258770534998</v>
      </c>
      <c r="V8843">
        <v>2.1968365553602801E-3</v>
      </c>
      <c r="W8843">
        <v>1785148.0092650999</v>
      </c>
      <c r="X8843" t="s">
        <v>43</v>
      </c>
      <c r="Y8843">
        <f>1-587-774-2585</f>
        <v>-3945</v>
      </c>
    </row>
    <row r="8844" spans="1:25" x14ac:dyDescent="0.35">
      <c r="A8844">
        <v>35.6665356520665</v>
      </c>
      <c r="B8844">
        <v>-123.04241391655199</v>
      </c>
      <c r="C8844" t="s">
        <v>34</v>
      </c>
      <c r="D8844">
        <v>27.694560173119498</v>
      </c>
      <c r="E8844">
        <v>3</v>
      </c>
      <c r="F8844">
        <v>638</v>
      </c>
      <c r="G8844">
        <v>2</v>
      </c>
      <c r="H8844">
        <v>2</v>
      </c>
      <c r="I8844">
        <v>1958</v>
      </c>
      <c r="J8844">
        <v>1</v>
      </c>
      <c r="K8844">
        <v>0</v>
      </c>
      <c r="L8844">
        <v>1</v>
      </c>
      <c r="M8844">
        <v>2</v>
      </c>
      <c r="N8844" t="s">
        <v>26</v>
      </c>
      <c r="O8844" t="s">
        <v>32</v>
      </c>
      <c r="P8844">
        <v>9.1055158170686905</v>
      </c>
      <c r="Q8844">
        <v>2.44734962674131</v>
      </c>
      <c r="R8844">
        <v>6.9323426074290397</v>
      </c>
      <c r="S8844">
        <v>79</v>
      </c>
      <c r="T8844">
        <v>23</v>
      </c>
      <c r="U8844">
        <v>865.52523100226199</v>
      </c>
      <c r="V8844">
        <v>3.1347962382445101E-3</v>
      </c>
      <c r="W8844">
        <v>708020.93562196102</v>
      </c>
      <c r="X8844" t="s">
        <v>42</v>
      </c>
      <c r="Y8844">
        <f>1-862-174-3887</f>
        <v>-4922</v>
      </c>
    </row>
    <row r="8845" spans="1:25" x14ac:dyDescent="0.35">
      <c r="A8845">
        <v>40.115467724335701</v>
      </c>
      <c r="B8845">
        <v>-121.282157100063</v>
      </c>
      <c r="C8845" t="s">
        <v>25</v>
      </c>
      <c r="D8845">
        <v>24.0119021217672</v>
      </c>
      <c r="E8845">
        <v>3</v>
      </c>
      <c r="F8845">
        <v>3461</v>
      </c>
      <c r="G8845">
        <v>4</v>
      </c>
      <c r="H8845">
        <v>1</v>
      </c>
      <c r="I8845">
        <v>1964</v>
      </c>
      <c r="J8845">
        <v>0</v>
      </c>
      <c r="K8845">
        <v>1</v>
      </c>
      <c r="L8845">
        <v>0</v>
      </c>
      <c r="M8845">
        <v>11</v>
      </c>
      <c r="N8845" t="s">
        <v>35</v>
      </c>
      <c r="O8845" t="s">
        <v>32</v>
      </c>
      <c r="P8845">
        <v>5.8945342920117199</v>
      </c>
      <c r="Q8845">
        <v>1.6589374843706699</v>
      </c>
      <c r="R8845">
        <v>1.24636307170231</v>
      </c>
      <c r="S8845">
        <v>188</v>
      </c>
      <c r="T8845">
        <v>55</v>
      </c>
      <c r="U8845">
        <v>360.63062820811399</v>
      </c>
      <c r="V8845">
        <v>3.1782721756717699E-3</v>
      </c>
      <c r="W8845">
        <v>1557179.1570256799</v>
      </c>
      <c r="X8845" t="s">
        <v>28</v>
      </c>
      <c r="Y8845">
        <f>1-970-189-4053</f>
        <v>-5211</v>
      </c>
    </row>
    <row r="8846" spans="1:25" x14ac:dyDescent="0.35">
      <c r="A8846">
        <v>39.351845024259397</v>
      </c>
      <c r="B8846">
        <v>-117.149913917286</v>
      </c>
      <c r="C8846" t="s">
        <v>25</v>
      </c>
      <c r="D8846">
        <v>40.750321375666601</v>
      </c>
      <c r="E8846">
        <v>0</v>
      </c>
      <c r="F8846">
        <v>3014</v>
      </c>
      <c r="G8846">
        <v>1</v>
      </c>
      <c r="H8846">
        <v>1</v>
      </c>
      <c r="I8846">
        <v>1981</v>
      </c>
      <c r="J8846">
        <v>1</v>
      </c>
      <c r="K8846">
        <v>1</v>
      </c>
      <c r="L8846">
        <v>1</v>
      </c>
      <c r="M8846">
        <v>3</v>
      </c>
      <c r="N8846" t="s">
        <v>37</v>
      </c>
      <c r="O8846" t="s">
        <v>30</v>
      </c>
      <c r="P8846">
        <v>10.4114162130788</v>
      </c>
      <c r="Q8846">
        <v>1.0799240001473001</v>
      </c>
      <c r="R8846">
        <v>2.6814667051151</v>
      </c>
      <c r="S8846">
        <v>0</v>
      </c>
      <c r="T8846">
        <v>36</v>
      </c>
      <c r="U8846">
        <v>808.11542061211003</v>
      </c>
      <c r="V8846">
        <v>9.9535500995354999E-4</v>
      </c>
      <c r="W8846">
        <v>2840226.9066571398</v>
      </c>
      <c r="X8846" t="s">
        <v>40</v>
      </c>
      <c r="Y8846">
        <f>1-485-826-6541</f>
        <v>-7851</v>
      </c>
    </row>
    <row r="8847" spans="1:25" x14ac:dyDescent="0.35">
      <c r="A8847">
        <v>39.212186381235398</v>
      </c>
      <c r="B8847">
        <v>-121.859586196384</v>
      </c>
      <c r="C8847" t="s">
        <v>25</v>
      </c>
      <c r="D8847">
        <v>33.753390226945399</v>
      </c>
      <c r="E8847">
        <v>4</v>
      </c>
      <c r="F8847">
        <v>2495</v>
      </c>
      <c r="G8847">
        <v>5</v>
      </c>
      <c r="H8847">
        <v>2</v>
      </c>
      <c r="I8847">
        <v>1967</v>
      </c>
      <c r="J8847">
        <v>0</v>
      </c>
      <c r="K8847">
        <v>0</v>
      </c>
      <c r="L8847">
        <v>0</v>
      </c>
      <c r="M8847">
        <v>3</v>
      </c>
      <c r="N8847" t="s">
        <v>35</v>
      </c>
      <c r="O8847" t="s">
        <v>27</v>
      </c>
      <c r="P8847">
        <v>8.2147436823928199</v>
      </c>
      <c r="Q8847">
        <v>0.78035195587805295</v>
      </c>
      <c r="R8847">
        <v>4.4396048885590202</v>
      </c>
      <c r="S8847">
        <v>187</v>
      </c>
      <c r="T8847">
        <v>52</v>
      </c>
      <c r="U8847">
        <v>526.05930427745898</v>
      </c>
      <c r="V8847">
        <v>1.20240480961923E-3</v>
      </c>
      <c r="W8847">
        <v>1468443.67702751</v>
      </c>
      <c r="X8847" t="s">
        <v>40</v>
      </c>
      <c r="Y8847">
        <f>1-748-755-4407</f>
        <v>-5909</v>
      </c>
    </row>
    <row r="8848" spans="1:25" x14ac:dyDescent="0.35">
      <c r="A8848">
        <v>36.480522282530899</v>
      </c>
      <c r="B8848">
        <v>-114.489770040035</v>
      </c>
      <c r="C8848" t="s">
        <v>29</v>
      </c>
      <c r="D8848">
        <v>47.425468574354198</v>
      </c>
      <c r="E8848">
        <v>0</v>
      </c>
      <c r="F8848">
        <v>2809</v>
      </c>
      <c r="G8848">
        <v>1</v>
      </c>
      <c r="H8848">
        <v>2</v>
      </c>
      <c r="I8848">
        <v>2003</v>
      </c>
      <c r="J8848">
        <v>1</v>
      </c>
      <c r="K8848">
        <v>0</v>
      </c>
      <c r="L8848">
        <v>0</v>
      </c>
      <c r="M8848">
        <v>13</v>
      </c>
      <c r="N8848" t="s">
        <v>41</v>
      </c>
      <c r="O8848" t="s">
        <v>32</v>
      </c>
      <c r="P8848">
        <v>4.2249429067016102</v>
      </c>
      <c r="Q8848">
        <v>1.2755581000233001</v>
      </c>
      <c r="R8848">
        <v>5.1735173378053698</v>
      </c>
      <c r="S8848">
        <v>108</v>
      </c>
      <c r="T8848">
        <v>79</v>
      </c>
      <c r="U8848">
        <v>662.58140683988699</v>
      </c>
      <c r="V8848">
        <v>4.6279814880740401E-3</v>
      </c>
      <c r="W8848">
        <v>2003727.4921093499</v>
      </c>
      <c r="X8848" t="s">
        <v>42</v>
      </c>
      <c r="Y8848">
        <f>1-669-330-3841</f>
        <v>-4839</v>
      </c>
    </row>
    <row r="8849" spans="1:25" x14ac:dyDescent="0.35">
      <c r="A8849">
        <v>33.781358136540099</v>
      </c>
      <c r="B8849">
        <v>-121.49724136884799</v>
      </c>
      <c r="C8849" t="s">
        <v>29</v>
      </c>
      <c r="D8849">
        <v>38.6426358270691</v>
      </c>
      <c r="E8849">
        <v>3</v>
      </c>
      <c r="F8849">
        <v>1288</v>
      </c>
      <c r="G8849">
        <v>2</v>
      </c>
      <c r="H8849">
        <v>2</v>
      </c>
      <c r="I8849">
        <v>1987</v>
      </c>
      <c r="J8849">
        <v>0</v>
      </c>
      <c r="K8849">
        <v>1</v>
      </c>
      <c r="L8849">
        <v>1</v>
      </c>
      <c r="M8849">
        <v>3</v>
      </c>
      <c r="N8849" t="s">
        <v>26</v>
      </c>
      <c r="O8849" t="s">
        <v>30</v>
      </c>
      <c r="P8849">
        <v>2.06831426878479</v>
      </c>
      <c r="Q8849">
        <v>1.46312450924361</v>
      </c>
      <c r="R8849">
        <v>9.4526366271394497</v>
      </c>
      <c r="S8849">
        <v>147</v>
      </c>
      <c r="T8849">
        <v>70</v>
      </c>
      <c r="U8849">
        <v>421.52172140748399</v>
      </c>
      <c r="V8849">
        <v>2.3291925465838501E-3</v>
      </c>
      <c r="W8849">
        <v>699177.55282404402</v>
      </c>
      <c r="X8849" t="s">
        <v>36</v>
      </c>
      <c r="Y8849">
        <f>1-727-839-8485</f>
        <v>-10050</v>
      </c>
    </row>
    <row r="8850" spans="1:25" x14ac:dyDescent="0.35">
      <c r="A8850">
        <v>36.165695840887501</v>
      </c>
      <c r="B8850">
        <v>-116.781350693874</v>
      </c>
      <c r="C8850" t="s">
        <v>29</v>
      </c>
      <c r="D8850">
        <v>19.4537815020437</v>
      </c>
      <c r="E8850">
        <v>9</v>
      </c>
      <c r="F8850">
        <v>3203</v>
      </c>
      <c r="G8850">
        <v>3</v>
      </c>
      <c r="H8850">
        <v>2</v>
      </c>
      <c r="I8850">
        <v>1950</v>
      </c>
      <c r="J8850">
        <v>0</v>
      </c>
      <c r="K8850">
        <v>0</v>
      </c>
      <c r="L8850">
        <v>1</v>
      </c>
      <c r="M8850">
        <v>8</v>
      </c>
      <c r="N8850" t="s">
        <v>35</v>
      </c>
      <c r="O8850" t="s">
        <v>32</v>
      </c>
      <c r="P8850">
        <v>8.3154879352725892</v>
      </c>
      <c r="Q8850">
        <v>0.77285834935241604</v>
      </c>
      <c r="R8850">
        <v>5.5484733286818297</v>
      </c>
      <c r="S8850">
        <v>184</v>
      </c>
      <c r="T8850">
        <v>49</v>
      </c>
      <c r="U8850">
        <v>819.66540462862099</v>
      </c>
      <c r="V8850">
        <v>2.4976584452076102E-3</v>
      </c>
      <c r="W8850">
        <v>2775759.7245025001</v>
      </c>
      <c r="X8850" t="s">
        <v>42</v>
      </c>
      <c r="Y8850">
        <f>1-411-446-1401</f>
        <v>-2257</v>
      </c>
    </row>
    <row r="8851" spans="1:25" x14ac:dyDescent="0.35">
      <c r="A8851">
        <v>34.897097158893096</v>
      </c>
      <c r="B8851">
        <v>-120.418028020782</v>
      </c>
      <c r="C8851" t="s">
        <v>34</v>
      </c>
      <c r="D8851">
        <v>9.1115224373518302</v>
      </c>
      <c r="E8851">
        <v>2</v>
      </c>
      <c r="F8851">
        <v>2087</v>
      </c>
      <c r="G8851">
        <v>2</v>
      </c>
      <c r="H8851">
        <v>1</v>
      </c>
      <c r="I8851">
        <v>1983</v>
      </c>
      <c r="J8851">
        <v>1</v>
      </c>
      <c r="K8851">
        <v>0</v>
      </c>
      <c r="L8851">
        <v>1</v>
      </c>
      <c r="M8851">
        <v>5</v>
      </c>
      <c r="N8851" t="s">
        <v>41</v>
      </c>
      <c r="O8851" t="s">
        <v>30</v>
      </c>
      <c r="P8851">
        <v>9.7340752887638899</v>
      </c>
      <c r="Q8851">
        <v>1.8695435567513199</v>
      </c>
      <c r="R8851">
        <v>6.8254068259901404</v>
      </c>
      <c r="S8851">
        <v>159</v>
      </c>
      <c r="T8851">
        <v>33</v>
      </c>
      <c r="U8851">
        <v>558.35052319645604</v>
      </c>
      <c r="V8851">
        <v>2.3957834211787198E-3</v>
      </c>
      <c r="W8851">
        <v>1326515.51109698</v>
      </c>
      <c r="X8851" t="s">
        <v>42</v>
      </c>
      <c r="Y8851">
        <f>1-808-194-7311</f>
        <v>-8312</v>
      </c>
    </row>
    <row r="8852" spans="1:25" x14ac:dyDescent="0.35">
      <c r="A8852">
        <v>36.780632180262202</v>
      </c>
      <c r="B8852">
        <v>-120.784254963254</v>
      </c>
      <c r="C8852" t="s">
        <v>29</v>
      </c>
      <c r="D8852">
        <v>10.855516446264399</v>
      </c>
      <c r="E8852">
        <v>5</v>
      </c>
      <c r="F8852">
        <v>4662</v>
      </c>
      <c r="G8852">
        <v>5</v>
      </c>
      <c r="H8852">
        <v>3</v>
      </c>
      <c r="I8852">
        <v>1964</v>
      </c>
      <c r="J8852">
        <v>1</v>
      </c>
      <c r="K8852">
        <v>0</v>
      </c>
      <c r="L8852">
        <v>0</v>
      </c>
      <c r="M8852">
        <v>3</v>
      </c>
      <c r="N8852" t="s">
        <v>41</v>
      </c>
      <c r="O8852" t="s">
        <v>32</v>
      </c>
      <c r="P8852">
        <v>8.1967141112202899</v>
      </c>
      <c r="Q8852">
        <v>1.5693154406633001</v>
      </c>
      <c r="R8852">
        <v>9.6127950391424992</v>
      </c>
      <c r="S8852">
        <v>12</v>
      </c>
      <c r="T8852">
        <v>60</v>
      </c>
      <c r="U8852">
        <v>284.61961685027097</v>
      </c>
      <c r="V8852">
        <v>6.4350064350064305E-4</v>
      </c>
      <c r="W8852">
        <v>1738412.5691389199</v>
      </c>
      <c r="X8852" t="s">
        <v>40</v>
      </c>
      <c r="Y8852">
        <f>1-890-340-7967</f>
        <v>-9196</v>
      </c>
    </row>
    <row r="8853" spans="1:25" x14ac:dyDescent="0.35">
      <c r="A8853">
        <v>34.301156539135398</v>
      </c>
      <c r="B8853">
        <v>-118.21040323063799</v>
      </c>
      <c r="C8853" t="s">
        <v>34</v>
      </c>
      <c r="D8853">
        <v>3.9876131934781198</v>
      </c>
      <c r="E8853">
        <v>5</v>
      </c>
      <c r="F8853">
        <v>3109</v>
      </c>
      <c r="G8853">
        <v>4</v>
      </c>
      <c r="H8853">
        <v>1</v>
      </c>
      <c r="I8853">
        <v>2015</v>
      </c>
      <c r="J8853">
        <v>1</v>
      </c>
      <c r="K8853">
        <v>0</v>
      </c>
      <c r="L8853">
        <v>0</v>
      </c>
      <c r="M8853">
        <v>5</v>
      </c>
      <c r="N8853" t="s">
        <v>26</v>
      </c>
      <c r="O8853" t="s">
        <v>27</v>
      </c>
      <c r="P8853">
        <v>10.870327548594499</v>
      </c>
      <c r="Q8853">
        <v>0.72871533175583103</v>
      </c>
      <c r="R8853">
        <v>4.42688645339088</v>
      </c>
      <c r="S8853">
        <v>20</v>
      </c>
      <c r="T8853">
        <v>54</v>
      </c>
      <c r="U8853">
        <v>531.17441621293597</v>
      </c>
      <c r="V8853">
        <v>1.6082341588935299E-3</v>
      </c>
      <c r="W8853">
        <v>1963537.42592849</v>
      </c>
      <c r="X8853" t="s">
        <v>28</v>
      </c>
      <c r="Y8853">
        <f>1-729-317-9760</f>
        <v>-10805</v>
      </c>
    </row>
    <row r="8854" spans="1:25" x14ac:dyDescent="0.35">
      <c r="A8854">
        <v>33.747006398424503</v>
      </c>
      <c r="B8854">
        <v>-116.14593737853799</v>
      </c>
      <c r="C8854" t="s">
        <v>29</v>
      </c>
      <c r="D8854">
        <v>47.570962088420899</v>
      </c>
      <c r="E8854">
        <v>5</v>
      </c>
      <c r="F8854">
        <v>2239</v>
      </c>
      <c r="G8854">
        <v>4</v>
      </c>
      <c r="H8854">
        <v>2</v>
      </c>
      <c r="I8854">
        <v>1950</v>
      </c>
      <c r="J8854">
        <v>0</v>
      </c>
      <c r="K8854">
        <v>1</v>
      </c>
      <c r="L8854">
        <v>0</v>
      </c>
      <c r="M8854">
        <v>8</v>
      </c>
      <c r="N8854" t="s">
        <v>37</v>
      </c>
      <c r="O8854" t="s">
        <v>27</v>
      </c>
      <c r="P8854">
        <v>5.9960497336238596</v>
      </c>
      <c r="Q8854">
        <v>1.84905143349289</v>
      </c>
      <c r="R8854">
        <v>5.8909270707400996</v>
      </c>
      <c r="S8854">
        <v>89</v>
      </c>
      <c r="T8854">
        <v>47</v>
      </c>
      <c r="U8854">
        <v>713.48426096336698</v>
      </c>
      <c r="V8854">
        <v>3.5730236712818199E-3</v>
      </c>
      <c r="W8854">
        <v>1929809.2827040299</v>
      </c>
      <c r="X8854" t="s">
        <v>28</v>
      </c>
      <c r="Y8854">
        <f>1-479-147-6568</f>
        <v>-7193</v>
      </c>
    </row>
    <row r="8855" spans="1:25" x14ac:dyDescent="0.35">
      <c r="A8855">
        <v>37.3208350756843</v>
      </c>
      <c r="B8855">
        <v>-124.26575770035799</v>
      </c>
      <c r="C8855" t="s">
        <v>25</v>
      </c>
      <c r="D8855">
        <v>43.798634457257002</v>
      </c>
      <c r="E8855">
        <v>2</v>
      </c>
      <c r="F8855">
        <v>2619</v>
      </c>
      <c r="G8855">
        <v>1</v>
      </c>
      <c r="H8855">
        <v>2</v>
      </c>
      <c r="I8855">
        <v>1988</v>
      </c>
      <c r="J8855">
        <v>0</v>
      </c>
      <c r="K8855">
        <v>0</v>
      </c>
      <c r="L8855">
        <v>1</v>
      </c>
      <c r="M8855">
        <v>6</v>
      </c>
      <c r="N8855" t="s">
        <v>35</v>
      </c>
      <c r="O8855" t="s">
        <v>27</v>
      </c>
      <c r="P8855">
        <v>14.5527501480023</v>
      </c>
      <c r="Q8855">
        <v>2.3550411897377201</v>
      </c>
      <c r="R8855">
        <v>5.4621985984465597</v>
      </c>
      <c r="S8855">
        <v>194</v>
      </c>
      <c r="T8855">
        <v>33</v>
      </c>
      <c r="U8855">
        <v>635.05876865271898</v>
      </c>
      <c r="V8855">
        <v>2.2909507445589899E-3</v>
      </c>
      <c r="W8855">
        <v>1820904.5815456801</v>
      </c>
      <c r="X8855" t="s">
        <v>36</v>
      </c>
      <c r="Y8855">
        <f>1-498-840-7916</f>
        <v>-9253</v>
      </c>
    </row>
    <row r="8856" spans="1:25" x14ac:dyDescent="0.35">
      <c r="A8856">
        <v>39.256102447893497</v>
      </c>
      <c r="B8856">
        <v>-120.599283103755</v>
      </c>
      <c r="C8856" t="s">
        <v>34</v>
      </c>
      <c r="D8856">
        <v>5.0551672269924</v>
      </c>
      <c r="E8856">
        <v>0</v>
      </c>
      <c r="F8856">
        <v>3892</v>
      </c>
      <c r="G8856">
        <v>5</v>
      </c>
      <c r="H8856">
        <v>1</v>
      </c>
      <c r="I8856">
        <v>2000</v>
      </c>
      <c r="J8856">
        <v>1</v>
      </c>
      <c r="K8856">
        <v>0</v>
      </c>
      <c r="L8856">
        <v>0</v>
      </c>
      <c r="M8856">
        <v>13</v>
      </c>
      <c r="N8856" t="s">
        <v>37</v>
      </c>
      <c r="O8856" t="s">
        <v>32</v>
      </c>
      <c r="P8856">
        <v>13.280790977670399</v>
      </c>
      <c r="Q8856">
        <v>1.76241496415521</v>
      </c>
      <c r="R8856">
        <v>6.1955595301451698</v>
      </c>
      <c r="S8856">
        <v>136</v>
      </c>
      <c r="T8856">
        <v>45</v>
      </c>
      <c r="U8856">
        <v>484.16881372852203</v>
      </c>
      <c r="V8856">
        <v>3.3401849948612502E-3</v>
      </c>
      <c r="W8856">
        <v>2227247.0150265102</v>
      </c>
      <c r="X8856" t="s">
        <v>36</v>
      </c>
      <c r="Y8856">
        <f>1-957-483-5902</f>
        <v>-7341</v>
      </c>
    </row>
    <row r="8857" spans="1:25" x14ac:dyDescent="0.35">
      <c r="A8857">
        <v>39.836036236051797</v>
      </c>
      <c r="B8857">
        <v>-123.636905320994</v>
      </c>
      <c r="C8857" t="s">
        <v>34</v>
      </c>
      <c r="D8857">
        <v>39.125187838058103</v>
      </c>
      <c r="E8857">
        <v>5</v>
      </c>
      <c r="F8857">
        <v>3811</v>
      </c>
      <c r="G8857">
        <v>4</v>
      </c>
      <c r="H8857">
        <v>2</v>
      </c>
      <c r="I8857">
        <v>1962</v>
      </c>
      <c r="J8857">
        <v>0</v>
      </c>
      <c r="K8857">
        <v>0</v>
      </c>
      <c r="L8857">
        <v>0</v>
      </c>
      <c r="M8857">
        <v>11</v>
      </c>
      <c r="N8857" t="s">
        <v>35</v>
      </c>
      <c r="O8857" t="s">
        <v>32</v>
      </c>
      <c r="P8857">
        <v>8.8244218789344693</v>
      </c>
      <c r="Q8857">
        <v>1.8550322928577401</v>
      </c>
      <c r="R8857">
        <v>8.9849851248201595</v>
      </c>
      <c r="S8857">
        <v>194</v>
      </c>
      <c r="T8857">
        <v>39</v>
      </c>
      <c r="U8857">
        <v>994.88703396053199</v>
      </c>
      <c r="V8857">
        <v>2.8863815271582198E-3</v>
      </c>
      <c r="W8857">
        <v>3970042.75983046</v>
      </c>
      <c r="X8857" t="s">
        <v>38</v>
      </c>
      <c r="Y8857">
        <f>1-936-378-3861</f>
        <v>-5174</v>
      </c>
    </row>
    <row r="8858" spans="1:25" x14ac:dyDescent="0.35">
      <c r="A8858">
        <v>39.722626452857099</v>
      </c>
      <c r="B8858">
        <v>-115.04875633511401</v>
      </c>
      <c r="C8858" t="s">
        <v>29</v>
      </c>
      <c r="D8858">
        <v>42.550146886498197</v>
      </c>
      <c r="E8858">
        <v>5</v>
      </c>
      <c r="F8858">
        <v>3309</v>
      </c>
      <c r="G8858">
        <v>2</v>
      </c>
      <c r="H8858">
        <v>3</v>
      </c>
      <c r="I8858">
        <v>1965</v>
      </c>
      <c r="J8858">
        <v>1</v>
      </c>
      <c r="K8858">
        <v>0</v>
      </c>
      <c r="L8858">
        <v>1</v>
      </c>
      <c r="M8858">
        <v>7</v>
      </c>
      <c r="N8858" t="s">
        <v>37</v>
      </c>
      <c r="O8858" t="s">
        <v>32</v>
      </c>
      <c r="P8858">
        <v>12.1311117636417</v>
      </c>
      <c r="Q8858">
        <v>1.57813375898721</v>
      </c>
      <c r="R8858">
        <v>9.0885325000081192</v>
      </c>
      <c r="S8858">
        <v>89</v>
      </c>
      <c r="T8858">
        <v>35</v>
      </c>
      <c r="U8858">
        <v>895.68930087745298</v>
      </c>
      <c r="V8858">
        <v>2.11544273194318E-3</v>
      </c>
      <c r="W8858">
        <v>3228673.8290006798</v>
      </c>
      <c r="X8858" t="s">
        <v>39</v>
      </c>
      <c r="Y8858">
        <f>1-812-695-9471</f>
        <v>-10977</v>
      </c>
    </row>
    <row r="8859" spans="1:25" x14ac:dyDescent="0.35">
      <c r="A8859">
        <v>35.899287219019598</v>
      </c>
      <c r="B8859">
        <v>-114.019033213011</v>
      </c>
      <c r="C8859" t="s">
        <v>34</v>
      </c>
      <c r="D8859">
        <v>27.574705629782901</v>
      </c>
      <c r="E8859">
        <v>1</v>
      </c>
      <c r="F8859">
        <v>3643</v>
      </c>
      <c r="G8859">
        <v>4</v>
      </c>
      <c r="H8859">
        <v>1</v>
      </c>
      <c r="I8859">
        <v>2000</v>
      </c>
      <c r="J8859">
        <v>0</v>
      </c>
      <c r="K8859">
        <v>0</v>
      </c>
      <c r="L8859">
        <v>0</v>
      </c>
      <c r="M8859">
        <v>8</v>
      </c>
      <c r="N8859" t="s">
        <v>41</v>
      </c>
      <c r="O8859" t="s">
        <v>27</v>
      </c>
      <c r="P8859">
        <v>14.5518869625012</v>
      </c>
      <c r="Q8859">
        <v>0.74453929439736399</v>
      </c>
      <c r="R8859">
        <v>7.2743401455668799</v>
      </c>
      <c r="S8859">
        <v>120</v>
      </c>
      <c r="T8859">
        <v>31</v>
      </c>
      <c r="U8859">
        <v>522.05856529536595</v>
      </c>
      <c r="V8859">
        <v>2.1959923140268999E-3</v>
      </c>
      <c r="W8859">
        <v>2219611.40224576</v>
      </c>
      <c r="X8859" t="s">
        <v>42</v>
      </c>
      <c r="Y8859">
        <f>1-707-274-4210</f>
        <v>-5190</v>
      </c>
    </row>
    <row r="8860" spans="1:25" x14ac:dyDescent="0.35">
      <c r="A8860">
        <v>35.381270927483001</v>
      </c>
      <c r="B8860">
        <v>-124.261044794816</v>
      </c>
      <c r="C8860" t="s">
        <v>25</v>
      </c>
      <c r="D8860">
        <v>5.86833821800563</v>
      </c>
      <c r="E8860">
        <v>2</v>
      </c>
      <c r="F8860">
        <v>4547</v>
      </c>
      <c r="G8860">
        <v>3</v>
      </c>
      <c r="H8860">
        <v>3</v>
      </c>
      <c r="I8860">
        <v>2016</v>
      </c>
      <c r="J8860">
        <v>1</v>
      </c>
      <c r="K8860">
        <v>0</v>
      </c>
      <c r="L8860">
        <v>0</v>
      </c>
      <c r="M8860">
        <v>8</v>
      </c>
      <c r="N8860" t="s">
        <v>35</v>
      </c>
      <c r="O8860" t="s">
        <v>30</v>
      </c>
      <c r="P8860">
        <v>6.4239073267747804</v>
      </c>
      <c r="Q8860">
        <v>2.1276945250433199</v>
      </c>
      <c r="R8860">
        <v>2.12374123790969</v>
      </c>
      <c r="S8860">
        <v>125</v>
      </c>
      <c r="T8860">
        <v>68</v>
      </c>
      <c r="U8860">
        <v>518.07465299582702</v>
      </c>
      <c r="V8860">
        <v>1.75940180338684E-3</v>
      </c>
      <c r="W8860">
        <v>2715730.62663945</v>
      </c>
      <c r="X8860" t="s">
        <v>39</v>
      </c>
      <c r="Y8860">
        <f>1-649-218-4934</f>
        <v>-5800</v>
      </c>
    </row>
    <row r="8861" spans="1:25" x14ac:dyDescent="0.35">
      <c r="A8861">
        <v>37.681585254375598</v>
      </c>
      <c r="B8861">
        <v>-121.50066173459901</v>
      </c>
      <c r="C8861" t="s">
        <v>29</v>
      </c>
      <c r="D8861">
        <v>28.5118651194481</v>
      </c>
      <c r="E8861">
        <v>6</v>
      </c>
      <c r="F8861">
        <v>1865</v>
      </c>
      <c r="G8861">
        <v>3</v>
      </c>
      <c r="H8861">
        <v>2</v>
      </c>
      <c r="I8861">
        <v>1962</v>
      </c>
      <c r="J8861">
        <v>1</v>
      </c>
      <c r="K8861">
        <v>0</v>
      </c>
      <c r="L8861">
        <v>0</v>
      </c>
      <c r="M8861">
        <v>9</v>
      </c>
      <c r="N8861" t="s">
        <v>35</v>
      </c>
      <c r="O8861" t="s">
        <v>32</v>
      </c>
      <c r="P8861">
        <v>8.7432975016077705</v>
      </c>
      <c r="Q8861">
        <v>1.0000212450327299</v>
      </c>
      <c r="R8861">
        <v>8.6280128129203</v>
      </c>
      <c r="S8861">
        <v>196</v>
      </c>
      <c r="T8861">
        <v>36</v>
      </c>
      <c r="U8861">
        <v>834.38525476103405</v>
      </c>
      <c r="V8861">
        <v>4.8257372654155499E-3</v>
      </c>
      <c r="W8861">
        <v>1742058.0043690901</v>
      </c>
      <c r="X8861" t="s">
        <v>31</v>
      </c>
      <c r="Y8861">
        <f>1-840-913-6454</f>
        <v>-8206</v>
      </c>
    </row>
    <row r="8862" spans="1:25" x14ac:dyDescent="0.35">
      <c r="A8862">
        <v>41.047398878819997</v>
      </c>
      <c r="B8862">
        <v>-121.78567560357401</v>
      </c>
      <c r="C8862" t="s">
        <v>29</v>
      </c>
      <c r="D8862">
        <v>39.660615622745297</v>
      </c>
      <c r="E8862">
        <v>1</v>
      </c>
      <c r="F8862">
        <v>1497</v>
      </c>
      <c r="G8862">
        <v>3</v>
      </c>
      <c r="H8862">
        <v>1</v>
      </c>
      <c r="I8862">
        <v>1968</v>
      </c>
      <c r="J8862">
        <v>0</v>
      </c>
      <c r="K8862">
        <v>1</v>
      </c>
      <c r="L8862">
        <v>1</v>
      </c>
      <c r="M8862">
        <v>9</v>
      </c>
      <c r="N8862" t="s">
        <v>41</v>
      </c>
      <c r="O8862" t="s">
        <v>30</v>
      </c>
      <c r="P8862">
        <v>7.5307355970942602</v>
      </c>
      <c r="Q8862">
        <v>1.3107896094501399</v>
      </c>
      <c r="R8862">
        <v>5.6532871391126598</v>
      </c>
      <c r="S8862">
        <v>197</v>
      </c>
      <c r="T8862">
        <v>40</v>
      </c>
      <c r="U8862">
        <v>755.242501262377</v>
      </c>
      <c r="V8862">
        <v>6.0120240480961897E-3</v>
      </c>
      <c r="W8862">
        <v>1367514.9930541799</v>
      </c>
      <c r="X8862" t="s">
        <v>31</v>
      </c>
      <c r="Y8862">
        <f>1-301-459-6321</f>
        <v>-7080</v>
      </c>
    </row>
    <row r="8863" spans="1:25" x14ac:dyDescent="0.35">
      <c r="A8863">
        <v>34.164221908010497</v>
      </c>
      <c r="B8863">
        <v>-121.636430105866</v>
      </c>
      <c r="C8863" t="s">
        <v>29</v>
      </c>
      <c r="D8863">
        <v>23.471200005458599</v>
      </c>
      <c r="E8863">
        <v>9</v>
      </c>
      <c r="F8863">
        <v>4489</v>
      </c>
      <c r="G8863">
        <v>2</v>
      </c>
      <c r="H8863">
        <v>3</v>
      </c>
      <c r="I8863">
        <v>1975</v>
      </c>
      <c r="J8863">
        <v>1</v>
      </c>
      <c r="K8863">
        <v>1</v>
      </c>
      <c r="L8863">
        <v>0</v>
      </c>
      <c r="M8863">
        <v>5</v>
      </c>
      <c r="N8863" t="s">
        <v>26</v>
      </c>
      <c r="O8863" t="s">
        <v>27</v>
      </c>
      <c r="P8863">
        <v>12.8327460885851</v>
      </c>
      <c r="Q8863">
        <v>2.2731362596721501</v>
      </c>
      <c r="R8863">
        <v>7.4611732760891698</v>
      </c>
      <c r="S8863">
        <v>83</v>
      </c>
      <c r="T8863">
        <v>42</v>
      </c>
      <c r="U8863">
        <v>808.367250091556</v>
      </c>
      <c r="V8863">
        <v>1.1138338159946499E-3</v>
      </c>
      <c r="W8863">
        <v>3930023.8840620802</v>
      </c>
      <c r="X8863" t="s">
        <v>42</v>
      </c>
      <c r="Y8863">
        <f>1-934-351-2414</f>
        <v>-3698</v>
      </c>
    </row>
    <row r="8864" spans="1:25" x14ac:dyDescent="0.35">
      <c r="A8864">
        <v>38.629622377551698</v>
      </c>
      <c r="B8864">
        <v>-115.88652758644901</v>
      </c>
      <c r="C8864" t="s">
        <v>29</v>
      </c>
      <c r="D8864">
        <v>10.051104343301899</v>
      </c>
      <c r="E8864">
        <v>7</v>
      </c>
      <c r="F8864">
        <v>4186</v>
      </c>
      <c r="G8864">
        <v>3</v>
      </c>
      <c r="H8864">
        <v>1</v>
      </c>
      <c r="I8864">
        <v>1991</v>
      </c>
      <c r="J8864">
        <v>1</v>
      </c>
      <c r="K8864">
        <v>0</v>
      </c>
      <c r="L8864">
        <v>1</v>
      </c>
      <c r="M8864">
        <v>2</v>
      </c>
      <c r="N8864" t="s">
        <v>41</v>
      </c>
      <c r="O8864" t="s">
        <v>32</v>
      </c>
      <c r="P8864">
        <v>6.7043200159676104</v>
      </c>
      <c r="Q8864">
        <v>1.84046640217182</v>
      </c>
      <c r="R8864">
        <v>2.5374455138076</v>
      </c>
      <c r="S8864">
        <v>136</v>
      </c>
      <c r="T8864">
        <v>21</v>
      </c>
      <c r="U8864">
        <v>465.06825428592703</v>
      </c>
      <c r="V8864">
        <v>4.7778308647873798E-4</v>
      </c>
      <c r="W8864">
        <v>2149524.02638582</v>
      </c>
      <c r="X8864" t="s">
        <v>38</v>
      </c>
      <c r="Y8864">
        <f>1-741-530-1727</f>
        <v>-2997</v>
      </c>
    </row>
    <row r="8865" spans="1:25" x14ac:dyDescent="0.35">
      <c r="A8865">
        <v>34.768436409541501</v>
      </c>
      <c r="B8865">
        <v>-115.969484160669</v>
      </c>
      <c r="C8865" t="s">
        <v>25</v>
      </c>
      <c r="D8865">
        <v>28.115626419645299</v>
      </c>
      <c r="E8865">
        <v>9</v>
      </c>
      <c r="F8865">
        <v>2354</v>
      </c>
      <c r="G8865">
        <v>5</v>
      </c>
      <c r="H8865">
        <v>1</v>
      </c>
      <c r="I8865">
        <v>1979</v>
      </c>
      <c r="J8865">
        <v>0</v>
      </c>
      <c r="K8865">
        <v>0</v>
      </c>
      <c r="L8865">
        <v>0</v>
      </c>
      <c r="M8865">
        <v>2</v>
      </c>
      <c r="N8865" t="s">
        <v>37</v>
      </c>
      <c r="O8865" t="s">
        <v>30</v>
      </c>
      <c r="P8865">
        <v>5.4657002672164197</v>
      </c>
      <c r="Q8865">
        <v>2.41967915694058</v>
      </c>
      <c r="R8865">
        <v>3.0059516363764498</v>
      </c>
      <c r="S8865">
        <v>57</v>
      </c>
      <c r="T8865">
        <v>71</v>
      </c>
      <c r="U8865">
        <v>478.294476460753</v>
      </c>
      <c r="V8865">
        <v>8.4961767204757795E-4</v>
      </c>
      <c r="W8865">
        <v>1339259.3612266099</v>
      </c>
      <c r="X8865" t="s">
        <v>33</v>
      </c>
      <c r="Y8865">
        <f>1-454-354-8903</f>
        <v>-9710</v>
      </c>
    </row>
    <row r="8866" spans="1:25" x14ac:dyDescent="0.35">
      <c r="A8866">
        <v>38.115233804193601</v>
      </c>
      <c r="B8866">
        <v>-123.86188320295599</v>
      </c>
      <c r="C8866" t="s">
        <v>25</v>
      </c>
      <c r="D8866">
        <v>3.28033670774172</v>
      </c>
      <c r="E8866">
        <v>4</v>
      </c>
      <c r="F8866">
        <v>3181</v>
      </c>
      <c r="G8866">
        <v>1</v>
      </c>
      <c r="H8866">
        <v>3</v>
      </c>
      <c r="I8866">
        <v>1960</v>
      </c>
      <c r="J8866">
        <v>0</v>
      </c>
      <c r="K8866">
        <v>1</v>
      </c>
      <c r="L8866">
        <v>1</v>
      </c>
      <c r="M8866">
        <v>6</v>
      </c>
      <c r="N8866" t="s">
        <v>26</v>
      </c>
      <c r="O8866" t="s">
        <v>30</v>
      </c>
      <c r="P8866">
        <v>9.3876945893214891</v>
      </c>
      <c r="Q8866">
        <v>2.2159415930107</v>
      </c>
      <c r="R8866">
        <v>0.79157050047764499</v>
      </c>
      <c r="S8866">
        <v>27</v>
      </c>
      <c r="T8866">
        <v>47</v>
      </c>
      <c r="U8866">
        <v>586.63633796342401</v>
      </c>
      <c r="V8866">
        <v>1.8861993083935801E-3</v>
      </c>
      <c r="W8866">
        <v>2146349.4732691301</v>
      </c>
      <c r="X8866" t="s">
        <v>43</v>
      </c>
      <c r="Y8866">
        <f>1-614-828-9062</f>
        <v>-10503</v>
      </c>
    </row>
    <row r="8867" spans="1:25" x14ac:dyDescent="0.35">
      <c r="A8867">
        <v>35.640625968477103</v>
      </c>
      <c r="B8867">
        <v>-123.91445001695899</v>
      </c>
      <c r="C8867" t="s">
        <v>25</v>
      </c>
      <c r="D8867">
        <v>39.812423146365703</v>
      </c>
      <c r="E8867">
        <v>6</v>
      </c>
      <c r="F8867">
        <v>1747</v>
      </c>
      <c r="G8867">
        <v>3</v>
      </c>
      <c r="H8867">
        <v>1</v>
      </c>
      <c r="I8867">
        <v>2018</v>
      </c>
      <c r="J8867">
        <v>0</v>
      </c>
      <c r="K8867">
        <v>1</v>
      </c>
      <c r="L8867">
        <v>1</v>
      </c>
      <c r="M8867">
        <v>2</v>
      </c>
      <c r="N8867" t="s">
        <v>35</v>
      </c>
      <c r="O8867" t="s">
        <v>27</v>
      </c>
      <c r="P8867">
        <v>7.9242858921037698</v>
      </c>
      <c r="Q8867">
        <v>0.65682821848292805</v>
      </c>
      <c r="R8867">
        <v>1.1853201904188</v>
      </c>
      <c r="S8867">
        <v>102</v>
      </c>
      <c r="T8867">
        <v>54</v>
      </c>
      <c r="U8867">
        <v>418.648909322507</v>
      </c>
      <c r="V8867">
        <v>1.1448196908986799E-3</v>
      </c>
      <c r="W8867">
        <v>1146296.3037105801</v>
      </c>
      <c r="X8867" t="s">
        <v>36</v>
      </c>
      <c r="Y8867">
        <f>1-702-467-4045</f>
        <v>-5213</v>
      </c>
    </row>
    <row r="8868" spans="1:25" x14ac:dyDescent="0.35">
      <c r="A8868">
        <v>40.796323505764398</v>
      </c>
      <c r="B8868">
        <v>-116.842225378498</v>
      </c>
      <c r="C8868" t="s">
        <v>25</v>
      </c>
      <c r="D8868">
        <v>48.305179736782399</v>
      </c>
      <c r="E8868">
        <v>1</v>
      </c>
      <c r="F8868">
        <v>4516</v>
      </c>
      <c r="G8868">
        <v>2</v>
      </c>
      <c r="H8868">
        <v>3</v>
      </c>
      <c r="I8868">
        <v>1960</v>
      </c>
      <c r="J8868">
        <v>1</v>
      </c>
      <c r="K8868">
        <v>0</v>
      </c>
      <c r="L8868">
        <v>0</v>
      </c>
      <c r="M8868">
        <v>13</v>
      </c>
      <c r="N8868" t="s">
        <v>37</v>
      </c>
      <c r="O8868" t="s">
        <v>32</v>
      </c>
      <c r="P8868">
        <v>12.714485634530799</v>
      </c>
      <c r="Q8868">
        <v>1.10454794690772</v>
      </c>
      <c r="R8868">
        <v>2.9229618942147599</v>
      </c>
      <c r="S8868">
        <v>152</v>
      </c>
      <c r="T8868">
        <v>32</v>
      </c>
      <c r="U8868">
        <v>820.735212730174</v>
      </c>
      <c r="V8868">
        <v>2.8786536758192999E-3</v>
      </c>
      <c r="W8868">
        <v>3910969.5877070599</v>
      </c>
      <c r="X8868" t="s">
        <v>40</v>
      </c>
      <c r="Y8868">
        <f>1-936-874-3572</f>
        <v>-5381</v>
      </c>
    </row>
    <row r="8869" spans="1:25" x14ac:dyDescent="0.35">
      <c r="A8869">
        <v>38.932398605564103</v>
      </c>
      <c r="B8869">
        <v>-120.139628316818</v>
      </c>
      <c r="C8869" t="s">
        <v>25</v>
      </c>
      <c r="D8869">
        <v>16.796750623588601</v>
      </c>
      <c r="E8869">
        <v>4</v>
      </c>
      <c r="F8869">
        <v>917</v>
      </c>
      <c r="G8869">
        <v>5</v>
      </c>
      <c r="H8869">
        <v>3</v>
      </c>
      <c r="I8869">
        <v>1967</v>
      </c>
      <c r="J8869">
        <v>1</v>
      </c>
      <c r="K8869">
        <v>0</v>
      </c>
      <c r="L8869">
        <v>0</v>
      </c>
      <c r="M8869">
        <v>12</v>
      </c>
      <c r="N8869" t="s">
        <v>41</v>
      </c>
      <c r="O8869" t="s">
        <v>27</v>
      </c>
      <c r="P8869">
        <v>2.14630357071061</v>
      </c>
      <c r="Q8869">
        <v>1.9749567484888799</v>
      </c>
      <c r="R8869">
        <v>4.7342045691974803</v>
      </c>
      <c r="S8869">
        <v>57</v>
      </c>
      <c r="T8869">
        <v>34</v>
      </c>
      <c r="U8869">
        <v>745.39715484782005</v>
      </c>
      <c r="V8869">
        <v>1.30861504907306E-2</v>
      </c>
      <c r="W8869">
        <v>923542.788468568</v>
      </c>
      <c r="X8869" t="s">
        <v>40</v>
      </c>
      <c r="Y8869">
        <f>1-427-351-2542</f>
        <v>-3319</v>
      </c>
    </row>
    <row r="8870" spans="1:25" x14ac:dyDescent="0.35">
      <c r="A8870">
        <v>34.770437928458797</v>
      </c>
      <c r="B8870">
        <v>-117.759256861484</v>
      </c>
      <c r="C8870" t="s">
        <v>25</v>
      </c>
      <c r="D8870">
        <v>18.168649795072</v>
      </c>
      <c r="E8870">
        <v>9</v>
      </c>
      <c r="F8870">
        <v>3026</v>
      </c>
      <c r="G8870">
        <v>5</v>
      </c>
      <c r="H8870">
        <v>3</v>
      </c>
      <c r="I8870">
        <v>1986</v>
      </c>
      <c r="J8870">
        <v>0</v>
      </c>
      <c r="K8870">
        <v>0</v>
      </c>
      <c r="L8870">
        <v>0</v>
      </c>
      <c r="M8870">
        <v>14</v>
      </c>
      <c r="N8870" t="s">
        <v>35</v>
      </c>
      <c r="O8870" t="s">
        <v>30</v>
      </c>
      <c r="P8870">
        <v>13.4848765712995</v>
      </c>
      <c r="Q8870">
        <v>1.4904806880047901</v>
      </c>
      <c r="R8870">
        <v>7.1784999643271199</v>
      </c>
      <c r="S8870">
        <v>175</v>
      </c>
      <c r="T8870">
        <v>58</v>
      </c>
      <c r="U8870">
        <v>551.58739290071901</v>
      </c>
      <c r="V8870">
        <v>4.6265697290152003E-3</v>
      </c>
      <c r="W8870">
        <v>2052001.14135761</v>
      </c>
      <c r="X8870" t="s">
        <v>43</v>
      </c>
      <c r="Y8870">
        <f>1-587-698-9440</f>
        <v>-10724</v>
      </c>
    </row>
    <row r="8871" spans="1:25" x14ac:dyDescent="0.35">
      <c r="A8871">
        <v>37.407143630186098</v>
      </c>
      <c r="B8871">
        <v>-120.917736867613</v>
      </c>
      <c r="C8871" t="s">
        <v>34</v>
      </c>
      <c r="D8871">
        <v>4.2092969678927901</v>
      </c>
      <c r="E8871">
        <v>5</v>
      </c>
      <c r="F8871">
        <v>1901</v>
      </c>
      <c r="G8871">
        <v>5</v>
      </c>
      <c r="H8871">
        <v>2</v>
      </c>
      <c r="I8871">
        <v>1989</v>
      </c>
      <c r="J8871">
        <v>1</v>
      </c>
      <c r="K8871">
        <v>0</v>
      </c>
      <c r="L8871">
        <v>1</v>
      </c>
      <c r="M8871">
        <v>5</v>
      </c>
      <c r="N8871" t="s">
        <v>37</v>
      </c>
      <c r="O8871" t="s">
        <v>30</v>
      </c>
      <c r="P8871">
        <v>4.4434635561196503</v>
      </c>
      <c r="Q8871">
        <v>1.68679132399538</v>
      </c>
      <c r="R8871">
        <v>2.5420457282396698</v>
      </c>
      <c r="S8871">
        <v>91</v>
      </c>
      <c r="T8871">
        <v>58</v>
      </c>
      <c r="U8871">
        <v>414.64694494579101</v>
      </c>
      <c r="V8871">
        <v>2.6301946344029401E-3</v>
      </c>
      <c r="W8871">
        <v>1145159.5693064099</v>
      </c>
      <c r="X8871" t="s">
        <v>31</v>
      </c>
      <c r="Y8871">
        <f>1-545-656-4678</f>
        <v>-5878</v>
      </c>
    </row>
    <row r="8872" spans="1:25" x14ac:dyDescent="0.35">
      <c r="A8872">
        <v>34.224982618105301</v>
      </c>
      <c r="B8872">
        <v>-118.73167783226</v>
      </c>
      <c r="C8872" t="s">
        <v>25</v>
      </c>
      <c r="D8872">
        <v>14.9335348941375</v>
      </c>
      <c r="E8872">
        <v>5</v>
      </c>
      <c r="F8872">
        <v>995</v>
      </c>
      <c r="G8872">
        <v>1</v>
      </c>
      <c r="H8872">
        <v>1</v>
      </c>
      <c r="I8872">
        <v>1979</v>
      </c>
      <c r="J8872">
        <v>1</v>
      </c>
      <c r="K8872">
        <v>0</v>
      </c>
      <c r="L8872">
        <v>1</v>
      </c>
      <c r="M8872">
        <v>4</v>
      </c>
      <c r="N8872" t="s">
        <v>35</v>
      </c>
      <c r="O8872" t="s">
        <v>27</v>
      </c>
      <c r="P8872">
        <v>2.2717413093519099</v>
      </c>
      <c r="Q8872">
        <v>0.94106441007344599</v>
      </c>
      <c r="R8872">
        <v>8.9028224403530896</v>
      </c>
      <c r="S8872">
        <v>111</v>
      </c>
      <c r="T8872">
        <v>40</v>
      </c>
      <c r="U8872">
        <v>216.505126635159</v>
      </c>
      <c r="V8872">
        <v>4.0201005025125598E-3</v>
      </c>
      <c r="W8872">
        <v>234142.494875965</v>
      </c>
      <c r="X8872" t="s">
        <v>38</v>
      </c>
      <c r="Y8872">
        <f>1-948-322-4105</f>
        <v>-5374</v>
      </c>
    </row>
    <row r="8873" spans="1:25" x14ac:dyDescent="0.35">
      <c r="A8873">
        <v>40.047529638372801</v>
      </c>
      <c r="B8873">
        <v>-117.012171913633</v>
      </c>
      <c r="C8873" t="s">
        <v>25</v>
      </c>
      <c r="D8873">
        <v>22.980294787125001</v>
      </c>
      <c r="E8873">
        <v>8</v>
      </c>
      <c r="F8873">
        <v>1323</v>
      </c>
      <c r="G8873">
        <v>2</v>
      </c>
      <c r="H8873">
        <v>1</v>
      </c>
      <c r="I8873">
        <v>1974</v>
      </c>
      <c r="J8873">
        <v>1</v>
      </c>
      <c r="K8873">
        <v>1</v>
      </c>
      <c r="L8873">
        <v>0</v>
      </c>
      <c r="M8873">
        <v>2</v>
      </c>
      <c r="N8873" t="s">
        <v>41</v>
      </c>
      <c r="O8873" t="s">
        <v>32</v>
      </c>
      <c r="P8873">
        <v>5.9772727699328199</v>
      </c>
      <c r="Q8873">
        <v>0.56948665844226498</v>
      </c>
      <c r="R8873">
        <v>5.3411741575638301</v>
      </c>
      <c r="S8873">
        <v>142</v>
      </c>
      <c r="T8873">
        <v>20</v>
      </c>
      <c r="U8873">
        <v>706.80171221089904</v>
      </c>
      <c r="V8873">
        <v>1.5117157974300799E-3</v>
      </c>
      <c r="W8873">
        <v>1168946.47954638</v>
      </c>
      <c r="X8873" t="s">
        <v>44</v>
      </c>
      <c r="Y8873">
        <f>1-508-543-7153</f>
        <v>-8203</v>
      </c>
    </row>
    <row r="8874" spans="1:25" x14ac:dyDescent="0.35">
      <c r="A8874">
        <v>34.391666630878902</v>
      </c>
      <c r="B8874">
        <v>-123.74481524284499</v>
      </c>
      <c r="C8874" t="s">
        <v>29</v>
      </c>
      <c r="D8874">
        <v>22.822356727151</v>
      </c>
      <c r="E8874">
        <v>2</v>
      </c>
      <c r="F8874">
        <v>3381</v>
      </c>
      <c r="G8874">
        <v>3</v>
      </c>
      <c r="H8874">
        <v>3</v>
      </c>
      <c r="I8874">
        <v>1981</v>
      </c>
      <c r="J8874">
        <v>0</v>
      </c>
      <c r="K8874">
        <v>1</v>
      </c>
      <c r="L8874">
        <v>1</v>
      </c>
      <c r="M8874">
        <v>7</v>
      </c>
      <c r="N8874" t="s">
        <v>35</v>
      </c>
      <c r="O8874" t="s">
        <v>32</v>
      </c>
      <c r="P8874">
        <v>8.2809951495800291</v>
      </c>
      <c r="Q8874">
        <v>0.67729710910167795</v>
      </c>
      <c r="R8874">
        <v>5.6747863666282203</v>
      </c>
      <c r="S8874">
        <v>83</v>
      </c>
      <c r="T8874">
        <v>55</v>
      </c>
      <c r="U8874">
        <v>846.068286225257</v>
      </c>
      <c r="V8874">
        <v>2.0703933747412001E-3</v>
      </c>
      <c r="W8874">
        <v>3240692.4966283599</v>
      </c>
      <c r="X8874" t="s">
        <v>38</v>
      </c>
      <c r="Y8874">
        <f>1-333-510-2475</f>
        <v>-3317</v>
      </c>
    </row>
    <row r="8875" spans="1:25" x14ac:dyDescent="0.35">
      <c r="A8875">
        <v>37.798484731152399</v>
      </c>
      <c r="B8875">
        <v>-122.49373501289401</v>
      </c>
      <c r="C8875" t="s">
        <v>25</v>
      </c>
      <c r="D8875">
        <v>30.780461778017699</v>
      </c>
      <c r="E8875">
        <v>6</v>
      </c>
      <c r="F8875">
        <v>686</v>
      </c>
      <c r="G8875">
        <v>1</v>
      </c>
      <c r="H8875">
        <v>2</v>
      </c>
      <c r="I8875">
        <v>1996</v>
      </c>
      <c r="J8875">
        <v>1</v>
      </c>
      <c r="K8875">
        <v>0</v>
      </c>
      <c r="L8875">
        <v>1</v>
      </c>
      <c r="M8875">
        <v>11</v>
      </c>
      <c r="N8875" t="s">
        <v>37</v>
      </c>
      <c r="O8875" t="s">
        <v>27</v>
      </c>
      <c r="P8875">
        <v>5.8447659384867103</v>
      </c>
      <c r="Q8875">
        <v>0.80474538871827295</v>
      </c>
      <c r="R8875">
        <v>4.6853614431443802</v>
      </c>
      <c r="S8875">
        <v>83</v>
      </c>
      <c r="T8875">
        <v>73</v>
      </c>
      <c r="U8875">
        <v>799.76129396798399</v>
      </c>
      <c r="V8875">
        <v>1.60349854227405E-2</v>
      </c>
      <c r="W8875">
        <v>602312.92013119499</v>
      </c>
      <c r="X8875" t="s">
        <v>38</v>
      </c>
      <c r="Y8875">
        <f>1-521-128-3573</f>
        <v>-4221</v>
      </c>
    </row>
    <row r="8876" spans="1:25" x14ac:dyDescent="0.35">
      <c r="A8876">
        <v>34.103383424590398</v>
      </c>
      <c r="B8876">
        <v>-117.153900374759</v>
      </c>
      <c r="C8876" t="s">
        <v>34</v>
      </c>
      <c r="D8876">
        <v>24.1435038524384</v>
      </c>
      <c r="E8876">
        <v>8</v>
      </c>
      <c r="F8876">
        <v>563</v>
      </c>
      <c r="G8876">
        <v>3</v>
      </c>
      <c r="H8876">
        <v>1</v>
      </c>
      <c r="I8876">
        <v>2018</v>
      </c>
      <c r="J8876">
        <v>0</v>
      </c>
      <c r="K8876">
        <v>1</v>
      </c>
      <c r="L8876">
        <v>0</v>
      </c>
      <c r="M8876">
        <v>2</v>
      </c>
      <c r="N8876" t="s">
        <v>37</v>
      </c>
      <c r="O8876" t="s">
        <v>30</v>
      </c>
      <c r="P8876">
        <v>4.0989255428840101</v>
      </c>
      <c r="Q8876">
        <v>1.14911915057558</v>
      </c>
      <c r="R8876">
        <v>4.2707193481174297</v>
      </c>
      <c r="S8876">
        <v>81</v>
      </c>
      <c r="T8876">
        <v>21</v>
      </c>
      <c r="U8876">
        <v>887.47632590602404</v>
      </c>
      <c r="V8876">
        <v>3.5523978685612699E-3</v>
      </c>
      <c r="W8876">
        <v>821620.88495221105</v>
      </c>
      <c r="X8876" t="s">
        <v>31</v>
      </c>
      <c r="Y8876">
        <f>1-288-295-6166</f>
        <v>-6748</v>
      </c>
    </row>
    <row r="8877" spans="1:25" x14ac:dyDescent="0.35">
      <c r="A8877">
        <v>38.3627037375336</v>
      </c>
      <c r="B8877">
        <v>-121.240061111778</v>
      </c>
      <c r="C8877" t="s">
        <v>25</v>
      </c>
      <c r="D8877">
        <v>30.629666230036701</v>
      </c>
      <c r="E8877">
        <v>6</v>
      </c>
      <c r="F8877">
        <v>1013</v>
      </c>
      <c r="G8877">
        <v>5</v>
      </c>
      <c r="H8877">
        <v>3</v>
      </c>
      <c r="I8877">
        <v>2007</v>
      </c>
      <c r="J8877">
        <v>1</v>
      </c>
      <c r="K8877">
        <v>0</v>
      </c>
      <c r="L8877">
        <v>1</v>
      </c>
      <c r="M8877">
        <v>6</v>
      </c>
      <c r="N8877" t="s">
        <v>41</v>
      </c>
      <c r="O8877" t="s">
        <v>30</v>
      </c>
      <c r="P8877">
        <v>4.1140814210952401</v>
      </c>
      <c r="Q8877">
        <v>1.17148005734071</v>
      </c>
      <c r="R8877">
        <v>1.49498658808193</v>
      </c>
      <c r="S8877">
        <v>116</v>
      </c>
      <c r="T8877">
        <v>54</v>
      </c>
      <c r="U8877">
        <v>603.06077580055796</v>
      </c>
      <c r="V8877">
        <v>5.9230009871668304E-3</v>
      </c>
      <c r="W8877">
        <v>953969.53253246006</v>
      </c>
      <c r="X8877" t="s">
        <v>42</v>
      </c>
      <c r="Y8877">
        <f>1-495-324-8766</f>
        <v>-9584</v>
      </c>
    </row>
    <row r="8878" spans="1:25" x14ac:dyDescent="0.35">
      <c r="A8878">
        <v>37.7273461888905</v>
      </c>
      <c r="B8878">
        <v>-117.05571319414599</v>
      </c>
      <c r="C8878" t="s">
        <v>25</v>
      </c>
      <c r="D8878">
        <v>8.5552243204158298</v>
      </c>
      <c r="E8878">
        <v>1</v>
      </c>
      <c r="F8878">
        <v>2462</v>
      </c>
      <c r="G8878">
        <v>3</v>
      </c>
      <c r="H8878">
        <v>1</v>
      </c>
      <c r="I8878">
        <v>1994</v>
      </c>
      <c r="J8878">
        <v>0</v>
      </c>
      <c r="K8878">
        <v>1</v>
      </c>
      <c r="L8878">
        <v>1</v>
      </c>
      <c r="M8878">
        <v>8</v>
      </c>
      <c r="N8878" t="s">
        <v>26</v>
      </c>
      <c r="O8878" t="s">
        <v>30</v>
      </c>
      <c r="P8878">
        <v>9.3231063689250409</v>
      </c>
      <c r="Q8878">
        <v>1.4802233321910001</v>
      </c>
      <c r="R8878">
        <v>4.2890846721373403</v>
      </c>
      <c r="S8878">
        <v>183</v>
      </c>
      <c r="T8878">
        <v>33</v>
      </c>
      <c r="U8878">
        <v>311.07900536885899</v>
      </c>
      <c r="V8878">
        <v>3.24939073923639E-3</v>
      </c>
      <c r="W8878">
        <v>1067713.66354009</v>
      </c>
      <c r="X8878" t="s">
        <v>44</v>
      </c>
      <c r="Y8878">
        <f>1-391-116-2052</f>
        <v>-2558</v>
      </c>
    </row>
    <row r="8879" spans="1:25" x14ac:dyDescent="0.35">
      <c r="A8879">
        <v>38.8429508227741</v>
      </c>
      <c r="B8879">
        <v>-119.67508805244201</v>
      </c>
      <c r="C8879" t="s">
        <v>34</v>
      </c>
      <c r="D8879">
        <v>9.8155653917479793</v>
      </c>
      <c r="E8879">
        <v>0</v>
      </c>
      <c r="F8879">
        <v>2369</v>
      </c>
      <c r="G8879">
        <v>5</v>
      </c>
      <c r="H8879">
        <v>2</v>
      </c>
      <c r="I8879">
        <v>2009</v>
      </c>
      <c r="J8879">
        <v>1</v>
      </c>
      <c r="K8879">
        <v>1</v>
      </c>
      <c r="L8879">
        <v>0</v>
      </c>
      <c r="M8879">
        <v>14</v>
      </c>
      <c r="N8879" t="s">
        <v>41</v>
      </c>
      <c r="O8879" t="s">
        <v>30</v>
      </c>
      <c r="P8879">
        <v>10.7670574105012</v>
      </c>
      <c r="Q8879">
        <v>1.72724362870052</v>
      </c>
      <c r="R8879">
        <v>7.9625124571676098</v>
      </c>
      <c r="S8879">
        <v>4</v>
      </c>
      <c r="T8879">
        <v>58</v>
      </c>
      <c r="U8879">
        <v>723.52813432895402</v>
      </c>
      <c r="V8879">
        <v>5.9096665259603196E-3</v>
      </c>
      <c r="W8879">
        <v>2319365.1806535302</v>
      </c>
      <c r="X8879" t="s">
        <v>28</v>
      </c>
      <c r="Y8879">
        <f>1-964-886-4719</f>
        <v>-6568</v>
      </c>
    </row>
    <row r="8880" spans="1:25" x14ac:dyDescent="0.35">
      <c r="A8880">
        <v>40.311868656378898</v>
      </c>
      <c r="B8880">
        <v>-124.023420994098</v>
      </c>
      <c r="C8880" t="s">
        <v>29</v>
      </c>
      <c r="D8880">
        <v>15.4526847333268</v>
      </c>
      <c r="E8880">
        <v>8</v>
      </c>
      <c r="F8880">
        <v>3378</v>
      </c>
      <c r="G8880">
        <v>3</v>
      </c>
      <c r="H8880">
        <v>1</v>
      </c>
      <c r="I8880">
        <v>1978</v>
      </c>
      <c r="J8880">
        <v>1</v>
      </c>
      <c r="K8880">
        <v>1</v>
      </c>
      <c r="L8880">
        <v>1</v>
      </c>
      <c r="M8880">
        <v>9</v>
      </c>
      <c r="N8880" t="s">
        <v>37</v>
      </c>
      <c r="O8880" t="s">
        <v>30</v>
      </c>
      <c r="P8880">
        <v>12.781781617906599</v>
      </c>
      <c r="Q8880">
        <v>1.92514267771618</v>
      </c>
      <c r="R8880">
        <v>5.5161091586108997</v>
      </c>
      <c r="S8880">
        <v>5</v>
      </c>
      <c r="T8880">
        <v>26</v>
      </c>
      <c r="U8880">
        <v>983.03299212394802</v>
      </c>
      <c r="V8880">
        <v>2.6642984014209501E-3</v>
      </c>
      <c r="W8880">
        <v>3646480.2115546502</v>
      </c>
      <c r="X8880" t="s">
        <v>42</v>
      </c>
      <c r="Y8880">
        <f>1-293-633-8624</f>
        <v>-9549</v>
      </c>
    </row>
    <row r="8881" spans="1:25" x14ac:dyDescent="0.35">
      <c r="A8881">
        <v>41.176936196551502</v>
      </c>
      <c r="B8881">
        <v>-120.801514025412</v>
      </c>
      <c r="C8881" t="s">
        <v>25</v>
      </c>
      <c r="D8881">
        <v>35.085896611142502</v>
      </c>
      <c r="E8881">
        <v>3</v>
      </c>
      <c r="F8881">
        <v>611</v>
      </c>
      <c r="G8881">
        <v>2</v>
      </c>
      <c r="H8881">
        <v>1</v>
      </c>
      <c r="I8881">
        <v>1970</v>
      </c>
      <c r="J8881">
        <v>0</v>
      </c>
      <c r="K8881">
        <v>1</v>
      </c>
      <c r="L8881">
        <v>1</v>
      </c>
      <c r="M8881">
        <v>3</v>
      </c>
      <c r="N8881" t="s">
        <v>41</v>
      </c>
      <c r="O8881" t="s">
        <v>32</v>
      </c>
      <c r="P8881">
        <v>14.766274405585399</v>
      </c>
      <c r="Q8881">
        <v>2.3375402531252898</v>
      </c>
      <c r="R8881">
        <v>3.6587631197394002</v>
      </c>
      <c r="S8881">
        <v>174</v>
      </c>
      <c r="T8881">
        <v>73</v>
      </c>
      <c r="U8881">
        <v>616.38833010827602</v>
      </c>
      <c r="V8881">
        <v>4.90998363338788E-3</v>
      </c>
      <c r="W8881">
        <v>649719.700259957</v>
      </c>
      <c r="X8881" t="s">
        <v>28</v>
      </c>
      <c r="Y8881">
        <f>1-846-468-2759</f>
        <v>-4072</v>
      </c>
    </row>
    <row r="8882" spans="1:25" x14ac:dyDescent="0.35">
      <c r="A8882">
        <v>41.506209107486697</v>
      </c>
      <c r="B8882">
        <v>-115.315682937137</v>
      </c>
      <c r="C8882" t="s">
        <v>25</v>
      </c>
      <c r="D8882">
        <v>14.3671472816165</v>
      </c>
      <c r="E8882">
        <v>4</v>
      </c>
      <c r="F8882">
        <v>4844</v>
      </c>
      <c r="G8882">
        <v>5</v>
      </c>
      <c r="H8882">
        <v>1</v>
      </c>
      <c r="I8882">
        <v>1970</v>
      </c>
      <c r="J8882">
        <v>0</v>
      </c>
      <c r="K8882">
        <v>1</v>
      </c>
      <c r="L8882">
        <v>0</v>
      </c>
      <c r="M8882">
        <v>10</v>
      </c>
      <c r="N8882" t="s">
        <v>35</v>
      </c>
      <c r="O8882" t="s">
        <v>27</v>
      </c>
      <c r="P8882">
        <v>2.0807863863887599</v>
      </c>
      <c r="Q8882">
        <v>2.1078742499606</v>
      </c>
      <c r="R8882">
        <v>3.7225820770857698</v>
      </c>
      <c r="S8882">
        <v>27</v>
      </c>
      <c r="T8882">
        <v>74</v>
      </c>
      <c r="U8882">
        <v>573.82533039170801</v>
      </c>
      <c r="V8882">
        <v>2.0644095788604402E-3</v>
      </c>
      <c r="W8882">
        <v>3132661.7931300099</v>
      </c>
      <c r="X8882" t="s">
        <v>33</v>
      </c>
      <c r="Y8882">
        <f>1-421-223-3836</f>
        <v>-4479</v>
      </c>
    </row>
    <row r="8883" spans="1:25" x14ac:dyDescent="0.35">
      <c r="A8883">
        <v>40.566663349184097</v>
      </c>
      <c r="B8883">
        <v>-115.240514878007</v>
      </c>
      <c r="C8883" t="s">
        <v>25</v>
      </c>
      <c r="D8883">
        <v>45.182714974091603</v>
      </c>
      <c r="E8883">
        <v>4</v>
      </c>
      <c r="F8883">
        <v>2176</v>
      </c>
      <c r="G8883">
        <v>5</v>
      </c>
      <c r="H8883">
        <v>2</v>
      </c>
      <c r="I8883">
        <v>1978</v>
      </c>
      <c r="J8883">
        <v>1</v>
      </c>
      <c r="K8883">
        <v>1</v>
      </c>
      <c r="L8883">
        <v>0</v>
      </c>
      <c r="M8883">
        <v>4</v>
      </c>
      <c r="N8883" t="s">
        <v>26</v>
      </c>
      <c r="O8883" t="s">
        <v>30</v>
      </c>
      <c r="P8883">
        <v>11.068032517136301</v>
      </c>
      <c r="Q8883">
        <v>2.4617546318987</v>
      </c>
      <c r="R8883">
        <v>5.9447181698250704</v>
      </c>
      <c r="S8883">
        <v>153</v>
      </c>
      <c r="T8883">
        <v>61</v>
      </c>
      <c r="U8883">
        <v>528.02907654196395</v>
      </c>
      <c r="V8883">
        <v>1.8382352941176401E-3</v>
      </c>
      <c r="W8883">
        <v>1648349.0708733101</v>
      </c>
      <c r="X8883" t="s">
        <v>40</v>
      </c>
      <c r="Y8883">
        <f>1-472-254-1851</f>
        <v>-2576</v>
      </c>
    </row>
    <row r="8884" spans="1:25" x14ac:dyDescent="0.35">
      <c r="A8884">
        <v>35.570710305109202</v>
      </c>
      <c r="B8884">
        <v>-122.030918676318</v>
      </c>
      <c r="C8884" t="s">
        <v>34</v>
      </c>
      <c r="D8884">
        <v>47.9900964838926</v>
      </c>
      <c r="E8884">
        <v>6</v>
      </c>
      <c r="F8884">
        <v>4084</v>
      </c>
      <c r="G8884">
        <v>4</v>
      </c>
      <c r="H8884">
        <v>3</v>
      </c>
      <c r="I8884">
        <v>1990</v>
      </c>
      <c r="J8884">
        <v>1</v>
      </c>
      <c r="K8884">
        <v>0</v>
      </c>
      <c r="L8884">
        <v>1</v>
      </c>
      <c r="M8884">
        <v>3</v>
      </c>
      <c r="N8884" t="s">
        <v>37</v>
      </c>
      <c r="O8884" t="s">
        <v>30</v>
      </c>
      <c r="P8884">
        <v>4.7523451747830396</v>
      </c>
      <c r="Q8884">
        <v>1.5479870445247099</v>
      </c>
      <c r="R8884">
        <v>5.7038332001455299</v>
      </c>
      <c r="S8884">
        <v>193</v>
      </c>
      <c r="T8884">
        <v>33</v>
      </c>
      <c r="U8884">
        <v>937.61966414935</v>
      </c>
      <c r="V8884">
        <v>7.3457394711067502E-4</v>
      </c>
      <c r="W8884">
        <v>4077181.5503122802</v>
      </c>
      <c r="X8884" t="s">
        <v>39</v>
      </c>
      <c r="Y8884">
        <f>1-489-706-2458</f>
        <v>-3652</v>
      </c>
    </row>
    <row r="8885" spans="1:25" x14ac:dyDescent="0.35">
      <c r="A8885">
        <v>36.709405313558797</v>
      </c>
      <c r="B8885">
        <v>-123.10938200128599</v>
      </c>
      <c r="C8885" t="s">
        <v>29</v>
      </c>
      <c r="D8885">
        <v>25.782223363144901</v>
      </c>
      <c r="E8885">
        <v>5</v>
      </c>
      <c r="F8885">
        <v>3212</v>
      </c>
      <c r="G8885">
        <v>2</v>
      </c>
      <c r="H8885">
        <v>3</v>
      </c>
      <c r="I8885">
        <v>1983</v>
      </c>
      <c r="J8885">
        <v>0</v>
      </c>
      <c r="K8885">
        <v>0</v>
      </c>
      <c r="L8885">
        <v>0</v>
      </c>
      <c r="M8885">
        <v>12</v>
      </c>
      <c r="N8885" t="s">
        <v>37</v>
      </c>
      <c r="O8885" t="s">
        <v>30</v>
      </c>
      <c r="P8885">
        <v>7.3640397761462202</v>
      </c>
      <c r="Q8885">
        <v>2.0208492457857399</v>
      </c>
      <c r="R8885">
        <v>8.7329929338780001</v>
      </c>
      <c r="S8885">
        <v>139</v>
      </c>
      <c r="T8885">
        <v>62</v>
      </c>
      <c r="U8885">
        <v>328.51458037662798</v>
      </c>
      <c r="V8885">
        <v>3.7359900373599001E-3</v>
      </c>
      <c r="W8885">
        <v>1129625.2542824899</v>
      </c>
      <c r="X8885" t="s">
        <v>36</v>
      </c>
      <c r="Y8885">
        <f>1-367-405-7336</f>
        <v>-8107</v>
      </c>
    </row>
    <row r="8886" spans="1:25" x14ac:dyDescent="0.35">
      <c r="A8886">
        <v>33.768910773102903</v>
      </c>
      <c r="B8886">
        <v>-114.647961735341</v>
      </c>
      <c r="C8886" t="s">
        <v>29</v>
      </c>
      <c r="D8886">
        <v>32.717482859688097</v>
      </c>
      <c r="E8886">
        <v>6</v>
      </c>
      <c r="F8886">
        <v>3253</v>
      </c>
      <c r="G8886">
        <v>1</v>
      </c>
      <c r="H8886">
        <v>1</v>
      </c>
      <c r="I8886">
        <v>1993</v>
      </c>
      <c r="J8886">
        <v>1</v>
      </c>
      <c r="K8886">
        <v>1</v>
      </c>
      <c r="L8886">
        <v>1</v>
      </c>
      <c r="M8886">
        <v>8</v>
      </c>
      <c r="N8886" t="s">
        <v>26</v>
      </c>
      <c r="O8886" t="s">
        <v>32</v>
      </c>
      <c r="P8886">
        <v>13.3711363652255</v>
      </c>
      <c r="Q8886">
        <v>1.67587851527887</v>
      </c>
      <c r="R8886">
        <v>3.0065096753920799</v>
      </c>
      <c r="S8886">
        <v>182</v>
      </c>
      <c r="T8886">
        <v>35</v>
      </c>
      <c r="U8886">
        <v>471.34465742705902</v>
      </c>
      <c r="V8886">
        <v>2.45926836766062E-3</v>
      </c>
      <c r="W8886">
        <v>1870747.6851077301</v>
      </c>
      <c r="X8886" t="s">
        <v>33</v>
      </c>
      <c r="Y8886">
        <f>1-206-643-2897</f>
        <v>-3745</v>
      </c>
    </row>
    <row r="8887" spans="1:25" x14ac:dyDescent="0.35">
      <c r="A8887">
        <v>33.431308629226002</v>
      </c>
      <c r="B8887">
        <v>-122.762556711263</v>
      </c>
      <c r="C8887" t="s">
        <v>25</v>
      </c>
      <c r="D8887">
        <v>46.663087634953399</v>
      </c>
      <c r="E8887">
        <v>6</v>
      </c>
      <c r="F8887">
        <v>2534</v>
      </c>
      <c r="G8887">
        <v>3</v>
      </c>
      <c r="H8887">
        <v>2</v>
      </c>
      <c r="I8887">
        <v>1975</v>
      </c>
      <c r="J8887">
        <v>0</v>
      </c>
      <c r="K8887">
        <v>1</v>
      </c>
      <c r="L8887">
        <v>0</v>
      </c>
      <c r="M8887">
        <v>7</v>
      </c>
      <c r="N8887" t="s">
        <v>37</v>
      </c>
      <c r="O8887" t="s">
        <v>30</v>
      </c>
      <c r="P8887">
        <v>2.1700860897977501</v>
      </c>
      <c r="Q8887">
        <v>0.50427876696790297</v>
      </c>
      <c r="R8887">
        <v>9.7703224834709896</v>
      </c>
      <c r="S8887">
        <v>95</v>
      </c>
      <c r="T8887">
        <v>21</v>
      </c>
      <c r="U8887">
        <v>926.12771274956106</v>
      </c>
      <c r="V8887">
        <v>2.7624309392265101E-3</v>
      </c>
      <c r="W8887">
        <v>2520258.4107205798</v>
      </c>
      <c r="X8887" t="s">
        <v>39</v>
      </c>
      <c r="Y8887">
        <f>1-455-678-3166</f>
        <v>-4298</v>
      </c>
    </row>
    <row r="8888" spans="1:25" x14ac:dyDescent="0.35">
      <c r="A8888">
        <v>37.827019022848901</v>
      </c>
      <c r="B8888">
        <v>-114.655075056586</v>
      </c>
      <c r="C8888" t="s">
        <v>25</v>
      </c>
      <c r="D8888">
        <v>15.219806847163399</v>
      </c>
      <c r="E8888">
        <v>9</v>
      </c>
      <c r="F8888">
        <v>1735</v>
      </c>
      <c r="G8888">
        <v>1</v>
      </c>
      <c r="H8888">
        <v>3</v>
      </c>
      <c r="I8888">
        <v>2000</v>
      </c>
      <c r="J8888">
        <v>0</v>
      </c>
      <c r="K8888">
        <v>1</v>
      </c>
      <c r="L8888">
        <v>1</v>
      </c>
      <c r="M8888">
        <v>3</v>
      </c>
      <c r="N8888" t="s">
        <v>41</v>
      </c>
      <c r="O8888" t="s">
        <v>27</v>
      </c>
      <c r="P8888">
        <v>7.3124175695881704</v>
      </c>
      <c r="Q8888">
        <v>1.5650231244116499</v>
      </c>
      <c r="R8888">
        <v>6.8538183668349699</v>
      </c>
      <c r="S8888">
        <v>163</v>
      </c>
      <c r="T8888">
        <v>38</v>
      </c>
      <c r="U8888">
        <v>517.60884878218098</v>
      </c>
      <c r="V8888">
        <v>1.7291066282420699E-3</v>
      </c>
      <c r="W8888">
        <v>1140003.4357499499</v>
      </c>
      <c r="X8888" t="s">
        <v>39</v>
      </c>
      <c r="Y8888">
        <f>1-452-780-5421</f>
        <v>-6652</v>
      </c>
    </row>
    <row r="8889" spans="1:25" x14ac:dyDescent="0.35">
      <c r="A8889">
        <v>40.921553069514701</v>
      </c>
      <c r="B8889">
        <v>-121.894147004754</v>
      </c>
      <c r="C8889" t="s">
        <v>29</v>
      </c>
      <c r="D8889">
        <v>48.3004405832583</v>
      </c>
      <c r="E8889">
        <v>7</v>
      </c>
      <c r="F8889">
        <v>2101</v>
      </c>
      <c r="G8889">
        <v>1</v>
      </c>
      <c r="H8889">
        <v>2</v>
      </c>
      <c r="I8889">
        <v>1952</v>
      </c>
      <c r="J8889">
        <v>0</v>
      </c>
      <c r="K8889">
        <v>1</v>
      </c>
      <c r="L8889">
        <v>1</v>
      </c>
      <c r="M8889">
        <v>7</v>
      </c>
      <c r="N8889" t="s">
        <v>26</v>
      </c>
      <c r="O8889" t="s">
        <v>32</v>
      </c>
      <c r="P8889">
        <v>4.06189401165636</v>
      </c>
      <c r="Q8889">
        <v>1.50341649139205</v>
      </c>
      <c r="R8889">
        <v>4.0728536987809196</v>
      </c>
      <c r="S8889">
        <v>79</v>
      </c>
      <c r="T8889">
        <v>57</v>
      </c>
      <c r="U8889">
        <v>491.446734811917</v>
      </c>
      <c r="V8889">
        <v>3.3317467872441601E-3</v>
      </c>
      <c r="W8889">
        <v>1129032.19349539</v>
      </c>
      <c r="X8889" t="s">
        <v>38</v>
      </c>
      <c r="Y8889">
        <f>1-489-959-7663</f>
        <v>-9110</v>
      </c>
    </row>
    <row r="8890" spans="1:25" x14ac:dyDescent="0.35">
      <c r="A8890">
        <v>34.215337763977999</v>
      </c>
      <c r="B8890">
        <v>-123.845641210593</v>
      </c>
      <c r="C8890" t="s">
        <v>25</v>
      </c>
      <c r="D8890">
        <v>10.6303021182762</v>
      </c>
      <c r="E8890">
        <v>1</v>
      </c>
      <c r="F8890">
        <v>3348</v>
      </c>
      <c r="G8890">
        <v>1</v>
      </c>
      <c r="H8890">
        <v>3</v>
      </c>
      <c r="I8890">
        <v>2003</v>
      </c>
      <c r="J8890">
        <v>1</v>
      </c>
      <c r="K8890">
        <v>1</v>
      </c>
      <c r="L8890">
        <v>0</v>
      </c>
      <c r="M8890">
        <v>3</v>
      </c>
      <c r="N8890" t="s">
        <v>35</v>
      </c>
      <c r="O8890" t="s">
        <v>27</v>
      </c>
      <c r="P8890">
        <v>12.801163225308899</v>
      </c>
      <c r="Q8890">
        <v>0.59127845534837098</v>
      </c>
      <c r="R8890">
        <v>0.76788933528036396</v>
      </c>
      <c r="S8890">
        <v>89</v>
      </c>
      <c r="T8890">
        <v>40</v>
      </c>
      <c r="U8890">
        <v>747.14548687557999</v>
      </c>
      <c r="V8890">
        <v>8.9605734767025003E-4</v>
      </c>
      <c r="W8890">
        <v>2870457.6678645001</v>
      </c>
      <c r="X8890" t="s">
        <v>44</v>
      </c>
      <c r="Y8890">
        <f>1-967-947-3225</f>
        <v>-5138</v>
      </c>
    </row>
    <row r="8891" spans="1:25" x14ac:dyDescent="0.35">
      <c r="A8891">
        <v>35.251482149475201</v>
      </c>
      <c r="B8891">
        <v>-118.568021323805</v>
      </c>
      <c r="C8891" t="s">
        <v>34</v>
      </c>
      <c r="D8891">
        <v>10.473670959467301</v>
      </c>
      <c r="E8891">
        <v>9</v>
      </c>
      <c r="F8891">
        <v>2704</v>
      </c>
      <c r="G8891">
        <v>4</v>
      </c>
      <c r="H8891">
        <v>1</v>
      </c>
      <c r="I8891">
        <v>1971</v>
      </c>
      <c r="J8891">
        <v>0</v>
      </c>
      <c r="K8891">
        <v>1</v>
      </c>
      <c r="L8891">
        <v>1</v>
      </c>
      <c r="M8891">
        <v>2</v>
      </c>
      <c r="N8891" t="s">
        <v>41</v>
      </c>
      <c r="O8891" t="s">
        <v>32</v>
      </c>
      <c r="P8891">
        <v>11.596741142022401</v>
      </c>
      <c r="Q8891">
        <v>1.8756040219160399</v>
      </c>
      <c r="R8891">
        <v>1.49352478583723</v>
      </c>
      <c r="S8891">
        <v>108</v>
      </c>
      <c r="T8891">
        <v>53</v>
      </c>
      <c r="U8891">
        <v>563.15855835522098</v>
      </c>
      <c r="V8891">
        <v>7.3964497041420095E-4</v>
      </c>
      <c r="W8891">
        <v>1886837.5723604299</v>
      </c>
      <c r="X8891" t="s">
        <v>28</v>
      </c>
      <c r="Y8891">
        <f>1-322-951-7682</f>
        <v>-8954</v>
      </c>
    </row>
    <row r="8892" spans="1:25" x14ac:dyDescent="0.35">
      <c r="A8892">
        <v>40.424604925656404</v>
      </c>
      <c r="B8892">
        <v>-116.58919142948</v>
      </c>
      <c r="C8892" t="s">
        <v>34</v>
      </c>
      <c r="D8892">
        <v>41.396799675578599</v>
      </c>
      <c r="E8892">
        <v>6</v>
      </c>
      <c r="F8892">
        <v>1262</v>
      </c>
      <c r="G8892">
        <v>4</v>
      </c>
      <c r="H8892">
        <v>3</v>
      </c>
      <c r="I8892">
        <v>1994</v>
      </c>
      <c r="J8892">
        <v>1</v>
      </c>
      <c r="K8892">
        <v>1</v>
      </c>
      <c r="L8892">
        <v>1</v>
      </c>
      <c r="M8892">
        <v>4</v>
      </c>
      <c r="N8892" t="s">
        <v>41</v>
      </c>
      <c r="O8892" t="s">
        <v>32</v>
      </c>
      <c r="P8892">
        <v>8.8826103549542808</v>
      </c>
      <c r="Q8892">
        <v>2.18816431147116</v>
      </c>
      <c r="R8892">
        <v>6.6704673091604398</v>
      </c>
      <c r="S8892">
        <v>90</v>
      </c>
      <c r="T8892">
        <v>79</v>
      </c>
      <c r="U8892">
        <v>992.39323142750595</v>
      </c>
      <c r="V8892">
        <v>3.1695721077654501E-3</v>
      </c>
      <c r="W8892">
        <v>1678426.7224709899</v>
      </c>
      <c r="X8892" t="s">
        <v>33</v>
      </c>
      <c r="Y8892">
        <f>1-367-444-6420</f>
        <v>-7230</v>
      </c>
    </row>
    <row r="8893" spans="1:25" x14ac:dyDescent="0.35">
      <c r="A8893">
        <v>33.330871381910001</v>
      </c>
      <c r="B8893">
        <v>-117.578623954325</v>
      </c>
      <c r="C8893" t="s">
        <v>29</v>
      </c>
      <c r="D8893">
        <v>34.307943906713902</v>
      </c>
      <c r="E8893">
        <v>4</v>
      </c>
      <c r="F8893">
        <v>4519</v>
      </c>
      <c r="G8893">
        <v>1</v>
      </c>
      <c r="H8893">
        <v>3</v>
      </c>
      <c r="I8893">
        <v>1988</v>
      </c>
      <c r="J8893">
        <v>1</v>
      </c>
      <c r="K8893">
        <v>1</v>
      </c>
      <c r="L8893">
        <v>1</v>
      </c>
      <c r="M8893">
        <v>7</v>
      </c>
      <c r="N8893" t="s">
        <v>37</v>
      </c>
      <c r="O8893" t="s">
        <v>32</v>
      </c>
      <c r="P8893">
        <v>6.0140204693492603</v>
      </c>
      <c r="Q8893">
        <v>2.1336028613065299</v>
      </c>
      <c r="R8893">
        <v>9.34942469060036</v>
      </c>
      <c r="S8893">
        <v>114</v>
      </c>
      <c r="T8893">
        <v>36</v>
      </c>
      <c r="U8893">
        <v>345.07753980012598</v>
      </c>
      <c r="V8893">
        <v>1.54901526886479E-3</v>
      </c>
      <c r="W8893">
        <v>1915264.3414197599</v>
      </c>
      <c r="X8893" t="s">
        <v>38</v>
      </c>
      <c r="Y8893">
        <f>1-907-578-2946</f>
        <v>-4430</v>
      </c>
    </row>
    <row r="8894" spans="1:25" x14ac:dyDescent="0.35">
      <c r="A8894">
        <v>40.133019171065399</v>
      </c>
      <c r="B8894">
        <v>-117.664842100453</v>
      </c>
      <c r="C8894" t="s">
        <v>25</v>
      </c>
      <c r="D8894">
        <v>6.3631072713981496</v>
      </c>
      <c r="E8894">
        <v>3</v>
      </c>
      <c r="F8894">
        <v>1380</v>
      </c>
      <c r="G8894">
        <v>1</v>
      </c>
      <c r="H8894">
        <v>1</v>
      </c>
      <c r="I8894">
        <v>1982</v>
      </c>
      <c r="J8894">
        <v>0</v>
      </c>
      <c r="K8894">
        <v>1</v>
      </c>
      <c r="L8894">
        <v>1</v>
      </c>
      <c r="M8894">
        <v>10</v>
      </c>
      <c r="N8894" t="s">
        <v>37</v>
      </c>
      <c r="O8894" t="s">
        <v>27</v>
      </c>
      <c r="P8894">
        <v>11.891873016736</v>
      </c>
      <c r="Q8894">
        <v>0.88154766991695399</v>
      </c>
      <c r="R8894">
        <v>6.7916399151442404</v>
      </c>
      <c r="S8894">
        <v>166</v>
      </c>
      <c r="T8894">
        <v>53</v>
      </c>
      <c r="U8894">
        <v>754.43873912509696</v>
      </c>
      <c r="V8894">
        <v>7.2463768115942004E-3</v>
      </c>
      <c r="W8894">
        <v>1325155.03350286</v>
      </c>
      <c r="X8894" t="s">
        <v>28</v>
      </c>
      <c r="Y8894">
        <f>1-395-442-9925</f>
        <v>-10761</v>
      </c>
    </row>
    <row r="8895" spans="1:25" x14ac:dyDescent="0.35">
      <c r="A8895">
        <v>34.9829970757607</v>
      </c>
      <c r="B8895">
        <v>-117.434024836101</v>
      </c>
      <c r="C8895" t="s">
        <v>34</v>
      </c>
      <c r="D8895">
        <v>28.603833069598</v>
      </c>
      <c r="E8895">
        <v>7</v>
      </c>
      <c r="F8895">
        <v>1340</v>
      </c>
      <c r="G8895">
        <v>1</v>
      </c>
      <c r="H8895">
        <v>2</v>
      </c>
      <c r="I8895">
        <v>1999</v>
      </c>
      <c r="J8895">
        <v>1</v>
      </c>
      <c r="K8895">
        <v>0</v>
      </c>
      <c r="L8895">
        <v>0</v>
      </c>
      <c r="M8895">
        <v>10</v>
      </c>
      <c r="N8895" t="s">
        <v>26</v>
      </c>
      <c r="O8895" t="s">
        <v>32</v>
      </c>
      <c r="P8895">
        <v>9.9933704159361305</v>
      </c>
      <c r="Q8895">
        <v>1.45078972876562</v>
      </c>
      <c r="R8895">
        <v>8.9800597058371707</v>
      </c>
      <c r="S8895">
        <v>12</v>
      </c>
      <c r="T8895">
        <v>70</v>
      </c>
      <c r="U8895">
        <v>553.066595839505</v>
      </c>
      <c r="V8895">
        <v>7.4626865671641703E-3</v>
      </c>
      <c r="W8895">
        <v>979820.15763785294</v>
      </c>
      <c r="X8895" t="s">
        <v>36</v>
      </c>
      <c r="Y8895">
        <f>1-220-938-2773</f>
        <v>-3930</v>
      </c>
    </row>
    <row r="8896" spans="1:25" x14ac:dyDescent="0.35">
      <c r="A8896">
        <v>36.561737701335097</v>
      </c>
      <c r="B8896">
        <v>-119.86278101522799</v>
      </c>
      <c r="C8896" t="s">
        <v>29</v>
      </c>
      <c r="D8896">
        <v>14.5737128943685</v>
      </c>
      <c r="E8896">
        <v>4</v>
      </c>
      <c r="F8896">
        <v>1497</v>
      </c>
      <c r="G8896">
        <v>5</v>
      </c>
      <c r="H8896">
        <v>3</v>
      </c>
      <c r="I8896">
        <v>2007</v>
      </c>
      <c r="J8896">
        <v>1</v>
      </c>
      <c r="K8896">
        <v>1</v>
      </c>
      <c r="L8896">
        <v>0</v>
      </c>
      <c r="M8896">
        <v>11</v>
      </c>
      <c r="N8896" t="s">
        <v>35</v>
      </c>
      <c r="O8896" t="s">
        <v>27</v>
      </c>
      <c r="P8896">
        <v>8.6060975832596291</v>
      </c>
      <c r="Q8896">
        <v>1.0547854752592201</v>
      </c>
      <c r="R8896">
        <v>9.9575008068330693</v>
      </c>
      <c r="S8896">
        <v>93</v>
      </c>
      <c r="T8896">
        <v>43</v>
      </c>
      <c r="U8896">
        <v>904.25086062398998</v>
      </c>
      <c r="V8896">
        <v>7.3480293921175596E-3</v>
      </c>
      <c r="W8896">
        <v>1814623.8004073901</v>
      </c>
      <c r="X8896" t="s">
        <v>38</v>
      </c>
      <c r="Y8896">
        <f>1-465-781-2078</f>
        <v>-3323</v>
      </c>
    </row>
    <row r="8897" spans="1:25" x14ac:dyDescent="0.35">
      <c r="A8897">
        <v>40.017531639624501</v>
      </c>
      <c r="B8897">
        <v>-118.822442422221</v>
      </c>
      <c r="C8897" t="s">
        <v>25</v>
      </c>
      <c r="D8897">
        <v>49.432182803535099</v>
      </c>
      <c r="E8897">
        <v>9</v>
      </c>
      <c r="F8897">
        <v>1889</v>
      </c>
      <c r="G8897">
        <v>2</v>
      </c>
      <c r="H8897">
        <v>1</v>
      </c>
      <c r="I8897">
        <v>2014</v>
      </c>
      <c r="J8897">
        <v>1</v>
      </c>
      <c r="K8897">
        <v>0</v>
      </c>
      <c r="L8897">
        <v>0</v>
      </c>
      <c r="M8897">
        <v>7</v>
      </c>
      <c r="N8897" t="s">
        <v>37</v>
      </c>
      <c r="O8897" t="s">
        <v>27</v>
      </c>
      <c r="P8897">
        <v>12.9564765981906</v>
      </c>
      <c r="Q8897">
        <v>1.21587144188265</v>
      </c>
      <c r="R8897">
        <v>1.9831916322635701</v>
      </c>
      <c r="S8897">
        <v>81</v>
      </c>
      <c r="T8897">
        <v>20</v>
      </c>
      <c r="U8897">
        <v>992.22948949527097</v>
      </c>
      <c r="V8897">
        <v>3.7056643726839501E-3</v>
      </c>
      <c r="W8897">
        <v>2080684.5866832</v>
      </c>
      <c r="X8897" t="s">
        <v>40</v>
      </c>
      <c r="Y8897">
        <f>1-352-977-8723</f>
        <v>-10051</v>
      </c>
    </row>
    <row r="8898" spans="1:25" x14ac:dyDescent="0.35">
      <c r="A8898">
        <v>40.311159766063099</v>
      </c>
      <c r="B8898">
        <v>-123.28512397809099</v>
      </c>
      <c r="C8898" t="s">
        <v>25</v>
      </c>
      <c r="D8898">
        <v>42.367295973271801</v>
      </c>
      <c r="E8898">
        <v>0</v>
      </c>
      <c r="F8898">
        <v>4315</v>
      </c>
      <c r="G8898">
        <v>4</v>
      </c>
      <c r="H8898">
        <v>1</v>
      </c>
      <c r="I8898">
        <v>2021</v>
      </c>
      <c r="J8898">
        <v>1</v>
      </c>
      <c r="K8898">
        <v>1</v>
      </c>
      <c r="L8898">
        <v>1</v>
      </c>
      <c r="M8898">
        <v>8</v>
      </c>
      <c r="N8898" t="s">
        <v>37</v>
      </c>
      <c r="O8898" t="s">
        <v>27</v>
      </c>
      <c r="P8898">
        <v>13.070543077342499</v>
      </c>
      <c r="Q8898">
        <v>1.7486160825550601</v>
      </c>
      <c r="R8898">
        <v>6.7162992946286399</v>
      </c>
      <c r="S8898">
        <v>49</v>
      </c>
      <c r="T8898">
        <v>57</v>
      </c>
      <c r="U8898">
        <v>550.66807262659995</v>
      </c>
      <c r="V8898">
        <v>1.8539976825028899E-3</v>
      </c>
      <c r="W8898">
        <v>2871660.5970855602</v>
      </c>
      <c r="X8898" t="s">
        <v>42</v>
      </c>
      <c r="Y8898">
        <f>1-706-365-5432</f>
        <v>-6502</v>
      </c>
    </row>
    <row r="8899" spans="1:25" x14ac:dyDescent="0.35">
      <c r="A8899">
        <v>38.082426800374499</v>
      </c>
      <c r="B8899">
        <v>-120.167417515213</v>
      </c>
      <c r="C8899" t="s">
        <v>25</v>
      </c>
      <c r="D8899">
        <v>49.908648959213501</v>
      </c>
      <c r="E8899">
        <v>3</v>
      </c>
      <c r="F8899">
        <v>3107</v>
      </c>
      <c r="G8899">
        <v>5</v>
      </c>
      <c r="H8899">
        <v>3</v>
      </c>
      <c r="I8899">
        <v>2015</v>
      </c>
      <c r="J8899">
        <v>1</v>
      </c>
      <c r="K8899">
        <v>0</v>
      </c>
      <c r="L8899">
        <v>1</v>
      </c>
      <c r="M8899">
        <v>2</v>
      </c>
      <c r="N8899" t="s">
        <v>37</v>
      </c>
      <c r="O8899" t="s">
        <v>32</v>
      </c>
      <c r="P8899">
        <v>7.6772295283226102</v>
      </c>
      <c r="Q8899">
        <v>1.0360192600348399</v>
      </c>
      <c r="R8899">
        <v>3.0844508074606498</v>
      </c>
      <c r="S8899">
        <v>134</v>
      </c>
      <c r="T8899">
        <v>78</v>
      </c>
      <c r="U8899">
        <v>355.4375163702</v>
      </c>
      <c r="V8899">
        <v>6.4370775667846802E-4</v>
      </c>
      <c r="W8899">
        <v>1593059.41684131</v>
      </c>
      <c r="X8899" t="s">
        <v>28</v>
      </c>
      <c r="Y8899">
        <f>1-357-290-1411</f>
        <v>-2057</v>
      </c>
    </row>
    <row r="8900" spans="1:25" x14ac:dyDescent="0.35">
      <c r="A8900">
        <v>33.538647245676103</v>
      </c>
      <c r="B8900">
        <v>-123.597858158931</v>
      </c>
      <c r="C8900" t="s">
        <v>25</v>
      </c>
      <c r="D8900">
        <v>15.6387190143229</v>
      </c>
      <c r="E8900">
        <v>9</v>
      </c>
      <c r="F8900">
        <v>1968</v>
      </c>
      <c r="G8900">
        <v>1</v>
      </c>
      <c r="H8900">
        <v>3</v>
      </c>
      <c r="I8900">
        <v>2004</v>
      </c>
      <c r="J8900">
        <v>1</v>
      </c>
      <c r="K8900">
        <v>1</v>
      </c>
      <c r="L8900">
        <v>1</v>
      </c>
      <c r="M8900">
        <v>4</v>
      </c>
      <c r="N8900" t="s">
        <v>37</v>
      </c>
      <c r="O8900" t="s">
        <v>32</v>
      </c>
      <c r="P8900">
        <v>12.993372961734</v>
      </c>
      <c r="Q8900">
        <v>1.74220849498342</v>
      </c>
      <c r="R8900">
        <v>3.9855848850607298</v>
      </c>
      <c r="S8900">
        <v>44</v>
      </c>
      <c r="T8900">
        <v>23</v>
      </c>
      <c r="U8900">
        <v>598.53811416685903</v>
      </c>
      <c r="V8900">
        <v>2.0325203252032501E-3</v>
      </c>
      <c r="W8900">
        <v>1636045.6034653301</v>
      </c>
      <c r="X8900" t="s">
        <v>39</v>
      </c>
      <c r="Y8900">
        <f>1-269-292-2325</f>
        <v>-2885</v>
      </c>
    </row>
    <row r="8901" spans="1:25" x14ac:dyDescent="0.35">
      <c r="A8901">
        <v>39.294906752276702</v>
      </c>
      <c r="B8901">
        <v>-118.776730526834</v>
      </c>
      <c r="C8901" t="s">
        <v>34</v>
      </c>
      <c r="D8901">
        <v>47.586067720089297</v>
      </c>
      <c r="E8901">
        <v>8</v>
      </c>
      <c r="F8901">
        <v>2770</v>
      </c>
      <c r="G8901">
        <v>5</v>
      </c>
      <c r="H8901">
        <v>3</v>
      </c>
      <c r="I8901">
        <v>1968</v>
      </c>
      <c r="J8901">
        <v>1</v>
      </c>
      <c r="K8901">
        <v>1</v>
      </c>
      <c r="L8901">
        <v>1</v>
      </c>
      <c r="M8901">
        <v>4</v>
      </c>
      <c r="N8901" t="s">
        <v>41</v>
      </c>
      <c r="O8901" t="s">
        <v>30</v>
      </c>
      <c r="P8901">
        <v>2.7654280071620998</v>
      </c>
      <c r="Q8901">
        <v>0.90370129746652506</v>
      </c>
      <c r="R8901">
        <v>9.7669376920266</v>
      </c>
      <c r="S8901">
        <v>158</v>
      </c>
      <c r="T8901">
        <v>63</v>
      </c>
      <c r="U8901">
        <v>447.41139427732099</v>
      </c>
      <c r="V8901">
        <v>1.44404332129963E-3</v>
      </c>
      <c r="W8901">
        <v>1605680.83500762</v>
      </c>
      <c r="X8901" t="s">
        <v>44</v>
      </c>
      <c r="Y8901">
        <f>1-816-830-9755</f>
        <v>-11400</v>
      </c>
    </row>
    <row r="8902" spans="1:25" x14ac:dyDescent="0.35">
      <c r="A8902">
        <v>41.344283658807598</v>
      </c>
      <c r="B8902">
        <v>-117.73816039832001</v>
      </c>
      <c r="C8902" t="s">
        <v>29</v>
      </c>
      <c r="D8902">
        <v>2.8823467830021698</v>
      </c>
      <c r="E8902">
        <v>6</v>
      </c>
      <c r="F8902">
        <v>1069</v>
      </c>
      <c r="G8902">
        <v>2</v>
      </c>
      <c r="H8902">
        <v>1</v>
      </c>
      <c r="I8902">
        <v>1993</v>
      </c>
      <c r="J8902">
        <v>0</v>
      </c>
      <c r="K8902">
        <v>1</v>
      </c>
      <c r="L8902">
        <v>0</v>
      </c>
      <c r="M8902">
        <v>10</v>
      </c>
      <c r="N8902" t="s">
        <v>26</v>
      </c>
      <c r="O8902" t="s">
        <v>32</v>
      </c>
      <c r="P8902">
        <v>5.1009373974293899</v>
      </c>
      <c r="Q8902">
        <v>1.80182040064586</v>
      </c>
      <c r="R8902">
        <v>0.34340193730732799</v>
      </c>
      <c r="S8902">
        <v>177</v>
      </c>
      <c r="T8902">
        <v>63</v>
      </c>
      <c r="U8902">
        <v>657.66230400892198</v>
      </c>
      <c r="V8902">
        <v>9.3545369504209504E-3</v>
      </c>
      <c r="W8902">
        <v>871907.37527725601</v>
      </c>
      <c r="X8902" t="s">
        <v>42</v>
      </c>
      <c r="Y8902">
        <f>1-636-432-9313</f>
        <v>-10380</v>
      </c>
    </row>
    <row r="8903" spans="1:25" x14ac:dyDescent="0.35">
      <c r="A8903">
        <v>38.709191717861401</v>
      </c>
      <c r="B8903">
        <v>-117.77592830405599</v>
      </c>
      <c r="C8903" t="s">
        <v>25</v>
      </c>
      <c r="D8903">
        <v>10.6655314407611</v>
      </c>
      <c r="E8903">
        <v>1</v>
      </c>
      <c r="F8903">
        <v>4520</v>
      </c>
      <c r="G8903">
        <v>2</v>
      </c>
      <c r="H8903">
        <v>2</v>
      </c>
      <c r="I8903">
        <v>1981</v>
      </c>
      <c r="J8903">
        <v>1</v>
      </c>
      <c r="K8903">
        <v>0</v>
      </c>
      <c r="L8903">
        <v>0</v>
      </c>
      <c r="M8903">
        <v>3</v>
      </c>
      <c r="N8903" t="s">
        <v>37</v>
      </c>
      <c r="O8903" t="s">
        <v>27</v>
      </c>
      <c r="P8903">
        <v>5.2287030662630301</v>
      </c>
      <c r="Q8903">
        <v>1.5034911714128001</v>
      </c>
      <c r="R8903">
        <v>5.8115161782329299</v>
      </c>
      <c r="S8903">
        <v>34</v>
      </c>
      <c r="T8903">
        <v>30</v>
      </c>
      <c r="U8903">
        <v>929.47795688691497</v>
      </c>
      <c r="V8903">
        <v>6.6371681415929203E-4</v>
      </c>
      <c r="W8903">
        <v>4338257.0150308302</v>
      </c>
      <c r="X8903" t="s">
        <v>31</v>
      </c>
      <c r="Y8903">
        <f>1-395-118-3501</f>
        <v>-4013</v>
      </c>
    </row>
    <row r="8904" spans="1:25" x14ac:dyDescent="0.35">
      <c r="A8904">
        <v>41.137135266372901</v>
      </c>
      <c r="B8904">
        <v>-114.95839460018099</v>
      </c>
      <c r="C8904" t="s">
        <v>25</v>
      </c>
      <c r="D8904">
        <v>43.144885920075502</v>
      </c>
      <c r="E8904">
        <v>9</v>
      </c>
      <c r="F8904">
        <v>2562</v>
      </c>
      <c r="G8904">
        <v>5</v>
      </c>
      <c r="H8904">
        <v>1</v>
      </c>
      <c r="I8904">
        <v>1972</v>
      </c>
      <c r="J8904">
        <v>1</v>
      </c>
      <c r="K8904">
        <v>0</v>
      </c>
      <c r="L8904">
        <v>0</v>
      </c>
      <c r="M8904">
        <v>3</v>
      </c>
      <c r="N8904" t="s">
        <v>35</v>
      </c>
      <c r="O8904" t="s">
        <v>32</v>
      </c>
      <c r="P8904">
        <v>11.1420805611445</v>
      </c>
      <c r="Q8904">
        <v>0.66767661668172495</v>
      </c>
      <c r="R8904">
        <v>3.3172455446282401</v>
      </c>
      <c r="S8904">
        <v>132</v>
      </c>
      <c r="T8904">
        <v>28</v>
      </c>
      <c r="U8904">
        <v>861.90108083888094</v>
      </c>
      <c r="V8904">
        <v>1.17096018735363E-3</v>
      </c>
      <c r="W8904">
        <v>2563058.12131871</v>
      </c>
      <c r="X8904" t="s">
        <v>31</v>
      </c>
      <c r="Y8904">
        <f>1-435-122-3310</f>
        <v>-3866</v>
      </c>
    </row>
    <row r="8905" spans="1:25" x14ac:dyDescent="0.35">
      <c r="A8905">
        <v>37.709506844053003</v>
      </c>
      <c r="B8905">
        <v>-116.763409122122</v>
      </c>
      <c r="C8905" t="s">
        <v>34</v>
      </c>
      <c r="D8905">
        <v>40.038009595492802</v>
      </c>
      <c r="E8905">
        <v>6</v>
      </c>
      <c r="F8905">
        <v>2002</v>
      </c>
      <c r="G8905">
        <v>4</v>
      </c>
      <c r="H8905">
        <v>3</v>
      </c>
      <c r="I8905">
        <v>1954</v>
      </c>
      <c r="J8905">
        <v>0</v>
      </c>
      <c r="K8905">
        <v>0</v>
      </c>
      <c r="L8905">
        <v>0</v>
      </c>
      <c r="M8905">
        <v>14</v>
      </c>
      <c r="N8905" t="s">
        <v>41</v>
      </c>
      <c r="O8905" t="s">
        <v>30</v>
      </c>
      <c r="P8905">
        <v>11.9388059464683</v>
      </c>
      <c r="Q8905">
        <v>2.2316913917740502</v>
      </c>
      <c r="R8905">
        <v>6.2167636582032797</v>
      </c>
      <c r="S8905">
        <v>45</v>
      </c>
      <c r="T8905">
        <v>33</v>
      </c>
      <c r="U8905">
        <v>697.98798419536797</v>
      </c>
      <c r="V8905">
        <v>6.9930069930069904E-3</v>
      </c>
      <c r="W8905">
        <v>1653682.3833697501</v>
      </c>
      <c r="X8905" t="s">
        <v>40</v>
      </c>
      <c r="Y8905">
        <f>1-987-393-7876</f>
        <v>-9255</v>
      </c>
    </row>
    <row r="8906" spans="1:25" x14ac:dyDescent="0.35">
      <c r="A8906">
        <v>40.097305276468802</v>
      </c>
      <c r="B8906">
        <v>-123.61307063498499</v>
      </c>
      <c r="C8906" t="s">
        <v>25</v>
      </c>
      <c r="D8906">
        <v>48.955441689635698</v>
      </c>
      <c r="E8906">
        <v>0</v>
      </c>
      <c r="F8906">
        <v>881</v>
      </c>
      <c r="G8906">
        <v>5</v>
      </c>
      <c r="H8906">
        <v>1</v>
      </c>
      <c r="I8906">
        <v>1961</v>
      </c>
      <c r="J8906">
        <v>0</v>
      </c>
      <c r="K8906">
        <v>1</v>
      </c>
      <c r="L8906">
        <v>0</v>
      </c>
      <c r="M8906">
        <v>2</v>
      </c>
      <c r="N8906" t="s">
        <v>26</v>
      </c>
      <c r="O8906" t="s">
        <v>32</v>
      </c>
      <c r="P8906">
        <v>3.22693843968678</v>
      </c>
      <c r="Q8906">
        <v>0.65326273507883603</v>
      </c>
      <c r="R8906">
        <v>3.2041055279473603E-2</v>
      </c>
      <c r="S8906">
        <v>56</v>
      </c>
      <c r="T8906">
        <v>41</v>
      </c>
      <c r="U8906">
        <v>864.21102600847701</v>
      </c>
      <c r="V8906">
        <v>2.2701475595913699E-3</v>
      </c>
      <c r="W8906">
        <v>1013344.27698726</v>
      </c>
      <c r="X8906" t="s">
        <v>31</v>
      </c>
      <c r="Y8906">
        <f>1-311-244-4588</f>
        <v>-5142</v>
      </c>
    </row>
    <row r="8907" spans="1:25" x14ac:dyDescent="0.35">
      <c r="A8907">
        <v>37.009439187269798</v>
      </c>
      <c r="B8907">
        <v>-122.287209425513</v>
      </c>
      <c r="C8907" t="s">
        <v>34</v>
      </c>
      <c r="D8907">
        <v>27.906889869838501</v>
      </c>
      <c r="E8907">
        <v>0</v>
      </c>
      <c r="F8907">
        <v>3074</v>
      </c>
      <c r="G8907">
        <v>4</v>
      </c>
      <c r="H8907">
        <v>3</v>
      </c>
      <c r="I8907">
        <v>1971</v>
      </c>
      <c r="J8907">
        <v>0</v>
      </c>
      <c r="K8907">
        <v>0</v>
      </c>
      <c r="L8907">
        <v>1</v>
      </c>
      <c r="M8907">
        <v>12</v>
      </c>
      <c r="N8907" t="s">
        <v>41</v>
      </c>
      <c r="O8907" t="s">
        <v>27</v>
      </c>
      <c r="P8907">
        <v>3.3779597730603799</v>
      </c>
      <c r="Q8907">
        <v>1.61614346350338</v>
      </c>
      <c r="R8907">
        <v>6.2028059313584603</v>
      </c>
      <c r="S8907">
        <v>166</v>
      </c>
      <c r="T8907">
        <v>71</v>
      </c>
      <c r="U8907">
        <v>524.533352499491</v>
      </c>
      <c r="V8907">
        <v>3.90370852309694E-3</v>
      </c>
      <c r="W8907">
        <v>1772326.3558809301</v>
      </c>
      <c r="X8907" t="s">
        <v>33</v>
      </c>
      <c r="Y8907">
        <f>1-990-220-1446</f>
        <v>-2655</v>
      </c>
    </row>
    <row r="8908" spans="1:25" x14ac:dyDescent="0.35">
      <c r="A8908">
        <v>36.870923023036802</v>
      </c>
      <c r="B8908">
        <v>-118.882913882171</v>
      </c>
      <c r="C8908" t="s">
        <v>25</v>
      </c>
      <c r="D8908">
        <v>34.433711795918803</v>
      </c>
      <c r="E8908">
        <v>8</v>
      </c>
      <c r="F8908">
        <v>2474</v>
      </c>
      <c r="G8908">
        <v>4</v>
      </c>
      <c r="H8908">
        <v>3</v>
      </c>
      <c r="I8908">
        <v>1955</v>
      </c>
      <c r="J8908">
        <v>0</v>
      </c>
      <c r="K8908">
        <v>0</v>
      </c>
      <c r="L8908">
        <v>0</v>
      </c>
      <c r="M8908">
        <v>13</v>
      </c>
      <c r="N8908" t="s">
        <v>41</v>
      </c>
      <c r="O8908" t="s">
        <v>32</v>
      </c>
      <c r="P8908">
        <v>12.438959647252601</v>
      </c>
      <c r="Q8908">
        <v>1.8290558455859101</v>
      </c>
      <c r="R8908">
        <v>2.3908822513643502</v>
      </c>
      <c r="S8908">
        <v>20</v>
      </c>
      <c r="T8908">
        <v>68</v>
      </c>
      <c r="U8908">
        <v>470.78687811717299</v>
      </c>
      <c r="V8908">
        <v>5.2546483427647504E-3</v>
      </c>
      <c r="W8908">
        <v>1432914.2973871999</v>
      </c>
      <c r="X8908" t="s">
        <v>38</v>
      </c>
      <c r="Y8908">
        <f>1-252-563-1637</f>
        <v>-2451</v>
      </c>
    </row>
    <row r="8909" spans="1:25" x14ac:dyDescent="0.35">
      <c r="A8909">
        <v>36.980846340944296</v>
      </c>
      <c r="B8909">
        <v>-123.78258937101</v>
      </c>
      <c r="C8909" t="s">
        <v>29</v>
      </c>
      <c r="D8909">
        <v>42.865743633877798</v>
      </c>
      <c r="E8909">
        <v>4</v>
      </c>
      <c r="F8909">
        <v>2363</v>
      </c>
      <c r="G8909">
        <v>3</v>
      </c>
      <c r="H8909">
        <v>3</v>
      </c>
      <c r="I8909">
        <v>2014</v>
      </c>
      <c r="J8909">
        <v>0</v>
      </c>
      <c r="K8909">
        <v>1</v>
      </c>
      <c r="L8909">
        <v>0</v>
      </c>
      <c r="M8909">
        <v>2</v>
      </c>
      <c r="N8909" t="s">
        <v>41</v>
      </c>
      <c r="O8909" t="s">
        <v>27</v>
      </c>
      <c r="P8909">
        <v>12.098734631017001</v>
      </c>
      <c r="Q8909">
        <v>1.21050923975799</v>
      </c>
      <c r="R8909">
        <v>0.229132642758167</v>
      </c>
      <c r="S8909">
        <v>12</v>
      </c>
      <c r="T8909">
        <v>51</v>
      </c>
      <c r="U8909">
        <v>640.37963845687705</v>
      </c>
      <c r="V8909">
        <v>8.4638171815488701E-4</v>
      </c>
      <c r="W8909">
        <v>2058957.1348560599</v>
      </c>
      <c r="X8909" t="s">
        <v>44</v>
      </c>
      <c r="Y8909">
        <f>1-864-512-6940</f>
        <v>-8315</v>
      </c>
    </row>
    <row r="8910" spans="1:25" x14ac:dyDescent="0.35">
      <c r="A8910">
        <v>40.7440270090542</v>
      </c>
      <c r="B8910">
        <v>-121.079785914141</v>
      </c>
      <c r="C8910" t="s">
        <v>29</v>
      </c>
      <c r="D8910">
        <v>21.545991997453498</v>
      </c>
      <c r="E8910">
        <v>3</v>
      </c>
      <c r="F8910">
        <v>4762</v>
      </c>
      <c r="G8910">
        <v>3</v>
      </c>
      <c r="H8910">
        <v>3</v>
      </c>
      <c r="I8910">
        <v>1982</v>
      </c>
      <c r="J8910">
        <v>0</v>
      </c>
      <c r="K8910">
        <v>1</v>
      </c>
      <c r="L8910">
        <v>0</v>
      </c>
      <c r="M8910">
        <v>9</v>
      </c>
      <c r="N8910" t="s">
        <v>35</v>
      </c>
      <c r="O8910" t="s">
        <v>27</v>
      </c>
      <c r="P8910">
        <v>11.853239811893101</v>
      </c>
      <c r="Q8910">
        <v>1.1496825855599599</v>
      </c>
      <c r="R8910">
        <v>8.4684277847327198</v>
      </c>
      <c r="S8910">
        <v>141</v>
      </c>
      <c r="T8910">
        <v>58</v>
      </c>
      <c r="U8910">
        <v>607.71558978561598</v>
      </c>
      <c r="V8910">
        <v>1.88996220075598E-3</v>
      </c>
      <c r="W8910">
        <v>3188402.4719398199</v>
      </c>
      <c r="X8910" t="s">
        <v>33</v>
      </c>
      <c r="Y8910">
        <f>1-766-613-2385</f>
        <v>-3763</v>
      </c>
    </row>
    <row r="8911" spans="1:25" x14ac:dyDescent="0.35">
      <c r="A8911">
        <v>39.709835865527097</v>
      </c>
      <c r="B8911">
        <v>-116.738594786509</v>
      </c>
      <c r="C8911" t="s">
        <v>34</v>
      </c>
      <c r="D8911">
        <v>9.5102590471788293</v>
      </c>
      <c r="E8911">
        <v>5</v>
      </c>
      <c r="F8911">
        <v>698</v>
      </c>
      <c r="G8911">
        <v>1</v>
      </c>
      <c r="H8911">
        <v>1</v>
      </c>
      <c r="I8911">
        <v>2001</v>
      </c>
      <c r="J8911">
        <v>0</v>
      </c>
      <c r="K8911">
        <v>1</v>
      </c>
      <c r="L8911">
        <v>1</v>
      </c>
      <c r="M8911">
        <v>2</v>
      </c>
      <c r="N8911" t="s">
        <v>37</v>
      </c>
      <c r="O8911" t="s">
        <v>30</v>
      </c>
      <c r="P8911">
        <v>2.9338692725012399</v>
      </c>
      <c r="Q8911">
        <v>2.13824505473388</v>
      </c>
      <c r="R8911">
        <v>1.45486570626983</v>
      </c>
      <c r="S8911">
        <v>86</v>
      </c>
      <c r="T8911">
        <v>20</v>
      </c>
      <c r="U8911">
        <v>853.21195189827904</v>
      </c>
      <c r="V8911">
        <v>2.8653295128939801E-3</v>
      </c>
      <c r="W8911">
        <v>773110.971518429</v>
      </c>
      <c r="X8911" t="s">
        <v>31</v>
      </c>
      <c r="Y8911">
        <f>1-756-878-2913</f>
        <v>-4546</v>
      </c>
    </row>
    <row r="8912" spans="1:25" x14ac:dyDescent="0.35">
      <c r="A8912">
        <v>34.110712873743999</v>
      </c>
      <c r="B8912">
        <v>-115.634676789422</v>
      </c>
      <c r="C8912" t="s">
        <v>34</v>
      </c>
      <c r="D8912">
        <v>7.2997922861842302</v>
      </c>
      <c r="E8912">
        <v>6</v>
      </c>
      <c r="F8912">
        <v>711</v>
      </c>
      <c r="G8912">
        <v>2</v>
      </c>
      <c r="H8912">
        <v>1</v>
      </c>
      <c r="I8912">
        <v>2002</v>
      </c>
      <c r="J8912">
        <v>1</v>
      </c>
      <c r="K8912">
        <v>0</v>
      </c>
      <c r="L8912">
        <v>0</v>
      </c>
      <c r="M8912">
        <v>11</v>
      </c>
      <c r="N8912" t="s">
        <v>37</v>
      </c>
      <c r="O8912" t="s">
        <v>27</v>
      </c>
      <c r="P8912">
        <v>10.0427356724887</v>
      </c>
      <c r="Q8912">
        <v>1.4014597142381799</v>
      </c>
      <c r="R8912">
        <v>8.8002106712126107</v>
      </c>
      <c r="S8912">
        <v>20</v>
      </c>
      <c r="T8912">
        <v>24</v>
      </c>
      <c r="U8912">
        <v>398.20836287637502</v>
      </c>
      <c r="V8912">
        <v>1.5471167369901499E-2</v>
      </c>
      <c r="W8912">
        <v>440165.53733659099</v>
      </c>
      <c r="X8912" t="s">
        <v>33</v>
      </c>
      <c r="Y8912">
        <f>1-527-501-1757</f>
        <v>-2784</v>
      </c>
    </row>
    <row r="8913" spans="1:25" x14ac:dyDescent="0.35">
      <c r="A8913">
        <v>36.393345926226303</v>
      </c>
      <c r="B8913">
        <v>-123.615078608628</v>
      </c>
      <c r="C8913" t="s">
        <v>29</v>
      </c>
      <c r="D8913">
        <v>11.5413204877817</v>
      </c>
      <c r="E8913">
        <v>3</v>
      </c>
      <c r="F8913">
        <v>930</v>
      </c>
      <c r="G8913">
        <v>5</v>
      </c>
      <c r="H8913">
        <v>2</v>
      </c>
      <c r="I8913">
        <v>1968</v>
      </c>
      <c r="J8913">
        <v>1</v>
      </c>
      <c r="K8913">
        <v>1</v>
      </c>
      <c r="L8913">
        <v>0</v>
      </c>
      <c r="M8913">
        <v>14</v>
      </c>
      <c r="N8913" t="s">
        <v>41</v>
      </c>
      <c r="O8913" t="s">
        <v>32</v>
      </c>
      <c r="P8913">
        <v>11.508446429451499</v>
      </c>
      <c r="Q8913">
        <v>1.36841940425169</v>
      </c>
      <c r="R8913">
        <v>2.7029408062178901</v>
      </c>
      <c r="S8913">
        <v>55</v>
      </c>
      <c r="T8913">
        <v>61</v>
      </c>
      <c r="U8913">
        <v>713.40981762392096</v>
      </c>
      <c r="V8913">
        <v>1.50537634408602E-2</v>
      </c>
      <c r="W8913">
        <v>1082210.72230158</v>
      </c>
      <c r="X8913" t="s">
        <v>39</v>
      </c>
      <c r="Y8913">
        <f>1-953-742-4483</f>
        <v>-6177</v>
      </c>
    </row>
    <row r="8914" spans="1:25" x14ac:dyDescent="0.35">
      <c r="A8914">
        <v>34.933377460619397</v>
      </c>
      <c r="B8914">
        <v>-124.282034373081</v>
      </c>
      <c r="C8914" t="s">
        <v>34</v>
      </c>
      <c r="D8914">
        <v>29.815983005027</v>
      </c>
      <c r="E8914">
        <v>9</v>
      </c>
      <c r="F8914">
        <v>1854</v>
      </c>
      <c r="G8914">
        <v>5</v>
      </c>
      <c r="H8914">
        <v>1</v>
      </c>
      <c r="I8914">
        <v>2020</v>
      </c>
      <c r="J8914">
        <v>1</v>
      </c>
      <c r="K8914">
        <v>1</v>
      </c>
      <c r="L8914">
        <v>0</v>
      </c>
      <c r="M8914">
        <v>3</v>
      </c>
      <c r="N8914" t="s">
        <v>41</v>
      </c>
      <c r="O8914" t="s">
        <v>32</v>
      </c>
      <c r="P8914">
        <v>8.3256653876328208</v>
      </c>
      <c r="Q8914">
        <v>1.38403940832985</v>
      </c>
      <c r="R8914">
        <v>4.37949456283304</v>
      </c>
      <c r="S8914">
        <v>40</v>
      </c>
      <c r="T8914">
        <v>24</v>
      </c>
      <c r="U8914">
        <v>414.43694617091103</v>
      </c>
      <c r="V8914">
        <v>1.6181229773462699E-3</v>
      </c>
      <c r="W8914">
        <v>1196679.0056324999</v>
      </c>
      <c r="X8914" t="s">
        <v>39</v>
      </c>
      <c r="Y8914">
        <f>1-937-930-5027</f>
        <v>-6893</v>
      </c>
    </row>
    <row r="8915" spans="1:25" x14ac:dyDescent="0.35">
      <c r="A8915">
        <v>33.315443111170403</v>
      </c>
      <c r="B8915">
        <v>-118.554336815089</v>
      </c>
      <c r="C8915" t="s">
        <v>25</v>
      </c>
      <c r="D8915">
        <v>44.317026482953203</v>
      </c>
      <c r="E8915">
        <v>1</v>
      </c>
      <c r="F8915">
        <v>4781</v>
      </c>
      <c r="G8915">
        <v>1</v>
      </c>
      <c r="H8915">
        <v>3</v>
      </c>
      <c r="I8915">
        <v>1981</v>
      </c>
      <c r="J8915">
        <v>1</v>
      </c>
      <c r="K8915">
        <v>1</v>
      </c>
      <c r="L8915">
        <v>1</v>
      </c>
      <c r="M8915">
        <v>11</v>
      </c>
      <c r="N8915" t="s">
        <v>41</v>
      </c>
      <c r="O8915" t="s">
        <v>27</v>
      </c>
      <c r="P8915">
        <v>2.8752232989343098</v>
      </c>
      <c r="Q8915">
        <v>0.73128555150820196</v>
      </c>
      <c r="R8915">
        <v>4.8623467687447199</v>
      </c>
      <c r="S8915">
        <v>178</v>
      </c>
      <c r="T8915">
        <v>72</v>
      </c>
      <c r="U8915">
        <v>788.44703999785702</v>
      </c>
      <c r="V8915">
        <v>2.3007738966743302E-3</v>
      </c>
      <c r="W8915">
        <v>3963625.5347360498</v>
      </c>
      <c r="X8915" t="s">
        <v>31</v>
      </c>
      <c r="Y8915">
        <f>1-847-309-9915</f>
        <v>-11070</v>
      </c>
    </row>
    <row r="8916" spans="1:25" x14ac:dyDescent="0.35">
      <c r="A8916">
        <v>36.408812044242197</v>
      </c>
      <c r="B8916">
        <v>-119.94656742337099</v>
      </c>
      <c r="C8916" t="s">
        <v>25</v>
      </c>
      <c r="D8916">
        <v>39.783226374829503</v>
      </c>
      <c r="E8916">
        <v>9</v>
      </c>
      <c r="F8916">
        <v>1047</v>
      </c>
      <c r="G8916">
        <v>1</v>
      </c>
      <c r="H8916">
        <v>1</v>
      </c>
      <c r="I8916">
        <v>1975</v>
      </c>
      <c r="J8916">
        <v>1</v>
      </c>
      <c r="K8916">
        <v>1</v>
      </c>
      <c r="L8916">
        <v>0</v>
      </c>
      <c r="M8916">
        <v>7</v>
      </c>
      <c r="N8916" t="s">
        <v>37</v>
      </c>
      <c r="O8916" t="s">
        <v>30</v>
      </c>
      <c r="P8916">
        <v>4.0857616971991302</v>
      </c>
      <c r="Q8916">
        <v>2.17800264673448</v>
      </c>
      <c r="R8916">
        <v>1.11186970512876</v>
      </c>
      <c r="S8916">
        <v>52</v>
      </c>
      <c r="T8916">
        <v>59</v>
      </c>
      <c r="U8916">
        <v>965.60192741713604</v>
      </c>
      <c r="V8916">
        <v>6.68576886341929E-3</v>
      </c>
      <c r="W8916">
        <v>1197865.7072479001</v>
      </c>
      <c r="X8916" t="s">
        <v>38</v>
      </c>
      <c r="Y8916">
        <f>1-720-686-4969</f>
        <v>-6374</v>
      </c>
    </row>
    <row r="8917" spans="1:25" x14ac:dyDescent="0.35">
      <c r="A8917">
        <v>34.075806729429303</v>
      </c>
      <c r="B8917">
        <v>-122.18281098262</v>
      </c>
      <c r="C8917" t="s">
        <v>25</v>
      </c>
      <c r="D8917">
        <v>47.414917015989701</v>
      </c>
      <c r="E8917">
        <v>9</v>
      </c>
      <c r="F8917">
        <v>2796</v>
      </c>
      <c r="G8917">
        <v>5</v>
      </c>
      <c r="H8917">
        <v>1</v>
      </c>
      <c r="I8917">
        <v>1986</v>
      </c>
      <c r="J8917">
        <v>0</v>
      </c>
      <c r="K8917">
        <v>1</v>
      </c>
      <c r="L8917">
        <v>0</v>
      </c>
      <c r="M8917">
        <v>4</v>
      </c>
      <c r="N8917" t="s">
        <v>37</v>
      </c>
      <c r="O8917" t="s">
        <v>30</v>
      </c>
      <c r="P8917">
        <v>13.1666302825396</v>
      </c>
      <c r="Q8917">
        <v>2.1332052990596102</v>
      </c>
      <c r="R8917">
        <v>5.5763244701994497</v>
      </c>
      <c r="S8917">
        <v>16</v>
      </c>
      <c r="T8917">
        <v>44</v>
      </c>
      <c r="U8917">
        <v>904.27702109719098</v>
      </c>
      <c r="V8917">
        <v>1.43061516452074E-3</v>
      </c>
      <c r="W8917">
        <v>2924442.7702369601</v>
      </c>
      <c r="X8917" t="s">
        <v>28</v>
      </c>
      <c r="Y8917">
        <f>1-969-515-3477</f>
        <v>-4960</v>
      </c>
    </row>
    <row r="8918" spans="1:25" x14ac:dyDescent="0.35">
      <c r="A8918">
        <v>33.0624263089869</v>
      </c>
      <c r="B8918">
        <v>-123.58199863334799</v>
      </c>
      <c r="C8918" t="s">
        <v>34</v>
      </c>
      <c r="D8918">
        <v>4.6322865288854196</v>
      </c>
      <c r="E8918">
        <v>2</v>
      </c>
      <c r="F8918">
        <v>2666</v>
      </c>
      <c r="G8918">
        <v>4</v>
      </c>
      <c r="H8918">
        <v>1</v>
      </c>
      <c r="I8918">
        <v>1959</v>
      </c>
      <c r="J8918">
        <v>1</v>
      </c>
      <c r="K8918">
        <v>0</v>
      </c>
      <c r="L8918">
        <v>1</v>
      </c>
      <c r="M8918">
        <v>10</v>
      </c>
      <c r="N8918" t="s">
        <v>35</v>
      </c>
      <c r="O8918" t="s">
        <v>32</v>
      </c>
      <c r="P8918">
        <v>13.1540826032331</v>
      </c>
      <c r="Q8918">
        <v>0.89638757826648696</v>
      </c>
      <c r="R8918">
        <v>5.49102829938996</v>
      </c>
      <c r="S8918">
        <v>172</v>
      </c>
      <c r="T8918">
        <v>20</v>
      </c>
      <c r="U8918">
        <v>786.94904498308904</v>
      </c>
      <c r="V8918">
        <v>3.7509377344336001E-3</v>
      </c>
      <c r="W8918">
        <v>2451057.0480819098</v>
      </c>
      <c r="X8918" t="s">
        <v>33</v>
      </c>
      <c r="Y8918">
        <f>1-971-875-2702</f>
        <v>-4547</v>
      </c>
    </row>
    <row r="8919" spans="1:25" x14ac:dyDescent="0.35">
      <c r="A8919">
        <v>40.882625661949497</v>
      </c>
      <c r="B8919">
        <v>-122.029016629712</v>
      </c>
      <c r="C8919" t="s">
        <v>29</v>
      </c>
      <c r="D8919">
        <v>11.0832627287891</v>
      </c>
      <c r="E8919">
        <v>1</v>
      </c>
      <c r="F8919">
        <v>4818</v>
      </c>
      <c r="G8919">
        <v>5</v>
      </c>
      <c r="H8919">
        <v>1</v>
      </c>
      <c r="I8919">
        <v>1971</v>
      </c>
      <c r="J8919">
        <v>0</v>
      </c>
      <c r="K8919">
        <v>1</v>
      </c>
      <c r="L8919">
        <v>1</v>
      </c>
      <c r="M8919">
        <v>11</v>
      </c>
      <c r="N8919" t="s">
        <v>26</v>
      </c>
      <c r="O8919" t="s">
        <v>30</v>
      </c>
      <c r="P8919">
        <v>4.2480110694245896</v>
      </c>
      <c r="Q8919">
        <v>0.88750694621026005</v>
      </c>
      <c r="R8919">
        <v>1.9999717436931701</v>
      </c>
      <c r="S8919">
        <v>105</v>
      </c>
      <c r="T8919">
        <v>48</v>
      </c>
      <c r="U8919">
        <v>999.873669501927</v>
      </c>
      <c r="V8919">
        <v>2.2831050228310501E-3</v>
      </c>
      <c r="W8919">
        <v>5063174.3918237202</v>
      </c>
      <c r="X8919" t="s">
        <v>28</v>
      </c>
      <c r="Y8919">
        <f>1-498-142-4526</f>
        <v>-5165</v>
      </c>
    </row>
    <row r="8920" spans="1:25" x14ac:dyDescent="0.35">
      <c r="A8920">
        <v>35.620785453415401</v>
      </c>
      <c r="B8920">
        <v>-115.061102321902</v>
      </c>
      <c r="C8920" t="s">
        <v>29</v>
      </c>
      <c r="D8920">
        <v>17.636910950788899</v>
      </c>
      <c r="E8920">
        <v>1</v>
      </c>
      <c r="F8920">
        <v>1174</v>
      </c>
      <c r="G8920">
        <v>3</v>
      </c>
      <c r="H8920">
        <v>1</v>
      </c>
      <c r="I8920">
        <v>1963</v>
      </c>
      <c r="J8920">
        <v>1</v>
      </c>
      <c r="K8920">
        <v>0</v>
      </c>
      <c r="L8920">
        <v>1</v>
      </c>
      <c r="M8920">
        <v>10</v>
      </c>
      <c r="N8920" t="s">
        <v>35</v>
      </c>
      <c r="O8920" t="s">
        <v>30</v>
      </c>
      <c r="P8920">
        <v>3.3264268244604902</v>
      </c>
      <c r="Q8920">
        <v>1.55736474029739</v>
      </c>
      <c r="R8920">
        <v>3.32122872401533</v>
      </c>
      <c r="S8920">
        <v>122</v>
      </c>
      <c r="T8920">
        <v>51</v>
      </c>
      <c r="U8920">
        <v>922.25935760303196</v>
      </c>
      <c r="V8920">
        <v>8.5178875638841495E-3</v>
      </c>
      <c r="W8920">
        <v>1254908.3905776399</v>
      </c>
      <c r="X8920" t="s">
        <v>36</v>
      </c>
      <c r="Y8920">
        <f>1-661-117-6517</f>
        <v>-7294</v>
      </c>
    </row>
    <row r="8921" spans="1:25" x14ac:dyDescent="0.35">
      <c r="A8921">
        <v>32.595600155600501</v>
      </c>
      <c r="B8921">
        <v>-124.111090469411</v>
      </c>
      <c r="C8921" t="s">
        <v>25</v>
      </c>
      <c r="D8921">
        <v>5.5205030787035403</v>
      </c>
      <c r="E8921">
        <v>9</v>
      </c>
      <c r="F8921">
        <v>3423</v>
      </c>
      <c r="G8921">
        <v>1</v>
      </c>
      <c r="H8921">
        <v>3</v>
      </c>
      <c r="I8921">
        <v>1971</v>
      </c>
      <c r="J8921">
        <v>1</v>
      </c>
      <c r="K8921">
        <v>0</v>
      </c>
      <c r="L8921">
        <v>0</v>
      </c>
      <c r="M8921">
        <v>3</v>
      </c>
      <c r="N8921" t="s">
        <v>26</v>
      </c>
      <c r="O8921" t="s">
        <v>27</v>
      </c>
      <c r="P8921">
        <v>3.4171387419552599</v>
      </c>
      <c r="Q8921">
        <v>1.1606653135165399</v>
      </c>
      <c r="R8921">
        <v>0.89720769559967095</v>
      </c>
      <c r="S8921">
        <v>139</v>
      </c>
      <c r="T8921">
        <v>47</v>
      </c>
      <c r="U8921">
        <v>767.81183530504404</v>
      </c>
      <c r="V8921">
        <v>8.7642418930762404E-4</v>
      </c>
      <c r="W8921">
        <v>2759635.6883859299</v>
      </c>
      <c r="X8921" t="s">
        <v>44</v>
      </c>
      <c r="Y8921">
        <f>1-467-386-5203</f>
        <v>-6055</v>
      </c>
    </row>
    <row r="8922" spans="1:25" x14ac:dyDescent="0.35">
      <c r="A8922">
        <v>41.158351672149799</v>
      </c>
      <c r="B8922">
        <v>-121.122238217816</v>
      </c>
      <c r="C8922" t="s">
        <v>34</v>
      </c>
      <c r="D8922">
        <v>33.440963999348902</v>
      </c>
      <c r="E8922">
        <v>6</v>
      </c>
      <c r="F8922">
        <v>3448</v>
      </c>
      <c r="G8922">
        <v>2</v>
      </c>
      <c r="H8922">
        <v>1</v>
      </c>
      <c r="I8922">
        <v>1969</v>
      </c>
      <c r="J8922">
        <v>0</v>
      </c>
      <c r="K8922">
        <v>1</v>
      </c>
      <c r="L8922">
        <v>0</v>
      </c>
      <c r="M8922">
        <v>5</v>
      </c>
      <c r="N8922" t="s">
        <v>41</v>
      </c>
      <c r="O8922" t="s">
        <v>30</v>
      </c>
      <c r="P8922">
        <v>8.3100796878258105</v>
      </c>
      <c r="Q8922">
        <v>1.1968197131129199</v>
      </c>
      <c r="R8922">
        <v>5.1763840854982703</v>
      </c>
      <c r="S8922">
        <v>82</v>
      </c>
      <c r="T8922">
        <v>77</v>
      </c>
      <c r="U8922">
        <v>982.37026905872801</v>
      </c>
      <c r="V8922">
        <v>1.45011600928074E-3</v>
      </c>
      <c r="W8922">
        <v>3555482.6077212901</v>
      </c>
      <c r="X8922" t="s">
        <v>31</v>
      </c>
      <c r="Y8922">
        <f>1-420-344-8440</f>
        <v>-9203</v>
      </c>
    </row>
    <row r="8923" spans="1:25" x14ac:dyDescent="0.35">
      <c r="A8923">
        <v>38.0901394563314</v>
      </c>
      <c r="B8923">
        <v>-120.015588153797</v>
      </c>
      <c r="C8923" t="s">
        <v>29</v>
      </c>
      <c r="D8923">
        <v>9.01651029875595</v>
      </c>
      <c r="E8923">
        <v>3</v>
      </c>
      <c r="F8923">
        <v>2429</v>
      </c>
      <c r="G8923">
        <v>3</v>
      </c>
      <c r="H8923">
        <v>2</v>
      </c>
      <c r="I8923">
        <v>2003</v>
      </c>
      <c r="J8923">
        <v>0</v>
      </c>
      <c r="K8923">
        <v>0</v>
      </c>
      <c r="L8923">
        <v>1</v>
      </c>
      <c r="M8923">
        <v>8</v>
      </c>
      <c r="N8923" t="s">
        <v>41</v>
      </c>
      <c r="O8923" t="s">
        <v>30</v>
      </c>
      <c r="P8923">
        <v>4.4437982061675401</v>
      </c>
      <c r="Q8923">
        <v>1.3164592981351599</v>
      </c>
      <c r="R8923">
        <v>3.4153417280606</v>
      </c>
      <c r="S8923">
        <v>104</v>
      </c>
      <c r="T8923">
        <v>48</v>
      </c>
      <c r="U8923">
        <v>638.74260889033599</v>
      </c>
      <c r="V8923">
        <v>3.2935364347467999E-3</v>
      </c>
      <c r="W8923">
        <v>1749788.7113095201</v>
      </c>
      <c r="X8923" t="s">
        <v>28</v>
      </c>
      <c r="Y8923">
        <f>1-897-758-5998</f>
        <v>-7652</v>
      </c>
    </row>
    <row r="8924" spans="1:25" x14ac:dyDescent="0.35">
      <c r="A8924">
        <v>37.880981238161802</v>
      </c>
      <c r="B8924">
        <v>-114.805215078549</v>
      </c>
      <c r="C8924" t="s">
        <v>25</v>
      </c>
      <c r="D8924">
        <v>39.189617214817403</v>
      </c>
      <c r="E8924">
        <v>6</v>
      </c>
      <c r="F8924">
        <v>4814</v>
      </c>
      <c r="G8924">
        <v>3</v>
      </c>
      <c r="H8924">
        <v>2</v>
      </c>
      <c r="I8924">
        <v>1970</v>
      </c>
      <c r="J8924">
        <v>1</v>
      </c>
      <c r="K8924">
        <v>0</v>
      </c>
      <c r="L8924">
        <v>1</v>
      </c>
      <c r="M8924">
        <v>4</v>
      </c>
      <c r="N8924" t="s">
        <v>41</v>
      </c>
      <c r="O8924" t="s">
        <v>32</v>
      </c>
      <c r="P8924">
        <v>4.3395654094945</v>
      </c>
      <c r="Q8924">
        <v>1.33928814133193</v>
      </c>
      <c r="R8924">
        <v>7.2107655639242303</v>
      </c>
      <c r="S8924">
        <v>28</v>
      </c>
      <c r="T8924">
        <v>74</v>
      </c>
      <c r="U8924">
        <v>268.420838653327</v>
      </c>
      <c r="V8924">
        <v>8.3090984628167799E-4</v>
      </c>
      <c r="W8924">
        <v>1571327.8256477499</v>
      </c>
      <c r="X8924" t="s">
        <v>43</v>
      </c>
      <c r="Y8924">
        <f>1-926-197-9638</f>
        <v>-10760</v>
      </c>
    </row>
    <row r="8925" spans="1:25" x14ac:dyDescent="0.35">
      <c r="A8925">
        <v>34.872581286234897</v>
      </c>
      <c r="B8925">
        <v>-115.89531703632601</v>
      </c>
      <c r="C8925" t="s">
        <v>34</v>
      </c>
      <c r="D8925">
        <v>23.222102850909</v>
      </c>
      <c r="E8925">
        <v>9</v>
      </c>
      <c r="F8925">
        <v>1495</v>
      </c>
      <c r="G8925">
        <v>2</v>
      </c>
      <c r="H8925">
        <v>2</v>
      </c>
      <c r="I8925">
        <v>1979</v>
      </c>
      <c r="J8925">
        <v>0</v>
      </c>
      <c r="K8925">
        <v>1</v>
      </c>
      <c r="L8925">
        <v>0</v>
      </c>
      <c r="M8925">
        <v>5</v>
      </c>
      <c r="N8925" t="s">
        <v>41</v>
      </c>
      <c r="O8925" t="s">
        <v>30</v>
      </c>
      <c r="P8925">
        <v>2.7365088234752002</v>
      </c>
      <c r="Q8925">
        <v>1.8858281772521399</v>
      </c>
      <c r="R8925">
        <v>1.2605270014426</v>
      </c>
      <c r="S8925">
        <v>168</v>
      </c>
      <c r="T8925">
        <v>57</v>
      </c>
      <c r="U8925">
        <v>730.24474665626701</v>
      </c>
      <c r="V8925">
        <v>3.3444816053511701E-3</v>
      </c>
      <c r="W8925">
        <v>1342104.9822787801</v>
      </c>
      <c r="X8925" t="s">
        <v>28</v>
      </c>
      <c r="Y8925">
        <f>1-804-529-9758</f>
        <v>-11090</v>
      </c>
    </row>
    <row r="8926" spans="1:25" x14ac:dyDescent="0.35">
      <c r="A8926">
        <v>38.899517051027303</v>
      </c>
      <c r="B8926">
        <v>-120.44950634351601</v>
      </c>
      <c r="C8926" t="s">
        <v>34</v>
      </c>
      <c r="D8926">
        <v>1.7044945447328701</v>
      </c>
      <c r="E8926">
        <v>2</v>
      </c>
      <c r="F8926">
        <v>759</v>
      </c>
      <c r="G8926">
        <v>4</v>
      </c>
      <c r="H8926">
        <v>2</v>
      </c>
      <c r="I8926">
        <v>1965</v>
      </c>
      <c r="J8926">
        <v>0</v>
      </c>
      <c r="K8926">
        <v>0</v>
      </c>
      <c r="L8926">
        <v>1</v>
      </c>
      <c r="M8926">
        <v>9</v>
      </c>
      <c r="N8926" t="s">
        <v>35</v>
      </c>
      <c r="O8926" t="s">
        <v>30</v>
      </c>
      <c r="P8926">
        <v>6.6357871645747002</v>
      </c>
      <c r="Q8926">
        <v>1.5997336558470701</v>
      </c>
      <c r="R8926">
        <v>3.0920356657828498</v>
      </c>
      <c r="S8926">
        <v>77</v>
      </c>
      <c r="T8926">
        <v>48</v>
      </c>
      <c r="U8926">
        <v>452.963897055627</v>
      </c>
      <c r="V8926">
        <v>1.18577075098814E-2</v>
      </c>
      <c r="W8926">
        <v>568821.67916515702</v>
      </c>
      <c r="X8926" t="s">
        <v>36</v>
      </c>
      <c r="Y8926">
        <f>1-494-763-4291</f>
        <v>-5547</v>
      </c>
    </row>
    <row r="8927" spans="1:25" x14ac:dyDescent="0.35">
      <c r="A8927">
        <v>34.314479487508997</v>
      </c>
      <c r="B8927">
        <v>-116.25351133538901</v>
      </c>
      <c r="C8927" t="s">
        <v>25</v>
      </c>
      <c r="D8927">
        <v>13.204167078095701</v>
      </c>
      <c r="E8927">
        <v>0</v>
      </c>
      <c r="F8927">
        <v>4969</v>
      </c>
      <c r="G8927">
        <v>4</v>
      </c>
      <c r="H8927">
        <v>3</v>
      </c>
      <c r="I8927">
        <v>1964</v>
      </c>
      <c r="J8927">
        <v>1</v>
      </c>
      <c r="K8927">
        <v>1</v>
      </c>
      <c r="L8927">
        <v>1</v>
      </c>
      <c r="M8927">
        <v>5</v>
      </c>
      <c r="N8927" t="s">
        <v>41</v>
      </c>
      <c r="O8927" t="s">
        <v>27</v>
      </c>
      <c r="P8927">
        <v>4.5380768917470897</v>
      </c>
      <c r="Q8927">
        <v>0.58863348445822605</v>
      </c>
      <c r="R8927">
        <v>3.4714555307969599</v>
      </c>
      <c r="S8927">
        <v>130</v>
      </c>
      <c r="T8927">
        <v>61</v>
      </c>
      <c r="U8927">
        <v>500.30748885629998</v>
      </c>
      <c r="V8927">
        <v>1.00623867981485E-3</v>
      </c>
      <c r="W8927">
        <v>2855442.84952824</v>
      </c>
      <c r="X8927" t="s">
        <v>43</v>
      </c>
      <c r="Y8927">
        <f>1-631-665-9750</f>
        <v>-11045</v>
      </c>
    </row>
    <row r="8928" spans="1:25" x14ac:dyDescent="0.35">
      <c r="A8928">
        <v>37.023435401469698</v>
      </c>
      <c r="B8928">
        <v>-117.18913140518499</v>
      </c>
      <c r="C8928" t="s">
        <v>34</v>
      </c>
      <c r="D8928">
        <v>45.030015312520703</v>
      </c>
      <c r="E8928">
        <v>6</v>
      </c>
      <c r="F8928">
        <v>4313</v>
      </c>
      <c r="G8928">
        <v>3</v>
      </c>
      <c r="H8928">
        <v>3</v>
      </c>
      <c r="I8928">
        <v>1971</v>
      </c>
      <c r="J8928">
        <v>1</v>
      </c>
      <c r="K8928">
        <v>1</v>
      </c>
      <c r="L8928">
        <v>0</v>
      </c>
      <c r="M8928">
        <v>13</v>
      </c>
      <c r="N8928" t="s">
        <v>35</v>
      </c>
      <c r="O8928" t="s">
        <v>27</v>
      </c>
      <c r="P8928">
        <v>11.837854169944899</v>
      </c>
      <c r="Q8928">
        <v>1.0138793942400199</v>
      </c>
      <c r="R8928">
        <v>0.654356287724423</v>
      </c>
      <c r="S8928">
        <v>132</v>
      </c>
      <c r="T8928">
        <v>35</v>
      </c>
      <c r="U8928">
        <v>366.68752319918798</v>
      </c>
      <c r="V8928">
        <v>3.01414328773475E-3</v>
      </c>
      <c r="W8928">
        <v>1947640.8614430199</v>
      </c>
      <c r="X8928" t="s">
        <v>28</v>
      </c>
      <c r="Y8928">
        <f>1-546-439-3713</f>
        <v>-4697</v>
      </c>
    </row>
    <row r="8929" spans="1:25" x14ac:dyDescent="0.35">
      <c r="A8929">
        <v>33.671381614337001</v>
      </c>
      <c r="B8929">
        <v>-124.393015157411</v>
      </c>
      <c r="C8929" t="s">
        <v>29</v>
      </c>
      <c r="D8929">
        <v>14.2327860327311</v>
      </c>
      <c r="E8929">
        <v>5</v>
      </c>
      <c r="F8929">
        <v>4767</v>
      </c>
      <c r="G8929">
        <v>4</v>
      </c>
      <c r="H8929">
        <v>1</v>
      </c>
      <c r="I8929">
        <v>2004</v>
      </c>
      <c r="J8929">
        <v>0</v>
      </c>
      <c r="K8929">
        <v>0</v>
      </c>
      <c r="L8929">
        <v>1</v>
      </c>
      <c r="M8929">
        <v>3</v>
      </c>
      <c r="N8929" t="s">
        <v>26</v>
      </c>
      <c r="O8929" t="s">
        <v>27</v>
      </c>
      <c r="P8929">
        <v>11.3263794678221</v>
      </c>
      <c r="Q8929">
        <v>2.4074980762000999</v>
      </c>
      <c r="R8929">
        <v>6.4155759869483102</v>
      </c>
      <c r="S8929">
        <v>179</v>
      </c>
      <c r="T8929">
        <v>61</v>
      </c>
      <c r="U8929">
        <v>529.04366875800304</v>
      </c>
      <c r="V8929">
        <v>6.29326620516047E-4</v>
      </c>
      <c r="W8929">
        <v>2754756.6376432301</v>
      </c>
      <c r="X8929" t="s">
        <v>33</v>
      </c>
      <c r="Y8929">
        <f>1-473-812-5009</f>
        <v>-6293</v>
      </c>
    </row>
    <row r="8930" spans="1:25" x14ac:dyDescent="0.35">
      <c r="A8930">
        <v>39.798938215039101</v>
      </c>
      <c r="B8930">
        <v>-122.589074294993</v>
      </c>
      <c r="C8930" t="s">
        <v>25</v>
      </c>
      <c r="D8930">
        <v>9.5252111590024704</v>
      </c>
      <c r="E8930">
        <v>7</v>
      </c>
      <c r="F8930">
        <v>2214</v>
      </c>
      <c r="G8930">
        <v>3</v>
      </c>
      <c r="H8930">
        <v>1</v>
      </c>
      <c r="I8930">
        <v>1997</v>
      </c>
      <c r="J8930">
        <v>0</v>
      </c>
      <c r="K8930">
        <v>0</v>
      </c>
      <c r="L8930">
        <v>1</v>
      </c>
      <c r="M8930">
        <v>5</v>
      </c>
      <c r="N8930" t="s">
        <v>35</v>
      </c>
      <c r="O8930" t="s">
        <v>27</v>
      </c>
      <c r="P8930">
        <v>7.0683402752472402</v>
      </c>
      <c r="Q8930">
        <v>1.3529881552624901</v>
      </c>
      <c r="R8930">
        <v>1.29136504330681</v>
      </c>
      <c r="S8930">
        <v>115</v>
      </c>
      <c r="T8930">
        <v>66</v>
      </c>
      <c r="U8930">
        <v>861.42326164875305</v>
      </c>
      <c r="V8930">
        <v>2.2583559168924999E-3</v>
      </c>
      <c r="W8930">
        <v>2155912.01119554</v>
      </c>
      <c r="X8930" t="s">
        <v>39</v>
      </c>
      <c r="Y8930">
        <f>1-608-427-6445</f>
        <v>-7479</v>
      </c>
    </row>
    <row r="8931" spans="1:25" x14ac:dyDescent="0.35">
      <c r="A8931">
        <v>34.859484178299802</v>
      </c>
      <c r="B8931">
        <v>-117.982078513177</v>
      </c>
      <c r="C8931" t="s">
        <v>34</v>
      </c>
      <c r="D8931">
        <v>49.561462162413797</v>
      </c>
      <c r="E8931">
        <v>7</v>
      </c>
      <c r="F8931">
        <v>814</v>
      </c>
      <c r="G8931">
        <v>4</v>
      </c>
      <c r="H8931">
        <v>2</v>
      </c>
      <c r="I8931">
        <v>1984</v>
      </c>
      <c r="J8931">
        <v>1</v>
      </c>
      <c r="K8931">
        <v>1</v>
      </c>
      <c r="L8931">
        <v>1</v>
      </c>
      <c r="M8931">
        <v>12</v>
      </c>
      <c r="N8931" t="s">
        <v>35</v>
      </c>
      <c r="O8931" t="s">
        <v>27</v>
      </c>
      <c r="P8931">
        <v>6.4851985583237504</v>
      </c>
      <c r="Q8931">
        <v>1.4126608041793001</v>
      </c>
      <c r="R8931">
        <v>9.0119823290065408</v>
      </c>
      <c r="S8931">
        <v>195</v>
      </c>
      <c r="T8931">
        <v>28</v>
      </c>
      <c r="U8931">
        <v>479.84321268025099</v>
      </c>
      <c r="V8931">
        <v>1.4742014742014699E-2</v>
      </c>
      <c r="W8931">
        <v>825471.753579012</v>
      </c>
      <c r="X8931" t="s">
        <v>40</v>
      </c>
      <c r="Y8931">
        <f>1-316-594-7950</f>
        <v>-8859</v>
      </c>
    </row>
    <row r="8932" spans="1:25" x14ac:dyDescent="0.35">
      <c r="A8932">
        <v>34.664771274289699</v>
      </c>
      <c r="B8932">
        <v>-118.14820038212</v>
      </c>
      <c r="C8932" t="s">
        <v>34</v>
      </c>
      <c r="D8932">
        <v>46.347701127374997</v>
      </c>
      <c r="E8932">
        <v>5</v>
      </c>
      <c r="F8932">
        <v>3587</v>
      </c>
      <c r="G8932">
        <v>4</v>
      </c>
      <c r="H8932">
        <v>2</v>
      </c>
      <c r="I8932">
        <v>1977</v>
      </c>
      <c r="J8932">
        <v>0</v>
      </c>
      <c r="K8932">
        <v>1</v>
      </c>
      <c r="L8932">
        <v>0</v>
      </c>
      <c r="M8932">
        <v>7</v>
      </c>
      <c r="N8932" t="s">
        <v>41</v>
      </c>
      <c r="O8932" t="s">
        <v>27</v>
      </c>
      <c r="P8932">
        <v>3.1086780254146702</v>
      </c>
      <c r="Q8932">
        <v>1.3296401137595599</v>
      </c>
      <c r="R8932">
        <v>8.3320924421454201</v>
      </c>
      <c r="S8932">
        <v>133</v>
      </c>
      <c r="T8932">
        <v>30</v>
      </c>
      <c r="U8932">
        <v>248.54050676435699</v>
      </c>
      <c r="V8932">
        <v>1.95149149707276E-3</v>
      </c>
      <c r="W8932">
        <v>1158211.1731521899</v>
      </c>
      <c r="X8932" t="s">
        <v>39</v>
      </c>
      <c r="Y8932">
        <f>1-733-633-8973</f>
        <v>-10338</v>
      </c>
    </row>
    <row r="8933" spans="1:25" x14ac:dyDescent="0.35">
      <c r="A8933">
        <v>36.249487093383102</v>
      </c>
      <c r="B8933">
        <v>-124.47726270268301</v>
      </c>
      <c r="C8933" t="s">
        <v>25</v>
      </c>
      <c r="D8933">
        <v>44.149851058236202</v>
      </c>
      <c r="E8933">
        <v>2</v>
      </c>
      <c r="F8933">
        <v>4459</v>
      </c>
      <c r="G8933">
        <v>1</v>
      </c>
      <c r="H8933">
        <v>2</v>
      </c>
      <c r="I8933">
        <v>2015</v>
      </c>
      <c r="J8933">
        <v>0</v>
      </c>
      <c r="K8933">
        <v>0</v>
      </c>
      <c r="L8933">
        <v>0</v>
      </c>
      <c r="M8933">
        <v>6</v>
      </c>
      <c r="N8933" t="s">
        <v>41</v>
      </c>
      <c r="O8933" t="s">
        <v>30</v>
      </c>
      <c r="P8933">
        <v>9.01276144819386</v>
      </c>
      <c r="Q8933">
        <v>2.29366612155001</v>
      </c>
      <c r="R8933">
        <v>5.6240665500234002</v>
      </c>
      <c r="S8933">
        <v>75</v>
      </c>
      <c r="T8933">
        <v>25</v>
      </c>
      <c r="U8933">
        <v>817.44087262616597</v>
      </c>
      <c r="V8933">
        <v>1.34559318232787E-3</v>
      </c>
      <c r="W8933">
        <v>3873576.2411333499</v>
      </c>
      <c r="X8933" t="s">
        <v>33</v>
      </c>
      <c r="Y8933">
        <f>1-668-272-1290</f>
        <v>-2229</v>
      </c>
    </row>
    <row r="8934" spans="1:25" x14ac:dyDescent="0.35">
      <c r="A8934">
        <v>39.687224638753797</v>
      </c>
      <c r="B8934">
        <v>-118.445969112513</v>
      </c>
      <c r="C8934" t="s">
        <v>34</v>
      </c>
      <c r="D8934">
        <v>18.834664955529099</v>
      </c>
      <c r="E8934">
        <v>4</v>
      </c>
      <c r="F8934">
        <v>3195</v>
      </c>
      <c r="G8934">
        <v>2</v>
      </c>
      <c r="H8934">
        <v>3</v>
      </c>
      <c r="I8934">
        <v>1981</v>
      </c>
      <c r="J8934">
        <v>1</v>
      </c>
      <c r="K8934">
        <v>0</v>
      </c>
      <c r="L8934">
        <v>0</v>
      </c>
      <c r="M8934">
        <v>6</v>
      </c>
      <c r="N8934" t="s">
        <v>41</v>
      </c>
      <c r="O8934" t="s">
        <v>30</v>
      </c>
      <c r="P8934">
        <v>9.7344519850095192</v>
      </c>
      <c r="Q8934">
        <v>1.85239467193694</v>
      </c>
      <c r="R8934">
        <v>7.0727520177233902</v>
      </c>
      <c r="S8934">
        <v>16</v>
      </c>
      <c r="T8934">
        <v>50</v>
      </c>
      <c r="U8934">
        <v>340.01760573053298</v>
      </c>
      <c r="V8934">
        <v>1.8779342723004599E-3</v>
      </c>
      <c r="W8934">
        <v>1346948.5847125601</v>
      </c>
      <c r="X8934" t="s">
        <v>44</v>
      </c>
      <c r="Y8934">
        <f>1-401-979-9837</f>
        <v>-11216</v>
      </c>
    </row>
    <row r="8935" spans="1:25" x14ac:dyDescent="0.35">
      <c r="A8935">
        <v>33.792486908659399</v>
      </c>
      <c r="B8935">
        <v>-122.106984902186</v>
      </c>
      <c r="C8935" t="s">
        <v>29</v>
      </c>
      <c r="D8935">
        <v>19.525641925903301</v>
      </c>
      <c r="E8935">
        <v>1</v>
      </c>
      <c r="F8935">
        <v>2851</v>
      </c>
      <c r="G8935">
        <v>4</v>
      </c>
      <c r="H8935">
        <v>1</v>
      </c>
      <c r="I8935">
        <v>1983</v>
      </c>
      <c r="J8935">
        <v>0</v>
      </c>
      <c r="K8935">
        <v>1</v>
      </c>
      <c r="L8935">
        <v>1</v>
      </c>
      <c r="M8935">
        <v>6</v>
      </c>
      <c r="N8935" t="s">
        <v>26</v>
      </c>
      <c r="O8935" t="s">
        <v>30</v>
      </c>
      <c r="P8935">
        <v>11.799063497605999</v>
      </c>
      <c r="Q8935">
        <v>1.5930780887354701</v>
      </c>
      <c r="R8935">
        <v>5.71200987542462</v>
      </c>
      <c r="S8935">
        <v>188</v>
      </c>
      <c r="T8935">
        <v>65</v>
      </c>
      <c r="U8935">
        <v>736.72060074160004</v>
      </c>
      <c r="V8935">
        <v>2.10452472816555E-3</v>
      </c>
      <c r="W8935">
        <v>2443631.3345167302</v>
      </c>
      <c r="X8935" t="s">
        <v>31</v>
      </c>
      <c r="Y8935">
        <f>1-596-740-6996</f>
        <v>-8331</v>
      </c>
    </row>
    <row r="8936" spans="1:25" x14ac:dyDescent="0.35">
      <c r="A8936">
        <v>40.897124314974199</v>
      </c>
      <c r="B8936">
        <v>-123.958082148868</v>
      </c>
      <c r="C8936" t="s">
        <v>25</v>
      </c>
      <c r="D8936">
        <v>13.444703073068</v>
      </c>
      <c r="E8936">
        <v>3</v>
      </c>
      <c r="F8936">
        <v>3279</v>
      </c>
      <c r="G8936">
        <v>2</v>
      </c>
      <c r="H8936">
        <v>1</v>
      </c>
      <c r="I8936">
        <v>1950</v>
      </c>
      <c r="J8936">
        <v>0</v>
      </c>
      <c r="K8936">
        <v>1</v>
      </c>
      <c r="L8936">
        <v>1</v>
      </c>
      <c r="M8936">
        <v>11</v>
      </c>
      <c r="N8936" t="s">
        <v>41</v>
      </c>
      <c r="O8936" t="s">
        <v>30</v>
      </c>
      <c r="P8936">
        <v>9.5395441513106807</v>
      </c>
      <c r="Q8936">
        <v>0.98341167954185205</v>
      </c>
      <c r="R8936">
        <v>2.0082586234466002</v>
      </c>
      <c r="S8936">
        <v>58</v>
      </c>
      <c r="T8936">
        <v>39</v>
      </c>
      <c r="U8936">
        <v>453.441699833759</v>
      </c>
      <c r="V8936">
        <v>3.3546813052759898E-3</v>
      </c>
      <c r="W8936">
        <v>1635496.8892771001</v>
      </c>
      <c r="X8936" t="s">
        <v>40</v>
      </c>
      <c r="Y8936">
        <f>1-704-703-2897</f>
        <v>-4303</v>
      </c>
    </row>
    <row r="8937" spans="1:25" x14ac:dyDescent="0.35">
      <c r="A8937">
        <v>38.6270627531541</v>
      </c>
      <c r="B8937">
        <v>-121.72911179067501</v>
      </c>
      <c r="C8937" t="s">
        <v>34</v>
      </c>
      <c r="D8937">
        <v>45.158326426721203</v>
      </c>
      <c r="E8937">
        <v>1</v>
      </c>
      <c r="F8937">
        <v>1711</v>
      </c>
      <c r="G8937">
        <v>5</v>
      </c>
      <c r="H8937">
        <v>1</v>
      </c>
      <c r="I8937">
        <v>1968</v>
      </c>
      <c r="J8937">
        <v>1</v>
      </c>
      <c r="K8937">
        <v>1</v>
      </c>
      <c r="L8937">
        <v>0</v>
      </c>
      <c r="M8937">
        <v>6</v>
      </c>
      <c r="N8937" t="s">
        <v>35</v>
      </c>
      <c r="O8937" t="s">
        <v>27</v>
      </c>
      <c r="P8937">
        <v>3.52595122774335</v>
      </c>
      <c r="Q8937">
        <v>0.51869463969693197</v>
      </c>
      <c r="R8937">
        <v>1.9298456968229001</v>
      </c>
      <c r="S8937">
        <v>49</v>
      </c>
      <c r="T8937">
        <v>69</v>
      </c>
      <c r="U8937">
        <v>208.95749308156701</v>
      </c>
      <c r="V8937">
        <v>3.50672121566335E-3</v>
      </c>
      <c r="W8937">
        <v>666941.65275968297</v>
      </c>
      <c r="X8937" t="s">
        <v>42</v>
      </c>
      <c r="Y8937">
        <f>1-379-486-9633</f>
        <v>-10497</v>
      </c>
    </row>
    <row r="8938" spans="1:25" x14ac:dyDescent="0.35">
      <c r="A8938">
        <v>39.291700890396797</v>
      </c>
      <c r="B8938">
        <v>-114.968103115229</v>
      </c>
      <c r="C8938" t="s">
        <v>29</v>
      </c>
      <c r="D8938">
        <v>30.1590469467065</v>
      </c>
      <c r="E8938">
        <v>8</v>
      </c>
      <c r="F8938">
        <v>3945</v>
      </c>
      <c r="G8938">
        <v>5</v>
      </c>
      <c r="H8938">
        <v>2</v>
      </c>
      <c r="I8938">
        <v>1977</v>
      </c>
      <c r="J8938">
        <v>1</v>
      </c>
      <c r="K8938">
        <v>0</v>
      </c>
      <c r="L8938">
        <v>1</v>
      </c>
      <c r="M8938">
        <v>14</v>
      </c>
      <c r="N8938" t="s">
        <v>35</v>
      </c>
      <c r="O8938" t="s">
        <v>32</v>
      </c>
      <c r="P8938">
        <v>14.070189091208199</v>
      </c>
      <c r="Q8938">
        <v>2.0825216815435299</v>
      </c>
      <c r="R8938">
        <v>0.47102256274571402</v>
      </c>
      <c r="S8938">
        <v>2</v>
      </c>
      <c r="T8938">
        <v>24</v>
      </c>
      <c r="U8938">
        <v>789.08297960883704</v>
      </c>
      <c r="V8938">
        <v>3.5487959442331999E-3</v>
      </c>
      <c r="W8938">
        <v>3655319.3281226298</v>
      </c>
      <c r="X8938" t="s">
        <v>38</v>
      </c>
      <c r="Y8938">
        <f>1-501-275-7215</f>
        <v>-7990</v>
      </c>
    </row>
    <row r="8939" spans="1:25" x14ac:dyDescent="0.35">
      <c r="A8939">
        <v>41.665047283041702</v>
      </c>
      <c r="B8939">
        <v>-114.42277786990699</v>
      </c>
      <c r="C8939" t="s">
        <v>29</v>
      </c>
      <c r="D8939">
        <v>3.0680904448267698</v>
      </c>
      <c r="E8939">
        <v>4</v>
      </c>
      <c r="F8939">
        <v>1989</v>
      </c>
      <c r="G8939">
        <v>3</v>
      </c>
      <c r="H8939">
        <v>2</v>
      </c>
      <c r="I8939">
        <v>1996</v>
      </c>
      <c r="J8939">
        <v>0</v>
      </c>
      <c r="K8939">
        <v>1</v>
      </c>
      <c r="L8939">
        <v>1</v>
      </c>
      <c r="M8939">
        <v>14</v>
      </c>
      <c r="N8939" t="s">
        <v>37</v>
      </c>
      <c r="O8939" t="s">
        <v>32</v>
      </c>
      <c r="P8939">
        <v>3.7151316407066601</v>
      </c>
      <c r="Q8939">
        <v>2.4054062498836899</v>
      </c>
      <c r="R8939">
        <v>4.4812117753232803</v>
      </c>
      <c r="S8939">
        <v>41</v>
      </c>
      <c r="T8939">
        <v>50</v>
      </c>
      <c r="U8939">
        <v>972.44525221737194</v>
      </c>
      <c r="V8939">
        <v>7.0387129210658598E-3</v>
      </c>
      <c r="W8939">
        <v>2315082.0784678902</v>
      </c>
      <c r="X8939" t="s">
        <v>36</v>
      </c>
      <c r="Y8939">
        <f>1-219-525-7501</f>
        <v>-8244</v>
      </c>
    </row>
    <row r="8940" spans="1:25" x14ac:dyDescent="0.35">
      <c r="A8940">
        <v>36.191065501049202</v>
      </c>
      <c r="B8940">
        <v>-118.54990707226101</v>
      </c>
      <c r="C8940" t="s">
        <v>25</v>
      </c>
      <c r="D8940">
        <v>44.279654510535302</v>
      </c>
      <c r="E8940">
        <v>4</v>
      </c>
      <c r="F8940">
        <v>721</v>
      </c>
      <c r="G8940">
        <v>5</v>
      </c>
      <c r="H8940">
        <v>2</v>
      </c>
      <c r="I8940">
        <v>1975</v>
      </c>
      <c r="J8940">
        <v>1</v>
      </c>
      <c r="K8940">
        <v>1</v>
      </c>
      <c r="L8940">
        <v>1</v>
      </c>
      <c r="M8940">
        <v>11</v>
      </c>
      <c r="N8940" t="s">
        <v>37</v>
      </c>
      <c r="O8940" t="s">
        <v>27</v>
      </c>
      <c r="P8940">
        <v>12.621561114104299</v>
      </c>
      <c r="Q8940">
        <v>2.4685544990720798</v>
      </c>
      <c r="R8940">
        <v>5.2836347684814801E-2</v>
      </c>
      <c r="S8940">
        <v>91</v>
      </c>
      <c r="T8940">
        <v>28</v>
      </c>
      <c r="U8940">
        <v>383.23513082107598</v>
      </c>
      <c r="V8940">
        <v>1.5256588072122001E-2</v>
      </c>
      <c r="W8940">
        <v>801612.56105933199</v>
      </c>
      <c r="X8940" t="s">
        <v>33</v>
      </c>
      <c r="Y8940">
        <f>1-252-226-3761</f>
        <v>-4238</v>
      </c>
    </row>
    <row r="8941" spans="1:25" x14ac:dyDescent="0.35">
      <c r="A8941">
        <v>32.870332882973798</v>
      </c>
      <c r="B8941">
        <v>-115.085057991867</v>
      </c>
      <c r="C8941" t="s">
        <v>29</v>
      </c>
      <c r="D8941">
        <v>12.346611748513199</v>
      </c>
      <c r="E8941">
        <v>5</v>
      </c>
      <c r="F8941">
        <v>1128</v>
      </c>
      <c r="G8941">
        <v>1</v>
      </c>
      <c r="H8941">
        <v>3</v>
      </c>
      <c r="I8941">
        <v>1982</v>
      </c>
      <c r="J8941">
        <v>1</v>
      </c>
      <c r="K8941">
        <v>1</v>
      </c>
      <c r="L8941">
        <v>1</v>
      </c>
      <c r="M8941">
        <v>4</v>
      </c>
      <c r="N8941" t="s">
        <v>26</v>
      </c>
      <c r="O8941" t="s">
        <v>30</v>
      </c>
      <c r="P8941">
        <v>12.704180055997</v>
      </c>
      <c r="Q8941">
        <v>0.827962758330824</v>
      </c>
      <c r="R8941">
        <v>9.9799294689815099</v>
      </c>
      <c r="S8941">
        <v>51</v>
      </c>
      <c r="T8941">
        <v>20</v>
      </c>
      <c r="U8941">
        <v>538.11584608625105</v>
      </c>
      <c r="V8941">
        <v>3.54609929078014E-3</v>
      </c>
      <c r="W8941">
        <v>909259.21567699895</v>
      </c>
      <c r="X8941" t="s">
        <v>43</v>
      </c>
      <c r="Y8941">
        <f>1-503-979-1888</f>
        <v>-3369</v>
      </c>
    </row>
    <row r="8942" spans="1:25" x14ac:dyDescent="0.35">
      <c r="A8942">
        <v>38.0801060394082</v>
      </c>
      <c r="B8942">
        <v>-123.268499766239</v>
      </c>
      <c r="C8942" t="s">
        <v>34</v>
      </c>
      <c r="D8942">
        <v>2.3519827775364801</v>
      </c>
      <c r="E8942">
        <v>2</v>
      </c>
      <c r="F8942">
        <v>2899</v>
      </c>
      <c r="G8942">
        <v>1</v>
      </c>
      <c r="H8942">
        <v>2</v>
      </c>
      <c r="I8942">
        <v>1967</v>
      </c>
      <c r="J8942">
        <v>1</v>
      </c>
      <c r="K8942">
        <v>1</v>
      </c>
      <c r="L8942">
        <v>1</v>
      </c>
      <c r="M8942">
        <v>4</v>
      </c>
      <c r="N8942" t="s">
        <v>41</v>
      </c>
      <c r="O8942" t="s">
        <v>30</v>
      </c>
      <c r="P8942">
        <v>13.980681535662599</v>
      </c>
      <c r="Q8942">
        <v>2.3513634078399299</v>
      </c>
      <c r="R8942">
        <v>2.8957313786993901</v>
      </c>
      <c r="S8942">
        <v>33</v>
      </c>
      <c r="T8942">
        <v>76</v>
      </c>
      <c r="U8942">
        <v>240.73759785129201</v>
      </c>
      <c r="V8942">
        <v>1.3797861331493601E-3</v>
      </c>
      <c r="W8942">
        <v>1013662.60628763</v>
      </c>
      <c r="X8942" t="s">
        <v>28</v>
      </c>
      <c r="Y8942">
        <f>1-625-325-8364</f>
        <v>-9313</v>
      </c>
    </row>
    <row r="8943" spans="1:25" x14ac:dyDescent="0.35">
      <c r="A8943">
        <v>41.563238665377298</v>
      </c>
      <c r="B8943">
        <v>-123.745097879841</v>
      </c>
      <c r="C8943" t="s">
        <v>25</v>
      </c>
      <c r="D8943">
        <v>39.565375865535202</v>
      </c>
      <c r="E8943">
        <v>0</v>
      </c>
      <c r="F8943">
        <v>555</v>
      </c>
      <c r="G8943">
        <v>1</v>
      </c>
      <c r="H8943">
        <v>3</v>
      </c>
      <c r="I8943">
        <v>1981</v>
      </c>
      <c r="J8943">
        <v>0</v>
      </c>
      <c r="K8943">
        <v>1</v>
      </c>
      <c r="L8943">
        <v>1</v>
      </c>
      <c r="M8943">
        <v>7</v>
      </c>
      <c r="N8943" t="s">
        <v>26</v>
      </c>
      <c r="O8943" t="s">
        <v>30</v>
      </c>
      <c r="P8943">
        <v>13.463893907648901</v>
      </c>
      <c r="Q8943">
        <v>1.8206768600812899</v>
      </c>
      <c r="R8943">
        <v>9.1913165822728509</v>
      </c>
      <c r="S8943">
        <v>195</v>
      </c>
      <c r="T8943">
        <v>48</v>
      </c>
      <c r="U8943">
        <v>307.37826799571798</v>
      </c>
      <c r="V8943">
        <v>1.26126126126126E-2</v>
      </c>
      <c r="W8943">
        <v>476098.83895294298</v>
      </c>
      <c r="X8943" t="s">
        <v>43</v>
      </c>
      <c r="Y8943">
        <f>1-463-870-9060</f>
        <v>-10392</v>
      </c>
    </row>
    <row r="8944" spans="1:25" x14ac:dyDescent="0.35">
      <c r="A8944">
        <v>35.544983832202703</v>
      </c>
      <c r="B8944">
        <v>-117.56931666337699</v>
      </c>
      <c r="C8944" t="s">
        <v>25</v>
      </c>
      <c r="D8944">
        <v>34.685986478699803</v>
      </c>
      <c r="E8944">
        <v>9</v>
      </c>
      <c r="F8944">
        <v>3146</v>
      </c>
      <c r="G8944">
        <v>3</v>
      </c>
      <c r="H8944">
        <v>3</v>
      </c>
      <c r="I8944">
        <v>2006</v>
      </c>
      <c r="J8944">
        <v>0</v>
      </c>
      <c r="K8944">
        <v>1</v>
      </c>
      <c r="L8944">
        <v>0</v>
      </c>
      <c r="M8944">
        <v>4</v>
      </c>
      <c r="N8944" t="s">
        <v>37</v>
      </c>
      <c r="O8944" t="s">
        <v>32</v>
      </c>
      <c r="P8944">
        <v>13.5355705766829</v>
      </c>
      <c r="Q8944">
        <v>2.4888802819623899</v>
      </c>
      <c r="R8944">
        <v>4.9445926101384101</v>
      </c>
      <c r="S8944">
        <v>24</v>
      </c>
      <c r="T8944">
        <v>48</v>
      </c>
      <c r="U8944">
        <v>398.93306377149099</v>
      </c>
      <c r="V8944">
        <v>1.27145581691036E-3</v>
      </c>
      <c r="W8944">
        <v>1668801.1278087399</v>
      </c>
      <c r="X8944" t="s">
        <v>38</v>
      </c>
      <c r="Y8944">
        <f>1-924-246-1785</f>
        <v>-2954</v>
      </c>
    </row>
    <row r="8945" spans="1:25" x14ac:dyDescent="0.35">
      <c r="A8945">
        <v>34.666699822268598</v>
      </c>
      <c r="B8945">
        <v>-118.486470983836</v>
      </c>
      <c r="C8945" t="s">
        <v>25</v>
      </c>
      <c r="D8945">
        <v>16.254199966218099</v>
      </c>
      <c r="E8945">
        <v>0</v>
      </c>
      <c r="F8945">
        <v>4625</v>
      </c>
      <c r="G8945">
        <v>4</v>
      </c>
      <c r="H8945">
        <v>2</v>
      </c>
      <c r="I8945">
        <v>2013</v>
      </c>
      <c r="J8945">
        <v>1</v>
      </c>
      <c r="K8945">
        <v>1</v>
      </c>
      <c r="L8945">
        <v>1</v>
      </c>
      <c r="M8945">
        <v>13</v>
      </c>
      <c r="N8945" t="s">
        <v>26</v>
      </c>
      <c r="O8945" t="s">
        <v>32</v>
      </c>
      <c r="P8945">
        <v>5.0230142263316697</v>
      </c>
      <c r="Q8945">
        <v>2.0861601448510698</v>
      </c>
      <c r="R8945">
        <v>3.9157581302904498</v>
      </c>
      <c r="S8945">
        <v>160</v>
      </c>
      <c r="T8945">
        <v>72</v>
      </c>
      <c r="U8945">
        <v>223.38681636747501</v>
      </c>
      <c r="V8945">
        <v>2.8108108108108099E-3</v>
      </c>
      <c r="W8945">
        <v>1477341.45345148</v>
      </c>
      <c r="X8945" t="s">
        <v>40</v>
      </c>
      <c r="Y8945">
        <f>1-208-829-9881</f>
        <v>-10917</v>
      </c>
    </row>
    <row r="8946" spans="1:25" x14ac:dyDescent="0.35">
      <c r="A8946">
        <v>39.691563628684897</v>
      </c>
      <c r="B8946">
        <v>-114.045599902832</v>
      </c>
      <c r="C8946" t="s">
        <v>34</v>
      </c>
      <c r="D8946">
        <v>18.395412246717299</v>
      </c>
      <c r="E8946">
        <v>7</v>
      </c>
      <c r="F8946">
        <v>2880</v>
      </c>
      <c r="G8946">
        <v>1</v>
      </c>
      <c r="H8946">
        <v>1</v>
      </c>
      <c r="I8946">
        <v>1963</v>
      </c>
      <c r="J8946">
        <v>0</v>
      </c>
      <c r="K8946">
        <v>0</v>
      </c>
      <c r="L8946">
        <v>0</v>
      </c>
      <c r="M8946">
        <v>4</v>
      </c>
      <c r="N8946" t="s">
        <v>26</v>
      </c>
      <c r="O8946" t="s">
        <v>32</v>
      </c>
      <c r="P8946">
        <v>7.8097986494430396</v>
      </c>
      <c r="Q8946">
        <v>1.7500899842931199</v>
      </c>
      <c r="R8946">
        <v>8.8156189395930191</v>
      </c>
      <c r="S8946">
        <v>73</v>
      </c>
      <c r="T8946">
        <v>57</v>
      </c>
      <c r="U8946">
        <v>374.089797350872</v>
      </c>
      <c r="V8946">
        <v>1.3888888888888801E-3</v>
      </c>
      <c r="W8946">
        <v>1069669.7202759299</v>
      </c>
      <c r="X8946" t="s">
        <v>42</v>
      </c>
      <c r="Y8946">
        <f>1-654-541-8318</f>
        <v>-9512</v>
      </c>
    </row>
    <row r="8947" spans="1:25" x14ac:dyDescent="0.35">
      <c r="A8947">
        <v>35.402962859157398</v>
      </c>
      <c r="B8947">
        <v>-114.834502301797</v>
      </c>
      <c r="C8947" t="s">
        <v>25</v>
      </c>
      <c r="D8947">
        <v>23.256108911745098</v>
      </c>
      <c r="E8947">
        <v>0</v>
      </c>
      <c r="F8947">
        <v>4634</v>
      </c>
      <c r="G8947">
        <v>2</v>
      </c>
      <c r="H8947">
        <v>3</v>
      </c>
      <c r="I8947">
        <v>1987</v>
      </c>
      <c r="J8947">
        <v>0</v>
      </c>
      <c r="K8947">
        <v>0</v>
      </c>
      <c r="L8947">
        <v>0</v>
      </c>
      <c r="M8947">
        <v>5</v>
      </c>
      <c r="N8947" t="s">
        <v>37</v>
      </c>
      <c r="O8947" t="s">
        <v>30</v>
      </c>
      <c r="P8947">
        <v>2.5167928377078201</v>
      </c>
      <c r="Q8947">
        <v>2.1189079724359599</v>
      </c>
      <c r="R8947">
        <v>9.7012045433918104</v>
      </c>
      <c r="S8947">
        <v>114</v>
      </c>
      <c r="T8947">
        <v>58</v>
      </c>
      <c r="U8947">
        <v>811.49590301402804</v>
      </c>
      <c r="V8947">
        <v>1.0789814415192E-3</v>
      </c>
      <c r="W8947">
        <v>3744527.4388176501</v>
      </c>
      <c r="X8947" t="s">
        <v>40</v>
      </c>
      <c r="Y8947">
        <f>1-399-338-5317</f>
        <v>-6053</v>
      </c>
    </row>
    <row r="8948" spans="1:25" x14ac:dyDescent="0.35">
      <c r="A8948">
        <v>37.115718625212303</v>
      </c>
      <c r="B8948">
        <v>-123.650869219771</v>
      </c>
      <c r="C8948" t="s">
        <v>34</v>
      </c>
      <c r="D8948">
        <v>25.528549991953899</v>
      </c>
      <c r="E8948">
        <v>2</v>
      </c>
      <c r="F8948">
        <v>2613</v>
      </c>
      <c r="G8948">
        <v>1</v>
      </c>
      <c r="H8948">
        <v>1</v>
      </c>
      <c r="I8948">
        <v>1995</v>
      </c>
      <c r="J8948">
        <v>1</v>
      </c>
      <c r="K8948">
        <v>0</v>
      </c>
      <c r="L8948">
        <v>0</v>
      </c>
      <c r="M8948">
        <v>10</v>
      </c>
      <c r="N8948" t="s">
        <v>35</v>
      </c>
      <c r="O8948" t="s">
        <v>32</v>
      </c>
      <c r="P8948">
        <v>11.901646905817801</v>
      </c>
      <c r="Q8948">
        <v>1.3117213351197601</v>
      </c>
      <c r="R8948">
        <v>9.5696968219701297</v>
      </c>
      <c r="S8948">
        <v>89</v>
      </c>
      <c r="T8948">
        <v>41</v>
      </c>
      <c r="U8948">
        <v>872.47715881381703</v>
      </c>
      <c r="V8948">
        <v>3.8270187523918799E-3</v>
      </c>
      <c r="W8948">
        <v>2423365.89239586</v>
      </c>
      <c r="X8948" t="s">
        <v>28</v>
      </c>
      <c r="Y8948">
        <f>1-509-467-6574</f>
        <v>-7549</v>
      </c>
    </row>
    <row r="8949" spans="1:25" x14ac:dyDescent="0.35">
      <c r="A8949">
        <v>36.051607477173597</v>
      </c>
      <c r="B8949">
        <v>-121.160873100853</v>
      </c>
      <c r="C8949" t="s">
        <v>29</v>
      </c>
      <c r="D8949">
        <v>1.5673808504445099</v>
      </c>
      <c r="E8949">
        <v>5</v>
      </c>
      <c r="F8949">
        <v>3424</v>
      </c>
      <c r="G8949">
        <v>5</v>
      </c>
      <c r="H8949">
        <v>3</v>
      </c>
      <c r="I8949">
        <v>1994</v>
      </c>
      <c r="J8949">
        <v>1</v>
      </c>
      <c r="K8949">
        <v>1</v>
      </c>
      <c r="L8949">
        <v>1</v>
      </c>
      <c r="M8949">
        <v>5</v>
      </c>
      <c r="N8949" t="s">
        <v>35</v>
      </c>
      <c r="O8949" t="s">
        <v>27</v>
      </c>
      <c r="P8949">
        <v>4.6589699616631304</v>
      </c>
      <c r="Q8949">
        <v>2.1518334774203298</v>
      </c>
      <c r="R8949">
        <v>0.54697068360816603</v>
      </c>
      <c r="S8949">
        <v>113</v>
      </c>
      <c r="T8949">
        <v>61</v>
      </c>
      <c r="U8949">
        <v>316.46356918676599</v>
      </c>
      <c r="V8949">
        <v>1.46028037383177E-3</v>
      </c>
      <c r="W8949">
        <v>1542277.5887132001</v>
      </c>
      <c r="X8949" t="s">
        <v>38</v>
      </c>
      <c r="Y8949">
        <f>1-303-943-7231</f>
        <v>-8476</v>
      </c>
    </row>
    <row r="8950" spans="1:25" x14ac:dyDescent="0.35">
      <c r="A8950">
        <v>35.840205812751897</v>
      </c>
      <c r="B8950">
        <v>-119.410562291045</v>
      </c>
      <c r="C8950" t="s">
        <v>29</v>
      </c>
      <c r="D8950">
        <v>34.9047301838892</v>
      </c>
      <c r="E8950">
        <v>6</v>
      </c>
      <c r="F8950">
        <v>3737</v>
      </c>
      <c r="G8950">
        <v>5</v>
      </c>
      <c r="H8950">
        <v>2</v>
      </c>
      <c r="I8950">
        <v>1987</v>
      </c>
      <c r="J8950">
        <v>0</v>
      </c>
      <c r="K8950">
        <v>1</v>
      </c>
      <c r="L8950">
        <v>1</v>
      </c>
      <c r="M8950">
        <v>3</v>
      </c>
      <c r="N8950" t="s">
        <v>35</v>
      </c>
      <c r="O8950" t="s">
        <v>32</v>
      </c>
      <c r="P8950">
        <v>14.3777566891963</v>
      </c>
      <c r="Q8950">
        <v>2.2002256371671001</v>
      </c>
      <c r="R8950">
        <v>4.8854648828292202</v>
      </c>
      <c r="S8950">
        <v>40</v>
      </c>
      <c r="T8950">
        <v>53</v>
      </c>
      <c r="U8950">
        <v>887.78047982349005</v>
      </c>
      <c r="V8950">
        <v>8.0278298100080201E-4</v>
      </c>
      <c r="W8950">
        <v>3760133.2505090102</v>
      </c>
      <c r="X8950" t="s">
        <v>38</v>
      </c>
      <c r="Y8950">
        <f>1-724-116-1924</f>
        <v>-2763</v>
      </c>
    </row>
    <row r="8951" spans="1:25" x14ac:dyDescent="0.35">
      <c r="A8951">
        <v>33.213200188441398</v>
      </c>
      <c r="B8951">
        <v>-121.495044288912</v>
      </c>
      <c r="C8951" t="s">
        <v>34</v>
      </c>
      <c r="D8951">
        <v>7.1494382562086303</v>
      </c>
      <c r="E8951">
        <v>6</v>
      </c>
      <c r="F8951">
        <v>839</v>
      </c>
      <c r="G8951">
        <v>4</v>
      </c>
      <c r="H8951">
        <v>3</v>
      </c>
      <c r="I8951">
        <v>1967</v>
      </c>
      <c r="J8951">
        <v>1</v>
      </c>
      <c r="K8951">
        <v>1</v>
      </c>
      <c r="L8951">
        <v>0</v>
      </c>
      <c r="M8951">
        <v>6</v>
      </c>
      <c r="N8951" t="s">
        <v>41</v>
      </c>
      <c r="O8951" t="s">
        <v>32</v>
      </c>
      <c r="P8951">
        <v>13.517387680095901</v>
      </c>
      <c r="Q8951">
        <v>2.2071308314964</v>
      </c>
      <c r="R8951">
        <v>9.6633452007933993</v>
      </c>
      <c r="S8951">
        <v>153</v>
      </c>
      <c r="T8951">
        <v>30</v>
      </c>
      <c r="U8951">
        <v>411.58282771891902</v>
      </c>
      <c r="V8951">
        <v>7.1513706793802099E-3</v>
      </c>
      <c r="W8951">
        <v>695233.90713767498</v>
      </c>
      <c r="X8951" t="s">
        <v>28</v>
      </c>
      <c r="Y8951">
        <f>1-753-456-4277</f>
        <v>-5485</v>
      </c>
    </row>
    <row r="8952" spans="1:25" x14ac:dyDescent="0.35">
      <c r="A8952">
        <v>40.464764769250799</v>
      </c>
      <c r="B8952">
        <v>-121.27612731633501</v>
      </c>
      <c r="C8952" t="s">
        <v>25</v>
      </c>
      <c r="D8952">
        <v>3.64233881495533</v>
      </c>
      <c r="E8952">
        <v>2</v>
      </c>
      <c r="F8952">
        <v>3534</v>
      </c>
      <c r="G8952">
        <v>3</v>
      </c>
      <c r="H8952">
        <v>1</v>
      </c>
      <c r="I8952">
        <v>2003</v>
      </c>
      <c r="J8952">
        <v>1</v>
      </c>
      <c r="K8952">
        <v>1</v>
      </c>
      <c r="L8952">
        <v>1</v>
      </c>
      <c r="M8952">
        <v>9</v>
      </c>
      <c r="N8952" t="s">
        <v>26</v>
      </c>
      <c r="O8952" t="s">
        <v>27</v>
      </c>
      <c r="P8952">
        <v>10.7877902442482</v>
      </c>
      <c r="Q8952">
        <v>1.90775448524658</v>
      </c>
      <c r="R8952">
        <v>5.92568063485108</v>
      </c>
      <c r="S8952">
        <v>11</v>
      </c>
      <c r="T8952">
        <v>66</v>
      </c>
      <c r="U8952">
        <v>279.87864348971698</v>
      </c>
      <c r="V8952">
        <v>2.5466893039049199E-3</v>
      </c>
      <c r="W8952">
        <v>1353944.38673309</v>
      </c>
      <c r="X8952" t="s">
        <v>44</v>
      </c>
      <c r="Y8952">
        <f>1-997-184-3860</f>
        <v>-5040</v>
      </c>
    </row>
    <row r="8953" spans="1:25" x14ac:dyDescent="0.35">
      <c r="A8953">
        <v>40.966208684679899</v>
      </c>
      <c r="B8953">
        <v>-118.541387024557</v>
      </c>
      <c r="C8953" t="s">
        <v>34</v>
      </c>
      <c r="D8953">
        <v>49.212239471656098</v>
      </c>
      <c r="E8953">
        <v>2</v>
      </c>
      <c r="F8953">
        <v>670</v>
      </c>
      <c r="G8953">
        <v>1</v>
      </c>
      <c r="H8953">
        <v>1</v>
      </c>
      <c r="I8953">
        <v>1956</v>
      </c>
      <c r="J8953">
        <v>0</v>
      </c>
      <c r="K8953">
        <v>1</v>
      </c>
      <c r="L8953">
        <v>1</v>
      </c>
      <c r="M8953">
        <v>4</v>
      </c>
      <c r="N8953" t="s">
        <v>35</v>
      </c>
      <c r="O8953" t="s">
        <v>30</v>
      </c>
      <c r="P8953">
        <v>4.9960659871609003</v>
      </c>
      <c r="Q8953">
        <v>1.08741237625735</v>
      </c>
      <c r="R8953">
        <v>9.0751963781887</v>
      </c>
      <c r="S8953">
        <v>137</v>
      </c>
      <c r="T8953">
        <v>40</v>
      </c>
      <c r="U8953">
        <v>572.16261591567797</v>
      </c>
      <c r="V8953">
        <v>5.9701492537313399E-3</v>
      </c>
      <c r="W8953">
        <v>428867.365540086</v>
      </c>
      <c r="X8953" t="s">
        <v>43</v>
      </c>
      <c r="Y8953">
        <f>1-912-432-4365</f>
        <v>-5708</v>
      </c>
    </row>
    <row r="8954" spans="1:25" x14ac:dyDescent="0.35">
      <c r="A8954">
        <v>33.760021999066304</v>
      </c>
      <c r="B8954">
        <v>-115.74881407148401</v>
      </c>
      <c r="C8954" t="s">
        <v>25</v>
      </c>
      <c r="D8954">
        <v>34.2420564002121</v>
      </c>
      <c r="E8954">
        <v>0</v>
      </c>
      <c r="F8954">
        <v>2517</v>
      </c>
      <c r="G8954">
        <v>4</v>
      </c>
      <c r="H8954">
        <v>2</v>
      </c>
      <c r="I8954">
        <v>1975</v>
      </c>
      <c r="J8954">
        <v>1</v>
      </c>
      <c r="K8954">
        <v>1</v>
      </c>
      <c r="L8954">
        <v>0</v>
      </c>
      <c r="M8954">
        <v>12</v>
      </c>
      <c r="N8954" t="s">
        <v>26</v>
      </c>
      <c r="O8954" t="s">
        <v>27</v>
      </c>
      <c r="P8954">
        <v>7.8240425665525297</v>
      </c>
      <c r="Q8954">
        <v>0.662541481449755</v>
      </c>
      <c r="R8954">
        <v>8.7516900317611697</v>
      </c>
      <c r="S8954">
        <v>163</v>
      </c>
      <c r="T8954">
        <v>27</v>
      </c>
      <c r="U8954">
        <v>570.91916347385302</v>
      </c>
      <c r="V8954">
        <v>4.7675804529201402E-3</v>
      </c>
      <c r="W8954">
        <v>1781174.64727033</v>
      </c>
      <c r="X8954" t="s">
        <v>33</v>
      </c>
      <c r="Y8954">
        <f>1-231-141-1076</f>
        <v>-1447</v>
      </c>
    </row>
    <row r="8955" spans="1:25" x14ac:dyDescent="0.35">
      <c r="A8955">
        <v>35.995565191183097</v>
      </c>
      <c r="B8955">
        <v>-115.440449029428</v>
      </c>
      <c r="C8955" t="s">
        <v>34</v>
      </c>
      <c r="D8955">
        <v>39.393082818902897</v>
      </c>
      <c r="E8955">
        <v>7</v>
      </c>
      <c r="F8955">
        <v>776</v>
      </c>
      <c r="G8955">
        <v>3</v>
      </c>
      <c r="H8955">
        <v>2</v>
      </c>
      <c r="I8955">
        <v>1957</v>
      </c>
      <c r="J8955">
        <v>0</v>
      </c>
      <c r="K8955">
        <v>0</v>
      </c>
      <c r="L8955">
        <v>1</v>
      </c>
      <c r="M8955">
        <v>8</v>
      </c>
      <c r="N8955" t="s">
        <v>35</v>
      </c>
      <c r="O8955" t="s">
        <v>27</v>
      </c>
      <c r="P8955">
        <v>10.1186769174413</v>
      </c>
      <c r="Q8955">
        <v>2.06545603989349</v>
      </c>
      <c r="R8955">
        <v>4.7427015874307701</v>
      </c>
      <c r="S8955">
        <v>190</v>
      </c>
      <c r="T8955">
        <v>79</v>
      </c>
      <c r="U8955">
        <v>966.40938873827895</v>
      </c>
      <c r="V8955">
        <v>1.03092783505154E-2</v>
      </c>
      <c r="W8955">
        <v>924540.26645488699</v>
      </c>
      <c r="X8955" t="s">
        <v>42</v>
      </c>
      <c r="Y8955">
        <f>1-381-858-8057</f>
        <v>-9295</v>
      </c>
    </row>
    <row r="8956" spans="1:25" x14ac:dyDescent="0.35">
      <c r="A8956">
        <v>39.637930071229398</v>
      </c>
      <c r="B8956">
        <v>-116.522561103135</v>
      </c>
      <c r="C8956" t="s">
        <v>34</v>
      </c>
      <c r="D8956">
        <v>44.443341606529401</v>
      </c>
      <c r="E8956">
        <v>3</v>
      </c>
      <c r="F8956">
        <v>1141</v>
      </c>
      <c r="G8956">
        <v>5</v>
      </c>
      <c r="H8956">
        <v>2</v>
      </c>
      <c r="I8956">
        <v>1972</v>
      </c>
      <c r="J8956">
        <v>0</v>
      </c>
      <c r="K8956">
        <v>1</v>
      </c>
      <c r="L8956">
        <v>1</v>
      </c>
      <c r="M8956">
        <v>7</v>
      </c>
      <c r="N8956" t="s">
        <v>37</v>
      </c>
      <c r="O8956" t="s">
        <v>30</v>
      </c>
      <c r="P8956">
        <v>3.4925410638348602</v>
      </c>
      <c r="Q8956">
        <v>1.7663078707417601</v>
      </c>
      <c r="R8956">
        <v>9.3186377936227895</v>
      </c>
      <c r="S8956">
        <v>150</v>
      </c>
      <c r="T8956">
        <v>40</v>
      </c>
      <c r="U8956">
        <v>459.80959388446502</v>
      </c>
      <c r="V8956">
        <v>6.13496932515337E-3</v>
      </c>
      <c r="W8956">
        <v>780111.86046625103</v>
      </c>
      <c r="X8956" t="s">
        <v>38</v>
      </c>
      <c r="Y8956">
        <f>1-592-311-7132</f>
        <v>-8034</v>
      </c>
    </row>
    <row r="8957" spans="1:25" x14ac:dyDescent="0.35">
      <c r="A8957">
        <v>33.690908113332199</v>
      </c>
      <c r="B8957">
        <v>-120.044198021366</v>
      </c>
      <c r="C8957" t="s">
        <v>29</v>
      </c>
      <c r="D8957">
        <v>34.194682729206797</v>
      </c>
      <c r="E8957">
        <v>9</v>
      </c>
      <c r="F8957">
        <v>1897</v>
      </c>
      <c r="G8957">
        <v>3</v>
      </c>
      <c r="H8957">
        <v>2</v>
      </c>
      <c r="I8957">
        <v>1951</v>
      </c>
      <c r="J8957">
        <v>0</v>
      </c>
      <c r="K8957">
        <v>1</v>
      </c>
      <c r="L8957">
        <v>0</v>
      </c>
      <c r="M8957">
        <v>2</v>
      </c>
      <c r="N8957" t="s">
        <v>35</v>
      </c>
      <c r="O8957" t="s">
        <v>32</v>
      </c>
      <c r="P8957">
        <v>2.2158828107147301</v>
      </c>
      <c r="Q8957">
        <v>1.08670924381707</v>
      </c>
      <c r="R8957">
        <v>0.74062109983863</v>
      </c>
      <c r="S8957">
        <v>123</v>
      </c>
      <c r="T8957">
        <v>67</v>
      </c>
      <c r="U8957">
        <v>892.28876704685194</v>
      </c>
      <c r="V8957">
        <v>1.0542962572482799E-3</v>
      </c>
      <c r="W8957">
        <v>1954718.4225055799</v>
      </c>
      <c r="X8957" t="s">
        <v>38</v>
      </c>
      <c r="Y8957">
        <f>1-276-859-7151</f>
        <v>-8285</v>
      </c>
    </row>
    <row r="8958" spans="1:25" x14ac:dyDescent="0.35">
      <c r="A8958">
        <v>37.9453159857201</v>
      </c>
      <c r="B8958">
        <v>-117.40728962703101</v>
      </c>
      <c r="C8958" t="s">
        <v>29</v>
      </c>
      <c r="D8958">
        <v>16.965167686358299</v>
      </c>
      <c r="E8958">
        <v>1</v>
      </c>
      <c r="F8958">
        <v>3246</v>
      </c>
      <c r="G8958">
        <v>3</v>
      </c>
      <c r="H8958">
        <v>2</v>
      </c>
      <c r="I8958">
        <v>1961</v>
      </c>
      <c r="J8958">
        <v>1</v>
      </c>
      <c r="K8958">
        <v>1</v>
      </c>
      <c r="L8958">
        <v>0</v>
      </c>
      <c r="M8958">
        <v>10</v>
      </c>
      <c r="N8958" t="s">
        <v>41</v>
      </c>
      <c r="O8958" t="s">
        <v>32</v>
      </c>
      <c r="P8958">
        <v>5.1224050429454602</v>
      </c>
      <c r="Q8958">
        <v>1.7201269305726301</v>
      </c>
      <c r="R8958">
        <v>9.7906147763495106</v>
      </c>
      <c r="S8958">
        <v>162</v>
      </c>
      <c r="T8958">
        <v>60</v>
      </c>
      <c r="U8958">
        <v>838.54279875812597</v>
      </c>
      <c r="V8958">
        <v>3.0807147258163801E-3</v>
      </c>
      <c r="W8958">
        <v>3029118.5536780702</v>
      </c>
      <c r="X8958" t="s">
        <v>39</v>
      </c>
      <c r="Y8958">
        <f>1-303-442-2351</f>
        <v>-3095</v>
      </c>
    </row>
    <row r="8959" spans="1:25" x14ac:dyDescent="0.35">
      <c r="A8959">
        <v>40.457898137520402</v>
      </c>
      <c r="B8959">
        <v>-114.054100256175</v>
      </c>
      <c r="C8959" t="s">
        <v>25</v>
      </c>
      <c r="D8959">
        <v>34.311685738410503</v>
      </c>
      <c r="E8959">
        <v>9</v>
      </c>
      <c r="F8959">
        <v>3044</v>
      </c>
      <c r="G8959">
        <v>3</v>
      </c>
      <c r="H8959">
        <v>1</v>
      </c>
      <c r="I8959">
        <v>1977</v>
      </c>
      <c r="J8959">
        <v>1</v>
      </c>
      <c r="K8959">
        <v>1</v>
      </c>
      <c r="L8959">
        <v>0</v>
      </c>
      <c r="M8959">
        <v>14</v>
      </c>
      <c r="N8959" t="s">
        <v>37</v>
      </c>
      <c r="O8959" t="s">
        <v>27</v>
      </c>
      <c r="P8959">
        <v>3.5866227897790699</v>
      </c>
      <c r="Q8959">
        <v>2.1595158715194298</v>
      </c>
      <c r="R8959">
        <v>5.1006320073796498</v>
      </c>
      <c r="S8959">
        <v>36</v>
      </c>
      <c r="T8959">
        <v>71</v>
      </c>
      <c r="U8959">
        <v>677.26612886390501</v>
      </c>
      <c r="V8959">
        <v>4.5992115637319298E-3</v>
      </c>
      <c r="W8959">
        <v>2316540.2050641598</v>
      </c>
      <c r="X8959" t="s">
        <v>33</v>
      </c>
      <c r="Y8959">
        <f>1-826-393-4281</f>
        <v>-5499</v>
      </c>
    </row>
    <row r="8960" spans="1:25" x14ac:dyDescent="0.35">
      <c r="A8960">
        <v>36.396351781620098</v>
      </c>
      <c r="B8960">
        <v>-122.33967757021099</v>
      </c>
      <c r="C8960" t="s">
        <v>34</v>
      </c>
      <c r="D8960">
        <v>16.7952557930799</v>
      </c>
      <c r="E8960">
        <v>1</v>
      </c>
      <c r="F8960">
        <v>1076</v>
      </c>
      <c r="G8960">
        <v>3</v>
      </c>
      <c r="H8960">
        <v>1</v>
      </c>
      <c r="I8960">
        <v>1971</v>
      </c>
      <c r="J8960">
        <v>1</v>
      </c>
      <c r="K8960">
        <v>1</v>
      </c>
      <c r="L8960">
        <v>0</v>
      </c>
      <c r="M8960">
        <v>12</v>
      </c>
      <c r="N8960" t="s">
        <v>35</v>
      </c>
      <c r="O8960" t="s">
        <v>30</v>
      </c>
      <c r="P8960">
        <v>7.99153885699792</v>
      </c>
      <c r="Q8960">
        <v>0.86312748889858004</v>
      </c>
      <c r="R8960">
        <v>0.58156876118961998</v>
      </c>
      <c r="S8960">
        <v>186</v>
      </c>
      <c r="T8960">
        <v>59</v>
      </c>
      <c r="U8960">
        <v>445.514734466589</v>
      </c>
      <c r="V8960">
        <v>1.11524163568773E-2</v>
      </c>
      <c r="W8960">
        <v>731580.28495196602</v>
      </c>
      <c r="X8960" t="s">
        <v>33</v>
      </c>
      <c r="Y8960">
        <f>1-986-236-8483</f>
        <v>-9704</v>
      </c>
    </row>
    <row r="8961" spans="1:25" x14ac:dyDescent="0.35">
      <c r="A8961">
        <v>35.737023219437802</v>
      </c>
      <c r="B8961">
        <v>-123.284818853228</v>
      </c>
      <c r="C8961" t="s">
        <v>25</v>
      </c>
      <c r="D8961">
        <v>21.964995029851501</v>
      </c>
      <c r="E8961">
        <v>2</v>
      </c>
      <c r="F8961">
        <v>1464</v>
      </c>
      <c r="G8961">
        <v>2</v>
      </c>
      <c r="H8961">
        <v>1</v>
      </c>
      <c r="I8961">
        <v>1963</v>
      </c>
      <c r="J8961">
        <v>1</v>
      </c>
      <c r="K8961">
        <v>1</v>
      </c>
      <c r="L8961">
        <v>1</v>
      </c>
      <c r="M8961">
        <v>14</v>
      </c>
      <c r="N8961" t="s">
        <v>26</v>
      </c>
      <c r="O8961" t="s">
        <v>27</v>
      </c>
      <c r="P8961">
        <v>14.7701105256475</v>
      </c>
      <c r="Q8961">
        <v>2.1820265566866599</v>
      </c>
      <c r="R8961">
        <v>5.0053723139191098</v>
      </c>
      <c r="S8961">
        <v>99</v>
      </c>
      <c r="T8961">
        <v>60</v>
      </c>
      <c r="U8961">
        <v>976.35832348349197</v>
      </c>
      <c r="V8961">
        <v>9.5628415300546398E-3</v>
      </c>
      <c r="W8961">
        <v>1710233.1927885599</v>
      </c>
      <c r="X8961" t="s">
        <v>28</v>
      </c>
      <c r="Y8961">
        <f>1-203-286-6769</f>
        <v>-7257</v>
      </c>
    </row>
    <row r="8962" spans="1:25" x14ac:dyDescent="0.35">
      <c r="A8962">
        <v>37.5902243781781</v>
      </c>
      <c r="B8962">
        <v>-117.137440174003</v>
      </c>
      <c r="C8962" t="s">
        <v>29</v>
      </c>
      <c r="D8962">
        <v>17.1869192027774</v>
      </c>
      <c r="E8962">
        <v>7</v>
      </c>
      <c r="F8962">
        <v>807</v>
      </c>
      <c r="G8962">
        <v>1</v>
      </c>
      <c r="H8962">
        <v>1</v>
      </c>
      <c r="I8962">
        <v>2005</v>
      </c>
      <c r="J8962">
        <v>1</v>
      </c>
      <c r="K8962">
        <v>0</v>
      </c>
      <c r="L8962">
        <v>0</v>
      </c>
      <c r="M8962">
        <v>14</v>
      </c>
      <c r="N8962" t="s">
        <v>26</v>
      </c>
      <c r="O8962" t="s">
        <v>32</v>
      </c>
      <c r="P8962">
        <v>12.4939600289654</v>
      </c>
      <c r="Q8962">
        <v>1.6183659584602701</v>
      </c>
      <c r="R8962">
        <v>2.0769082688213198</v>
      </c>
      <c r="S8962">
        <v>104</v>
      </c>
      <c r="T8962">
        <v>50</v>
      </c>
      <c r="U8962">
        <v>712.83504665800899</v>
      </c>
      <c r="V8962">
        <v>1.7348203221809098E-2</v>
      </c>
      <c r="W8962">
        <v>797301.39952241594</v>
      </c>
      <c r="X8962" t="s">
        <v>33</v>
      </c>
      <c r="Y8962">
        <f>1-561-149-3390</f>
        <v>-4099</v>
      </c>
    </row>
    <row r="8963" spans="1:25" x14ac:dyDescent="0.35">
      <c r="A8963">
        <v>41.698147818985397</v>
      </c>
      <c r="B8963">
        <v>-114.450205395765</v>
      </c>
      <c r="C8963" t="s">
        <v>25</v>
      </c>
      <c r="D8963">
        <v>34.856854004246799</v>
      </c>
      <c r="E8963">
        <v>5</v>
      </c>
      <c r="F8963">
        <v>968</v>
      </c>
      <c r="G8963">
        <v>1</v>
      </c>
      <c r="H8963">
        <v>2</v>
      </c>
      <c r="I8963">
        <v>2009</v>
      </c>
      <c r="J8963">
        <v>1</v>
      </c>
      <c r="K8963">
        <v>0</v>
      </c>
      <c r="L8963">
        <v>1</v>
      </c>
      <c r="M8963">
        <v>11</v>
      </c>
      <c r="N8963" t="s">
        <v>37</v>
      </c>
      <c r="O8963" t="s">
        <v>30</v>
      </c>
      <c r="P8963">
        <v>10.396213053421301</v>
      </c>
      <c r="Q8963">
        <v>2.1985050044175498</v>
      </c>
      <c r="R8963">
        <v>1.84944068358069</v>
      </c>
      <c r="S8963">
        <v>65</v>
      </c>
      <c r="T8963">
        <v>59</v>
      </c>
      <c r="U8963">
        <v>886.02593759955801</v>
      </c>
      <c r="V8963">
        <v>1.13636363636363E-2</v>
      </c>
      <c r="W8963">
        <v>1148195.94766237</v>
      </c>
      <c r="X8963" t="s">
        <v>44</v>
      </c>
      <c r="Y8963">
        <f>1-568-513-1402</f>
        <v>-2482</v>
      </c>
    </row>
    <row r="8964" spans="1:25" x14ac:dyDescent="0.35">
      <c r="A8964">
        <v>34.048468294283602</v>
      </c>
      <c r="B8964">
        <v>-114.14082147540699</v>
      </c>
      <c r="C8964" t="s">
        <v>25</v>
      </c>
      <c r="D8964">
        <v>33.0887477836675</v>
      </c>
      <c r="E8964">
        <v>9</v>
      </c>
      <c r="F8964">
        <v>2598</v>
      </c>
      <c r="G8964">
        <v>1</v>
      </c>
      <c r="H8964">
        <v>1</v>
      </c>
      <c r="I8964">
        <v>1981</v>
      </c>
      <c r="J8964">
        <v>0</v>
      </c>
      <c r="K8964">
        <v>1</v>
      </c>
      <c r="L8964">
        <v>1</v>
      </c>
      <c r="M8964">
        <v>10</v>
      </c>
      <c r="N8964" t="s">
        <v>37</v>
      </c>
      <c r="O8964" t="s">
        <v>30</v>
      </c>
      <c r="P8964">
        <v>11.1733209127755</v>
      </c>
      <c r="Q8964">
        <v>2.2978457526577798</v>
      </c>
      <c r="R8964">
        <v>9.21374583168061</v>
      </c>
      <c r="S8964">
        <v>48</v>
      </c>
      <c r="T8964">
        <v>26</v>
      </c>
      <c r="U8964">
        <v>612.64250437247597</v>
      </c>
      <c r="V8964">
        <v>3.8491147036181601E-3</v>
      </c>
      <c r="W8964">
        <v>1803370.57443236</v>
      </c>
      <c r="X8964" t="s">
        <v>38</v>
      </c>
      <c r="Y8964">
        <f>1-748-182-7586</f>
        <v>-8515</v>
      </c>
    </row>
    <row r="8965" spans="1:25" x14ac:dyDescent="0.35">
      <c r="A8965">
        <v>40.607529889986303</v>
      </c>
      <c r="B8965">
        <v>-123.93688149309</v>
      </c>
      <c r="C8965" t="s">
        <v>34</v>
      </c>
      <c r="D8965">
        <v>3.9581996831114701</v>
      </c>
      <c r="E8965">
        <v>1</v>
      </c>
      <c r="F8965">
        <v>2269</v>
      </c>
      <c r="G8965">
        <v>2</v>
      </c>
      <c r="H8965">
        <v>1</v>
      </c>
      <c r="I8965">
        <v>2018</v>
      </c>
      <c r="J8965">
        <v>1</v>
      </c>
      <c r="K8965">
        <v>0</v>
      </c>
      <c r="L8965">
        <v>1</v>
      </c>
      <c r="M8965">
        <v>7</v>
      </c>
      <c r="N8965" t="s">
        <v>35</v>
      </c>
      <c r="O8965" t="s">
        <v>30</v>
      </c>
      <c r="P8965">
        <v>7.9620991060514497</v>
      </c>
      <c r="Q8965">
        <v>0.79276317777221195</v>
      </c>
      <c r="R8965">
        <v>0.35669538665642198</v>
      </c>
      <c r="S8965">
        <v>17</v>
      </c>
      <c r="T8965">
        <v>40</v>
      </c>
      <c r="U8965">
        <v>846.83078372552302</v>
      </c>
      <c r="V8965">
        <v>3.0850594975760201E-3</v>
      </c>
      <c r="W8965">
        <v>2255839.40059239</v>
      </c>
      <c r="X8965" t="s">
        <v>39</v>
      </c>
      <c r="Y8965">
        <f>1-790-835-8615</f>
        <v>-10239</v>
      </c>
    </row>
    <row r="8966" spans="1:25" x14ac:dyDescent="0.35">
      <c r="A8966">
        <v>33.976666751681101</v>
      </c>
      <c r="B8966">
        <v>-114.76225712956</v>
      </c>
      <c r="C8966" t="s">
        <v>34</v>
      </c>
      <c r="D8966">
        <v>25.804019716687801</v>
      </c>
      <c r="E8966">
        <v>2</v>
      </c>
      <c r="F8966">
        <v>4513</v>
      </c>
      <c r="G8966">
        <v>1</v>
      </c>
      <c r="H8966">
        <v>2</v>
      </c>
      <c r="I8966">
        <v>1977</v>
      </c>
      <c r="J8966">
        <v>1</v>
      </c>
      <c r="K8966">
        <v>0</v>
      </c>
      <c r="L8966">
        <v>0</v>
      </c>
      <c r="M8966">
        <v>2</v>
      </c>
      <c r="N8966" t="s">
        <v>26</v>
      </c>
      <c r="O8966" t="s">
        <v>27</v>
      </c>
      <c r="P8966">
        <v>4.1590869920153501</v>
      </c>
      <c r="Q8966">
        <v>2.2034993159889802</v>
      </c>
      <c r="R8966">
        <v>0.62753475587463003</v>
      </c>
      <c r="S8966">
        <v>54</v>
      </c>
      <c r="T8966">
        <v>62</v>
      </c>
      <c r="U8966">
        <v>929.67379167316096</v>
      </c>
      <c r="V8966">
        <v>4.4316419233325898E-4</v>
      </c>
      <c r="W8966">
        <v>4306943.4907493601</v>
      </c>
      <c r="X8966" t="s">
        <v>33</v>
      </c>
      <c r="Y8966">
        <f>1-321-311-7546</f>
        <v>-8177</v>
      </c>
    </row>
    <row r="8967" spans="1:25" x14ac:dyDescent="0.35">
      <c r="A8967">
        <v>39.0685253371852</v>
      </c>
      <c r="B8967">
        <v>-120.11337255924199</v>
      </c>
      <c r="C8967" t="s">
        <v>29</v>
      </c>
      <c r="D8967">
        <v>46.291271231516397</v>
      </c>
      <c r="E8967">
        <v>5</v>
      </c>
      <c r="F8967">
        <v>1735</v>
      </c>
      <c r="G8967">
        <v>4</v>
      </c>
      <c r="H8967">
        <v>3</v>
      </c>
      <c r="I8967">
        <v>1982</v>
      </c>
      <c r="J8967">
        <v>0</v>
      </c>
      <c r="K8967">
        <v>1</v>
      </c>
      <c r="L8967">
        <v>0</v>
      </c>
      <c r="M8967">
        <v>6</v>
      </c>
      <c r="N8967" t="s">
        <v>37</v>
      </c>
      <c r="O8967" t="s">
        <v>32</v>
      </c>
      <c r="P8967">
        <v>14.996674187764199</v>
      </c>
      <c r="Q8967">
        <v>1.98491589510287</v>
      </c>
      <c r="R8967">
        <v>6.4897556057247403</v>
      </c>
      <c r="S8967">
        <v>168</v>
      </c>
      <c r="T8967">
        <v>53</v>
      </c>
      <c r="U8967">
        <v>394.27590393621199</v>
      </c>
      <c r="V8967">
        <v>3.4582132564841498E-3</v>
      </c>
      <c r="W8967">
        <v>1045272.96036934</v>
      </c>
      <c r="X8967" t="s">
        <v>39</v>
      </c>
      <c r="Y8967">
        <f>1-665-167-8935</f>
        <v>-9766</v>
      </c>
    </row>
    <row r="8968" spans="1:25" x14ac:dyDescent="0.35">
      <c r="A8968">
        <v>40.9225226331031</v>
      </c>
      <c r="B8968">
        <v>-120.697176047197</v>
      </c>
      <c r="C8968" t="s">
        <v>29</v>
      </c>
      <c r="D8968">
        <v>4.71797852475565</v>
      </c>
      <c r="E8968">
        <v>1</v>
      </c>
      <c r="F8968">
        <v>1008</v>
      </c>
      <c r="G8968">
        <v>4</v>
      </c>
      <c r="H8968">
        <v>3</v>
      </c>
      <c r="I8968">
        <v>2018</v>
      </c>
      <c r="J8968">
        <v>1</v>
      </c>
      <c r="K8968">
        <v>0</v>
      </c>
      <c r="L8968">
        <v>0</v>
      </c>
      <c r="M8968">
        <v>13</v>
      </c>
      <c r="N8968" t="s">
        <v>37</v>
      </c>
      <c r="O8968" t="s">
        <v>30</v>
      </c>
      <c r="P8968">
        <v>8.2719778966708404</v>
      </c>
      <c r="Q8968">
        <v>2.4177748705046</v>
      </c>
      <c r="R8968">
        <v>4.7781574514160301</v>
      </c>
      <c r="S8968">
        <v>85</v>
      </c>
      <c r="T8968">
        <v>56</v>
      </c>
      <c r="U8968">
        <v>544.05600927096998</v>
      </c>
      <c r="V8968">
        <v>1.2896825396825301E-2</v>
      </c>
      <c r="W8968">
        <v>822688.00630079105</v>
      </c>
      <c r="X8968" t="s">
        <v>28</v>
      </c>
      <c r="Y8968">
        <f>1-358-997-1681</f>
        <v>-3035</v>
      </c>
    </row>
    <row r="8969" spans="1:25" x14ac:dyDescent="0.35">
      <c r="A8969">
        <v>40.874401512440997</v>
      </c>
      <c r="B8969">
        <v>-116.400902392642</v>
      </c>
      <c r="C8969" t="s">
        <v>29</v>
      </c>
      <c r="D8969">
        <v>15.9665669771676</v>
      </c>
      <c r="E8969">
        <v>3</v>
      </c>
      <c r="F8969">
        <v>3505</v>
      </c>
      <c r="G8969">
        <v>1</v>
      </c>
      <c r="H8969">
        <v>1</v>
      </c>
      <c r="I8969">
        <v>1991</v>
      </c>
      <c r="J8969">
        <v>1</v>
      </c>
      <c r="K8969">
        <v>1</v>
      </c>
      <c r="L8969">
        <v>0</v>
      </c>
      <c r="M8969">
        <v>12</v>
      </c>
      <c r="N8969" t="s">
        <v>35</v>
      </c>
      <c r="O8969" t="s">
        <v>27</v>
      </c>
      <c r="P8969">
        <v>4.2874564790024303</v>
      </c>
      <c r="Q8969">
        <v>0.92005372599869095</v>
      </c>
      <c r="R8969">
        <v>9.6616831279917808</v>
      </c>
      <c r="S8969">
        <v>42</v>
      </c>
      <c r="T8969">
        <v>60</v>
      </c>
      <c r="U8969">
        <v>797.15453063876998</v>
      </c>
      <c r="V8969">
        <v>3.4236804564907199E-3</v>
      </c>
      <c r="W8969">
        <v>2979786.9140343699</v>
      </c>
      <c r="X8969" t="s">
        <v>36</v>
      </c>
      <c r="Y8969">
        <f>1-538-846-7889</f>
        <v>-9272</v>
      </c>
    </row>
    <row r="8970" spans="1:25" x14ac:dyDescent="0.35">
      <c r="A8970">
        <v>35.894166727832499</v>
      </c>
      <c r="B8970">
        <v>-121.687248794559</v>
      </c>
      <c r="C8970" t="s">
        <v>34</v>
      </c>
      <c r="D8970">
        <v>22.879466290773198</v>
      </c>
      <c r="E8970">
        <v>9</v>
      </c>
      <c r="F8970">
        <v>4028</v>
      </c>
      <c r="G8970">
        <v>3</v>
      </c>
      <c r="H8970">
        <v>2</v>
      </c>
      <c r="I8970">
        <v>1996</v>
      </c>
      <c r="J8970">
        <v>1</v>
      </c>
      <c r="K8970">
        <v>0</v>
      </c>
      <c r="L8970">
        <v>1</v>
      </c>
      <c r="M8970">
        <v>6</v>
      </c>
      <c r="N8970" t="s">
        <v>26</v>
      </c>
      <c r="O8970" t="s">
        <v>32</v>
      </c>
      <c r="P8970">
        <v>7.9667062859601003</v>
      </c>
      <c r="Q8970">
        <v>2.0720677185927601</v>
      </c>
      <c r="R8970">
        <v>4.8017502452048504</v>
      </c>
      <c r="S8970">
        <v>107</v>
      </c>
      <c r="T8970">
        <v>24</v>
      </c>
      <c r="U8970">
        <v>752.13418785038903</v>
      </c>
      <c r="V8970">
        <v>1.48957298907646E-3</v>
      </c>
      <c r="W8970">
        <v>3231796.3542916202</v>
      </c>
      <c r="X8970" t="s">
        <v>33</v>
      </c>
      <c r="Y8970">
        <f>1-852-266-9179</f>
        <v>-10296</v>
      </c>
    </row>
    <row r="8971" spans="1:25" x14ac:dyDescent="0.35">
      <c r="A8971">
        <v>40.000698706068</v>
      </c>
      <c r="B8971">
        <v>-115.19445871421</v>
      </c>
      <c r="C8971" t="s">
        <v>29</v>
      </c>
      <c r="D8971">
        <v>41.116601139649099</v>
      </c>
      <c r="E8971">
        <v>1</v>
      </c>
      <c r="F8971">
        <v>1182</v>
      </c>
      <c r="G8971">
        <v>1</v>
      </c>
      <c r="H8971">
        <v>3</v>
      </c>
      <c r="I8971">
        <v>1958</v>
      </c>
      <c r="J8971">
        <v>0</v>
      </c>
      <c r="K8971">
        <v>1</v>
      </c>
      <c r="L8971">
        <v>1</v>
      </c>
      <c r="M8971">
        <v>3</v>
      </c>
      <c r="N8971" t="s">
        <v>26</v>
      </c>
      <c r="O8971" t="s">
        <v>32</v>
      </c>
      <c r="P8971">
        <v>9.2804197158710195</v>
      </c>
      <c r="Q8971">
        <v>2.34018240551951</v>
      </c>
      <c r="R8971">
        <v>4.2198026090918903</v>
      </c>
      <c r="S8971">
        <v>78</v>
      </c>
      <c r="T8971">
        <v>59</v>
      </c>
      <c r="U8971">
        <v>901.51479227923005</v>
      </c>
      <c r="V8971">
        <v>2.5380710659898401E-3</v>
      </c>
      <c r="W8971">
        <v>1365369.0731788301</v>
      </c>
      <c r="X8971" t="s">
        <v>39</v>
      </c>
      <c r="Y8971">
        <f>1-436-954-8379</f>
        <v>-9768</v>
      </c>
    </row>
    <row r="8972" spans="1:25" x14ac:dyDescent="0.35">
      <c r="A8972">
        <v>37.086123228308502</v>
      </c>
      <c r="B8972">
        <v>-124.31298360018801</v>
      </c>
      <c r="C8972" t="s">
        <v>29</v>
      </c>
      <c r="D8972">
        <v>11.606055386735701</v>
      </c>
      <c r="E8972">
        <v>4</v>
      </c>
      <c r="F8972">
        <v>3583</v>
      </c>
      <c r="G8972">
        <v>1</v>
      </c>
      <c r="H8972">
        <v>3</v>
      </c>
      <c r="I8972">
        <v>1994</v>
      </c>
      <c r="J8972">
        <v>1</v>
      </c>
      <c r="K8972">
        <v>1</v>
      </c>
      <c r="L8972">
        <v>0</v>
      </c>
      <c r="M8972">
        <v>5</v>
      </c>
      <c r="N8972" t="s">
        <v>41</v>
      </c>
      <c r="O8972" t="s">
        <v>32</v>
      </c>
      <c r="P8972">
        <v>5.5603664857161004</v>
      </c>
      <c r="Q8972">
        <v>1.4637575754305401</v>
      </c>
      <c r="R8972">
        <v>8.2289847801352192</v>
      </c>
      <c r="S8972">
        <v>157</v>
      </c>
      <c r="T8972">
        <v>60</v>
      </c>
      <c r="U8972">
        <v>654.35862798702101</v>
      </c>
      <c r="V8972">
        <v>1.39547864917666E-3</v>
      </c>
      <c r="W8972">
        <v>2590576.2353455801</v>
      </c>
      <c r="X8972" t="s">
        <v>39</v>
      </c>
      <c r="Y8972">
        <f>1-680-402-3494</f>
        <v>-4575</v>
      </c>
    </row>
    <row r="8973" spans="1:25" x14ac:dyDescent="0.35">
      <c r="A8973">
        <v>40.857584119047203</v>
      </c>
      <c r="B8973">
        <v>-122.087699078847</v>
      </c>
      <c r="C8973" t="s">
        <v>34</v>
      </c>
      <c r="D8973">
        <v>14.225025841169099</v>
      </c>
      <c r="E8973">
        <v>5</v>
      </c>
      <c r="F8973">
        <v>4467</v>
      </c>
      <c r="G8973">
        <v>5</v>
      </c>
      <c r="H8973">
        <v>2</v>
      </c>
      <c r="I8973">
        <v>2022</v>
      </c>
      <c r="J8973">
        <v>1</v>
      </c>
      <c r="K8973">
        <v>0</v>
      </c>
      <c r="L8973">
        <v>1</v>
      </c>
      <c r="M8973">
        <v>4</v>
      </c>
      <c r="N8973" t="s">
        <v>37</v>
      </c>
      <c r="O8973" t="s">
        <v>30</v>
      </c>
      <c r="P8973">
        <v>5.8684555826316798</v>
      </c>
      <c r="Q8973">
        <v>1.2006057123985301</v>
      </c>
      <c r="R8973">
        <v>3.17868166453079</v>
      </c>
      <c r="S8973">
        <v>126</v>
      </c>
      <c r="T8973">
        <v>49</v>
      </c>
      <c r="U8973">
        <v>800.06955535012503</v>
      </c>
      <c r="V8973">
        <v>8.9545556301768496E-4</v>
      </c>
      <c r="W8973">
        <v>3945172.1260126201</v>
      </c>
      <c r="X8973" t="s">
        <v>38</v>
      </c>
      <c r="Y8973">
        <f>1-918-895-2833</f>
        <v>-4645</v>
      </c>
    </row>
    <row r="8974" spans="1:25" x14ac:dyDescent="0.35">
      <c r="A8974">
        <v>37.090778478598999</v>
      </c>
      <c r="B8974">
        <v>-115.71587321409</v>
      </c>
      <c r="C8974" t="s">
        <v>25</v>
      </c>
      <c r="D8974">
        <v>19.905424104454799</v>
      </c>
      <c r="E8974">
        <v>9</v>
      </c>
      <c r="F8974">
        <v>3733</v>
      </c>
      <c r="G8974">
        <v>5</v>
      </c>
      <c r="H8974">
        <v>2</v>
      </c>
      <c r="I8974">
        <v>1983</v>
      </c>
      <c r="J8974">
        <v>1</v>
      </c>
      <c r="K8974">
        <v>1</v>
      </c>
      <c r="L8974">
        <v>1</v>
      </c>
      <c r="M8974">
        <v>2</v>
      </c>
      <c r="N8974" t="s">
        <v>41</v>
      </c>
      <c r="O8974" t="s">
        <v>32</v>
      </c>
      <c r="P8974">
        <v>4.41397647492877</v>
      </c>
      <c r="Q8974">
        <v>1.53418265915237</v>
      </c>
      <c r="R8974">
        <v>6.6413791925832797</v>
      </c>
      <c r="S8974">
        <v>176</v>
      </c>
      <c r="T8974">
        <v>56</v>
      </c>
      <c r="U8974">
        <v>775.53861952181001</v>
      </c>
      <c r="V8974">
        <v>5.35762121618001E-4</v>
      </c>
      <c r="W8974">
        <v>3427903.1126481201</v>
      </c>
      <c r="X8974" t="s">
        <v>42</v>
      </c>
      <c r="Y8974">
        <f>1-263-118-9836</f>
        <v>-10216</v>
      </c>
    </row>
    <row r="8975" spans="1:25" x14ac:dyDescent="0.35">
      <c r="A8975">
        <v>39.820425147911799</v>
      </c>
      <c r="B8975">
        <v>-118.789439937913</v>
      </c>
      <c r="C8975" t="s">
        <v>34</v>
      </c>
      <c r="D8975">
        <v>35.109108803872203</v>
      </c>
      <c r="E8975">
        <v>5</v>
      </c>
      <c r="F8975">
        <v>649</v>
      </c>
      <c r="G8975">
        <v>5</v>
      </c>
      <c r="H8975">
        <v>2</v>
      </c>
      <c r="I8975">
        <v>1974</v>
      </c>
      <c r="J8975">
        <v>1</v>
      </c>
      <c r="K8975">
        <v>0</v>
      </c>
      <c r="L8975">
        <v>0</v>
      </c>
      <c r="M8975">
        <v>6</v>
      </c>
      <c r="N8975" t="s">
        <v>37</v>
      </c>
      <c r="O8975" t="s">
        <v>27</v>
      </c>
      <c r="P8975">
        <v>2.8500871365506901</v>
      </c>
      <c r="Q8975">
        <v>1.76817821239874</v>
      </c>
      <c r="R8975">
        <v>7.3559639538547996</v>
      </c>
      <c r="S8975">
        <v>136</v>
      </c>
      <c r="T8975">
        <v>26</v>
      </c>
      <c r="U8975">
        <v>314.14406818600401</v>
      </c>
      <c r="V8975">
        <v>9.2449922958397508E-3</v>
      </c>
      <c r="W8975">
        <v>383708.002895315</v>
      </c>
      <c r="X8975" t="s">
        <v>33</v>
      </c>
      <c r="Y8975">
        <f>1-725-737-3064</f>
        <v>-4525</v>
      </c>
    </row>
    <row r="8976" spans="1:25" x14ac:dyDescent="0.35">
      <c r="A8976">
        <v>34.218875914049399</v>
      </c>
      <c r="B8976">
        <v>-119.07526488732699</v>
      </c>
      <c r="C8976" t="s">
        <v>29</v>
      </c>
      <c r="D8976">
        <v>32.612283282498503</v>
      </c>
      <c r="E8976">
        <v>7</v>
      </c>
      <c r="F8976">
        <v>778</v>
      </c>
      <c r="G8976">
        <v>2</v>
      </c>
      <c r="H8976">
        <v>3</v>
      </c>
      <c r="I8976">
        <v>1960</v>
      </c>
      <c r="J8976">
        <v>0</v>
      </c>
      <c r="K8976">
        <v>0</v>
      </c>
      <c r="L8976">
        <v>0</v>
      </c>
      <c r="M8976">
        <v>2</v>
      </c>
      <c r="N8976" t="s">
        <v>41</v>
      </c>
      <c r="O8976" t="s">
        <v>32</v>
      </c>
      <c r="P8976">
        <v>11.186528912146599</v>
      </c>
      <c r="Q8976">
        <v>2.1398300723129</v>
      </c>
      <c r="R8976">
        <v>6.0754668888052201</v>
      </c>
      <c r="S8976">
        <v>38</v>
      </c>
      <c r="T8976">
        <v>51</v>
      </c>
      <c r="U8976">
        <v>709.55697949092996</v>
      </c>
      <c r="V8976">
        <v>2.5706940874035901E-3</v>
      </c>
      <c r="W8976">
        <v>784254.16917936201</v>
      </c>
      <c r="X8976" t="s">
        <v>42</v>
      </c>
      <c r="Y8976">
        <f>1-515-444-7031</f>
        <v>-7989</v>
      </c>
    </row>
    <row r="8977" spans="1:25" x14ac:dyDescent="0.35">
      <c r="A8977">
        <v>33.753085250504498</v>
      </c>
      <c r="B8977">
        <v>-114.287388638769</v>
      </c>
      <c r="C8977" t="s">
        <v>29</v>
      </c>
      <c r="D8977">
        <v>16.1854616125792</v>
      </c>
      <c r="E8977">
        <v>4</v>
      </c>
      <c r="F8977">
        <v>732</v>
      </c>
      <c r="G8977">
        <v>4</v>
      </c>
      <c r="H8977">
        <v>2</v>
      </c>
      <c r="I8977">
        <v>1970</v>
      </c>
      <c r="J8977">
        <v>0</v>
      </c>
      <c r="K8977">
        <v>1</v>
      </c>
      <c r="L8977">
        <v>1</v>
      </c>
      <c r="M8977">
        <v>2</v>
      </c>
      <c r="N8977" t="s">
        <v>26</v>
      </c>
      <c r="O8977" t="s">
        <v>27</v>
      </c>
      <c r="P8977">
        <v>9.6795252658097599</v>
      </c>
      <c r="Q8977">
        <v>0.92057861634944504</v>
      </c>
      <c r="R8977">
        <v>3.7947448612813202</v>
      </c>
      <c r="S8977">
        <v>169</v>
      </c>
      <c r="T8977">
        <v>48</v>
      </c>
      <c r="U8977">
        <v>485.28598420810602</v>
      </c>
      <c r="V8977">
        <v>2.7322404371584699E-3</v>
      </c>
      <c r="W8977">
        <v>817686.62952168204</v>
      </c>
      <c r="X8977" t="s">
        <v>31</v>
      </c>
      <c r="Y8977">
        <f>1-711-901-5581</f>
        <v>-7192</v>
      </c>
    </row>
    <row r="8978" spans="1:25" x14ac:dyDescent="0.35">
      <c r="A8978">
        <v>36.3479315544446</v>
      </c>
      <c r="B8978">
        <v>-117.661616871273</v>
      </c>
      <c r="C8978" t="s">
        <v>34</v>
      </c>
      <c r="D8978">
        <v>28.680713223372798</v>
      </c>
      <c r="E8978">
        <v>0</v>
      </c>
      <c r="F8978">
        <v>1189</v>
      </c>
      <c r="G8978">
        <v>3</v>
      </c>
      <c r="H8978">
        <v>3</v>
      </c>
      <c r="I8978">
        <v>2013</v>
      </c>
      <c r="J8978">
        <v>0</v>
      </c>
      <c r="K8978">
        <v>0</v>
      </c>
      <c r="L8978">
        <v>0</v>
      </c>
      <c r="M8978">
        <v>8</v>
      </c>
      <c r="N8978" t="s">
        <v>37</v>
      </c>
      <c r="O8978" t="s">
        <v>32</v>
      </c>
      <c r="P8978">
        <v>12.0491491292182</v>
      </c>
      <c r="Q8978">
        <v>2.3456493836590599</v>
      </c>
      <c r="R8978">
        <v>9.2099562256093304</v>
      </c>
      <c r="S8978">
        <v>70</v>
      </c>
      <c r="T8978">
        <v>50</v>
      </c>
      <c r="U8978">
        <v>564.84147041154904</v>
      </c>
      <c r="V8978">
        <v>6.7283431455004202E-3</v>
      </c>
      <c r="W8978">
        <v>927069.99808500998</v>
      </c>
      <c r="X8978" t="s">
        <v>40</v>
      </c>
      <c r="Y8978">
        <f>1-807-173-6804</f>
        <v>-7783</v>
      </c>
    </row>
    <row r="8979" spans="1:25" x14ac:dyDescent="0.35">
      <c r="A8979">
        <v>35.093517131031597</v>
      </c>
      <c r="B8979">
        <v>-120.57470429341799</v>
      </c>
      <c r="C8979" t="s">
        <v>34</v>
      </c>
      <c r="D8979">
        <v>26.612817336197701</v>
      </c>
      <c r="E8979">
        <v>5</v>
      </c>
      <c r="F8979">
        <v>4899</v>
      </c>
      <c r="G8979">
        <v>5</v>
      </c>
      <c r="H8979">
        <v>1</v>
      </c>
      <c r="I8979">
        <v>1993</v>
      </c>
      <c r="J8979">
        <v>0</v>
      </c>
      <c r="K8979">
        <v>0</v>
      </c>
      <c r="L8979">
        <v>1</v>
      </c>
      <c r="M8979">
        <v>13</v>
      </c>
      <c r="N8979" t="s">
        <v>37</v>
      </c>
      <c r="O8979" t="s">
        <v>27</v>
      </c>
      <c r="P8979">
        <v>12.195676780427499</v>
      </c>
      <c r="Q8979">
        <v>0.85333222082569105</v>
      </c>
      <c r="R8979">
        <v>8.0934160911591508</v>
      </c>
      <c r="S8979">
        <v>32</v>
      </c>
      <c r="T8979">
        <v>31</v>
      </c>
      <c r="U8979">
        <v>622.94902876759295</v>
      </c>
      <c r="V8979">
        <v>2.6536027760767499E-3</v>
      </c>
      <c r="W8979">
        <v>3417611.5765323499</v>
      </c>
      <c r="X8979" t="s">
        <v>33</v>
      </c>
      <c r="Y8979">
        <f>1-360-640-7147</f>
        <v>-8146</v>
      </c>
    </row>
    <row r="8980" spans="1:25" x14ac:dyDescent="0.35">
      <c r="A8980">
        <v>34.8245232324253</v>
      </c>
      <c r="B8980">
        <v>-122.83344518553901</v>
      </c>
      <c r="C8980" t="s">
        <v>29</v>
      </c>
      <c r="D8980">
        <v>21.479913966338501</v>
      </c>
      <c r="E8980">
        <v>1</v>
      </c>
      <c r="F8980">
        <v>2089</v>
      </c>
      <c r="G8980">
        <v>4</v>
      </c>
      <c r="H8980">
        <v>3</v>
      </c>
      <c r="I8980">
        <v>1967</v>
      </c>
      <c r="J8980">
        <v>0</v>
      </c>
      <c r="K8980">
        <v>1</v>
      </c>
      <c r="L8980">
        <v>0</v>
      </c>
      <c r="M8980">
        <v>11</v>
      </c>
      <c r="N8980" t="s">
        <v>26</v>
      </c>
      <c r="O8980" t="s">
        <v>30</v>
      </c>
      <c r="P8980">
        <v>9.0744923835957003</v>
      </c>
      <c r="Q8980">
        <v>1.65074168642462</v>
      </c>
      <c r="R8980">
        <v>7.0984366808029096</v>
      </c>
      <c r="S8980">
        <v>114</v>
      </c>
      <c r="T8980">
        <v>30</v>
      </c>
      <c r="U8980">
        <v>923.384793237959</v>
      </c>
      <c r="V8980">
        <v>5.2656773575873598E-3</v>
      </c>
      <c r="W8980">
        <v>2320089.9800546798</v>
      </c>
      <c r="X8980" t="s">
        <v>44</v>
      </c>
      <c r="Y8980">
        <f>1-595-242-7045</f>
        <v>-7881</v>
      </c>
    </row>
    <row r="8981" spans="1:25" x14ac:dyDescent="0.35">
      <c r="A8981">
        <v>36.789794671272503</v>
      </c>
      <c r="B8981">
        <v>-120.709490654387</v>
      </c>
      <c r="C8981" t="s">
        <v>34</v>
      </c>
      <c r="D8981">
        <v>47.820033434395199</v>
      </c>
      <c r="E8981">
        <v>0</v>
      </c>
      <c r="F8981">
        <v>3853</v>
      </c>
      <c r="G8981">
        <v>3</v>
      </c>
      <c r="H8981">
        <v>1</v>
      </c>
      <c r="I8981">
        <v>1971</v>
      </c>
      <c r="J8981">
        <v>1</v>
      </c>
      <c r="K8981">
        <v>1</v>
      </c>
      <c r="L8981">
        <v>0</v>
      </c>
      <c r="M8981">
        <v>3</v>
      </c>
      <c r="N8981" t="s">
        <v>41</v>
      </c>
      <c r="O8981" t="s">
        <v>30</v>
      </c>
      <c r="P8981">
        <v>5.3436862939616097</v>
      </c>
      <c r="Q8981">
        <v>1.73071333167786</v>
      </c>
      <c r="R8981">
        <v>3.4395199929018299</v>
      </c>
      <c r="S8981">
        <v>178</v>
      </c>
      <c r="T8981">
        <v>56</v>
      </c>
      <c r="U8981">
        <v>219.73944030763201</v>
      </c>
      <c r="V8981">
        <v>7.7861406696080903E-4</v>
      </c>
      <c r="W8981">
        <v>1104204.5725532901</v>
      </c>
      <c r="X8981" t="s">
        <v>36</v>
      </c>
      <c r="Y8981">
        <f>1-872-119-5294</f>
        <v>-6284</v>
      </c>
    </row>
    <row r="8982" spans="1:25" x14ac:dyDescent="0.35">
      <c r="A8982">
        <v>37.535711450884001</v>
      </c>
      <c r="B8982">
        <v>-119.779153197087</v>
      </c>
      <c r="C8982" t="s">
        <v>25</v>
      </c>
      <c r="D8982">
        <v>42.725535361184697</v>
      </c>
      <c r="E8982">
        <v>6</v>
      </c>
      <c r="F8982">
        <v>3830</v>
      </c>
      <c r="G8982">
        <v>1</v>
      </c>
      <c r="H8982">
        <v>3</v>
      </c>
      <c r="I8982">
        <v>1967</v>
      </c>
      <c r="J8982">
        <v>1</v>
      </c>
      <c r="K8982">
        <v>1</v>
      </c>
      <c r="L8982">
        <v>0</v>
      </c>
      <c r="M8982">
        <v>10</v>
      </c>
      <c r="N8982" t="s">
        <v>41</v>
      </c>
      <c r="O8982" t="s">
        <v>27</v>
      </c>
      <c r="P8982">
        <v>3.8611805099518701</v>
      </c>
      <c r="Q8982">
        <v>1.2479447007495199</v>
      </c>
      <c r="R8982">
        <v>0.164551852545953</v>
      </c>
      <c r="S8982">
        <v>90</v>
      </c>
      <c r="T8982">
        <v>56</v>
      </c>
      <c r="U8982">
        <v>558.83319728807101</v>
      </c>
      <c r="V8982">
        <v>2.6109660574412498E-3</v>
      </c>
      <c r="W8982">
        <v>2324303.1934321802</v>
      </c>
      <c r="X8982" t="s">
        <v>36</v>
      </c>
      <c r="Y8982">
        <f>1-753-180-1854</f>
        <v>-2786</v>
      </c>
    </row>
    <row r="8983" spans="1:25" x14ac:dyDescent="0.35">
      <c r="A8983">
        <v>38.735000667707503</v>
      </c>
      <c r="B8983">
        <v>-116.56889508076399</v>
      </c>
      <c r="C8983" t="s">
        <v>29</v>
      </c>
      <c r="D8983">
        <v>13.1928037035094</v>
      </c>
      <c r="E8983">
        <v>8</v>
      </c>
      <c r="F8983">
        <v>1015</v>
      </c>
      <c r="G8983">
        <v>3</v>
      </c>
      <c r="H8983">
        <v>2</v>
      </c>
      <c r="I8983">
        <v>1994</v>
      </c>
      <c r="J8983">
        <v>0</v>
      </c>
      <c r="K8983">
        <v>0</v>
      </c>
      <c r="L8983">
        <v>0</v>
      </c>
      <c r="M8983">
        <v>7</v>
      </c>
      <c r="N8983" t="s">
        <v>41</v>
      </c>
      <c r="O8983" t="s">
        <v>27</v>
      </c>
      <c r="P8983">
        <v>13.3509344243862</v>
      </c>
      <c r="Q8983">
        <v>2.00038167275989</v>
      </c>
      <c r="R8983">
        <v>0.30652715544005998</v>
      </c>
      <c r="S8983">
        <v>191</v>
      </c>
      <c r="T8983">
        <v>29</v>
      </c>
      <c r="U8983">
        <v>211.60308095455201</v>
      </c>
      <c r="V8983">
        <v>6.8965517241379301E-3</v>
      </c>
      <c r="W8983">
        <v>503562.79622137803</v>
      </c>
      <c r="X8983" t="s">
        <v>33</v>
      </c>
      <c r="Y8983">
        <f>1-876-149-4136</f>
        <v>-5160</v>
      </c>
    </row>
    <row r="8984" spans="1:25" x14ac:dyDescent="0.35">
      <c r="A8984">
        <v>39.677846432310801</v>
      </c>
      <c r="B8984">
        <v>-119.29795500395601</v>
      </c>
      <c r="C8984" t="s">
        <v>25</v>
      </c>
      <c r="D8984">
        <v>49.192602072286299</v>
      </c>
      <c r="E8984">
        <v>4</v>
      </c>
      <c r="F8984">
        <v>2946</v>
      </c>
      <c r="G8984">
        <v>5</v>
      </c>
      <c r="H8984">
        <v>3</v>
      </c>
      <c r="I8984">
        <v>1992</v>
      </c>
      <c r="J8984">
        <v>1</v>
      </c>
      <c r="K8984">
        <v>1</v>
      </c>
      <c r="L8984">
        <v>1</v>
      </c>
      <c r="M8984">
        <v>3</v>
      </c>
      <c r="N8984" t="s">
        <v>41</v>
      </c>
      <c r="O8984" t="s">
        <v>30</v>
      </c>
      <c r="P8984">
        <v>2.1507273250264598</v>
      </c>
      <c r="Q8984">
        <v>1.4096310275753201</v>
      </c>
      <c r="R8984">
        <v>0.16938345718056899</v>
      </c>
      <c r="S8984">
        <v>8</v>
      </c>
      <c r="T8984">
        <v>75</v>
      </c>
      <c r="U8984">
        <v>513.31847902911898</v>
      </c>
      <c r="V8984">
        <v>1.0183299389002001E-3</v>
      </c>
      <c r="W8984">
        <v>1988717.7296794299</v>
      </c>
      <c r="X8984" t="s">
        <v>28</v>
      </c>
      <c r="Y8984">
        <f>1-543-309-4931</f>
        <v>-5782</v>
      </c>
    </row>
    <row r="8985" spans="1:25" x14ac:dyDescent="0.35">
      <c r="A8985">
        <v>38.365789620601802</v>
      </c>
      <c r="B8985">
        <v>-121.20220755519399</v>
      </c>
      <c r="C8985" t="s">
        <v>29</v>
      </c>
      <c r="D8985">
        <v>42.7599183799149</v>
      </c>
      <c r="E8985">
        <v>2</v>
      </c>
      <c r="F8985">
        <v>4627</v>
      </c>
      <c r="G8985">
        <v>3</v>
      </c>
      <c r="H8985">
        <v>1</v>
      </c>
      <c r="I8985">
        <v>2016</v>
      </c>
      <c r="J8985">
        <v>1</v>
      </c>
      <c r="K8985">
        <v>0</v>
      </c>
      <c r="L8985">
        <v>1</v>
      </c>
      <c r="M8985">
        <v>8</v>
      </c>
      <c r="N8985" t="s">
        <v>41</v>
      </c>
      <c r="O8985" t="s">
        <v>32</v>
      </c>
      <c r="P8985">
        <v>3.47351031963654</v>
      </c>
      <c r="Q8985">
        <v>2.11868617272969</v>
      </c>
      <c r="R8985">
        <v>9.6190703756991898</v>
      </c>
      <c r="S8985">
        <v>172</v>
      </c>
      <c r="T8985">
        <v>27</v>
      </c>
      <c r="U8985">
        <v>798.22394756939195</v>
      </c>
      <c r="V8985">
        <v>1.7289820618111001E-3</v>
      </c>
      <c r="W8985">
        <v>3867643.29990737</v>
      </c>
      <c r="X8985" t="s">
        <v>40</v>
      </c>
      <c r="Y8985">
        <f>1-829-576-3311</f>
        <v>-4715</v>
      </c>
    </row>
    <row r="8986" spans="1:25" x14ac:dyDescent="0.35">
      <c r="A8986">
        <v>36.373089579200801</v>
      </c>
      <c r="B8986">
        <v>-119.672478613434</v>
      </c>
      <c r="C8986" t="s">
        <v>25</v>
      </c>
      <c r="D8986">
        <v>22.161299405875699</v>
      </c>
      <c r="E8986">
        <v>6</v>
      </c>
      <c r="F8986">
        <v>1847</v>
      </c>
      <c r="G8986">
        <v>5</v>
      </c>
      <c r="H8986">
        <v>1</v>
      </c>
      <c r="I8986">
        <v>2009</v>
      </c>
      <c r="J8986">
        <v>1</v>
      </c>
      <c r="K8986">
        <v>1</v>
      </c>
      <c r="L8986">
        <v>0</v>
      </c>
      <c r="M8986">
        <v>2</v>
      </c>
      <c r="N8986" t="s">
        <v>26</v>
      </c>
      <c r="O8986" t="s">
        <v>27</v>
      </c>
      <c r="P8986">
        <v>7.3553799571230201</v>
      </c>
      <c r="Q8986">
        <v>2.0486092774586799</v>
      </c>
      <c r="R8986">
        <v>7.6725313965136204</v>
      </c>
      <c r="S8986">
        <v>177</v>
      </c>
      <c r="T8986">
        <v>54</v>
      </c>
      <c r="U8986">
        <v>942.61127092344998</v>
      </c>
      <c r="V8986">
        <v>1.08283703302652E-3</v>
      </c>
      <c r="W8986">
        <v>2267471.7802141602</v>
      </c>
      <c r="X8986" t="s">
        <v>43</v>
      </c>
      <c r="Y8986">
        <f>1-657-256-3112</f>
        <v>-4024</v>
      </c>
    </row>
    <row r="8987" spans="1:25" x14ac:dyDescent="0.35">
      <c r="A8987">
        <v>38.545506670592601</v>
      </c>
      <c r="B8987">
        <v>-114.113613127663</v>
      </c>
      <c r="C8987" t="s">
        <v>34</v>
      </c>
      <c r="D8987">
        <v>32.431278186282</v>
      </c>
      <c r="E8987">
        <v>3</v>
      </c>
      <c r="F8987">
        <v>4900</v>
      </c>
      <c r="G8987">
        <v>5</v>
      </c>
      <c r="H8987">
        <v>1</v>
      </c>
      <c r="I8987">
        <v>1994</v>
      </c>
      <c r="J8987">
        <v>0</v>
      </c>
      <c r="K8987">
        <v>0</v>
      </c>
      <c r="L8987">
        <v>1</v>
      </c>
      <c r="M8987">
        <v>10</v>
      </c>
      <c r="N8987" t="s">
        <v>41</v>
      </c>
      <c r="O8987" t="s">
        <v>32</v>
      </c>
      <c r="P8987">
        <v>6.4898724451246403</v>
      </c>
      <c r="Q8987">
        <v>1.5551972682197499</v>
      </c>
      <c r="R8987">
        <v>3.5889585970263398</v>
      </c>
      <c r="S8987">
        <v>111</v>
      </c>
      <c r="T8987">
        <v>21</v>
      </c>
      <c r="U8987">
        <v>250.882532095973</v>
      </c>
      <c r="V8987">
        <v>2.0408163265306098E-3</v>
      </c>
      <c r="W8987">
        <v>1509087.54790423</v>
      </c>
      <c r="X8987" t="s">
        <v>42</v>
      </c>
      <c r="Y8987">
        <f>1-746-649-5691</f>
        <v>-7085</v>
      </c>
    </row>
    <row r="8988" spans="1:25" x14ac:dyDescent="0.35">
      <c r="A8988">
        <v>34.936491708768401</v>
      </c>
      <c r="B8988">
        <v>-117.68639837599</v>
      </c>
      <c r="C8988" t="s">
        <v>25</v>
      </c>
      <c r="D8988">
        <v>35.3396219204798</v>
      </c>
      <c r="E8988">
        <v>2</v>
      </c>
      <c r="F8988">
        <v>2404</v>
      </c>
      <c r="G8988">
        <v>3</v>
      </c>
      <c r="H8988">
        <v>3</v>
      </c>
      <c r="I8988">
        <v>1997</v>
      </c>
      <c r="J8988">
        <v>1</v>
      </c>
      <c r="K8988">
        <v>1</v>
      </c>
      <c r="L8988">
        <v>1</v>
      </c>
      <c r="M8988">
        <v>13</v>
      </c>
      <c r="N8988" t="s">
        <v>41</v>
      </c>
      <c r="O8988" t="s">
        <v>30</v>
      </c>
      <c r="P8988">
        <v>12.781652904259399</v>
      </c>
      <c r="Q8988">
        <v>2.48333245605422</v>
      </c>
      <c r="R8988">
        <v>4.6009501482546096</v>
      </c>
      <c r="S8988">
        <v>94</v>
      </c>
      <c r="T8988">
        <v>71</v>
      </c>
      <c r="U8988">
        <v>293.39565414990102</v>
      </c>
      <c r="V8988">
        <v>5.4076539101497499E-3</v>
      </c>
      <c r="W8988">
        <v>1079072.2524369699</v>
      </c>
      <c r="X8988" t="s">
        <v>36</v>
      </c>
      <c r="Y8988">
        <f>1-341-675-3358</f>
        <v>-4373</v>
      </c>
    </row>
    <row r="8989" spans="1:25" x14ac:dyDescent="0.35">
      <c r="A8989">
        <v>38.582305273581802</v>
      </c>
      <c r="B8989">
        <v>-123.694337090557</v>
      </c>
      <c r="C8989" t="s">
        <v>34</v>
      </c>
      <c r="D8989">
        <v>18.8535742186093</v>
      </c>
      <c r="E8989">
        <v>0</v>
      </c>
      <c r="F8989">
        <v>2072</v>
      </c>
      <c r="G8989">
        <v>2</v>
      </c>
      <c r="H8989">
        <v>2</v>
      </c>
      <c r="I8989">
        <v>1956</v>
      </c>
      <c r="J8989">
        <v>0</v>
      </c>
      <c r="K8989">
        <v>0</v>
      </c>
      <c r="L8989">
        <v>1</v>
      </c>
      <c r="M8989">
        <v>12</v>
      </c>
      <c r="N8989" t="s">
        <v>37</v>
      </c>
      <c r="O8989" t="s">
        <v>27</v>
      </c>
      <c r="P8989">
        <v>11.0335784363384</v>
      </c>
      <c r="Q8989">
        <v>0.79060626522635002</v>
      </c>
      <c r="R8989">
        <v>1.6419892522027699</v>
      </c>
      <c r="S8989">
        <v>0</v>
      </c>
      <c r="T8989">
        <v>76</v>
      </c>
      <c r="U8989">
        <v>444.66393056794499</v>
      </c>
      <c r="V8989">
        <v>5.7915057915057903E-3</v>
      </c>
      <c r="W8989">
        <v>1068570.7500320601</v>
      </c>
      <c r="X8989" t="s">
        <v>31</v>
      </c>
      <c r="Y8989">
        <f>1-902-963-6572</f>
        <v>-8436</v>
      </c>
    </row>
    <row r="8990" spans="1:25" x14ac:dyDescent="0.35">
      <c r="A8990">
        <v>36.944592466219603</v>
      </c>
      <c r="B8990">
        <v>-123.04308502294499</v>
      </c>
      <c r="C8990" t="s">
        <v>25</v>
      </c>
      <c r="D8990">
        <v>36.635395117418497</v>
      </c>
      <c r="E8990">
        <v>4</v>
      </c>
      <c r="F8990">
        <v>4428</v>
      </c>
      <c r="G8990">
        <v>5</v>
      </c>
      <c r="H8990">
        <v>1</v>
      </c>
      <c r="I8990">
        <v>1964</v>
      </c>
      <c r="J8990">
        <v>1</v>
      </c>
      <c r="K8990">
        <v>1</v>
      </c>
      <c r="L8990">
        <v>0</v>
      </c>
      <c r="M8990">
        <v>5</v>
      </c>
      <c r="N8990" t="s">
        <v>41</v>
      </c>
      <c r="O8990" t="s">
        <v>27</v>
      </c>
      <c r="P8990">
        <v>10.930296930611</v>
      </c>
      <c r="Q8990">
        <v>1.19933606997028</v>
      </c>
      <c r="R8990">
        <v>3.6546061303401198</v>
      </c>
      <c r="S8990">
        <v>145</v>
      </c>
      <c r="T8990">
        <v>72</v>
      </c>
      <c r="U8990">
        <v>404.062489634418</v>
      </c>
      <c r="V8990">
        <v>1.12917795844625E-3</v>
      </c>
      <c r="W8990">
        <v>2283134.6431539399</v>
      </c>
      <c r="X8990" t="s">
        <v>42</v>
      </c>
      <c r="Y8990">
        <f>1-789-390-7041</f>
        <v>-8219</v>
      </c>
    </row>
    <row r="8991" spans="1:25" x14ac:dyDescent="0.35">
      <c r="A8991">
        <v>40.869738702109998</v>
      </c>
      <c r="B8991">
        <v>-114.08938462869</v>
      </c>
      <c r="C8991" t="s">
        <v>25</v>
      </c>
      <c r="D8991">
        <v>2.2368309109634401</v>
      </c>
      <c r="E8991">
        <v>3</v>
      </c>
      <c r="F8991">
        <v>3699</v>
      </c>
      <c r="G8991">
        <v>1</v>
      </c>
      <c r="H8991">
        <v>3</v>
      </c>
      <c r="I8991">
        <v>2020</v>
      </c>
      <c r="J8991">
        <v>0</v>
      </c>
      <c r="K8991">
        <v>0</v>
      </c>
      <c r="L8991">
        <v>0</v>
      </c>
      <c r="M8991">
        <v>6</v>
      </c>
      <c r="N8991" t="s">
        <v>35</v>
      </c>
      <c r="O8991" t="s">
        <v>27</v>
      </c>
      <c r="P8991">
        <v>9.2273159622587198</v>
      </c>
      <c r="Q8991">
        <v>1.3056535092450401</v>
      </c>
      <c r="R8991">
        <v>0.29267182384142099</v>
      </c>
      <c r="S8991">
        <v>18</v>
      </c>
      <c r="T8991">
        <v>78</v>
      </c>
      <c r="U8991">
        <v>869.37204796837602</v>
      </c>
      <c r="V8991">
        <v>1.6220600162206E-3</v>
      </c>
      <c r="W8991">
        <v>3477117.5382143999</v>
      </c>
      <c r="X8991" t="s">
        <v>28</v>
      </c>
      <c r="Y8991">
        <f>1-685-436-7298</f>
        <v>-8418</v>
      </c>
    </row>
    <row r="8992" spans="1:25" x14ac:dyDescent="0.35">
      <c r="A8992">
        <v>36.666197636010899</v>
      </c>
      <c r="B8992">
        <v>-123.752525079989</v>
      </c>
      <c r="C8992" t="s">
        <v>29</v>
      </c>
      <c r="D8992">
        <v>16.718978890146101</v>
      </c>
      <c r="E8992">
        <v>1</v>
      </c>
      <c r="F8992">
        <v>1990</v>
      </c>
      <c r="G8992">
        <v>1</v>
      </c>
      <c r="H8992">
        <v>1</v>
      </c>
      <c r="I8992">
        <v>1951</v>
      </c>
      <c r="J8992">
        <v>0</v>
      </c>
      <c r="K8992">
        <v>1</v>
      </c>
      <c r="L8992">
        <v>1</v>
      </c>
      <c r="M8992">
        <v>6</v>
      </c>
      <c r="N8992" t="s">
        <v>26</v>
      </c>
      <c r="O8992" t="s">
        <v>32</v>
      </c>
      <c r="P8992">
        <v>9.8277690679400909</v>
      </c>
      <c r="Q8992">
        <v>1.61896611368548</v>
      </c>
      <c r="R8992">
        <v>3.4441585015360001</v>
      </c>
      <c r="S8992">
        <v>137</v>
      </c>
      <c r="T8992">
        <v>53</v>
      </c>
      <c r="U8992">
        <v>347.78816417519403</v>
      </c>
      <c r="V8992">
        <v>3.0150753768844198E-3</v>
      </c>
      <c r="W8992">
        <v>875425.20725659502</v>
      </c>
      <c r="X8992" t="s">
        <v>42</v>
      </c>
      <c r="Y8992">
        <f>1-340-271-9214</f>
        <v>-9824</v>
      </c>
    </row>
    <row r="8993" spans="1:25" x14ac:dyDescent="0.35">
      <c r="A8993">
        <v>37.937248113507799</v>
      </c>
      <c r="B8993">
        <v>-122.43752841115599</v>
      </c>
      <c r="C8993" t="s">
        <v>25</v>
      </c>
      <c r="D8993">
        <v>35.750933851259703</v>
      </c>
      <c r="E8993">
        <v>5</v>
      </c>
      <c r="F8993">
        <v>3478</v>
      </c>
      <c r="G8993">
        <v>1</v>
      </c>
      <c r="H8993">
        <v>1</v>
      </c>
      <c r="I8993">
        <v>1975</v>
      </c>
      <c r="J8993">
        <v>0</v>
      </c>
      <c r="K8993">
        <v>0</v>
      </c>
      <c r="L8993">
        <v>0</v>
      </c>
      <c r="M8993">
        <v>14</v>
      </c>
      <c r="N8993" t="s">
        <v>35</v>
      </c>
      <c r="O8993" t="s">
        <v>30</v>
      </c>
      <c r="P8993">
        <v>3.4853296765979702</v>
      </c>
      <c r="Q8993">
        <v>1.16865971654213</v>
      </c>
      <c r="R8993">
        <v>9.2418432997322597</v>
      </c>
      <c r="S8993">
        <v>197</v>
      </c>
      <c r="T8993">
        <v>25</v>
      </c>
      <c r="U8993">
        <v>489.86631995098298</v>
      </c>
      <c r="V8993">
        <v>4.0253018976423201E-3</v>
      </c>
      <c r="W8993">
        <v>1649628.9610188</v>
      </c>
      <c r="X8993" t="s">
        <v>42</v>
      </c>
      <c r="Y8993">
        <f>1-638-512-4220</f>
        <v>-5369</v>
      </c>
    </row>
    <row r="8994" spans="1:25" x14ac:dyDescent="0.35">
      <c r="A8994">
        <v>37.607115851266698</v>
      </c>
      <c r="B8994">
        <v>-114.37538961552799</v>
      </c>
      <c r="C8994" t="s">
        <v>34</v>
      </c>
      <c r="D8994">
        <v>2.9046482300486298</v>
      </c>
      <c r="E8994">
        <v>8</v>
      </c>
      <c r="F8994">
        <v>1622</v>
      </c>
      <c r="G8994">
        <v>5</v>
      </c>
      <c r="H8994">
        <v>3</v>
      </c>
      <c r="I8994">
        <v>1958</v>
      </c>
      <c r="J8994">
        <v>0</v>
      </c>
      <c r="K8994">
        <v>1</v>
      </c>
      <c r="L8994">
        <v>1</v>
      </c>
      <c r="M8994">
        <v>11</v>
      </c>
      <c r="N8994" t="s">
        <v>37</v>
      </c>
      <c r="O8994" t="s">
        <v>27</v>
      </c>
      <c r="P8994">
        <v>10.753188791437999</v>
      </c>
      <c r="Q8994">
        <v>2.0172718211761498</v>
      </c>
      <c r="R8994">
        <v>6.7698751329521896</v>
      </c>
      <c r="S8994">
        <v>29</v>
      </c>
      <c r="T8994">
        <v>38</v>
      </c>
      <c r="U8994">
        <v>273.951002148707</v>
      </c>
      <c r="V8994">
        <v>6.7817509247842097E-3</v>
      </c>
      <c r="W8994">
        <v>908324.77580996696</v>
      </c>
      <c r="X8994" t="s">
        <v>42</v>
      </c>
      <c r="Y8994">
        <f>1-927-437-4353</f>
        <v>-5716</v>
      </c>
    </row>
    <row r="8995" spans="1:25" x14ac:dyDescent="0.35">
      <c r="A8995">
        <v>38.703862572524898</v>
      </c>
      <c r="B8995">
        <v>-118.41218189849</v>
      </c>
      <c r="C8995" t="s">
        <v>25</v>
      </c>
      <c r="D8995">
        <v>42.380178566723103</v>
      </c>
      <c r="E8995">
        <v>1</v>
      </c>
      <c r="F8995">
        <v>2856</v>
      </c>
      <c r="G8995">
        <v>3</v>
      </c>
      <c r="H8995">
        <v>2</v>
      </c>
      <c r="I8995">
        <v>1985</v>
      </c>
      <c r="J8995">
        <v>0</v>
      </c>
      <c r="K8995">
        <v>1</v>
      </c>
      <c r="L8995">
        <v>1</v>
      </c>
      <c r="M8995">
        <v>3</v>
      </c>
      <c r="N8995" t="s">
        <v>26</v>
      </c>
      <c r="O8995" t="s">
        <v>30</v>
      </c>
      <c r="P8995">
        <v>8.8891221099607307</v>
      </c>
      <c r="Q8995">
        <v>2.4488627803084699</v>
      </c>
      <c r="R8995">
        <v>9.2028618273643907</v>
      </c>
      <c r="S8995">
        <v>145</v>
      </c>
      <c r="T8995">
        <v>47</v>
      </c>
      <c r="U8995">
        <v>304.12341929791802</v>
      </c>
      <c r="V8995">
        <v>1.0504201680672199E-3</v>
      </c>
      <c r="W8995">
        <v>1218934.1791067601</v>
      </c>
      <c r="X8995" t="s">
        <v>43</v>
      </c>
      <c r="Y8995">
        <f>1-397-250-3475</f>
        <v>-4121</v>
      </c>
    </row>
    <row r="8996" spans="1:25" x14ac:dyDescent="0.35">
      <c r="A8996">
        <v>33.137512142315401</v>
      </c>
      <c r="B8996">
        <v>-117.419504498992</v>
      </c>
      <c r="C8996" t="s">
        <v>25</v>
      </c>
      <c r="D8996">
        <v>45.042851515463802</v>
      </c>
      <c r="E8996">
        <v>7</v>
      </c>
      <c r="F8996">
        <v>1879</v>
      </c>
      <c r="G8996">
        <v>2</v>
      </c>
      <c r="H8996">
        <v>3</v>
      </c>
      <c r="I8996">
        <v>2004</v>
      </c>
      <c r="J8996">
        <v>0</v>
      </c>
      <c r="K8996">
        <v>1</v>
      </c>
      <c r="L8996">
        <v>1</v>
      </c>
      <c r="M8996">
        <v>4</v>
      </c>
      <c r="N8996" t="s">
        <v>35</v>
      </c>
      <c r="O8996" t="s">
        <v>30</v>
      </c>
      <c r="P8996">
        <v>6.3527912470960501</v>
      </c>
      <c r="Q8996">
        <v>1.3982915767366499</v>
      </c>
      <c r="R8996">
        <v>6.8039517606994604</v>
      </c>
      <c r="S8996">
        <v>95</v>
      </c>
      <c r="T8996">
        <v>64</v>
      </c>
      <c r="U8996">
        <v>436.52986293178202</v>
      </c>
      <c r="V8996">
        <v>2.1287919105907301E-3</v>
      </c>
      <c r="W8996">
        <v>1089416.7587792401</v>
      </c>
      <c r="X8996" t="s">
        <v>36</v>
      </c>
      <c r="Y8996">
        <f>1-861-117-9108</f>
        <v>-10085</v>
      </c>
    </row>
    <row r="8997" spans="1:25" x14ac:dyDescent="0.35">
      <c r="A8997">
        <v>37.9083887733834</v>
      </c>
      <c r="B8997">
        <v>-116.71221277235399</v>
      </c>
      <c r="C8997" t="s">
        <v>29</v>
      </c>
      <c r="D8997">
        <v>20.249247095567</v>
      </c>
      <c r="E8997">
        <v>5</v>
      </c>
      <c r="F8997">
        <v>4209</v>
      </c>
      <c r="G8997">
        <v>3</v>
      </c>
      <c r="H8997">
        <v>3</v>
      </c>
      <c r="I8997">
        <v>1956</v>
      </c>
      <c r="J8997">
        <v>0</v>
      </c>
      <c r="K8997">
        <v>0</v>
      </c>
      <c r="L8997">
        <v>0</v>
      </c>
      <c r="M8997">
        <v>11</v>
      </c>
      <c r="N8997" t="s">
        <v>37</v>
      </c>
      <c r="O8997" t="s">
        <v>27</v>
      </c>
      <c r="P8997">
        <v>9.9144547565488104</v>
      </c>
      <c r="Q8997">
        <v>2.1464872166100899</v>
      </c>
      <c r="R8997">
        <v>8.3142509472678903</v>
      </c>
      <c r="S8997">
        <v>12</v>
      </c>
      <c r="T8997">
        <v>29</v>
      </c>
      <c r="U8997">
        <v>526.88307609806895</v>
      </c>
      <c r="V8997">
        <v>2.6134473746733098E-3</v>
      </c>
      <c r="W8997">
        <v>2432941.3251097701</v>
      </c>
      <c r="X8997" t="s">
        <v>28</v>
      </c>
      <c r="Y8997">
        <f>1-235-945-9260</f>
        <v>-10439</v>
      </c>
    </row>
    <row r="8998" spans="1:25" x14ac:dyDescent="0.35">
      <c r="A8998">
        <v>41.721320827409599</v>
      </c>
      <c r="B8998">
        <v>-115.599095553962</v>
      </c>
      <c r="C8998" t="s">
        <v>25</v>
      </c>
      <c r="D8998">
        <v>27.301775205697801</v>
      </c>
      <c r="E8998">
        <v>9</v>
      </c>
      <c r="F8998">
        <v>2637</v>
      </c>
      <c r="G8998">
        <v>5</v>
      </c>
      <c r="H8998">
        <v>1</v>
      </c>
      <c r="I8998">
        <v>1951</v>
      </c>
      <c r="J8998">
        <v>1</v>
      </c>
      <c r="K8998">
        <v>1</v>
      </c>
      <c r="L8998">
        <v>0</v>
      </c>
      <c r="M8998">
        <v>3</v>
      </c>
      <c r="N8998" t="s">
        <v>41</v>
      </c>
      <c r="O8998" t="s">
        <v>30</v>
      </c>
      <c r="P8998">
        <v>14.7104595106044</v>
      </c>
      <c r="Q8998">
        <v>2.0038300264150801</v>
      </c>
      <c r="R8998">
        <v>5.2138138121811597</v>
      </c>
      <c r="S8998">
        <v>126</v>
      </c>
      <c r="T8998">
        <v>50</v>
      </c>
      <c r="U8998">
        <v>250.156761881438</v>
      </c>
      <c r="V8998">
        <v>1.1376564277588101E-3</v>
      </c>
      <c r="W8998">
        <v>1042873.9625266599</v>
      </c>
      <c r="X8998" t="s">
        <v>44</v>
      </c>
      <c r="Y8998">
        <f>1-624-967-7288</f>
        <v>-8878</v>
      </c>
    </row>
    <row r="8999" spans="1:25" x14ac:dyDescent="0.35">
      <c r="A8999">
        <v>36.026563259763002</v>
      </c>
      <c r="B8999">
        <v>-115.642551209198</v>
      </c>
      <c r="C8999" t="s">
        <v>25</v>
      </c>
      <c r="D8999">
        <v>13.534922078749499</v>
      </c>
      <c r="E8999">
        <v>7</v>
      </c>
      <c r="F8999">
        <v>3284</v>
      </c>
      <c r="G8999">
        <v>4</v>
      </c>
      <c r="H8999">
        <v>2</v>
      </c>
      <c r="I8999">
        <v>1952</v>
      </c>
      <c r="J8999">
        <v>0</v>
      </c>
      <c r="K8999">
        <v>0</v>
      </c>
      <c r="L8999">
        <v>1</v>
      </c>
      <c r="M8999">
        <v>10</v>
      </c>
      <c r="N8999" t="s">
        <v>35</v>
      </c>
      <c r="O8999" t="s">
        <v>32</v>
      </c>
      <c r="P8999">
        <v>12.8886743449071</v>
      </c>
      <c r="Q8999">
        <v>1.9046077851424901</v>
      </c>
      <c r="R8999">
        <v>3.4784764429382</v>
      </c>
      <c r="S8999">
        <v>89</v>
      </c>
      <c r="T8999">
        <v>78</v>
      </c>
      <c r="U8999">
        <v>901.12733252169699</v>
      </c>
      <c r="V8999">
        <v>3.0450669914738101E-3</v>
      </c>
      <c r="W8999">
        <v>3165249.91617963</v>
      </c>
      <c r="X8999" t="s">
        <v>43</v>
      </c>
      <c r="Y8999">
        <f>1-511-859-3194</f>
        <v>-4563</v>
      </c>
    </row>
    <row r="9000" spans="1:25" x14ac:dyDescent="0.35">
      <c r="A9000">
        <v>36.199558127463199</v>
      </c>
      <c r="B9000">
        <v>-122.434840073234</v>
      </c>
      <c r="C9000" t="s">
        <v>29</v>
      </c>
      <c r="D9000">
        <v>38.4340413228595</v>
      </c>
      <c r="E9000">
        <v>4</v>
      </c>
      <c r="F9000">
        <v>2475</v>
      </c>
      <c r="G9000">
        <v>1</v>
      </c>
      <c r="H9000">
        <v>3</v>
      </c>
      <c r="I9000">
        <v>1993</v>
      </c>
      <c r="J9000">
        <v>0</v>
      </c>
      <c r="K9000">
        <v>1</v>
      </c>
      <c r="L9000">
        <v>1</v>
      </c>
      <c r="M9000">
        <v>5</v>
      </c>
      <c r="N9000" t="s">
        <v>26</v>
      </c>
      <c r="O9000" t="s">
        <v>32</v>
      </c>
      <c r="P9000">
        <v>8.7885598758909698</v>
      </c>
      <c r="Q9000">
        <v>1.0367411847902099</v>
      </c>
      <c r="R9000">
        <v>2.4212522318549201</v>
      </c>
      <c r="S9000">
        <v>39</v>
      </c>
      <c r="T9000">
        <v>70</v>
      </c>
      <c r="U9000">
        <v>282.79185204512601</v>
      </c>
      <c r="V9000">
        <v>2.0202020202020202E-3</v>
      </c>
      <c r="W9000">
        <v>1072093.34909447</v>
      </c>
      <c r="X9000" t="s">
        <v>31</v>
      </c>
      <c r="Y9000">
        <f>1-377-318-9227</f>
        <v>-9921</v>
      </c>
    </row>
    <row r="9001" spans="1:25" x14ac:dyDescent="0.35">
      <c r="A9001">
        <v>40.594855291172202</v>
      </c>
      <c r="B9001">
        <v>-114.824114840216</v>
      </c>
      <c r="C9001" t="s">
        <v>34</v>
      </c>
      <c r="D9001">
        <v>18.874148410992099</v>
      </c>
      <c r="E9001">
        <v>8</v>
      </c>
      <c r="F9001">
        <v>1830</v>
      </c>
      <c r="G9001">
        <v>3</v>
      </c>
      <c r="H9001">
        <v>2</v>
      </c>
      <c r="I9001">
        <v>1955</v>
      </c>
      <c r="J9001">
        <v>0</v>
      </c>
      <c r="K9001">
        <v>0</v>
      </c>
      <c r="L9001">
        <v>1</v>
      </c>
      <c r="M9001">
        <v>10</v>
      </c>
      <c r="N9001" t="s">
        <v>26</v>
      </c>
      <c r="O9001" t="s">
        <v>30</v>
      </c>
      <c r="P9001">
        <v>14.625243094144</v>
      </c>
      <c r="Q9001">
        <v>0.58580238660471895</v>
      </c>
      <c r="R9001">
        <v>2.6648563364506699</v>
      </c>
      <c r="S9001">
        <v>135</v>
      </c>
      <c r="T9001">
        <v>33</v>
      </c>
      <c r="U9001">
        <v>336.41248854133198</v>
      </c>
      <c r="V9001">
        <v>5.4644808743169399E-3</v>
      </c>
      <c r="W9001">
        <v>840332.85899014201</v>
      </c>
      <c r="X9001" t="s">
        <v>39</v>
      </c>
      <c r="Y9001">
        <f>1-956-381-6212</f>
        <v>-7548</v>
      </c>
    </row>
    <row r="9002" spans="1:25" x14ac:dyDescent="0.35">
      <c r="A9002">
        <v>36.4357272065972</v>
      </c>
      <c r="B9002">
        <v>-120.892353817535</v>
      </c>
      <c r="C9002" t="s">
        <v>34</v>
      </c>
      <c r="D9002">
        <v>41.1190571446324</v>
      </c>
      <c r="E9002">
        <v>5</v>
      </c>
      <c r="F9002">
        <v>3859</v>
      </c>
      <c r="G9002">
        <v>3</v>
      </c>
      <c r="H9002">
        <v>1</v>
      </c>
      <c r="I9002">
        <v>1997</v>
      </c>
      <c r="J9002">
        <v>0</v>
      </c>
      <c r="K9002">
        <v>0</v>
      </c>
      <c r="L9002">
        <v>0</v>
      </c>
      <c r="M9002">
        <v>14</v>
      </c>
      <c r="N9002" t="s">
        <v>26</v>
      </c>
      <c r="O9002" t="s">
        <v>30</v>
      </c>
      <c r="P9002">
        <v>7.5023356679175297</v>
      </c>
      <c r="Q9002">
        <v>1.28368095020582</v>
      </c>
      <c r="R9002">
        <v>6.5081155188778403</v>
      </c>
      <c r="S9002">
        <v>154</v>
      </c>
      <c r="T9002">
        <v>51</v>
      </c>
      <c r="U9002">
        <v>672.672690719407</v>
      </c>
      <c r="V9002">
        <v>3.6278828712101498E-3</v>
      </c>
      <c r="W9002">
        <v>2721608.01076223</v>
      </c>
      <c r="X9002" t="s">
        <v>33</v>
      </c>
      <c r="Y9002">
        <f>1-511-289-5164</f>
        <v>-5963</v>
      </c>
    </row>
    <row r="9003" spans="1:25" x14ac:dyDescent="0.35">
      <c r="A9003">
        <v>39.193160186182098</v>
      </c>
      <c r="B9003">
        <v>-115.842951271578</v>
      </c>
      <c r="C9003" t="s">
        <v>25</v>
      </c>
      <c r="D9003">
        <v>40.188575881379201</v>
      </c>
      <c r="E9003">
        <v>8</v>
      </c>
      <c r="F9003">
        <v>1908</v>
      </c>
      <c r="G9003">
        <v>2</v>
      </c>
      <c r="H9003">
        <v>1</v>
      </c>
      <c r="I9003">
        <v>1982</v>
      </c>
      <c r="J9003">
        <v>0</v>
      </c>
      <c r="K9003">
        <v>1</v>
      </c>
      <c r="L9003">
        <v>0</v>
      </c>
      <c r="M9003">
        <v>3</v>
      </c>
      <c r="N9003" t="s">
        <v>37</v>
      </c>
      <c r="O9003" t="s">
        <v>27</v>
      </c>
      <c r="P9003">
        <v>2.2104167396199101</v>
      </c>
      <c r="Q9003">
        <v>0.91399557237448403</v>
      </c>
      <c r="R9003">
        <v>0.10319278227683799</v>
      </c>
      <c r="S9003">
        <v>102</v>
      </c>
      <c r="T9003">
        <v>59</v>
      </c>
      <c r="U9003">
        <v>351.81880989051501</v>
      </c>
      <c r="V9003">
        <v>1.5723270440251499E-3</v>
      </c>
      <c r="W9003">
        <v>894942.62077573105</v>
      </c>
      <c r="X9003" t="s">
        <v>40</v>
      </c>
      <c r="Y9003">
        <f>1-954-618-6033</f>
        <v>-7604</v>
      </c>
    </row>
    <row r="9004" spans="1:25" x14ac:dyDescent="0.35">
      <c r="A9004">
        <v>35.819618816095499</v>
      </c>
      <c r="B9004">
        <v>-118.40285575956599</v>
      </c>
      <c r="C9004" t="s">
        <v>34</v>
      </c>
      <c r="D9004">
        <v>31.920635153017699</v>
      </c>
      <c r="E9004">
        <v>3</v>
      </c>
      <c r="F9004">
        <v>4364</v>
      </c>
      <c r="G9004">
        <v>5</v>
      </c>
      <c r="H9004">
        <v>1</v>
      </c>
      <c r="I9004">
        <v>1996</v>
      </c>
      <c r="J9004">
        <v>1</v>
      </c>
      <c r="K9004">
        <v>1</v>
      </c>
      <c r="L9004">
        <v>1</v>
      </c>
      <c r="M9004">
        <v>10</v>
      </c>
      <c r="N9004" t="s">
        <v>26</v>
      </c>
      <c r="O9004" t="s">
        <v>27</v>
      </c>
      <c r="P9004">
        <v>5.3709234702469599</v>
      </c>
      <c r="Q9004">
        <v>0.50609315678895195</v>
      </c>
      <c r="R9004">
        <v>9.5209432901863398</v>
      </c>
      <c r="S9004">
        <v>114</v>
      </c>
      <c r="T9004">
        <v>37</v>
      </c>
      <c r="U9004">
        <v>657.27116903194894</v>
      </c>
      <c r="V9004">
        <v>2.2914757103574702E-3</v>
      </c>
      <c r="W9004">
        <v>3232161.2065245002</v>
      </c>
      <c r="X9004" t="s">
        <v>44</v>
      </c>
      <c r="Y9004">
        <f>1-560-497-4117</f>
        <v>-5173</v>
      </c>
    </row>
    <row r="9005" spans="1:25" x14ac:dyDescent="0.35">
      <c r="A9005">
        <v>37.513650047129701</v>
      </c>
      <c r="B9005">
        <v>-117.86019546661799</v>
      </c>
      <c r="C9005" t="s">
        <v>25</v>
      </c>
      <c r="D9005">
        <v>30.259014888337099</v>
      </c>
      <c r="E9005">
        <v>6</v>
      </c>
      <c r="F9005">
        <v>1503</v>
      </c>
      <c r="G9005">
        <v>3</v>
      </c>
      <c r="H9005">
        <v>1</v>
      </c>
      <c r="I9005">
        <v>1952</v>
      </c>
      <c r="J9005">
        <v>1</v>
      </c>
      <c r="K9005">
        <v>0</v>
      </c>
      <c r="L9005">
        <v>0</v>
      </c>
      <c r="M9005">
        <v>14</v>
      </c>
      <c r="N9005" t="s">
        <v>41</v>
      </c>
      <c r="O9005" t="s">
        <v>27</v>
      </c>
      <c r="P9005">
        <v>7.1067841299505199</v>
      </c>
      <c r="Q9005">
        <v>0.53270640787637702</v>
      </c>
      <c r="R9005">
        <v>6.3845000866904504</v>
      </c>
      <c r="S9005">
        <v>91</v>
      </c>
      <c r="T9005">
        <v>69</v>
      </c>
      <c r="U9005">
        <v>684.01495876460501</v>
      </c>
      <c r="V9005">
        <v>9.3147039254823597E-3</v>
      </c>
      <c r="W9005">
        <v>1198352.42047059</v>
      </c>
      <c r="X9005" t="s">
        <v>33</v>
      </c>
      <c r="Y9005">
        <f>1-462-348-1476</f>
        <v>-2285</v>
      </c>
    </row>
    <row r="9006" spans="1:25" x14ac:dyDescent="0.35">
      <c r="A9006">
        <v>36.074545720205499</v>
      </c>
      <c r="B9006">
        <v>-116.037481574696</v>
      </c>
      <c r="C9006" t="s">
        <v>34</v>
      </c>
      <c r="D9006">
        <v>12.534268514945101</v>
      </c>
      <c r="E9006">
        <v>8</v>
      </c>
      <c r="F9006">
        <v>2091</v>
      </c>
      <c r="G9006">
        <v>2</v>
      </c>
      <c r="H9006">
        <v>1</v>
      </c>
      <c r="I9006">
        <v>1988</v>
      </c>
      <c r="J9006">
        <v>0</v>
      </c>
      <c r="K9006">
        <v>0</v>
      </c>
      <c r="L9006">
        <v>1</v>
      </c>
      <c r="M9006">
        <v>7</v>
      </c>
      <c r="N9006" t="s">
        <v>26</v>
      </c>
      <c r="O9006" t="s">
        <v>32</v>
      </c>
      <c r="P9006">
        <v>12.5591950578808</v>
      </c>
      <c r="Q9006">
        <v>1.0390014933301199</v>
      </c>
      <c r="R9006">
        <v>8.4197040796873708</v>
      </c>
      <c r="S9006">
        <v>139</v>
      </c>
      <c r="T9006">
        <v>29</v>
      </c>
      <c r="U9006">
        <v>720.55079488664603</v>
      </c>
      <c r="V9006">
        <v>3.3476805356288798E-3</v>
      </c>
      <c r="W9006">
        <v>1642236.17432017</v>
      </c>
      <c r="X9006" t="s">
        <v>44</v>
      </c>
      <c r="Y9006">
        <f>1-331-684-9283</f>
        <v>-10297</v>
      </c>
    </row>
    <row r="9007" spans="1:25" x14ac:dyDescent="0.35">
      <c r="A9007">
        <v>38.622762633682001</v>
      </c>
      <c r="B9007">
        <v>-116.576175272501</v>
      </c>
      <c r="C9007" t="s">
        <v>34</v>
      </c>
      <c r="D9007">
        <v>20.0986072669834</v>
      </c>
      <c r="E9007">
        <v>2</v>
      </c>
      <c r="F9007">
        <v>4286</v>
      </c>
      <c r="G9007">
        <v>1</v>
      </c>
      <c r="H9007">
        <v>3</v>
      </c>
      <c r="I9007">
        <v>1962</v>
      </c>
      <c r="J9007">
        <v>1</v>
      </c>
      <c r="K9007">
        <v>0</v>
      </c>
      <c r="L9007">
        <v>0</v>
      </c>
      <c r="M9007">
        <v>2</v>
      </c>
      <c r="N9007" t="s">
        <v>26</v>
      </c>
      <c r="O9007" t="s">
        <v>27</v>
      </c>
      <c r="P9007">
        <v>8.6505810695962104</v>
      </c>
      <c r="Q9007">
        <v>0.94045123109394402</v>
      </c>
      <c r="R9007">
        <v>8.5456512778331799</v>
      </c>
      <c r="S9007">
        <v>10</v>
      </c>
      <c r="T9007">
        <v>65</v>
      </c>
      <c r="U9007">
        <v>799.338962439238</v>
      </c>
      <c r="V9007">
        <v>4.66635557629491E-4</v>
      </c>
      <c r="W9007">
        <v>3551276.3472565198</v>
      </c>
      <c r="X9007" t="s">
        <v>42</v>
      </c>
      <c r="Y9007">
        <f>1-685-923-6889</f>
        <v>-8496</v>
      </c>
    </row>
    <row r="9008" spans="1:25" x14ac:dyDescent="0.35">
      <c r="A9008">
        <v>40.769014929408598</v>
      </c>
      <c r="B9008">
        <v>-119.15986042679</v>
      </c>
      <c r="C9008" t="s">
        <v>25</v>
      </c>
      <c r="D9008">
        <v>40.887237022116203</v>
      </c>
      <c r="E9008">
        <v>3</v>
      </c>
      <c r="F9008">
        <v>2246</v>
      </c>
      <c r="G9008">
        <v>5</v>
      </c>
      <c r="H9008">
        <v>1</v>
      </c>
      <c r="I9008">
        <v>2001</v>
      </c>
      <c r="J9008">
        <v>0</v>
      </c>
      <c r="K9008">
        <v>0</v>
      </c>
      <c r="L9008">
        <v>1</v>
      </c>
      <c r="M9008">
        <v>8</v>
      </c>
      <c r="N9008" t="s">
        <v>37</v>
      </c>
      <c r="O9008" t="s">
        <v>32</v>
      </c>
      <c r="P9008">
        <v>3.81706838176222</v>
      </c>
      <c r="Q9008">
        <v>1.81889581669025</v>
      </c>
      <c r="R9008">
        <v>2.0370168377661999</v>
      </c>
      <c r="S9008">
        <v>8</v>
      </c>
      <c r="T9008">
        <v>63</v>
      </c>
      <c r="U9008">
        <v>525.04113076968497</v>
      </c>
      <c r="V9008">
        <v>3.5618878005342801E-3</v>
      </c>
      <c r="W9008">
        <v>1425953.68238585</v>
      </c>
      <c r="X9008" t="s">
        <v>28</v>
      </c>
      <c r="Y9008">
        <f>1-283-482-9735</f>
        <v>-10499</v>
      </c>
    </row>
    <row r="9009" spans="1:25" x14ac:dyDescent="0.35">
      <c r="A9009">
        <v>35.827811554426098</v>
      </c>
      <c r="B9009">
        <v>-122.555024298807</v>
      </c>
      <c r="C9009" t="s">
        <v>25</v>
      </c>
      <c r="D9009">
        <v>27.964936825843601</v>
      </c>
      <c r="E9009">
        <v>9</v>
      </c>
      <c r="F9009">
        <v>1541</v>
      </c>
      <c r="G9009">
        <v>5</v>
      </c>
      <c r="H9009">
        <v>1</v>
      </c>
      <c r="I9009">
        <v>1987</v>
      </c>
      <c r="J9009">
        <v>0</v>
      </c>
      <c r="K9009">
        <v>1</v>
      </c>
      <c r="L9009">
        <v>1</v>
      </c>
      <c r="M9009">
        <v>12</v>
      </c>
      <c r="N9009" t="s">
        <v>35</v>
      </c>
      <c r="O9009" t="s">
        <v>32</v>
      </c>
      <c r="P9009">
        <v>4.2284780916415503</v>
      </c>
      <c r="Q9009">
        <v>0.91968973261503795</v>
      </c>
      <c r="R9009">
        <v>9.4686120488854204</v>
      </c>
      <c r="S9009">
        <v>85</v>
      </c>
      <c r="T9009">
        <v>79</v>
      </c>
      <c r="U9009">
        <v>717.94494513948996</v>
      </c>
      <c r="V9009">
        <v>7.7871512005191403E-3</v>
      </c>
      <c r="W9009">
        <v>1499237.7408535001</v>
      </c>
      <c r="X9009" t="s">
        <v>42</v>
      </c>
      <c r="Y9009">
        <f>1-937-551-9347</f>
        <v>-10834</v>
      </c>
    </row>
    <row r="9010" spans="1:25" x14ac:dyDescent="0.35">
      <c r="A9010">
        <v>36.168949478077003</v>
      </c>
      <c r="B9010">
        <v>-121.420686934214</v>
      </c>
      <c r="C9010" t="s">
        <v>25</v>
      </c>
      <c r="D9010">
        <v>41.784137023276102</v>
      </c>
      <c r="E9010">
        <v>6</v>
      </c>
      <c r="F9010">
        <v>1017</v>
      </c>
      <c r="G9010">
        <v>5</v>
      </c>
      <c r="H9010">
        <v>1</v>
      </c>
      <c r="I9010">
        <v>2008</v>
      </c>
      <c r="J9010">
        <v>0</v>
      </c>
      <c r="K9010">
        <v>0</v>
      </c>
      <c r="L9010">
        <v>0</v>
      </c>
      <c r="M9010">
        <v>9</v>
      </c>
      <c r="N9010" t="s">
        <v>26</v>
      </c>
      <c r="O9010" t="s">
        <v>30</v>
      </c>
      <c r="P9010">
        <v>4.7445880713952802</v>
      </c>
      <c r="Q9010">
        <v>1.74746350278976</v>
      </c>
      <c r="R9010">
        <v>5.9061729120525799</v>
      </c>
      <c r="S9010">
        <v>45</v>
      </c>
      <c r="T9010">
        <v>74</v>
      </c>
      <c r="U9010">
        <v>889.48638076277996</v>
      </c>
      <c r="V9010">
        <v>8.8495575221238902E-3</v>
      </c>
      <c r="W9010">
        <v>1104111.77055911</v>
      </c>
      <c r="X9010" t="s">
        <v>44</v>
      </c>
      <c r="Y9010">
        <f>1-980-666-4878</f>
        <v>-6523</v>
      </c>
    </row>
    <row r="9011" spans="1:25" x14ac:dyDescent="0.35">
      <c r="A9011">
        <v>33.814652466717298</v>
      </c>
      <c r="B9011">
        <v>-121.713038334584</v>
      </c>
      <c r="C9011" t="s">
        <v>25</v>
      </c>
      <c r="D9011">
        <v>14.5147851265156</v>
      </c>
      <c r="E9011">
        <v>2</v>
      </c>
      <c r="F9011">
        <v>3469</v>
      </c>
      <c r="G9011">
        <v>2</v>
      </c>
      <c r="H9011">
        <v>1</v>
      </c>
      <c r="I9011">
        <v>2021</v>
      </c>
      <c r="J9011">
        <v>1</v>
      </c>
      <c r="K9011">
        <v>0</v>
      </c>
      <c r="L9011">
        <v>0</v>
      </c>
      <c r="M9011">
        <v>2</v>
      </c>
      <c r="N9011" t="s">
        <v>41</v>
      </c>
      <c r="O9011" t="s">
        <v>27</v>
      </c>
      <c r="P9011">
        <v>8.5807843071446595</v>
      </c>
      <c r="Q9011">
        <v>2.4634485631859202</v>
      </c>
      <c r="R9011">
        <v>2.1745578070329099</v>
      </c>
      <c r="S9011">
        <v>33</v>
      </c>
      <c r="T9011">
        <v>63</v>
      </c>
      <c r="U9011">
        <v>480.75575037141698</v>
      </c>
      <c r="V9011">
        <v>5.7653502450273804E-4</v>
      </c>
      <c r="W9011">
        <v>1890533.6217107</v>
      </c>
      <c r="X9011" t="s">
        <v>44</v>
      </c>
      <c r="Y9011">
        <f>1-204-932-2294</f>
        <v>-3429</v>
      </c>
    </row>
    <row r="9012" spans="1:25" x14ac:dyDescent="0.35">
      <c r="A9012">
        <v>34.837477385414303</v>
      </c>
      <c r="B9012">
        <v>-119.875831610698</v>
      </c>
      <c r="C9012" t="s">
        <v>29</v>
      </c>
      <c r="D9012">
        <v>28.955823929522399</v>
      </c>
      <c r="E9012">
        <v>5</v>
      </c>
      <c r="F9012">
        <v>3142</v>
      </c>
      <c r="G9012">
        <v>5</v>
      </c>
      <c r="H9012">
        <v>3</v>
      </c>
      <c r="I9012">
        <v>1980</v>
      </c>
      <c r="J9012">
        <v>1</v>
      </c>
      <c r="K9012">
        <v>0</v>
      </c>
      <c r="L9012">
        <v>1</v>
      </c>
      <c r="M9012">
        <v>8</v>
      </c>
      <c r="N9012" t="s">
        <v>26</v>
      </c>
      <c r="O9012" t="s">
        <v>30</v>
      </c>
      <c r="P9012">
        <v>2.9548271968706601</v>
      </c>
      <c r="Q9012">
        <v>1.7548981715801799</v>
      </c>
      <c r="R9012">
        <v>5.1915554826304602</v>
      </c>
      <c r="S9012">
        <v>38</v>
      </c>
      <c r="T9012">
        <v>39</v>
      </c>
      <c r="U9012">
        <v>936.99585264323798</v>
      </c>
      <c r="V9012">
        <v>2.5461489497135498E-3</v>
      </c>
      <c r="W9012">
        <v>3245036.7772020702</v>
      </c>
      <c r="X9012" t="s">
        <v>31</v>
      </c>
      <c r="Y9012">
        <f>1-295-441-7029</f>
        <v>-7764</v>
      </c>
    </row>
    <row r="9013" spans="1:25" x14ac:dyDescent="0.35">
      <c r="A9013">
        <v>35.322376385400197</v>
      </c>
      <c r="B9013">
        <v>-114.61469992094</v>
      </c>
      <c r="C9013" t="s">
        <v>25</v>
      </c>
      <c r="D9013">
        <v>18.945200334814199</v>
      </c>
      <c r="E9013">
        <v>2</v>
      </c>
      <c r="F9013">
        <v>3513</v>
      </c>
      <c r="G9013">
        <v>4</v>
      </c>
      <c r="H9013">
        <v>2</v>
      </c>
      <c r="I9013">
        <v>1993</v>
      </c>
      <c r="J9013">
        <v>1</v>
      </c>
      <c r="K9013">
        <v>1</v>
      </c>
      <c r="L9013">
        <v>0</v>
      </c>
      <c r="M9013">
        <v>7</v>
      </c>
      <c r="N9013" t="s">
        <v>37</v>
      </c>
      <c r="O9013" t="s">
        <v>32</v>
      </c>
      <c r="P9013">
        <v>9.8987075992290592</v>
      </c>
      <c r="Q9013">
        <v>2.4139582238313202</v>
      </c>
      <c r="R9013">
        <v>6.8116967895099299</v>
      </c>
      <c r="S9013">
        <v>125</v>
      </c>
      <c r="T9013">
        <v>60</v>
      </c>
      <c r="U9013">
        <v>562.24769427808803</v>
      </c>
      <c r="V9013">
        <v>1.9925989183034402E-3</v>
      </c>
      <c r="W9013">
        <v>2367611.8767275</v>
      </c>
      <c r="X9013" t="s">
        <v>43</v>
      </c>
      <c r="Y9013">
        <f>1-838-991-7777</f>
        <v>-9605</v>
      </c>
    </row>
    <row r="9014" spans="1:25" x14ac:dyDescent="0.35">
      <c r="A9014">
        <v>36.209510145965297</v>
      </c>
      <c r="B9014">
        <v>-117.99418789675001</v>
      </c>
      <c r="C9014" t="s">
        <v>34</v>
      </c>
      <c r="D9014">
        <v>19.396502559717501</v>
      </c>
      <c r="E9014">
        <v>7</v>
      </c>
      <c r="F9014">
        <v>1685</v>
      </c>
      <c r="G9014">
        <v>1</v>
      </c>
      <c r="H9014">
        <v>2</v>
      </c>
      <c r="I9014">
        <v>1974</v>
      </c>
      <c r="J9014">
        <v>1</v>
      </c>
      <c r="K9014">
        <v>0</v>
      </c>
      <c r="L9014">
        <v>0</v>
      </c>
      <c r="M9014">
        <v>8</v>
      </c>
      <c r="N9014" t="s">
        <v>35</v>
      </c>
      <c r="O9014" t="s">
        <v>32</v>
      </c>
      <c r="P9014">
        <v>5.05470271723624</v>
      </c>
      <c r="Q9014">
        <v>1.7496943734624</v>
      </c>
      <c r="R9014">
        <v>9.2360467506067199</v>
      </c>
      <c r="S9014">
        <v>19</v>
      </c>
      <c r="T9014">
        <v>34</v>
      </c>
      <c r="U9014">
        <v>563.98254626537505</v>
      </c>
      <c r="V9014">
        <v>4.7477744807121599E-3</v>
      </c>
      <c r="W9014">
        <v>1005058.15906074</v>
      </c>
      <c r="X9014" t="s">
        <v>40</v>
      </c>
      <c r="Y9014">
        <f>1-434-197-8042</f>
        <v>-8672</v>
      </c>
    </row>
    <row r="9015" spans="1:25" x14ac:dyDescent="0.35">
      <c r="A9015">
        <v>41.952236388507899</v>
      </c>
      <c r="B9015">
        <v>-118.675804886454</v>
      </c>
      <c r="C9015" t="s">
        <v>29</v>
      </c>
      <c r="D9015">
        <v>39.299072499751503</v>
      </c>
      <c r="E9015">
        <v>9</v>
      </c>
      <c r="F9015">
        <v>1088</v>
      </c>
      <c r="G9015">
        <v>5</v>
      </c>
      <c r="H9015">
        <v>2</v>
      </c>
      <c r="I9015">
        <v>1959</v>
      </c>
      <c r="J9015">
        <v>1</v>
      </c>
      <c r="K9015">
        <v>0</v>
      </c>
      <c r="L9015">
        <v>1</v>
      </c>
      <c r="M9015">
        <v>4</v>
      </c>
      <c r="N9015" t="s">
        <v>26</v>
      </c>
      <c r="O9015" t="s">
        <v>30</v>
      </c>
      <c r="P9015">
        <v>5.6951955225600202</v>
      </c>
      <c r="Q9015">
        <v>2.2547071196052402</v>
      </c>
      <c r="R9015">
        <v>5.9663538012637298</v>
      </c>
      <c r="S9015">
        <v>25</v>
      </c>
      <c r="T9015">
        <v>71</v>
      </c>
      <c r="U9015">
        <v>334.70611184395801</v>
      </c>
      <c r="V9015">
        <v>3.6764705882352902E-3</v>
      </c>
      <c r="W9015">
        <v>641099.81952013599</v>
      </c>
      <c r="X9015" t="s">
        <v>43</v>
      </c>
      <c r="Y9015">
        <f>1-629-372-2217</f>
        <v>-3217</v>
      </c>
    </row>
    <row r="9016" spans="1:25" x14ac:dyDescent="0.35">
      <c r="A9016">
        <v>38.909154344458798</v>
      </c>
      <c r="B9016">
        <v>-119.66348152227</v>
      </c>
      <c r="C9016" t="s">
        <v>25</v>
      </c>
      <c r="D9016">
        <v>28.628658946051399</v>
      </c>
      <c r="E9016">
        <v>9</v>
      </c>
      <c r="F9016">
        <v>1180</v>
      </c>
      <c r="G9016">
        <v>3</v>
      </c>
      <c r="H9016">
        <v>2</v>
      </c>
      <c r="I9016">
        <v>1994</v>
      </c>
      <c r="J9016">
        <v>1</v>
      </c>
      <c r="K9016">
        <v>0</v>
      </c>
      <c r="L9016">
        <v>1</v>
      </c>
      <c r="M9016">
        <v>14</v>
      </c>
      <c r="N9016" t="s">
        <v>26</v>
      </c>
      <c r="O9016" t="s">
        <v>32</v>
      </c>
      <c r="P9016">
        <v>3.4143147542279002</v>
      </c>
      <c r="Q9016">
        <v>0.59213617768651705</v>
      </c>
      <c r="R9016">
        <v>3.8817407292531501</v>
      </c>
      <c r="S9016">
        <v>79</v>
      </c>
      <c r="T9016">
        <v>33</v>
      </c>
      <c r="U9016">
        <v>371.78456166511597</v>
      </c>
      <c r="V9016">
        <v>1.1864406779661E-2</v>
      </c>
      <c r="W9016">
        <v>588993.95423740498</v>
      </c>
      <c r="X9016" t="s">
        <v>31</v>
      </c>
      <c r="Y9016">
        <f>1-215-663-4485</f>
        <v>-5362</v>
      </c>
    </row>
    <row r="9017" spans="1:25" x14ac:dyDescent="0.35">
      <c r="A9017">
        <v>38.334021321064</v>
      </c>
      <c r="B9017">
        <v>-124.22896571765401</v>
      </c>
      <c r="C9017" t="s">
        <v>25</v>
      </c>
      <c r="D9017">
        <v>36.994063771014297</v>
      </c>
      <c r="E9017">
        <v>1</v>
      </c>
      <c r="F9017">
        <v>1876</v>
      </c>
      <c r="G9017">
        <v>3</v>
      </c>
      <c r="H9017">
        <v>2</v>
      </c>
      <c r="I9017">
        <v>1971</v>
      </c>
      <c r="J9017">
        <v>1</v>
      </c>
      <c r="K9017">
        <v>1</v>
      </c>
      <c r="L9017">
        <v>1</v>
      </c>
      <c r="M9017">
        <v>6</v>
      </c>
      <c r="N9017" t="s">
        <v>41</v>
      </c>
      <c r="O9017" t="s">
        <v>30</v>
      </c>
      <c r="P9017">
        <v>4.2756908715640503</v>
      </c>
      <c r="Q9017">
        <v>1.1666019780289001</v>
      </c>
      <c r="R9017">
        <v>0.43463528769077903</v>
      </c>
      <c r="S9017">
        <v>121</v>
      </c>
      <c r="T9017">
        <v>72</v>
      </c>
      <c r="U9017">
        <v>361.47504302601402</v>
      </c>
      <c r="V9017">
        <v>3.1982942430703598E-3</v>
      </c>
      <c r="W9017">
        <v>1023533.3361863201</v>
      </c>
      <c r="X9017" t="s">
        <v>33</v>
      </c>
      <c r="Y9017">
        <f>1-925-604-6992</f>
        <v>-8520</v>
      </c>
    </row>
    <row r="9018" spans="1:25" x14ac:dyDescent="0.35">
      <c r="A9018">
        <v>41.819974056330203</v>
      </c>
      <c r="B9018">
        <v>-118.231424636109</v>
      </c>
      <c r="C9018" t="s">
        <v>34</v>
      </c>
      <c r="D9018">
        <v>16.385521710317398</v>
      </c>
      <c r="E9018">
        <v>8</v>
      </c>
      <c r="F9018">
        <v>2630</v>
      </c>
      <c r="G9018">
        <v>3</v>
      </c>
      <c r="H9018">
        <v>2</v>
      </c>
      <c r="I9018">
        <v>1991</v>
      </c>
      <c r="J9018">
        <v>0</v>
      </c>
      <c r="K9018">
        <v>1</v>
      </c>
      <c r="L9018">
        <v>0</v>
      </c>
      <c r="M9018">
        <v>3</v>
      </c>
      <c r="N9018" t="s">
        <v>35</v>
      </c>
      <c r="O9018" t="s">
        <v>27</v>
      </c>
      <c r="P9018">
        <v>5.2042531928956901</v>
      </c>
      <c r="Q9018">
        <v>2.2316952006699702</v>
      </c>
      <c r="R9018">
        <v>8.85070837849414</v>
      </c>
      <c r="S9018">
        <v>74</v>
      </c>
      <c r="T9018">
        <v>48</v>
      </c>
      <c r="U9018">
        <v>412.66551421250102</v>
      </c>
      <c r="V9018">
        <v>1.1406844106463801E-3</v>
      </c>
      <c r="W9018">
        <v>1376471.9015927201</v>
      </c>
      <c r="X9018" t="s">
        <v>42</v>
      </c>
      <c r="Y9018">
        <f>1-797-752-7556</f>
        <v>-9104</v>
      </c>
    </row>
    <row r="9019" spans="1:25" x14ac:dyDescent="0.35">
      <c r="A9019">
        <v>37.128761687003703</v>
      </c>
      <c r="B9019">
        <v>-115.376526808894</v>
      </c>
      <c r="C9019" t="s">
        <v>29</v>
      </c>
      <c r="D9019">
        <v>28.762867039547899</v>
      </c>
      <c r="E9019">
        <v>7</v>
      </c>
      <c r="F9019">
        <v>3824</v>
      </c>
      <c r="G9019">
        <v>2</v>
      </c>
      <c r="H9019">
        <v>1</v>
      </c>
      <c r="I9019">
        <v>1996</v>
      </c>
      <c r="J9019">
        <v>1</v>
      </c>
      <c r="K9019">
        <v>1</v>
      </c>
      <c r="L9019">
        <v>0</v>
      </c>
      <c r="M9019">
        <v>10</v>
      </c>
      <c r="N9019" t="s">
        <v>35</v>
      </c>
      <c r="O9019" t="s">
        <v>27</v>
      </c>
      <c r="P9019">
        <v>12.1547252074516</v>
      </c>
      <c r="Q9019">
        <v>1.07783013035411</v>
      </c>
      <c r="R9019">
        <v>3.1382875334064502</v>
      </c>
      <c r="S9019">
        <v>71</v>
      </c>
      <c r="T9019">
        <v>24</v>
      </c>
      <c r="U9019">
        <v>213.047990434556</v>
      </c>
      <c r="V9019">
        <v>2.61506276150627E-3</v>
      </c>
      <c r="W9019">
        <v>1111414.4954778999</v>
      </c>
      <c r="X9019" t="s">
        <v>42</v>
      </c>
      <c r="Y9019">
        <f>1-307-904-2874</f>
        <v>-4084</v>
      </c>
    </row>
    <row r="9020" spans="1:25" x14ac:dyDescent="0.35">
      <c r="A9020">
        <v>39.405753863805401</v>
      </c>
      <c r="B9020">
        <v>-117.123108457794</v>
      </c>
      <c r="C9020" t="s">
        <v>34</v>
      </c>
      <c r="D9020">
        <v>7.3715574397873098</v>
      </c>
      <c r="E9020">
        <v>5</v>
      </c>
      <c r="F9020">
        <v>2058</v>
      </c>
      <c r="G9020">
        <v>2</v>
      </c>
      <c r="H9020">
        <v>1</v>
      </c>
      <c r="I9020">
        <v>1992</v>
      </c>
      <c r="J9020">
        <v>0</v>
      </c>
      <c r="K9020">
        <v>1</v>
      </c>
      <c r="L9020">
        <v>1</v>
      </c>
      <c r="M9020">
        <v>11</v>
      </c>
      <c r="N9020" t="s">
        <v>26</v>
      </c>
      <c r="O9020" t="s">
        <v>27</v>
      </c>
      <c r="P9020">
        <v>10.659104553847</v>
      </c>
      <c r="Q9020">
        <v>1.06015630394052</v>
      </c>
      <c r="R9020">
        <v>1.3017140066228701</v>
      </c>
      <c r="S9020">
        <v>100</v>
      </c>
      <c r="T9020">
        <v>49</v>
      </c>
      <c r="U9020">
        <v>511.15951676000901</v>
      </c>
      <c r="V9020">
        <v>5.3449951409134996E-3</v>
      </c>
      <c r="W9020">
        <v>1380102.9376451101</v>
      </c>
      <c r="X9020" t="s">
        <v>39</v>
      </c>
      <c r="Y9020">
        <f>1-787-570-8968</f>
        <v>-10324</v>
      </c>
    </row>
    <row r="9021" spans="1:25" x14ac:dyDescent="0.35">
      <c r="A9021">
        <v>35.456661959298998</v>
      </c>
      <c r="B9021">
        <v>-120.90468251900499</v>
      </c>
      <c r="C9021" t="s">
        <v>34</v>
      </c>
      <c r="D9021">
        <v>15.5769019219151</v>
      </c>
      <c r="E9021">
        <v>8</v>
      </c>
      <c r="F9021">
        <v>1510</v>
      </c>
      <c r="G9021">
        <v>3</v>
      </c>
      <c r="H9021">
        <v>3</v>
      </c>
      <c r="I9021">
        <v>2001</v>
      </c>
      <c r="J9021">
        <v>0</v>
      </c>
      <c r="K9021">
        <v>1</v>
      </c>
      <c r="L9021">
        <v>0</v>
      </c>
      <c r="M9021">
        <v>2</v>
      </c>
      <c r="N9021" t="s">
        <v>41</v>
      </c>
      <c r="O9021" t="s">
        <v>27</v>
      </c>
      <c r="P9021">
        <v>7.1960806436754501</v>
      </c>
      <c r="Q9021">
        <v>0.522882092505909</v>
      </c>
      <c r="R9021">
        <v>0.2426070584885</v>
      </c>
      <c r="S9021">
        <v>19</v>
      </c>
      <c r="T9021">
        <v>47</v>
      </c>
      <c r="U9021">
        <v>940.83120116209204</v>
      </c>
      <c r="V9021">
        <v>1.3245033112582699E-3</v>
      </c>
      <c r="W9021">
        <v>1809417.4414824799</v>
      </c>
      <c r="X9021" t="s">
        <v>42</v>
      </c>
      <c r="Y9021">
        <f>1-542-519-5980</f>
        <v>-7040</v>
      </c>
    </row>
    <row r="9022" spans="1:25" x14ac:dyDescent="0.35">
      <c r="A9022">
        <v>37.485000271335203</v>
      </c>
      <c r="B9022">
        <v>-119.19816858003399</v>
      </c>
      <c r="C9022" t="s">
        <v>25</v>
      </c>
      <c r="D9022">
        <v>40.562344595270702</v>
      </c>
      <c r="E9022">
        <v>2</v>
      </c>
      <c r="F9022">
        <v>894</v>
      </c>
      <c r="G9022">
        <v>1</v>
      </c>
      <c r="H9022">
        <v>1</v>
      </c>
      <c r="I9022">
        <v>1996</v>
      </c>
      <c r="J9022">
        <v>1</v>
      </c>
      <c r="K9022">
        <v>0</v>
      </c>
      <c r="L9022">
        <v>1</v>
      </c>
      <c r="M9022">
        <v>11</v>
      </c>
      <c r="N9022" t="s">
        <v>37</v>
      </c>
      <c r="O9022" t="s">
        <v>32</v>
      </c>
      <c r="P9022">
        <v>4.3363296383157701</v>
      </c>
      <c r="Q9022">
        <v>1.50866970948791</v>
      </c>
      <c r="R9022">
        <v>9.6537904667180605</v>
      </c>
      <c r="S9022">
        <v>50</v>
      </c>
      <c r="T9022">
        <v>72</v>
      </c>
      <c r="U9022">
        <v>249.55436796287199</v>
      </c>
      <c r="V9022">
        <v>1.2304250559284099E-2</v>
      </c>
      <c r="W9022">
        <v>354787.851898705</v>
      </c>
      <c r="X9022" t="s">
        <v>43</v>
      </c>
      <c r="Y9022">
        <f>1-448-549-6274</f>
        <v>-7270</v>
      </c>
    </row>
    <row r="9023" spans="1:25" x14ac:dyDescent="0.35">
      <c r="A9023">
        <v>37.796276309587398</v>
      </c>
      <c r="B9023">
        <v>-118.787388015495</v>
      </c>
      <c r="C9023" t="s">
        <v>29</v>
      </c>
      <c r="D9023">
        <v>37.167885029349002</v>
      </c>
      <c r="E9023">
        <v>5</v>
      </c>
      <c r="F9023">
        <v>1049</v>
      </c>
      <c r="G9023">
        <v>4</v>
      </c>
      <c r="H9023">
        <v>3</v>
      </c>
      <c r="I9023">
        <v>1962</v>
      </c>
      <c r="J9023">
        <v>1</v>
      </c>
      <c r="K9023">
        <v>1</v>
      </c>
      <c r="L9023">
        <v>0</v>
      </c>
      <c r="M9023">
        <v>5</v>
      </c>
      <c r="N9023" t="s">
        <v>41</v>
      </c>
      <c r="O9023" t="s">
        <v>27</v>
      </c>
      <c r="P9023">
        <v>9.5369641744430105</v>
      </c>
      <c r="Q9023">
        <v>1.99095828791457</v>
      </c>
      <c r="R9023">
        <v>4.5154104732648204</v>
      </c>
      <c r="S9023">
        <v>147</v>
      </c>
      <c r="T9023">
        <v>63</v>
      </c>
      <c r="U9023">
        <v>459.58929360768298</v>
      </c>
      <c r="V9023">
        <v>4.7664442326024702E-3</v>
      </c>
      <c r="W9023">
        <v>857906.48169547098</v>
      </c>
      <c r="X9023" t="s">
        <v>33</v>
      </c>
      <c r="Y9023">
        <f>1-710-365-8832</f>
        <v>-9906</v>
      </c>
    </row>
    <row r="9024" spans="1:25" x14ac:dyDescent="0.35">
      <c r="A9024">
        <v>37.010111359361701</v>
      </c>
      <c r="B9024">
        <v>-118.25330530644401</v>
      </c>
      <c r="C9024" t="s">
        <v>25</v>
      </c>
      <c r="D9024">
        <v>3.0571202009041798</v>
      </c>
      <c r="E9024">
        <v>8</v>
      </c>
      <c r="F9024">
        <v>4521</v>
      </c>
      <c r="G9024">
        <v>2</v>
      </c>
      <c r="H9024">
        <v>1</v>
      </c>
      <c r="I9024">
        <v>2011</v>
      </c>
      <c r="J9024">
        <v>1</v>
      </c>
      <c r="K9024">
        <v>0</v>
      </c>
      <c r="L9024">
        <v>1</v>
      </c>
      <c r="M9024">
        <v>13</v>
      </c>
      <c r="N9024" t="s">
        <v>35</v>
      </c>
      <c r="O9024" t="s">
        <v>32</v>
      </c>
      <c r="P9024">
        <v>9.2970765353046101</v>
      </c>
      <c r="Q9024">
        <v>1.41137939166828</v>
      </c>
      <c r="R9024">
        <v>2.1072202476930002</v>
      </c>
      <c r="S9024">
        <v>196</v>
      </c>
      <c r="T9024">
        <v>71</v>
      </c>
      <c r="U9024">
        <v>551.648536445383</v>
      </c>
      <c r="V9024">
        <v>2.8754700287547002E-3</v>
      </c>
      <c r="W9024">
        <v>2709768.2822817001</v>
      </c>
      <c r="X9024" t="s">
        <v>44</v>
      </c>
      <c r="Y9024">
        <f>1-617-367-1518</f>
        <v>-2501</v>
      </c>
    </row>
    <row r="9025" spans="1:25" x14ac:dyDescent="0.35">
      <c r="A9025">
        <v>38.788519323972501</v>
      </c>
      <c r="B9025">
        <v>-117.484487255169</v>
      </c>
      <c r="C9025" t="s">
        <v>34</v>
      </c>
      <c r="D9025">
        <v>46.6910383876466</v>
      </c>
      <c r="E9025">
        <v>1</v>
      </c>
      <c r="F9025">
        <v>2161</v>
      </c>
      <c r="G9025">
        <v>4</v>
      </c>
      <c r="H9025">
        <v>2</v>
      </c>
      <c r="I9025">
        <v>2018</v>
      </c>
      <c r="J9025">
        <v>1</v>
      </c>
      <c r="K9025">
        <v>1</v>
      </c>
      <c r="L9025">
        <v>0</v>
      </c>
      <c r="M9025">
        <v>3</v>
      </c>
      <c r="N9025" t="s">
        <v>26</v>
      </c>
      <c r="O9025" t="s">
        <v>27</v>
      </c>
      <c r="P9025">
        <v>2.2845306217140502</v>
      </c>
      <c r="Q9025">
        <v>1.82857526626511</v>
      </c>
      <c r="R9025">
        <v>4.2696032837998503</v>
      </c>
      <c r="S9025">
        <v>74</v>
      </c>
      <c r="T9025">
        <v>41</v>
      </c>
      <c r="U9025">
        <v>792.30440466320795</v>
      </c>
      <c r="V9025">
        <v>1.3882461823229899E-3</v>
      </c>
      <c r="W9025">
        <v>2061711.58671245</v>
      </c>
      <c r="X9025" t="s">
        <v>40</v>
      </c>
      <c r="Y9025">
        <f>1-602-170-5947</f>
        <v>-6718</v>
      </c>
    </row>
    <row r="9026" spans="1:25" x14ac:dyDescent="0.35">
      <c r="A9026">
        <v>37.248829211460603</v>
      </c>
      <c r="B9026">
        <v>-116.870686315314</v>
      </c>
      <c r="C9026" t="s">
        <v>29</v>
      </c>
      <c r="D9026">
        <v>6.1550323252229502</v>
      </c>
      <c r="E9026">
        <v>7</v>
      </c>
      <c r="F9026">
        <v>1355</v>
      </c>
      <c r="G9026">
        <v>3</v>
      </c>
      <c r="H9026">
        <v>1</v>
      </c>
      <c r="I9026">
        <v>1978</v>
      </c>
      <c r="J9026">
        <v>0</v>
      </c>
      <c r="K9026">
        <v>0</v>
      </c>
      <c r="L9026">
        <v>0</v>
      </c>
      <c r="M9026">
        <v>11</v>
      </c>
      <c r="N9026" t="s">
        <v>41</v>
      </c>
      <c r="O9026" t="s">
        <v>30</v>
      </c>
      <c r="P9026">
        <v>7.3845340180439596</v>
      </c>
      <c r="Q9026">
        <v>1.4924864957363</v>
      </c>
      <c r="R9026">
        <v>9.6935237394841902</v>
      </c>
      <c r="S9026">
        <v>87</v>
      </c>
      <c r="T9026">
        <v>26</v>
      </c>
      <c r="U9026">
        <v>338.92078236319497</v>
      </c>
      <c r="V9026">
        <v>8.1180811808118005E-3</v>
      </c>
      <c r="W9026">
        <v>648481.15147916297</v>
      </c>
      <c r="X9026" t="s">
        <v>39</v>
      </c>
      <c r="Y9026">
        <f>1-560-448-8735</f>
        <v>-9742</v>
      </c>
    </row>
    <row r="9027" spans="1:25" x14ac:dyDescent="0.35">
      <c r="A9027">
        <v>38.195643280606703</v>
      </c>
      <c r="B9027">
        <v>-119.04098915830799</v>
      </c>
      <c r="C9027" t="s">
        <v>29</v>
      </c>
      <c r="D9027">
        <v>26.2119778823585</v>
      </c>
      <c r="E9027">
        <v>6</v>
      </c>
      <c r="F9027">
        <v>4913</v>
      </c>
      <c r="G9027">
        <v>1</v>
      </c>
      <c r="H9027">
        <v>3</v>
      </c>
      <c r="I9027">
        <v>2000</v>
      </c>
      <c r="J9027">
        <v>1</v>
      </c>
      <c r="K9027">
        <v>0</v>
      </c>
      <c r="L9027">
        <v>0</v>
      </c>
      <c r="M9027">
        <v>4</v>
      </c>
      <c r="N9027" t="s">
        <v>41</v>
      </c>
      <c r="O9027" t="s">
        <v>27</v>
      </c>
      <c r="P9027">
        <v>3.3764397413415099</v>
      </c>
      <c r="Q9027">
        <v>1.33513145644627</v>
      </c>
      <c r="R9027">
        <v>8.8502150111243605</v>
      </c>
      <c r="S9027">
        <v>131</v>
      </c>
      <c r="T9027">
        <v>40</v>
      </c>
      <c r="U9027">
        <v>939.86835898075105</v>
      </c>
      <c r="V9027">
        <v>8.1416649704864601E-4</v>
      </c>
      <c r="W9027">
        <v>4655369.3285274701</v>
      </c>
      <c r="X9027" t="s">
        <v>38</v>
      </c>
      <c r="Y9027">
        <f>1-254-251-7932</f>
        <v>-8436</v>
      </c>
    </row>
    <row r="9028" spans="1:25" x14ac:dyDescent="0.35">
      <c r="A9028">
        <v>35.8924923306298</v>
      </c>
      <c r="B9028">
        <v>-119.19835719645199</v>
      </c>
      <c r="C9028" t="s">
        <v>34</v>
      </c>
      <c r="D9028">
        <v>24.135355992235301</v>
      </c>
      <c r="E9028">
        <v>7</v>
      </c>
      <c r="F9028">
        <v>1544</v>
      </c>
      <c r="G9028">
        <v>3</v>
      </c>
      <c r="H9028">
        <v>2</v>
      </c>
      <c r="I9028">
        <v>2001</v>
      </c>
      <c r="J9028">
        <v>1</v>
      </c>
      <c r="K9028">
        <v>0</v>
      </c>
      <c r="L9028">
        <v>0</v>
      </c>
      <c r="M9028">
        <v>11</v>
      </c>
      <c r="N9028" t="s">
        <v>41</v>
      </c>
      <c r="O9028" t="s">
        <v>30</v>
      </c>
      <c r="P9028">
        <v>11.0292192979135</v>
      </c>
      <c r="Q9028">
        <v>1.0260972991113899</v>
      </c>
      <c r="R9028">
        <v>4.7906897210065402</v>
      </c>
      <c r="S9028">
        <v>193</v>
      </c>
      <c r="T9028">
        <v>52</v>
      </c>
      <c r="U9028">
        <v>366.604666174523</v>
      </c>
      <c r="V9028">
        <v>7.12435233160621E-3</v>
      </c>
      <c r="W9028">
        <v>828914.23287442303</v>
      </c>
      <c r="X9028" t="s">
        <v>40</v>
      </c>
      <c r="Y9028">
        <f>1-416-761-6608</f>
        <v>-7784</v>
      </c>
    </row>
    <row r="9029" spans="1:25" x14ac:dyDescent="0.35">
      <c r="A9029">
        <v>34.7186874214418</v>
      </c>
      <c r="B9029">
        <v>-124.20265122772901</v>
      </c>
      <c r="C9029" t="s">
        <v>25</v>
      </c>
      <c r="D9029">
        <v>47.271549061347102</v>
      </c>
      <c r="E9029">
        <v>3</v>
      </c>
      <c r="F9029">
        <v>2968</v>
      </c>
      <c r="G9029">
        <v>2</v>
      </c>
      <c r="H9029">
        <v>3</v>
      </c>
      <c r="I9029">
        <v>1978</v>
      </c>
      <c r="J9029">
        <v>1</v>
      </c>
      <c r="K9029">
        <v>0</v>
      </c>
      <c r="L9029">
        <v>1</v>
      </c>
      <c r="M9029">
        <v>5</v>
      </c>
      <c r="N9029" t="s">
        <v>26</v>
      </c>
      <c r="O9029" t="s">
        <v>27</v>
      </c>
      <c r="P9029">
        <v>9.0993842970390393</v>
      </c>
      <c r="Q9029">
        <v>0.70580245002395503</v>
      </c>
      <c r="R9029">
        <v>5.2097790084925197</v>
      </c>
      <c r="S9029">
        <v>79</v>
      </c>
      <c r="T9029">
        <v>28</v>
      </c>
      <c r="U9029">
        <v>832.27540070287796</v>
      </c>
      <c r="V9029">
        <v>1.68463611859838E-3</v>
      </c>
      <c r="W9029">
        <v>2753286.1555905798</v>
      </c>
      <c r="X9029" t="s">
        <v>28</v>
      </c>
      <c r="Y9029">
        <f>1-213-818-6349</f>
        <v>-7379</v>
      </c>
    </row>
    <row r="9030" spans="1:25" x14ac:dyDescent="0.35">
      <c r="A9030">
        <v>38.141156978648503</v>
      </c>
      <c r="B9030">
        <v>-116.932496820601</v>
      </c>
      <c r="C9030" t="s">
        <v>25</v>
      </c>
      <c r="D9030">
        <v>38.617163174266999</v>
      </c>
      <c r="E9030">
        <v>5</v>
      </c>
      <c r="F9030">
        <v>3275</v>
      </c>
      <c r="G9030">
        <v>3</v>
      </c>
      <c r="H9030">
        <v>2</v>
      </c>
      <c r="I9030">
        <v>2018</v>
      </c>
      <c r="J9030">
        <v>0</v>
      </c>
      <c r="K9030">
        <v>1</v>
      </c>
      <c r="L9030">
        <v>1</v>
      </c>
      <c r="M9030">
        <v>3</v>
      </c>
      <c r="N9030" t="s">
        <v>41</v>
      </c>
      <c r="O9030" t="s">
        <v>30</v>
      </c>
      <c r="P9030">
        <v>10.3413911432704</v>
      </c>
      <c r="Q9030">
        <v>0.62142587062891397</v>
      </c>
      <c r="R9030">
        <v>0.457358315926369</v>
      </c>
      <c r="S9030">
        <v>167</v>
      </c>
      <c r="T9030">
        <v>43</v>
      </c>
      <c r="U9030">
        <v>220.29978067800801</v>
      </c>
      <c r="V9030">
        <v>9.1603053435114501E-4</v>
      </c>
      <c r="W9030">
        <v>1127198.4625277901</v>
      </c>
      <c r="X9030" t="s">
        <v>28</v>
      </c>
      <c r="Y9030">
        <f>1-815-697-9108</f>
        <v>-10619</v>
      </c>
    </row>
    <row r="9031" spans="1:25" x14ac:dyDescent="0.35">
      <c r="A9031">
        <v>33.044228746180003</v>
      </c>
      <c r="B9031">
        <v>-114.61984761398899</v>
      </c>
      <c r="C9031" t="s">
        <v>34</v>
      </c>
      <c r="D9031">
        <v>1.79334398318854</v>
      </c>
      <c r="E9031">
        <v>8</v>
      </c>
      <c r="F9031">
        <v>1224</v>
      </c>
      <c r="G9031">
        <v>4</v>
      </c>
      <c r="H9031">
        <v>1</v>
      </c>
      <c r="I9031">
        <v>2020</v>
      </c>
      <c r="J9031">
        <v>0</v>
      </c>
      <c r="K9031">
        <v>0</v>
      </c>
      <c r="L9031">
        <v>0</v>
      </c>
      <c r="M9031">
        <v>12</v>
      </c>
      <c r="N9031" t="s">
        <v>37</v>
      </c>
      <c r="O9031" t="s">
        <v>27</v>
      </c>
      <c r="P9031">
        <v>5.3034085379795002</v>
      </c>
      <c r="Q9031">
        <v>1.37930230759498</v>
      </c>
      <c r="R9031">
        <v>3.8365565174626899</v>
      </c>
      <c r="S9031">
        <v>182</v>
      </c>
      <c r="T9031">
        <v>24</v>
      </c>
      <c r="U9031">
        <v>664.65703226703897</v>
      </c>
      <c r="V9031">
        <v>9.8039215686274508E-3</v>
      </c>
      <c r="W9031">
        <v>1045494.51441362</v>
      </c>
      <c r="X9031" t="s">
        <v>42</v>
      </c>
      <c r="Y9031">
        <f>1-283-573-4856</f>
        <v>-5711</v>
      </c>
    </row>
    <row r="9032" spans="1:25" x14ac:dyDescent="0.35">
      <c r="A9032">
        <v>39.7485474410229</v>
      </c>
      <c r="B9032">
        <v>-123.63218773606199</v>
      </c>
      <c r="C9032" t="s">
        <v>34</v>
      </c>
      <c r="D9032">
        <v>20.415617586466499</v>
      </c>
      <c r="E9032">
        <v>2</v>
      </c>
      <c r="F9032">
        <v>4424</v>
      </c>
      <c r="G9032">
        <v>5</v>
      </c>
      <c r="H9032">
        <v>2</v>
      </c>
      <c r="I9032">
        <v>1989</v>
      </c>
      <c r="J9032">
        <v>1</v>
      </c>
      <c r="K9032">
        <v>0</v>
      </c>
      <c r="L9032">
        <v>0</v>
      </c>
      <c r="M9032">
        <v>3</v>
      </c>
      <c r="N9032" t="s">
        <v>37</v>
      </c>
      <c r="O9032" t="s">
        <v>27</v>
      </c>
      <c r="P9032">
        <v>9.2230913253831304</v>
      </c>
      <c r="Q9032">
        <v>0.81762720442178605</v>
      </c>
      <c r="R9032">
        <v>2.1124152124444602</v>
      </c>
      <c r="S9032">
        <v>105</v>
      </c>
      <c r="T9032">
        <v>23</v>
      </c>
      <c r="U9032">
        <v>376.77284248994101</v>
      </c>
      <c r="V9032">
        <v>6.7811934900542496E-4</v>
      </c>
      <c r="W9032">
        <v>2077973.4472866401</v>
      </c>
      <c r="X9032" t="s">
        <v>42</v>
      </c>
      <c r="Y9032">
        <f>1-434-651-9075</f>
        <v>-10159</v>
      </c>
    </row>
    <row r="9033" spans="1:25" x14ac:dyDescent="0.35">
      <c r="A9033">
        <v>36.741919724471003</v>
      </c>
      <c r="B9033">
        <v>-115.137029688078</v>
      </c>
      <c r="C9033" t="s">
        <v>34</v>
      </c>
      <c r="D9033">
        <v>31.823566179661999</v>
      </c>
      <c r="E9033">
        <v>1</v>
      </c>
      <c r="F9033">
        <v>4545</v>
      </c>
      <c r="G9033">
        <v>1</v>
      </c>
      <c r="H9033">
        <v>3</v>
      </c>
      <c r="I9033">
        <v>2021</v>
      </c>
      <c r="J9033">
        <v>0</v>
      </c>
      <c r="K9033">
        <v>1</v>
      </c>
      <c r="L9033">
        <v>0</v>
      </c>
      <c r="M9033">
        <v>12</v>
      </c>
      <c r="N9033" t="s">
        <v>26</v>
      </c>
      <c r="O9033" t="s">
        <v>30</v>
      </c>
      <c r="P9033">
        <v>5.4654492787900102</v>
      </c>
      <c r="Q9033">
        <v>1.2458763830989099</v>
      </c>
      <c r="R9033">
        <v>5.40087876359528</v>
      </c>
      <c r="S9033">
        <v>58</v>
      </c>
      <c r="T9033">
        <v>63</v>
      </c>
      <c r="U9033">
        <v>274.14015377010702</v>
      </c>
      <c r="V9033">
        <v>2.6402640264026399E-3</v>
      </c>
      <c r="W9033">
        <v>1521135.5278276601</v>
      </c>
      <c r="X9033" t="s">
        <v>42</v>
      </c>
      <c r="Y9033">
        <f>1-571-420-6648</f>
        <v>-7638</v>
      </c>
    </row>
    <row r="9034" spans="1:25" x14ac:dyDescent="0.35">
      <c r="A9034">
        <v>37.238270966869699</v>
      </c>
      <c r="B9034">
        <v>-120.387899125662</v>
      </c>
      <c r="C9034" t="s">
        <v>29</v>
      </c>
      <c r="D9034">
        <v>32.7169284161495</v>
      </c>
      <c r="E9034">
        <v>8</v>
      </c>
      <c r="F9034">
        <v>2271</v>
      </c>
      <c r="G9034">
        <v>2</v>
      </c>
      <c r="H9034">
        <v>1</v>
      </c>
      <c r="I9034">
        <v>2020</v>
      </c>
      <c r="J9034">
        <v>0</v>
      </c>
      <c r="K9034">
        <v>1</v>
      </c>
      <c r="L9034">
        <v>1</v>
      </c>
      <c r="M9034">
        <v>4</v>
      </c>
      <c r="N9034" t="s">
        <v>37</v>
      </c>
      <c r="O9034" t="s">
        <v>27</v>
      </c>
      <c r="P9034">
        <v>11.4403617191624</v>
      </c>
      <c r="Q9034">
        <v>1.55705437160972</v>
      </c>
      <c r="R9034">
        <v>0.58443930939756294</v>
      </c>
      <c r="S9034">
        <v>77</v>
      </c>
      <c r="T9034">
        <v>27</v>
      </c>
      <c r="U9034">
        <v>934.06143037407196</v>
      </c>
      <c r="V9034">
        <v>1.7613386173491799E-3</v>
      </c>
      <c r="W9034">
        <v>2387740.2703744299</v>
      </c>
      <c r="X9034" t="s">
        <v>43</v>
      </c>
      <c r="Y9034">
        <f>1-847-463-3697</f>
        <v>-5006</v>
      </c>
    </row>
    <row r="9035" spans="1:25" x14ac:dyDescent="0.35">
      <c r="A9035">
        <v>40.4031477205058</v>
      </c>
      <c r="B9035">
        <v>-121.624304696256</v>
      </c>
      <c r="C9035" t="s">
        <v>25</v>
      </c>
      <c r="D9035">
        <v>35.671707464928403</v>
      </c>
      <c r="E9035">
        <v>5</v>
      </c>
      <c r="F9035">
        <v>1987</v>
      </c>
      <c r="G9035">
        <v>1</v>
      </c>
      <c r="H9035">
        <v>2</v>
      </c>
      <c r="I9035">
        <v>2006</v>
      </c>
      <c r="J9035">
        <v>1</v>
      </c>
      <c r="K9035">
        <v>0</v>
      </c>
      <c r="L9035">
        <v>1</v>
      </c>
      <c r="M9035">
        <v>10</v>
      </c>
      <c r="N9035" t="s">
        <v>37</v>
      </c>
      <c r="O9035" t="s">
        <v>32</v>
      </c>
      <c r="P9035">
        <v>8.6154987812911692</v>
      </c>
      <c r="Q9035">
        <v>0.60531587153222399</v>
      </c>
      <c r="R9035">
        <v>5.8944269991515803</v>
      </c>
      <c r="S9035">
        <v>172</v>
      </c>
      <c r="T9035">
        <v>69</v>
      </c>
      <c r="U9035">
        <v>411.23401816195502</v>
      </c>
      <c r="V9035">
        <v>5.0327126321087004E-3</v>
      </c>
      <c r="W9035">
        <v>1047207.1060256</v>
      </c>
      <c r="X9035" t="s">
        <v>42</v>
      </c>
      <c r="Y9035">
        <f>1-306-320-4525</f>
        <v>-5150</v>
      </c>
    </row>
    <row r="9036" spans="1:25" x14ac:dyDescent="0.35">
      <c r="A9036">
        <v>32.5041022146562</v>
      </c>
      <c r="B9036">
        <v>-117.182449255018</v>
      </c>
      <c r="C9036" t="s">
        <v>29</v>
      </c>
      <c r="D9036">
        <v>45.038575994442397</v>
      </c>
      <c r="E9036">
        <v>1</v>
      </c>
      <c r="F9036">
        <v>4085</v>
      </c>
      <c r="G9036">
        <v>5</v>
      </c>
      <c r="H9036">
        <v>1</v>
      </c>
      <c r="I9036">
        <v>1996</v>
      </c>
      <c r="J9036">
        <v>1</v>
      </c>
      <c r="K9036">
        <v>1</v>
      </c>
      <c r="L9036">
        <v>1</v>
      </c>
      <c r="M9036">
        <v>13</v>
      </c>
      <c r="N9036" t="s">
        <v>35</v>
      </c>
      <c r="O9036" t="s">
        <v>30</v>
      </c>
      <c r="P9036">
        <v>3.8825967165457498</v>
      </c>
      <c r="Q9036">
        <v>1.2063454647396299</v>
      </c>
      <c r="R9036">
        <v>1.7295944128888501</v>
      </c>
      <c r="S9036">
        <v>68</v>
      </c>
      <c r="T9036">
        <v>46</v>
      </c>
      <c r="U9036">
        <v>889.25353144874305</v>
      </c>
      <c r="V9036">
        <v>3.1823745410036702E-3</v>
      </c>
      <c r="W9036">
        <v>3982851.5811892799</v>
      </c>
      <c r="X9036" t="s">
        <v>31</v>
      </c>
      <c r="Y9036">
        <f>1-209-880-3938</f>
        <v>-5026</v>
      </c>
    </row>
    <row r="9037" spans="1:25" x14ac:dyDescent="0.35">
      <c r="A9037">
        <v>40.613144964377398</v>
      </c>
      <c r="B9037">
        <v>-117.754236002996</v>
      </c>
      <c r="C9037" t="s">
        <v>34</v>
      </c>
      <c r="D9037">
        <v>21.654767826065001</v>
      </c>
      <c r="E9037">
        <v>0</v>
      </c>
      <c r="F9037">
        <v>1564</v>
      </c>
      <c r="G9037">
        <v>3</v>
      </c>
      <c r="H9037">
        <v>3</v>
      </c>
      <c r="I9037">
        <v>1990</v>
      </c>
      <c r="J9037">
        <v>1</v>
      </c>
      <c r="K9037">
        <v>0</v>
      </c>
      <c r="L9037">
        <v>0</v>
      </c>
      <c r="M9037">
        <v>7</v>
      </c>
      <c r="N9037" t="s">
        <v>41</v>
      </c>
      <c r="O9037" t="s">
        <v>32</v>
      </c>
      <c r="P9037">
        <v>2.5964498374352298</v>
      </c>
      <c r="Q9037">
        <v>1.6361615828195499</v>
      </c>
      <c r="R9037">
        <v>3.8201389384148698</v>
      </c>
      <c r="S9037">
        <v>136</v>
      </c>
      <c r="T9037">
        <v>55</v>
      </c>
      <c r="U9037">
        <v>543.83681766616303</v>
      </c>
      <c r="V9037">
        <v>4.4757033248081796E-3</v>
      </c>
      <c r="W9037">
        <v>1031882.67106874</v>
      </c>
      <c r="X9037" t="s">
        <v>38</v>
      </c>
      <c r="Y9037">
        <f>1-714-204-3284</f>
        <v>-4201</v>
      </c>
    </row>
    <row r="9038" spans="1:25" x14ac:dyDescent="0.35">
      <c r="A9038">
        <v>40.040443115792797</v>
      </c>
      <c r="B9038">
        <v>-115.379260691787</v>
      </c>
      <c r="C9038" t="s">
        <v>29</v>
      </c>
      <c r="D9038">
        <v>26.5628894393754</v>
      </c>
      <c r="E9038">
        <v>2</v>
      </c>
      <c r="F9038">
        <v>1282</v>
      </c>
      <c r="G9038">
        <v>5</v>
      </c>
      <c r="H9038">
        <v>2</v>
      </c>
      <c r="I9038">
        <v>1983</v>
      </c>
      <c r="J9038">
        <v>1</v>
      </c>
      <c r="K9038">
        <v>1</v>
      </c>
      <c r="L9038">
        <v>0</v>
      </c>
      <c r="M9038">
        <v>12</v>
      </c>
      <c r="N9038" t="s">
        <v>37</v>
      </c>
      <c r="O9038" t="s">
        <v>32</v>
      </c>
      <c r="P9038">
        <v>10.6948815851178</v>
      </c>
      <c r="Q9038">
        <v>0.90656357436781099</v>
      </c>
      <c r="R9038">
        <v>0.39987663643973798</v>
      </c>
      <c r="S9038">
        <v>31</v>
      </c>
      <c r="T9038">
        <v>76</v>
      </c>
      <c r="U9038">
        <v>367.15353567120502</v>
      </c>
      <c r="V9038">
        <v>9.3603744149765994E-3</v>
      </c>
      <c r="W9038">
        <v>1089973.9928836101</v>
      </c>
      <c r="X9038" t="s">
        <v>28</v>
      </c>
      <c r="Y9038">
        <f>1-979-688-4932</f>
        <v>-6598</v>
      </c>
    </row>
    <row r="9039" spans="1:25" x14ac:dyDescent="0.35">
      <c r="A9039">
        <v>35.405174822830602</v>
      </c>
      <c r="B9039">
        <v>-117.570237092407</v>
      </c>
      <c r="C9039" t="s">
        <v>34</v>
      </c>
      <c r="D9039">
        <v>36.937690848136803</v>
      </c>
      <c r="E9039">
        <v>8</v>
      </c>
      <c r="F9039">
        <v>1741</v>
      </c>
      <c r="G9039">
        <v>1</v>
      </c>
      <c r="H9039">
        <v>1</v>
      </c>
      <c r="I9039">
        <v>1979</v>
      </c>
      <c r="J9039">
        <v>1</v>
      </c>
      <c r="K9039">
        <v>1</v>
      </c>
      <c r="L9039">
        <v>0</v>
      </c>
      <c r="M9039">
        <v>10</v>
      </c>
      <c r="N9039" t="s">
        <v>35</v>
      </c>
      <c r="O9039" t="s">
        <v>27</v>
      </c>
      <c r="P9039">
        <v>5.7427130735292096</v>
      </c>
      <c r="Q9039">
        <v>2.4092794226418901</v>
      </c>
      <c r="R9039">
        <v>2.4060864482436699</v>
      </c>
      <c r="S9039">
        <v>157</v>
      </c>
      <c r="T9039">
        <v>45</v>
      </c>
      <c r="U9039">
        <v>478.824315760042</v>
      </c>
      <c r="V9039">
        <v>5.7438253877082103E-3</v>
      </c>
      <c r="W9039">
        <v>999553.25791733596</v>
      </c>
      <c r="X9039" t="s">
        <v>31</v>
      </c>
      <c r="Y9039">
        <f>1-879-809-6647</f>
        <v>-8334</v>
      </c>
    </row>
    <row r="9040" spans="1:25" x14ac:dyDescent="0.35">
      <c r="A9040">
        <v>36.204637322226503</v>
      </c>
      <c r="B9040">
        <v>-122.660401330369</v>
      </c>
      <c r="C9040" t="s">
        <v>25</v>
      </c>
      <c r="D9040">
        <v>41.7590770839114</v>
      </c>
      <c r="E9040">
        <v>5</v>
      </c>
      <c r="F9040">
        <v>1377</v>
      </c>
      <c r="G9040">
        <v>3</v>
      </c>
      <c r="H9040">
        <v>1</v>
      </c>
      <c r="I9040">
        <v>1981</v>
      </c>
      <c r="J9040">
        <v>1</v>
      </c>
      <c r="K9040">
        <v>0</v>
      </c>
      <c r="L9040">
        <v>1</v>
      </c>
      <c r="M9040">
        <v>3</v>
      </c>
      <c r="N9040" t="s">
        <v>35</v>
      </c>
      <c r="O9040" t="s">
        <v>32</v>
      </c>
      <c r="P9040">
        <v>3.67002252676685</v>
      </c>
      <c r="Q9040">
        <v>1.1759938701541801</v>
      </c>
      <c r="R9040">
        <v>8.8108960057014603</v>
      </c>
      <c r="S9040">
        <v>90</v>
      </c>
      <c r="T9040">
        <v>47</v>
      </c>
      <c r="U9040">
        <v>754.65601162836697</v>
      </c>
      <c r="V9040">
        <v>2.1786492374727602E-3</v>
      </c>
      <c r="W9040">
        <v>1269458.6358932101</v>
      </c>
      <c r="X9040" t="s">
        <v>43</v>
      </c>
      <c r="Y9040">
        <f>1-435-946-7935</f>
        <v>-9315</v>
      </c>
    </row>
    <row r="9041" spans="1:25" x14ac:dyDescent="0.35">
      <c r="A9041">
        <v>35.339976720793501</v>
      </c>
      <c r="B9041">
        <v>-122.246463559226</v>
      </c>
      <c r="C9041" t="s">
        <v>34</v>
      </c>
      <c r="D9041">
        <v>15.4672212697156</v>
      </c>
      <c r="E9041">
        <v>7</v>
      </c>
      <c r="F9041">
        <v>840</v>
      </c>
      <c r="G9041">
        <v>5</v>
      </c>
      <c r="H9041">
        <v>3</v>
      </c>
      <c r="I9041">
        <v>1971</v>
      </c>
      <c r="J9041">
        <v>0</v>
      </c>
      <c r="K9041">
        <v>1</v>
      </c>
      <c r="L9041">
        <v>1</v>
      </c>
      <c r="M9041">
        <v>2</v>
      </c>
      <c r="N9041" t="s">
        <v>41</v>
      </c>
      <c r="O9041" t="s">
        <v>30</v>
      </c>
      <c r="P9041">
        <v>13.5497283347291</v>
      </c>
      <c r="Q9041">
        <v>2.0659598896665798</v>
      </c>
      <c r="R9041">
        <v>7.4899958535037197</v>
      </c>
      <c r="S9041">
        <v>164</v>
      </c>
      <c r="T9041">
        <v>25</v>
      </c>
      <c r="U9041">
        <v>365.07817754769599</v>
      </c>
      <c r="V9041">
        <v>2.3809523809523799E-3</v>
      </c>
      <c r="W9041">
        <v>703891.62828627205</v>
      </c>
      <c r="X9041" t="s">
        <v>39</v>
      </c>
      <c r="Y9041">
        <f>1-634-203-9143</f>
        <v>-9979</v>
      </c>
    </row>
    <row r="9042" spans="1:25" x14ac:dyDescent="0.35">
      <c r="A9042">
        <v>33.520474716081303</v>
      </c>
      <c r="B9042">
        <v>-118.018766403561</v>
      </c>
      <c r="C9042" t="s">
        <v>25</v>
      </c>
      <c r="D9042">
        <v>16.758613077077499</v>
      </c>
      <c r="E9042">
        <v>2</v>
      </c>
      <c r="F9042">
        <v>2897</v>
      </c>
      <c r="G9042">
        <v>5</v>
      </c>
      <c r="H9042">
        <v>1</v>
      </c>
      <c r="I9042">
        <v>1953</v>
      </c>
      <c r="J9042">
        <v>1</v>
      </c>
      <c r="K9042">
        <v>1</v>
      </c>
      <c r="L9042">
        <v>0</v>
      </c>
      <c r="M9042">
        <v>6</v>
      </c>
      <c r="N9042" t="s">
        <v>35</v>
      </c>
      <c r="O9042" t="s">
        <v>30</v>
      </c>
      <c r="P9042">
        <v>4.4519310760886901</v>
      </c>
      <c r="Q9042">
        <v>0.89878377611419102</v>
      </c>
      <c r="R9042">
        <v>8.7700377515501007</v>
      </c>
      <c r="S9042">
        <v>151</v>
      </c>
      <c r="T9042">
        <v>28</v>
      </c>
      <c r="U9042">
        <v>827.15304598257103</v>
      </c>
      <c r="V9042">
        <v>2.07110804280289E-3</v>
      </c>
      <c r="W9042">
        <v>2686079.7001020899</v>
      </c>
      <c r="X9042" t="s">
        <v>44</v>
      </c>
      <c r="Y9042">
        <f>1-218-146-7252</f>
        <v>-7615</v>
      </c>
    </row>
    <row r="9043" spans="1:25" x14ac:dyDescent="0.35">
      <c r="A9043">
        <v>35.951341161618998</v>
      </c>
      <c r="B9043">
        <v>-117.81408317527</v>
      </c>
      <c r="C9043" t="s">
        <v>34</v>
      </c>
      <c r="D9043">
        <v>49.626683163246803</v>
      </c>
      <c r="E9043">
        <v>8</v>
      </c>
      <c r="F9043">
        <v>4689</v>
      </c>
      <c r="G9043">
        <v>5</v>
      </c>
      <c r="H9043">
        <v>2</v>
      </c>
      <c r="I9043">
        <v>1986</v>
      </c>
      <c r="J9043">
        <v>1</v>
      </c>
      <c r="K9043">
        <v>1</v>
      </c>
      <c r="L9043">
        <v>0</v>
      </c>
      <c r="M9043">
        <v>13</v>
      </c>
      <c r="N9043" t="s">
        <v>26</v>
      </c>
      <c r="O9043" t="s">
        <v>32</v>
      </c>
      <c r="P9043">
        <v>6.0274022253948996</v>
      </c>
      <c r="Q9043">
        <v>1.5830460874126699</v>
      </c>
      <c r="R9043">
        <v>5.0814549024768896</v>
      </c>
      <c r="S9043">
        <v>16</v>
      </c>
      <c r="T9043">
        <v>54</v>
      </c>
      <c r="U9043">
        <v>697.11460561610397</v>
      </c>
      <c r="V9043">
        <v>2.7724461505651502E-3</v>
      </c>
      <c r="W9043">
        <v>3635113.8017993802</v>
      </c>
      <c r="X9043" t="s">
        <v>39</v>
      </c>
      <c r="Y9043">
        <f>1-891-510-5492</f>
        <v>-6892</v>
      </c>
    </row>
    <row r="9044" spans="1:25" x14ac:dyDescent="0.35">
      <c r="A9044">
        <v>33.194903672201498</v>
      </c>
      <c r="B9044">
        <v>-122.24196943564699</v>
      </c>
      <c r="C9044" t="s">
        <v>29</v>
      </c>
      <c r="D9044">
        <v>33.608683218993797</v>
      </c>
      <c r="E9044">
        <v>3</v>
      </c>
      <c r="F9044">
        <v>851</v>
      </c>
      <c r="G9044">
        <v>3</v>
      </c>
      <c r="H9044">
        <v>1</v>
      </c>
      <c r="I9044">
        <v>2006</v>
      </c>
      <c r="J9044">
        <v>0</v>
      </c>
      <c r="K9044">
        <v>0</v>
      </c>
      <c r="L9044">
        <v>0</v>
      </c>
      <c r="M9044">
        <v>9</v>
      </c>
      <c r="N9044" t="s">
        <v>26</v>
      </c>
      <c r="O9044" t="s">
        <v>27</v>
      </c>
      <c r="P9044">
        <v>3.64607559122119</v>
      </c>
      <c r="Q9044">
        <v>0.82862727124012903</v>
      </c>
      <c r="R9044">
        <v>8.9081443121479804</v>
      </c>
      <c r="S9044">
        <v>128</v>
      </c>
      <c r="T9044">
        <v>57</v>
      </c>
      <c r="U9044">
        <v>325.36378975293701</v>
      </c>
      <c r="V9044">
        <v>1.0575793184488799E-2</v>
      </c>
      <c r="W9044">
        <v>335921.141014672</v>
      </c>
      <c r="X9044" t="s">
        <v>33</v>
      </c>
      <c r="Y9044">
        <f>1-530-947-7323</f>
        <v>-8799</v>
      </c>
    </row>
    <row r="9045" spans="1:25" x14ac:dyDescent="0.35">
      <c r="A9045">
        <v>36.279351672941097</v>
      </c>
      <c r="B9045">
        <v>-122.569295206411</v>
      </c>
      <c r="C9045" t="s">
        <v>34</v>
      </c>
      <c r="D9045">
        <v>43.339557635571303</v>
      </c>
      <c r="E9045">
        <v>6</v>
      </c>
      <c r="F9045">
        <v>2418</v>
      </c>
      <c r="G9045">
        <v>1</v>
      </c>
      <c r="H9045">
        <v>1</v>
      </c>
      <c r="I9045">
        <v>1971</v>
      </c>
      <c r="J9045">
        <v>0</v>
      </c>
      <c r="K9045">
        <v>0</v>
      </c>
      <c r="L9045">
        <v>0</v>
      </c>
      <c r="M9045">
        <v>12</v>
      </c>
      <c r="N9045" t="s">
        <v>35</v>
      </c>
      <c r="O9045" t="s">
        <v>32</v>
      </c>
      <c r="P9045">
        <v>12.4100941483724</v>
      </c>
      <c r="Q9045">
        <v>2.2046015386889102</v>
      </c>
      <c r="R9045">
        <v>3.64864421721385</v>
      </c>
      <c r="S9045">
        <v>74</v>
      </c>
      <c r="T9045">
        <v>55</v>
      </c>
      <c r="U9045">
        <v>821.03406131176496</v>
      </c>
      <c r="V9045">
        <v>4.96277915632754E-3</v>
      </c>
      <c r="W9045">
        <v>2082113.2750528301</v>
      </c>
      <c r="X9045" t="s">
        <v>40</v>
      </c>
      <c r="Y9045">
        <f>1-984-768-4446</f>
        <v>-6197</v>
      </c>
    </row>
    <row r="9046" spans="1:25" x14ac:dyDescent="0.35">
      <c r="A9046">
        <v>39.482346285798599</v>
      </c>
      <c r="B9046">
        <v>-123.833174022797</v>
      </c>
      <c r="C9046" t="s">
        <v>25</v>
      </c>
      <c r="D9046">
        <v>47.132380668438302</v>
      </c>
      <c r="E9046">
        <v>4</v>
      </c>
      <c r="F9046">
        <v>2463</v>
      </c>
      <c r="G9046">
        <v>3</v>
      </c>
      <c r="H9046">
        <v>3</v>
      </c>
      <c r="I9046">
        <v>1989</v>
      </c>
      <c r="J9046">
        <v>1</v>
      </c>
      <c r="K9046">
        <v>1</v>
      </c>
      <c r="L9046">
        <v>1</v>
      </c>
      <c r="M9046">
        <v>8</v>
      </c>
      <c r="N9046" t="s">
        <v>37</v>
      </c>
      <c r="O9046" t="s">
        <v>27</v>
      </c>
      <c r="P9046">
        <v>10.7129911091699</v>
      </c>
      <c r="Q9046">
        <v>2.4883095859847799</v>
      </c>
      <c r="R9046">
        <v>1.18559507339282</v>
      </c>
      <c r="S9046">
        <v>49</v>
      </c>
      <c r="T9046">
        <v>60</v>
      </c>
      <c r="U9046">
        <v>719.69073687869104</v>
      </c>
      <c r="V9046">
        <v>3.24807145757206E-3</v>
      </c>
      <c r="W9046">
        <v>2307173.6292743101</v>
      </c>
      <c r="X9046" t="s">
        <v>36</v>
      </c>
      <c r="Y9046">
        <f>1-786-921-3724</f>
        <v>-5430</v>
      </c>
    </row>
    <row r="9047" spans="1:25" x14ac:dyDescent="0.35">
      <c r="A9047">
        <v>40.859022526835801</v>
      </c>
      <c r="B9047">
        <v>-115.103063712154</v>
      </c>
      <c r="C9047" t="s">
        <v>25</v>
      </c>
      <c r="D9047">
        <v>44.792500340115502</v>
      </c>
      <c r="E9047">
        <v>8</v>
      </c>
      <c r="F9047">
        <v>4503</v>
      </c>
      <c r="G9047">
        <v>1</v>
      </c>
      <c r="H9047">
        <v>2</v>
      </c>
      <c r="I9047">
        <v>1954</v>
      </c>
      <c r="J9047">
        <v>1</v>
      </c>
      <c r="K9047">
        <v>1</v>
      </c>
      <c r="L9047">
        <v>0</v>
      </c>
      <c r="M9047">
        <v>6</v>
      </c>
      <c r="N9047" t="s">
        <v>35</v>
      </c>
      <c r="O9047" t="s">
        <v>27</v>
      </c>
      <c r="P9047">
        <v>2.1066731820385498</v>
      </c>
      <c r="Q9047">
        <v>1.6294888522673801</v>
      </c>
      <c r="R9047">
        <v>5.4465890233518301</v>
      </c>
      <c r="S9047">
        <v>16</v>
      </c>
      <c r="T9047">
        <v>33</v>
      </c>
      <c r="U9047">
        <v>637.535402894237</v>
      </c>
      <c r="V9047">
        <v>1.3324450366422301E-3</v>
      </c>
      <c r="W9047">
        <v>3109523.2424876899</v>
      </c>
      <c r="X9047" t="s">
        <v>38</v>
      </c>
      <c r="Y9047">
        <f>1-615-820-4619</f>
        <v>-6053</v>
      </c>
    </row>
    <row r="9048" spans="1:25" x14ac:dyDescent="0.35">
      <c r="A9048">
        <v>36.477745877106798</v>
      </c>
      <c r="B9048">
        <v>-118.138006530667</v>
      </c>
      <c r="C9048" t="s">
        <v>25</v>
      </c>
      <c r="D9048">
        <v>38.477649194810901</v>
      </c>
      <c r="E9048">
        <v>6</v>
      </c>
      <c r="F9048">
        <v>2000</v>
      </c>
      <c r="G9048">
        <v>3</v>
      </c>
      <c r="H9048">
        <v>3</v>
      </c>
      <c r="I9048">
        <v>2020</v>
      </c>
      <c r="J9048">
        <v>1</v>
      </c>
      <c r="K9048">
        <v>0</v>
      </c>
      <c r="L9048">
        <v>0</v>
      </c>
      <c r="M9048">
        <v>2</v>
      </c>
      <c r="N9048" t="s">
        <v>37</v>
      </c>
      <c r="O9048" t="s">
        <v>27</v>
      </c>
      <c r="P9048">
        <v>2.4140669301139299</v>
      </c>
      <c r="Q9048">
        <v>1.0331756104252301</v>
      </c>
      <c r="R9048">
        <v>0.80363315782932798</v>
      </c>
      <c r="S9048">
        <v>6</v>
      </c>
      <c r="T9048">
        <v>45</v>
      </c>
      <c r="U9048">
        <v>726.508010187894</v>
      </c>
      <c r="V9048">
        <v>1E-3</v>
      </c>
      <c r="W9048">
        <v>1809663.15171648</v>
      </c>
      <c r="X9048" t="s">
        <v>39</v>
      </c>
      <c r="Y9048">
        <f>1-401-470-9991</f>
        <v>-10861</v>
      </c>
    </row>
    <row r="9049" spans="1:25" x14ac:dyDescent="0.35">
      <c r="A9049">
        <v>40.771905664108502</v>
      </c>
      <c r="B9049">
        <v>-120.264351373476</v>
      </c>
      <c r="C9049" t="s">
        <v>34</v>
      </c>
      <c r="D9049">
        <v>38.961157451110097</v>
      </c>
      <c r="E9049">
        <v>5</v>
      </c>
      <c r="F9049">
        <v>3978</v>
      </c>
      <c r="G9049">
        <v>4</v>
      </c>
      <c r="H9049">
        <v>3</v>
      </c>
      <c r="I9049">
        <v>2007</v>
      </c>
      <c r="J9049">
        <v>0</v>
      </c>
      <c r="K9049">
        <v>1</v>
      </c>
      <c r="L9049">
        <v>0</v>
      </c>
      <c r="M9049">
        <v>2</v>
      </c>
      <c r="N9049" t="s">
        <v>35</v>
      </c>
      <c r="O9049" t="s">
        <v>30</v>
      </c>
      <c r="P9049">
        <v>9.0100383515257594</v>
      </c>
      <c r="Q9049">
        <v>1.77741110270484</v>
      </c>
      <c r="R9049">
        <v>8.7396273020350108</v>
      </c>
      <c r="S9049">
        <v>84</v>
      </c>
      <c r="T9049">
        <v>79</v>
      </c>
      <c r="U9049">
        <v>879.64178354674198</v>
      </c>
      <c r="V9049">
        <v>5.02765208647561E-4</v>
      </c>
      <c r="W9049">
        <v>3880279.4496923201</v>
      </c>
      <c r="X9049" t="s">
        <v>28</v>
      </c>
      <c r="Y9049">
        <f>1-867-507-1110</f>
        <v>-2483</v>
      </c>
    </row>
    <row r="9050" spans="1:25" x14ac:dyDescent="0.35">
      <c r="A9050">
        <v>38.876979577215501</v>
      </c>
      <c r="B9050">
        <v>-124.388516740659</v>
      </c>
      <c r="C9050" t="s">
        <v>25</v>
      </c>
      <c r="D9050">
        <v>47.8535562249671</v>
      </c>
      <c r="E9050">
        <v>7</v>
      </c>
      <c r="F9050">
        <v>956</v>
      </c>
      <c r="G9050">
        <v>4</v>
      </c>
      <c r="H9050">
        <v>1</v>
      </c>
      <c r="I9050">
        <v>1957</v>
      </c>
      <c r="J9050">
        <v>0</v>
      </c>
      <c r="K9050">
        <v>1</v>
      </c>
      <c r="L9050">
        <v>1</v>
      </c>
      <c r="M9050">
        <v>6</v>
      </c>
      <c r="N9050" t="s">
        <v>26</v>
      </c>
      <c r="O9050" t="s">
        <v>27</v>
      </c>
      <c r="P9050">
        <v>4.8493813033100297</v>
      </c>
      <c r="Q9050">
        <v>2.2529627664297198</v>
      </c>
      <c r="R9050">
        <v>0.41069121123993002</v>
      </c>
      <c r="S9050">
        <v>3</v>
      </c>
      <c r="T9050">
        <v>66</v>
      </c>
      <c r="U9050">
        <v>672.46433726465705</v>
      </c>
      <c r="V9050">
        <v>6.2761506276150601E-3</v>
      </c>
      <c r="W9050">
        <v>915074.056564703</v>
      </c>
      <c r="X9050" t="s">
        <v>44</v>
      </c>
      <c r="Y9050">
        <f>1-501-443-1638</f>
        <v>-2581</v>
      </c>
    </row>
    <row r="9051" spans="1:25" x14ac:dyDescent="0.35">
      <c r="A9051">
        <v>37.3004787458935</v>
      </c>
      <c r="B9051">
        <v>-122.108032766371</v>
      </c>
      <c r="C9051" t="s">
        <v>34</v>
      </c>
      <c r="D9051">
        <v>44.699353761543598</v>
      </c>
      <c r="E9051">
        <v>3</v>
      </c>
      <c r="F9051">
        <v>4353</v>
      </c>
      <c r="G9051">
        <v>2</v>
      </c>
      <c r="H9051">
        <v>2</v>
      </c>
      <c r="I9051">
        <v>1950</v>
      </c>
      <c r="J9051">
        <v>1</v>
      </c>
      <c r="K9051">
        <v>1</v>
      </c>
      <c r="L9051">
        <v>0</v>
      </c>
      <c r="M9051">
        <v>14</v>
      </c>
      <c r="N9051" t="s">
        <v>37</v>
      </c>
      <c r="O9051" t="s">
        <v>30</v>
      </c>
      <c r="P9051">
        <v>14.309248216860199</v>
      </c>
      <c r="Q9051">
        <v>1.95348291535691</v>
      </c>
      <c r="R9051">
        <v>8.1353955009446306</v>
      </c>
      <c r="S9051">
        <v>39</v>
      </c>
      <c r="T9051">
        <v>65</v>
      </c>
      <c r="U9051">
        <v>368.29360291643502</v>
      </c>
      <c r="V9051">
        <v>3.2161727544222302E-3</v>
      </c>
      <c r="W9051">
        <v>1879579.7386252</v>
      </c>
      <c r="X9051" t="s">
        <v>44</v>
      </c>
      <c r="Y9051">
        <f>1-595-394-5939</f>
        <v>-6927</v>
      </c>
    </row>
    <row r="9052" spans="1:25" x14ac:dyDescent="0.35">
      <c r="A9052">
        <v>39.990310208500603</v>
      </c>
      <c r="B9052">
        <v>-120.313367388012</v>
      </c>
      <c r="C9052" t="s">
        <v>29</v>
      </c>
      <c r="D9052">
        <v>20.2174397827226</v>
      </c>
      <c r="E9052">
        <v>6</v>
      </c>
      <c r="F9052">
        <v>2866</v>
      </c>
      <c r="G9052">
        <v>1</v>
      </c>
      <c r="H9052">
        <v>2</v>
      </c>
      <c r="I9052">
        <v>1961</v>
      </c>
      <c r="J9052">
        <v>1</v>
      </c>
      <c r="K9052">
        <v>1</v>
      </c>
      <c r="L9052">
        <v>1</v>
      </c>
      <c r="M9052">
        <v>14</v>
      </c>
      <c r="N9052" t="s">
        <v>37</v>
      </c>
      <c r="O9052" t="s">
        <v>27</v>
      </c>
      <c r="P9052">
        <v>6.1894688037811898</v>
      </c>
      <c r="Q9052">
        <v>0.62803836005289404</v>
      </c>
      <c r="R9052">
        <v>4.0565978524809703</v>
      </c>
      <c r="S9052">
        <v>96</v>
      </c>
      <c r="T9052">
        <v>73</v>
      </c>
      <c r="U9052">
        <v>751.24934713576101</v>
      </c>
      <c r="V9052">
        <v>4.8848569434752197E-3</v>
      </c>
      <c r="W9052">
        <v>2364202.9264735798</v>
      </c>
      <c r="X9052" t="s">
        <v>39</v>
      </c>
      <c r="Y9052">
        <f>1-967-406-9426</f>
        <v>-10798</v>
      </c>
    </row>
    <row r="9053" spans="1:25" x14ac:dyDescent="0.35">
      <c r="A9053">
        <v>35.060919659669899</v>
      </c>
      <c r="B9053">
        <v>-121.625687322502</v>
      </c>
      <c r="C9053" t="s">
        <v>25</v>
      </c>
      <c r="D9053">
        <v>20.774480647818901</v>
      </c>
      <c r="E9053">
        <v>4</v>
      </c>
      <c r="F9053">
        <v>1046</v>
      </c>
      <c r="G9053">
        <v>2</v>
      </c>
      <c r="H9053">
        <v>3</v>
      </c>
      <c r="I9053">
        <v>2007</v>
      </c>
      <c r="J9053">
        <v>0</v>
      </c>
      <c r="K9053">
        <v>1</v>
      </c>
      <c r="L9053">
        <v>0</v>
      </c>
      <c r="M9053">
        <v>6</v>
      </c>
      <c r="N9053" t="s">
        <v>41</v>
      </c>
      <c r="O9053" t="s">
        <v>27</v>
      </c>
      <c r="P9053">
        <v>7.7704218665955898</v>
      </c>
      <c r="Q9053">
        <v>1.9303071896606301</v>
      </c>
      <c r="R9053">
        <v>1.4431971977381</v>
      </c>
      <c r="S9053">
        <v>120</v>
      </c>
      <c r="T9053">
        <v>72</v>
      </c>
      <c r="U9053">
        <v>344.38112657274201</v>
      </c>
      <c r="V9053">
        <v>5.7361376673040103E-3</v>
      </c>
      <c r="W9053">
        <v>568187.45394877903</v>
      </c>
      <c r="X9053" t="s">
        <v>40</v>
      </c>
      <c r="Y9053">
        <f>1-840-155-7936</f>
        <v>-8930</v>
      </c>
    </row>
    <row r="9054" spans="1:25" x14ac:dyDescent="0.35">
      <c r="A9054">
        <v>36.547579947214302</v>
      </c>
      <c r="B9054">
        <v>-120.652055936686</v>
      </c>
      <c r="C9054" t="s">
        <v>34</v>
      </c>
      <c r="D9054">
        <v>23.612157890443701</v>
      </c>
      <c r="E9054">
        <v>9</v>
      </c>
      <c r="F9054">
        <v>3298</v>
      </c>
      <c r="G9054">
        <v>1</v>
      </c>
      <c r="H9054">
        <v>1</v>
      </c>
      <c r="I9054">
        <v>1966</v>
      </c>
      <c r="J9054">
        <v>0</v>
      </c>
      <c r="K9054">
        <v>0</v>
      </c>
      <c r="L9054">
        <v>0</v>
      </c>
      <c r="M9054">
        <v>13</v>
      </c>
      <c r="N9054" t="s">
        <v>41</v>
      </c>
      <c r="O9054" t="s">
        <v>32</v>
      </c>
      <c r="P9054">
        <v>6.5091919690594899</v>
      </c>
      <c r="Q9054">
        <v>2.0888816165659199</v>
      </c>
      <c r="R9054">
        <v>1.3456908650496</v>
      </c>
      <c r="S9054">
        <v>126</v>
      </c>
      <c r="T9054">
        <v>43</v>
      </c>
      <c r="U9054">
        <v>486.84058116448898</v>
      </c>
      <c r="V9054">
        <v>3.9417828987264999E-3</v>
      </c>
      <c r="W9054">
        <v>1677149.40107506</v>
      </c>
      <c r="X9054" t="s">
        <v>33</v>
      </c>
      <c r="Y9054">
        <f>1-852-993-3140</f>
        <v>-4984</v>
      </c>
    </row>
    <row r="9055" spans="1:25" x14ac:dyDescent="0.35">
      <c r="A9055">
        <v>36.504469280600198</v>
      </c>
      <c r="B9055">
        <v>-122.10085656533499</v>
      </c>
      <c r="C9055" t="s">
        <v>25</v>
      </c>
      <c r="D9055">
        <v>7.6673906672578998</v>
      </c>
      <c r="E9055">
        <v>6</v>
      </c>
      <c r="F9055">
        <v>501</v>
      </c>
      <c r="G9055">
        <v>4</v>
      </c>
      <c r="H9055">
        <v>1</v>
      </c>
      <c r="I9055">
        <v>1979</v>
      </c>
      <c r="J9055">
        <v>1</v>
      </c>
      <c r="K9055">
        <v>0</v>
      </c>
      <c r="L9055">
        <v>0</v>
      </c>
      <c r="M9055">
        <v>11</v>
      </c>
      <c r="N9055" t="s">
        <v>41</v>
      </c>
      <c r="O9055" t="s">
        <v>30</v>
      </c>
      <c r="P9055">
        <v>2.4957889888294198</v>
      </c>
      <c r="Q9055">
        <v>2.3704222053424302</v>
      </c>
      <c r="R9055">
        <v>2.3541862851677702</v>
      </c>
      <c r="S9055">
        <v>38</v>
      </c>
      <c r="T9055">
        <v>74</v>
      </c>
      <c r="U9055">
        <v>569.65574979163102</v>
      </c>
      <c r="V9055">
        <v>2.1956087824351201E-2</v>
      </c>
      <c r="W9055">
        <v>434738.247462017</v>
      </c>
      <c r="X9055" t="s">
        <v>31</v>
      </c>
      <c r="Y9055">
        <f>1-683-258-3337</f>
        <v>-4277</v>
      </c>
    </row>
    <row r="9056" spans="1:25" x14ac:dyDescent="0.35">
      <c r="A9056">
        <v>32.632910396441503</v>
      </c>
      <c r="B9056">
        <v>-120.439291787486</v>
      </c>
      <c r="C9056" t="s">
        <v>25</v>
      </c>
      <c r="D9056">
        <v>19.441518509226</v>
      </c>
      <c r="E9056">
        <v>7</v>
      </c>
      <c r="F9056">
        <v>3265</v>
      </c>
      <c r="G9056">
        <v>4</v>
      </c>
      <c r="H9056">
        <v>2</v>
      </c>
      <c r="I9056">
        <v>1963</v>
      </c>
      <c r="J9056">
        <v>1</v>
      </c>
      <c r="K9056">
        <v>0</v>
      </c>
      <c r="L9056">
        <v>0</v>
      </c>
      <c r="M9056">
        <v>10</v>
      </c>
      <c r="N9056" t="s">
        <v>41</v>
      </c>
      <c r="O9056" t="s">
        <v>27</v>
      </c>
      <c r="P9056">
        <v>11.5880958710237</v>
      </c>
      <c r="Q9056">
        <v>2.1590000580239401</v>
      </c>
      <c r="R9056">
        <v>5.2769131747580698</v>
      </c>
      <c r="S9056">
        <v>122</v>
      </c>
      <c r="T9056">
        <v>34</v>
      </c>
      <c r="U9056">
        <v>500.49724486658499</v>
      </c>
      <c r="V9056">
        <v>3.0627871362940199E-3</v>
      </c>
      <c r="W9056">
        <v>1890933.7671473499</v>
      </c>
      <c r="X9056" t="s">
        <v>28</v>
      </c>
      <c r="Y9056">
        <f>1-683-773-4615</f>
        <v>-6070</v>
      </c>
    </row>
    <row r="9057" spans="1:25" x14ac:dyDescent="0.35">
      <c r="A9057">
        <v>33.286090415484097</v>
      </c>
      <c r="B9057">
        <v>-114.80282566314099</v>
      </c>
      <c r="C9057" t="s">
        <v>29</v>
      </c>
      <c r="D9057">
        <v>43.188702017230803</v>
      </c>
      <c r="E9057">
        <v>1</v>
      </c>
      <c r="F9057">
        <v>1133</v>
      </c>
      <c r="G9057">
        <v>2</v>
      </c>
      <c r="H9057">
        <v>2</v>
      </c>
      <c r="I9057">
        <v>1969</v>
      </c>
      <c r="J9057">
        <v>1</v>
      </c>
      <c r="K9057">
        <v>1</v>
      </c>
      <c r="L9057">
        <v>0</v>
      </c>
      <c r="M9057">
        <v>10</v>
      </c>
      <c r="N9057" t="s">
        <v>37</v>
      </c>
      <c r="O9057" t="s">
        <v>30</v>
      </c>
      <c r="P9057">
        <v>6.9879021055146602</v>
      </c>
      <c r="Q9057">
        <v>1.6006201265480999</v>
      </c>
      <c r="R9057">
        <v>4.2277895729668202</v>
      </c>
      <c r="S9057">
        <v>148</v>
      </c>
      <c r="T9057">
        <v>76</v>
      </c>
      <c r="U9057">
        <v>729.84147998399396</v>
      </c>
      <c r="V9057">
        <v>8.8261253309796991E-3</v>
      </c>
      <c r="W9057">
        <v>1151422.1225516801</v>
      </c>
      <c r="X9057" t="s">
        <v>36</v>
      </c>
      <c r="Y9057">
        <f>1-397-569-6170</f>
        <v>-7135</v>
      </c>
    </row>
    <row r="9058" spans="1:25" x14ac:dyDescent="0.35">
      <c r="A9058">
        <v>34.184748414336198</v>
      </c>
      <c r="B9058">
        <v>-123.42417114341799</v>
      </c>
      <c r="C9058" t="s">
        <v>29</v>
      </c>
      <c r="D9058">
        <v>34.375883270387497</v>
      </c>
      <c r="E9058">
        <v>1</v>
      </c>
      <c r="F9058">
        <v>4571</v>
      </c>
      <c r="G9058">
        <v>4</v>
      </c>
      <c r="H9058">
        <v>1</v>
      </c>
      <c r="I9058">
        <v>1961</v>
      </c>
      <c r="J9058">
        <v>0</v>
      </c>
      <c r="K9058">
        <v>0</v>
      </c>
      <c r="L9058">
        <v>0</v>
      </c>
      <c r="M9058">
        <v>11</v>
      </c>
      <c r="N9058" t="s">
        <v>26</v>
      </c>
      <c r="O9058" t="s">
        <v>30</v>
      </c>
      <c r="P9058">
        <v>11.979558432420401</v>
      </c>
      <c r="Q9058">
        <v>0.61040217837404498</v>
      </c>
      <c r="R9058">
        <v>2.0882506271011199</v>
      </c>
      <c r="S9058">
        <v>162</v>
      </c>
      <c r="T9058">
        <v>22</v>
      </c>
      <c r="U9058">
        <v>667.58753948613298</v>
      </c>
      <c r="V9058">
        <v>2.4064756070881601E-3</v>
      </c>
      <c r="W9058">
        <v>3327519.2417337201</v>
      </c>
      <c r="X9058" t="s">
        <v>33</v>
      </c>
      <c r="Y9058">
        <f>1-201-268-6415</f>
        <v>-6883</v>
      </c>
    </row>
    <row r="9059" spans="1:25" x14ac:dyDescent="0.35">
      <c r="A9059">
        <v>39.678145395879802</v>
      </c>
      <c r="B9059">
        <v>-118.04035790886699</v>
      </c>
      <c r="C9059" t="s">
        <v>29</v>
      </c>
      <c r="D9059">
        <v>24.695807348530799</v>
      </c>
      <c r="E9059">
        <v>3</v>
      </c>
      <c r="F9059">
        <v>1672</v>
      </c>
      <c r="G9059">
        <v>1</v>
      </c>
      <c r="H9059">
        <v>2</v>
      </c>
      <c r="I9059">
        <v>1965</v>
      </c>
      <c r="J9059">
        <v>1</v>
      </c>
      <c r="K9059">
        <v>1</v>
      </c>
      <c r="L9059">
        <v>0</v>
      </c>
      <c r="M9059">
        <v>9</v>
      </c>
      <c r="N9059" t="s">
        <v>41</v>
      </c>
      <c r="O9059" t="s">
        <v>30</v>
      </c>
      <c r="P9059">
        <v>3.8259778144491801</v>
      </c>
      <c r="Q9059">
        <v>1.838547756131</v>
      </c>
      <c r="R9059">
        <v>5.0240744806099196</v>
      </c>
      <c r="S9059">
        <v>25</v>
      </c>
      <c r="T9059">
        <v>44</v>
      </c>
      <c r="U9059">
        <v>822.31919800348396</v>
      </c>
      <c r="V9059">
        <v>5.38277511961722E-3</v>
      </c>
      <c r="W9059">
        <v>1501779.85355266</v>
      </c>
      <c r="X9059" t="s">
        <v>43</v>
      </c>
      <c r="Y9059">
        <f>1-486-278-4716</f>
        <v>-5479</v>
      </c>
    </row>
    <row r="9060" spans="1:25" x14ac:dyDescent="0.35">
      <c r="A9060">
        <v>39.477309174680101</v>
      </c>
      <c r="B9060">
        <v>-116.364140458663</v>
      </c>
      <c r="C9060" t="s">
        <v>25</v>
      </c>
      <c r="D9060">
        <v>27.910516593662699</v>
      </c>
      <c r="E9060">
        <v>0</v>
      </c>
      <c r="F9060">
        <v>4442</v>
      </c>
      <c r="G9060">
        <v>2</v>
      </c>
      <c r="H9060">
        <v>3</v>
      </c>
      <c r="I9060">
        <v>2018</v>
      </c>
      <c r="J9060">
        <v>1</v>
      </c>
      <c r="K9060">
        <v>1</v>
      </c>
      <c r="L9060">
        <v>1</v>
      </c>
      <c r="M9060">
        <v>7</v>
      </c>
      <c r="N9060" t="s">
        <v>26</v>
      </c>
      <c r="O9060" t="s">
        <v>27</v>
      </c>
      <c r="P9060">
        <v>12.2246737043459</v>
      </c>
      <c r="Q9060">
        <v>0.57189652483542397</v>
      </c>
      <c r="R9060">
        <v>3.7617976499824799</v>
      </c>
      <c r="S9060">
        <v>64</v>
      </c>
      <c r="T9060">
        <v>31</v>
      </c>
      <c r="U9060">
        <v>993.52569411933996</v>
      </c>
      <c r="V9060">
        <v>1.57586672669968E-3</v>
      </c>
      <c r="W9060">
        <v>4904344.3616795298</v>
      </c>
      <c r="X9060" t="s">
        <v>38</v>
      </c>
      <c r="Y9060">
        <f>1-376-623-7269</f>
        <v>-8267</v>
      </c>
    </row>
    <row r="9061" spans="1:25" x14ac:dyDescent="0.35">
      <c r="A9061">
        <v>35.3638447272563</v>
      </c>
      <c r="B9061">
        <v>-123.14528454016001</v>
      </c>
      <c r="C9061" t="s">
        <v>25</v>
      </c>
      <c r="D9061">
        <v>11.7258281714277</v>
      </c>
      <c r="E9061">
        <v>9</v>
      </c>
      <c r="F9061">
        <v>4152</v>
      </c>
      <c r="G9061">
        <v>4</v>
      </c>
      <c r="H9061">
        <v>2</v>
      </c>
      <c r="I9061">
        <v>1963</v>
      </c>
      <c r="J9061">
        <v>1</v>
      </c>
      <c r="K9061">
        <v>1</v>
      </c>
      <c r="L9061">
        <v>0</v>
      </c>
      <c r="M9061">
        <v>4</v>
      </c>
      <c r="N9061" t="s">
        <v>41</v>
      </c>
      <c r="O9061" t="s">
        <v>30</v>
      </c>
      <c r="P9061">
        <v>13.2502601090737</v>
      </c>
      <c r="Q9061">
        <v>1.8492185616002701</v>
      </c>
      <c r="R9061">
        <v>8.5118852635953406</v>
      </c>
      <c r="S9061">
        <v>151</v>
      </c>
      <c r="T9061">
        <v>60</v>
      </c>
      <c r="U9061">
        <v>622.22516214495499</v>
      </c>
      <c r="V9061">
        <v>9.6339113680154098E-4</v>
      </c>
      <c r="W9061">
        <v>2948929.3584801001</v>
      </c>
      <c r="X9061" t="s">
        <v>39</v>
      </c>
      <c r="Y9061">
        <f>1-888-220-5884</f>
        <v>-6991</v>
      </c>
    </row>
    <row r="9062" spans="1:25" x14ac:dyDescent="0.35">
      <c r="A9062">
        <v>38.511949661580999</v>
      </c>
      <c r="B9062">
        <v>-119.513566088533</v>
      </c>
      <c r="C9062" t="s">
        <v>25</v>
      </c>
      <c r="D9062">
        <v>43.347328995979602</v>
      </c>
      <c r="E9062">
        <v>7</v>
      </c>
      <c r="F9062">
        <v>2069</v>
      </c>
      <c r="G9062">
        <v>5</v>
      </c>
      <c r="H9062">
        <v>3</v>
      </c>
      <c r="I9062">
        <v>2007</v>
      </c>
      <c r="J9062">
        <v>1</v>
      </c>
      <c r="K9062">
        <v>0</v>
      </c>
      <c r="L9062">
        <v>1</v>
      </c>
      <c r="M9062">
        <v>6</v>
      </c>
      <c r="N9062" t="s">
        <v>26</v>
      </c>
      <c r="O9062" t="s">
        <v>27</v>
      </c>
      <c r="P9062">
        <v>11.656907546043</v>
      </c>
      <c r="Q9062">
        <v>1.5454454713303201</v>
      </c>
      <c r="R9062">
        <v>7.41328204828742</v>
      </c>
      <c r="S9062">
        <v>13</v>
      </c>
      <c r="T9062">
        <v>46</v>
      </c>
      <c r="U9062">
        <v>755.61710753298098</v>
      </c>
      <c r="V9062">
        <v>2.8999516674721999E-3</v>
      </c>
      <c r="W9062">
        <v>2012016.1015506701</v>
      </c>
      <c r="X9062" t="s">
        <v>39</v>
      </c>
      <c r="Y9062">
        <f>1-885-614-2330</f>
        <v>-3828</v>
      </c>
    </row>
    <row r="9063" spans="1:25" x14ac:dyDescent="0.35">
      <c r="A9063">
        <v>36.369908791484498</v>
      </c>
      <c r="B9063">
        <v>-121.889439716886</v>
      </c>
      <c r="C9063" t="s">
        <v>29</v>
      </c>
      <c r="D9063">
        <v>40.513796010544702</v>
      </c>
      <c r="E9063">
        <v>0</v>
      </c>
      <c r="F9063">
        <v>3738</v>
      </c>
      <c r="G9063">
        <v>3</v>
      </c>
      <c r="H9063">
        <v>2</v>
      </c>
      <c r="I9063">
        <v>2017</v>
      </c>
      <c r="J9063">
        <v>1</v>
      </c>
      <c r="K9063">
        <v>0</v>
      </c>
      <c r="L9063">
        <v>1</v>
      </c>
      <c r="M9063">
        <v>4</v>
      </c>
      <c r="N9063" t="s">
        <v>26</v>
      </c>
      <c r="O9063" t="s">
        <v>30</v>
      </c>
      <c r="P9063">
        <v>9.6141766213890492</v>
      </c>
      <c r="Q9063">
        <v>1.3190364347254999</v>
      </c>
      <c r="R9063">
        <v>1.0294182173103501</v>
      </c>
      <c r="S9063">
        <v>173</v>
      </c>
      <c r="T9063">
        <v>40</v>
      </c>
      <c r="U9063">
        <v>484.36083325407401</v>
      </c>
      <c r="V9063">
        <v>1.0700909577313999E-3</v>
      </c>
      <c r="W9063">
        <v>2204775.90089976</v>
      </c>
      <c r="X9063" t="s">
        <v>36</v>
      </c>
      <c r="Y9063">
        <f>1-410-568-8414</f>
        <v>-9391</v>
      </c>
    </row>
    <row r="9064" spans="1:25" x14ac:dyDescent="0.35">
      <c r="A9064">
        <v>38.197584988173297</v>
      </c>
      <c r="B9064">
        <v>-115.593060517873</v>
      </c>
      <c r="C9064" t="s">
        <v>34</v>
      </c>
      <c r="D9064">
        <v>26.983222970645802</v>
      </c>
      <c r="E9064">
        <v>3</v>
      </c>
      <c r="F9064">
        <v>1715</v>
      </c>
      <c r="G9064">
        <v>1</v>
      </c>
      <c r="H9064">
        <v>3</v>
      </c>
      <c r="I9064">
        <v>1953</v>
      </c>
      <c r="J9064">
        <v>1</v>
      </c>
      <c r="K9064">
        <v>1</v>
      </c>
      <c r="L9064">
        <v>1</v>
      </c>
      <c r="M9064">
        <v>10</v>
      </c>
      <c r="N9064" t="s">
        <v>26</v>
      </c>
      <c r="O9064" t="s">
        <v>27</v>
      </c>
      <c r="P9064">
        <v>14.1480074870557</v>
      </c>
      <c r="Q9064">
        <v>0.71874107297367695</v>
      </c>
      <c r="R9064">
        <v>4.2504917314239199</v>
      </c>
      <c r="S9064">
        <v>124</v>
      </c>
      <c r="T9064">
        <v>67</v>
      </c>
      <c r="U9064">
        <v>532.84083446720501</v>
      </c>
      <c r="V9064">
        <v>5.83090379008746E-3</v>
      </c>
      <c r="W9064">
        <v>1147164.4463388</v>
      </c>
      <c r="X9064" t="s">
        <v>31</v>
      </c>
      <c r="Y9064">
        <f>1-962-556-6327</f>
        <v>-7844</v>
      </c>
    </row>
    <row r="9065" spans="1:25" x14ac:dyDescent="0.35">
      <c r="A9065">
        <v>33.205169526984797</v>
      </c>
      <c r="B9065">
        <v>-119.20670726912699</v>
      </c>
      <c r="C9065" t="s">
        <v>29</v>
      </c>
      <c r="D9065">
        <v>1.33440700924245</v>
      </c>
      <c r="E9065">
        <v>9</v>
      </c>
      <c r="F9065">
        <v>3932</v>
      </c>
      <c r="G9065">
        <v>5</v>
      </c>
      <c r="H9065">
        <v>3</v>
      </c>
      <c r="I9065">
        <v>1967</v>
      </c>
      <c r="J9065">
        <v>1</v>
      </c>
      <c r="K9065">
        <v>1</v>
      </c>
      <c r="L9065">
        <v>0</v>
      </c>
      <c r="M9065">
        <v>8</v>
      </c>
      <c r="N9065" t="s">
        <v>35</v>
      </c>
      <c r="O9065" t="s">
        <v>27</v>
      </c>
      <c r="P9065">
        <v>14.9253623439909</v>
      </c>
      <c r="Q9065">
        <v>1.7926086486966399</v>
      </c>
      <c r="R9065">
        <v>5.3812919853409298</v>
      </c>
      <c r="S9065">
        <v>64</v>
      </c>
      <c r="T9065">
        <v>35</v>
      </c>
      <c r="U9065">
        <v>545.26413723595101</v>
      </c>
      <c r="V9065">
        <v>2.03458799593082E-3</v>
      </c>
      <c r="W9065">
        <v>2606249.3537556701</v>
      </c>
      <c r="X9065" t="s">
        <v>31</v>
      </c>
      <c r="Y9065">
        <f>1-723-881-2301</f>
        <v>-3904</v>
      </c>
    </row>
    <row r="9066" spans="1:25" x14ac:dyDescent="0.35">
      <c r="A9066">
        <v>36.886474588315401</v>
      </c>
      <c r="B9066">
        <v>-115.089779057562</v>
      </c>
      <c r="C9066" t="s">
        <v>25</v>
      </c>
      <c r="D9066">
        <v>18.401025659128202</v>
      </c>
      <c r="E9066">
        <v>8</v>
      </c>
      <c r="F9066">
        <v>3330</v>
      </c>
      <c r="G9066">
        <v>1</v>
      </c>
      <c r="H9066">
        <v>1</v>
      </c>
      <c r="I9066">
        <v>2019</v>
      </c>
      <c r="J9066">
        <v>1</v>
      </c>
      <c r="K9066">
        <v>0</v>
      </c>
      <c r="L9066">
        <v>0</v>
      </c>
      <c r="M9066">
        <v>9</v>
      </c>
      <c r="N9066" t="s">
        <v>37</v>
      </c>
      <c r="O9066" t="s">
        <v>32</v>
      </c>
      <c r="P9066">
        <v>12.971740937894801</v>
      </c>
      <c r="Q9066">
        <v>1.0741217417403399</v>
      </c>
      <c r="R9066">
        <v>6.4253946426863804</v>
      </c>
      <c r="S9066">
        <v>56</v>
      </c>
      <c r="T9066">
        <v>68</v>
      </c>
      <c r="U9066">
        <v>881.99353659433098</v>
      </c>
      <c r="V9066">
        <v>2.7027027027026998E-3</v>
      </c>
      <c r="W9066">
        <v>3089213.5592203601</v>
      </c>
      <c r="X9066" t="s">
        <v>44</v>
      </c>
      <c r="Y9066">
        <f>1-807-439-1877</f>
        <v>-3122</v>
      </c>
    </row>
    <row r="9067" spans="1:25" x14ac:dyDescent="0.35">
      <c r="A9067">
        <v>36.0246422884602</v>
      </c>
      <c r="B9067">
        <v>-116.992052196213</v>
      </c>
      <c r="C9067" t="s">
        <v>34</v>
      </c>
      <c r="D9067">
        <v>34.813773103477303</v>
      </c>
      <c r="E9067">
        <v>1</v>
      </c>
      <c r="F9067">
        <v>1080</v>
      </c>
      <c r="G9067">
        <v>2</v>
      </c>
      <c r="H9067">
        <v>3</v>
      </c>
      <c r="I9067">
        <v>1963</v>
      </c>
      <c r="J9067">
        <v>0</v>
      </c>
      <c r="K9067">
        <v>0</v>
      </c>
      <c r="L9067">
        <v>0</v>
      </c>
      <c r="M9067">
        <v>9</v>
      </c>
      <c r="N9067" t="s">
        <v>37</v>
      </c>
      <c r="O9067" t="s">
        <v>27</v>
      </c>
      <c r="P9067">
        <v>14.1962986250304</v>
      </c>
      <c r="Q9067">
        <v>0.52874856786574298</v>
      </c>
      <c r="R9067">
        <v>7.81194033701503</v>
      </c>
      <c r="S9067">
        <v>124</v>
      </c>
      <c r="T9067">
        <v>28</v>
      </c>
      <c r="U9067">
        <v>513.86136755509597</v>
      </c>
      <c r="V9067">
        <v>8.3333333333333297E-3</v>
      </c>
      <c r="W9067">
        <v>734145.85482810799</v>
      </c>
      <c r="X9067" t="s">
        <v>39</v>
      </c>
      <c r="Y9067">
        <f>1-226-630-3956</f>
        <v>-4811</v>
      </c>
    </row>
    <row r="9068" spans="1:25" x14ac:dyDescent="0.35">
      <c r="A9068">
        <v>38.372241561758003</v>
      </c>
      <c r="B9068">
        <v>-119.395996550059</v>
      </c>
      <c r="C9068" t="s">
        <v>29</v>
      </c>
      <c r="D9068">
        <v>7.3920674041909598</v>
      </c>
      <c r="E9068">
        <v>0</v>
      </c>
      <c r="F9068">
        <v>2326</v>
      </c>
      <c r="G9068">
        <v>2</v>
      </c>
      <c r="H9068">
        <v>3</v>
      </c>
      <c r="I9068">
        <v>1975</v>
      </c>
      <c r="J9068">
        <v>1</v>
      </c>
      <c r="K9068">
        <v>0</v>
      </c>
      <c r="L9068">
        <v>1</v>
      </c>
      <c r="M9068">
        <v>3</v>
      </c>
      <c r="N9068" t="s">
        <v>37</v>
      </c>
      <c r="O9068" t="s">
        <v>27</v>
      </c>
      <c r="P9068">
        <v>2.33314746222662</v>
      </c>
      <c r="Q9068">
        <v>1.7745429732597799</v>
      </c>
      <c r="R9068">
        <v>3.2264466932679299</v>
      </c>
      <c r="S9068">
        <v>115</v>
      </c>
      <c r="T9068">
        <v>69</v>
      </c>
      <c r="U9068">
        <v>854.32527975100197</v>
      </c>
      <c r="V9068">
        <v>1.2897678417884699E-3</v>
      </c>
      <c r="W9068">
        <v>2151032.6452171798</v>
      </c>
      <c r="X9068" t="s">
        <v>36</v>
      </c>
      <c r="Y9068">
        <f>1-664-539-7752</f>
        <v>-8954</v>
      </c>
    </row>
    <row r="9069" spans="1:25" x14ac:dyDescent="0.35">
      <c r="A9069">
        <v>36.137304169210303</v>
      </c>
      <c r="B9069">
        <v>-123.621744647962</v>
      </c>
      <c r="C9069" t="s">
        <v>29</v>
      </c>
      <c r="D9069">
        <v>17.584312549206</v>
      </c>
      <c r="E9069">
        <v>7</v>
      </c>
      <c r="F9069">
        <v>1947</v>
      </c>
      <c r="G9069">
        <v>4</v>
      </c>
      <c r="H9069">
        <v>1</v>
      </c>
      <c r="I9069">
        <v>1994</v>
      </c>
      <c r="J9069">
        <v>0</v>
      </c>
      <c r="K9069">
        <v>1</v>
      </c>
      <c r="L9069">
        <v>1</v>
      </c>
      <c r="M9069">
        <v>13</v>
      </c>
      <c r="N9069" t="s">
        <v>41</v>
      </c>
      <c r="O9069" t="s">
        <v>27</v>
      </c>
      <c r="P9069">
        <v>3.0909947569742799</v>
      </c>
      <c r="Q9069">
        <v>2.1745779794164699</v>
      </c>
      <c r="R9069">
        <v>8.0017732928923806</v>
      </c>
      <c r="S9069">
        <v>175</v>
      </c>
      <c r="T9069">
        <v>67</v>
      </c>
      <c r="U9069">
        <v>745.46764359342603</v>
      </c>
      <c r="V9069">
        <v>6.6769388803287104E-3</v>
      </c>
      <c r="W9069">
        <v>1747932.68872023</v>
      </c>
      <c r="X9069" t="s">
        <v>43</v>
      </c>
      <c r="Y9069">
        <f>1-722-860-7826</f>
        <v>-9407</v>
      </c>
    </row>
    <row r="9070" spans="1:25" x14ac:dyDescent="0.35">
      <c r="A9070">
        <v>35.363979409667202</v>
      </c>
      <c r="B9070">
        <v>-117.134418587415</v>
      </c>
      <c r="C9070" t="s">
        <v>29</v>
      </c>
      <c r="D9070">
        <v>33.0200843626004</v>
      </c>
      <c r="E9070">
        <v>1</v>
      </c>
      <c r="F9070">
        <v>2409</v>
      </c>
      <c r="G9070">
        <v>3</v>
      </c>
      <c r="H9070">
        <v>3</v>
      </c>
      <c r="I9070">
        <v>2010</v>
      </c>
      <c r="J9070">
        <v>0</v>
      </c>
      <c r="K9070">
        <v>1</v>
      </c>
      <c r="L9070">
        <v>0</v>
      </c>
      <c r="M9070">
        <v>8</v>
      </c>
      <c r="N9070" t="s">
        <v>41</v>
      </c>
      <c r="O9070" t="s">
        <v>32</v>
      </c>
      <c r="P9070">
        <v>4.1691804858760602</v>
      </c>
      <c r="Q9070">
        <v>2.04479721339154</v>
      </c>
      <c r="R9070">
        <v>2.13619058193777</v>
      </c>
      <c r="S9070">
        <v>106</v>
      </c>
      <c r="T9070">
        <v>69</v>
      </c>
      <c r="U9070">
        <v>215.661392027418</v>
      </c>
      <c r="V9070">
        <v>3.3208800332087999E-3</v>
      </c>
      <c r="W9070">
        <v>838431.50962478505</v>
      </c>
      <c r="X9070" t="s">
        <v>36</v>
      </c>
      <c r="Y9070">
        <f>1-485-574-5962</f>
        <v>-7020</v>
      </c>
    </row>
    <row r="9071" spans="1:25" x14ac:dyDescent="0.35">
      <c r="A9071">
        <v>38.038588202248803</v>
      </c>
      <c r="B9071">
        <v>-121.88258618765801</v>
      </c>
      <c r="C9071" t="s">
        <v>34</v>
      </c>
      <c r="D9071">
        <v>38.062627751922697</v>
      </c>
      <c r="E9071">
        <v>8</v>
      </c>
      <c r="F9071">
        <v>2286</v>
      </c>
      <c r="G9071">
        <v>3</v>
      </c>
      <c r="H9071">
        <v>1</v>
      </c>
      <c r="I9071">
        <v>1998</v>
      </c>
      <c r="J9071">
        <v>1</v>
      </c>
      <c r="K9071">
        <v>1</v>
      </c>
      <c r="L9071">
        <v>0</v>
      </c>
      <c r="M9071">
        <v>5</v>
      </c>
      <c r="N9071" t="s">
        <v>37</v>
      </c>
      <c r="O9071" t="s">
        <v>27</v>
      </c>
      <c r="P9071">
        <v>4.0236879725494301</v>
      </c>
      <c r="Q9071">
        <v>0.64072106468554701</v>
      </c>
      <c r="R9071">
        <v>0.65505617493171997</v>
      </c>
      <c r="S9071">
        <v>149</v>
      </c>
      <c r="T9071">
        <v>21</v>
      </c>
      <c r="U9071">
        <v>228.813049634804</v>
      </c>
      <c r="V9071">
        <v>2.18722659667541E-3</v>
      </c>
      <c r="W9071">
        <v>785737.671925314</v>
      </c>
      <c r="X9071" t="s">
        <v>28</v>
      </c>
      <c r="Y9071">
        <f>1-979-452-6086</f>
        <v>-7516</v>
      </c>
    </row>
    <row r="9072" spans="1:25" x14ac:dyDescent="0.35">
      <c r="A9072">
        <v>33.840502559490702</v>
      </c>
      <c r="B9072">
        <v>-120.717354484995</v>
      </c>
      <c r="C9072" t="s">
        <v>29</v>
      </c>
      <c r="D9072">
        <v>10.396092213492301</v>
      </c>
      <c r="E9072">
        <v>6</v>
      </c>
      <c r="F9072">
        <v>988</v>
      </c>
      <c r="G9072">
        <v>5</v>
      </c>
      <c r="H9072">
        <v>1</v>
      </c>
      <c r="I9072">
        <v>2011</v>
      </c>
      <c r="J9072">
        <v>1</v>
      </c>
      <c r="K9072">
        <v>0</v>
      </c>
      <c r="L9072">
        <v>1</v>
      </c>
      <c r="M9072">
        <v>8</v>
      </c>
      <c r="N9072" t="s">
        <v>26</v>
      </c>
      <c r="O9072" t="s">
        <v>30</v>
      </c>
      <c r="P9072">
        <v>5.0971907394330298</v>
      </c>
      <c r="Q9072">
        <v>2.1753350664812299</v>
      </c>
      <c r="R9072">
        <v>1.8787385243814201</v>
      </c>
      <c r="S9072">
        <v>25</v>
      </c>
      <c r="T9072">
        <v>51</v>
      </c>
      <c r="U9072">
        <v>695.108363134917</v>
      </c>
      <c r="V9072">
        <v>8.0971659919028306E-3</v>
      </c>
      <c r="W9072">
        <v>1027741.4922852</v>
      </c>
      <c r="X9072" t="s">
        <v>28</v>
      </c>
      <c r="Y9072">
        <f>1-406-971-9515</f>
        <v>-10891</v>
      </c>
    </row>
    <row r="9073" spans="1:25" x14ac:dyDescent="0.35">
      <c r="A9073">
        <v>38.5930530280855</v>
      </c>
      <c r="B9073">
        <v>-122.67416674219901</v>
      </c>
      <c r="C9073" t="s">
        <v>34</v>
      </c>
      <c r="D9073">
        <v>30.633318808475099</v>
      </c>
      <c r="E9073">
        <v>8</v>
      </c>
      <c r="F9073">
        <v>4347</v>
      </c>
      <c r="G9073">
        <v>4</v>
      </c>
      <c r="H9073">
        <v>2</v>
      </c>
      <c r="I9073">
        <v>1987</v>
      </c>
      <c r="J9073">
        <v>1</v>
      </c>
      <c r="K9073">
        <v>1</v>
      </c>
      <c r="L9073">
        <v>1</v>
      </c>
      <c r="M9073">
        <v>9</v>
      </c>
      <c r="N9073" t="s">
        <v>26</v>
      </c>
      <c r="O9073" t="s">
        <v>32</v>
      </c>
      <c r="P9073">
        <v>4.8056511356380396</v>
      </c>
      <c r="Q9073">
        <v>0.57305803323261295</v>
      </c>
      <c r="R9073">
        <v>9.3908281399638298</v>
      </c>
      <c r="S9073">
        <v>34</v>
      </c>
      <c r="T9073">
        <v>53</v>
      </c>
      <c r="U9073">
        <v>690.19374217659401</v>
      </c>
      <c r="V9073">
        <v>2.0703933747412001E-3</v>
      </c>
      <c r="W9073">
        <v>3379843.085678</v>
      </c>
      <c r="X9073" t="s">
        <v>39</v>
      </c>
      <c r="Y9073">
        <f>1-930-450-8763</f>
        <v>-10142</v>
      </c>
    </row>
    <row r="9074" spans="1:25" x14ac:dyDescent="0.35">
      <c r="A9074">
        <v>32.578758211467303</v>
      </c>
      <c r="B9074">
        <v>-114.28041543387199</v>
      </c>
      <c r="C9074" t="s">
        <v>29</v>
      </c>
      <c r="D9074">
        <v>26.690882628084001</v>
      </c>
      <c r="E9074">
        <v>3</v>
      </c>
      <c r="F9074">
        <v>2065</v>
      </c>
      <c r="G9074">
        <v>5</v>
      </c>
      <c r="H9074">
        <v>1</v>
      </c>
      <c r="I9074">
        <v>1956</v>
      </c>
      <c r="J9074">
        <v>1</v>
      </c>
      <c r="K9074">
        <v>1</v>
      </c>
      <c r="L9074">
        <v>0</v>
      </c>
      <c r="M9074">
        <v>6</v>
      </c>
      <c r="N9074" t="s">
        <v>26</v>
      </c>
      <c r="O9074" t="s">
        <v>30</v>
      </c>
      <c r="P9074">
        <v>6.7816969976705703</v>
      </c>
      <c r="Q9074">
        <v>1.48155619242499</v>
      </c>
      <c r="R9074">
        <v>3.48100653490406</v>
      </c>
      <c r="S9074">
        <v>56</v>
      </c>
      <c r="T9074">
        <v>26</v>
      </c>
      <c r="U9074">
        <v>661.03838241880305</v>
      </c>
      <c r="V9074">
        <v>2.9055690072639201E-3</v>
      </c>
      <c r="W9074">
        <v>1702956.4248540199</v>
      </c>
      <c r="X9074" t="s">
        <v>31</v>
      </c>
      <c r="Y9074">
        <f>1-591-291-4468</f>
        <v>-5349</v>
      </c>
    </row>
    <row r="9075" spans="1:25" x14ac:dyDescent="0.35">
      <c r="A9075">
        <v>39.846363186159998</v>
      </c>
      <c r="B9075">
        <v>-119.337343961876</v>
      </c>
      <c r="C9075" t="s">
        <v>29</v>
      </c>
      <c r="D9075">
        <v>28.454326254148199</v>
      </c>
      <c r="E9075">
        <v>1</v>
      </c>
      <c r="F9075">
        <v>3116</v>
      </c>
      <c r="G9075">
        <v>3</v>
      </c>
      <c r="H9075">
        <v>3</v>
      </c>
      <c r="I9075">
        <v>2000</v>
      </c>
      <c r="J9075">
        <v>0</v>
      </c>
      <c r="K9075">
        <v>0</v>
      </c>
      <c r="L9075">
        <v>1</v>
      </c>
      <c r="M9075">
        <v>9</v>
      </c>
      <c r="N9075" t="s">
        <v>41</v>
      </c>
      <c r="O9075" t="s">
        <v>32</v>
      </c>
      <c r="P9075">
        <v>8.3046842052155991</v>
      </c>
      <c r="Q9075">
        <v>1.1137203116282299</v>
      </c>
      <c r="R9075">
        <v>1.5735826876505301</v>
      </c>
      <c r="S9075">
        <v>57</v>
      </c>
      <c r="T9075">
        <v>29</v>
      </c>
      <c r="U9075">
        <v>838.11914782681197</v>
      </c>
      <c r="V9075">
        <v>2.8883183568677701E-3</v>
      </c>
      <c r="W9075">
        <v>2935012.1638907599</v>
      </c>
      <c r="X9075" t="s">
        <v>28</v>
      </c>
      <c r="Y9075">
        <f>1-204-828-5021</f>
        <v>-6052</v>
      </c>
    </row>
    <row r="9076" spans="1:25" x14ac:dyDescent="0.35">
      <c r="A9076">
        <v>34.025649638126403</v>
      </c>
      <c r="B9076">
        <v>-120.03563229335499</v>
      </c>
      <c r="C9076" t="s">
        <v>34</v>
      </c>
      <c r="D9076">
        <v>25.663234131058001</v>
      </c>
      <c r="E9076">
        <v>0</v>
      </c>
      <c r="F9076">
        <v>4277</v>
      </c>
      <c r="G9076">
        <v>5</v>
      </c>
      <c r="H9076">
        <v>2</v>
      </c>
      <c r="I9076">
        <v>1959</v>
      </c>
      <c r="J9076">
        <v>0</v>
      </c>
      <c r="K9076">
        <v>1</v>
      </c>
      <c r="L9076">
        <v>1</v>
      </c>
      <c r="M9076">
        <v>7</v>
      </c>
      <c r="N9076" t="s">
        <v>37</v>
      </c>
      <c r="O9076" t="s">
        <v>30</v>
      </c>
      <c r="P9076">
        <v>6.1164937153950198</v>
      </c>
      <c r="Q9076">
        <v>1.32947136883711</v>
      </c>
      <c r="R9076">
        <v>8.5731094860560599</v>
      </c>
      <c r="S9076">
        <v>145</v>
      </c>
      <c r="T9076">
        <v>26</v>
      </c>
      <c r="U9076">
        <v>349.64426369239601</v>
      </c>
      <c r="V9076">
        <v>1.63666121112929E-3</v>
      </c>
      <c r="W9076">
        <v>1874389.7161957</v>
      </c>
      <c r="X9076" t="s">
        <v>39</v>
      </c>
      <c r="Y9076">
        <f>1-929-762-7996</f>
        <v>-9686</v>
      </c>
    </row>
    <row r="9077" spans="1:25" x14ac:dyDescent="0.35">
      <c r="A9077">
        <v>37.769286558210602</v>
      </c>
      <c r="B9077">
        <v>-119.939384718269</v>
      </c>
      <c r="C9077" t="s">
        <v>25</v>
      </c>
      <c r="D9077">
        <v>45.114579216785501</v>
      </c>
      <c r="E9077">
        <v>5</v>
      </c>
      <c r="F9077">
        <v>1158</v>
      </c>
      <c r="G9077">
        <v>4</v>
      </c>
      <c r="H9077">
        <v>3</v>
      </c>
      <c r="I9077">
        <v>1984</v>
      </c>
      <c r="J9077">
        <v>1</v>
      </c>
      <c r="K9077">
        <v>1</v>
      </c>
      <c r="L9077">
        <v>0</v>
      </c>
      <c r="M9077">
        <v>2</v>
      </c>
      <c r="N9077" t="s">
        <v>35</v>
      </c>
      <c r="O9077" t="s">
        <v>32</v>
      </c>
      <c r="P9077">
        <v>8.5605932813917001</v>
      </c>
      <c r="Q9077">
        <v>1.7667441248245801</v>
      </c>
      <c r="R9077">
        <v>6.7506469238688203</v>
      </c>
      <c r="S9077">
        <v>47</v>
      </c>
      <c r="T9077">
        <v>69</v>
      </c>
      <c r="U9077">
        <v>479.31269734111203</v>
      </c>
      <c r="V9077">
        <v>1.72711571675302E-3</v>
      </c>
      <c r="W9077">
        <v>1027580.50921553</v>
      </c>
      <c r="X9077" t="s">
        <v>31</v>
      </c>
      <c r="Y9077">
        <f>1-566-138-6008</f>
        <v>-6711</v>
      </c>
    </row>
    <row r="9078" spans="1:25" x14ac:dyDescent="0.35">
      <c r="A9078">
        <v>34.712881213347899</v>
      </c>
      <c r="B9078">
        <v>-124.10344515764299</v>
      </c>
      <c r="C9078" t="s">
        <v>34</v>
      </c>
      <c r="D9078">
        <v>41.494828318920199</v>
      </c>
      <c r="E9078">
        <v>3</v>
      </c>
      <c r="F9078">
        <v>2816</v>
      </c>
      <c r="G9078">
        <v>5</v>
      </c>
      <c r="H9078">
        <v>1</v>
      </c>
      <c r="I9078">
        <v>2007</v>
      </c>
      <c r="J9078">
        <v>0</v>
      </c>
      <c r="K9078">
        <v>1</v>
      </c>
      <c r="L9078">
        <v>1</v>
      </c>
      <c r="M9078">
        <v>12</v>
      </c>
      <c r="N9078" t="s">
        <v>35</v>
      </c>
      <c r="O9078" t="s">
        <v>30</v>
      </c>
      <c r="P9078">
        <v>2.5116467983694899</v>
      </c>
      <c r="Q9078">
        <v>0.52903087089616097</v>
      </c>
      <c r="R9078">
        <v>6.4309248638488103</v>
      </c>
      <c r="S9078">
        <v>101</v>
      </c>
      <c r="T9078">
        <v>69</v>
      </c>
      <c r="U9078">
        <v>306.37273058354401</v>
      </c>
      <c r="V9078">
        <v>4.26136363636363E-3</v>
      </c>
      <c r="W9078">
        <v>1241282.12371145</v>
      </c>
      <c r="X9078" t="s">
        <v>33</v>
      </c>
      <c r="Y9078">
        <f>1-925-667-9086</f>
        <v>-10677</v>
      </c>
    </row>
    <row r="9079" spans="1:25" x14ac:dyDescent="0.35">
      <c r="A9079">
        <v>38.317938592023701</v>
      </c>
      <c r="B9079">
        <v>-117.725572216836</v>
      </c>
      <c r="C9079" t="s">
        <v>34</v>
      </c>
      <c r="D9079">
        <v>21.174607923208701</v>
      </c>
      <c r="E9079">
        <v>3</v>
      </c>
      <c r="F9079">
        <v>1417</v>
      </c>
      <c r="G9079">
        <v>4</v>
      </c>
      <c r="H9079">
        <v>3</v>
      </c>
      <c r="I9079">
        <v>2018</v>
      </c>
      <c r="J9079">
        <v>0</v>
      </c>
      <c r="K9079">
        <v>1</v>
      </c>
      <c r="L9079">
        <v>1</v>
      </c>
      <c r="M9079">
        <v>5</v>
      </c>
      <c r="N9079" t="s">
        <v>37</v>
      </c>
      <c r="O9079" t="s">
        <v>27</v>
      </c>
      <c r="P9079">
        <v>12.0599352380687</v>
      </c>
      <c r="Q9079">
        <v>0.77131887325248605</v>
      </c>
      <c r="R9079">
        <v>9.9141497806414804</v>
      </c>
      <c r="S9079">
        <v>122</v>
      </c>
      <c r="T9079">
        <v>78</v>
      </c>
      <c r="U9079">
        <v>881.53714908085396</v>
      </c>
      <c r="V9079">
        <v>3.5285815102328801E-3</v>
      </c>
      <c r="W9079">
        <v>1726449.60576939</v>
      </c>
      <c r="X9079" t="s">
        <v>39</v>
      </c>
      <c r="Y9079">
        <f>1-855-518-3869</f>
        <v>-5241</v>
      </c>
    </row>
    <row r="9080" spans="1:25" x14ac:dyDescent="0.35">
      <c r="A9080">
        <v>39.011325874742901</v>
      </c>
      <c r="B9080">
        <v>-119.258644022685</v>
      </c>
      <c r="C9080" t="s">
        <v>34</v>
      </c>
      <c r="D9080">
        <v>19.071903884592999</v>
      </c>
      <c r="E9080">
        <v>2</v>
      </c>
      <c r="F9080">
        <v>3327</v>
      </c>
      <c r="G9080">
        <v>1</v>
      </c>
      <c r="H9080">
        <v>2</v>
      </c>
      <c r="I9080">
        <v>1971</v>
      </c>
      <c r="J9080">
        <v>1</v>
      </c>
      <c r="K9080">
        <v>1</v>
      </c>
      <c r="L9080">
        <v>0</v>
      </c>
      <c r="M9080">
        <v>6</v>
      </c>
      <c r="N9080" t="s">
        <v>26</v>
      </c>
      <c r="O9080" t="s">
        <v>30</v>
      </c>
      <c r="P9080">
        <v>2.4962727871774</v>
      </c>
      <c r="Q9080">
        <v>0.96731780266920397</v>
      </c>
      <c r="R9080">
        <v>7.7032930311423202</v>
      </c>
      <c r="S9080">
        <v>73</v>
      </c>
      <c r="T9080">
        <v>33</v>
      </c>
      <c r="U9080">
        <v>653.70191762802301</v>
      </c>
      <c r="V9080">
        <v>1.8034265103697E-3</v>
      </c>
      <c r="W9080">
        <v>2322189.3607409699</v>
      </c>
      <c r="X9080" t="s">
        <v>44</v>
      </c>
      <c r="Y9080">
        <f>1-314-289-2842</f>
        <v>-3444</v>
      </c>
    </row>
    <row r="9081" spans="1:25" x14ac:dyDescent="0.35">
      <c r="A9081">
        <v>35.034555710348997</v>
      </c>
      <c r="B9081">
        <v>-116.91304247854499</v>
      </c>
      <c r="C9081" t="s">
        <v>29</v>
      </c>
      <c r="D9081">
        <v>19.3686657046519</v>
      </c>
      <c r="E9081">
        <v>2</v>
      </c>
      <c r="F9081">
        <v>1158</v>
      </c>
      <c r="G9081">
        <v>2</v>
      </c>
      <c r="H9081">
        <v>2</v>
      </c>
      <c r="I9081">
        <v>1983</v>
      </c>
      <c r="J9081">
        <v>1</v>
      </c>
      <c r="K9081">
        <v>0</v>
      </c>
      <c r="L9081">
        <v>1</v>
      </c>
      <c r="M9081">
        <v>12</v>
      </c>
      <c r="N9081" t="s">
        <v>35</v>
      </c>
      <c r="O9081" t="s">
        <v>30</v>
      </c>
      <c r="P9081">
        <v>3.7485758521091501</v>
      </c>
      <c r="Q9081">
        <v>2.1358999460773802</v>
      </c>
      <c r="R9081">
        <v>3.3672746555950601</v>
      </c>
      <c r="S9081">
        <v>5</v>
      </c>
      <c r="T9081">
        <v>51</v>
      </c>
      <c r="U9081">
        <v>251.329911636529</v>
      </c>
      <c r="V9081">
        <v>1.03626943005181E-2</v>
      </c>
      <c r="W9081">
        <v>475810.15424548398</v>
      </c>
      <c r="X9081" t="s">
        <v>43</v>
      </c>
      <c r="Y9081">
        <f>1-580-502-4088</f>
        <v>-5169</v>
      </c>
    </row>
    <row r="9082" spans="1:25" x14ac:dyDescent="0.35">
      <c r="A9082">
        <v>32.742182637224403</v>
      </c>
      <c r="B9082">
        <v>-116.71173889990401</v>
      </c>
      <c r="C9082" t="s">
        <v>29</v>
      </c>
      <c r="D9082">
        <v>17.8081742965479</v>
      </c>
      <c r="E9082">
        <v>7</v>
      </c>
      <c r="F9082">
        <v>3993</v>
      </c>
      <c r="G9082">
        <v>5</v>
      </c>
      <c r="H9082">
        <v>1</v>
      </c>
      <c r="I9082">
        <v>1970</v>
      </c>
      <c r="J9082">
        <v>0</v>
      </c>
      <c r="K9082">
        <v>1</v>
      </c>
      <c r="L9082">
        <v>0</v>
      </c>
      <c r="M9082">
        <v>14</v>
      </c>
      <c r="N9082" t="s">
        <v>35</v>
      </c>
      <c r="O9082" t="s">
        <v>30</v>
      </c>
      <c r="P9082">
        <v>14.8143902396745</v>
      </c>
      <c r="Q9082">
        <v>1.50423743161579</v>
      </c>
      <c r="R9082">
        <v>4.0436713443572303E-2</v>
      </c>
      <c r="S9082">
        <v>92</v>
      </c>
      <c r="T9082">
        <v>20</v>
      </c>
      <c r="U9082">
        <v>835.04155127253205</v>
      </c>
      <c r="V9082">
        <v>3.50613573754069E-3</v>
      </c>
      <c r="W9082">
        <v>3825853.5680908598</v>
      </c>
      <c r="X9082" t="s">
        <v>31</v>
      </c>
      <c r="Y9082">
        <f>1-504-420-8101</f>
        <v>-9024</v>
      </c>
    </row>
    <row r="9083" spans="1:25" x14ac:dyDescent="0.35">
      <c r="A9083">
        <v>39.605974568658297</v>
      </c>
      <c r="B9083">
        <v>-117.675175230283</v>
      </c>
      <c r="C9083" t="s">
        <v>25</v>
      </c>
      <c r="D9083">
        <v>36.322020057628201</v>
      </c>
      <c r="E9083">
        <v>7</v>
      </c>
      <c r="F9083">
        <v>4570</v>
      </c>
      <c r="G9083">
        <v>2</v>
      </c>
      <c r="H9083">
        <v>3</v>
      </c>
      <c r="I9083">
        <v>1979</v>
      </c>
      <c r="J9083">
        <v>0</v>
      </c>
      <c r="K9083">
        <v>0</v>
      </c>
      <c r="L9083">
        <v>0</v>
      </c>
      <c r="M9083">
        <v>6</v>
      </c>
      <c r="N9083" t="s">
        <v>37</v>
      </c>
      <c r="O9083" t="s">
        <v>32</v>
      </c>
      <c r="P9083">
        <v>12.9426166702802</v>
      </c>
      <c r="Q9083">
        <v>1.70028439993678</v>
      </c>
      <c r="R9083">
        <v>8.1195824788065902</v>
      </c>
      <c r="S9083">
        <v>147</v>
      </c>
      <c r="T9083">
        <v>24</v>
      </c>
      <c r="U9083">
        <v>892.88083176584803</v>
      </c>
      <c r="V9083">
        <v>1.31291028446389E-3</v>
      </c>
      <c r="W9083">
        <v>4286541.36649362</v>
      </c>
      <c r="X9083" t="s">
        <v>33</v>
      </c>
      <c r="Y9083">
        <f>1-311-310-8050</f>
        <v>-8670</v>
      </c>
    </row>
    <row r="9084" spans="1:25" x14ac:dyDescent="0.35">
      <c r="A9084">
        <v>40.770181596040402</v>
      </c>
      <c r="B9084">
        <v>-118.406034896313</v>
      </c>
      <c r="C9084" t="s">
        <v>34</v>
      </c>
      <c r="D9084">
        <v>46.477452387973202</v>
      </c>
      <c r="E9084">
        <v>8</v>
      </c>
      <c r="F9084">
        <v>3535</v>
      </c>
      <c r="G9084">
        <v>4</v>
      </c>
      <c r="H9084">
        <v>1</v>
      </c>
      <c r="I9084">
        <v>2016</v>
      </c>
      <c r="J9084">
        <v>0</v>
      </c>
      <c r="K9084">
        <v>0</v>
      </c>
      <c r="L9084">
        <v>1</v>
      </c>
      <c r="M9084">
        <v>4</v>
      </c>
      <c r="N9084" t="s">
        <v>37</v>
      </c>
      <c r="O9084" t="s">
        <v>27</v>
      </c>
      <c r="P9084">
        <v>3.9233124727437301</v>
      </c>
      <c r="Q9084">
        <v>2.4573424346703399</v>
      </c>
      <c r="R9084">
        <v>7.6603750977056704</v>
      </c>
      <c r="S9084">
        <v>153</v>
      </c>
      <c r="T9084">
        <v>59</v>
      </c>
      <c r="U9084">
        <v>882.85806080301995</v>
      </c>
      <c r="V9084">
        <v>1.13154172560113E-3</v>
      </c>
      <c r="W9084">
        <v>3294385.69736192</v>
      </c>
      <c r="X9084" t="s">
        <v>36</v>
      </c>
      <c r="Y9084">
        <f>1-857-482-2697</f>
        <v>-4035</v>
      </c>
    </row>
    <row r="9085" spans="1:25" x14ac:dyDescent="0.35">
      <c r="A9085">
        <v>37.806165551444998</v>
      </c>
      <c r="B9085">
        <v>-119.02346816831999</v>
      </c>
      <c r="C9085" t="s">
        <v>29</v>
      </c>
      <c r="D9085">
        <v>32.072059517086601</v>
      </c>
      <c r="E9085">
        <v>8</v>
      </c>
      <c r="F9085">
        <v>1306</v>
      </c>
      <c r="G9085">
        <v>5</v>
      </c>
      <c r="H9085">
        <v>2</v>
      </c>
      <c r="I9085">
        <v>1997</v>
      </c>
      <c r="J9085">
        <v>1</v>
      </c>
      <c r="K9085">
        <v>0</v>
      </c>
      <c r="L9085">
        <v>1</v>
      </c>
      <c r="M9085">
        <v>2</v>
      </c>
      <c r="N9085" t="s">
        <v>26</v>
      </c>
      <c r="O9085" t="s">
        <v>30</v>
      </c>
      <c r="P9085">
        <v>10.6419795148541</v>
      </c>
      <c r="Q9085">
        <v>1.03934318957001</v>
      </c>
      <c r="R9085">
        <v>4.2548596341047601E-2</v>
      </c>
      <c r="S9085">
        <v>119</v>
      </c>
      <c r="T9085">
        <v>73</v>
      </c>
      <c r="U9085">
        <v>233.92325501813301</v>
      </c>
      <c r="V9085">
        <v>1.5313935681470099E-3</v>
      </c>
      <c r="W9085">
        <v>677393.69392026297</v>
      </c>
      <c r="X9085" t="s">
        <v>44</v>
      </c>
      <c r="Y9085">
        <f>1-984-714-7887</f>
        <v>-9584</v>
      </c>
    </row>
    <row r="9086" spans="1:25" x14ac:dyDescent="0.35">
      <c r="A9086">
        <v>33.514391523933099</v>
      </c>
      <c r="B9086">
        <v>-116.696684435265</v>
      </c>
      <c r="C9086" t="s">
        <v>29</v>
      </c>
      <c r="D9086">
        <v>3.82670644097673</v>
      </c>
      <c r="E9086">
        <v>7</v>
      </c>
      <c r="F9086">
        <v>1525</v>
      </c>
      <c r="G9086">
        <v>3</v>
      </c>
      <c r="H9086">
        <v>3</v>
      </c>
      <c r="I9086">
        <v>2002</v>
      </c>
      <c r="J9086">
        <v>1</v>
      </c>
      <c r="K9086">
        <v>0</v>
      </c>
      <c r="L9086">
        <v>0</v>
      </c>
      <c r="M9086">
        <v>4</v>
      </c>
      <c r="N9086" t="s">
        <v>35</v>
      </c>
      <c r="O9086" t="s">
        <v>30</v>
      </c>
      <c r="P9086">
        <v>10.962297289192501</v>
      </c>
      <c r="Q9086">
        <v>1.0902320365081299</v>
      </c>
      <c r="R9086">
        <v>9.7924700550177608</v>
      </c>
      <c r="S9086">
        <v>187</v>
      </c>
      <c r="T9086">
        <v>42</v>
      </c>
      <c r="U9086">
        <v>230.74206442013099</v>
      </c>
      <c r="V9086">
        <v>2.6229508196721298E-3</v>
      </c>
      <c r="W9086">
        <v>571019.28936342895</v>
      </c>
      <c r="X9086" t="s">
        <v>40</v>
      </c>
      <c r="Y9086">
        <f>1-910-128-7412</f>
        <v>-8449</v>
      </c>
    </row>
    <row r="9087" spans="1:25" x14ac:dyDescent="0.35">
      <c r="A9087">
        <v>33.435208548471003</v>
      </c>
      <c r="B9087">
        <v>-115.894852166109</v>
      </c>
      <c r="C9087" t="s">
        <v>25</v>
      </c>
      <c r="D9087">
        <v>47.484360789693497</v>
      </c>
      <c r="E9087">
        <v>8</v>
      </c>
      <c r="F9087">
        <v>4208</v>
      </c>
      <c r="G9087">
        <v>4</v>
      </c>
      <c r="H9087">
        <v>3</v>
      </c>
      <c r="I9087">
        <v>1954</v>
      </c>
      <c r="J9087">
        <v>1</v>
      </c>
      <c r="K9087">
        <v>1</v>
      </c>
      <c r="L9087">
        <v>1</v>
      </c>
      <c r="M9087">
        <v>14</v>
      </c>
      <c r="N9087" t="s">
        <v>41</v>
      </c>
      <c r="O9087" t="s">
        <v>27</v>
      </c>
      <c r="P9087">
        <v>8.9384901854032393</v>
      </c>
      <c r="Q9087">
        <v>1.7998354494446001</v>
      </c>
      <c r="R9087">
        <v>2.0987476011281498</v>
      </c>
      <c r="S9087">
        <v>129</v>
      </c>
      <c r="T9087">
        <v>26</v>
      </c>
      <c r="U9087">
        <v>759.66896926894003</v>
      </c>
      <c r="V9087">
        <v>3.3269961977186301E-3</v>
      </c>
      <c r="W9087">
        <v>3483424.9968298399</v>
      </c>
      <c r="X9087" t="s">
        <v>40</v>
      </c>
      <c r="Y9087">
        <f>1-825-563-8981</f>
        <v>-10368</v>
      </c>
    </row>
    <row r="9088" spans="1:25" x14ac:dyDescent="0.35">
      <c r="A9088">
        <v>38.281495995601098</v>
      </c>
      <c r="B9088">
        <v>-118.52189757166801</v>
      </c>
      <c r="C9088" t="s">
        <v>25</v>
      </c>
      <c r="D9088">
        <v>34.006338396534701</v>
      </c>
      <c r="E9088">
        <v>6</v>
      </c>
      <c r="F9088">
        <v>3752</v>
      </c>
      <c r="G9088">
        <v>2</v>
      </c>
      <c r="H9088">
        <v>2</v>
      </c>
      <c r="I9088">
        <v>2018</v>
      </c>
      <c r="J9088">
        <v>1</v>
      </c>
      <c r="K9088">
        <v>0</v>
      </c>
      <c r="L9088">
        <v>0</v>
      </c>
      <c r="M9088">
        <v>3</v>
      </c>
      <c r="N9088" t="s">
        <v>41</v>
      </c>
      <c r="O9088" t="s">
        <v>32</v>
      </c>
      <c r="P9088">
        <v>4.3463757488870698</v>
      </c>
      <c r="Q9088">
        <v>2.3594996028960198</v>
      </c>
      <c r="R9088">
        <v>4.6746824311465804</v>
      </c>
      <c r="S9088">
        <v>197</v>
      </c>
      <c r="T9088">
        <v>53</v>
      </c>
      <c r="U9088">
        <v>548.89931866664699</v>
      </c>
      <c r="V9088">
        <v>7.9957356076758995E-4</v>
      </c>
      <c r="W9088">
        <v>2252181.9999329601</v>
      </c>
      <c r="X9088" t="s">
        <v>39</v>
      </c>
      <c r="Y9088">
        <f>1-640-783-3337</f>
        <v>-4759</v>
      </c>
    </row>
    <row r="9089" spans="1:25" x14ac:dyDescent="0.35">
      <c r="A9089">
        <v>41.019919499850602</v>
      </c>
      <c r="B9089">
        <v>-115.88180072701699</v>
      </c>
      <c r="C9089" t="s">
        <v>25</v>
      </c>
      <c r="D9089">
        <v>42.712614912212103</v>
      </c>
      <c r="E9089">
        <v>2</v>
      </c>
      <c r="F9089">
        <v>2669</v>
      </c>
      <c r="G9089">
        <v>5</v>
      </c>
      <c r="H9089">
        <v>3</v>
      </c>
      <c r="I9089">
        <v>1978</v>
      </c>
      <c r="J9089">
        <v>1</v>
      </c>
      <c r="K9089">
        <v>1</v>
      </c>
      <c r="L9089">
        <v>1</v>
      </c>
      <c r="M9089">
        <v>11</v>
      </c>
      <c r="N9089" t="s">
        <v>26</v>
      </c>
      <c r="O9089" t="s">
        <v>30</v>
      </c>
      <c r="P9089">
        <v>3.2854531388121799</v>
      </c>
      <c r="Q9089">
        <v>0.89181199842988101</v>
      </c>
      <c r="R9089">
        <v>8.4444452549592697</v>
      </c>
      <c r="S9089">
        <v>26</v>
      </c>
      <c r="T9089">
        <v>67</v>
      </c>
      <c r="U9089">
        <v>834.40710450259098</v>
      </c>
      <c r="V9089">
        <v>4.1213937804421103E-3</v>
      </c>
      <c r="W9089">
        <v>2560758.3030033</v>
      </c>
      <c r="X9089" t="s">
        <v>36</v>
      </c>
      <c r="Y9089">
        <f>1-713-247-3315</f>
        <v>-4274</v>
      </c>
    </row>
    <row r="9090" spans="1:25" x14ac:dyDescent="0.35">
      <c r="A9090">
        <v>41.016374651477697</v>
      </c>
      <c r="B9090">
        <v>-116.843409789475</v>
      </c>
      <c r="C9090" t="s">
        <v>34</v>
      </c>
      <c r="D9090">
        <v>36.166337743683897</v>
      </c>
      <c r="E9090">
        <v>2</v>
      </c>
      <c r="F9090">
        <v>1562</v>
      </c>
      <c r="G9090">
        <v>1</v>
      </c>
      <c r="H9090">
        <v>3</v>
      </c>
      <c r="I9090">
        <v>2005</v>
      </c>
      <c r="J9090">
        <v>0</v>
      </c>
      <c r="K9090">
        <v>1</v>
      </c>
      <c r="L9090">
        <v>0</v>
      </c>
      <c r="M9090">
        <v>3</v>
      </c>
      <c r="N9090" t="s">
        <v>41</v>
      </c>
      <c r="O9090" t="s">
        <v>30</v>
      </c>
      <c r="P9090">
        <v>14.5057300743588</v>
      </c>
      <c r="Q9090">
        <v>1.7299548870316701</v>
      </c>
      <c r="R9090">
        <v>8.9705861547564698</v>
      </c>
      <c r="S9090">
        <v>5</v>
      </c>
      <c r="T9090">
        <v>78</v>
      </c>
      <c r="U9090">
        <v>672.61745435923694</v>
      </c>
      <c r="V9090">
        <v>1.9206145966709301E-3</v>
      </c>
      <c r="W9090">
        <v>1368846.6644040099</v>
      </c>
      <c r="X9090" t="s">
        <v>33</v>
      </c>
      <c r="Y9090">
        <f>1-642-163-7635</f>
        <v>-8439</v>
      </c>
    </row>
    <row r="9091" spans="1:25" x14ac:dyDescent="0.35">
      <c r="A9091">
        <v>32.8033063009579</v>
      </c>
      <c r="B9091">
        <v>-119.17184006381</v>
      </c>
      <c r="C9091" t="s">
        <v>25</v>
      </c>
      <c r="D9091">
        <v>27.0744771604211</v>
      </c>
      <c r="E9091">
        <v>2</v>
      </c>
      <c r="F9091">
        <v>1511</v>
      </c>
      <c r="G9091">
        <v>2</v>
      </c>
      <c r="H9091">
        <v>2</v>
      </c>
      <c r="I9091">
        <v>2008</v>
      </c>
      <c r="J9091">
        <v>0</v>
      </c>
      <c r="K9091">
        <v>0</v>
      </c>
      <c r="L9091">
        <v>1</v>
      </c>
      <c r="M9091">
        <v>2</v>
      </c>
      <c r="N9091" t="s">
        <v>35</v>
      </c>
      <c r="O9091" t="s">
        <v>30</v>
      </c>
      <c r="P9091">
        <v>6.1631611372335096</v>
      </c>
      <c r="Q9091">
        <v>2.2886463343716699</v>
      </c>
      <c r="R9091">
        <v>7.0169522392390498</v>
      </c>
      <c r="S9091">
        <v>65</v>
      </c>
      <c r="T9091">
        <v>57</v>
      </c>
      <c r="U9091">
        <v>324.46497474216602</v>
      </c>
      <c r="V9091">
        <v>1.3236267372600901E-3</v>
      </c>
      <c r="W9091">
        <v>660091.51096886199</v>
      </c>
      <c r="X9091" t="s">
        <v>38</v>
      </c>
      <c r="Y9091">
        <f>1-385-417-5438</f>
        <v>-6239</v>
      </c>
    </row>
    <row r="9092" spans="1:25" x14ac:dyDescent="0.35">
      <c r="A9092">
        <v>38.602949788801503</v>
      </c>
      <c r="B9092">
        <v>-123.475552621459</v>
      </c>
      <c r="C9092" t="s">
        <v>29</v>
      </c>
      <c r="D9092">
        <v>47.490027286861299</v>
      </c>
      <c r="E9092">
        <v>4</v>
      </c>
      <c r="F9092">
        <v>1623</v>
      </c>
      <c r="G9092">
        <v>4</v>
      </c>
      <c r="H9092">
        <v>2</v>
      </c>
      <c r="I9092">
        <v>2022</v>
      </c>
      <c r="J9092">
        <v>0</v>
      </c>
      <c r="K9092">
        <v>0</v>
      </c>
      <c r="L9092">
        <v>1</v>
      </c>
      <c r="M9092">
        <v>6</v>
      </c>
      <c r="N9092" t="s">
        <v>41</v>
      </c>
      <c r="O9092" t="s">
        <v>32</v>
      </c>
      <c r="P9092">
        <v>6.8742323096975397</v>
      </c>
      <c r="Q9092">
        <v>1.68987010256142</v>
      </c>
      <c r="R9092">
        <v>6.95065130747951</v>
      </c>
      <c r="S9092">
        <v>184</v>
      </c>
      <c r="T9092">
        <v>27</v>
      </c>
      <c r="U9092">
        <v>201.241196378675</v>
      </c>
      <c r="V9092">
        <v>3.6968576709796599E-3</v>
      </c>
      <c r="W9092">
        <v>669251.53842108604</v>
      </c>
      <c r="X9092" t="s">
        <v>36</v>
      </c>
      <c r="Y9092">
        <f>1-209-583-8871</f>
        <v>-9662</v>
      </c>
    </row>
    <row r="9093" spans="1:25" x14ac:dyDescent="0.35">
      <c r="A9093">
        <v>32.651091399559697</v>
      </c>
      <c r="B9093">
        <v>-116.115994927321</v>
      </c>
      <c r="C9093" t="s">
        <v>25</v>
      </c>
      <c r="D9093">
        <v>15.7433078796029</v>
      </c>
      <c r="E9093">
        <v>0</v>
      </c>
      <c r="F9093">
        <v>4821</v>
      </c>
      <c r="G9093">
        <v>5</v>
      </c>
      <c r="H9093">
        <v>3</v>
      </c>
      <c r="I9093">
        <v>1988</v>
      </c>
      <c r="J9093">
        <v>0</v>
      </c>
      <c r="K9093">
        <v>0</v>
      </c>
      <c r="L9093">
        <v>1</v>
      </c>
      <c r="M9093">
        <v>5</v>
      </c>
      <c r="N9093" t="s">
        <v>35</v>
      </c>
      <c r="O9093" t="s">
        <v>27</v>
      </c>
      <c r="P9093">
        <v>13.563712268193999</v>
      </c>
      <c r="Q9093">
        <v>0.95873001280902803</v>
      </c>
      <c r="R9093">
        <v>7.3991970889537697</v>
      </c>
      <c r="S9093">
        <v>69</v>
      </c>
      <c r="T9093">
        <v>65</v>
      </c>
      <c r="U9093">
        <v>727.54015786999798</v>
      </c>
      <c r="V9093">
        <v>1.03712922630159E-3</v>
      </c>
      <c r="W9093">
        <v>3914999.08432962</v>
      </c>
      <c r="X9093" t="s">
        <v>36</v>
      </c>
      <c r="Y9093">
        <f>1-952-360-7032</f>
        <v>-8343</v>
      </c>
    </row>
    <row r="9094" spans="1:25" x14ac:dyDescent="0.35">
      <c r="A9094">
        <v>41.782547236573699</v>
      </c>
      <c r="B9094">
        <v>-122.010399879266</v>
      </c>
      <c r="C9094" t="s">
        <v>25</v>
      </c>
      <c r="D9094">
        <v>20.5522992402325</v>
      </c>
      <c r="E9094">
        <v>7</v>
      </c>
      <c r="F9094">
        <v>1851</v>
      </c>
      <c r="G9094">
        <v>1</v>
      </c>
      <c r="H9094">
        <v>2</v>
      </c>
      <c r="I9094">
        <v>1982</v>
      </c>
      <c r="J9094">
        <v>0</v>
      </c>
      <c r="K9094">
        <v>0</v>
      </c>
      <c r="L9094">
        <v>1</v>
      </c>
      <c r="M9094">
        <v>8</v>
      </c>
      <c r="N9094" t="s">
        <v>35</v>
      </c>
      <c r="O9094" t="s">
        <v>27</v>
      </c>
      <c r="P9094">
        <v>4.2823111388739701</v>
      </c>
      <c r="Q9094">
        <v>1.4150299249665499</v>
      </c>
      <c r="R9094">
        <v>9.8025909006970195</v>
      </c>
      <c r="S9094">
        <v>111</v>
      </c>
      <c r="T9094">
        <v>75</v>
      </c>
      <c r="U9094">
        <v>881.88863255470005</v>
      </c>
      <c r="V9094">
        <v>4.3219881145326799E-3</v>
      </c>
      <c r="W9094">
        <v>1653790.37575807</v>
      </c>
      <c r="X9094" t="s">
        <v>28</v>
      </c>
      <c r="Y9094">
        <f>1-300-221-2745</f>
        <v>-3265</v>
      </c>
    </row>
    <row r="9095" spans="1:25" x14ac:dyDescent="0.35">
      <c r="A9095">
        <v>37.4212515128607</v>
      </c>
      <c r="B9095">
        <v>-122.76581896345</v>
      </c>
      <c r="C9095" t="s">
        <v>29</v>
      </c>
      <c r="D9095">
        <v>1.6027548120436901</v>
      </c>
      <c r="E9095">
        <v>7</v>
      </c>
      <c r="F9095">
        <v>549</v>
      </c>
      <c r="G9095">
        <v>3</v>
      </c>
      <c r="H9095">
        <v>3</v>
      </c>
      <c r="I9095">
        <v>1966</v>
      </c>
      <c r="J9095">
        <v>1</v>
      </c>
      <c r="K9095">
        <v>0</v>
      </c>
      <c r="L9095">
        <v>1</v>
      </c>
      <c r="M9095">
        <v>13</v>
      </c>
      <c r="N9095" t="s">
        <v>37</v>
      </c>
      <c r="O9095" t="s">
        <v>30</v>
      </c>
      <c r="P9095">
        <v>6.2291634122897497</v>
      </c>
      <c r="Q9095">
        <v>0.89787972909379299</v>
      </c>
      <c r="R9095">
        <v>6.1311907609121299</v>
      </c>
      <c r="S9095">
        <v>188</v>
      </c>
      <c r="T9095">
        <v>39</v>
      </c>
      <c r="U9095">
        <v>253.52679011568699</v>
      </c>
      <c r="V9095">
        <v>2.3679417122040001E-2</v>
      </c>
      <c r="W9095">
        <v>383416.91187198297</v>
      </c>
      <c r="X9095" t="s">
        <v>31</v>
      </c>
      <c r="Y9095">
        <f>1-837-682-7512</f>
        <v>-9030</v>
      </c>
    </row>
    <row r="9096" spans="1:25" x14ac:dyDescent="0.35">
      <c r="A9096">
        <v>37.062380880286199</v>
      </c>
      <c r="B9096">
        <v>-120.93239136241201</v>
      </c>
      <c r="C9096" t="s">
        <v>34</v>
      </c>
      <c r="D9096">
        <v>41.032092664939199</v>
      </c>
      <c r="E9096">
        <v>5</v>
      </c>
      <c r="F9096">
        <v>1539</v>
      </c>
      <c r="G9096">
        <v>3</v>
      </c>
      <c r="H9096">
        <v>1</v>
      </c>
      <c r="I9096">
        <v>2010</v>
      </c>
      <c r="J9096">
        <v>1</v>
      </c>
      <c r="K9096">
        <v>0</v>
      </c>
      <c r="L9096">
        <v>1</v>
      </c>
      <c r="M9096">
        <v>4</v>
      </c>
      <c r="N9096" t="s">
        <v>37</v>
      </c>
      <c r="O9096" t="s">
        <v>30</v>
      </c>
      <c r="P9096">
        <v>12.284807350358401</v>
      </c>
      <c r="Q9096">
        <v>2.1901527364398699</v>
      </c>
      <c r="R9096">
        <v>9.9605450598513805</v>
      </c>
      <c r="S9096">
        <v>28</v>
      </c>
      <c r="T9096">
        <v>69</v>
      </c>
      <c r="U9096">
        <v>221.661258863515</v>
      </c>
      <c r="V9096">
        <v>2.59909031838856E-3</v>
      </c>
      <c r="W9096">
        <v>663133.07550638495</v>
      </c>
      <c r="X9096" t="s">
        <v>38</v>
      </c>
      <c r="Y9096">
        <f>1-599-841-8650</f>
        <v>-10089</v>
      </c>
    </row>
    <row r="9097" spans="1:25" x14ac:dyDescent="0.35">
      <c r="A9097">
        <v>33.174619464152698</v>
      </c>
      <c r="B9097">
        <v>-123.480590702893</v>
      </c>
      <c r="C9097" t="s">
        <v>34</v>
      </c>
      <c r="D9097">
        <v>8.04489045126215</v>
      </c>
      <c r="E9097">
        <v>9</v>
      </c>
      <c r="F9097">
        <v>3722</v>
      </c>
      <c r="G9097">
        <v>4</v>
      </c>
      <c r="H9097">
        <v>1</v>
      </c>
      <c r="I9097">
        <v>1972</v>
      </c>
      <c r="J9097">
        <v>0</v>
      </c>
      <c r="K9097">
        <v>1</v>
      </c>
      <c r="L9097">
        <v>0</v>
      </c>
      <c r="M9097">
        <v>11</v>
      </c>
      <c r="N9097" t="s">
        <v>41</v>
      </c>
      <c r="O9097" t="s">
        <v>30</v>
      </c>
      <c r="P9097">
        <v>13.791618775436699</v>
      </c>
      <c r="Q9097">
        <v>1.8838720175316599</v>
      </c>
      <c r="R9097">
        <v>9.4847564066004697</v>
      </c>
      <c r="S9097">
        <v>14</v>
      </c>
      <c r="T9097">
        <v>28</v>
      </c>
      <c r="U9097">
        <v>619.908912697613</v>
      </c>
      <c r="V9097">
        <v>2.9554003224073E-3</v>
      </c>
      <c r="W9097">
        <v>2620758.3214382799</v>
      </c>
      <c r="X9097" t="s">
        <v>40</v>
      </c>
      <c r="Y9097">
        <f>1-559-677-3057</f>
        <v>-4292</v>
      </c>
    </row>
    <row r="9098" spans="1:25" x14ac:dyDescent="0.35">
      <c r="A9098">
        <v>37.069394239969903</v>
      </c>
      <c r="B9098">
        <v>-123.232398359662</v>
      </c>
      <c r="C9098" t="s">
        <v>29</v>
      </c>
      <c r="D9098">
        <v>31.406520764308201</v>
      </c>
      <c r="E9098">
        <v>6</v>
      </c>
      <c r="F9098">
        <v>3721</v>
      </c>
      <c r="G9098">
        <v>4</v>
      </c>
      <c r="H9098">
        <v>1</v>
      </c>
      <c r="I9098">
        <v>1998</v>
      </c>
      <c r="J9098">
        <v>1</v>
      </c>
      <c r="K9098">
        <v>0</v>
      </c>
      <c r="L9098">
        <v>1</v>
      </c>
      <c r="M9098">
        <v>4</v>
      </c>
      <c r="N9098" t="s">
        <v>26</v>
      </c>
      <c r="O9098" t="s">
        <v>32</v>
      </c>
      <c r="P9098">
        <v>2.82644160666782</v>
      </c>
      <c r="Q9098">
        <v>2.17790118384969</v>
      </c>
      <c r="R9098">
        <v>4.3934604357777696</v>
      </c>
      <c r="S9098">
        <v>117</v>
      </c>
      <c r="T9098">
        <v>31</v>
      </c>
      <c r="U9098">
        <v>280.57650336439599</v>
      </c>
      <c r="V9098">
        <v>1.0749798441279199E-3</v>
      </c>
      <c r="W9098">
        <v>1365325.9399411599</v>
      </c>
      <c r="X9098" t="s">
        <v>28</v>
      </c>
      <c r="Y9098">
        <f>1-420-506-9056</f>
        <v>-9981</v>
      </c>
    </row>
    <row r="9099" spans="1:25" x14ac:dyDescent="0.35">
      <c r="A9099">
        <v>32.800536006440701</v>
      </c>
      <c r="B9099">
        <v>-117.395505999078</v>
      </c>
      <c r="C9099" t="s">
        <v>25</v>
      </c>
      <c r="D9099">
        <v>17.965307376139801</v>
      </c>
      <c r="E9099">
        <v>0</v>
      </c>
      <c r="F9099">
        <v>3418</v>
      </c>
      <c r="G9099">
        <v>5</v>
      </c>
      <c r="H9099">
        <v>2</v>
      </c>
      <c r="I9099">
        <v>2020</v>
      </c>
      <c r="J9099">
        <v>0</v>
      </c>
      <c r="K9099">
        <v>1</v>
      </c>
      <c r="L9099">
        <v>1</v>
      </c>
      <c r="M9099">
        <v>7</v>
      </c>
      <c r="N9099" t="s">
        <v>37</v>
      </c>
      <c r="O9099" t="s">
        <v>27</v>
      </c>
      <c r="P9099">
        <v>4.8704483648830097</v>
      </c>
      <c r="Q9099">
        <v>1.9003155817234001</v>
      </c>
      <c r="R9099">
        <v>0.58517623960554699</v>
      </c>
      <c r="S9099">
        <v>39</v>
      </c>
      <c r="T9099">
        <v>63</v>
      </c>
      <c r="U9099">
        <v>774.23499257108199</v>
      </c>
      <c r="V9099">
        <v>2.04798127559976E-3</v>
      </c>
      <c r="W9099">
        <v>3193696.3316986002</v>
      </c>
      <c r="X9099" t="s">
        <v>38</v>
      </c>
      <c r="Y9099">
        <f>1-509-605-3985</f>
        <v>-5098</v>
      </c>
    </row>
    <row r="9100" spans="1:25" x14ac:dyDescent="0.35">
      <c r="A9100">
        <v>41.154668084027797</v>
      </c>
      <c r="B9100">
        <v>-124.47377295392199</v>
      </c>
      <c r="C9100" t="s">
        <v>29</v>
      </c>
      <c r="D9100">
        <v>15.404774076399701</v>
      </c>
      <c r="E9100">
        <v>8</v>
      </c>
      <c r="F9100">
        <v>708</v>
      </c>
      <c r="G9100">
        <v>1</v>
      </c>
      <c r="H9100">
        <v>2</v>
      </c>
      <c r="I9100">
        <v>1970</v>
      </c>
      <c r="J9100">
        <v>1</v>
      </c>
      <c r="K9100">
        <v>0</v>
      </c>
      <c r="L9100">
        <v>0</v>
      </c>
      <c r="M9100">
        <v>11</v>
      </c>
      <c r="N9100" t="s">
        <v>35</v>
      </c>
      <c r="O9100" t="s">
        <v>32</v>
      </c>
      <c r="P9100">
        <v>10.6690964439128</v>
      </c>
      <c r="Q9100">
        <v>0.90025985877612802</v>
      </c>
      <c r="R9100">
        <v>8.6624635786217201</v>
      </c>
      <c r="S9100">
        <v>18</v>
      </c>
      <c r="T9100">
        <v>45</v>
      </c>
      <c r="U9100">
        <v>925.705031642515</v>
      </c>
      <c r="V9100">
        <v>1.55367231638418E-2</v>
      </c>
      <c r="W9100">
        <v>829056.67213916802</v>
      </c>
      <c r="X9100" t="s">
        <v>40</v>
      </c>
      <c r="Y9100">
        <f>1-386-594-2309</f>
        <v>-3288</v>
      </c>
    </row>
    <row r="9101" spans="1:25" x14ac:dyDescent="0.35">
      <c r="A9101">
        <v>39.265459719761203</v>
      </c>
      <c r="B9101">
        <v>-118.801177235187</v>
      </c>
      <c r="C9101" t="s">
        <v>34</v>
      </c>
      <c r="D9101">
        <v>26.755880446761999</v>
      </c>
      <c r="E9101">
        <v>6</v>
      </c>
      <c r="F9101">
        <v>4860</v>
      </c>
      <c r="G9101">
        <v>2</v>
      </c>
      <c r="H9101">
        <v>3</v>
      </c>
      <c r="I9101">
        <v>2009</v>
      </c>
      <c r="J9101">
        <v>0</v>
      </c>
      <c r="K9101">
        <v>0</v>
      </c>
      <c r="L9101">
        <v>0</v>
      </c>
      <c r="M9101">
        <v>14</v>
      </c>
      <c r="N9101" t="s">
        <v>41</v>
      </c>
      <c r="O9101" t="s">
        <v>32</v>
      </c>
      <c r="P9101">
        <v>6.8501169599822296</v>
      </c>
      <c r="Q9101">
        <v>1.0329106548289499</v>
      </c>
      <c r="R9101">
        <v>5.6299141453486703</v>
      </c>
      <c r="S9101">
        <v>93</v>
      </c>
      <c r="T9101">
        <v>73</v>
      </c>
      <c r="U9101">
        <v>500.82441559819802</v>
      </c>
      <c r="V9101">
        <v>2.8806584362139902E-3</v>
      </c>
      <c r="W9101">
        <v>2591727.5970921498</v>
      </c>
      <c r="X9101" t="s">
        <v>42</v>
      </c>
      <c r="Y9101">
        <f>1-752-182-3917</f>
        <v>-4850</v>
      </c>
    </row>
    <row r="9102" spans="1:25" x14ac:dyDescent="0.35">
      <c r="A9102">
        <v>34.899378428512001</v>
      </c>
      <c r="B9102">
        <v>-121.491945488859</v>
      </c>
      <c r="C9102" t="s">
        <v>25</v>
      </c>
      <c r="D9102">
        <v>22.284709804748001</v>
      </c>
      <c r="E9102">
        <v>9</v>
      </c>
      <c r="F9102">
        <v>4896</v>
      </c>
      <c r="G9102">
        <v>4</v>
      </c>
      <c r="H9102">
        <v>1</v>
      </c>
      <c r="I9102">
        <v>1957</v>
      </c>
      <c r="J9102">
        <v>0</v>
      </c>
      <c r="K9102">
        <v>0</v>
      </c>
      <c r="L9102">
        <v>1</v>
      </c>
      <c r="M9102">
        <v>12</v>
      </c>
      <c r="N9102" t="s">
        <v>41</v>
      </c>
      <c r="O9102" t="s">
        <v>27</v>
      </c>
      <c r="P9102">
        <v>13.161440635249701</v>
      </c>
      <c r="Q9102">
        <v>1.1631650494233601</v>
      </c>
      <c r="R9102">
        <v>7.4593886983666797</v>
      </c>
      <c r="S9102">
        <v>165</v>
      </c>
      <c r="T9102">
        <v>24</v>
      </c>
      <c r="U9102">
        <v>303.71213769776102</v>
      </c>
      <c r="V9102">
        <v>2.4509803921568601E-3</v>
      </c>
      <c r="W9102">
        <v>1828803.4783601901</v>
      </c>
      <c r="X9102" t="s">
        <v>44</v>
      </c>
      <c r="Y9102">
        <f>1-708-429-6848</f>
        <v>-7984</v>
      </c>
    </row>
    <row r="9103" spans="1:25" x14ac:dyDescent="0.35">
      <c r="A9103">
        <v>38.0530103328609</v>
      </c>
      <c r="B9103">
        <v>-121.178797618476</v>
      </c>
      <c r="C9103" t="s">
        <v>29</v>
      </c>
      <c r="D9103">
        <v>38.833832631681403</v>
      </c>
      <c r="E9103">
        <v>3</v>
      </c>
      <c r="F9103">
        <v>1372</v>
      </c>
      <c r="G9103">
        <v>4</v>
      </c>
      <c r="H9103">
        <v>1</v>
      </c>
      <c r="I9103">
        <v>1965</v>
      </c>
      <c r="J9103">
        <v>1</v>
      </c>
      <c r="K9103">
        <v>1</v>
      </c>
      <c r="L9103">
        <v>1</v>
      </c>
      <c r="M9103">
        <v>5</v>
      </c>
      <c r="N9103" t="s">
        <v>35</v>
      </c>
      <c r="O9103" t="s">
        <v>27</v>
      </c>
      <c r="P9103">
        <v>6.0644123131829897</v>
      </c>
      <c r="Q9103">
        <v>1.47700807545463</v>
      </c>
      <c r="R9103">
        <v>8.3993842724586507</v>
      </c>
      <c r="S9103">
        <v>112</v>
      </c>
      <c r="T9103">
        <v>59</v>
      </c>
      <c r="U9103">
        <v>570.38771218007003</v>
      </c>
      <c r="V9103">
        <v>3.6443148688046598E-3</v>
      </c>
      <c r="W9103">
        <v>1166258.3736022699</v>
      </c>
      <c r="X9103" t="s">
        <v>42</v>
      </c>
      <c r="Y9103">
        <f>1-988-628-7399</f>
        <v>-9014</v>
      </c>
    </row>
    <row r="9104" spans="1:25" x14ac:dyDescent="0.35">
      <c r="A9104">
        <v>32.607576054830098</v>
      </c>
      <c r="B9104">
        <v>-123.444093364756</v>
      </c>
      <c r="C9104" t="s">
        <v>34</v>
      </c>
      <c r="D9104">
        <v>12.4744932401696</v>
      </c>
      <c r="E9104">
        <v>5</v>
      </c>
      <c r="F9104">
        <v>3259</v>
      </c>
      <c r="G9104">
        <v>5</v>
      </c>
      <c r="H9104">
        <v>1</v>
      </c>
      <c r="I9104">
        <v>1986</v>
      </c>
      <c r="J9104">
        <v>1</v>
      </c>
      <c r="K9104">
        <v>0</v>
      </c>
      <c r="L9104">
        <v>0</v>
      </c>
      <c r="M9104">
        <v>7</v>
      </c>
      <c r="N9104" t="s">
        <v>26</v>
      </c>
      <c r="O9104" t="s">
        <v>27</v>
      </c>
      <c r="P9104">
        <v>7.8475766304957801</v>
      </c>
      <c r="Q9104">
        <v>0.86351311801500796</v>
      </c>
      <c r="R9104">
        <v>1.88462347609332</v>
      </c>
      <c r="S9104">
        <v>115</v>
      </c>
      <c r="T9104">
        <v>69</v>
      </c>
      <c r="U9104">
        <v>595.21915569780003</v>
      </c>
      <c r="V9104">
        <v>2.1478981282601999E-3</v>
      </c>
      <c r="W9104">
        <v>2261892.0999082499</v>
      </c>
      <c r="X9104" t="s">
        <v>28</v>
      </c>
      <c r="Y9104">
        <f>1-356-920-9252</f>
        <v>-10527</v>
      </c>
    </row>
    <row r="9105" spans="1:25" x14ac:dyDescent="0.35">
      <c r="A9105">
        <v>34.672074462246101</v>
      </c>
      <c r="B9105">
        <v>-120.018465221771</v>
      </c>
      <c r="C9105" t="s">
        <v>29</v>
      </c>
      <c r="D9105">
        <v>18.308436997524499</v>
      </c>
      <c r="E9105">
        <v>8</v>
      </c>
      <c r="F9105">
        <v>3231</v>
      </c>
      <c r="G9105">
        <v>3</v>
      </c>
      <c r="H9105">
        <v>1</v>
      </c>
      <c r="I9105">
        <v>2000</v>
      </c>
      <c r="J9105">
        <v>1</v>
      </c>
      <c r="K9105">
        <v>0</v>
      </c>
      <c r="L9105">
        <v>0</v>
      </c>
      <c r="M9105">
        <v>7</v>
      </c>
      <c r="N9105" t="s">
        <v>41</v>
      </c>
      <c r="O9105" t="s">
        <v>30</v>
      </c>
      <c r="P9105">
        <v>5.3129815745547004</v>
      </c>
      <c r="Q9105">
        <v>1.31752742894201</v>
      </c>
      <c r="R9105">
        <v>5.9980767009889204</v>
      </c>
      <c r="S9105">
        <v>81</v>
      </c>
      <c r="T9105">
        <v>44</v>
      </c>
      <c r="U9105">
        <v>422.629971986697</v>
      </c>
      <c r="V9105">
        <v>2.1665119158155301E-3</v>
      </c>
      <c r="W9105">
        <v>1518156.89697903</v>
      </c>
      <c r="X9105" t="s">
        <v>39</v>
      </c>
      <c r="Y9105">
        <f>1-616-735-1403</f>
        <v>-2753</v>
      </c>
    </row>
    <row r="9106" spans="1:25" x14ac:dyDescent="0.35">
      <c r="A9106">
        <v>34.280379492628299</v>
      </c>
      <c r="B9106">
        <v>-119.88652493075401</v>
      </c>
      <c r="C9106" t="s">
        <v>29</v>
      </c>
      <c r="D9106">
        <v>26.7641003215886</v>
      </c>
      <c r="E9106">
        <v>4</v>
      </c>
      <c r="F9106">
        <v>2163</v>
      </c>
      <c r="G9106">
        <v>4</v>
      </c>
      <c r="H9106">
        <v>2</v>
      </c>
      <c r="I9106">
        <v>2002</v>
      </c>
      <c r="J9106">
        <v>0</v>
      </c>
      <c r="K9106">
        <v>0</v>
      </c>
      <c r="L9106">
        <v>1</v>
      </c>
      <c r="M9106">
        <v>6</v>
      </c>
      <c r="N9106" t="s">
        <v>26</v>
      </c>
      <c r="O9106" t="s">
        <v>32</v>
      </c>
      <c r="P9106">
        <v>13.561801876783001</v>
      </c>
      <c r="Q9106">
        <v>0.90702017168606897</v>
      </c>
      <c r="R9106">
        <v>4.2795458585755402</v>
      </c>
      <c r="S9106">
        <v>36</v>
      </c>
      <c r="T9106">
        <v>73</v>
      </c>
      <c r="U9106">
        <v>321.14471468671201</v>
      </c>
      <c r="V9106">
        <v>2.7739251040221902E-3</v>
      </c>
      <c r="W9106">
        <v>975412.619113105</v>
      </c>
      <c r="X9106" t="s">
        <v>40</v>
      </c>
      <c r="Y9106">
        <f>1-564-844-8731</f>
        <v>-10138</v>
      </c>
    </row>
    <row r="9107" spans="1:25" x14ac:dyDescent="0.35">
      <c r="A9107">
        <v>33.955904374657997</v>
      </c>
      <c r="B9107">
        <v>-114.505295221406</v>
      </c>
      <c r="C9107" t="s">
        <v>29</v>
      </c>
      <c r="D9107">
        <v>37.782401341329397</v>
      </c>
      <c r="E9107">
        <v>9</v>
      </c>
      <c r="F9107">
        <v>2015</v>
      </c>
      <c r="G9107">
        <v>3</v>
      </c>
      <c r="H9107">
        <v>3</v>
      </c>
      <c r="I9107">
        <v>2019</v>
      </c>
      <c r="J9107">
        <v>0</v>
      </c>
      <c r="K9107">
        <v>1</v>
      </c>
      <c r="L9107">
        <v>1</v>
      </c>
      <c r="M9107">
        <v>3</v>
      </c>
      <c r="N9107" t="s">
        <v>35</v>
      </c>
      <c r="O9107" t="s">
        <v>32</v>
      </c>
      <c r="P9107">
        <v>14.200522230680001</v>
      </c>
      <c r="Q9107">
        <v>2.2963032089112101</v>
      </c>
      <c r="R9107">
        <v>6.0457720127224999</v>
      </c>
      <c r="S9107">
        <v>10</v>
      </c>
      <c r="T9107">
        <v>40</v>
      </c>
      <c r="U9107">
        <v>644.76754865875</v>
      </c>
      <c r="V9107">
        <v>1.48883374689826E-3</v>
      </c>
      <c r="W9107">
        <v>1761992.92132643</v>
      </c>
      <c r="X9107" t="s">
        <v>42</v>
      </c>
      <c r="Y9107">
        <f>1-584-175-7075</f>
        <v>-7833</v>
      </c>
    </row>
    <row r="9108" spans="1:25" x14ac:dyDescent="0.35">
      <c r="A9108">
        <v>36.2728268739532</v>
      </c>
      <c r="B9108">
        <v>-117.22703562781901</v>
      </c>
      <c r="C9108" t="s">
        <v>25</v>
      </c>
      <c r="D9108">
        <v>43.814580428804703</v>
      </c>
      <c r="E9108">
        <v>6</v>
      </c>
      <c r="F9108">
        <v>649</v>
      </c>
      <c r="G9108">
        <v>5</v>
      </c>
      <c r="H9108">
        <v>1</v>
      </c>
      <c r="I9108">
        <v>2002</v>
      </c>
      <c r="J9108">
        <v>1</v>
      </c>
      <c r="K9108">
        <v>1</v>
      </c>
      <c r="L9108">
        <v>1</v>
      </c>
      <c r="M9108">
        <v>8</v>
      </c>
      <c r="N9108" t="s">
        <v>26</v>
      </c>
      <c r="O9108" t="s">
        <v>30</v>
      </c>
      <c r="P9108">
        <v>5.8861533887078297</v>
      </c>
      <c r="Q9108">
        <v>0.87936659782426096</v>
      </c>
      <c r="R9108">
        <v>9.7043327362862506</v>
      </c>
      <c r="S9108">
        <v>97</v>
      </c>
      <c r="T9108">
        <v>56</v>
      </c>
      <c r="U9108">
        <v>223.369469134757</v>
      </c>
      <c r="V9108">
        <v>1.2326656394453E-2</v>
      </c>
      <c r="W9108">
        <v>574225.16067983501</v>
      </c>
      <c r="X9108" t="s">
        <v>33</v>
      </c>
      <c r="Y9108">
        <f>1-423-233-7122</f>
        <v>-7777</v>
      </c>
    </row>
    <row r="9109" spans="1:25" x14ac:dyDescent="0.35">
      <c r="A9109">
        <v>34.687167898937098</v>
      </c>
      <c r="B9109">
        <v>-117.888739308806</v>
      </c>
      <c r="C9109" t="s">
        <v>29</v>
      </c>
      <c r="D9109">
        <v>28.176057983538598</v>
      </c>
      <c r="E9109">
        <v>0</v>
      </c>
      <c r="F9109">
        <v>2026</v>
      </c>
      <c r="G9109">
        <v>3</v>
      </c>
      <c r="H9109">
        <v>2</v>
      </c>
      <c r="I9109">
        <v>1961</v>
      </c>
      <c r="J9109">
        <v>1</v>
      </c>
      <c r="K9109">
        <v>1</v>
      </c>
      <c r="L9109">
        <v>1</v>
      </c>
      <c r="M9109">
        <v>10</v>
      </c>
      <c r="N9109" t="s">
        <v>41</v>
      </c>
      <c r="O9109" t="s">
        <v>27</v>
      </c>
      <c r="P9109">
        <v>9.0253795360157394</v>
      </c>
      <c r="Q9109">
        <v>1.11731072262899</v>
      </c>
      <c r="R9109">
        <v>5.5226186886491702</v>
      </c>
      <c r="S9109">
        <v>145</v>
      </c>
      <c r="T9109">
        <v>42</v>
      </c>
      <c r="U9109">
        <v>400.55289982053102</v>
      </c>
      <c r="V9109">
        <v>4.9358341559723497E-3</v>
      </c>
      <c r="W9109">
        <v>1143335.11434113</v>
      </c>
      <c r="X9109" t="s">
        <v>39</v>
      </c>
      <c r="Y9109">
        <f>1-581-988-5816</f>
        <v>-7384</v>
      </c>
    </row>
    <row r="9110" spans="1:25" x14ac:dyDescent="0.35">
      <c r="A9110">
        <v>41.0572334592065</v>
      </c>
      <c r="B9110">
        <v>-121.11878856911601</v>
      </c>
      <c r="C9110" t="s">
        <v>34</v>
      </c>
      <c r="D9110">
        <v>29.382491437331598</v>
      </c>
      <c r="E9110">
        <v>4</v>
      </c>
      <c r="F9110">
        <v>1409</v>
      </c>
      <c r="G9110">
        <v>1</v>
      </c>
      <c r="H9110">
        <v>2</v>
      </c>
      <c r="I9110">
        <v>1982</v>
      </c>
      <c r="J9110">
        <v>1</v>
      </c>
      <c r="K9110">
        <v>1</v>
      </c>
      <c r="L9110">
        <v>0</v>
      </c>
      <c r="M9110">
        <v>2</v>
      </c>
      <c r="N9110" t="s">
        <v>37</v>
      </c>
      <c r="O9110" t="s">
        <v>27</v>
      </c>
      <c r="P9110">
        <v>8.58680446937516</v>
      </c>
      <c r="Q9110">
        <v>1.7923485990233801</v>
      </c>
      <c r="R9110">
        <v>0.61621336658374803</v>
      </c>
      <c r="S9110">
        <v>153</v>
      </c>
      <c r="T9110">
        <v>66</v>
      </c>
      <c r="U9110">
        <v>831.86253006382594</v>
      </c>
      <c r="V9110">
        <v>1.4194464158977999E-3</v>
      </c>
      <c r="W9110">
        <v>1470915.77776837</v>
      </c>
      <c r="X9110" t="s">
        <v>31</v>
      </c>
      <c r="Y9110">
        <f>1-356-990-7213</f>
        <v>-8558</v>
      </c>
    </row>
    <row r="9111" spans="1:25" x14ac:dyDescent="0.35">
      <c r="A9111">
        <v>35.251485136706897</v>
      </c>
      <c r="B9111">
        <v>-118.262448161001</v>
      </c>
      <c r="C9111" t="s">
        <v>29</v>
      </c>
      <c r="D9111">
        <v>29.927843254848302</v>
      </c>
      <c r="E9111">
        <v>3</v>
      </c>
      <c r="F9111">
        <v>541</v>
      </c>
      <c r="G9111">
        <v>2</v>
      </c>
      <c r="H9111">
        <v>1</v>
      </c>
      <c r="I9111">
        <v>2015</v>
      </c>
      <c r="J9111">
        <v>1</v>
      </c>
      <c r="K9111">
        <v>0</v>
      </c>
      <c r="L9111">
        <v>1</v>
      </c>
      <c r="M9111">
        <v>8</v>
      </c>
      <c r="N9111" t="s">
        <v>41</v>
      </c>
      <c r="O9111" t="s">
        <v>32</v>
      </c>
      <c r="P9111">
        <v>8.0696391089214501</v>
      </c>
      <c r="Q9111">
        <v>1.08931599728692</v>
      </c>
      <c r="R9111">
        <v>4.1995778879909897</v>
      </c>
      <c r="S9111">
        <v>57</v>
      </c>
      <c r="T9111">
        <v>30</v>
      </c>
      <c r="U9111">
        <v>339.17535515271902</v>
      </c>
      <c r="V9111">
        <v>1.47874306839186E-2</v>
      </c>
      <c r="W9111">
        <v>492723.06952743698</v>
      </c>
      <c r="X9111" t="s">
        <v>38</v>
      </c>
      <c r="Y9111">
        <f>1-885-316-8909</f>
        <v>-10109</v>
      </c>
    </row>
    <row r="9112" spans="1:25" x14ac:dyDescent="0.35">
      <c r="A9112">
        <v>35.235601886268903</v>
      </c>
      <c r="B9112">
        <v>-121.438262111512</v>
      </c>
      <c r="C9112" t="s">
        <v>34</v>
      </c>
      <c r="D9112">
        <v>40.220713562622002</v>
      </c>
      <c r="E9112">
        <v>1</v>
      </c>
      <c r="F9112">
        <v>612</v>
      </c>
      <c r="G9112">
        <v>5</v>
      </c>
      <c r="H9112">
        <v>3</v>
      </c>
      <c r="I9112">
        <v>1959</v>
      </c>
      <c r="J9112">
        <v>0</v>
      </c>
      <c r="K9112">
        <v>0</v>
      </c>
      <c r="L9112">
        <v>0</v>
      </c>
      <c r="M9112">
        <v>11</v>
      </c>
      <c r="N9112" t="s">
        <v>41</v>
      </c>
      <c r="O9112" t="s">
        <v>30</v>
      </c>
      <c r="P9112">
        <v>4.3262888373567696</v>
      </c>
      <c r="Q9112">
        <v>2.3752919040935501</v>
      </c>
      <c r="R9112">
        <v>6.8868690205394696</v>
      </c>
      <c r="S9112">
        <v>74</v>
      </c>
      <c r="T9112">
        <v>53</v>
      </c>
      <c r="U9112">
        <v>789.20943913876897</v>
      </c>
      <c r="V9112">
        <v>1.7973856209150301E-2</v>
      </c>
      <c r="W9112">
        <v>710471.84408627101</v>
      </c>
      <c r="X9112" t="s">
        <v>33</v>
      </c>
      <c r="Y9112">
        <f>1-420-741-9560</f>
        <v>-10720</v>
      </c>
    </row>
    <row r="9113" spans="1:25" x14ac:dyDescent="0.35">
      <c r="A9113">
        <v>33.457263960231003</v>
      </c>
      <c r="B9113">
        <v>-120.071321016488</v>
      </c>
      <c r="C9113" t="s">
        <v>34</v>
      </c>
      <c r="D9113">
        <v>34.356756467461899</v>
      </c>
      <c r="E9113">
        <v>7</v>
      </c>
      <c r="F9113">
        <v>3765</v>
      </c>
      <c r="G9113">
        <v>1</v>
      </c>
      <c r="H9113">
        <v>3</v>
      </c>
      <c r="I9113">
        <v>2001</v>
      </c>
      <c r="J9113">
        <v>0</v>
      </c>
      <c r="K9113">
        <v>0</v>
      </c>
      <c r="L9113">
        <v>0</v>
      </c>
      <c r="M9113">
        <v>9</v>
      </c>
      <c r="N9113" t="s">
        <v>26</v>
      </c>
      <c r="O9113" t="s">
        <v>30</v>
      </c>
      <c r="P9113">
        <v>9.1622596045950004</v>
      </c>
      <c r="Q9113">
        <v>2.2621323998815002</v>
      </c>
      <c r="R9113">
        <v>6.3899135685582298</v>
      </c>
      <c r="S9113">
        <v>160</v>
      </c>
      <c r="T9113">
        <v>62</v>
      </c>
      <c r="U9113">
        <v>873.62624585886203</v>
      </c>
      <c r="V9113">
        <v>2.3904382470119499E-3</v>
      </c>
      <c r="W9113">
        <v>3352938.8253091401</v>
      </c>
      <c r="X9113" t="s">
        <v>39</v>
      </c>
      <c r="Y9113">
        <f>1-483-169-6772</f>
        <v>-7423</v>
      </c>
    </row>
    <row r="9114" spans="1:25" x14ac:dyDescent="0.35">
      <c r="A9114">
        <v>37.696630418440598</v>
      </c>
      <c r="B9114">
        <v>-118.449033922887</v>
      </c>
      <c r="C9114" t="s">
        <v>34</v>
      </c>
      <c r="D9114">
        <v>32.1324276330553</v>
      </c>
      <c r="E9114">
        <v>5</v>
      </c>
      <c r="F9114">
        <v>2455</v>
      </c>
      <c r="G9114">
        <v>3</v>
      </c>
      <c r="H9114">
        <v>1</v>
      </c>
      <c r="I9114">
        <v>1952</v>
      </c>
      <c r="J9114">
        <v>1</v>
      </c>
      <c r="K9114">
        <v>1</v>
      </c>
      <c r="L9114">
        <v>0</v>
      </c>
      <c r="M9114">
        <v>12</v>
      </c>
      <c r="N9114" t="s">
        <v>35</v>
      </c>
      <c r="O9114" t="s">
        <v>27</v>
      </c>
      <c r="P9114">
        <v>3.0375586103965602</v>
      </c>
      <c r="Q9114">
        <v>1.7757012473626701</v>
      </c>
      <c r="R9114">
        <v>7.6466376922946999</v>
      </c>
      <c r="S9114">
        <v>108</v>
      </c>
      <c r="T9114">
        <v>66</v>
      </c>
      <c r="U9114">
        <v>612.29781322158703</v>
      </c>
      <c r="V9114">
        <v>4.8879837067209702E-3</v>
      </c>
      <c r="W9114">
        <v>1721586.8142699699</v>
      </c>
      <c r="X9114" t="s">
        <v>28</v>
      </c>
      <c r="Y9114">
        <f>1-431-572-7273</f>
        <v>-8275</v>
      </c>
    </row>
    <row r="9115" spans="1:25" x14ac:dyDescent="0.35">
      <c r="A9115">
        <v>40.341412119827801</v>
      </c>
      <c r="B9115">
        <v>-116.625924306494</v>
      </c>
      <c r="C9115" t="s">
        <v>34</v>
      </c>
      <c r="D9115">
        <v>29.0015937606031</v>
      </c>
      <c r="E9115">
        <v>2</v>
      </c>
      <c r="F9115">
        <v>2168</v>
      </c>
      <c r="G9115">
        <v>4</v>
      </c>
      <c r="H9115">
        <v>3</v>
      </c>
      <c r="I9115">
        <v>1979</v>
      </c>
      <c r="J9115">
        <v>0</v>
      </c>
      <c r="K9115">
        <v>0</v>
      </c>
      <c r="L9115">
        <v>0</v>
      </c>
      <c r="M9115">
        <v>10</v>
      </c>
      <c r="N9115" t="s">
        <v>26</v>
      </c>
      <c r="O9115" t="s">
        <v>32</v>
      </c>
      <c r="P9115">
        <v>4.8050658940542297</v>
      </c>
      <c r="Q9115">
        <v>1.56965530049146</v>
      </c>
      <c r="R9115">
        <v>1.53936389116705</v>
      </c>
      <c r="S9115">
        <v>95</v>
      </c>
      <c r="T9115">
        <v>40</v>
      </c>
      <c r="U9115">
        <v>240.29199786289101</v>
      </c>
      <c r="V9115">
        <v>4.6125461254612503E-3</v>
      </c>
      <c r="W9115">
        <v>767744.02477634803</v>
      </c>
      <c r="X9115" t="s">
        <v>39</v>
      </c>
      <c r="Y9115">
        <f>1-645-102-5454</f>
        <v>-6200</v>
      </c>
    </row>
    <row r="9116" spans="1:25" x14ac:dyDescent="0.35">
      <c r="A9116">
        <v>41.169195566367698</v>
      </c>
      <c r="B9116">
        <v>-121.44263017217899</v>
      </c>
      <c r="C9116" t="s">
        <v>34</v>
      </c>
      <c r="D9116">
        <v>49.228194778259102</v>
      </c>
      <c r="E9116">
        <v>2</v>
      </c>
      <c r="F9116">
        <v>1637</v>
      </c>
      <c r="G9116">
        <v>3</v>
      </c>
      <c r="H9116">
        <v>3</v>
      </c>
      <c r="I9116">
        <v>2013</v>
      </c>
      <c r="J9116">
        <v>1</v>
      </c>
      <c r="K9116">
        <v>0</v>
      </c>
      <c r="L9116">
        <v>0</v>
      </c>
      <c r="M9116">
        <v>12</v>
      </c>
      <c r="N9116" t="s">
        <v>37</v>
      </c>
      <c r="O9116" t="s">
        <v>27</v>
      </c>
      <c r="P9116">
        <v>7.3906591432598301</v>
      </c>
      <c r="Q9116">
        <v>1.14272919577232</v>
      </c>
      <c r="R9116">
        <v>2.9588046440202902</v>
      </c>
      <c r="S9116">
        <v>188</v>
      </c>
      <c r="T9116">
        <v>79</v>
      </c>
      <c r="U9116">
        <v>885.28694976106397</v>
      </c>
      <c r="V9116">
        <v>7.3304825901038401E-3</v>
      </c>
      <c r="W9116">
        <v>1639668.7386873199</v>
      </c>
      <c r="X9116" t="s">
        <v>31</v>
      </c>
      <c r="Y9116">
        <f>1-939-113-4991</f>
        <v>-6042</v>
      </c>
    </row>
    <row r="9117" spans="1:25" x14ac:dyDescent="0.35">
      <c r="A9117">
        <v>36.287715149275002</v>
      </c>
      <c r="B9117">
        <v>-121.54473543777</v>
      </c>
      <c r="C9117" t="s">
        <v>25</v>
      </c>
      <c r="D9117">
        <v>25.835448911089699</v>
      </c>
      <c r="E9117">
        <v>4</v>
      </c>
      <c r="F9117">
        <v>1541</v>
      </c>
      <c r="G9117">
        <v>3</v>
      </c>
      <c r="H9117">
        <v>3</v>
      </c>
      <c r="I9117">
        <v>1950</v>
      </c>
      <c r="J9117">
        <v>1</v>
      </c>
      <c r="K9117">
        <v>1</v>
      </c>
      <c r="L9117">
        <v>1</v>
      </c>
      <c r="M9117">
        <v>6</v>
      </c>
      <c r="N9117" t="s">
        <v>41</v>
      </c>
      <c r="O9117" t="s">
        <v>30</v>
      </c>
      <c r="P9117">
        <v>4.9672619181599398</v>
      </c>
      <c r="Q9117">
        <v>1.5492852388212801</v>
      </c>
      <c r="R9117">
        <v>1.94290458488628</v>
      </c>
      <c r="S9117">
        <v>118</v>
      </c>
      <c r="T9117">
        <v>44</v>
      </c>
      <c r="U9117">
        <v>269.71945688900098</v>
      </c>
      <c r="V9117">
        <v>3.8935756002595702E-3</v>
      </c>
      <c r="W9117">
        <v>714040.32626590598</v>
      </c>
      <c r="X9117" t="s">
        <v>42</v>
      </c>
      <c r="Y9117">
        <f>1-204-334-6385</f>
        <v>-6922</v>
      </c>
    </row>
    <row r="9118" spans="1:25" x14ac:dyDescent="0.35">
      <c r="A9118">
        <v>33.414643666622297</v>
      </c>
      <c r="B9118">
        <v>-118.870425347317</v>
      </c>
      <c r="C9118" t="s">
        <v>25</v>
      </c>
      <c r="D9118">
        <v>7.0693738302913403</v>
      </c>
      <c r="E9118">
        <v>8</v>
      </c>
      <c r="F9118">
        <v>2479</v>
      </c>
      <c r="G9118">
        <v>3</v>
      </c>
      <c r="H9118">
        <v>1</v>
      </c>
      <c r="I9118">
        <v>1977</v>
      </c>
      <c r="J9118">
        <v>0</v>
      </c>
      <c r="K9118">
        <v>1</v>
      </c>
      <c r="L9118">
        <v>0</v>
      </c>
      <c r="M9118">
        <v>14</v>
      </c>
      <c r="N9118" t="s">
        <v>37</v>
      </c>
      <c r="O9118" t="s">
        <v>27</v>
      </c>
      <c r="P9118">
        <v>4.85148328395712</v>
      </c>
      <c r="Q9118">
        <v>1.9905484820224699</v>
      </c>
      <c r="R9118">
        <v>7.70214544790747</v>
      </c>
      <c r="S9118">
        <v>160</v>
      </c>
      <c r="T9118">
        <v>21</v>
      </c>
      <c r="U9118">
        <v>599.96483638530196</v>
      </c>
      <c r="V9118">
        <v>5.6474384832593703E-3</v>
      </c>
      <c r="W9118">
        <v>1667601.5017953599</v>
      </c>
      <c r="X9118" t="s">
        <v>44</v>
      </c>
      <c r="Y9118">
        <f>1-767-121-9263</f>
        <v>-10150</v>
      </c>
    </row>
    <row r="9119" spans="1:25" x14ac:dyDescent="0.35">
      <c r="A9119">
        <v>36.288846744612201</v>
      </c>
      <c r="B9119">
        <v>-117.290998991612</v>
      </c>
      <c r="C9119" t="s">
        <v>25</v>
      </c>
      <c r="D9119">
        <v>4.0959105498493296</v>
      </c>
      <c r="E9119">
        <v>8</v>
      </c>
      <c r="F9119">
        <v>2958</v>
      </c>
      <c r="G9119">
        <v>4</v>
      </c>
      <c r="H9119">
        <v>1</v>
      </c>
      <c r="I9119">
        <v>2001</v>
      </c>
      <c r="J9119">
        <v>0</v>
      </c>
      <c r="K9119">
        <v>1</v>
      </c>
      <c r="L9119">
        <v>1</v>
      </c>
      <c r="M9119">
        <v>8</v>
      </c>
      <c r="N9119" t="s">
        <v>41</v>
      </c>
      <c r="O9119" t="s">
        <v>32</v>
      </c>
      <c r="P9119">
        <v>11.0524437035519</v>
      </c>
      <c r="Q9119">
        <v>1.60712290521922</v>
      </c>
      <c r="R9119">
        <v>9.8612567141814402</v>
      </c>
      <c r="S9119">
        <v>160</v>
      </c>
      <c r="T9119">
        <v>62</v>
      </c>
      <c r="U9119">
        <v>217.277915344929</v>
      </c>
      <c r="V9119">
        <v>2.70453008789722E-3</v>
      </c>
      <c r="W9119">
        <v>1002595.3620906899</v>
      </c>
      <c r="X9119" t="s">
        <v>31</v>
      </c>
      <c r="Y9119">
        <f>1-620-855-9810</f>
        <v>-11284</v>
      </c>
    </row>
    <row r="9120" spans="1:25" x14ac:dyDescent="0.35">
      <c r="A9120">
        <v>38.745179023058597</v>
      </c>
      <c r="B9120">
        <v>-119.498699963321</v>
      </c>
      <c r="C9120" t="s">
        <v>29</v>
      </c>
      <c r="D9120">
        <v>28.972593112815598</v>
      </c>
      <c r="E9120">
        <v>9</v>
      </c>
      <c r="F9120">
        <v>3846</v>
      </c>
      <c r="G9120">
        <v>2</v>
      </c>
      <c r="H9120">
        <v>3</v>
      </c>
      <c r="I9120">
        <v>1958</v>
      </c>
      <c r="J9120">
        <v>1</v>
      </c>
      <c r="K9120">
        <v>0</v>
      </c>
      <c r="L9120">
        <v>0</v>
      </c>
      <c r="M9120">
        <v>4</v>
      </c>
      <c r="N9120" t="s">
        <v>41</v>
      </c>
      <c r="O9120" t="s">
        <v>32</v>
      </c>
      <c r="P9120">
        <v>6.7788122167951697</v>
      </c>
      <c r="Q9120">
        <v>1.70510519103846</v>
      </c>
      <c r="R9120">
        <v>4.9302991738771196</v>
      </c>
      <c r="S9120">
        <v>1</v>
      </c>
      <c r="T9120">
        <v>44</v>
      </c>
      <c r="U9120">
        <v>778.06930123253505</v>
      </c>
      <c r="V9120">
        <v>1.0400416016640599E-3</v>
      </c>
      <c r="W9120">
        <v>3183125.8643161398</v>
      </c>
      <c r="X9120" t="s">
        <v>28</v>
      </c>
      <c r="Y9120">
        <f>1-906-804-8284</f>
        <v>-9993</v>
      </c>
    </row>
    <row r="9121" spans="1:25" x14ac:dyDescent="0.35">
      <c r="A9121">
        <v>33.279287811865601</v>
      </c>
      <c r="B9121">
        <v>-120.883773068189</v>
      </c>
      <c r="C9121" t="s">
        <v>34</v>
      </c>
      <c r="D9121">
        <v>16.872815913623899</v>
      </c>
      <c r="E9121">
        <v>7</v>
      </c>
      <c r="F9121">
        <v>3985</v>
      </c>
      <c r="G9121">
        <v>3</v>
      </c>
      <c r="H9121">
        <v>1</v>
      </c>
      <c r="I9121">
        <v>1954</v>
      </c>
      <c r="J9121">
        <v>1</v>
      </c>
      <c r="K9121">
        <v>1</v>
      </c>
      <c r="L9121">
        <v>1</v>
      </c>
      <c r="M9121">
        <v>7</v>
      </c>
      <c r="N9121" t="s">
        <v>26</v>
      </c>
      <c r="O9121" t="s">
        <v>30</v>
      </c>
      <c r="P9121">
        <v>12.894633559902999</v>
      </c>
      <c r="Q9121">
        <v>0.63615847490045896</v>
      </c>
      <c r="R9121">
        <v>4.7657474740993298</v>
      </c>
      <c r="S9121">
        <v>104</v>
      </c>
      <c r="T9121">
        <v>72</v>
      </c>
      <c r="U9121">
        <v>335.54668542877903</v>
      </c>
      <c r="V9121">
        <v>1.7565872020075201E-3</v>
      </c>
      <c r="W9121">
        <v>1659717.8468124</v>
      </c>
      <c r="X9121" t="s">
        <v>28</v>
      </c>
      <c r="Y9121">
        <f>1-301-951-8335</f>
        <v>-9586</v>
      </c>
    </row>
    <row r="9122" spans="1:25" x14ac:dyDescent="0.35">
      <c r="A9122">
        <v>36.668490091052398</v>
      </c>
      <c r="B9122">
        <v>-119.821620912933</v>
      </c>
      <c r="C9122" t="s">
        <v>29</v>
      </c>
      <c r="D9122">
        <v>39.0093053047921</v>
      </c>
      <c r="E9122">
        <v>2</v>
      </c>
      <c r="F9122">
        <v>3330</v>
      </c>
      <c r="G9122">
        <v>3</v>
      </c>
      <c r="H9122">
        <v>3</v>
      </c>
      <c r="I9122">
        <v>1969</v>
      </c>
      <c r="J9122">
        <v>1</v>
      </c>
      <c r="K9122">
        <v>1</v>
      </c>
      <c r="L9122">
        <v>0</v>
      </c>
      <c r="M9122">
        <v>2</v>
      </c>
      <c r="N9122" t="s">
        <v>41</v>
      </c>
      <c r="O9122" t="s">
        <v>30</v>
      </c>
      <c r="P9122">
        <v>9.7994664652761294</v>
      </c>
      <c r="Q9122">
        <v>1.2968649757365001</v>
      </c>
      <c r="R9122">
        <v>0.86111449321366496</v>
      </c>
      <c r="S9122">
        <v>143</v>
      </c>
      <c r="T9122">
        <v>52</v>
      </c>
      <c r="U9122">
        <v>987.39783594893004</v>
      </c>
      <c r="V9122">
        <v>6.0060060060060003E-4</v>
      </c>
      <c r="W9122">
        <v>3636932.1904111402</v>
      </c>
      <c r="X9122" t="s">
        <v>38</v>
      </c>
      <c r="Y9122">
        <f>1-460-477-3049</f>
        <v>-3985</v>
      </c>
    </row>
    <row r="9123" spans="1:25" x14ac:dyDescent="0.35">
      <c r="A9123">
        <v>40.573768966466098</v>
      </c>
      <c r="B9123">
        <v>-115.770535439532</v>
      </c>
      <c r="C9123" t="s">
        <v>25</v>
      </c>
      <c r="D9123">
        <v>44.683353737120797</v>
      </c>
      <c r="E9123">
        <v>8</v>
      </c>
      <c r="F9123">
        <v>4515</v>
      </c>
      <c r="G9123">
        <v>2</v>
      </c>
      <c r="H9123">
        <v>1</v>
      </c>
      <c r="I9123">
        <v>1970</v>
      </c>
      <c r="J9123">
        <v>0</v>
      </c>
      <c r="K9123">
        <v>0</v>
      </c>
      <c r="L9123">
        <v>1</v>
      </c>
      <c r="M9123">
        <v>7</v>
      </c>
      <c r="N9123" t="s">
        <v>37</v>
      </c>
      <c r="O9123" t="s">
        <v>30</v>
      </c>
      <c r="P9123">
        <v>5.6067981650907504</v>
      </c>
      <c r="Q9123">
        <v>1.96334941629757</v>
      </c>
      <c r="R9123">
        <v>8.7964602599603801</v>
      </c>
      <c r="S9123">
        <v>46</v>
      </c>
      <c r="T9123">
        <v>38</v>
      </c>
      <c r="U9123">
        <v>612.59834400124998</v>
      </c>
      <c r="V9123">
        <v>1.55038759689922E-3</v>
      </c>
      <c r="W9123">
        <v>2857197.8260293999</v>
      </c>
      <c r="X9123" t="s">
        <v>28</v>
      </c>
      <c r="Y9123">
        <f>1-383-732-5305</f>
        <v>-6419</v>
      </c>
    </row>
    <row r="9124" spans="1:25" x14ac:dyDescent="0.35">
      <c r="A9124">
        <v>36.522553862479498</v>
      </c>
      <c r="B9124">
        <v>-116.740382580865</v>
      </c>
      <c r="C9124" t="s">
        <v>34</v>
      </c>
      <c r="D9124">
        <v>1.05727232923963</v>
      </c>
      <c r="E9124">
        <v>9</v>
      </c>
      <c r="F9124">
        <v>3342</v>
      </c>
      <c r="G9124">
        <v>3</v>
      </c>
      <c r="H9124">
        <v>2</v>
      </c>
      <c r="I9124">
        <v>1970</v>
      </c>
      <c r="J9124">
        <v>1</v>
      </c>
      <c r="K9124">
        <v>0</v>
      </c>
      <c r="L9124">
        <v>1</v>
      </c>
      <c r="M9124">
        <v>11</v>
      </c>
      <c r="N9124" t="s">
        <v>37</v>
      </c>
      <c r="O9124" t="s">
        <v>30</v>
      </c>
      <c r="P9124">
        <v>4.92070634292193</v>
      </c>
      <c r="Q9124">
        <v>2.2078129463722802</v>
      </c>
      <c r="R9124">
        <v>4.7915166085532599</v>
      </c>
      <c r="S9124">
        <v>59</v>
      </c>
      <c r="T9124">
        <v>47</v>
      </c>
      <c r="U9124">
        <v>588.709602194686</v>
      </c>
      <c r="V9124">
        <v>3.2914422501496101E-3</v>
      </c>
      <c r="W9124">
        <v>2252507.2890908401</v>
      </c>
      <c r="X9124" t="s">
        <v>39</v>
      </c>
      <c r="Y9124">
        <f>1-746-409-9220</f>
        <v>-10374</v>
      </c>
    </row>
    <row r="9125" spans="1:25" x14ac:dyDescent="0.35">
      <c r="A9125">
        <v>34.386257142223897</v>
      </c>
      <c r="B9125">
        <v>-120.305016320359</v>
      </c>
      <c r="C9125" t="s">
        <v>25</v>
      </c>
      <c r="D9125">
        <v>32.229670466224199</v>
      </c>
      <c r="E9125">
        <v>1</v>
      </c>
      <c r="F9125">
        <v>2079</v>
      </c>
      <c r="G9125">
        <v>3</v>
      </c>
      <c r="H9125">
        <v>2</v>
      </c>
      <c r="I9125">
        <v>2002</v>
      </c>
      <c r="J9125">
        <v>1</v>
      </c>
      <c r="K9125">
        <v>1</v>
      </c>
      <c r="L9125">
        <v>0</v>
      </c>
      <c r="M9125">
        <v>3</v>
      </c>
      <c r="N9125" t="s">
        <v>41</v>
      </c>
      <c r="O9125" t="s">
        <v>30</v>
      </c>
      <c r="P9125">
        <v>10.6442788170624</v>
      </c>
      <c r="Q9125">
        <v>0.80363484774996696</v>
      </c>
      <c r="R9125">
        <v>6.4630568185878801</v>
      </c>
      <c r="S9125">
        <v>186</v>
      </c>
      <c r="T9125">
        <v>62</v>
      </c>
      <c r="U9125">
        <v>369.05919638026302</v>
      </c>
      <c r="V9125">
        <v>1.44300144300144E-3</v>
      </c>
      <c r="W9125">
        <v>1199270.8557599301</v>
      </c>
      <c r="X9125" t="s">
        <v>33</v>
      </c>
      <c r="Y9125">
        <f>1-372-189-5531</f>
        <v>-6091</v>
      </c>
    </row>
    <row r="9126" spans="1:25" x14ac:dyDescent="0.35">
      <c r="A9126">
        <v>38.8315366621122</v>
      </c>
      <c r="B9126">
        <v>-116.70892838018401</v>
      </c>
      <c r="C9126" t="s">
        <v>29</v>
      </c>
      <c r="D9126">
        <v>25.633862984810101</v>
      </c>
      <c r="E9126">
        <v>2</v>
      </c>
      <c r="F9126">
        <v>3617</v>
      </c>
      <c r="G9126">
        <v>2</v>
      </c>
      <c r="H9126">
        <v>2</v>
      </c>
      <c r="I9126">
        <v>1965</v>
      </c>
      <c r="J9126">
        <v>1</v>
      </c>
      <c r="K9126">
        <v>1</v>
      </c>
      <c r="L9126">
        <v>0</v>
      </c>
      <c r="M9126">
        <v>14</v>
      </c>
      <c r="N9126" t="s">
        <v>37</v>
      </c>
      <c r="O9126" t="s">
        <v>30</v>
      </c>
      <c r="P9126">
        <v>8.2154467605442907</v>
      </c>
      <c r="Q9126">
        <v>2.2240335743950599</v>
      </c>
      <c r="R9126">
        <v>3.2257513311372401</v>
      </c>
      <c r="S9126">
        <v>135</v>
      </c>
      <c r="T9126">
        <v>72</v>
      </c>
      <c r="U9126">
        <v>803.77724038972804</v>
      </c>
      <c r="V9126">
        <v>3.8706110035941301E-3</v>
      </c>
      <c r="W9126">
        <v>3113803.1894332999</v>
      </c>
      <c r="X9126" t="s">
        <v>44</v>
      </c>
      <c r="Y9126">
        <f>1-920-930-9046</f>
        <v>-10895</v>
      </c>
    </row>
    <row r="9127" spans="1:25" x14ac:dyDescent="0.35">
      <c r="A9127">
        <v>32.789278389116298</v>
      </c>
      <c r="B9127">
        <v>-121.05212794298301</v>
      </c>
      <c r="C9127" t="s">
        <v>29</v>
      </c>
      <c r="D9127">
        <v>30.449030349395201</v>
      </c>
      <c r="E9127">
        <v>5</v>
      </c>
      <c r="F9127">
        <v>3705</v>
      </c>
      <c r="G9127">
        <v>1</v>
      </c>
      <c r="H9127">
        <v>2</v>
      </c>
      <c r="I9127">
        <v>2012</v>
      </c>
      <c r="J9127">
        <v>1</v>
      </c>
      <c r="K9127">
        <v>1</v>
      </c>
      <c r="L9127">
        <v>0</v>
      </c>
      <c r="M9127">
        <v>3</v>
      </c>
      <c r="N9127" t="s">
        <v>41</v>
      </c>
      <c r="O9127" t="s">
        <v>32</v>
      </c>
      <c r="P9127">
        <v>6.8253265093633697</v>
      </c>
      <c r="Q9127">
        <v>0.89036508094990796</v>
      </c>
      <c r="R9127">
        <v>3.5807462584526899</v>
      </c>
      <c r="S9127">
        <v>36</v>
      </c>
      <c r="T9127">
        <v>54</v>
      </c>
      <c r="U9127">
        <v>894.20687941579502</v>
      </c>
      <c r="V9127">
        <v>8.0971659919028304E-4</v>
      </c>
      <c r="W9127">
        <v>3511534.64849931</v>
      </c>
      <c r="X9127" t="s">
        <v>38</v>
      </c>
      <c r="Y9127">
        <f>1-797-273-1551</f>
        <v>-2620</v>
      </c>
    </row>
    <row r="9128" spans="1:25" x14ac:dyDescent="0.35">
      <c r="A9128">
        <v>32.5844343818505</v>
      </c>
      <c r="B9128">
        <v>-122.72316371669601</v>
      </c>
      <c r="C9128" t="s">
        <v>29</v>
      </c>
      <c r="D9128">
        <v>31.283527220012498</v>
      </c>
      <c r="E9128">
        <v>5</v>
      </c>
      <c r="F9128">
        <v>1867</v>
      </c>
      <c r="G9128">
        <v>4</v>
      </c>
      <c r="H9128">
        <v>1</v>
      </c>
      <c r="I9128">
        <v>2022</v>
      </c>
      <c r="J9128">
        <v>1</v>
      </c>
      <c r="K9128">
        <v>1</v>
      </c>
      <c r="L9128">
        <v>0</v>
      </c>
      <c r="M9128">
        <v>8</v>
      </c>
      <c r="N9128" t="s">
        <v>37</v>
      </c>
      <c r="O9128" t="s">
        <v>27</v>
      </c>
      <c r="P9128">
        <v>5.8926901153219902</v>
      </c>
      <c r="Q9128">
        <v>1.70253668824744</v>
      </c>
      <c r="R9128">
        <v>8.1398799125199108</v>
      </c>
      <c r="S9128">
        <v>156</v>
      </c>
      <c r="T9128">
        <v>44</v>
      </c>
      <c r="U9128">
        <v>555.43559837291195</v>
      </c>
      <c r="V9128">
        <v>4.2849491162292403E-3</v>
      </c>
      <c r="W9128">
        <v>1391267.89765783</v>
      </c>
      <c r="X9128" t="s">
        <v>39</v>
      </c>
      <c r="Y9128">
        <f>1-900-269-6718</f>
        <v>-7886</v>
      </c>
    </row>
    <row r="9129" spans="1:25" x14ac:dyDescent="0.35">
      <c r="A9129">
        <v>33.950275915030701</v>
      </c>
      <c r="B9129">
        <v>-119.82484996969799</v>
      </c>
      <c r="C9129" t="s">
        <v>29</v>
      </c>
      <c r="D9129">
        <v>13.689904189756099</v>
      </c>
      <c r="E9129">
        <v>1</v>
      </c>
      <c r="F9129">
        <v>2700</v>
      </c>
      <c r="G9129">
        <v>1</v>
      </c>
      <c r="H9129">
        <v>3</v>
      </c>
      <c r="I9129">
        <v>1974</v>
      </c>
      <c r="J9129">
        <v>0</v>
      </c>
      <c r="K9129">
        <v>0</v>
      </c>
      <c r="L9129">
        <v>1</v>
      </c>
      <c r="M9129">
        <v>10</v>
      </c>
      <c r="N9129" t="s">
        <v>41</v>
      </c>
      <c r="O9129" t="s">
        <v>27</v>
      </c>
      <c r="P9129">
        <v>9.4524755933657794</v>
      </c>
      <c r="Q9129">
        <v>1.9207769427978501</v>
      </c>
      <c r="R9129">
        <v>0.54979106930302601</v>
      </c>
      <c r="S9129">
        <v>67</v>
      </c>
      <c r="T9129">
        <v>70</v>
      </c>
      <c r="U9129">
        <v>355.932683219041</v>
      </c>
      <c r="V9129">
        <v>3.7037037037036999E-3</v>
      </c>
      <c r="W9129">
        <v>1093055.82856973</v>
      </c>
      <c r="X9129" t="s">
        <v>43</v>
      </c>
      <c r="Y9129">
        <f>1-867-734-7473</f>
        <v>-9073</v>
      </c>
    </row>
    <row r="9130" spans="1:25" x14ac:dyDescent="0.35">
      <c r="A9130">
        <v>39.224702708066602</v>
      </c>
      <c r="B9130">
        <v>-118.189751113082</v>
      </c>
      <c r="C9130" t="s">
        <v>34</v>
      </c>
      <c r="D9130">
        <v>14.667683972520299</v>
      </c>
      <c r="E9130">
        <v>7</v>
      </c>
      <c r="F9130">
        <v>3935</v>
      </c>
      <c r="G9130">
        <v>4</v>
      </c>
      <c r="H9130">
        <v>3</v>
      </c>
      <c r="I9130">
        <v>1968</v>
      </c>
      <c r="J9130">
        <v>1</v>
      </c>
      <c r="K9130">
        <v>1</v>
      </c>
      <c r="L9130">
        <v>0</v>
      </c>
      <c r="M9130">
        <v>6</v>
      </c>
      <c r="N9130" t="s">
        <v>35</v>
      </c>
      <c r="O9130" t="s">
        <v>32</v>
      </c>
      <c r="P9130">
        <v>11.4337653937965</v>
      </c>
      <c r="Q9130">
        <v>0.70571208695661802</v>
      </c>
      <c r="R9130">
        <v>5.3615399003461297</v>
      </c>
      <c r="S9130">
        <v>37</v>
      </c>
      <c r="T9130">
        <v>66</v>
      </c>
      <c r="U9130">
        <v>458.03609896665</v>
      </c>
      <c r="V9130">
        <v>1.52477763659466E-3</v>
      </c>
      <c r="W9130">
        <v>2229377.3865889702</v>
      </c>
      <c r="X9130" t="s">
        <v>38</v>
      </c>
      <c r="Y9130">
        <f>1-766-178-6320</f>
        <v>-7263</v>
      </c>
    </row>
    <row r="9131" spans="1:25" x14ac:dyDescent="0.35">
      <c r="A9131">
        <v>36.413138988982503</v>
      </c>
      <c r="B9131">
        <v>-117.048678265692</v>
      </c>
      <c r="C9131" t="s">
        <v>29</v>
      </c>
      <c r="D9131">
        <v>40.993939124475297</v>
      </c>
      <c r="E9131">
        <v>4</v>
      </c>
      <c r="F9131">
        <v>1503</v>
      </c>
      <c r="G9131">
        <v>1</v>
      </c>
      <c r="H9131">
        <v>1</v>
      </c>
      <c r="I9131">
        <v>1966</v>
      </c>
      <c r="J9131">
        <v>0</v>
      </c>
      <c r="K9131">
        <v>1</v>
      </c>
      <c r="L9131">
        <v>0</v>
      </c>
      <c r="M9131">
        <v>8</v>
      </c>
      <c r="N9131" t="s">
        <v>37</v>
      </c>
      <c r="O9131" t="s">
        <v>27</v>
      </c>
      <c r="P9131">
        <v>14.599764808590299</v>
      </c>
      <c r="Q9131">
        <v>1.6810073038539499</v>
      </c>
      <c r="R9131">
        <v>5.9330149323752401</v>
      </c>
      <c r="S9131">
        <v>77</v>
      </c>
      <c r="T9131">
        <v>67</v>
      </c>
      <c r="U9131">
        <v>289.98873537832799</v>
      </c>
      <c r="V9131">
        <v>5.3226879574184904E-3</v>
      </c>
      <c r="W9131">
        <v>617465.47956911195</v>
      </c>
      <c r="X9131" t="s">
        <v>28</v>
      </c>
      <c r="Y9131">
        <f>1-600-977-5387</f>
        <v>-6963</v>
      </c>
    </row>
    <row r="9132" spans="1:25" x14ac:dyDescent="0.35">
      <c r="A9132">
        <v>39.248461831583001</v>
      </c>
      <c r="B9132">
        <v>-119.01756388262</v>
      </c>
      <c r="C9132" t="s">
        <v>29</v>
      </c>
      <c r="D9132">
        <v>19.102442709682599</v>
      </c>
      <c r="E9132">
        <v>6</v>
      </c>
      <c r="F9132">
        <v>1517</v>
      </c>
      <c r="G9132">
        <v>2</v>
      </c>
      <c r="H9132">
        <v>1</v>
      </c>
      <c r="I9132">
        <v>1993</v>
      </c>
      <c r="J9132">
        <v>1</v>
      </c>
      <c r="K9132">
        <v>1</v>
      </c>
      <c r="L9132">
        <v>0</v>
      </c>
      <c r="M9132">
        <v>10</v>
      </c>
      <c r="N9132" t="s">
        <v>37</v>
      </c>
      <c r="O9132" t="s">
        <v>30</v>
      </c>
      <c r="P9132">
        <v>13.7602601545714</v>
      </c>
      <c r="Q9132">
        <v>0.94048944627503905</v>
      </c>
      <c r="R9132">
        <v>0.97037740495535796</v>
      </c>
      <c r="S9132">
        <v>51</v>
      </c>
      <c r="T9132">
        <v>33</v>
      </c>
      <c r="U9132">
        <v>416.271094363016</v>
      </c>
      <c r="V9132">
        <v>6.5919578114700004E-3</v>
      </c>
      <c r="W9132">
        <v>971358.22210831998</v>
      </c>
      <c r="X9132" t="s">
        <v>43</v>
      </c>
      <c r="Y9132">
        <f>1-345-629-3971</f>
        <v>-4944</v>
      </c>
    </row>
    <row r="9133" spans="1:25" x14ac:dyDescent="0.35">
      <c r="A9133">
        <v>35.786701312102302</v>
      </c>
      <c r="B9133">
        <v>-116.063341640483</v>
      </c>
      <c r="C9133" t="s">
        <v>25</v>
      </c>
      <c r="D9133">
        <v>21.3859872108366</v>
      </c>
      <c r="E9133">
        <v>9</v>
      </c>
      <c r="F9133">
        <v>1015</v>
      </c>
      <c r="G9133">
        <v>2</v>
      </c>
      <c r="H9133">
        <v>1</v>
      </c>
      <c r="I9133">
        <v>2006</v>
      </c>
      <c r="J9133">
        <v>0</v>
      </c>
      <c r="K9133">
        <v>1</v>
      </c>
      <c r="L9133">
        <v>1</v>
      </c>
      <c r="M9133">
        <v>4</v>
      </c>
      <c r="N9133" t="s">
        <v>26</v>
      </c>
      <c r="O9133" t="s">
        <v>27</v>
      </c>
      <c r="P9133">
        <v>12.7586970784117</v>
      </c>
      <c r="Q9133">
        <v>2.4995700268004599</v>
      </c>
      <c r="R9133">
        <v>9.1708040865781406</v>
      </c>
      <c r="S9133">
        <v>168</v>
      </c>
      <c r="T9133">
        <v>63</v>
      </c>
      <c r="U9133">
        <v>530.24579079354896</v>
      </c>
      <c r="V9133">
        <v>3.9408866995073802E-3</v>
      </c>
      <c r="W9133">
        <v>831287.21535734599</v>
      </c>
      <c r="X9133" t="s">
        <v>38</v>
      </c>
      <c r="Y9133">
        <f>1-813-336-6592</f>
        <v>-7740</v>
      </c>
    </row>
    <row r="9134" spans="1:25" x14ac:dyDescent="0.35">
      <c r="A9134">
        <v>33.517517976376098</v>
      </c>
      <c r="B9134">
        <v>-114.600785933634</v>
      </c>
      <c r="C9134" t="s">
        <v>34</v>
      </c>
      <c r="D9134">
        <v>14.3491785329702</v>
      </c>
      <c r="E9134">
        <v>0</v>
      </c>
      <c r="F9134">
        <v>3784</v>
      </c>
      <c r="G9134">
        <v>1</v>
      </c>
      <c r="H9134">
        <v>2</v>
      </c>
      <c r="I9134">
        <v>1992</v>
      </c>
      <c r="J9134">
        <v>0</v>
      </c>
      <c r="K9134">
        <v>0</v>
      </c>
      <c r="L9134">
        <v>0</v>
      </c>
      <c r="M9134">
        <v>4</v>
      </c>
      <c r="N9134" t="s">
        <v>35</v>
      </c>
      <c r="O9134" t="s">
        <v>27</v>
      </c>
      <c r="P9134">
        <v>13.7100283295879</v>
      </c>
      <c r="Q9134">
        <v>2.1068700079385101</v>
      </c>
      <c r="R9134">
        <v>0.732147698695506</v>
      </c>
      <c r="S9134">
        <v>11</v>
      </c>
      <c r="T9134">
        <v>72</v>
      </c>
      <c r="U9134">
        <v>996.60160280281798</v>
      </c>
      <c r="V9134">
        <v>1.0570824524312799E-3</v>
      </c>
      <c r="W9134">
        <v>4003988.98353551</v>
      </c>
      <c r="X9134" t="s">
        <v>38</v>
      </c>
      <c r="Y9134">
        <f>1-920-745-8456</f>
        <v>-10120</v>
      </c>
    </row>
    <row r="9135" spans="1:25" x14ac:dyDescent="0.35">
      <c r="A9135">
        <v>39.779019359913399</v>
      </c>
      <c r="B9135">
        <v>-114.529874341507</v>
      </c>
      <c r="C9135" t="s">
        <v>34</v>
      </c>
      <c r="D9135">
        <v>14.508571863600199</v>
      </c>
      <c r="E9135">
        <v>2</v>
      </c>
      <c r="F9135">
        <v>4804</v>
      </c>
      <c r="G9135">
        <v>3</v>
      </c>
      <c r="H9135">
        <v>1</v>
      </c>
      <c r="I9135">
        <v>2010</v>
      </c>
      <c r="J9135">
        <v>1</v>
      </c>
      <c r="K9135">
        <v>0</v>
      </c>
      <c r="L9135">
        <v>0</v>
      </c>
      <c r="M9135">
        <v>11</v>
      </c>
      <c r="N9135" t="s">
        <v>37</v>
      </c>
      <c r="O9135" t="s">
        <v>30</v>
      </c>
      <c r="P9135">
        <v>5.4591508139976002</v>
      </c>
      <c r="Q9135">
        <v>0.51121906554929697</v>
      </c>
      <c r="R9135">
        <v>9.1558823146057406</v>
      </c>
      <c r="S9135">
        <v>39</v>
      </c>
      <c r="T9135">
        <v>60</v>
      </c>
      <c r="U9135">
        <v>392.432096549383</v>
      </c>
      <c r="V9135">
        <v>2.2897585345545298E-3</v>
      </c>
      <c r="W9135">
        <v>2130126.7978936201</v>
      </c>
      <c r="X9135" t="s">
        <v>43</v>
      </c>
      <c r="Y9135">
        <f>1-617-515-1472</f>
        <v>-2603</v>
      </c>
    </row>
    <row r="9136" spans="1:25" x14ac:dyDescent="0.35">
      <c r="A9136">
        <v>38.253571983433801</v>
      </c>
      <c r="B9136">
        <v>-117.22697114921399</v>
      </c>
      <c r="C9136" t="s">
        <v>29</v>
      </c>
      <c r="D9136">
        <v>38.334760417506203</v>
      </c>
      <c r="E9136">
        <v>8</v>
      </c>
      <c r="F9136">
        <v>1657</v>
      </c>
      <c r="G9136">
        <v>1</v>
      </c>
      <c r="H9136">
        <v>3</v>
      </c>
      <c r="I9136">
        <v>1993</v>
      </c>
      <c r="J9136">
        <v>1</v>
      </c>
      <c r="K9136">
        <v>1</v>
      </c>
      <c r="L9136">
        <v>0</v>
      </c>
      <c r="M9136">
        <v>7</v>
      </c>
      <c r="N9136" t="s">
        <v>26</v>
      </c>
      <c r="O9136" t="s">
        <v>32</v>
      </c>
      <c r="P9136">
        <v>3.4790451770675901</v>
      </c>
      <c r="Q9136">
        <v>2.2292529651970399</v>
      </c>
      <c r="R9136">
        <v>9.3298529080680002</v>
      </c>
      <c r="S9136">
        <v>36</v>
      </c>
      <c r="T9136">
        <v>73</v>
      </c>
      <c r="U9136">
        <v>682.51642813523995</v>
      </c>
      <c r="V9136">
        <v>4.2245021122510502E-3</v>
      </c>
      <c r="W9136">
        <v>1424966.2289168099</v>
      </c>
      <c r="X9136" t="s">
        <v>44</v>
      </c>
      <c r="Y9136">
        <f>1-961-961-6476</f>
        <v>-8397</v>
      </c>
    </row>
    <row r="9137" spans="1:25" x14ac:dyDescent="0.35">
      <c r="A9137">
        <v>37.087258079239199</v>
      </c>
      <c r="B9137">
        <v>-123.44895032772</v>
      </c>
      <c r="C9137" t="s">
        <v>34</v>
      </c>
      <c r="D9137">
        <v>22.506203294168099</v>
      </c>
      <c r="E9137">
        <v>2</v>
      </c>
      <c r="F9137">
        <v>1898</v>
      </c>
      <c r="G9137">
        <v>3</v>
      </c>
      <c r="H9137">
        <v>2</v>
      </c>
      <c r="I9137">
        <v>2020</v>
      </c>
      <c r="J9137">
        <v>1</v>
      </c>
      <c r="K9137">
        <v>0</v>
      </c>
      <c r="L9137">
        <v>1</v>
      </c>
      <c r="M9137">
        <v>2</v>
      </c>
      <c r="N9137" t="s">
        <v>41</v>
      </c>
      <c r="O9137" t="s">
        <v>27</v>
      </c>
      <c r="P9137">
        <v>12.307951450993301</v>
      </c>
      <c r="Q9137">
        <v>1.372807757865</v>
      </c>
      <c r="R9137">
        <v>2.2557759283903902</v>
      </c>
      <c r="S9137">
        <v>62</v>
      </c>
      <c r="T9137">
        <v>46</v>
      </c>
      <c r="U9137">
        <v>700.27531047278796</v>
      </c>
      <c r="V9137">
        <v>1.05374077976817E-3</v>
      </c>
      <c r="W9137">
        <v>1673527.63202067</v>
      </c>
      <c r="X9137" t="s">
        <v>36</v>
      </c>
      <c r="Y9137">
        <f>1-672-483-1627</f>
        <v>-2781</v>
      </c>
    </row>
    <row r="9138" spans="1:25" x14ac:dyDescent="0.35">
      <c r="A9138">
        <v>41.8460997584842</v>
      </c>
      <c r="B9138">
        <v>-114.295157758345</v>
      </c>
      <c r="C9138" t="s">
        <v>29</v>
      </c>
      <c r="D9138">
        <v>8.2052918423023193</v>
      </c>
      <c r="E9138">
        <v>5</v>
      </c>
      <c r="F9138">
        <v>700</v>
      </c>
      <c r="G9138">
        <v>2</v>
      </c>
      <c r="H9138">
        <v>3</v>
      </c>
      <c r="I9138">
        <v>1972</v>
      </c>
      <c r="J9138">
        <v>1</v>
      </c>
      <c r="K9138">
        <v>1</v>
      </c>
      <c r="L9138">
        <v>1</v>
      </c>
      <c r="M9138">
        <v>4</v>
      </c>
      <c r="N9138" t="s">
        <v>37</v>
      </c>
      <c r="O9138" t="s">
        <v>32</v>
      </c>
      <c r="P9138">
        <v>13.464740188607101</v>
      </c>
      <c r="Q9138">
        <v>2.1112714134614299</v>
      </c>
      <c r="R9138">
        <v>0.87522345883314601</v>
      </c>
      <c r="S9138">
        <v>96</v>
      </c>
      <c r="T9138">
        <v>37</v>
      </c>
      <c r="U9138">
        <v>659.86781358601604</v>
      </c>
      <c r="V9138">
        <v>5.7142857142857099E-3</v>
      </c>
      <c r="W9138">
        <v>860332.98729189299</v>
      </c>
      <c r="X9138" t="s">
        <v>28</v>
      </c>
      <c r="Y9138">
        <f>1-907-500-1554</f>
        <v>-2960</v>
      </c>
    </row>
    <row r="9139" spans="1:25" x14ac:dyDescent="0.35">
      <c r="A9139">
        <v>36.270074963795501</v>
      </c>
      <c r="B9139">
        <v>-123.94059831012601</v>
      </c>
      <c r="C9139" t="s">
        <v>25</v>
      </c>
      <c r="D9139">
        <v>38.654000433213298</v>
      </c>
      <c r="E9139">
        <v>0</v>
      </c>
      <c r="F9139">
        <v>4814</v>
      </c>
      <c r="G9139">
        <v>1</v>
      </c>
      <c r="H9139">
        <v>3</v>
      </c>
      <c r="I9139">
        <v>1961</v>
      </c>
      <c r="J9139">
        <v>0</v>
      </c>
      <c r="K9139">
        <v>0</v>
      </c>
      <c r="L9139">
        <v>1</v>
      </c>
      <c r="M9139">
        <v>9</v>
      </c>
      <c r="N9139" t="s">
        <v>26</v>
      </c>
      <c r="O9139" t="s">
        <v>27</v>
      </c>
      <c r="P9139">
        <v>13.9067454862062</v>
      </c>
      <c r="Q9139">
        <v>2.21225912214573</v>
      </c>
      <c r="R9139">
        <v>8.6004064590802098</v>
      </c>
      <c r="S9139">
        <v>12</v>
      </c>
      <c r="T9139">
        <v>22</v>
      </c>
      <c r="U9139">
        <v>972.46541830575302</v>
      </c>
      <c r="V9139">
        <v>1.86954715413377E-3</v>
      </c>
      <c r="W9139">
        <v>4826655.6779007204</v>
      </c>
      <c r="X9139" t="s">
        <v>36</v>
      </c>
      <c r="Y9139">
        <f>1-717-470-7586</f>
        <v>-8772</v>
      </c>
    </row>
    <row r="9140" spans="1:25" x14ac:dyDescent="0.35">
      <c r="A9140">
        <v>33.972473666172803</v>
      </c>
      <c r="B9140">
        <v>-115.733347021726</v>
      </c>
      <c r="C9140" t="s">
        <v>25</v>
      </c>
      <c r="D9140">
        <v>40.491006768744498</v>
      </c>
      <c r="E9140">
        <v>9</v>
      </c>
      <c r="F9140">
        <v>4719</v>
      </c>
      <c r="G9140">
        <v>5</v>
      </c>
      <c r="H9140">
        <v>3</v>
      </c>
      <c r="I9140">
        <v>1996</v>
      </c>
      <c r="J9140">
        <v>1</v>
      </c>
      <c r="K9140">
        <v>1</v>
      </c>
      <c r="L9140">
        <v>1</v>
      </c>
      <c r="M9140">
        <v>5</v>
      </c>
      <c r="N9140" t="s">
        <v>41</v>
      </c>
      <c r="O9140" t="s">
        <v>27</v>
      </c>
      <c r="P9140">
        <v>10.9460320884612</v>
      </c>
      <c r="Q9140">
        <v>2.0131979608470498</v>
      </c>
      <c r="R9140">
        <v>2.1137622915301102</v>
      </c>
      <c r="S9140">
        <v>155</v>
      </c>
      <c r="T9140">
        <v>65</v>
      </c>
      <c r="U9140">
        <v>407.436897072345</v>
      </c>
      <c r="V9140">
        <v>1.0595465140919599E-3</v>
      </c>
      <c r="W9140">
        <v>2459654.4067025599</v>
      </c>
      <c r="X9140" t="s">
        <v>39</v>
      </c>
      <c r="Y9140">
        <f>1-686-444-4442</f>
        <v>-5571</v>
      </c>
    </row>
    <row r="9141" spans="1:25" x14ac:dyDescent="0.35">
      <c r="A9141">
        <v>33.568783478479901</v>
      </c>
      <c r="B9141">
        <v>-116.912152271523</v>
      </c>
      <c r="C9141" t="s">
        <v>25</v>
      </c>
      <c r="D9141">
        <v>13.4850869316549</v>
      </c>
      <c r="E9141">
        <v>7</v>
      </c>
      <c r="F9141">
        <v>2704</v>
      </c>
      <c r="G9141">
        <v>1</v>
      </c>
      <c r="H9141">
        <v>1</v>
      </c>
      <c r="I9141">
        <v>2014</v>
      </c>
      <c r="J9141">
        <v>0</v>
      </c>
      <c r="K9141">
        <v>1</v>
      </c>
      <c r="L9141">
        <v>1</v>
      </c>
      <c r="M9141">
        <v>12</v>
      </c>
      <c r="N9141" t="s">
        <v>37</v>
      </c>
      <c r="O9141" t="s">
        <v>27</v>
      </c>
      <c r="P9141">
        <v>6.78079144968763</v>
      </c>
      <c r="Q9141">
        <v>2.0940732172121099</v>
      </c>
      <c r="R9141">
        <v>8.0515764156927503</v>
      </c>
      <c r="S9141">
        <v>82</v>
      </c>
      <c r="T9141">
        <v>78</v>
      </c>
      <c r="U9141">
        <v>783.77674526169403</v>
      </c>
      <c r="V9141">
        <v>4.4378698224852003E-3</v>
      </c>
      <c r="W9141">
        <v>2284575.0904627098</v>
      </c>
      <c r="X9141" t="s">
        <v>40</v>
      </c>
      <c r="Y9141">
        <f>1-239-738-7712</f>
        <v>-8688</v>
      </c>
    </row>
    <row r="9142" spans="1:25" x14ac:dyDescent="0.35">
      <c r="A9142">
        <v>41.806055432228398</v>
      </c>
      <c r="B9142">
        <v>-119.85947260264</v>
      </c>
      <c r="C9142" t="s">
        <v>25</v>
      </c>
      <c r="D9142">
        <v>4.0647321057768702</v>
      </c>
      <c r="E9142">
        <v>9</v>
      </c>
      <c r="F9142">
        <v>1742</v>
      </c>
      <c r="G9142">
        <v>1</v>
      </c>
      <c r="H9142">
        <v>2</v>
      </c>
      <c r="I9142">
        <v>2002</v>
      </c>
      <c r="J9142">
        <v>1</v>
      </c>
      <c r="K9142">
        <v>1</v>
      </c>
      <c r="L9142">
        <v>1</v>
      </c>
      <c r="M9142">
        <v>10</v>
      </c>
      <c r="N9142" t="s">
        <v>26</v>
      </c>
      <c r="O9142" t="s">
        <v>27</v>
      </c>
      <c r="P9142">
        <v>9.4661725458568995</v>
      </c>
      <c r="Q9142">
        <v>0.70335733018015101</v>
      </c>
      <c r="R9142">
        <v>0.69467903189783597</v>
      </c>
      <c r="S9142">
        <v>160</v>
      </c>
      <c r="T9142">
        <v>37</v>
      </c>
      <c r="U9142">
        <v>447.42468228435803</v>
      </c>
      <c r="V9142">
        <v>5.7405281285878296E-3</v>
      </c>
      <c r="W9142">
        <v>1112515.2748596701</v>
      </c>
      <c r="X9142" t="s">
        <v>36</v>
      </c>
      <c r="Y9142">
        <f>1-429-107-4131</f>
        <v>-4666</v>
      </c>
    </row>
    <row r="9143" spans="1:25" x14ac:dyDescent="0.35">
      <c r="A9143">
        <v>39.0134090015815</v>
      </c>
      <c r="B9143">
        <v>-121.96956387276801</v>
      </c>
      <c r="C9143" t="s">
        <v>34</v>
      </c>
      <c r="D9143">
        <v>36.708205718387198</v>
      </c>
      <c r="E9143">
        <v>3</v>
      </c>
      <c r="F9143">
        <v>1053</v>
      </c>
      <c r="G9143">
        <v>2</v>
      </c>
      <c r="H9143">
        <v>2</v>
      </c>
      <c r="I9143">
        <v>1989</v>
      </c>
      <c r="J9143">
        <v>1</v>
      </c>
      <c r="K9143">
        <v>1</v>
      </c>
      <c r="L9143">
        <v>1</v>
      </c>
      <c r="M9143">
        <v>4</v>
      </c>
      <c r="N9143" t="s">
        <v>41</v>
      </c>
      <c r="O9143" t="s">
        <v>27</v>
      </c>
      <c r="P9143">
        <v>11.2025532132848</v>
      </c>
      <c r="Q9143">
        <v>2.0247291000172001</v>
      </c>
      <c r="R9143">
        <v>4.7311121338039204</v>
      </c>
      <c r="S9143">
        <v>73</v>
      </c>
      <c r="T9143">
        <v>37</v>
      </c>
      <c r="U9143">
        <v>511.05870394165299</v>
      </c>
      <c r="V9143">
        <v>3.79867046533713E-3</v>
      </c>
      <c r="W9143">
        <v>871883.65538689401</v>
      </c>
      <c r="X9143" t="s">
        <v>38</v>
      </c>
      <c r="Y9143">
        <f>1-742-917-1920</f>
        <v>-3578</v>
      </c>
    </row>
    <row r="9144" spans="1:25" x14ac:dyDescent="0.35">
      <c r="A9144">
        <v>39.738791112609398</v>
      </c>
      <c r="B9144">
        <v>-119.17492975403999</v>
      </c>
      <c r="C9144" t="s">
        <v>25</v>
      </c>
      <c r="D9144">
        <v>10.9908286561674</v>
      </c>
      <c r="E9144">
        <v>1</v>
      </c>
      <c r="F9144">
        <v>4629</v>
      </c>
      <c r="G9144">
        <v>2</v>
      </c>
      <c r="H9144">
        <v>1</v>
      </c>
      <c r="I9144">
        <v>1978</v>
      </c>
      <c r="J9144">
        <v>0</v>
      </c>
      <c r="K9144">
        <v>0</v>
      </c>
      <c r="L9144">
        <v>1</v>
      </c>
      <c r="M9144">
        <v>7</v>
      </c>
      <c r="N9144" t="s">
        <v>35</v>
      </c>
      <c r="O9144" t="s">
        <v>30</v>
      </c>
      <c r="P9144">
        <v>7.7832467327645896</v>
      </c>
      <c r="Q9144">
        <v>2.0641570124202899</v>
      </c>
      <c r="R9144">
        <v>2.4606993752758499</v>
      </c>
      <c r="S9144">
        <v>146</v>
      </c>
      <c r="T9144">
        <v>58</v>
      </c>
      <c r="U9144">
        <v>938.97601172859504</v>
      </c>
      <c r="V9144">
        <v>1.51220565996975E-3</v>
      </c>
      <c r="W9144">
        <v>4433321.8156724703</v>
      </c>
      <c r="X9144" t="s">
        <v>39</v>
      </c>
      <c r="Y9144">
        <f>1-459-769-5830</f>
        <v>-7057</v>
      </c>
    </row>
    <row r="9145" spans="1:25" x14ac:dyDescent="0.35">
      <c r="A9145">
        <v>38.174374598034902</v>
      </c>
      <c r="B9145">
        <v>-115.675876137876</v>
      </c>
      <c r="C9145" t="s">
        <v>25</v>
      </c>
      <c r="D9145">
        <v>8.6048381984421898</v>
      </c>
      <c r="E9145">
        <v>8</v>
      </c>
      <c r="F9145">
        <v>2546</v>
      </c>
      <c r="G9145">
        <v>5</v>
      </c>
      <c r="H9145">
        <v>1</v>
      </c>
      <c r="I9145">
        <v>1962</v>
      </c>
      <c r="J9145">
        <v>0</v>
      </c>
      <c r="K9145">
        <v>1</v>
      </c>
      <c r="L9145">
        <v>0</v>
      </c>
      <c r="M9145">
        <v>6</v>
      </c>
      <c r="N9145" t="s">
        <v>37</v>
      </c>
      <c r="O9145" t="s">
        <v>27</v>
      </c>
      <c r="P9145">
        <v>11.205262090016801</v>
      </c>
      <c r="Q9145">
        <v>2.40621548465016</v>
      </c>
      <c r="R9145">
        <v>9.8947589367076301</v>
      </c>
      <c r="S9145">
        <v>169</v>
      </c>
      <c r="T9145">
        <v>69</v>
      </c>
      <c r="U9145">
        <v>940.575626321919</v>
      </c>
      <c r="V9145">
        <v>2.3566378633150002E-3</v>
      </c>
      <c r="W9145">
        <v>2725459.85590669</v>
      </c>
      <c r="X9145" t="s">
        <v>39</v>
      </c>
      <c r="Y9145">
        <f>1-417-882-2554</f>
        <v>-3852</v>
      </c>
    </row>
    <row r="9146" spans="1:25" x14ac:dyDescent="0.35">
      <c r="A9146">
        <v>36.948038954248197</v>
      </c>
      <c r="B9146">
        <v>-120.581570901704</v>
      </c>
      <c r="C9146" t="s">
        <v>25</v>
      </c>
      <c r="D9146">
        <v>12.1840740599516</v>
      </c>
      <c r="E9146">
        <v>6</v>
      </c>
      <c r="F9146">
        <v>2013</v>
      </c>
      <c r="G9146">
        <v>2</v>
      </c>
      <c r="H9146">
        <v>2</v>
      </c>
      <c r="I9146">
        <v>1960</v>
      </c>
      <c r="J9146">
        <v>1</v>
      </c>
      <c r="K9146">
        <v>1</v>
      </c>
      <c r="L9146">
        <v>0</v>
      </c>
      <c r="M9146">
        <v>8</v>
      </c>
      <c r="N9146" t="s">
        <v>37</v>
      </c>
      <c r="O9146" t="s">
        <v>27</v>
      </c>
      <c r="P9146">
        <v>7.9695643880929401</v>
      </c>
      <c r="Q9146">
        <v>1.43331065411919</v>
      </c>
      <c r="R9146">
        <v>0.43701307628791097</v>
      </c>
      <c r="S9146">
        <v>72</v>
      </c>
      <c r="T9146">
        <v>31</v>
      </c>
      <c r="U9146">
        <v>605.30733565067897</v>
      </c>
      <c r="V9146">
        <v>3.9741679085941303E-3</v>
      </c>
      <c r="W9146">
        <v>1467010.22438911</v>
      </c>
      <c r="X9146" t="s">
        <v>43</v>
      </c>
      <c r="Y9146">
        <f>1-650-262-2983</f>
        <v>-3894</v>
      </c>
    </row>
    <row r="9147" spans="1:25" x14ac:dyDescent="0.35">
      <c r="A9147">
        <v>34.753218783502398</v>
      </c>
      <c r="B9147">
        <v>-119.25620523684201</v>
      </c>
      <c r="C9147" t="s">
        <v>34</v>
      </c>
      <c r="D9147">
        <v>42.826105802984998</v>
      </c>
      <c r="E9147">
        <v>7</v>
      </c>
      <c r="F9147">
        <v>3612</v>
      </c>
      <c r="G9147">
        <v>3</v>
      </c>
      <c r="H9147">
        <v>2</v>
      </c>
      <c r="I9147">
        <v>1974</v>
      </c>
      <c r="J9147">
        <v>1</v>
      </c>
      <c r="K9147">
        <v>1</v>
      </c>
      <c r="L9147">
        <v>1</v>
      </c>
      <c r="M9147">
        <v>10</v>
      </c>
      <c r="N9147" t="s">
        <v>37</v>
      </c>
      <c r="O9147" t="s">
        <v>30</v>
      </c>
      <c r="P9147">
        <v>14.320245979960401</v>
      </c>
      <c r="Q9147">
        <v>1.27878331730673</v>
      </c>
      <c r="R9147">
        <v>0.18952325547611501</v>
      </c>
      <c r="S9147">
        <v>101</v>
      </c>
      <c r="T9147">
        <v>56</v>
      </c>
      <c r="U9147">
        <v>990.60403135025797</v>
      </c>
      <c r="V9147">
        <v>2.76854928017718E-3</v>
      </c>
      <c r="W9147">
        <v>4004981.7645876799</v>
      </c>
      <c r="X9147" t="s">
        <v>42</v>
      </c>
      <c r="Y9147">
        <f>1-781-258-7142</f>
        <v>-8180</v>
      </c>
    </row>
    <row r="9148" spans="1:25" x14ac:dyDescent="0.35">
      <c r="A9148">
        <v>35.545408029986099</v>
      </c>
      <c r="B9148">
        <v>-118.47442266558799</v>
      </c>
      <c r="C9148" t="s">
        <v>29</v>
      </c>
      <c r="D9148">
        <v>25.2117536433847</v>
      </c>
      <c r="E9148">
        <v>8</v>
      </c>
      <c r="F9148">
        <v>3766</v>
      </c>
      <c r="G9148">
        <v>3</v>
      </c>
      <c r="H9148">
        <v>1</v>
      </c>
      <c r="I9148">
        <v>1983</v>
      </c>
      <c r="J9148">
        <v>1</v>
      </c>
      <c r="K9148">
        <v>1</v>
      </c>
      <c r="L9148">
        <v>0</v>
      </c>
      <c r="M9148">
        <v>8</v>
      </c>
      <c r="N9148" t="s">
        <v>41</v>
      </c>
      <c r="O9148" t="s">
        <v>27</v>
      </c>
      <c r="P9148">
        <v>12.603172154004399</v>
      </c>
      <c r="Q9148">
        <v>1.0293919516032</v>
      </c>
      <c r="R9148">
        <v>0.84455929175639</v>
      </c>
      <c r="S9148">
        <v>144</v>
      </c>
      <c r="T9148">
        <v>50</v>
      </c>
      <c r="U9148">
        <v>714.01871058404595</v>
      </c>
      <c r="V9148">
        <v>2.1242697822623398E-3</v>
      </c>
      <c r="W9148">
        <v>3022858.0936926999</v>
      </c>
      <c r="X9148" t="s">
        <v>38</v>
      </c>
      <c r="Y9148">
        <f>1-513-989-6634</f>
        <v>-8135</v>
      </c>
    </row>
    <row r="9149" spans="1:25" x14ac:dyDescent="0.35">
      <c r="A9149">
        <v>40.457194541699003</v>
      </c>
      <c r="B9149">
        <v>-114.51065550405799</v>
      </c>
      <c r="C9149" t="s">
        <v>29</v>
      </c>
      <c r="D9149">
        <v>13.232604089791201</v>
      </c>
      <c r="E9149">
        <v>7</v>
      </c>
      <c r="F9149">
        <v>2004</v>
      </c>
      <c r="G9149">
        <v>2</v>
      </c>
      <c r="H9149">
        <v>3</v>
      </c>
      <c r="I9149">
        <v>1991</v>
      </c>
      <c r="J9149">
        <v>1</v>
      </c>
      <c r="K9149">
        <v>1</v>
      </c>
      <c r="L9149">
        <v>0</v>
      </c>
      <c r="M9149">
        <v>6</v>
      </c>
      <c r="N9149" t="s">
        <v>35</v>
      </c>
      <c r="O9149" t="s">
        <v>27</v>
      </c>
      <c r="P9149">
        <v>10.455972963282001</v>
      </c>
      <c r="Q9149">
        <v>1.3544930073824599</v>
      </c>
      <c r="R9149">
        <v>9.0340107920511699</v>
      </c>
      <c r="S9149">
        <v>64</v>
      </c>
      <c r="T9149">
        <v>75</v>
      </c>
      <c r="U9149">
        <v>467.42105596594899</v>
      </c>
      <c r="V9149">
        <v>2.9940119760479E-3</v>
      </c>
      <c r="W9149">
        <v>1372400.7850881901</v>
      </c>
      <c r="X9149" t="s">
        <v>38</v>
      </c>
      <c r="Y9149">
        <f>1-611-419-4971</f>
        <v>-6000</v>
      </c>
    </row>
    <row r="9150" spans="1:25" x14ac:dyDescent="0.35">
      <c r="A9150">
        <v>37.074268298414701</v>
      </c>
      <c r="B9150">
        <v>-120.467712919121</v>
      </c>
      <c r="C9150" t="s">
        <v>25</v>
      </c>
      <c r="D9150">
        <v>25.3126874085027</v>
      </c>
      <c r="E9150">
        <v>3</v>
      </c>
      <c r="F9150">
        <v>2187</v>
      </c>
      <c r="G9150">
        <v>5</v>
      </c>
      <c r="H9150">
        <v>3</v>
      </c>
      <c r="I9150">
        <v>1992</v>
      </c>
      <c r="J9150">
        <v>1</v>
      </c>
      <c r="K9150">
        <v>0</v>
      </c>
      <c r="L9150">
        <v>0</v>
      </c>
      <c r="M9150">
        <v>8</v>
      </c>
      <c r="N9150" t="s">
        <v>26</v>
      </c>
      <c r="O9150" t="s">
        <v>27</v>
      </c>
      <c r="P9150">
        <v>11.1311135944278</v>
      </c>
      <c r="Q9150">
        <v>1.50842444654809</v>
      </c>
      <c r="R9150">
        <v>4.9970162149708299</v>
      </c>
      <c r="S9150">
        <v>26</v>
      </c>
      <c r="T9150">
        <v>63</v>
      </c>
      <c r="U9150">
        <v>322.43526320914702</v>
      </c>
      <c r="V9150">
        <v>3.6579789666209401E-3</v>
      </c>
      <c r="W9150">
        <v>1206075.2274487601</v>
      </c>
      <c r="X9150" t="s">
        <v>40</v>
      </c>
      <c r="Y9150">
        <f>1-842-166-3641</f>
        <v>-4648</v>
      </c>
    </row>
    <row r="9151" spans="1:25" x14ac:dyDescent="0.35">
      <c r="A9151">
        <v>40.981010368579199</v>
      </c>
      <c r="B9151">
        <v>-120.575003323827</v>
      </c>
      <c r="C9151" t="s">
        <v>29</v>
      </c>
      <c r="D9151">
        <v>35.902304695129402</v>
      </c>
      <c r="E9151">
        <v>4</v>
      </c>
      <c r="F9151">
        <v>1063</v>
      </c>
      <c r="G9151">
        <v>2</v>
      </c>
      <c r="H9151">
        <v>1</v>
      </c>
      <c r="I9151">
        <v>2005</v>
      </c>
      <c r="J9151">
        <v>1</v>
      </c>
      <c r="K9151">
        <v>0</v>
      </c>
      <c r="L9151">
        <v>0</v>
      </c>
      <c r="M9151">
        <v>11</v>
      </c>
      <c r="N9151" t="s">
        <v>41</v>
      </c>
      <c r="O9151" t="s">
        <v>30</v>
      </c>
      <c r="P9151">
        <v>7.7201624232960002</v>
      </c>
      <c r="Q9151">
        <v>0.59026062708639604</v>
      </c>
      <c r="R9151">
        <v>1.22332012438499</v>
      </c>
      <c r="S9151">
        <v>172</v>
      </c>
      <c r="T9151">
        <v>70</v>
      </c>
      <c r="U9151">
        <v>518.59309359468796</v>
      </c>
      <c r="V9151">
        <v>1.03480714957666E-2</v>
      </c>
      <c r="W9151">
        <v>671443.311088908</v>
      </c>
      <c r="X9151" t="s">
        <v>38</v>
      </c>
      <c r="Y9151">
        <f>1-758-840-8898</f>
        <v>-10495</v>
      </c>
    </row>
    <row r="9152" spans="1:25" x14ac:dyDescent="0.35">
      <c r="A9152">
        <v>37.4793879126468</v>
      </c>
      <c r="B9152">
        <v>-117.913790074361</v>
      </c>
      <c r="C9152" t="s">
        <v>29</v>
      </c>
      <c r="D9152">
        <v>4.8225319914249098</v>
      </c>
      <c r="E9152">
        <v>3</v>
      </c>
      <c r="F9152">
        <v>2537</v>
      </c>
      <c r="G9152">
        <v>5</v>
      </c>
      <c r="H9152">
        <v>1</v>
      </c>
      <c r="I9152">
        <v>2005</v>
      </c>
      <c r="J9152">
        <v>0</v>
      </c>
      <c r="K9152">
        <v>0</v>
      </c>
      <c r="L9152">
        <v>1</v>
      </c>
      <c r="M9152">
        <v>7</v>
      </c>
      <c r="N9152" t="s">
        <v>26</v>
      </c>
      <c r="O9152" t="s">
        <v>32</v>
      </c>
      <c r="P9152">
        <v>4.2059623782194002</v>
      </c>
      <c r="Q9152">
        <v>2.2849885364143598</v>
      </c>
      <c r="R9152">
        <v>5.2535403174715798</v>
      </c>
      <c r="S9152">
        <v>6</v>
      </c>
      <c r="T9152">
        <v>79</v>
      </c>
      <c r="U9152">
        <v>857.98566568271804</v>
      </c>
      <c r="V9152">
        <v>2.7591643673630199E-3</v>
      </c>
      <c r="W9152">
        <v>2412844.7795226001</v>
      </c>
      <c r="X9152" t="s">
        <v>44</v>
      </c>
      <c r="Y9152">
        <f>1-264-755-9490</f>
        <v>-10508</v>
      </c>
    </row>
    <row r="9153" spans="1:25" x14ac:dyDescent="0.35">
      <c r="A9153">
        <v>39.542510868485401</v>
      </c>
      <c r="B9153">
        <v>-115.39458338417199</v>
      </c>
      <c r="C9153" t="s">
        <v>29</v>
      </c>
      <c r="D9153">
        <v>41.054533252149596</v>
      </c>
      <c r="E9153">
        <v>6</v>
      </c>
      <c r="F9153">
        <v>1648</v>
      </c>
      <c r="G9153">
        <v>4</v>
      </c>
      <c r="H9153">
        <v>2</v>
      </c>
      <c r="I9153">
        <v>1963</v>
      </c>
      <c r="J9153">
        <v>0</v>
      </c>
      <c r="K9153">
        <v>0</v>
      </c>
      <c r="L9153">
        <v>0</v>
      </c>
      <c r="M9153">
        <v>8</v>
      </c>
      <c r="N9153" t="s">
        <v>26</v>
      </c>
      <c r="O9153" t="s">
        <v>27</v>
      </c>
      <c r="P9153">
        <v>4.2795262855432501</v>
      </c>
      <c r="Q9153">
        <v>0.82269803158307497</v>
      </c>
      <c r="R9153">
        <v>7.1790865529768704</v>
      </c>
      <c r="S9153">
        <v>41</v>
      </c>
      <c r="T9153">
        <v>30</v>
      </c>
      <c r="U9153">
        <v>820.55989770758799</v>
      </c>
      <c r="V9153">
        <v>4.8543689320388302E-3</v>
      </c>
      <c r="W9153">
        <v>1526434.66210408</v>
      </c>
      <c r="X9153" t="s">
        <v>40</v>
      </c>
      <c r="Y9153">
        <f>1-541-454-7858</f>
        <v>-8852</v>
      </c>
    </row>
    <row r="9154" spans="1:25" x14ac:dyDescent="0.35">
      <c r="A9154">
        <v>37.202058827661503</v>
      </c>
      <c r="B9154">
        <v>-118.777870612809</v>
      </c>
      <c r="C9154" t="s">
        <v>25</v>
      </c>
      <c r="D9154">
        <v>13.9291869032911</v>
      </c>
      <c r="E9154">
        <v>0</v>
      </c>
      <c r="F9154">
        <v>3554</v>
      </c>
      <c r="G9154">
        <v>1</v>
      </c>
      <c r="H9154">
        <v>2</v>
      </c>
      <c r="I9154">
        <v>2003</v>
      </c>
      <c r="J9154">
        <v>0</v>
      </c>
      <c r="K9154">
        <v>1</v>
      </c>
      <c r="L9154">
        <v>0</v>
      </c>
      <c r="M9154">
        <v>5</v>
      </c>
      <c r="N9154" t="s">
        <v>37</v>
      </c>
      <c r="O9154" t="s">
        <v>30</v>
      </c>
      <c r="P9154">
        <v>3.6542248391610301</v>
      </c>
      <c r="Q9154">
        <v>0.84090222110638702</v>
      </c>
      <c r="R9154">
        <v>3.2643290672562499</v>
      </c>
      <c r="S9154">
        <v>195</v>
      </c>
      <c r="T9154">
        <v>22</v>
      </c>
      <c r="U9154">
        <v>880.63083743849495</v>
      </c>
      <c r="V9154">
        <v>1.40686550365785E-3</v>
      </c>
      <c r="W9154">
        <v>3306346.1595723401</v>
      </c>
      <c r="X9154" t="s">
        <v>36</v>
      </c>
      <c r="Y9154">
        <f>1-439-768-5006</f>
        <v>-6212</v>
      </c>
    </row>
    <row r="9155" spans="1:25" x14ac:dyDescent="0.35">
      <c r="A9155">
        <v>36.276829477343398</v>
      </c>
      <c r="B9155">
        <v>-114.915748162399</v>
      </c>
      <c r="C9155" t="s">
        <v>25</v>
      </c>
      <c r="D9155">
        <v>14.739548592201499</v>
      </c>
      <c r="E9155">
        <v>7</v>
      </c>
      <c r="F9155">
        <v>2102</v>
      </c>
      <c r="G9155">
        <v>5</v>
      </c>
      <c r="H9155">
        <v>2</v>
      </c>
      <c r="I9155">
        <v>1986</v>
      </c>
      <c r="J9155">
        <v>0</v>
      </c>
      <c r="K9155">
        <v>0</v>
      </c>
      <c r="L9155">
        <v>0</v>
      </c>
      <c r="M9155">
        <v>13</v>
      </c>
      <c r="N9155" t="s">
        <v>37</v>
      </c>
      <c r="O9155" t="s">
        <v>27</v>
      </c>
      <c r="P9155">
        <v>2.3836069359330101</v>
      </c>
      <c r="Q9155">
        <v>1.0887512692390799</v>
      </c>
      <c r="R9155">
        <v>6.0175901013880404</v>
      </c>
      <c r="S9155">
        <v>99</v>
      </c>
      <c r="T9155">
        <v>57</v>
      </c>
      <c r="U9155">
        <v>891.48518759187095</v>
      </c>
      <c r="V9155">
        <v>6.1845861084681196E-3</v>
      </c>
      <c r="W9155">
        <v>2058896.5382181499</v>
      </c>
      <c r="X9155" t="s">
        <v>33</v>
      </c>
      <c r="Y9155">
        <f>1-276-292-6318</f>
        <v>-6885</v>
      </c>
    </row>
    <row r="9156" spans="1:25" x14ac:dyDescent="0.35">
      <c r="A9156">
        <v>41.186877702358998</v>
      </c>
      <c r="B9156">
        <v>-119.11249923998299</v>
      </c>
      <c r="C9156" t="s">
        <v>34</v>
      </c>
      <c r="D9156">
        <v>40.8016821544092</v>
      </c>
      <c r="E9156">
        <v>4</v>
      </c>
      <c r="F9156">
        <v>1008</v>
      </c>
      <c r="G9156">
        <v>1</v>
      </c>
      <c r="H9156">
        <v>2</v>
      </c>
      <c r="I9156">
        <v>1978</v>
      </c>
      <c r="J9156">
        <v>0</v>
      </c>
      <c r="K9156">
        <v>1</v>
      </c>
      <c r="L9156">
        <v>1</v>
      </c>
      <c r="M9156">
        <v>3</v>
      </c>
      <c r="N9156" t="s">
        <v>26</v>
      </c>
      <c r="O9156" t="s">
        <v>32</v>
      </c>
      <c r="P9156">
        <v>14.1187667239522</v>
      </c>
      <c r="Q9156">
        <v>2.09325942083405</v>
      </c>
      <c r="R9156">
        <v>6.8031743858040699</v>
      </c>
      <c r="S9156">
        <v>181</v>
      </c>
      <c r="T9156">
        <v>28</v>
      </c>
      <c r="U9156">
        <v>313.151885032059</v>
      </c>
      <c r="V9156">
        <v>2.97619047619047E-3</v>
      </c>
      <c r="W9156">
        <v>549337.00877956895</v>
      </c>
      <c r="X9156" t="s">
        <v>36</v>
      </c>
      <c r="Y9156">
        <f>1-385-650-7097</f>
        <v>-8131</v>
      </c>
    </row>
    <row r="9157" spans="1:25" x14ac:dyDescent="0.35">
      <c r="A9157">
        <v>37.674689078385697</v>
      </c>
      <c r="B9157">
        <v>-118.420531537936</v>
      </c>
      <c r="C9157" t="s">
        <v>25</v>
      </c>
      <c r="D9157">
        <v>13.4074959382367</v>
      </c>
      <c r="E9157">
        <v>5</v>
      </c>
      <c r="F9157">
        <v>1806</v>
      </c>
      <c r="G9157">
        <v>3</v>
      </c>
      <c r="H9157">
        <v>1</v>
      </c>
      <c r="I9157">
        <v>1966</v>
      </c>
      <c r="J9157">
        <v>1</v>
      </c>
      <c r="K9157">
        <v>0</v>
      </c>
      <c r="L9157">
        <v>0</v>
      </c>
      <c r="M9157">
        <v>7</v>
      </c>
      <c r="N9157" t="s">
        <v>41</v>
      </c>
      <c r="O9157" t="s">
        <v>27</v>
      </c>
      <c r="P9157">
        <v>10.226755687674601</v>
      </c>
      <c r="Q9157">
        <v>1.91045514651764</v>
      </c>
      <c r="R9157">
        <v>1.4854039535335699</v>
      </c>
      <c r="S9157">
        <v>45</v>
      </c>
      <c r="T9157">
        <v>62</v>
      </c>
      <c r="U9157">
        <v>496.11870542080499</v>
      </c>
      <c r="V9157">
        <v>3.8759689922480598E-3</v>
      </c>
      <c r="W9157">
        <v>1123730.6791737699</v>
      </c>
      <c r="X9157" t="s">
        <v>31</v>
      </c>
      <c r="Y9157">
        <f>1-666-846-7442</f>
        <v>-8953</v>
      </c>
    </row>
    <row r="9158" spans="1:25" x14ac:dyDescent="0.35">
      <c r="A9158">
        <v>40.466372593568501</v>
      </c>
      <c r="B9158">
        <v>-123.457128048852</v>
      </c>
      <c r="C9158" t="s">
        <v>29</v>
      </c>
      <c r="D9158">
        <v>14.0314755796485</v>
      </c>
      <c r="E9158">
        <v>8</v>
      </c>
      <c r="F9158">
        <v>4187</v>
      </c>
      <c r="G9158">
        <v>3</v>
      </c>
      <c r="H9158">
        <v>2</v>
      </c>
      <c r="I9158">
        <v>1951</v>
      </c>
      <c r="J9158">
        <v>0</v>
      </c>
      <c r="K9158">
        <v>1</v>
      </c>
      <c r="L9158">
        <v>0</v>
      </c>
      <c r="M9158">
        <v>9</v>
      </c>
      <c r="N9158" t="s">
        <v>26</v>
      </c>
      <c r="O9158" t="s">
        <v>32</v>
      </c>
      <c r="P9158">
        <v>6.2734509884951004</v>
      </c>
      <c r="Q9158">
        <v>2.16097038504854</v>
      </c>
      <c r="R9158">
        <v>0.75974001097864396</v>
      </c>
      <c r="S9158">
        <v>18</v>
      </c>
      <c r="T9158">
        <v>56</v>
      </c>
      <c r="U9158">
        <v>711.51697590655795</v>
      </c>
      <c r="V9158">
        <v>2.14951038930021E-3</v>
      </c>
      <c r="W9158">
        <v>3269338.8338887999</v>
      </c>
      <c r="X9158" t="s">
        <v>44</v>
      </c>
      <c r="Y9158">
        <f>1-629-505-9738</f>
        <v>-10871</v>
      </c>
    </row>
    <row r="9159" spans="1:25" x14ac:dyDescent="0.35">
      <c r="A9159">
        <v>41.224006233231201</v>
      </c>
      <c r="B9159">
        <v>-117.988566261895</v>
      </c>
      <c r="C9159" t="s">
        <v>25</v>
      </c>
      <c r="D9159">
        <v>1.1662596656065001</v>
      </c>
      <c r="E9159">
        <v>1</v>
      </c>
      <c r="F9159">
        <v>3974</v>
      </c>
      <c r="G9159">
        <v>5</v>
      </c>
      <c r="H9159">
        <v>2</v>
      </c>
      <c r="I9159">
        <v>1975</v>
      </c>
      <c r="J9159">
        <v>0</v>
      </c>
      <c r="K9159">
        <v>1</v>
      </c>
      <c r="L9159">
        <v>1</v>
      </c>
      <c r="M9159">
        <v>6</v>
      </c>
      <c r="N9159" t="s">
        <v>35</v>
      </c>
      <c r="O9159" t="s">
        <v>27</v>
      </c>
      <c r="P9159">
        <v>11.4226630888</v>
      </c>
      <c r="Q9159">
        <v>1.2796034105366101</v>
      </c>
      <c r="R9159">
        <v>2.43056894681275</v>
      </c>
      <c r="S9159">
        <v>12</v>
      </c>
      <c r="T9159">
        <v>43</v>
      </c>
      <c r="U9159">
        <v>227.14590021530199</v>
      </c>
      <c r="V9159">
        <v>1.50981378963261E-3</v>
      </c>
      <c r="W9159">
        <v>1383044.9948813301</v>
      </c>
      <c r="X9159" t="s">
        <v>44</v>
      </c>
      <c r="Y9159">
        <f>1-868-799-2844</f>
        <v>-4510</v>
      </c>
    </row>
    <row r="9160" spans="1:25" x14ac:dyDescent="0.35">
      <c r="A9160">
        <v>41.5839592025429</v>
      </c>
      <c r="B9160">
        <v>-120.00479617481</v>
      </c>
      <c r="C9160" t="s">
        <v>29</v>
      </c>
      <c r="D9160">
        <v>13.1869678489139</v>
      </c>
      <c r="E9160">
        <v>8</v>
      </c>
      <c r="F9160">
        <v>3033</v>
      </c>
      <c r="G9160">
        <v>5</v>
      </c>
      <c r="H9160">
        <v>1</v>
      </c>
      <c r="I9160">
        <v>1984</v>
      </c>
      <c r="J9160">
        <v>0</v>
      </c>
      <c r="K9160">
        <v>0</v>
      </c>
      <c r="L9160">
        <v>0</v>
      </c>
      <c r="M9160">
        <v>8</v>
      </c>
      <c r="N9160" t="s">
        <v>35</v>
      </c>
      <c r="O9160" t="s">
        <v>30</v>
      </c>
      <c r="P9160">
        <v>11.877650541603099</v>
      </c>
      <c r="Q9160">
        <v>0.75551588958490301</v>
      </c>
      <c r="R9160">
        <v>6.2243541439484398</v>
      </c>
      <c r="S9160">
        <v>7</v>
      </c>
      <c r="T9160">
        <v>56</v>
      </c>
      <c r="U9160">
        <v>567.48187934503005</v>
      </c>
      <c r="V9160">
        <v>2.6376524892845299E-3</v>
      </c>
      <c r="W9160">
        <v>1975188.57100017</v>
      </c>
      <c r="X9160" t="s">
        <v>44</v>
      </c>
      <c r="Y9160">
        <f>1-550-628-6531</f>
        <v>-7708</v>
      </c>
    </row>
    <row r="9161" spans="1:25" x14ac:dyDescent="0.35">
      <c r="A9161">
        <v>37.906944721665703</v>
      </c>
      <c r="B9161">
        <v>-115.232299052253</v>
      </c>
      <c r="C9161" t="s">
        <v>34</v>
      </c>
      <c r="D9161">
        <v>36.494208788965103</v>
      </c>
      <c r="E9161">
        <v>0</v>
      </c>
      <c r="F9161">
        <v>908</v>
      </c>
      <c r="G9161">
        <v>1</v>
      </c>
      <c r="H9161">
        <v>3</v>
      </c>
      <c r="I9161">
        <v>2008</v>
      </c>
      <c r="J9161">
        <v>0</v>
      </c>
      <c r="K9161">
        <v>1</v>
      </c>
      <c r="L9161">
        <v>0</v>
      </c>
      <c r="M9161">
        <v>8</v>
      </c>
      <c r="N9161" t="s">
        <v>35</v>
      </c>
      <c r="O9161" t="s">
        <v>30</v>
      </c>
      <c r="P9161">
        <v>4.0896499227197403</v>
      </c>
      <c r="Q9161">
        <v>2.0633283870277501</v>
      </c>
      <c r="R9161">
        <v>7.9698740523196303</v>
      </c>
      <c r="S9161">
        <v>133</v>
      </c>
      <c r="T9161">
        <v>76</v>
      </c>
      <c r="U9161">
        <v>759.44434899228497</v>
      </c>
      <c r="V9161">
        <v>8.8105726872246704E-3</v>
      </c>
      <c r="W9161">
        <v>830883.98974357697</v>
      </c>
      <c r="X9161" t="s">
        <v>38</v>
      </c>
      <c r="Y9161">
        <f>1-381-649-5379</f>
        <v>-6408</v>
      </c>
    </row>
    <row r="9162" spans="1:25" x14ac:dyDescent="0.35">
      <c r="A9162">
        <v>41.9877043877337</v>
      </c>
      <c r="B9162">
        <v>-114.94800187918599</v>
      </c>
      <c r="C9162" t="s">
        <v>34</v>
      </c>
      <c r="D9162">
        <v>45.361597260293898</v>
      </c>
      <c r="E9162">
        <v>9</v>
      </c>
      <c r="F9162">
        <v>1179</v>
      </c>
      <c r="G9162">
        <v>2</v>
      </c>
      <c r="H9162">
        <v>1</v>
      </c>
      <c r="I9162">
        <v>1985</v>
      </c>
      <c r="J9162">
        <v>1</v>
      </c>
      <c r="K9162">
        <v>0</v>
      </c>
      <c r="L9162">
        <v>0</v>
      </c>
      <c r="M9162">
        <v>3</v>
      </c>
      <c r="N9162" t="s">
        <v>37</v>
      </c>
      <c r="O9162" t="s">
        <v>27</v>
      </c>
      <c r="P9162">
        <v>11.9990416957927</v>
      </c>
      <c r="Q9162">
        <v>1.2181669754072599</v>
      </c>
      <c r="R9162">
        <v>8.9276782876536895</v>
      </c>
      <c r="S9162">
        <v>196</v>
      </c>
      <c r="T9162">
        <v>43</v>
      </c>
      <c r="U9162">
        <v>986.36463185140406</v>
      </c>
      <c r="V9162">
        <v>2.5445292620865098E-3</v>
      </c>
      <c r="W9162">
        <v>1420323.9476325701</v>
      </c>
      <c r="X9162" t="s">
        <v>38</v>
      </c>
      <c r="Y9162">
        <f>1-689-164-8979</f>
        <v>-9831</v>
      </c>
    </row>
    <row r="9163" spans="1:25" x14ac:dyDescent="0.35">
      <c r="A9163">
        <v>38.497775635848399</v>
      </c>
      <c r="B9163">
        <v>-121.357033670447</v>
      </c>
      <c r="C9163" t="s">
        <v>25</v>
      </c>
      <c r="D9163">
        <v>27.231079964469501</v>
      </c>
      <c r="E9163">
        <v>0</v>
      </c>
      <c r="F9163">
        <v>3768</v>
      </c>
      <c r="G9163">
        <v>2</v>
      </c>
      <c r="H9163">
        <v>2</v>
      </c>
      <c r="I9163">
        <v>2021</v>
      </c>
      <c r="J9163">
        <v>0</v>
      </c>
      <c r="K9163">
        <v>1</v>
      </c>
      <c r="L9163">
        <v>1</v>
      </c>
      <c r="M9163">
        <v>14</v>
      </c>
      <c r="N9163" t="s">
        <v>35</v>
      </c>
      <c r="O9163" t="s">
        <v>27</v>
      </c>
      <c r="P9163">
        <v>8.2602729160749</v>
      </c>
      <c r="Q9163">
        <v>2.4954920997003001</v>
      </c>
      <c r="R9163">
        <v>8.8344820640023496</v>
      </c>
      <c r="S9163">
        <v>152</v>
      </c>
      <c r="T9163">
        <v>36</v>
      </c>
      <c r="U9163">
        <v>710.159082714737</v>
      </c>
      <c r="V9163">
        <v>3.71549893842887E-3</v>
      </c>
      <c r="W9163">
        <v>2936160.0328287398</v>
      </c>
      <c r="X9163" t="s">
        <v>36</v>
      </c>
      <c r="Y9163">
        <f>1-694-884-7694</f>
        <v>-9271</v>
      </c>
    </row>
    <row r="9164" spans="1:25" x14ac:dyDescent="0.35">
      <c r="A9164">
        <v>34.622885617156697</v>
      </c>
      <c r="B9164">
        <v>-123.691197644453</v>
      </c>
      <c r="C9164" t="s">
        <v>34</v>
      </c>
      <c r="D9164">
        <v>4.1626947273734398</v>
      </c>
      <c r="E9164">
        <v>6</v>
      </c>
      <c r="F9164">
        <v>4319</v>
      </c>
      <c r="G9164">
        <v>1</v>
      </c>
      <c r="H9164">
        <v>3</v>
      </c>
      <c r="I9164">
        <v>1986</v>
      </c>
      <c r="J9164">
        <v>1</v>
      </c>
      <c r="K9164">
        <v>0</v>
      </c>
      <c r="L9164">
        <v>1</v>
      </c>
      <c r="M9164">
        <v>10</v>
      </c>
      <c r="N9164" t="s">
        <v>41</v>
      </c>
      <c r="O9164" t="s">
        <v>27</v>
      </c>
      <c r="P9164">
        <v>13.8749947143718</v>
      </c>
      <c r="Q9164">
        <v>2.4661705511100802</v>
      </c>
      <c r="R9164">
        <v>7.8046000812019303</v>
      </c>
      <c r="S9164">
        <v>166</v>
      </c>
      <c r="T9164">
        <v>27</v>
      </c>
      <c r="U9164">
        <v>929.68512071260295</v>
      </c>
      <c r="V9164">
        <v>2.3153507756425002E-3</v>
      </c>
      <c r="W9164">
        <v>4248058.9689640896</v>
      </c>
      <c r="X9164" t="s">
        <v>28</v>
      </c>
      <c r="Y9164">
        <f>1-437-924-8343</f>
        <v>-9703</v>
      </c>
    </row>
    <row r="9165" spans="1:25" x14ac:dyDescent="0.35">
      <c r="A9165">
        <v>37.272242359358401</v>
      </c>
      <c r="B9165">
        <v>-118.27936654629301</v>
      </c>
      <c r="C9165" t="s">
        <v>34</v>
      </c>
      <c r="D9165">
        <v>38.409477934932497</v>
      </c>
      <c r="E9165">
        <v>8</v>
      </c>
      <c r="F9165">
        <v>4154</v>
      </c>
      <c r="G9165">
        <v>2</v>
      </c>
      <c r="H9165">
        <v>2</v>
      </c>
      <c r="I9165">
        <v>2012</v>
      </c>
      <c r="J9165">
        <v>0</v>
      </c>
      <c r="K9165">
        <v>0</v>
      </c>
      <c r="L9165">
        <v>1</v>
      </c>
      <c r="M9165">
        <v>7</v>
      </c>
      <c r="N9165" t="s">
        <v>35</v>
      </c>
      <c r="O9165" t="s">
        <v>30</v>
      </c>
      <c r="P9165">
        <v>11.2012857244085</v>
      </c>
      <c r="Q9165">
        <v>1.54172075801255</v>
      </c>
      <c r="R9165">
        <v>1.70899977190315</v>
      </c>
      <c r="S9165">
        <v>89</v>
      </c>
      <c r="T9165">
        <v>47</v>
      </c>
      <c r="U9165">
        <v>825.28342319774003</v>
      </c>
      <c r="V9165">
        <v>1.68512277323062E-3</v>
      </c>
      <c r="W9165">
        <v>3696375.3810051801</v>
      </c>
      <c r="X9165" t="s">
        <v>38</v>
      </c>
      <c r="Y9165">
        <f>1-829-255-1815</f>
        <v>-2898</v>
      </c>
    </row>
    <row r="9166" spans="1:25" x14ac:dyDescent="0.35">
      <c r="A9166">
        <v>37.829212118405003</v>
      </c>
      <c r="B9166">
        <v>-119.14217726784599</v>
      </c>
      <c r="C9166" t="s">
        <v>25</v>
      </c>
      <c r="D9166">
        <v>41.569180929211299</v>
      </c>
      <c r="E9166">
        <v>4</v>
      </c>
      <c r="F9166">
        <v>4483</v>
      </c>
      <c r="G9166">
        <v>4</v>
      </c>
      <c r="H9166">
        <v>3</v>
      </c>
      <c r="I9166">
        <v>2014</v>
      </c>
      <c r="J9166">
        <v>1</v>
      </c>
      <c r="K9166">
        <v>0</v>
      </c>
      <c r="L9166">
        <v>1</v>
      </c>
      <c r="M9166">
        <v>10</v>
      </c>
      <c r="N9166" t="s">
        <v>35</v>
      </c>
      <c r="O9166" t="s">
        <v>27</v>
      </c>
      <c r="P9166">
        <v>6.39648499791479</v>
      </c>
      <c r="Q9166">
        <v>1.5727943811949301</v>
      </c>
      <c r="R9166">
        <v>3.9324192111979799</v>
      </c>
      <c r="S9166">
        <v>82</v>
      </c>
      <c r="T9166">
        <v>24</v>
      </c>
      <c r="U9166">
        <v>256.15170776462901</v>
      </c>
      <c r="V9166">
        <v>2.2306491188935902E-3</v>
      </c>
      <c r="W9166">
        <v>1466160.5929624799</v>
      </c>
      <c r="X9166" t="s">
        <v>36</v>
      </c>
      <c r="Y9166">
        <f>1-580-735-1182</f>
        <v>-2496</v>
      </c>
    </row>
    <row r="9167" spans="1:25" x14ac:dyDescent="0.35">
      <c r="A9167">
        <v>40.490766097748903</v>
      </c>
      <c r="B9167">
        <v>-120.41796523039901</v>
      </c>
      <c r="C9167" t="s">
        <v>25</v>
      </c>
      <c r="D9167">
        <v>24.951943883665098</v>
      </c>
      <c r="E9167">
        <v>6</v>
      </c>
      <c r="F9167">
        <v>4322</v>
      </c>
      <c r="G9167">
        <v>3</v>
      </c>
      <c r="H9167">
        <v>1</v>
      </c>
      <c r="I9167">
        <v>2007</v>
      </c>
      <c r="J9167">
        <v>0</v>
      </c>
      <c r="K9167">
        <v>1</v>
      </c>
      <c r="L9167">
        <v>0</v>
      </c>
      <c r="M9167">
        <v>10</v>
      </c>
      <c r="N9167" t="s">
        <v>37</v>
      </c>
      <c r="O9167" t="s">
        <v>32</v>
      </c>
      <c r="P9167">
        <v>14.190490618378201</v>
      </c>
      <c r="Q9167">
        <v>0.88781965159001697</v>
      </c>
      <c r="R9167">
        <v>9.6858156944724207</v>
      </c>
      <c r="S9167">
        <v>185</v>
      </c>
      <c r="T9167">
        <v>76</v>
      </c>
      <c r="U9167">
        <v>677.93211365217201</v>
      </c>
      <c r="V9167">
        <v>2.3137436372049902E-3</v>
      </c>
      <c r="W9167">
        <v>3187760.36293669</v>
      </c>
      <c r="X9167" t="s">
        <v>39</v>
      </c>
      <c r="Y9167">
        <f>1-925-128-2610</f>
        <v>-3662</v>
      </c>
    </row>
    <row r="9168" spans="1:25" x14ac:dyDescent="0.35">
      <c r="A9168">
        <v>41.551214186364298</v>
      </c>
      <c r="B9168">
        <v>-120.88304827643699</v>
      </c>
      <c r="C9168" t="s">
        <v>29</v>
      </c>
      <c r="D9168">
        <v>44.7058567271838</v>
      </c>
      <c r="E9168">
        <v>3</v>
      </c>
      <c r="F9168">
        <v>2054</v>
      </c>
      <c r="G9168">
        <v>2</v>
      </c>
      <c r="H9168">
        <v>3</v>
      </c>
      <c r="I9168">
        <v>1974</v>
      </c>
      <c r="J9168">
        <v>1</v>
      </c>
      <c r="K9168">
        <v>0</v>
      </c>
      <c r="L9168">
        <v>1</v>
      </c>
      <c r="M9168">
        <v>7</v>
      </c>
      <c r="N9168" t="s">
        <v>41</v>
      </c>
      <c r="O9168" t="s">
        <v>32</v>
      </c>
      <c r="P9168">
        <v>6.9760875307470496</v>
      </c>
      <c r="Q9168">
        <v>1.42645185336658</v>
      </c>
      <c r="R9168">
        <v>3.3023738374965901</v>
      </c>
      <c r="S9168">
        <v>182</v>
      </c>
      <c r="T9168">
        <v>79</v>
      </c>
      <c r="U9168">
        <v>246.23591584507801</v>
      </c>
      <c r="V9168">
        <v>3.4079844206426398E-3</v>
      </c>
      <c r="W9168">
        <v>743161.60407611099</v>
      </c>
      <c r="X9168" t="s">
        <v>28</v>
      </c>
      <c r="Y9168">
        <f>1-533-817-8379</f>
        <v>-9728</v>
      </c>
    </row>
    <row r="9169" spans="1:25" x14ac:dyDescent="0.35">
      <c r="A9169">
        <v>32.668078611955501</v>
      </c>
      <c r="B9169">
        <v>-122.81195752800799</v>
      </c>
      <c r="C9169" t="s">
        <v>25</v>
      </c>
      <c r="D9169">
        <v>27.8315778573809</v>
      </c>
      <c r="E9169">
        <v>5</v>
      </c>
      <c r="F9169">
        <v>1435</v>
      </c>
      <c r="G9169">
        <v>5</v>
      </c>
      <c r="H9169">
        <v>1</v>
      </c>
      <c r="I9169">
        <v>1959</v>
      </c>
      <c r="J9169">
        <v>1</v>
      </c>
      <c r="K9169">
        <v>0</v>
      </c>
      <c r="L9169">
        <v>0</v>
      </c>
      <c r="M9169">
        <v>6</v>
      </c>
      <c r="N9169" t="s">
        <v>37</v>
      </c>
      <c r="O9169" t="s">
        <v>30</v>
      </c>
      <c r="P9169">
        <v>4.6203462683929901</v>
      </c>
      <c r="Q9169">
        <v>0.78309655109327303</v>
      </c>
      <c r="R9169">
        <v>1.1691499181038201</v>
      </c>
      <c r="S9169">
        <v>7</v>
      </c>
      <c r="T9169">
        <v>56</v>
      </c>
      <c r="U9169">
        <v>248.49157839512199</v>
      </c>
      <c r="V9169">
        <v>4.1811846689895401E-3</v>
      </c>
      <c r="W9169">
        <v>633278.76988345501</v>
      </c>
      <c r="X9169" t="s">
        <v>28</v>
      </c>
      <c r="Y9169">
        <f>1-950-277-3504</f>
        <v>-4730</v>
      </c>
    </row>
    <row r="9170" spans="1:25" x14ac:dyDescent="0.35">
      <c r="A9170">
        <v>41.290882835306</v>
      </c>
      <c r="B9170">
        <v>-123.896068244589</v>
      </c>
      <c r="C9170" t="s">
        <v>25</v>
      </c>
      <c r="D9170">
        <v>16.810775360886002</v>
      </c>
      <c r="E9170">
        <v>7</v>
      </c>
      <c r="F9170">
        <v>3517</v>
      </c>
      <c r="G9170">
        <v>2</v>
      </c>
      <c r="H9170">
        <v>2</v>
      </c>
      <c r="I9170">
        <v>1982</v>
      </c>
      <c r="J9170">
        <v>0</v>
      </c>
      <c r="K9170">
        <v>1</v>
      </c>
      <c r="L9170">
        <v>1</v>
      </c>
      <c r="M9170">
        <v>12</v>
      </c>
      <c r="N9170" t="s">
        <v>35</v>
      </c>
      <c r="O9170" t="s">
        <v>32</v>
      </c>
      <c r="P9170">
        <v>12.572797085996999</v>
      </c>
      <c r="Q9170">
        <v>1.63876239795261</v>
      </c>
      <c r="R9170">
        <v>2.27636487446035</v>
      </c>
      <c r="S9170">
        <v>21</v>
      </c>
      <c r="T9170">
        <v>57</v>
      </c>
      <c r="U9170">
        <v>971.56830180420104</v>
      </c>
      <c r="V9170">
        <v>3.4119988626670401E-3</v>
      </c>
      <c r="W9170">
        <v>3813640.8162289201</v>
      </c>
      <c r="X9170" t="s">
        <v>43</v>
      </c>
      <c r="Y9170">
        <f>1-970-572-9260</f>
        <v>-10801</v>
      </c>
    </row>
    <row r="9171" spans="1:25" x14ac:dyDescent="0.35">
      <c r="A9171">
        <v>32.719048892527901</v>
      </c>
      <c r="B9171">
        <v>-119.286400616487</v>
      </c>
      <c r="C9171" t="s">
        <v>29</v>
      </c>
      <c r="D9171">
        <v>32.894589170651898</v>
      </c>
      <c r="E9171">
        <v>2</v>
      </c>
      <c r="F9171">
        <v>682</v>
      </c>
      <c r="G9171">
        <v>1</v>
      </c>
      <c r="H9171">
        <v>2</v>
      </c>
      <c r="I9171">
        <v>1950</v>
      </c>
      <c r="J9171">
        <v>0</v>
      </c>
      <c r="K9171">
        <v>0</v>
      </c>
      <c r="L9171">
        <v>1</v>
      </c>
      <c r="M9171">
        <v>2</v>
      </c>
      <c r="N9171" t="s">
        <v>26</v>
      </c>
      <c r="O9171" t="s">
        <v>32</v>
      </c>
      <c r="P9171">
        <v>9.4082049393903606</v>
      </c>
      <c r="Q9171">
        <v>2.4358620901378099</v>
      </c>
      <c r="R9171">
        <v>3.6532526531901</v>
      </c>
      <c r="S9171">
        <v>191</v>
      </c>
      <c r="T9171">
        <v>46</v>
      </c>
      <c r="U9171">
        <v>349.44757352551699</v>
      </c>
      <c r="V9171">
        <v>2.9325513196480899E-3</v>
      </c>
      <c r="W9171">
        <v>279383.68754755199</v>
      </c>
      <c r="X9171" t="s">
        <v>36</v>
      </c>
      <c r="Y9171">
        <f>1-233-921-1878</f>
        <v>-3031</v>
      </c>
    </row>
    <row r="9172" spans="1:25" x14ac:dyDescent="0.35">
      <c r="A9172">
        <v>35.285156042539001</v>
      </c>
      <c r="B9172">
        <v>-114.993042885349</v>
      </c>
      <c r="C9172" t="s">
        <v>29</v>
      </c>
      <c r="D9172">
        <v>46.569293196196803</v>
      </c>
      <c r="E9172">
        <v>5</v>
      </c>
      <c r="F9172">
        <v>4531</v>
      </c>
      <c r="G9172">
        <v>5</v>
      </c>
      <c r="H9172">
        <v>2</v>
      </c>
      <c r="I9172">
        <v>1975</v>
      </c>
      <c r="J9172">
        <v>0</v>
      </c>
      <c r="K9172">
        <v>1</v>
      </c>
      <c r="L9172">
        <v>0</v>
      </c>
      <c r="M9172">
        <v>12</v>
      </c>
      <c r="N9172" t="s">
        <v>26</v>
      </c>
      <c r="O9172" t="s">
        <v>32</v>
      </c>
      <c r="P9172">
        <v>7.6290742194352799</v>
      </c>
      <c r="Q9172">
        <v>1.13063596574305</v>
      </c>
      <c r="R9172">
        <v>5.8772335219798197</v>
      </c>
      <c r="S9172">
        <v>63</v>
      </c>
      <c r="T9172">
        <v>38</v>
      </c>
      <c r="U9172">
        <v>795.97298939394705</v>
      </c>
      <c r="V9172">
        <v>2.6484219819024402E-3</v>
      </c>
      <c r="W9172">
        <v>3989956.1878287201</v>
      </c>
      <c r="X9172" t="s">
        <v>39</v>
      </c>
      <c r="Y9172">
        <f>1-760-294-3911</f>
        <v>-4964</v>
      </c>
    </row>
    <row r="9173" spans="1:25" x14ac:dyDescent="0.35">
      <c r="A9173">
        <v>34.211579899142599</v>
      </c>
      <c r="B9173">
        <v>-119.579642181639</v>
      </c>
      <c r="C9173" t="s">
        <v>29</v>
      </c>
      <c r="D9173">
        <v>13.9514328516485</v>
      </c>
      <c r="E9173">
        <v>2</v>
      </c>
      <c r="F9173">
        <v>1559</v>
      </c>
      <c r="G9173">
        <v>1</v>
      </c>
      <c r="H9173">
        <v>3</v>
      </c>
      <c r="I9173">
        <v>1978</v>
      </c>
      <c r="J9173">
        <v>1</v>
      </c>
      <c r="K9173">
        <v>1</v>
      </c>
      <c r="L9173">
        <v>0</v>
      </c>
      <c r="M9173">
        <v>9</v>
      </c>
      <c r="N9173" t="s">
        <v>41</v>
      </c>
      <c r="O9173" t="s">
        <v>27</v>
      </c>
      <c r="P9173">
        <v>13.5143287477727</v>
      </c>
      <c r="Q9173">
        <v>1.1573807106934899</v>
      </c>
      <c r="R9173">
        <v>2.2264028514954002</v>
      </c>
      <c r="S9173">
        <v>191</v>
      </c>
      <c r="T9173">
        <v>68</v>
      </c>
      <c r="U9173">
        <v>765.617785520712</v>
      </c>
      <c r="V9173">
        <v>5.7729313662604198E-3</v>
      </c>
      <c r="W9173">
        <v>1503074.12702532</v>
      </c>
      <c r="X9173" t="s">
        <v>31</v>
      </c>
      <c r="Y9173">
        <f>1-822-673-1075</f>
        <v>-2569</v>
      </c>
    </row>
    <row r="9174" spans="1:25" x14ac:dyDescent="0.35">
      <c r="A9174">
        <v>34.194983579570099</v>
      </c>
      <c r="B9174">
        <v>-120.390371578418</v>
      </c>
      <c r="C9174" t="s">
        <v>34</v>
      </c>
      <c r="D9174">
        <v>9.7971906670012903</v>
      </c>
      <c r="E9174">
        <v>8</v>
      </c>
      <c r="F9174">
        <v>3585</v>
      </c>
      <c r="G9174">
        <v>3</v>
      </c>
      <c r="H9174">
        <v>1</v>
      </c>
      <c r="I9174">
        <v>1990</v>
      </c>
      <c r="J9174">
        <v>0</v>
      </c>
      <c r="K9174">
        <v>1</v>
      </c>
      <c r="L9174">
        <v>0</v>
      </c>
      <c r="M9174">
        <v>9</v>
      </c>
      <c r="N9174" t="s">
        <v>41</v>
      </c>
      <c r="O9174" t="s">
        <v>27</v>
      </c>
      <c r="P9174">
        <v>9.4713531854049595</v>
      </c>
      <c r="Q9174">
        <v>0.94396502179227904</v>
      </c>
      <c r="R9174">
        <v>0.58340292512146197</v>
      </c>
      <c r="S9174">
        <v>58</v>
      </c>
      <c r="T9174">
        <v>44</v>
      </c>
      <c r="U9174">
        <v>360.39115871685902</v>
      </c>
      <c r="V9174">
        <v>2.5104602510460199E-3</v>
      </c>
      <c r="W9174">
        <v>1619374.5155480099</v>
      </c>
      <c r="X9174" t="s">
        <v>39</v>
      </c>
      <c r="Y9174">
        <f>1-702-932-1816</f>
        <v>-3449</v>
      </c>
    </row>
    <row r="9175" spans="1:25" x14ac:dyDescent="0.35">
      <c r="A9175">
        <v>40.233596587182497</v>
      </c>
      <c r="B9175">
        <v>-118.646663797336</v>
      </c>
      <c r="C9175" t="s">
        <v>34</v>
      </c>
      <c r="D9175">
        <v>46.680220534938996</v>
      </c>
      <c r="E9175">
        <v>7</v>
      </c>
      <c r="F9175">
        <v>3101</v>
      </c>
      <c r="G9175">
        <v>3</v>
      </c>
      <c r="H9175">
        <v>1</v>
      </c>
      <c r="I9175">
        <v>1969</v>
      </c>
      <c r="J9175">
        <v>1</v>
      </c>
      <c r="K9175">
        <v>1</v>
      </c>
      <c r="L9175">
        <v>0</v>
      </c>
      <c r="M9175">
        <v>7</v>
      </c>
      <c r="N9175" t="s">
        <v>35</v>
      </c>
      <c r="O9175" t="s">
        <v>32</v>
      </c>
      <c r="P9175">
        <v>2.7695656918940799</v>
      </c>
      <c r="Q9175">
        <v>1.59463923385016</v>
      </c>
      <c r="R9175">
        <v>6.5457778823321702</v>
      </c>
      <c r="S9175">
        <v>83</v>
      </c>
      <c r="T9175">
        <v>65</v>
      </c>
      <c r="U9175">
        <v>239.182241037029</v>
      </c>
      <c r="V9175">
        <v>2.2573363431151201E-3</v>
      </c>
      <c r="W9175">
        <v>945890.85254252399</v>
      </c>
      <c r="X9175" t="s">
        <v>38</v>
      </c>
      <c r="Y9175">
        <f>1-321-432-3613</f>
        <v>-4365</v>
      </c>
    </row>
    <row r="9176" spans="1:25" x14ac:dyDescent="0.35">
      <c r="A9176">
        <v>36.283599113603103</v>
      </c>
      <c r="B9176">
        <v>-124.150295008613</v>
      </c>
      <c r="C9176" t="s">
        <v>29</v>
      </c>
      <c r="D9176">
        <v>23.420003681284999</v>
      </c>
      <c r="E9176">
        <v>6</v>
      </c>
      <c r="F9176">
        <v>500</v>
      </c>
      <c r="G9176">
        <v>1</v>
      </c>
      <c r="H9176">
        <v>2</v>
      </c>
      <c r="I9176">
        <v>1997</v>
      </c>
      <c r="J9176">
        <v>0</v>
      </c>
      <c r="K9176">
        <v>0</v>
      </c>
      <c r="L9176">
        <v>1</v>
      </c>
      <c r="M9176">
        <v>7</v>
      </c>
      <c r="N9176" t="s">
        <v>35</v>
      </c>
      <c r="O9176" t="s">
        <v>32</v>
      </c>
      <c r="P9176">
        <v>4.0561536316592397</v>
      </c>
      <c r="Q9176">
        <v>1.9471105230857599</v>
      </c>
      <c r="R9176">
        <v>8.0910223801622703</v>
      </c>
      <c r="S9176">
        <v>0</v>
      </c>
      <c r="T9176">
        <v>69</v>
      </c>
      <c r="U9176">
        <v>902.62789664048796</v>
      </c>
      <c r="V9176">
        <v>1.4E-2</v>
      </c>
      <c r="W9176">
        <v>547606.99844061898</v>
      </c>
      <c r="X9176" t="s">
        <v>33</v>
      </c>
      <c r="Y9176">
        <f>1-651-695-7806</f>
        <v>-9151</v>
      </c>
    </row>
    <row r="9177" spans="1:25" x14ac:dyDescent="0.35">
      <c r="A9177">
        <v>36.045848409663499</v>
      </c>
      <c r="B9177">
        <v>-115.86449691068999</v>
      </c>
      <c r="C9177" t="s">
        <v>29</v>
      </c>
      <c r="D9177">
        <v>14.8861993849103</v>
      </c>
      <c r="E9177">
        <v>0</v>
      </c>
      <c r="F9177">
        <v>2850</v>
      </c>
      <c r="G9177">
        <v>5</v>
      </c>
      <c r="H9177">
        <v>1</v>
      </c>
      <c r="I9177">
        <v>2003</v>
      </c>
      <c r="J9177">
        <v>0</v>
      </c>
      <c r="K9177">
        <v>1</v>
      </c>
      <c r="L9177">
        <v>1</v>
      </c>
      <c r="M9177">
        <v>11</v>
      </c>
      <c r="N9177" t="s">
        <v>41</v>
      </c>
      <c r="O9177" t="s">
        <v>30</v>
      </c>
      <c r="P9177">
        <v>12.972742450613501</v>
      </c>
      <c r="Q9177">
        <v>1.6948535804076099</v>
      </c>
      <c r="R9177">
        <v>4.4913573367857804</v>
      </c>
      <c r="S9177">
        <v>40</v>
      </c>
      <c r="T9177">
        <v>30</v>
      </c>
      <c r="U9177">
        <v>683.34349875443002</v>
      </c>
      <c r="V9177">
        <v>3.8596491228070099E-3</v>
      </c>
      <c r="W9177">
        <v>2478789.88988959</v>
      </c>
      <c r="X9177" t="s">
        <v>43</v>
      </c>
      <c r="Y9177">
        <f>1-956-323-8558</f>
        <v>-9836</v>
      </c>
    </row>
    <row r="9178" spans="1:25" x14ac:dyDescent="0.35">
      <c r="A9178">
        <v>32.918192074724999</v>
      </c>
      <c r="B9178">
        <v>-123.872217672478</v>
      </c>
      <c r="C9178" t="s">
        <v>34</v>
      </c>
      <c r="D9178">
        <v>27.3283536606891</v>
      </c>
      <c r="E9178">
        <v>2</v>
      </c>
      <c r="F9178">
        <v>2286</v>
      </c>
      <c r="G9178">
        <v>4</v>
      </c>
      <c r="H9178">
        <v>2</v>
      </c>
      <c r="I9178">
        <v>2002</v>
      </c>
      <c r="J9178">
        <v>1</v>
      </c>
      <c r="K9178">
        <v>1</v>
      </c>
      <c r="L9178">
        <v>1</v>
      </c>
      <c r="M9178">
        <v>11</v>
      </c>
      <c r="N9178" t="s">
        <v>35</v>
      </c>
      <c r="O9178" t="s">
        <v>32</v>
      </c>
      <c r="P9178">
        <v>13.77738773866</v>
      </c>
      <c r="Q9178">
        <v>0.98917040427085101</v>
      </c>
      <c r="R9178">
        <v>9.0039480435309904E-2</v>
      </c>
      <c r="S9178">
        <v>53</v>
      </c>
      <c r="T9178">
        <v>25</v>
      </c>
      <c r="U9178">
        <v>637.93120232441902</v>
      </c>
      <c r="V9178">
        <v>4.8118985126859096E-3</v>
      </c>
      <c r="W9178">
        <v>2070513.49144637</v>
      </c>
      <c r="X9178" t="s">
        <v>39</v>
      </c>
      <c r="Y9178">
        <f>1-772-592-1223</f>
        <v>-2586</v>
      </c>
    </row>
    <row r="9179" spans="1:25" x14ac:dyDescent="0.35">
      <c r="A9179">
        <v>41.599463161628002</v>
      </c>
      <c r="B9179">
        <v>-118.90539822549999</v>
      </c>
      <c r="C9179" t="s">
        <v>29</v>
      </c>
      <c r="D9179">
        <v>23.029889989962701</v>
      </c>
      <c r="E9179">
        <v>8</v>
      </c>
      <c r="F9179">
        <v>2688</v>
      </c>
      <c r="G9179">
        <v>5</v>
      </c>
      <c r="H9179">
        <v>2</v>
      </c>
      <c r="I9179">
        <v>1987</v>
      </c>
      <c r="J9179">
        <v>0</v>
      </c>
      <c r="K9179">
        <v>0</v>
      </c>
      <c r="L9179">
        <v>1</v>
      </c>
      <c r="M9179">
        <v>10</v>
      </c>
      <c r="N9179" t="s">
        <v>35</v>
      </c>
      <c r="O9179" t="s">
        <v>27</v>
      </c>
      <c r="P9179">
        <v>7.0168938815539201</v>
      </c>
      <c r="Q9179">
        <v>2.1913663157781502</v>
      </c>
      <c r="R9179">
        <v>9.2669877349652108</v>
      </c>
      <c r="S9179">
        <v>27</v>
      </c>
      <c r="T9179">
        <v>59</v>
      </c>
      <c r="U9179">
        <v>680.29254718101197</v>
      </c>
      <c r="V9179">
        <v>3.7202380952380898E-3</v>
      </c>
      <c r="W9179">
        <v>2111545.7610357399</v>
      </c>
      <c r="X9179" t="s">
        <v>31</v>
      </c>
      <c r="Y9179">
        <f>1-833-603-3742</f>
        <v>-5177</v>
      </c>
    </row>
    <row r="9180" spans="1:25" x14ac:dyDescent="0.35">
      <c r="A9180">
        <v>41.720235303967897</v>
      </c>
      <c r="B9180">
        <v>-124.454178837768</v>
      </c>
      <c r="C9180" t="s">
        <v>34</v>
      </c>
      <c r="D9180">
        <v>17.257400132820202</v>
      </c>
      <c r="E9180">
        <v>2</v>
      </c>
      <c r="F9180">
        <v>3173</v>
      </c>
      <c r="G9180">
        <v>5</v>
      </c>
      <c r="H9180">
        <v>3</v>
      </c>
      <c r="I9180">
        <v>1990</v>
      </c>
      <c r="J9180">
        <v>0</v>
      </c>
      <c r="K9180">
        <v>0</v>
      </c>
      <c r="L9180">
        <v>1</v>
      </c>
      <c r="M9180">
        <v>8</v>
      </c>
      <c r="N9180" t="s">
        <v>41</v>
      </c>
      <c r="O9180" t="s">
        <v>32</v>
      </c>
      <c r="P9180">
        <v>8.0542692502337694</v>
      </c>
      <c r="Q9180">
        <v>0.80475435791244199</v>
      </c>
      <c r="R9180">
        <v>0.34903685554932801</v>
      </c>
      <c r="S9180">
        <v>88</v>
      </c>
      <c r="T9180">
        <v>22</v>
      </c>
      <c r="U9180">
        <v>215.182955661205</v>
      </c>
      <c r="V9180">
        <v>2.5212732429876999E-3</v>
      </c>
      <c r="W9180">
        <v>979551.63603521395</v>
      </c>
      <c r="X9180" t="s">
        <v>33</v>
      </c>
      <c r="Y9180">
        <f>1-525-901-2266</f>
        <v>-3691</v>
      </c>
    </row>
    <row r="9181" spans="1:25" x14ac:dyDescent="0.35">
      <c r="A9181">
        <v>35.713998505922902</v>
      </c>
      <c r="B9181">
        <v>-122.126502503681</v>
      </c>
      <c r="C9181" t="s">
        <v>29</v>
      </c>
      <c r="D9181">
        <v>45.270197344542602</v>
      </c>
      <c r="E9181">
        <v>9</v>
      </c>
      <c r="F9181">
        <v>2475</v>
      </c>
      <c r="G9181">
        <v>3</v>
      </c>
      <c r="H9181">
        <v>3</v>
      </c>
      <c r="I9181">
        <v>1970</v>
      </c>
      <c r="J9181">
        <v>1</v>
      </c>
      <c r="K9181">
        <v>0</v>
      </c>
      <c r="L9181">
        <v>1</v>
      </c>
      <c r="M9181">
        <v>10</v>
      </c>
      <c r="N9181" t="s">
        <v>41</v>
      </c>
      <c r="O9181" t="s">
        <v>32</v>
      </c>
      <c r="P9181">
        <v>8.1168677932720197</v>
      </c>
      <c r="Q9181">
        <v>1.00422173700245</v>
      </c>
      <c r="R9181">
        <v>6.0370527658583004</v>
      </c>
      <c r="S9181">
        <v>109</v>
      </c>
      <c r="T9181">
        <v>49</v>
      </c>
      <c r="U9181">
        <v>420.72298128991798</v>
      </c>
      <c r="V9181">
        <v>4.0404040404040404E-3</v>
      </c>
      <c r="W9181">
        <v>1351446.24008251</v>
      </c>
      <c r="X9181" t="s">
        <v>40</v>
      </c>
      <c r="Y9181">
        <f>1-846-535-8487</f>
        <v>-9867</v>
      </c>
    </row>
    <row r="9182" spans="1:25" x14ac:dyDescent="0.35">
      <c r="A9182">
        <v>37.849594901126899</v>
      </c>
      <c r="B9182">
        <v>-116.275183512157</v>
      </c>
      <c r="C9182" t="s">
        <v>25</v>
      </c>
      <c r="D9182">
        <v>42.056186228979698</v>
      </c>
      <c r="E9182">
        <v>9</v>
      </c>
      <c r="F9182">
        <v>1153</v>
      </c>
      <c r="G9182">
        <v>2</v>
      </c>
      <c r="H9182">
        <v>1</v>
      </c>
      <c r="I9182">
        <v>1958</v>
      </c>
      <c r="J9182">
        <v>0</v>
      </c>
      <c r="K9182">
        <v>0</v>
      </c>
      <c r="L9182">
        <v>0</v>
      </c>
      <c r="M9182">
        <v>11</v>
      </c>
      <c r="N9182" t="s">
        <v>37</v>
      </c>
      <c r="O9182" t="s">
        <v>27</v>
      </c>
      <c r="P9182">
        <v>11.6980733823113</v>
      </c>
      <c r="Q9182">
        <v>2.21031585049918</v>
      </c>
      <c r="R9182">
        <v>6.7134008575918598</v>
      </c>
      <c r="S9182">
        <v>1</v>
      </c>
      <c r="T9182">
        <v>36</v>
      </c>
      <c r="U9182">
        <v>671.31564685931301</v>
      </c>
      <c r="V9182">
        <v>9.5403295750216797E-3</v>
      </c>
      <c r="W9182">
        <v>833063.00605644705</v>
      </c>
      <c r="X9182" t="s">
        <v>38</v>
      </c>
      <c r="Y9182">
        <f>1-277-825-2686</f>
        <v>-3787</v>
      </c>
    </row>
    <row r="9183" spans="1:25" x14ac:dyDescent="0.35">
      <c r="A9183">
        <v>37.159679107068499</v>
      </c>
      <c r="B9183">
        <v>-123.21683578054299</v>
      </c>
      <c r="C9183" t="s">
        <v>25</v>
      </c>
      <c r="D9183">
        <v>21.349923997484598</v>
      </c>
      <c r="E9183">
        <v>8</v>
      </c>
      <c r="F9183">
        <v>1923</v>
      </c>
      <c r="G9183">
        <v>1</v>
      </c>
      <c r="H9183">
        <v>2</v>
      </c>
      <c r="I9183">
        <v>1966</v>
      </c>
      <c r="J9183">
        <v>0</v>
      </c>
      <c r="K9183">
        <v>1</v>
      </c>
      <c r="L9183">
        <v>1</v>
      </c>
      <c r="M9183">
        <v>11</v>
      </c>
      <c r="N9183" t="s">
        <v>35</v>
      </c>
      <c r="O9183" t="s">
        <v>30</v>
      </c>
      <c r="P9183">
        <v>7.8931951072448996</v>
      </c>
      <c r="Q9183">
        <v>1.15699378273766</v>
      </c>
      <c r="R9183">
        <v>2.9029717625622302</v>
      </c>
      <c r="S9183">
        <v>25</v>
      </c>
      <c r="T9183">
        <v>48</v>
      </c>
      <c r="U9183">
        <v>417.59697223432198</v>
      </c>
      <c r="V9183">
        <v>5.7202288091523596E-3</v>
      </c>
      <c r="W9183">
        <v>1058800.7435073301</v>
      </c>
      <c r="X9183" t="s">
        <v>39</v>
      </c>
      <c r="Y9183">
        <f>1-962-541-4667</f>
        <v>-6169</v>
      </c>
    </row>
    <row r="9184" spans="1:25" x14ac:dyDescent="0.35">
      <c r="A9184">
        <v>32.911273692103499</v>
      </c>
      <c r="B9184">
        <v>-115.62316488651</v>
      </c>
      <c r="C9184" t="s">
        <v>25</v>
      </c>
      <c r="D9184">
        <v>44.319710164410402</v>
      </c>
      <c r="E9184">
        <v>7</v>
      </c>
      <c r="F9184">
        <v>4081</v>
      </c>
      <c r="G9184">
        <v>3</v>
      </c>
      <c r="H9184">
        <v>3</v>
      </c>
      <c r="I9184">
        <v>2014</v>
      </c>
      <c r="J9184">
        <v>0</v>
      </c>
      <c r="K9184">
        <v>1</v>
      </c>
      <c r="L9184">
        <v>0</v>
      </c>
      <c r="M9184">
        <v>4</v>
      </c>
      <c r="N9184" t="s">
        <v>41</v>
      </c>
      <c r="O9184" t="s">
        <v>30</v>
      </c>
      <c r="P9184">
        <v>12.0382719348355</v>
      </c>
      <c r="Q9184">
        <v>1.4833037233512001</v>
      </c>
      <c r="R9184">
        <v>3.4315903622955699</v>
      </c>
      <c r="S9184">
        <v>83</v>
      </c>
      <c r="T9184">
        <v>37</v>
      </c>
      <c r="U9184">
        <v>501.10046600719602</v>
      </c>
      <c r="V9184">
        <v>9.8015192354814992E-4</v>
      </c>
      <c r="W9184">
        <v>2457555.0105508901</v>
      </c>
      <c r="X9184" t="s">
        <v>31</v>
      </c>
      <c r="Y9184">
        <f>1-432-477-5116</f>
        <v>-6024</v>
      </c>
    </row>
    <row r="9185" spans="1:25" x14ac:dyDescent="0.35">
      <c r="A9185">
        <v>33.159652041320598</v>
      </c>
      <c r="B9185">
        <v>-120.631957337881</v>
      </c>
      <c r="C9185" t="s">
        <v>29</v>
      </c>
      <c r="D9185">
        <v>5.3275918050859197</v>
      </c>
      <c r="E9185">
        <v>7</v>
      </c>
      <c r="F9185">
        <v>2946</v>
      </c>
      <c r="G9185">
        <v>3</v>
      </c>
      <c r="H9185">
        <v>2</v>
      </c>
      <c r="I9185">
        <v>1963</v>
      </c>
      <c r="J9185">
        <v>0</v>
      </c>
      <c r="K9185">
        <v>1</v>
      </c>
      <c r="L9185">
        <v>0</v>
      </c>
      <c r="M9185">
        <v>11</v>
      </c>
      <c r="N9185" t="s">
        <v>35</v>
      </c>
      <c r="O9185" t="s">
        <v>32</v>
      </c>
      <c r="P9185">
        <v>4.2617161636492904</v>
      </c>
      <c r="Q9185">
        <v>2.4532293998555099</v>
      </c>
      <c r="R9185">
        <v>2.6626431229974199</v>
      </c>
      <c r="S9185">
        <v>153</v>
      </c>
      <c r="T9185">
        <v>49</v>
      </c>
      <c r="U9185">
        <v>788.88291952568102</v>
      </c>
      <c r="V9185">
        <v>3.7338764426340801E-3</v>
      </c>
      <c r="W9185">
        <v>2583686.6031196099</v>
      </c>
      <c r="X9185" t="s">
        <v>44</v>
      </c>
      <c r="Y9185">
        <f>1-361-788-9481</f>
        <v>-10629</v>
      </c>
    </row>
    <row r="9186" spans="1:25" x14ac:dyDescent="0.35">
      <c r="A9186">
        <v>39.066578382874503</v>
      </c>
      <c r="B9186">
        <v>-123.783597795986</v>
      </c>
      <c r="C9186" t="s">
        <v>34</v>
      </c>
      <c r="D9186">
        <v>24.681147182516799</v>
      </c>
      <c r="E9186">
        <v>7</v>
      </c>
      <c r="F9186">
        <v>721</v>
      </c>
      <c r="G9186">
        <v>1</v>
      </c>
      <c r="H9186">
        <v>2</v>
      </c>
      <c r="I9186">
        <v>1954</v>
      </c>
      <c r="J9186">
        <v>1</v>
      </c>
      <c r="K9186">
        <v>0</v>
      </c>
      <c r="L9186">
        <v>0</v>
      </c>
      <c r="M9186">
        <v>5</v>
      </c>
      <c r="N9186" t="s">
        <v>37</v>
      </c>
      <c r="O9186" t="s">
        <v>32</v>
      </c>
      <c r="P9186">
        <v>2.4409153762405298</v>
      </c>
      <c r="Q9186">
        <v>1.00180364864218</v>
      </c>
      <c r="R9186">
        <v>2.9565890698185999</v>
      </c>
      <c r="S9186">
        <v>13</v>
      </c>
      <c r="T9186">
        <v>30</v>
      </c>
      <c r="U9186">
        <v>824.90123060955398</v>
      </c>
      <c r="V9186">
        <v>6.9348127600554702E-3</v>
      </c>
      <c r="W9186">
        <v>703613.57290667796</v>
      </c>
      <c r="X9186" t="s">
        <v>43</v>
      </c>
      <c r="Y9186">
        <f>1-359-344-7484</f>
        <v>-8186</v>
      </c>
    </row>
    <row r="9187" spans="1:25" x14ac:dyDescent="0.35">
      <c r="A9187">
        <v>36.847961280680103</v>
      </c>
      <c r="B9187">
        <v>-116.871279647254</v>
      </c>
      <c r="C9187" t="s">
        <v>25</v>
      </c>
      <c r="D9187">
        <v>43.0682507141372</v>
      </c>
      <c r="E9187">
        <v>0</v>
      </c>
      <c r="F9187">
        <v>4636</v>
      </c>
      <c r="G9187">
        <v>5</v>
      </c>
      <c r="H9187">
        <v>1</v>
      </c>
      <c r="I9187">
        <v>1971</v>
      </c>
      <c r="J9187">
        <v>1</v>
      </c>
      <c r="K9187">
        <v>1</v>
      </c>
      <c r="L9187">
        <v>1</v>
      </c>
      <c r="M9187">
        <v>12</v>
      </c>
      <c r="N9187" t="s">
        <v>35</v>
      </c>
      <c r="O9187" t="s">
        <v>30</v>
      </c>
      <c r="P9187">
        <v>11.423121175091101</v>
      </c>
      <c r="Q9187">
        <v>1.0518648902565699</v>
      </c>
      <c r="R9187">
        <v>0.18785859759072199</v>
      </c>
      <c r="S9187">
        <v>195</v>
      </c>
      <c r="T9187">
        <v>59</v>
      </c>
      <c r="U9187">
        <v>968.86420270276403</v>
      </c>
      <c r="V9187">
        <v>2.58843830888697E-3</v>
      </c>
      <c r="W9187">
        <v>4912217.7738125501</v>
      </c>
      <c r="X9187" t="s">
        <v>36</v>
      </c>
      <c r="Y9187">
        <f>1-402-585-2800</f>
        <v>-3786</v>
      </c>
    </row>
    <row r="9188" spans="1:25" x14ac:dyDescent="0.35">
      <c r="A9188">
        <v>39.378981722482102</v>
      </c>
      <c r="B9188">
        <v>-122.32770683773001</v>
      </c>
      <c r="C9188" t="s">
        <v>34</v>
      </c>
      <c r="D9188">
        <v>45.227138617704497</v>
      </c>
      <c r="E9188">
        <v>2</v>
      </c>
      <c r="F9188">
        <v>4021</v>
      </c>
      <c r="G9188">
        <v>3</v>
      </c>
      <c r="H9188">
        <v>3</v>
      </c>
      <c r="I9188">
        <v>1963</v>
      </c>
      <c r="J9188">
        <v>0</v>
      </c>
      <c r="K9188">
        <v>1</v>
      </c>
      <c r="L9188">
        <v>1</v>
      </c>
      <c r="M9188">
        <v>7</v>
      </c>
      <c r="N9188" t="s">
        <v>35</v>
      </c>
      <c r="O9188" t="s">
        <v>30</v>
      </c>
      <c r="P9188">
        <v>13.698163493962801</v>
      </c>
      <c r="Q9188">
        <v>0.92474457625046802</v>
      </c>
      <c r="R9188">
        <v>4.2899451932935904</v>
      </c>
      <c r="S9188">
        <v>27</v>
      </c>
      <c r="T9188">
        <v>68</v>
      </c>
      <c r="U9188">
        <v>236.87677967661301</v>
      </c>
      <c r="V9188">
        <v>1.74086048246704E-3</v>
      </c>
      <c r="W9188">
        <v>1393344.6626967499</v>
      </c>
      <c r="X9188" t="s">
        <v>44</v>
      </c>
      <c r="Y9188">
        <f>1-504-316-7350</f>
        <v>-8169</v>
      </c>
    </row>
    <row r="9189" spans="1:25" x14ac:dyDescent="0.35">
      <c r="A9189">
        <v>39.273290153154299</v>
      </c>
      <c r="B9189">
        <v>-122.07575428206501</v>
      </c>
      <c r="C9189" t="s">
        <v>29</v>
      </c>
      <c r="D9189">
        <v>41.005187151075702</v>
      </c>
      <c r="E9189">
        <v>5</v>
      </c>
      <c r="F9189">
        <v>1039</v>
      </c>
      <c r="G9189">
        <v>4</v>
      </c>
      <c r="H9189">
        <v>2</v>
      </c>
      <c r="I9189">
        <v>1957</v>
      </c>
      <c r="J9189">
        <v>0</v>
      </c>
      <c r="K9189">
        <v>1</v>
      </c>
      <c r="L9189">
        <v>1</v>
      </c>
      <c r="M9189">
        <v>14</v>
      </c>
      <c r="N9189" t="s">
        <v>35</v>
      </c>
      <c r="O9189" t="s">
        <v>32</v>
      </c>
      <c r="P9189">
        <v>14.6718240557492</v>
      </c>
      <c r="Q9189">
        <v>1.43541951625342</v>
      </c>
      <c r="R9189">
        <v>1.5159081829983201</v>
      </c>
      <c r="S9189">
        <v>47</v>
      </c>
      <c r="T9189">
        <v>22</v>
      </c>
      <c r="U9189">
        <v>898.17684934390797</v>
      </c>
      <c r="V9189">
        <v>1.34744947064485E-2</v>
      </c>
      <c r="W9189">
        <v>1325485.2932907899</v>
      </c>
      <c r="X9189" t="s">
        <v>43</v>
      </c>
      <c r="Y9189">
        <f>1-363-386-7999</f>
        <v>-8747</v>
      </c>
    </row>
    <row r="9190" spans="1:25" x14ac:dyDescent="0.35">
      <c r="A9190">
        <v>35.240809028383602</v>
      </c>
      <c r="B9190">
        <v>-122.13770325923301</v>
      </c>
      <c r="C9190" t="s">
        <v>25</v>
      </c>
      <c r="D9190">
        <v>29.2947952822255</v>
      </c>
      <c r="E9190">
        <v>3</v>
      </c>
      <c r="F9190">
        <v>2780</v>
      </c>
      <c r="G9190">
        <v>1</v>
      </c>
      <c r="H9190">
        <v>3</v>
      </c>
      <c r="I9190">
        <v>2018</v>
      </c>
      <c r="J9190">
        <v>1</v>
      </c>
      <c r="K9190">
        <v>1</v>
      </c>
      <c r="L9190">
        <v>0</v>
      </c>
      <c r="M9190">
        <v>8</v>
      </c>
      <c r="N9190" t="s">
        <v>41</v>
      </c>
      <c r="O9190" t="s">
        <v>27</v>
      </c>
      <c r="P9190">
        <v>3.61367932529798</v>
      </c>
      <c r="Q9190">
        <v>1.83513447906413</v>
      </c>
      <c r="R9190">
        <v>6.2279604865964204</v>
      </c>
      <c r="S9190">
        <v>135</v>
      </c>
      <c r="T9190">
        <v>64</v>
      </c>
      <c r="U9190">
        <v>479.924164420164</v>
      </c>
      <c r="V9190">
        <v>2.8776978417266101E-3</v>
      </c>
      <c r="W9190">
        <v>1563330.0203565201</v>
      </c>
      <c r="X9190" t="s">
        <v>39</v>
      </c>
      <c r="Y9190">
        <f>1-690-404-1337</f>
        <v>-2430</v>
      </c>
    </row>
    <row r="9191" spans="1:25" x14ac:dyDescent="0.35">
      <c r="A9191">
        <v>33.408132355950102</v>
      </c>
      <c r="B9191">
        <v>-122.498575757114</v>
      </c>
      <c r="C9191" t="s">
        <v>25</v>
      </c>
      <c r="D9191">
        <v>42.016917837666597</v>
      </c>
      <c r="E9191">
        <v>0</v>
      </c>
      <c r="F9191">
        <v>1876</v>
      </c>
      <c r="G9191">
        <v>2</v>
      </c>
      <c r="H9191">
        <v>3</v>
      </c>
      <c r="I9191">
        <v>1983</v>
      </c>
      <c r="J9191">
        <v>1</v>
      </c>
      <c r="K9191">
        <v>0</v>
      </c>
      <c r="L9191">
        <v>0</v>
      </c>
      <c r="M9191">
        <v>3</v>
      </c>
      <c r="N9191" t="s">
        <v>26</v>
      </c>
      <c r="O9191" t="s">
        <v>32</v>
      </c>
      <c r="P9191">
        <v>9.5740825610015605</v>
      </c>
      <c r="Q9191">
        <v>1.8864708118306299</v>
      </c>
      <c r="R9191">
        <v>1.50071963710558</v>
      </c>
      <c r="S9191">
        <v>124</v>
      </c>
      <c r="T9191">
        <v>28</v>
      </c>
      <c r="U9191">
        <v>630.83933905483002</v>
      </c>
      <c r="V9191">
        <v>1.5991471215351799E-3</v>
      </c>
      <c r="W9191">
        <v>1468978.2500861201</v>
      </c>
      <c r="X9191" t="s">
        <v>31</v>
      </c>
      <c r="Y9191">
        <f>1-219-692-1329</f>
        <v>-2239</v>
      </c>
    </row>
    <row r="9192" spans="1:25" x14ac:dyDescent="0.35">
      <c r="A9192">
        <v>38.064795245515299</v>
      </c>
      <c r="B9192">
        <v>-116.87127805541201</v>
      </c>
      <c r="C9192" t="s">
        <v>34</v>
      </c>
      <c r="D9192">
        <v>49.160927609578899</v>
      </c>
      <c r="E9192">
        <v>7</v>
      </c>
      <c r="F9192">
        <v>2434</v>
      </c>
      <c r="G9192">
        <v>1</v>
      </c>
      <c r="H9192">
        <v>2</v>
      </c>
      <c r="I9192">
        <v>1988</v>
      </c>
      <c r="J9192">
        <v>0</v>
      </c>
      <c r="K9192">
        <v>1</v>
      </c>
      <c r="L9192">
        <v>1</v>
      </c>
      <c r="M9192">
        <v>9</v>
      </c>
      <c r="N9192" t="s">
        <v>26</v>
      </c>
      <c r="O9192" t="s">
        <v>27</v>
      </c>
      <c r="P9192">
        <v>8.8918040873893407</v>
      </c>
      <c r="Q9192">
        <v>0.82134657524051302</v>
      </c>
      <c r="R9192">
        <v>8.8172884839135808</v>
      </c>
      <c r="S9192">
        <v>99</v>
      </c>
      <c r="T9192">
        <v>26</v>
      </c>
      <c r="U9192">
        <v>686.99639721840003</v>
      </c>
      <c r="V9192">
        <v>3.6976170912078801E-3</v>
      </c>
      <c r="W9192">
        <v>1954770.58463721</v>
      </c>
      <c r="X9192" t="s">
        <v>28</v>
      </c>
      <c r="Y9192">
        <f>1-330-777-3176</f>
        <v>-4282</v>
      </c>
    </row>
    <row r="9193" spans="1:25" x14ac:dyDescent="0.35">
      <c r="A9193">
        <v>34.396123889028601</v>
      </c>
      <c r="B9193">
        <v>-124.26529358678</v>
      </c>
      <c r="C9193" t="s">
        <v>29</v>
      </c>
      <c r="D9193">
        <v>13.7468843597721</v>
      </c>
      <c r="E9193">
        <v>8</v>
      </c>
      <c r="F9193">
        <v>4202</v>
      </c>
      <c r="G9193">
        <v>4</v>
      </c>
      <c r="H9193">
        <v>3</v>
      </c>
      <c r="I9193">
        <v>1984</v>
      </c>
      <c r="J9193">
        <v>1</v>
      </c>
      <c r="K9193">
        <v>0</v>
      </c>
      <c r="L9193">
        <v>0</v>
      </c>
      <c r="M9193">
        <v>3</v>
      </c>
      <c r="N9193" t="s">
        <v>37</v>
      </c>
      <c r="O9193" t="s">
        <v>27</v>
      </c>
      <c r="P9193">
        <v>10.410666180923201</v>
      </c>
      <c r="Q9193">
        <v>1.96981984206518</v>
      </c>
      <c r="R9193">
        <v>7.4397354300855199</v>
      </c>
      <c r="S9193">
        <v>25</v>
      </c>
      <c r="T9193">
        <v>30</v>
      </c>
      <c r="U9193">
        <v>282.62666859977799</v>
      </c>
      <c r="V9193">
        <v>7.1394574012374995E-4</v>
      </c>
      <c r="W9193">
        <v>1580351.5632406501</v>
      </c>
      <c r="X9193" t="s">
        <v>42</v>
      </c>
      <c r="Y9193">
        <f>1-317-295-1786</f>
        <v>-2397</v>
      </c>
    </row>
    <row r="9194" spans="1:25" x14ac:dyDescent="0.35">
      <c r="A9194">
        <v>36.449922436392399</v>
      </c>
      <c r="B9194">
        <v>-117.69259861276799</v>
      </c>
      <c r="C9194" t="s">
        <v>34</v>
      </c>
      <c r="D9194">
        <v>48.064259118833597</v>
      </c>
      <c r="E9194">
        <v>4</v>
      </c>
      <c r="F9194">
        <v>3269</v>
      </c>
      <c r="G9194">
        <v>5</v>
      </c>
      <c r="H9194">
        <v>2</v>
      </c>
      <c r="I9194">
        <v>1968</v>
      </c>
      <c r="J9194">
        <v>1</v>
      </c>
      <c r="K9194">
        <v>0</v>
      </c>
      <c r="L9194">
        <v>1</v>
      </c>
      <c r="M9194">
        <v>5</v>
      </c>
      <c r="N9194" t="s">
        <v>35</v>
      </c>
      <c r="O9194" t="s">
        <v>27</v>
      </c>
      <c r="P9194">
        <v>5.9662407207094503</v>
      </c>
      <c r="Q9194">
        <v>1.2146851829180501</v>
      </c>
      <c r="R9194">
        <v>0.460416897595403</v>
      </c>
      <c r="S9194">
        <v>150</v>
      </c>
      <c r="T9194">
        <v>79</v>
      </c>
      <c r="U9194">
        <v>447.60476520360299</v>
      </c>
      <c r="V9194">
        <v>1.52951973080452E-3</v>
      </c>
      <c r="W9194">
        <v>1804209.7079320501</v>
      </c>
      <c r="X9194" t="s">
        <v>36</v>
      </c>
      <c r="Y9194">
        <f>1-637-481-1823</f>
        <v>-2940</v>
      </c>
    </row>
    <row r="9195" spans="1:25" x14ac:dyDescent="0.35">
      <c r="A9195">
        <v>41.704382106862603</v>
      </c>
      <c r="B9195">
        <v>-121.78303266564799</v>
      </c>
      <c r="C9195" t="s">
        <v>25</v>
      </c>
      <c r="D9195">
        <v>36.061453426978403</v>
      </c>
      <c r="E9195">
        <v>9</v>
      </c>
      <c r="F9195">
        <v>2372</v>
      </c>
      <c r="G9195">
        <v>4</v>
      </c>
      <c r="H9195">
        <v>3</v>
      </c>
      <c r="I9195">
        <v>2014</v>
      </c>
      <c r="J9195">
        <v>1</v>
      </c>
      <c r="K9195">
        <v>0</v>
      </c>
      <c r="L9195">
        <v>0</v>
      </c>
      <c r="M9195">
        <v>13</v>
      </c>
      <c r="N9195" t="s">
        <v>37</v>
      </c>
      <c r="O9195" t="s">
        <v>30</v>
      </c>
      <c r="P9195">
        <v>3.2739467425995601</v>
      </c>
      <c r="Q9195">
        <v>0.57034028036615703</v>
      </c>
      <c r="R9195">
        <v>9.6021869118866192</v>
      </c>
      <c r="S9195">
        <v>42</v>
      </c>
      <c r="T9195">
        <v>78</v>
      </c>
      <c r="U9195">
        <v>628.09027013542698</v>
      </c>
      <c r="V9195">
        <v>5.4806070826306898E-3</v>
      </c>
      <c r="W9195">
        <v>1765070.5569412501</v>
      </c>
      <c r="X9195" t="s">
        <v>38</v>
      </c>
      <c r="Y9195">
        <f>1-427-106-8052</f>
        <v>-8584</v>
      </c>
    </row>
    <row r="9196" spans="1:25" x14ac:dyDescent="0.35">
      <c r="A9196">
        <v>36.016405836926801</v>
      </c>
      <c r="B9196">
        <v>-118.437208617596</v>
      </c>
      <c r="C9196" t="s">
        <v>29</v>
      </c>
      <c r="D9196">
        <v>18.135909985016799</v>
      </c>
      <c r="E9196">
        <v>7</v>
      </c>
      <c r="F9196">
        <v>2179</v>
      </c>
      <c r="G9196">
        <v>5</v>
      </c>
      <c r="H9196">
        <v>3</v>
      </c>
      <c r="I9196">
        <v>1982</v>
      </c>
      <c r="J9196">
        <v>1</v>
      </c>
      <c r="K9196">
        <v>1</v>
      </c>
      <c r="L9196">
        <v>0</v>
      </c>
      <c r="M9196">
        <v>12</v>
      </c>
      <c r="N9196" t="s">
        <v>26</v>
      </c>
      <c r="O9196" t="s">
        <v>32</v>
      </c>
      <c r="P9196">
        <v>3.3661121839809498</v>
      </c>
      <c r="Q9196">
        <v>1.06466974587926</v>
      </c>
      <c r="R9196">
        <v>0.52413422167046997</v>
      </c>
      <c r="S9196">
        <v>55</v>
      </c>
      <c r="T9196">
        <v>27</v>
      </c>
      <c r="U9196">
        <v>414.43081853305699</v>
      </c>
      <c r="V9196">
        <v>5.5071133547498798E-3</v>
      </c>
      <c r="W9196">
        <v>1290481.9378895999</v>
      </c>
      <c r="X9196" t="s">
        <v>40</v>
      </c>
      <c r="Y9196">
        <f>1-850-295-4397</f>
        <v>-5541</v>
      </c>
    </row>
    <row r="9197" spans="1:25" x14ac:dyDescent="0.35">
      <c r="A9197">
        <v>40.506866404023199</v>
      </c>
      <c r="B9197">
        <v>-116.29296975855701</v>
      </c>
      <c r="C9197" t="s">
        <v>34</v>
      </c>
      <c r="D9197">
        <v>34.682632900913603</v>
      </c>
      <c r="E9197">
        <v>8</v>
      </c>
      <c r="F9197">
        <v>861</v>
      </c>
      <c r="G9197">
        <v>5</v>
      </c>
      <c r="H9197">
        <v>1</v>
      </c>
      <c r="I9197">
        <v>1981</v>
      </c>
      <c r="J9197">
        <v>1</v>
      </c>
      <c r="K9197">
        <v>1</v>
      </c>
      <c r="L9197">
        <v>1</v>
      </c>
      <c r="M9197">
        <v>5</v>
      </c>
      <c r="N9197" t="s">
        <v>26</v>
      </c>
      <c r="O9197" t="s">
        <v>32</v>
      </c>
      <c r="P9197">
        <v>3.4050252650773198</v>
      </c>
      <c r="Q9197">
        <v>1.9796704280805399</v>
      </c>
      <c r="R9197">
        <v>3.3322350333546602</v>
      </c>
      <c r="S9197">
        <v>33</v>
      </c>
      <c r="T9197">
        <v>37</v>
      </c>
      <c r="U9197">
        <v>497.41015040865</v>
      </c>
      <c r="V9197">
        <v>5.80720092915214E-3</v>
      </c>
      <c r="W9197">
        <v>875859.63207276899</v>
      </c>
      <c r="X9197" t="s">
        <v>42</v>
      </c>
      <c r="Y9197">
        <f>1-452-610-4366</f>
        <v>-5427</v>
      </c>
    </row>
    <row r="9198" spans="1:25" x14ac:dyDescent="0.35">
      <c r="A9198">
        <v>32.737180696608398</v>
      </c>
      <c r="B9198">
        <v>-119.05889126082</v>
      </c>
      <c r="C9198" t="s">
        <v>25</v>
      </c>
      <c r="D9198">
        <v>5.1593313228193303</v>
      </c>
      <c r="E9198">
        <v>8</v>
      </c>
      <c r="F9198">
        <v>1123</v>
      </c>
      <c r="G9198">
        <v>1</v>
      </c>
      <c r="H9198">
        <v>1</v>
      </c>
      <c r="I9198">
        <v>1988</v>
      </c>
      <c r="J9198">
        <v>0</v>
      </c>
      <c r="K9198">
        <v>0</v>
      </c>
      <c r="L9198">
        <v>0</v>
      </c>
      <c r="M9198">
        <v>6</v>
      </c>
      <c r="N9198" t="s">
        <v>41</v>
      </c>
      <c r="O9198" t="s">
        <v>30</v>
      </c>
      <c r="P9198">
        <v>12.079517336871801</v>
      </c>
      <c r="Q9198">
        <v>2.2809425378325199</v>
      </c>
      <c r="R9198">
        <v>4.5380529141472197</v>
      </c>
      <c r="S9198">
        <v>165</v>
      </c>
      <c r="T9198">
        <v>37</v>
      </c>
      <c r="U9198">
        <v>726.43958915189603</v>
      </c>
      <c r="V9198">
        <v>5.3428317008014196E-3</v>
      </c>
      <c r="W9198">
        <v>918454.49533268495</v>
      </c>
      <c r="X9198" t="s">
        <v>39</v>
      </c>
      <c r="Y9198">
        <f>1-617-869-6282</f>
        <v>-7767</v>
      </c>
    </row>
    <row r="9199" spans="1:25" x14ac:dyDescent="0.35">
      <c r="A9199">
        <v>34.961446737617898</v>
      </c>
      <c r="B9199">
        <v>-114.14038204180299</v>
      </c>
      <c r="C9199" t="s">
        <v>29</v>
      </c>
      <c r="D9199">
        <v>44.444204164913899</v>
      </c>
      <c r="E9199">
        <v>5</v>
      </c>
      <c r="F9199">
        <v>4258</v>
      </c>
      <c r="G9199">
        <v>1</v>
      </c>
      <c r="H9199">
        <v>2</v>
      </c>
      <c r="I9199">
        <v>1970</v>
      </c>
      <c r="J9199">
        <v>0</v>
      </c>
      <c r="K9199">
        <v>0</v>
      </c>
      <c r="L9199">
        <v>1</v>
      </c>
      <c r="M9199">
        <v>6</v>
      </c>
      <c r="N9199" t="s">
        <v>37</v>
      </c>
      <c r="O9199" t="s">
        <v>30</v>
      </c>
      <c r="P9199">
        <v>7.2312180567195501</v>
      </c>
      <c r="Q9199">
        <v>1.5445743474339</v>
      </c>
      <c r="R9199">
        <v>8.4109664235967507</v>
      </c>
      <c r="S9199">
        <v>17</v>
      </c>
      <c r="T9199">
        <v>20</v>
      </c>
      <c r="U9199">
        <v>382.04186169253501</v>
      </c>
      <c r="V9199">
        <v>1.40911225927665E-3</v>
      </c>
      <c r="W9199">
        <v>1693704.1296013501</v>
      </c>
      <c r="X9199" t="s">
        <v>43</v>
      </c>
      <c r="Y9199">
        <f>1-422-564-7931</f>
        <v>-8916</v>
      </c>
    </row>
    <row r="9200" spans="1:25" x14ac:dyDescent="0.35">
      <c r="A9200">
        <v>36.123526426767398</v>
      </c>
      <c r="B9200">
        <v>-119.739069784167</v>
      </c>
      <c r="C9200" t="s">
        <v>34</v>
      </c>
      <c r="D9200">
        <v>39.977626408229703</v>
      </c>
      <c r="E9200">
        <v>1</v>
      </c>
      <c r="F9200">
        <v>4575</v>
      </c>
      <c r="G9200">
        <v>1</v>
      </c>
      <c r="H9200">
        <v>2</v>
      </c>
      <c r="I9200">
        <v>1959</v>
      </c>
      <c r="J9200">
        <v>1</v>
      </c>
      <c r="K9200">
        <v>0</v>
      </c>
      <c r="L9200">
        <v>1</v>
      </c>
      <c r="M9200">
        <v>2</v>
      </c>
      <c r="N9200" t="s">
        <v>26</v>
      </c>
      <c r="O9200" t="s">
        <v>30</v>
      </c>
      <c r="P9200">
        <v>12.2677033028093</v>
      </c>
      <c r="Q9200">
        <v>1.7013364075591</v>
      </c>
      <c r="R9200">
        <v>1.85452240230748</v>
      </c>
      <c r="S9200">
        <v>1</v>
      </c>
      <c r="T9200">
        <v>44</v>
      </c>
      <c r="U9200">
        <v>766.72028994601601</v>
      </c>
      <c r="V9200">
        <v>4.3715846994535497E-4</v>
      </c>
      <c r="W9200">
        <v>3749743.63378795</v>
      </c>
      <c r="X9200" t="s">
        <v>28</v>
      </c>
      <c r="Y9200">
        <f>1-326-243-2171</f>
        <v>-2739</v>
      </c>
    </row>
    <row r="9201" spans="1:25" x14ac:dyDescent="0.35">
      <c r="A9201">
        <v>37.270891614516202</v>
      </c>
      <c r="B9201">
        <v>-115.75559797900701</v>
      </c>
      <c r="C9201" t="s">
        <v>29</v>
      </c>
      <c r="D9201">
        <v>18.415876675124998</v>
      </c>
      <c r="E9201">
        <v>3</v>
      </c>
      <c r="F9201">
        <v>2792</v>
      </c>
      <c r="G9201">
        <v>3</v>
      </c>
      <c r="H9201">
        <v>1</v>
      </c>
      <c r="I9201">
        <v>1977</v>
      </c>
      <c r="J9201">
        <v>1</v>
      </c>
      <c r="K9201">
        <v>0</v>
      </c>
      <c r="L9201">
        <v>0</v>
      </c>
      <c r="M9201">
        <v>8</v>
      </c>
      <c r="N9201" t="s">
        <v>35</v>
      </c>
      <c r="O9201" t="s">
        <v>32</v>
      </c>
      <c r="P9201">
        <v>9.0813935706556101</v>
      </c>
      <c r="Q9201">
        <v>1.9054355148382001</v>
      </c>
      <c r="R9201">
        <v>8.7654280338530093</v>
      </c>
      <c r="S9201">
        <v>186</v>
      </c>
      <c r="T9201">
        <v>41</v>
      </c>
      <c r="U9201">
        <v>635.65661568213102</v>
      </c>
      <c r="V9201">
        <v>2.8653295128939801E-3</v>
      </c>
      <c r="W9201">
        <v>1939912.1903188799</v>
      </c>
      <c r="X9201" t="s">
        <v>33</v>
      </c>
      <c r="Y9201">
        <f>1-733-708-2428</f>
        <v>-3868</v>
      </c>
    </row>
    <row r="9202" spans="1:25" x14ac:dyDescent="0.35">
      <c r="A9202">
        <v>33.553720851981502</v>
      </c>
      <c r="B9202">
        <v>-120.09299998045699</v>
      </c>
      <c r="C9202" t="s">
        <v>29</v>
      </c>
      <c r="D9202">
        <v>9.3708965470777894</v>
      </c>
      <c r="E9202">
        <v>7</v>
      </c>
      <c r="F9202">
        <v>2869</v>
      </c>
      <c r="G9202">
        <v>3</v>
      </c>
      <c r="H9202">
        <v>2</v>
      </c>
      <c r="I9202">
        <v>2007</v>
      </c>
      <c r="J9202">
        <v>1</v>
      </c>
      <c r="K9202">
        <v>0</v>
      </c>
      <c r="L9202">
        <v>0</v>
      </c>
      <c r="M9202">
        <v>10</v>
      </c>
      <c r="N9202" t="s">
        <v>26</v>
      </c>
      <c r="O9202" t="s">
        <v>32</v>
      </c>
      <c r="P9202">
        <v>11.6621640808047</v>
      </c>
      <c r="Q9202">
        <v>2.4518283242625398</v>
      </c>
      <c r="R9202">
        <v>0.76697861865111905</v>
      </c>
      <c r="S9202">
        <v>37</v>
      </c>
      <c r="T9202">
        <v>38</v>
      </c>
      <c r="U9202">
        <v>597.67544219665399</v>
      </c>
      <c r="V9202">
        <v>3.4855350296270401E-3</v>
      </c>
      <c r="W9202">
        <v>2023062.71463692</v>
      </c>
      <c r="X9202" t="s">
        <v>36</v>
      </c>
      <c r="Y9202">
        <f>1-402-514-1458</f>
        <v>-2373</v>
      </c>
    </row>
    <row r="9203" spans="1:25" x14ac:dyDescent="0.35">
      <c r="A9203">
        <v>38.0409343489763</v>
      </c>
      <c r="B9203">
        <v>-115.539366363197</v>
      </c>
      <c r="C9203" t="s">
        <v>25</v>
      </c>
      <c r="D9203">
        <v>21.1292316675306</v>
      </c>
      <c r="E9203">
        <v>6</v>
      </c>
      <c r="F9203">
        <v>2429</v>
      </c>
      <c r="G9203">
        <v>3</v>
      </c>
      <c r="H9203">
        <v>1</v>
      </c>
      <c r="I9203">
        <v>1998</v>
      </c>
      <c r="J9203">
        <v>0</v>
      </c>
      <c r="K9203">
        <v>0</v>
      </c>
      <c r="L9203">
        <v>1</v>
      </c>
      <c r="M9203">
        <v>12</v>
      </c>
      <c r="N9203" t="s">
        <v>26</v>
      </c>
      <c r="O9203" t="s">
        <v>27</v>
      </c>
      <c r="P9203">
        <v>4.0504511966029302</v>
      </c>
      <c r="Q9203">
        <v>0.65936572090069601</v>
      </c>
      <c r="R9203">
        <v>7.5966229384516302</v>
      </c>
      <c r="S9203">
        <v>127</v>
      </c>
      <c r="T9203">
        <v>54</v>
      </c>
      <c r="U9203">
        <v>474.33647687765199</v>
      </c>
      <c r="V9203">
        <v>4.9403046521202098E-3</v>
      </c>
      <c r="W9203">
        <v>1281547.86506639</v>
      </c>
      <c r="X9203" t="s">
        <v>28</v>
      </c>
      <c r="Y9203">
        <f>1-245-769-7391</f>
        <v>-8404</v>
      </c>
    </row>
    <row r="9204" spans="1:25" x14ac:dyDescent="0.35">
      <c r="A9204">
        <v>37.474135212104898</v>
      </c>
      <c r="B9204">
        <v>-116.28597726301901</v>
      </c>
      <c r="C9204" t="s">
        <v>25</v>
      </c>
      <c r="D9204">
        <v>41.875717264561501</v>
      </c>
      <c r="E9204">
        <v>6</v>
      </c>
      <c r="F9204">
        <v>3860</v>
      </c>
      <c r="G9204">
        <v>4</v>
      </c>
      <c r="H9204">
        <v>2</v>
      </c>
      <c r="I9204">
        <v>1978</v>
      </c>
      <c r="J9204">
        <v>1</v>
      </c>
      <c r="K9204">
        <v>1</v>
      </c>
      <c r="L9204">
        <v>1</v>
      </c>
      <c r="M9204">
        <v>13</v>
      </c>
      <c r="N9204" t="s">
        <v>26</v>
      </c>
      <c r="O9204" t="s">
        <v>27</v>
      </c>
      <c r="P9204">
        <v>7.7184909028419604</v>
      </c>
      <c r="Q9204">
        <v>1.3958257277127599</v>
      </c>
      <c r="R9204">
        <v>0.92968830631286303</v>
      </c>
      <c r="S9204">
        <v>148</v>
      </c>
      <c r="T9204">
        <v>36</v>
      </c>
      <c r="U9204">
        <v>499.73638451472999</v>
      </c>
      <c r="V9204">
        <v>3.36787564766839E-3</v>
      </c>
      <c r="W9204">
        <v>2300278.5866902298</v>
      </c>
      <c r="X9204" t="s">
        <v>38</v>
      </c>
      <c r="Y9204">
        <f>1-712-905-3076</f>
        <v>-4692</v>
      </c>
    </row>
    <row r="9205" spans="1:25" x14ac:dyDescent="0.35">
      <c r="A9205">
        <v>36.927684397269303</v>
      </c>
      <c r="B9205">
        <v>-115.464524671462</v>
      </c>
      <c r="C9205" t="s">
        <v>34</v>
      </c>
      <c r="D9205">
        <v>17.550387925902498</v>
      </c>
      <c r="E9205">
        <v>2</v>
      </c>
      <c r="F9205">
        <v>4645</v>
      </c>
      <c r="G9205">
        <v>5</v>
      </c>
      <c r="H9205">
        <v>1</v>
      </c>
      <c r="I9205">
        <v>2009</v>
      </c>
      <c r="J9205">
        <v>0</v>
      </c>
      <c r="K9205">
        <v>1</v>
      </c>
      <c r="L9205">
        <v>0</v>
      </c>
      <c r="M9205">
        <v>5</v>
      </c>
      <c r="N9205" t="s">
        <v>41</v>
      </c>
      <c r="O9205" t="s">
        <v>32</v>
      </c>
      <c r="P9205">
        <v>7.5146789799834703</v>
      </c>
      <c r="Q9205">
        <v>1.2793973450285701</v>
      </c>
      <c r="R9205">
        <v>6.2083662850792498</v>
      </c>
      <c r="S9205">
        <v>32</v>
      </c>
      <c r="T9205">
        <v>58</v>
      </c>
      <c r="U9205">
        <v>664.80230446748703</v>
      </c>
      <c r="V9205">
        <v>1.07642626480086E-3</v>
      </c>
      <c r="W9205">
        <v>3526226.79591764</v>
      </c>
      <c r="X9205" t="s">
        <v>43</v>
      </c>
      <c r="Y9205">
        <f>1-942-297-7637</f>
        <v>-8875</v>
      </c>
    </row>
    <row r="9206" spans="1:25" x14ac:dyDescent="0.35">
      <c r="A9206">
        <v>39.655523333956801</v>
      </c>
      <c r="B9206">
        <v>-116.739159883139</v>
      </c>
      <c r="C9206" t="s">
        <v>34</v>
      </c>
      <c r="D9206">
        <v>22.077795905715199</v>
      </c>
      <c r="E9206">
        <v>1</v>
      </c>
      <c r="F9206">
        <v>546</v>
      </c>
      <c r="G9206">
        <v>2</v>
      </c>
      <c r="H9206">
        <v>2</v>
      </c>
      <c r="I9206">
        <v>1964</v>
      </c>
      <c r="J9206">
        <v>1</v>
      </c>
      <c r="K9206">
        <v>1</v>
      </c>
      <c r="L9206">
        <v>0</v>
      </c>
      <c r="M9206">
        <v>5</v>
      </c>
      <c r="N9206" t="s">
        <v>37</v>
      </c>
      <c r="O9206" t="s">
        <v>27</v>
      </c>
      <c r="P9206">
        <v>12.827243171106799</v>
      </c>
      <c r="Q9206">
        <v>0.53150368668030601</v>
      </c>
      <c r="R9206">
        <v>5.0781180856244497</v>
      </c>
      <c r="S9206">
        <v>50</v>
      </c>
      <c r="T9206">
        <v>42</v>
      </c>
      <c r="U9206">
        <v>653.83460116363801</v>
      </c>
      <c r="V9206">
        <v>9.1575091575091493E-3</v>
      </c>
      <c r="W9206">
        <v>701623.27866619104</v>
      </c>
      <c r="X9206" t="s">
        <v>43</v>
      </c>
      <c r="Y9206">
        <f>1-774-490-2661</f>
        <v>-3924</v>
      </c>
    </row>
    <row r="9207" spans="1:25" x14ac:dyDescent="0.35">
      <c r="A9207">
        <v>37.891462125888502</v>
      </c>
      <c r="B9207">
        <v>-116.577162066019</v>
      </c>
      <c r="C9207" t="s">
        <v>34</v>
      </c>
      <c r="D9207">
        <v>43.973113135177698</v>
      </c>
      <c r="E9207">
        <v>8</v>
      </c>
      <c r="F9207">
        <v>3810</v>
      </c>
      <c r="G9207">
        <v>5</v>
      </c>
      <c r="H9207">
        <v>2</v>
      </c>
      <c r="I9207">
        <v>1971</v>
      </c>
      <c r="J9207">
        <v>1</v>
      </c>
      <c r="K9207">
        <v>1</v>
      </c>
      <c r="L9207">
        <v>1</v>
      </c>
      <c r="M9207">
        <v>5</v>
      </c>
      <c r="N9207" t="s">
        <v>41</v>
      </c>
      <c r="O9207" t="s">
        <v>27</v>
      </c>
      <c r="P9207">
        <v>7.7067150601389898</v>
      </c>
      <c r="Q9207">
        <v>0.69535112949185096</v>
      </c>
      <c r="R9207">
        <v>9.2315950285925492</v>
      </c>
      <c r="S9207">
        <v>85</v>
      </c>
      <c r="T9207">
        <v>40</v>
      </c>
      <c r="U9207">
        <v>263.29900277869302</v>
      </c>
      <c r="V9207">
        <v>1.31233595800524E-3</v>
      </c>
      <c r="W9207">
        <v>1437810.17376645</v>
      </c>
      <c r="X9207" t="s">
        <v>43</v>
      </c>
      <c r="Y9207">
        <f>1-401-124-6516</f>
        <v>-7040</v>
      </c>
    </row>
    <row r="9208" spans="1:25" x14ac:dyDescent="0.35">
      <c r="A9208">
        <v>38.896432504503601</v>
      </c>
      <c r="B9208">
        <v>-117.459219969351</v>
      </c>
      <c r="C9208" t="s">
        <v>29</v>
      </c>
      <c r="D9208">
        <v>16.215624572354201</v>
      </c>
      <c r="E9208">
        <v>2</v>
      </c>
      <c r="F9208">
        <v>4131</v>
      </c>
      <c r="G9208">
        <v>5</v>
      </c>
      <c r="H9208">
        <v>1</v>
      </c>
      <c r="I9208">
        <v>1960</v>
      </c>
      <c r="J9208">
        <v>0</v>
      </c>
      <c r="K9208">
        <v>0</v>
      </c>
      <c r="L9208">
        <v>1</v>
      </c>
      <c r="M9208">
        <v>7</v>
      </c>
      <c r="N9208" t="s">
        <v>26</v>
      </c>
      <c r="O9208" t="s">
        <v>27</v>
      </c>
      <c r="P9208">
        <v>6.6567946803246798</v>
      </c>
      <c r="Q9208">
        <v>1.97366195288655</v>
      </c>
      <c r="R9208">
        <v>0.72441800036052795</v>
      </c>
      <c r="S9208">
        <v>38</v>
      </c>
      <c r="T9208">
        <v>32</v>
      </c>
      <c r="U9208">
        <v>237.64047783434901</v>
      </c>
      <c r="V9208">
        <v>1.6945049624788101E-3</v>
      </c>
      <c r="W9208">
        <v>1243381.91671796</v>
      </c>
      <c r="X9208" t="s">
        <v>42</v>
      </c>
      <c r="Y9208">
        <f>1-816-375-4777</f>
        <v>-5967</v>
      </c>
    </row>
    <row r="9209" spans="1:25" x14ac:dyDescent="0.35">
      <c r="A9209">
        <v>38.771281621962402</v>
      </c>
      <c r="B9209">
        <v>-121.40816612772601</v>
      </c>
      <c r="C9209" t="s">
        <v>25</v>
      </c>
      <c r="D9209">
        <v>9.4045764640390495</v>
      </c>
      <c r="E9209">
        <v>1</v>
      </c>
      <c r="F9209">
        <v>3670</v>
      </c>
      <c r="G9209">
        <v>2</v>
      </c>
      <c r="H9209">
        <v>3</v>
      </c>
      <c r="I9209">
        <v>1989</v>
      </c>
      <c r="J9209">
        <v>0</v>
      </c>
      <c r="K9209">
        <v>1</v>
      </c>
      <c r="L9209">
        <v>1</v>
      </c>
      <c r="M9209">
        <v>7</v>
      </c>
      <c r="N9209" t="s">
        <v>41</v>
      </c>
      <c r="O9209" t="s">
        <v>27</v>
      </c>
      <c r="P9209">
        <v>9.3097470391448507</v>
      </c>
      <c r="Q9209">
        <v>1.7534271871145</v>
      </c>
      <c r="R9209">
        <v>7.5131681543604403</v>
      </c>
      <c r="S9209">
        <v>147</v>
      </c>
      <c r="T9209">
        <v>39</v>
      </c>
      <c r="U9209">
        <v>457.716435079787</v>
      </c>
      <c r="V9209">
        <v>1.90735694822888E-3</v>
      </c>
      <c r="W9209">
        <v>1944006.74778985</v>
      </c>
      <c r="X9209" t="s">
        <v>38</v>
      </c>
      <c r="Y9209">
        <f>1-829-108-7482</f>
        <v>-8418</v>
      </c>
    </row>
    <row r="9210" spans="1:25" x14ac:dyDescent="0.35">
      <c r="A9210">
        <v>33.062334325441803</v>
      </c>
      <c r="B9210">
        <v>-118.761101029353</v>
      </c>
      <c r="C9210" t="s">
        <v>25</v>
      </c>
      <c r="D9210">
        <v>2.2451308076138798</v>
      </c>
      <c r="E9210">
        <v>5</v>
      </c>
      <c r="F9210">
        <v>1227</v>
      </c>
      <c r="G9210">
        <v>3</v>
      </c>
      <c r="H9210">
        <v>1</v>
      </c>
      <c r="I9210">
        <v>1977</v>
      </c>
      <c r="J9210">
        <v>1</v>
      </c>
      <c r="K9210">
        <v>1</v>
      </c>
      <c r="L9210">
        <v>1</v>
      </c>
      <c r="M9210">
        <v>13</v>
      </c>
      <c r="N9210" t="s">
        <v>41</v>
      </c>
      <c r="O9210" t="s">
        <v>32</v>
      </c>
      <c r="P9210">
        <v>5.5635038551453704</v>
      </c>
      <c r="Q9210">
        <v>2.4408987043830899</v>
      </c>
      <c r="R9210">
        <v>7.0358210179114398</v>
      </c>
      <c r="S9210">
        <v>143</v>
      </c>
      <c r="T9210">
        <v>49</v>
      </c>
      <c r="U9210">
        <v>400.86680540475697</v>
      </c>
      <c r="V9210">
        <v>1.0594947025264799E-2</v>
      </c>
      <c r="W9210">
        <v>862384.65874994104</v>
      </c>
      <c r="X9210" t="s">
        <v>44</v>
      </c>
      <c r="Y9210">
        <f>1-519-237-4218</f>
        <v>-4973</v>
      </c>
    </row>
    <row r="9211" spans="1:25" x14ac:dyDescent="0.35">
      <c r="A9211">
        <v>33.554240238871003</v>
      </c>
      <c r="B9211">
        <v>-115.090169646826</v>
      </c>
      <c r="C9211" t="s">
        <v>25</v>
      </c>
      <c r="D9211">
        <v>13.917490158247499</v>
      </c>
      <c r="E9211">
        <v>8</v>
      </c>
      <c r="F9211">
        <v>1341</v>
      </c>
      <c r="G9211">
        <v>5</v>
      </c>
      <c r="H9211">
        <v>2</v>
      </c>
      <c r="I9211">
        <v>1956</v>
      </c>
      <c r="J9211">
        <v>1</v>
      </c>
      <c r="K9211">
        <v>0</v>
      </c>
      <c r="L9211">
        <v>0</v>
      </c>
      <c r="M9211">
        <v>9</v>
      </c>
      <c r="N9211" t="s">
        <v>37</v>
      </c>
      <c r="O9211" t="s">
        <v>27</v>
      </c>
      <c r="P9211">
        <v>10.6310029334728</v>
      </c>
      <c r="Q9211">
        <v>2.1845498439652702</v>
      </c>
      <c r="R9211">
        <v>7.1591681307632502</v>
      </c>
      <c r="S9211">
        <v>25</v>
      </c>
      <c r="T9211">
        <v>50</v>
      </c>
      <c r="U9211">
        <v>412.56728812928401</v>
      </c>
      <c r="V9211">
        <v>6.7114093959731499E-3</v>
      </c>
      <c r="W9211">
        <v>949862.94596992806</v>
      </c>
      <c r="X9211" t="s">
        <v>43</v>
      </c>
      <c r="Y9211">
        <f>1-483-359-8767</f>
        <v>-9608</v>
      </c>
    </row>
    <row r="9212" spans="1:25" x14ac:dyDescent="0.35">
      <c r="A9212">
        <v>35.440637575110301</v>
      </c>
      <c r="B9212">
        <v>-123.41070580384201</v>
      </c>
      <c r="C9212" t="s">
        <v>29</v>
      </c>
      <c r="D9212">
        <v>29.393665734353299</v>
      </c>
      <c r="E9212">
        <v>5</v>
      </c>
      <c r="F9212">
        <v>4287</v>
      </c>
      <c r="G9212">
        <v>1</v>
      </c>
      <c r="H9212">
        <v>2</v>
      </c>
      <c r="I9212">
        <v>2003</v>
      </c>
      <c r="J9212">
        <v>1</v>
      </c>
      <c r="K9212">
        <v>0</v>
      </c>
      <c r="L9212">
        <v>0</v>
      </c>
      <c r="M9212">
        <v>3</v>
      </c>
      <c r="N9212" t="s">
        <v>26</v>
      </c>
      <c r="O9212" t="s">
        <v>32</v>
      </c>
      <c r="P9212">
        <v>2.5866323073307198</v>
      </c>
      <c r="Q9212">
        <v>1.99214231716176</v>
      </c>
      <c r="R9212">
        <v>9.4338249338744404</v>
      </c>
      <c r="S9212">
        <v>69</v>
      </c>
      <c r="T9212">
        <v>28</v>
      </c>
      <c r="U9212">
        <v>814.18922889867804</v>
      </c>
      <c r="V9212">
        <v>6.9979006298110497E-4</v>
      </c>
      <c r="W9212">
        <v>3577591.0971780601</v>
      </c>
      <c r="X9212" t="s">
        <v>33</v>
      </c>
      <c r="Y9212">
        <f>1-437-237-8616</f>
        <v>-9289</v>
      </c>
    </row>
    <row r="9213" spans="1:25" x14ac:dyDescent="0.35">
      <c r="A9213">
        <v>33.983173734066099</v>
      </c>
      <c r="B9213">
        <v>-124.397712061169</v>
      </c>
      <c r="C9213" t="s">
        <v>29</v>
      </c>
      <c r="D9213">
        <v>33.001803545276204</v>
      </c>
      <c r="E9213">
        <v>3</v>
      </c>
      <c r="F9213">
        <v>2590</v>
      </c>
      <c r="G9213">
        <v>3</v>
      </c>
      <c r="H9213">
        <v>3</v>
      </c>
      <c r="I9213">
        <v>2002</v>
      </c>
      <c r="J9213">
        <v>1</v>
      </c>
      <c r="K9213">
        <v>0</v>
      </c>
      <c r="L9213">
        <v>0</v>
      </c>
      <c r="M9213">
        <v>7</v>
      </c>
      <c r="N9213" t="s">
        <v>41</v>
      </c>
      <c r="O9213" t="s">
        <v>32</v>
      </c>
      <c r="P9213">
        <v>7.0047621915533398</v>
      </c>
      <c r="Q9213">
        <v>2.1663323268886501</v>
      </c>
      <c r="R9213">
        <v>7.6070094913189896</v>
      </c>
      <c r="S9213">
        <v>196</v>
      </c>
      <c r="T9213">
        <v>28</v>
      </c>
      <c r="U9213">
        <v>909.40208209501895</v>
      </c>
      <c r="V9213">
        <v>2.7027027027026998E-3</v>
      </c>
      <c r="W9213">
        <v>2573413.6342509999</v>
      </c>
      <c r="X9213" t="s">
        <v>40</v>
      </c>
      <c r="Y9213">
        <f>1-843-397-4951</f>
        <v>-6190</v>
      </c>
    </row>
    <row r="9214" spans="1:25" x14ac:dyDescent="0.35">
      <c r="A9214">
        <v>34.193141270531697</v>
      </c>
      <c r="B9214">
        <v>-116.51596253611901</v>
      </c>
      <c r="C9214" t="s">
        <v>34</v>
      </c>
      <c r="D9214">
        <v>15.970622639289999</v>
      </c>
      <c r="E9214">
        <v>2</v>
      </c>
      <c r="F9214">
        <v>1818</v>
      </c>
      <c r="G9214">
        <v>2</v>
      </c>
      <c r="H9214">
        <v>3</v>
      </c>
      <c r="I9214">
        <v>1990</v>
      </c>
      <c r="J9214">
        <v>0</v>
      </c>
      <c r="K9214">
        <v>1</v>
      </c>
      <c r="L9214">
        <v>1</v>
      </c>
      <c r="M9214">
        <v>9</v>
      </c>
      <c r="N9214" t="s">
        <v>41</v>
      </c>
      <c r="O9214" t="s">
        <v>32</v>
      </c>
      <c r="P9214">
        <v>14.1659201556922</v>
      </c>
      <c r="Q9214">
        <v>1.5271416266925</v>
      </c>
      <c r="R9214">
        <v>6.4790650057198702</v>
      </c>
      <c r="S9214">
        <v>192</v>
      </c>
      <c r="T9214">
        <v>55</v>
      </c>
      <c r="U9214">
        <v>353.19522095126098</v>
      </c>
      <c r="V9214">
        <v>4.9504950495049497E-3</v>
      </c>
      <c r="W9214">
        <v>987901.41980115999</v>
      </c>
      <c r="X9214" t="s">
        <v>31</v>
      </c>
      <c r="Y9214">
        <f>1-530-501-5158</f>
        <v>-6188</v>
      </c>
    </row>
    <row r="9215" spans="1:25" x14ac:dyDescent="0.35">
      <c r="A9215">
        <v>39.1384078378072</v>
      </c>
      <c r="B9215">
        <v>-123.980974400367</v>
      </c>
      <c r="C9215" t="s">
        <v>25</v>
      </c>
      <c r="D9215">
        <v>38.093889605542003</v>
      </c>
      <c r="E9215">
        <v>6</v>
      </c>
      <c r="F9215">
        <v>3034</v>
      </c>
      <c r="G9215">
        <v>2</v>
      </c>
      <c r="H9215">
        <v>2</v>
      </c>
      <c r="I9215">
        <v>2014</v>
      </c>
      <c r="J9215">
        <v>0</v>
      </c>
      <c r="K9215">
        <v>0</v>
      </c>
      <c r="L9215">
        <v>0</v>
      </c>
      <c r="M9215">
        <v>4</v>
      </c>
      <c r="N9215" t="s">
        <v>35</v>
      </c>
      <c r="O9215" t="s">
        <v>27</v>
      </c>
      <c r="P9215">
        <v>6.5996181737819501</v>
      </c>
      <c r="Q9215">
        <v>2.31918333726941</v>
      </c>
      <c r="R9215">
        <v>6.4337523221290196</v>
      </c>
      <c r="S9215">
        <v>9</v>
      </c>
      <c r="T9215">
        <v>25</v>
      </c>
      <c r="U9215">
        <v>650.22512921543</v>
      </c>
      <c r="V9215">
        <v>1.3183915622939999E-3</v>
      </c>
      <c r="W9215">
        <v>2094273.3279580299</v>
      </c>
      <c r="X9215" t="s">
        <v>36</v>
      </c>
      <c r="Y9215">
        <f>1-968-911-9268</f>
        <v>-11146</v>
      </c>
    </row>
    <row r="9216" spans="1:25" x14ac:dyDescent="0.35">
      <c r="A9216">
        <v>32.798093610656302</v>
      </c>
      <c r="B9216">
        <v>-114.627490971108</v>
      </c>
      <c r="C9216" t="s">
        <v>29</v>
      </c>
      <c r="D9216">
        <v>35.189685393604499</v>
      </c>
      <c r="E9216">
        <v>3</v>
      </c>
      <c r="F9216">
        <v>2184</v>
      </c>
      <c r="G9216">
        <v>1</v>
      </c>
      <c r="H9216">
        <v>3</v>
      </c>
      <c r="I9216">
        <v>1983</v>
      </c>
      <c r="J9216">
        <v>0</v>
      </c>
      <c r="K9216">
        <v>1</v>
      </c>
      <c r="L9216">
        <v>0</v>
      </c>
      <c r="M9216">
        <v>9</v>
      </c>
      <c r="N9216" t="s">
        <v>37</v>
      </c>
      <c r="O9216" t="s">
        <v>30</v>
      </c>
      <c r="P9216">
        <v>11.630811388335999</v>
      </c>
      <c r="Q9216">
        <v>1.6807425734205199</v>
      </c>
      <c r="R9216">
        <v>9.1871742867252202</v>
      </c>
      <c r="S9216">
        <v>185</v>
      </c>
      <c r="T9216">
        <v>37</v>
      </c>
      <c r="U9216">
        <v>249.95274874171201</v>
      </c>
      <c r="V9216">
        <v>4.1208791208791201E-3</v>
      </c>
      <c r="W9216">
        <v>804217.20413402596</v>
      </c>
      <c r="X9216" t="s">
        <v>31</v>
      </c>
      <c r="Y9216">
        <f>1-759-704-9902</f>
        <v>-11364</v>
      </c>
    </row>
    <row r="9217" spans="1:25" x14ac:dyDescent="0.35">
      <c r="A9217">
        <v>37.219361008370399</v>
      </c>
      <c r="B9217">
        <v>-123.250399456065</v>
      </c>
      <c r="C9217" t="s">
        <v>29</v>
      </c>
      <c r="D9217">
        <v>9.00219279942932</v>
      </c>
      <c r="E9217">
        <v>4</v>
      </c>
      <c r="F9217">
        <v>833</v>
      </c>
      <c r="G9217">
        <v>1</v>
      </c>
      <c r="H9217">
        <v>2</v>
      </c>
      <c r="I9217">
        <v>1984</v>
      </c>
      <c r="J9217">
        <v>1</v>
      </c>
      <c r="K9217">
        <v>1</v>
      </c>
      <c r="L9217">
        <v>1</v>
      </c>
      <c r="M9217">
        <v>6</v>
      </c>
      <c r="N9217" t="s">
        <v>37</v>
      </c>
      <c r="O9217" t="s">
        <v>32</v>
      </c>
      <c r="P9217">
        <v>6.8058379378562099</v>
      </c>
      <c r="Q9217">
        <v>1.54549640976985</v>
      </c>
      <c r="R9217">
        <v>7.1400144143417696</v>
      </c>
      <c r="S9217">
        <v>3</v>
      </c>
      <c r="T9217">
        <v>79</v>
      </c>
      <c r="U9217">
        <v>421.65210148186299</v>
      </c>
      <c r="V9217">
        <v>7.20288115246098E-3</v>
      </c>
      <c r="W9217">
        <v>643143.92707503703</v>
      </c>
      <c r="X9217" t="s">
        <v>43</v>
      </c>
      <c r="Y9217">
        <f>1-475-668-1878</f>
        <v>-3020</v>
      </c>
    </row>
    <row r="9218" spans="1:25" x14ac:dyDescent="0.35">
      <c r="A9218">
        <v>41.767457634531297</v>
      </c>
      <c r="B9218">
        <v>-120.44200420853301</v>
      </c>
      <c r="C9218" t="s">
        <v>29</v>
      </c>
      <c r="D9218">
        <v>19.346768306949301</v>
      </c>
      <c r="E9218">
        <v>8</v>
      </c>
      <c r="F9218">
        <v>1151</v>
      </c>
      <c r="G9218">
        <v>3</v>
      </c>
      <c r="H9218">
        <v>2</v>
      </c>
      <c r="I9218">
        <v>2016</v>
      </c>
      <c r="J9218">
        <v>1</v>
      </c>
      <c r="K9218">
        <v>1</v>
      </c>
      <c r="L9218">
        <v>1</v>
      </c>
      <c r="M9218">
        <v>6</v>
      </c>
      <c r="N9218" t="s">
        <v>35</v>
      </c>
      <c r="O9218" t="s">
        <v>32</v>
      </c>
      <c r="P9218">
        <v>12.0799635393423</v>
      </c>
      <c r="Q9218">
        <v>2.2382433910524102</v>
      </c>
      <c r="R9218">
        <v>0.114511186103132</v>
      </c>
      <c r="S9218">
        <v>71</v>
      </c>
      <c r="T9218">
        <v>49</v>
      </c>
      <c r="U9218">
        <v>649.08503301901499</v>
      </c>
      <c r="V9218">
        <v>5.2128583840138996E-3</v>
      </c>
      <c r="W9218">
        <v>1143941.8279007301</v>
      </c>
      <c r="X9218" t="s">
        <v>43</v>
      </c>
      <c r="Y9218">
        <f>1-930-837-6711</f>
        <v>-8477</v>
      </c>
    </row>
    <row r="9219" spans="1:25" x14ac:dyDescent="0.35">
      <c r="A9219">
        <v>41.152768791454598</v>
      </c>
      <c r="B9219">
        <v>-123.46980109538799</v>
      </c>
      <c r="C9219" t="s">
        <v>25</v>
      </c>
      <c r="D9219">
        <v>42.850197796339003</v>
      </c>
      <c r="E9219">
        <v>0</v>
      </c>
      <c r="F9219">
        <v>2577</v>
      </c>
      <c r="G9219">
        <v>1</v>
      </c>
      <c r="H9219">
        <v>3</v>
      </c>
      <c r="I9219">
        <v>2017</v>
      </c>
      <c r="J9219">
        <v>1</v>
      </c>
      <c r="K9219">
        <v>0</v>
      </c>
      <c r="L9219">
        <v>0</v>
      </c>
      <c r="M9219">
        <v>8</v>
      </c>
      <c r="N9219" t="s">
        <v>37</v>
      </c>
      <c r="O9219" t="s">
        <v>27</v>
      </c>
      <c r="P9219">
        <v>14.2736533705587</v>
      </c>
      <c r="Q9219">
        <v>0.803978540588001</v>
      </c>
      <c r="R9219">
        <v>5.3217560702868498</v>
      </c>
      <c r="S9219">
        <v>135</v>
      </c>
      <c r="T9219">
        <v>24</v>
      </c>
      <c r="U9219">
        <v>346.36670706303403</v>
      </c>
      <c r="V9219">
        <v>3.1043849437330201E-3</v>
      </c>
      <c r="W9219">
        <v>1112541.1340415699</v>
      </c>
      <c r="X9219" t="s">
        <v>38</v>
      </c>
      <c r="Y9219">
        <f>1-436-636-8745</f>
        <v>-9816</v>
      </c>
    </row>
    <row r="9220" spans="1:25" x14ac:dyDescent="0.35">
      <c r="A9220">
        <v>35.905543198849898</v>
      </c>
      <c r="B9220">
        <v>-123.173681229436</v>
      </c>
      <c r="C9220" t="s">
        <v>25</v>
      </c>
      <c r="D9220">
        <v>44.358372513166202</v>
      </c>
      <c r="E9220">
        <v>8</v>
      </c>
      <c r="F9220">
        <v>3484</v>
      </c>
      <c r="G9220">
        <v>3</v>
      </c>
      <c r="H9220">
        <v>2</v>
      </c>
      <c r="I9220">
        <v>2014</v>
      </c>
      <c r="J9220">
        <v>1</v>
      </c>
      <c r="K9220">
        <v>1</v>
      </c>
      <c r="L9220">
        <v>0</v>
      </c>
      <c r="M9220">
        <v>13</v>
      </c>
      <c r="N9220" t="s">
        <v>35</v>
      </c>
      <c r="O9220" t="s">
        <v>32</v>
      </c>
      <c r="P9220">
        <v>9.2462519675648807</v>
      </c>
      <c r="Q9220">
        <v>1.1427103687658</v>
      </c>
      <c r="R9220">
        <v>3.6660520878638398</v>
      </c>
      <c r="S9220">
        <v>58</v>
      </c>
      <c r="T9220">
        <v>66</v>
      </c>
      <c r="U9220">
        <v>259.90246761975499</v>
      </c>
      <c r="V9220">
        <v>3.7313432835820799E-3</v>
      </c>
      <c r="W9220">
        <v>1310834.8017730101</v>
      </c>
      <c r="X9220" t="s">
        <v>44</v>
      </c>
      <c r="Y9220">
        <f>1-563-112-1382</f>
        <v>-2056</v>
      </c>
    </row>
    <row r="9221" spans="1:25" x14ac:dyDescent="0.35">
      <c r="A9221">
        <v>41.554659250759002</v>
      </c>
      <c r="B9221">
        <v>-121.470866476458</v>
      </c>
      <c r="C9221" t="s">
        <v>29</v>
      </c>
      <c r="D9221">
        <v>15.2246257292539</v>
      </c>
      <c r="E9221">
        <v>1</v>
      </c>
      <c r="F9221">
        <v>4636</v>
      </c>
      <c r="G9221">
        <v>2</v>
      </c>
      <c r="H9221">
        <v>1</v>
      </c>
      <c r="I9221">
        <v>2011</v>
      </c>
      <c r="J9221">
        <v>0</v>
      </c>
      <c r="K9221">
        <v>0</v>
      </c>
      <c r="L9221">
        <v>1</v>
      </c>
      <c r="M9221">
        <v>2</v>
      </c>
      <c r="N9221" t="s">
        <v>26</v>
      </c>
      <c r="O9221" t="s">
        <v>30</v>
      </c>
      <c r="P9221">
        <v>2.45370702350785</v>
      </c>
      <c r="Q9221">
        <v>0.82974094935102005</v>
      </c>
      <c r="R9221">
        <v>9.6097686884442695</v>
      </c>
      <c r="S9221">
        <v>112</v>
      </c>
      <c r="T9221">
        <v>52</v>
      </c>
      <c r="U9221">
        <v>787.76825220582703</v>
      </c>
      <c r="V9221">
        <v>4.31406384814495E-4</v>
      </c>
      <c r="W9221">
        <v>3818012.87775282</v>
      </c>
      <c r="X9221" t="s">
        <v>43</v>
      </c>
      <c r="Y9221">
        <f>1-378-768-1523</f>
        <v>-2668</v>
      </c>
    </row>
    <row r="9222" spans="1:25" x14ac:dyDescent="0.35">
      <c r="A9222">
        <v>33.433278888576297</v>
      </c>
      <c r="B9222">
        <v>-115.986882451241</v>
      </c>
      <c r="C9222" t="s">
        <v>25</v>
      </c>
      <c r="D9222">
        <v>28.018788173568701</v>
      </c>
      <c r="E9222">
        <v>5</v>
      </c>
      <c r="F9222">
        <v>3343</v>
      </c>
      <c r="G9222">
        <v>1</v>
      </c>
      <c r="H9222">
        <v>1</v>
      </c>
      <c r="I9222">
        <v>1992</v>
      </c>
      <c r="J9222">
        <v>1</v>
      </c>
      <c r="K9222">
        <v>1</v>
      </c>
      <c r="L9222">
        <v>0</v>
      </c>
      <c r="M9222">
        <v>8</v>
      </c>
      <c r="N9222" t="s">
        <v>35</v>
      </c>
      <c r="O9222" t="s">
        <v>27</v>
      </c>
      <c r="P9222">
        <v>6.9949444273636097</v>
      </c>
      <c r="Q9222">
        <v>1.47734204401451</v>
      </c>
      <c r="R9222">
        <v>8.0985555983222106</v>
      </c>
      <c r="S9222">
        <v>8</v>
      </c>
      <c r="T9222">
        <v>33</v>
      </c>
      <c r="U9222">
        <v>471.61327688584299</v>
      </c>
      <c r="V9222">
        <v>2.3930601256356501E-3</v>
      </c>
      <c r="W9222">
        <v>1864816.62926766</v>
      </c>
      <c r="X9222" t="s">
        <v>44</v>
      </c>
      <c r="Y9222">
        <f>1-666-651-1644</f>
        <v>-2960</v>
      </c>
    </row>
    <row r="9223" spans="1:25" x14ac:dyDescent="0.35">
      <c r="A9223">
        <v>36.978004277260403</v>
      </c>
      <c r="B9223">
        <v>-118.812388801487</v>
      </c>
      <c r="C9223" t="s">
        <v>34</v>
      </c>
      <c r="D9223">
        <v>15.621190445281099</v>
      </c>
      <c r="E9223">
        <v>7</v>
      </c>
      <c r="F9223">
        <v>1633</v>
      </c>
      <c r="G9223">
        <v>3</v>
      </c>
      <c r="H9223">
        <v>3</v>
      </c>
      <c r="I9223">
        <v>1966</v>
      </c>
      <c r="J9223">
        <v>1</v>
      </c>
      <c r="K9223">
        <v>0</v>
      </c>
      <c r="L9223">
        <v>1</v>
      </c>
      <c r="M9223">
        <v>13</v>
      </c>
      <c r="N9223" t="s">
        <v>26</v>
      </c>
      <c r="O9223" t="s">
        <v>27</v>
      </c>
      <c r="P9223">
        <v>2.86374177131687</v>
      </c>
      <c r="Q9223">
        <v>1.55796218799675</v>
      </c>
      <c r="R9223">
        <v>8.2655516715961301</v>
      </c>
      <c r="S9223">
        <v>108</v>
      </c>
      <c r="T9223">
        <v>22</v>
      </c>
      <c r="U9223">
        <v>980.220502052249</v>
      </c>
      <c r="V9223">
        <v>7.96080832823025E-3</v>
      </c>
      <c r="W9223">
        <v>1847887.6234301799</v>
      </c>
      <c r="X9223" t="s">
        <v>39</v>
      </c>
      <c r="Y9223">
        <f>1-493-539-6108</f>
        <v>-7139</v>
      </c>
    </row>
    <row r="9224" spans="1:25" x14ac:dyDescent="0.35">
      <c r="A9224">
        <v>41.671155694383998</v>
      </c>
      <c r="B9224">
        <v>-118.919080323801</v>
      </c>
      <c r="C9224" t="s">
        <v>34</v>
      </c>
      <c r="D9224">
        <v>32.729309389835798</v>
      </c>
      <c r="E9224">
        <v>3</v>
      </c>
      <c r="F9224">
        <v>1808</v>
      </c>
      <c r="G9224">
        <v>3</v>
      </c>
      <c r="H9224">
        <v>2</v>
      </c>
      <c r="I9224">
        <v>2020</v>
      </c>
      <c r="J9224">
        <v>1</v>
      </c>
      <c r="K9224">
        <v>1</v>
      </c>
      <c r="L9224">
        <v>0</v>
      </c>
      <c r="M9224">
        <v>8</v>
      </c>
      <c r="N9224" t="s">
        <v>26</v>
      </c>
      <c r="O9224" t="s">
        <v>30</v>
      </c>
      <c r="P9224">
        <v>5.8902234422935402</v>
      </c>
      <c r="Q9224">
        <v>1.22920866813647</v>
      </c>
      <c r="R9224">
        <v>8.6193546303481003</v>
      </c>
      <c r="S9224">
        <v>38</v>
      </c>
      <c r="T9224">
        <v>53</v>
      </c>
      <c r="U9224">
        <v>319.85823492531</v>
      </c>
      <c r="V9224">
        <v>4.4247787610619399E-3</v>
      </c>
      <c r="W9224">
        <v>937228.92093112099</v>
      </c>
      <c r="X9224" t="s">
        <v>39</v>
      </c>
      <c r="Y9224">
        <f>1-777-213-9205</f>
        <v>-10194</v>
      </c>
    </row>
    <row r="9225" spans="1:25" x14ac:dyDescent="0.35">
      <c r="A9225">
        <v>37.781894435667901</v>
      </c>
      <c r="B9225">
        <v>-114.615196263614</v>
      </c>
      <c r="C9225" t="s">
        <v>25</v>
      </c>
      <c r="D9225">
        <v>41.782283907153499</v>
      </c>
      <c r="E9225">
        <v>3</v>
      </c>
      <c r="F9225">
        <v>4274</v>
      </c>
      <c r="G9225">
        <v>3</v>
      </c>
      <c r="H9225">
        <v>2</v>
      </c>
      <c r="I9225">
        <v>2019</v>
      </c>
      <c r="J9225">
        <v>1</v>
      </c>
      <c r="K9225">
        <v>1</v>
      </c>
      <c r="L9225">
        <v>0</v>
      </c>
      <c r="M9225">
        <v>13</v>
      </c>
      <c r="N9225" t="s">
        <v>35</v>
      </c>
      <c r="O9225" t="s">
        <v>32</v>
      </c>
      <c r="P9225">
        <v>2.3831583894201902</v>
      </c>
      <c r="Q9225">
        <v>1.91758033352737</v>
      </c>
      <c r="R9225">
        <v>9.4327768869408199</v>
      </c>
      <c r="S9225">
        <v>177</v>
      </c>
      <c r="T9225">
        <v>60</v>
      </c>
      <c r="U9225">
        <v>834.511739885427</v>
      </c>
      <c r="V9225">
        <v>3.0416471689284001E-3</v>
      </c>
      <c r="W9225">
        <v>3880666.1926663099</v>
      </c>
      <c r="X9225" t="s">
        <v>42</v>
      </c>
      <c r="Y9225">
        <f>1-233-889-3629</f>
        <v>-4750</v>
      </c>
    </row>
    <row r="9226" spans="1:25" x14ac:dyDescent="0.35">
      <c r="A9226">
        <v>38.906371255737596</v>
      </c>
      <c r="B9226">
        <v>-115.770266084555</v>
      </c>
      <c r="C9226" t="s">
        <v>29</v>
      </c>
      <c r="D9226">
        <v>21.437626405031001</v>
      </c>
      <c r="E9226">
        <v>4</v>
      </c>
      <c r="F9226">
        <v>4370</v>
      </c>
      <c r="G9226">
        <v>2</v>
      </c>
      <c r="H9226">
        <v>3</v>
      </c>
      <c r="I9226">
        <v>2021</v>
      </c>
      <c r="J9226">
        <v>1</v>
      </c>
      <c r="K9226">
        <v>1</v>
      </c>
      <c r="L9226">
        <v>1</v>
      </c>
      <c r="M9226">
        <v>10</v>
      </c>
      <c r="N9226" t="s">
        <v>35</v>
      </c>
      <c r="O9226" t="s">
        <v>27</v>
      </c>
      <c r="P9226">
        <v>4.6868033623396697</v>
      </c>
      <c r="Q9226">
        <v>0.65045533949544199</v>
      </c>
      <c r="R9226">
        <v>8.3347115079531999</v>
      </c>
      <c r="S9226">
        <v>193</v>
      </c>
      <c r="T9226">
        <v>45</v>
      </c>
      <c r="U9226">
        <v>794.58243797197895</v>
      </c>
      <c r="V9226">
        <v>2.2883295194508001E-3</v>
      </c>
      <c r="W9226">
        <v>3818655.0357650998</v>
      </c>
      <c r="X9226" t="s">
        <v>38</v>
      </c>
      <c r="Y9226">
        <f>1-491-821-2176</f>
        <v>-3487</v>
      </c>
    </row>
    <row r="9227" spans="1:25" x14ac:dyDescent="0.35">
      <c r="A9227">
        <v>36.428520928092297</v>
      </c>
      <c r="B9227">
        <v>-121.65275167408799</v>
      </c>
      <c r="C9227" t="s">
        <v>29</v>
      </c>
      <c r="D9227">
        <v>20.613042851486899</v>
      </c>
      <c r="E9227">
        <v>0</v>
      </c>
      <c r="F9227">
        <v>1040</v>
      </c>
      <c r="G9227">
        <v>4</v>
      </c>
      <c r="H9227">
        <v>3</v>
      </c>
      <c r="I9227">
        <v>1953</v>
      </c>
      <c r="J9227">
        <v>0</v>
      </c>
      <c r="K9227">
        <v>0</v>
      </c>
      <c r="L9227">
        <v>0</v>
      </c>
      <c r="M9227">
        <v>9</v>
      </c>
      <c r="N9227" t="s">
        <v>26</v>
      </c>
      <c r="O9227" t="s">
        <v>27</v>
      </c>
      <c r="P9227">
        <v>4.5841860418911802</v>
      </c>
      <c r="Q9227">
        <v>1.0670046282141701</v>
      </c>
      <c r="R9227">
        <v>6.7522795285863397</v>
      </c>
      <c r="S9227">
        <v>135</v>
      </c>
      <c r="T9227">
        <v>66</v>
      </c>
      <c r="U9227">
        <v>528.63453315829395</v>
      </c>
      <c r="V9227">
        <v>8.6538461538461509E-3</v>
      </c>
      <c r="W9227">
        <v>710513.52140822494</v>
      </c>
      <c r="X9227" t="s">
        <v>44</v>
      </c>
      <c r="Y9227">
        <f>1-681-107-1635</f>
        <v>-2422</v>
      </c>
    </row>
    <row r="9228" spans="1:25" x14ac:dyDescent="0.35">
      <c r="A9228">
        <v>37.921530964075302</v>
      </c>
      <c r="B9228">
        <v>-120.670017702406</v>
      </c>
      <c r="C9228" t="s">
        <v>29</v>
      </c>
      <c r="D9228">
        <v>31.128736956223101</v>
      </c>
      <c r="E9228">
        <v>0</v>
      </c>
      <c r="F9228">
        <v>2671</v>
      </c>
      <c r="G9228">
        <v>2</v>
      </c>
      <c r="H9228">
        <v>1</v>
      </c>
      <c r="I9228">
        <v>2013</v>
      </c>
      <c r="J9228">
        <v>1</v>
      </c>
      <c r="K9228">
        <v>1</v>
      </c>
      <c r="L9228">
        <v>0</v>
      </c>
      <c r="M9228">
        <v>6</v>
      </c>
      <c r="N9228" t="s">
        <v>41</v>
      </c>
      <c r="O9228" t="s">
        <v>30</v>
      </c>
      <c r="P9228">
        <v>3.24379110906087</v>
      </c>
      <c r="Q9228">
        <v>1.38260007016818</v>
      </c>
      <c r="R9228">
        <v>7.4645344682975097</v>
      </c>
      <c r="S9228">
        <v>50</v>
      </c>
      <c r="T9228">
        <v>59</v>
      </c>
      <c r="U9228">
        <v>291.60286317101298</v>
      </c>
      <c r="V9228">
        <v>2.2463496817671201E-3</v>
      </c>
      <c r="W9228">
        <v>1039401.56741398</v>
      </c>
      <c r="X9228" t="s">
        <v>28</v>
      </c>
      <c r="Y9228">
        <f>1-907-665-2923</f>
        <v>-4494</v>
      </c>
    </row>
    <row r="9229" spans="1:25" x14ac:dyDescent="0.35">
      <c r="A9229">
        <v>38.0827240805313</v>
      </c>
      <c r="B9229">
        <v>-120.801723802407</v>
      </c>
      <c r="C9229" t="s">
        <v>29</v>
      </c>
      <c r="D9229">
        <v>4.0275608072693796</v>
      </c>
      <c r="E9229">
        <v>4</v>
      </c>
      <c r="F9229">
        <v>3427</v>
      </c>
      <c r="G9229">
        <v>4</v>
      </c>
      <c r="H9229">
        <v>2</v>
      </c>
      <c r="I9229">
        <v>1993</v>
      </c>
      <c r="J9229">
        <v>1</v>
      </c>
      <c r="K9229">
        <v>1</v>
      </c>
      <c r="L9229">
        <v>1</v>
      </c>
      <c r="M9229">
        <v>9</v>
      </c>
      <c r="N9229" t="s">
        <v>37</v>
      </c>
      <c r="O9229" t="s">
        <v>27</v>
      </c>
      <c r="P9229">
        <v>3.4085751004935498</v>
      </c>
      <c r="Q9229">
        <v>0.97385286490846101</v>
      </c>
      <c r="R9229">
        <v>5.4095158330466901</v>
      </c>
      <c r="S9229">
        <v>0</v>
      </c>
      <c r="T9229">
        <v>55</v>
      </c>
      <c r="U9229">
        <v>934.64225154642997</v>
      </c>
      <c r="V9229">
        <v>2.6262036766851399E-3</v>
      </c>
      <c r="W9229">
        <v>3604277.7246005302</v>
      </c>
      <c r="X9229" t="s">
        <v>38</v>
      </c>
      <c r="Y9229">
        <f>1-846-520-6201</f>
        <v>-7566</v>
      </c>
    </row>
    <row r="9230" spans="1:25" x14ac:dyDescent="0.35">
      <c r="A9230">
        <v>40.696504013541798</v>
      </c>
      <c r="B9230">
        <v>-124.05824874981801</v>
      </c>
      <c r="C9230" t="s">
        <v>29</v>
      </c>
      <c r="D9230">
        <v>21.4315276145675</v>
      </c>
      <c r="E9230">
        <v>0</v>
      </c>
      <c r="F9230">
        <v>615</v>
      </c>
      <c r="G9230">
        <v>3</v>
      </c>
      <c r="H9230">
        <v>1</v>
      </c>
      <c r="I9230">
        <v>1955</v>
      </c>
      <c r="J9230">
        <v>1</v>
      </c>
      <c r="K9230">
        <v>0</v>
      </c>
      <c r="L9230">
        <v>0</v>
      </c>
      <c r="M9230">
        <v>7</v>
      </c>
      <c r="N9230" t="s">
        <v>37</v>
      </c>
      <c r="O9230" t="s">
        <v>30</v>
      </c>
      <c r="P9230">
        <v>14.8885859824055</v>
      </c>
      <c r="Q9230">
        <v>1.2733421364134101</v>
      </c>
      <c r="R9230">
        <v>8.7446507398920197</v>
      </c>
      <c r="S9230">
        <v>141</v>
      </c>
      <c r="T9230">
        <v>38</v>
      </c>
      <c r="U9230">
        <v>355.29338027406698</v>
      </c>
      <c r="V9230">
        <v>1.13821138211382E-2</v>
      </c>
      <c r="W9230">
        <v>499100.87671833503</v>
      </c>
      <c r="X9230" t="s">
        <v>40</v>
      </c>
      <c r="Y9230">
        <f>1-947-933-6993</f>
        <v>-8872</v>
      </c>
    </row>
    <row r="9231" spans="1:25" x14ac:dyDescent="0.35">
      <c r="A9231">
        <v>37.845556621741999</v>
      </c>
      <c r="B9231">
        <v>-123.483774081809</v>
      </c>
      <c r="C9231" t="s">
        <v>34</v>
      </c>
      <c r="D9231">
        <v>35.827318270296303</v>
      </c>
      <c r="E9231">
        <v>5</v>
      </c>
      <c r="F9231">
        <v>3530</v>
      </c>
      <c r="G9231">
        <v>1</v>
      </c>
      <c r="H9231">
        <v>3</v>
      </c>
      <c r="I9231">
        <v>2014</v>
      </c>
      <c r="J9231">
        <v>1</v>
      </c>
      <c r="K9231">
        <v>0</v>
      </c>
      <c r="L9231">
        <v>0</v>
      </c>
      <c r="M9231">
        <v>3</v>
      </c>
      <c r="N9231" t="s">
        <v>35</v>
      </c>
      <c r="O9231" t="s">
        <v>27</v>
      </c>
      <c r="P9231">
        <v>11.1381168676019</v>
      </c>
      <c r="Q9231">
        <v>1.8804094954937001</v>
      </c>
      <c r="R9231">
        <v>2.65110070697575</v>
      </c>
      <c r="S9231">
        <v>42</v>
      </c>
      <c r="T9231">
        <v>20</v>
      </c>
      <c r="U9231">
        <v>613.81569982442602</v>
      </c>
      <c r="V9231">
        <v>8.4985835694050904E-4</v>
      </c>
      <c r="W9231">
        <v>2392462.90704478</v>
      </c>
      <c r="X9231" t="s">
        <v>44</v>
      </c>
      <c r="Y9231">
        <f>1-644-856-9633</f>
        <v>-11132</v>
      </c>
    </row>
    <row r="9232" spans="1:25" x14ac:dyDescent="0.35">
      <c r="A9232">
        <v>39.8546589237246</v>
      </c>
      <c r="B9232">
        <v>-118.19921579692701</v>
      </c>
      <c r="C9232" t="s">
        <v>29</v>
      </c>
      <c r="D9232">
        <v>34.033872753051</v>
      </c>
      <c r="E9232">
        <v>1</v>
      </c>
      <c r="F9232">
        <v>843</v>
      </c>
      <c r="G9232">
        <v>1</v>
      </c>
      <c r="H9232">
        <v>1</v>
      </c>
      <c r="I9232">
        <v>1990</v>
      </c>
      <c r="J9232">
        <v>1</v>
      </c>
      <c r="K9232">
        <v>0</v>
      </c>
      <c r="L9232">
        <v>0</v>
      </c>
      <c r="M9232">
        <v>7</v>
      </c>
      <c r="N9232" t="s">
        <v>41</v>
      </c>
      <c r="O9232" t="s">
        <v>27</v>
      </c>
      <c r="P9232">
        <v>11.5426539455129</v>
      </c>
      <c r="Q9232">
        <v>0.69485385304390301</v>
      </c>
      <c r="R9232">
        <v>7.2514107912560499</v>
      </c>
      <c r="S9232">
        <v>70</v>
      </c>
      <c r="T9232">
        <v>38</v>
      </c>
      <c r="U9232">
        <v>361.51291067490502</v>
      </c>
      <c r="V9232">
        <v>8.3036773428232496E-3</v>
      </c>
      <c r="W9232">
        <v>514006.75302800903</v>
      </c>
      <c r="X9232" t="s">
        <v>44</v>
      </c>
      <c r="Y9232">
        <f>1-301-203-4785</f>
        <v>-5288</v>
      </c>
    </row>
    <row r="9233" spans="1:25" x14ac:dyDescent="0.35">
      <c r="A9233">
        <v>41.777766920626</v>
      </c>
      <c r="B9233">
        <v>-122.46728748410899</v>
      </c>
      <c r="C9233" t="s">
        <v>25</v>
      </c>
      <c r="D9233">
        <v>19.993225035793099</v>
      </c>
      <c r="E9233">
        <v>4</v>
      </c>
      <c r="F9233">
        <v>806</v>
      </c>
      <c r="G9233">
        <v>3</v>
      </c>
      <c r="H9233">
        <v>3</v>
      </c>
      <c r="I9233">
        <v>1978</v>
      </c>
      <c r="J9233">
        <v>1</v>
      </c>
      <c r="K9233">
        <v>0</v>
      </c>
      <c r="L9233">
        <v>0</v>
      </c>
      <c r="M9233">
        <v>7</v>
      </c>
      <c r="N9233" t="s">
        <v>26</v>
      </c>
      <c r="O9233" t="s">
        <v>32</v>
      </c>
      <c r="P9233">
        <v>8.4683208236393206</v>
      </c>
      <c r="Q9233">
        <v>1.2879881254229899</v>
      </c>
      <c r="R9233">
        <v>5.5536075040616302</v>
      </c>
      <c r="S9233">
        <v>9</v>
      </c>
      <c r="T9233">
        <v>47</v>
      </c>
      <c r="U9233">
        <v>845.96740656261295</v>
      </c>
      <c r="V9233">
        <v>8.6848635235731997E-3</v>
      </c>
      <c r="W9233">
        <v>998840.15501693101</v>
      </c>
      <c r="X9233" t="s">
        <v>31</v>
      </c>
      <c r="Y9233">
        <f>1-523-962-4419</f>
        <v>-5903</v>
      </c>
    </row>
    <row r="9234" spans="1:25" x14ac:dyDescent="0.35">
      <c r="A9234">
        <v>36.201185822689403</v>
      </c>
      <c r="B9234">
        <v>-121.44782943819401</v>
      </c>
      <c r="C9234" t="s">
        <v>34</v>
      </c>
      <c r="D9234">
        <v>44.268179811922899</v>
      </c>
      <c r="E9234">
        <v>1</v>
      </c>
      <c r="F9234">
        <v>1822</v>
      </c>
      <c r="G9234">
        <v>1</v>
      </c>
      <c r="H9234">
        <v>2</v>
      </c>
      <c r="I9234">
        <v>1982</v>
      </c>
      <c r="J9234">
        <v>1</v>
      </c>
      <c r="K9234">
        <v>1</v>
      </c>
      <c r="L9234">
        <v>1</v>
      </c>
      <c r="M9234">
        <v>9</v>
      </c>
      <c r="N9234" t="s">
        <v>35</v>
      </c>
      <c r="O9234" t="s">
        <v>27</v>
      </c>
      <c r="P9234">
        <v>7.37745590207102</v>
      </c>
      <c r="Q9234">
        <v>1.59856143286857</v>
      </c>
      <c r="R9234">
        <v>3.4588889944335302</v>
      </c>
      <c r="S9234">
        <v>133</v>
      </c>
      <c r="T9234">
        <v>57</v>
      </c>
      <c r="U9234">
        <v>254.576808629819</v>
      </c>
      <c r="V9234">
        <v>4.9396267837541101E-3</v>
      </c>
      <c r="W9234">
        <v>683181.693810781</v>
      </c>
      <c r="X9234" t="s">
        <v>28</v>
      </c>
      <c r="Y9234">
        <f>1-517-272-8207</f>
        <v>-8995</v>
      </c>
    </row>
    <row r="9235" spans="1:25" x14ac:dyDescent="0.35">
      <c r="A9235">
        <v>35.852228557433797</v>
      </c>
      <c r="B9235">
        <v>-123.484622911046</v>
      </c>
      <c r="C9235" t="s">
        <v>25</v>
      </c>
      <c r="D9235">
        <v>15.0799273441748</v>
      </c>
      <c r="E9235">
        <v>9</v>
      </c>
      <c r="F9235">
        <v>3733</v>
      </c>
      <c r="G9235">
        <v>2</v>
      </c>
      <c r="H9235">
        <v>1</v>
      </c>
      <c r="I9235">
        <v>1973</v>
      </c>
      <c r="J9235">
        <v>1</v>
      </c>
      <c r="K9235">
        <v>0</v>
      </c>
      <c r="L9235">
        <v>0</v>
      </c>
      <c r="M9235">
        <v>8</v>
      </c>
      <c r="N9235" t="s">
        <v>37</v>
      </c>
      <c r="O9235" t="s">
        <v>27</v>
      </c>
      <c r="P9235">
        <v>6.8417166396455196</v>
      </c>
      <c r="Q9235">
        <v>1.18056509019671</v>
      </c>
      <c r="R9235">
        <v>0.44408375625256202</v>
      </c>
      <c r="S9235">
        <v>15</v>
      </c>
      <c r="T9235">
        <v>55</v>
      </c>
      <c r="U9235">
        <v>209.85888446259901</v>
      </c>
      <c r="V9235">
        <v>2.1430484864720001E-3</v>
      </c>
      <c r="W9235">
        <v>972501.60553842003</v>
      </c>
      <c r="X9235" t="s">
        <v>40</v>
      </c>
      <c r="Y9235">
        <f>1-527-321-8297</f>
        <v>-9144</v>
      </c>
    </row>
    <row r="9236" spans="1:25" x14ac:dyDescent="0.35">
      <c r="A9236">
        <v>33.803409150325798</v>
      </c>
      <c r="B9236">
        <v>-115.612856357859</v>
      </c>
      <c r="C9236" t="s">
        <v>29</v>
      </c>
      <c r="D9236">
        <v>5.6455682790366604</v>
      </c>
      <c r="E9236">
        <v>7</v>
      </c>
      <c r="F9236">
        <v>3079</v>
      </c>
      <c r="G9236">
        <v>4</v>
      </c>
      <c r="H9236">
        <v>1</v>
      </c>
      <c r="I9236">
        <v>1976</v>
      </c>
      <c r="J9236">
        <v>0</v>
      </c>
      <c r="K9236">
        <v>0</v>
      </c>
      <c r="L9236">
        <v>0</v>
      </c>
      <c r="M9236">
        <v>7</v>
      </c>
      <c r="N9236" t="s">
        <v>35</v>
      </c>
      <c r="O9236" t="s">
        <v>27</v>
      </c>
      <c r="P9236">
        <v>14.562252197503</v>
      </c>
      <c r="Q9236">
        <v>2.1465922897916898</v>
      </c>
      <c r="R9236">
        <v>5.15624815072524</v>
      </c>
      <c r="S9236">
        <v>90</v>
      </c>
      <c r="T9236">
        <v>66</v>
      </c>
      <c r="U9236">
        <v>358.26844524517998</v>
      </c>
      <c r="V9236">
        <v>2.2734654108476698E-3</v>
      </c>
      <c r="W9236">
        <v>1264574.55245315</v>
      </c>
      <c r="X9236" t="s">
        <v>43</v>
      </c>
      <c r="Y9236">
        <f>1-995-807-6279</f>
        <v>-8080</v>
      </c>
    </row>
    <row r="9237" spans="1:25" x14ac:dyDescent="0.35">
      <c r="A9237">
        <v>34.278342575959996</v>
      </c>
      <c r="B9237">
        <v>-120.69187512906301</v>
      </c>
      <c r="C9237" t="s">
        <v>34</v>
      </c>
      <c r="D9237">
        <v>42.560109628895098</v>
      </c>
      <c r="E9237">
        <v>3</v>
      </c>
      <c r="F9237">
        <v>4454</v>
      </c>
      <c r="G9237">
        <v>3</v>
      </c>
      <c r="H9237">
        <v>1</v>
      </c>
      <c r="I9237">
        <v>2021</v>
      </c>
      <c r="J9237">
        <v>0</v>
      </c>
      <c r="K9237">
        <v>1</v>
      </c>
      <c r="L9237">
        <v>1</v>
      </c>
      <c r="M9237">
        <v>3</v>
      </c>
      <c r="N9237" t="s">
        <v>35</v>
      </c>
      <c r="O9237" t="s">
        <v>27</v>
      </c>
      <c r="P9237">
        <v>6.4638535324612896</v>
      </c>
      <c r="Q9237">
        <v>1.48103897326112</v>
      </c>
      <c r="R9237">
        <v>9.2472483872923004</v>
      </c>
      <c r="S9237">
        <v>80</v>
      </c>
      <c r="T9237">
        <v>73</v>
      </c>
      <c r="U9237">
        <v>440.65501553476997</v>
      </c>
      <c r="V9237">
        <v>6.7355186349348905E-4</v>
      </c>
      <c r="W9237">
        <v>2271897.2089857399</v>
      </c>
      <c r="X9237" t="s">
        <v>43</v>
      </c>
      <c r="Y9237">
        <f>1-950-394-4580</f>
        <v>-5923</v>
      </c>
    </row>
    <row r="9238" spans="1:25" x14ac:dyDescent="0.35">
      <c r="A9238">
        <v>39.370841592932699</v>
      </c>
      <c r="B9238">
        <v>-115.77312915789101</v>
      </c>
      <c r="C9238" t="s">
        <v>25</v>
      </c>
      <c r="D9238">
        <v>44.671099559214397</v>
      </c>
      <c r="E9238">
        <v>9</v>
      </c>
      <c r="F9238">
        <v>1250</v>
      </c>
      <c r="G9238">
        <v>1</v>
      </c>
      <c r="H9238">
        <v>2</v>
      </c>
      <c r="I9238">
        <v>1985</v>
      </c>
      <c r="J9238">
        <v>0</v>
      </c>
      <c r="K9238">
        <v>1</v>
      </c>
      <c r="L9238">
        <v>0</v>
      </c>
      <c r="M9238">
        <v>3</v>
      </c>
      <c r="N9238" t="s">
        <v>26</v>
      </c>
      <c r="O9238" t="s">
        <v>27</v>
      </c>
      <c r="P9238">
        <v>13.499671870042199</v>
      </c>
      <c r="Q9238">
        <v>2.1721015045166499</v>
      </c>
      <c r="R9238">
        <v>7.6578922456253702</v>
      </c>
      <c r="S9238">
        <v>167</v>
      </c>
      <c r="T9238">
        <v>70</v>
      </c>
      <c r="U9238">
        <v>204.94867322038601</v>
      </c>
      <c r="V9238">
        <v>2.3999999999999998E-3</v>
      </c>
      <c r="W9238">
        <v>433011.504786395</v>
      </c>
      <c r="X9238" t="s">
        <v>31</v>
      </c>
      <c r="Y9238">
        <f>1-744-528-7446</f>
        <v>-8717</v>
      </c>
    </row>
    <row r="9239" spans="1:25" x14ac:dyDescent="0.35">
      <c r="A9239">
        <v>40.727271815602698</v>
      </c>
      <c r="B9239">
        <v>-114.82316806135699</v>
      </c>
      <c r="C9239" t="s">
        <v>34</v>
      </c>
      <c r="D9239">
        <v>34.8675135711457</v>
      </c>
      <c r="E9239">
        <v>5</v>
      </c>
      <c r="F9239">
        <v>618</v>
      </c>
      <c r="G9239">
        <v>2</v>
      </c>
      <c r="H9239">
        <v>2</v>
      </c>
      <c r="I9239">
        <v>1990</v>
      </c>
      <c r="J9239">
        <v>0</v>
      </c>
      <c r="K9239">
        <v>0</v>
      </c>
      <c r="L9239">
        <v>1</v>
      </c>
      <c r="M9239">
        <v>7</v>
      </c>
      <c r="N9239" t="s">
        <v>37</v>
      </c>
      <c r="O9239" t="s">
        <v>30</v>
      </c>
      <c r="P9239">
        <v>9.5150378825105904</v>
      </c>
      <c r="Q9239">
        <v>1.77648955346983</v>
      </c>
      <c r="R9239">
        <v>6.7120237184566003</v>
      </c>
      <c r="S9239">
        <v>109</v>
      </c>
      <c r="T9239">
        <v>54</v>
      </c>
      <c r="U9239">
        <v>631.47837196445096</v>
      </c>
      <c r="V9239">
        <v>1.13268608414239E-2</v>
      </c>
      <c r="W9239">
        <v>537687.170563914</v>
      </c>
      <c r="X9239" t="s">
        <v>33</v>
      </c>
      <c r="Y9239">
        <f>1-610-974-1556</f>
        <v>-3139</v>
      </c>
    </row>
    <row r="9240" spans="1:25" x14ac:dyDescent="0.35">
      <c r="A9240">
        <v>40.409645260377097</v>
      </c>
      <c r="B9240">
        <v>-118.734204250346</v>
      </c>
      <c r="C9240" t="s">
        <v>34</v>
      </c>
      <c r="D9240">
        <v>21.480280116871199</v>
      </c>
      <c r="E9240">
        <v>1</v>
      </c>
      <c r="F9240">
        <v>4371</v>
      </c>
      <c r="G9240">
        <v>3</v>
      </c>
      <c r="H9240">
        <v>2</v>
      </c>
      <c r="I9240">
        <v>1995</v>
      </c>
      <c r="J9240">
        <v>0</v>
      </c>
      <c r="K9240">
        <v>1</v>
      </c>
      <c r="L9240">
        <v>1</v>
      </c>
      <c r="M9240">
        <v>10</v>
      </c>
      <c r="N9240" t="s">
        <v>35</v>
      </c>
      <c r="O9240" t="s">
        <v>27</v>
      </c>
      <c r="P9240">
        <v>14.5445999183816</v>
      </c>
      <c r="Q9240">
        <v>1.15591819511131</v>
      </c>
      <c r="R9240">
        <v>7.0679782831441704</v>
      </c>
      <c r="S9240">
        <v>141</v>
      </c>
      <c r="T9240">
        <v>72</v>
      </c>
      <c r="U9240">
        <v>895.91869951657998</v>
      </c>
      <c r="V9240">
        <v>2.2878059940516999E-3</v>
      </c>
      <c r="W9240">
        <v>4311905.1277904604</v>
      </c>
      <c r="X9240" t="s">
        <v>28</v>
      </c>
      <c r="Y9240">
        <f>1-480-643-5141</f>
        <v>-6263</v>
      </c>
    </row>
    <row r="9241" spans="1:25" x14ac:dyDescent="0.35">
      <c r="A9241">
        <v>36.644401728027503</v>
      </c>
      <c r="B9241">
        <v>-117.355973635086</v>
      </c>
      <c r="C9241" t="s">
        <v>34</v>
      </c>
      <c r="D9241">
        <v>35.184765950665103</v>
      </c>
      <c r="E9241">
        <v>9</v>
      </c>
      <c r="F9241">
        <v>3832</v>
      </c>
      <c r="G9241">
        <v>4</v>
      </c>
      <c r="H9241">
        <v>1</v>
      </c>
      <c r="I9241">
        <v>1965</v>
      </c>
      <c r="J9241">
        <v>0</v>
      </c>
      <c r="K9241">
        <v>0</v>
      </c>
      <c r="L9241">
        <v>0</v>
      </c>
      <c r="M9241">
        <v>6</v>
      </c>
      <c r="N9241" t="s">
        <v>26</v>
      </c>
      <c r="O9241" t="s">
        <v>30</v>
      </c>
      <c r="P9241">
        <v>13.5655920984511</v>
      </c>
      <c r="Q9241">
        <v>2.1536168177719599</v>
      </c>
      <c r="R9241">
        <v>3.2721390524152798</v>
      </c>
      <c r="S9241">
        <v>162</v>
      </c>
      <c r="T9241">
        <v>70</v>
      </c>
      <c r="U9241">
        <v>350.41939772629303</v>
      </c>
      <c r="V9241">
        <v>1.56576200417536E-3</v>
      </c>
      <c r="W9241">
        <v>1503060.6992541801</v>
      </c>
      <c r="X9241" t="s">
        <v>43</v>
      </c>
      <c r="Y9241">
        <f>1-969-635-3811</f>
        <v>-5414</v>
      </c>
    </row>
    <row r="9242" spans="1:25" x14ac:dyDescent="0.35">
      <c r="A9242">
        <v>40.1925401139016</v>
      </c>
      <c r="B9242">
        <v>-123.257143188518</v>
      </c>
      <c r="C9242" t="s">
        <v>29</v>
      </c>
      <c r="D9242">
        <v>32.157354380327099</v>
      </c>
      <c r="E9242">
        <v>5</v>
      </c>
      <c r="F9242">
        <v>1775</v>
      </c>
      <c r="G9242">
        <v>1</v>
      </c>
      <c r="H9242">
        <v>1</v>
      </c>
      <c r="I9242">
        <v>2011</v>
      </c>
      <c r="J9242">
        <v>1</v>
      </c>
      <c r="K9242">
        <v>0</v>
      </c>
      <c r="L9242">
        <v>1</v>
      </c>
      <c r="M9242">
        <v>7</v>
      </c>
      <c r="N9242" t="s">
        <v>41</v>
      </c>
      <c r="O9242" t="s">
        <v>32</v>
      </c>
      <c r="P9242">
        <v>7.6956052775685997</v>
      </c>
      <c r="Q9242">
        <v>1.8375201642090999</v>
      </c>
      <c r="R9242">
        <v>1.42840673808257</v>
      </c>
      <c r="S9242">
        <v>36</v>
      </c>
      <c r="T9242">
        <v>20</v>
      </c>
      <c r="U9242">
        <v>859.16978689456505</v>
      </c>
      <c r="V9242">
        <v>3.9436619718309796E-3</v>
      </c>
      <c r="W9242">
        <v>1695254.5231792701</v>
      </c>
      <c r="X9242" t="s">
        <v>43</v>
      </c>
      <c r="Y9242">
        <f>1-325-809-5896</f>
        <v>-7029</v>
      </c>
    </row>
    <row r="9243" spans="1:25" x14ac:dyDescent="0.35">
      <c r="A9243">
        <v>37.789077205156403</v>
      </c>
      <c r="B9243">
        <v>-115.343716019396</v>
      </c>
      <c r="C9243" t="s">
        <v>34</v>
      </c>
      <c r="D9243">
        <v>33.967743884929298</v>
      </c>
      <c r="E9243">
        <v>8</v>
      </c>
      <c r="F9243">
        <v>2821</v>
      </c>
      <c r="G9243">
        <v>4</v>
      </c>
      <c r="H9243">
        <v>2</v>
      </c>
      <c r="I9243">
        <v>2004</v>
      </c>
      <c r="J9243">
        <v>0</v>
      </c>
      <c r="K9243">
        <v>0</v>
      </c>
      <c r="L9243">
        <v>0</v>
      </c>
      <c r="M9243">
        <v>14</v>
      </c>
      <c r="N9243" t="s">
        <v>37</v>
      </c>
      <c r="O9243" t="s">
        <v>27</v>
      </c>
      <c r="P9243">
        <v>10.6755452705514</v>
      </c>
      <c r="Q9243">
        <v>2.1838114296398299</v>
      </c>
      <c r="R9243">
        <v>7.4768253820959902</v>
      </c>
      <c r="S9243">
        <v>19</v>
      </c>
      <c r="T9243">
        <v>65</v>
      </c>
      <c r="U9243">
        <v>863.95879060466598</v>
      </c>
      <c r="V9243">
        <v>4.96277915632754E-3</v>
      </c>
      <c r="W9243">
        <v>2687298.9180753301</v>
      </c>
      <c r="X9243" t="s">
        <v>36</v>
      </c>
      <c r="Y9243">
        <f>1-919-954-3283</f>
        <v>-5155</v>
      </c>
    </row>
    <row r="9244" spans="1:25" x14ac:dyDescent="0.35">
      <c r="A9244">
        <v>36.711827425499301</v>
      </c>
      <c r="B9244">
        <v>-120.149636124609</v>
      </c>
      <c r="C9244" t="s">
        <v>34</v>
      </c>
      <c r="D9244">
        <v>30.569148650184101</v>
      </c>
      <c r="E9244">
        <v>0</v>
      </c>
      <c r="F9244">
        <v>4170</v>
      </c>
      <c r="G9244">
        <v>5</v>
      </c>
      <c r="H9244">
        <v>3</v>
      </c>
      <c r="I9244">
        <v>1985</v>
      </c>
      <c r="J9244">
        <v>1</v>
      </c>
      <c r="K9244">
        <v>1</v>
      </c>
      <c r="L9244">
        <v>0</v>
      </c>
      <c r="M9244">
        <v>14</v>
      </c>
      <c r="N9244" t="s">
        <v>35</v>
      </c>
      <c r="O9244" t="s">
        <v>30</v>
      </c>
      <c r="P9244">
        <v>2.4936077934991001</v>
      </c>
      <c r="Q9244">
        <v>0.601993988121024</v>
      </c>
      <c r="R9244">
        <v>4.8694064705278297</v>
      </c>
      <c r="S9244">
        <v>120</v>
      </c>
      <c r="T9244">
        <v>59</v>
      </c>
      <c r="U9244">
        <v>768.31301145917701</v>
      </c>
      <c r="V9244">
        <v>3.3573141486810498E-3</v>
      </c>
      <c r="W9244">
        <v>3621698.2709846701</v>
      </c>
      <c r="X9244" t="s">
        <v>42</v>
      </c>
      <c r="Y9244">
        <f>1-913-109-2543</f>
        <v>-3564</v>
      </c>
    </row>
    <row r="9245" spans="1:25" x14ac:dyDescent="0.35">
      <c r="A9245">
        <v>39.754607549029302</v>
      </c>
      <c r="B9245">
        <v>-124.41509576464399</v>
      </c>
      <c r="C9245" t="s">
        <v>25</v>
      </c>
      <c r="D9245">
        <v>48.3171309099383</v>
      </c>
      <c r="E9245">
        <v>4</v>
      </c>
      <c r="F9245">
        <v>2766</v>
      </c>
      <c r="G9245">
        <v>5</v>
      </c>
      <c r="H9245">
        <v>3</v>
      </c>
      <c r="I9245">
        <v>2009</v>
      </c>
      <c r="J9245">
        <v>1</v>
      </c>
      <c r="K9245">
        <v>1</v>
      </c>
      <c r="L9245">
        <v>0</v>
      </c>
      <c r="M9245">
        <v>11</v>
      </c>
      <c r="N9245" t="s">
        <v>37</v>
      </c>
      <c r="O9245" t="s">
        <v>30</v>
      </c>
      <c r="P9245">
        <v>8.80333210572749</v>
      </c>
      <c r="Q9245">
        <v>2.1116891839224601</v>
      </c>
      <c r="R9245">
        <v>1.91221699999367</v>
      </c>
      <c r="S9245">
        <v>171</v>
      </c>
      <c r="T9245">
        <v>65</v>
      </c>
      <c r="U9245">
        <v>553.85650438961295</v>
      </c>
      <c r="V9245">
        <v>3.9768618944323901E-3</v>
      </c>
      <c r="W9245">
        <v>2010546.33941375</v>
      </c>
      <c r="X9245" t="s">
        <v>33</v>
      </c>
      <c r="Y9245">
        <f>1-990-572-1452</f>
        <v>-3013</v>
      </c>
    </row>
    <row r="9246" spans="1:25" x14ac:dyDescent="0.35">
      <c r="A9246">
        <v>38.649678324872099</v>
      </c>
      <c r="B9246">
        <v>-115.138246190155</v>
      </c>
      <c r="C9246" t="s">
        <v>29</v>
      </c>
      <c r="D9246">
        <v>39.560546779344001</v>
      </c>
      <c r="E9246">
        <v>6</v>
      </c>
      <c r="F9246">
        <v>4992</v>
      </c>
      <c r="G9246">
        <v>1</v>
      </c>
      <c r="H9246">
        <v>3</v>
      </c>
      <c r="I9246">
        <v>1981</v>
      </c>
      <c r="J9246">
        <v>0</v>
      </c>
      <c r="K9246">
        <v>1</v>
      </c>
      <c r="L9246">
        <v>1</v>
      </c>
      <c r="M9246">
        <v>13</v>
      </c>
      <c r="N9246" t="s">
        <v>37</v>
      </c>
      <c r="O9246" t="s">
        <v>30</v>
      </c>
      <c r="P9246">
        <v>6.37307771087006</v>
      </c>
      <c r="Q9246">
        <v>1.1159616698124899</v>
      </c>
      <c r="R9246">
        <v>6.2553080184946097</v>
      </c>
      <c r="S9246">
        <v>145</v>
      </c>
      <c r="T9246">
        <v>35</v>
      </c>
      <c r="U9246">
        <v>654.78398552590704</v>
      </c>
      <c r="V9246">
        <v>2.60416666666666E-3</v>
      </c>
      <c r="W9246">
        <v>3558993.3894019099</v>
      </c>
      <c r="X9246" t="s">
        <v>40</v>
      </c>
      <c r="Y9246">
        <f>1-666-145-1135</f>
        <v>-1945</v>
      </c>
    </row>
    <row r="9247" spans="1:25" x14ac:dyDescent="0.35">
      <c r="A9247">
        <v>35.3750422772506</v>
      </c>
      <c r="B9247">
        <v>-114.21034191051</v>
      </c>
      <c r="C9247" t="s">
        <v>29</v>
      </c>
      <c r="D9247">
        <v>25.210300001335199</v>
      </c>
      <c r="E9247">
        <v>6</v>
      </c>
      <c r="F9247">
        <v>1881</v>
      </c>
      <c r="G9247">
        <v>3</v>
      </c>
      <c r="H9247">
        <v>2</v>
      </c>
      <c r="I9247">
        <v>1989</v>
      </c>
      <c r="J9247">
        <v>1</v>
      </c>
      <c r="K9247">
        <v>0</v>
      </c>
      <c r="L9247">
        <v>1</v>
      </c>
      <c r="M9247">
        <v>10</v>
      </c>
      <c r="N9247" t="s">
        <v>41</v>
      </c>
      <c r="O9247" t="s">
        <v>27</v>
      </c>
      <c r="P9247">
        <v>14.1998488244776</v>
      </c>
      <c r="Q9247">
        <v>1.2847959222922001</v>
      </c>
      <c r="R9247">
        <v>2.5058821618138301</v>
      </c>
      <c r="S9247">
        <v>112</v>
      </c>
      <c r="T9247">
        <v>64</v>
      </c>
      <c r="U9247">
        <v>501.44622952174899</v>
      </c>
      <c r="V9247">
        <v>5.3163211057947902E-3</v>
      </c>
      <c r="W9247">
        <v>1293066.67372092</v>
      </c>
      <c r="X9247" t="s">
        <v>43</v>
      </c>
      <c r="Y9247">
        <f>1-895-272-7633</f>
        <v>-8799</v>
      </c>
    </row>
    <row r="9248" spans="1:25" x14ac:dyDescent="0.35">
      <c r="A9248">
        <v>40.494408503128</v>
      </c>
      <c r="B9248">
        <v>-114.694494924816</v>
      </c>
      <c r="C9248" t="s">
        <v>29</v>
      </c>
      <c r="D9248">
        <v>21.7060615622357</v>
      </c>
      <c r="E9248">
        <v>9</v>
      </c>
      <c r="F9248">
        <v>3018</v>
      </c>
      <c r="G9248">
        <v>4</v>
      </c>
      <c r="H9248">
        <v>3</v>
      </c>
      <c r="I9248">
        <v>1977</v>
      </c>
      <c r="J9248">
        <v>0</v>
      </c>
      <c r="K9248">
        <v>1</v>
      </c>
      <c r="L9248">
        <v>1</v>
      </c>
      <c r="M9248">
        <v>5</v>
      </c>
      <c r="N9248" t="s">
        <v>37</v>
      </c>
      <c r="O9248" t="s">
        <v>30</v>
      </c>
      <c r="P9248">
        <v>4.3714213161592399</v>
      </c>
      <c r="Q9248">
        <v>0.84681877157822405</v>
      </c>
      <c r="R9248">
        <v>0.82911427655630399</v>
      </c>
      <c r="S9248">
        <v>77</v>
      </c>
      <c r="T9248">
        <v>67</v>
      </c>
      <c r="U9248">
        <v>553.41570725205997</v>
      </c>
      <c r="V9248">
        <v>1.65672630881378E-3</v>
      </c>
      <c r="W9248">
        <v>2039256.5058376</v>
      </c>
      <c r="X9248" t="s">
        <v>33</v>
      </c>
      <c r="Y9248">
        <f>1-435-453-9723</f>
        <v>-10610</v>
      </c>
    </row>
    <row r="9249" spans="1:25" x14ac:dyDescent="0.35">
      <c r="A9249">
        <v>32.698101869382597</v>
      </c>
      <c r="B9249">
        <v>-118.91023354126899</v>
      </c>
      <c r="C9249" t="s">
        <v>34</v>
      </c>
      <c r="D9249">
        <v>46.344654176968199</v>
      </c>
      <c r="E9249">
        <v>6</v>
      </c>
      <c r="F9249">
        <v>4695</v>
      </c>
      <c r="G9249">
        <v>1</v>
      </c>
      <c r="H9249">
        <v>1</v>
      </c>
      <c r="I9249">
        <v>1963</v>
      </c>
      <c r="J9249">
        <v>1</v>
      </c>
      <c r="K9249">
        <v>1</v>
      </c>
      <c r="L9249">
        <v>0</v>
      </c>
      <c r="M9249">
        <v>7</v>
      </c>
      <c r="N9249" t="s">
        <v>35</v>
      </c>
      <c r="O9249" t="s">
        <v>30</v>
      </c>
      <c r="P9249">
        <v>9.2148437445525495</v>
      </c>
      <c r="Q9249">
        <v>1.3698524810606001</v>
      </c>
      <c r="R9249">
        <v>5.2317414053833797</v>
      </c>
      <c r="S9249">
        <v>121</v>
      </c>
      <c r="T9249">
        <v>43</v>
      </c>
      <c r="U9249">
        <v>326.23065378908302</v>
      </c>
      <c r="V9249">
        <v>1.49094781682641E-3</v>
      </c>
      <c r="W9249">
        <v>1695779.54280479</v>
      </c>
      <c r="X9249" t="s">
        <v>40</v>
      </c>
      <c r="Y9249">
        <f>1-685-609-3402</f>
        <v>-4695</v>
      </c>
    </row>
    <row r="9250" spans="1:25" x14ac:dyDescent="0.35">
      <c r="A9250">
        <v>35.025829385473699</v>
      </c>
      <c r="B9250">
        <v>-122.04054958098099</v>
      </c>
      <c r="C9250" t="s">
        <v>34</v>
      </c>
      <c r="D9250">
        <v>42.630753579472596</v>
      </c>
      <c r="E9250">
        <v>5</v>
      </c>
      <c r="F9250">
        <v>2647</v>
      </c>
      <c r="G9250">
        <v>1</v>
      </c>
      <c r="H9250">
        <v>3</v>
      </c>
      <c r="I9250">
        <v>1966</v>
      </c>
      <c r="J9250">
        <v>1</v>
      </c>
      <c r="K9250">
        <v>1</v>
      </c>
      <c r="L9250">
        <v>0</v>
      </c>
      <c r="M9250">
        <v>14</v>
      </c>
      <c r="N9250" t="s">
        <v>41</v>
      </c>
      <c r="O9250" t="s">
        <v>30</v>
      </c>
      <c r="P9250">
        <v>4.5864966018100297</v>
      </c>
      <c r="Q9250">
        <v>2.2585225664886401</v>
      </c>
      <c r="R9250">
        <v>0.91946857697608197</v>
      </c>
      <c r="S9250">
        <v>177</v>
      </c>
      <c r="T9250">
        <v>27</v>
      </c>
      <c r="U9250">
        <v>201.18844497165799</v>
      </c>
      <c r="V9250">
        <v>5.2890064223649396E-3</v>
      </c>
      <c r="W9250">
        <v>738953.14822706999</v>
      </c>
      <c r="X9250" t="s">
        <v>39</v>
      </c>
      <c r="Y9250">
        <f>1-915-408-9828</f>
        <v>-11150</v>
      </c>
    </row>
    <row r="9251" spans="1:25" x14ac:dyDescent="0.35">
      <c r="A9251">
        <v>40.974310776241097</v>
      </c>
      <c r="B9251">
        <v>-122.171393962888</v>
      </c>
      <c r="C9251" t="s">
        <v>34</v>
      </c>
      <c r="D9251">
        <v>1.43825899762909</v>
      </c>
      <c r="E9251">
        <v>2</v>
      </c>
      <c r="F9251">
        <v>2718</v>
      </c>
      <c r="G9251">
        <v>2</v>
      </c>
      <c r="H9251">
        <v>3</v>
      </c>
      <c r="I9251">
        <v>2007</v>
      </c>
      <c r="J9251">
        <v>1</v>
      </c>
      <c r="K9251">
        <v>1</v>
      </c>
      <c r="L9251">
        <v>1</v>
      </c>
      <c r="M9251">
        <v>13</v>
      </c>
      <c r="N9251" t="s">
        <v>35</v>
      </c>
      <c r="O9251" t="s">
        <v>32</v>
      </c>
      <c r="P9251">
        <v>12.4159178263437</v>
      </c>
      <c r="Q9251">
        <v>0.76012558441195199</v>
      </c>
      <c r="R9251">
        <v>7.7642918966511596</v>
      </c>
      <c r="S9251">
        <v>131</v>
      </c>
      <c r="T9251">
        <v>33</v>
      </c>
      <c r="U9251">
        <v>229.43761803905599</v>
      </c>
      <c r="V9251">
        <v>4.7829286239882201E-3</v>
      </c>
      <c r="W9251">
        <v>1106104.4455066801</v>
      </c>
      <c r="X9251" t="s">
        <v>42</v>
      </c>
      <c r="Y9251">
        <f>1-936-726-9765</f>
        <v>-11426</v>
      </c>
    </row>
    <row r="9252" spans="1:25" x14ac:dyDescent="0.35">
      <c r="A9252">
        <v>38.503371858720797</v>
      </c>
      <c r="B9252">
        <v>-122.310491403905</v>
      </c>
      <c r="C9252" t="s">
        <v>34</v>
      </c>
      <c r="D9252">
        <v>14.939046305711299</v>
      </c>
      <c r="E9252">
        <v>5</v>
      </c>
      <c r="F9252">
        <v>4154</v>
      </c>
      <c r="G9252">
        <v>2</v>
      </c>
      <c r="H9252">
        <v>3</v>
      </c>
      <c r="I9252">
        <v>1975</v>
      </c>
      <c r="J9252">
        <v>0</v>
      </c>
      <c r="K9252">
        <v>1</v>
      </c>
      <c r="L9252">
        <v>1</v>
      </c>
      <c r="M9252">
        <v>4</v>
      </c>
      <c r="N9252" t="s">
        <v>41</v>
      </c>
      <c r="O9252" t="s">
        <v>30</v>
      </c>
      <c r="P9252">
        <v>13.2529821064693</v>
      </c>
      <c r="Q9252">
        <v>1.2658879344488301</v>
      </c>
      <c r="R9252">
        <v>9.4352698897004199</v>
      </c>
      <c r="S9252">
        <v>112</v>
      </c>
      <c r="T9252">
        <v>41</v>
      </c>
      <c r="U9252">
        <v>820.492967315437</v>
      </c>
      <c r="V9252">
        <v>9.6292729898892599E-4</v>
      </c>
      <c r="W9252">
        <v>3779489.0359842</v>
      </c>
      <c r="X9252" t="s">
        <v>44</v>
      </c>
      <c r="Y9252">
        <f>1-590-112-2686</f>
        <v>-3387</v>
      </c>
    </row>
    <row r="9253" spans="1:25" x14ac:dyDescent="0.35">
      <c r="A9253">
        <v>35.6305704341314</v>
      </c>
      <c r="B9253">
        <v>-119.402604241056</v>
      </c>
      <c r="C9253" t="s">
        <v>25</v>
      </c>
      <c r="D9253">
        <v>38.764318650308098</v>
      </c>
      <c r="E9253">
        <v>2</v>
      </c>
      <c r="F9253">
        <v>3449</v>
      </c>
      <c r="G9253">
        <v>2</v>
      </c>
      <c r="H9253">
        <v>1</v>
      </c>
      <c r="I9253">
        <v>2002</v>
      </c>
      <c r="J9253">
        <v>1</v>
      </c>
      <c r="K9253">
        <v>1</v>
      </c>
      <c r="L9253">
        <v>0</v>
      </c>
      <c r="M9253">
        <v>4</v>
      </c>
      <c r="N9253" t="s">
        <v>41</v>
      </c>
      <c r="O9253" t="s">
        <v>32</v>
      </c>
      <c r="P9253">
        <v>5.8245887028673398</v>
      </c>
      <c r="Q9253">
        <v>1.0347725760173301</v>
      </c>
      <c r="R9253">
        <v>8.3694008904969994</v>
      </c>
      <c r="S9253">
        <v>178</v>
      </c>
      <c r="T9253">
        <v>62</v>
      </c>
      <c r="U9253">
        <v>417.81441301561301</v>
      </c>
      <c r="V9253">
        <v>1.1597564511452499E-3</v>
      </c>
      <c r="W9253">
        <v>1647077.09735644</v>
      </c>
      <c r="X9253" t="s">
        <v>33</v>
      </c>
      <c r="Y9253">
        <f>1-968-541-8063</f>
        <v>-9571</v>
      </c>
    </row>
    <row r="9254" spans="1:25" x14ac:dyDescent="0.35">
      <c r="A9254">
        <v>34.1092218775172</v>
      </c>
      <c r="B9254">
        <v>-123.560235729214</v>
      </c>
      <c r="C9254" t="s">
        <v>25</v>
      </c>
      <c r="D9254">
        <v>30.058406928733302</v>
      </c>
      <c r="E9254">
        <v>2</v>
      </c>
      <c r="F9254">
        <v>3304</v>
      </c>
      <c r="G9254">
        <v>4</v>
      </c>
      <c r="H9254">
        <v>2</v>
      </c>
      <c r="I9254">
        <v>2020</v>
      </c>
      <c r="J9254">
        <v>0</v>
      </c>
      <c r="K9254">
        <v>0</v>
      </c>
      <c r="L9254">
        <v>0</v>
      </c>
      <c r="M9254">
        <v>4</v>
      </c>
      <c r="N9254" t="s">
        <v>26</v>
      </c>
      <c r="O9254" t="s">
        <v>30</v>
      </c>
      <c r="P9254">
        <v>6.9977755383731797</v>
      </c>
      <c r="Q9254">
        <v>1.68942180211221</v>
      </c>
      <c r="R9254">
        <v>4.7047439409892799</v>
      </c>
      <c r="S9254">
        <v>143</v>
      </c>
      <c r="T9254">
        <v>59</v>
      </c>
      <c r="U9254">
        <v>786.14485198689397</v>
      </c>
      <c r="V9254">
        <v>1.2106537530266301E-3</v>
      </c>
      <c r="W9254">
        <v>2875878.1567870802</v>
      </c>
      <c r="X9254" t="s">
        <v>36</v>
      </c>
      <c r="Y9254">
        <f>1-295-839-5820</f>
        <v>-6953</v>
      </c>
    </row>
    <row r="9255" spans="1:25" x14ac:dyDescent="0.35">
      <c r="A9255">
        <v>38.329739057528698</v>
      </c>
      <c r="B9255">
        <v>-121.908511739934</v>
      </c>
      <c r="C9255" t="s">
        <v>34</v>
      </c>
      <c r="D9255">
        <v>36.128937591297799</v>
      </c>
      <c r="E9255">
        <v>9</v>
      </c>
      <c r="F9255">
        <v>4458</v>
      </c>
      <c r="G9255">
        <v>4</v>
      </c>
      <c r="H9255">
        <v>3</v>
      </c>
      <c r="I9255">
        <v>1989</v>
      </c>
      <c r="J9255">
        <v>1</v>
      </c>
      <c r="K9255">
        <v>0</v>
      </c>
      <c r="L9255">
        <v>1</v>
      </c>
      <c r="M9255">
        <v>2</v>
      </c>
      <c r="N9255" t="s">
        <v>37</v>
      </c>
      <c r="O9255" t="s">
        <v>27</v>
      </c>
      <c r="P9255">
        <v>9.9708464722570493</v>
      </c>
      <c r="Q9255">
        <v>1.96847100856244</v>
      </c>
      <c r="R9255">
        <v>8.0483471251263907</v>
      </c>
      <c r="S9255">
        <v>166</v>
      </c>
      <c r="T9255">
        <v>38</v>
      </c>
      <c r="U9255">
        <v>489.64741818055597</v>
      </c>
      <c r="V9255">
        <v>4.4863167339614099E-4</v>
      </c>
      <c r="W9255">
        <v>2545880.35580141</v>
      </c>
      <c r="X9255" t="s">
        <v>33</v>
      </c>
      <c r="Y9255">
        <f>1-615-359-8387</f>
        <v>-9360</v>
      </c>
    </row>
    <row r="9256" spans="1:25" x14ac:dyDescent="0.35">
      <c r="A9256">
        <v>40.304038899515398</v>
      </c>
      <c r="B9256">
        <v>-118.202717780199</v>
      </c>
      <c r="C9256" t="s">
        <v>25</v>
      </c>
      <c r="D9256">
        <v>4.4554168794376396</v>
      </c>
      <c r="E9256">
        <v>4</v>
      </c>
      <c r="F9256">
        <v>1945</v>
      </c>
      <c r="G9256">
        <v>4</v>
      </c>
      <c r="H9256">
        <v>3</v>
      </c>
      <c r="I9256">
        <v>2001</v>
      </c>
      <c r="J9256">
        <v>0</v>
      </c>
      <c r="K9256">
        <v>0</v>
      </c>
      <c r="L9256">
        <v>0</v>
      </c>
      <c r="M9256">
        <v>11</v>
      </c>
      <c r="N9256" t="s">
        <v>41</v>
      </c>
      <c r="O9256" t="s">
        <v>27</v>
      </c>
      <c r="P9256">
        <v>12.8967497509719</v>
      </c>
      <c r="Q9256">
        <v>0.72150350085001103</v>
      </c>
      <c r="R9256">
        <v>4.2754265481878502</v>
      </c>
      <c r="S9256">
        <v>13</v>
      </c>
      <c r="T9256">
        <v>36</v>
      </c>
      <c r="U9256">
        <v>725.68805378731702</v>
      </c>
      <c r="V9256">
        <v>5.65552699228791E-3</v>
      </c>
      <c r="W9256">
        <v>1713263.3192127501</v>
      </c>
      <c r="X9256" t="s">
        <v>40</v>
      </c>
      <c r="Y9256">
        <f>1-815-749-8886</f>
        <v>-10449</v>
      </c>
    </row>
    <row r="9257" spans="1:25" x14ac:dyDescent="0.35">
      <c r="A9257">
        <v>36.6806902209212</v>
      </c>
      <c r="B9257">
        <v>-118.309043624647</v>
      </c>
      <c r="C9257" t="s">
        <v>34</v>
      </c>
      <c r="D9257">
        <v>22.758162886282602</v>
      </c>
      <c r="E9257">
        <v>7</v>
      </c>
      <c r="F9257">
        <v>3307</v>
      </c>
      <c r="G9257">
        <v>5</v>
      </c>
      <c r="H9257">
        <v>2</v>
      </c>
      <c r="I9257">
        <v>1999</v>
      </c>
      <c r="J9257">
        <v>1</v>
      </c>
      <c r="K9257">
        <v>1</v>
      </c>
      <c r="L9257">
        <v>0</v>
      </c>
      <c r="M9257">
        <v>6</v>
      </c>
      <c r="N9257" t="s">
        <v>37</v>
      </c>
      <c r="O9257" t="s">
        <v>30</v>
      </c>
      <c r="P9257">
        <v>11.179466976025701</v>
      </c>
      <c r="Q9257">
        <v>0.77560640775275402</v>
      </c>
      <c r="R9257">
        <v>6.4427858958225803</v>
      </c>
      <c r="S9257">
        <v>176</v>
      </c>
      <c r="T9257">
        <v>35</v>
      </c>
      <c r="U9257">
        <v>251.766956584517</v>
      </c>
      <c r="V9257">
        <v>1.81433323253704E-3</v>
      </c>
      <c r="W9257">
        <v>1296421.3991813201</v>
      </c>
      <c r="X9257" t="s">
        <v>43</v>
      </c>
      <c r="Y9257">
        <f>1-492-658-4269</f>
        <v>-5418</v>
      </c>
    </row>
    <row r="9258" spans="1:25" x14ac:dyDescent="0.35">
      <c r="A9258">
        <v>34.2356055715954</v>
      </c>
      <c r="B9258">
        <v>-117.784277341649</v>
      </c>
      <c r="C9258" t="s">
        <v>29</v>
      </c>
      <c r="D9258">
        <v>22.722761681208201</v>
      </c>
      <c r="E9258">
        <v>2</v>
      </c>
      <c r="F9258">
        <v>4136</v>
      </c>
      <c r="G9258">
        <v>3</v>
      </c>
      <c r="H9258">
        <v>2</v>
      </c>
      <c r="I9258">
        <v>1977</v>
      </c>
      <c r="J9258">
        <v>1</v>
      </c>
      <c r="K9258">
        <v>0</v>
      </c>
      <c r="L9258">
        <v>0</v>
      </c>
      <c r="M9258">
        <v>14</v>
      </c>
      <c r="N9258" t="s">
        <v>26</v>
      </c>
      <c r="O9258" t="s">
        <v>30</v>
      </c>
      <c r="P9258">
        <v>5.2896312492726603</v>
      </c>
      <c r="Q9258">
        <v>1.5453547356194699</v>
      </c>
      <c r="R9258">
        <v>3.4847690919794001</v>
      </c>
      <c r="S9258">
        <v>26</v>
      </c>
      <c r="T9258">
        <v>32</v>
      </c>
      <c r="U9258">
        <v>615.33592210789902</v>
      </c>
      <c r="V9258">
        <v>3.3849129593810398E-3</v>
      </c>
      <c r="W9258">
        <v>2816499.7574598999</v>
      </c>
      <c r="X9258" t="s">
        <v>36</v>
      </c>
      <c r="Y9258">
        <f>1-698-443-7913</f>
        <v>-9053</v>
      </c>
    </row>
    <row r="9259" spans="1:25" x14ac:dyDescent="0.35">
      <c r="A9259">
        <v>34.980266903167802</v>
      </c>
      <c r="B9259">
        <v>-121.589718987978</v>
      </c>
      <c r="C9259" t="s">
        <v>34</v>
      </c>
      <c r="D9259">
        <v>47.196190995585603</v>
      </c>
      <c r="E9259">
        <v>5</v>
      </c>
      <c r="F9259">
        <v>1337</v>
      </c>
      <c r="G9259">
        <v>2</v>
      </c>
      <c r="H9259">
        <v>3</v>
      </c>
      <c r="I9259">
        <v>1971</v>
      </c>
      <c r="J9259">
        <v>1</v>
      </c>
      <c r="K9259">
        <v>0</v>
      </c>
      <c r="L9259">
        <v>1</v>
      </c>
      <c r="M9259">
        <v>14</v>
      </c>
      <c r="N9259" t="s">
        <v>26</v>
      </c>
      <c r="O9259" t="s">
        <v>27</v>
      </c>
      <c r="P9259">
        <v>12.4256533914035</v>
      </c>
      <c r="Q9259">
        <v>1.4200848928544101</v>
      </c>
      <c r="R9259">
        <v>7.5292513111923496</v>
      </c>
      <c r="S9259">
        <v>126</v>
      </c>
      <c r="T9259">
        <v>76</v>
      </c>
      <c r="U9259">
        <v>531.59407696468202</v>
      </c>
      <c r="V9259">
        <v>1.04712041884816E-2</v>
      </c>
      <c r="W9259">
        <v>858597.19026216096</v>
      </c>
      <c r="X9259" t="s">
        <v>43</v>
      </c>
      <c r="Y9259">
        <f>1-860-981-8960</f>
        <v>-10800</v>
      </c>
    </row>
    <row r="9260" spans="1:25" x14ac:dyDescent="0.35">
      <c r="A9260">
        <v>35.236893218248497</v>
      </c>
      <c r="B9260">
        <v>-116.907489795017</v>
      </c>
      <c r="C9260" t="s">
        <v>34</v>
      </c>
      <c r="D9260">
        <v>44.627026862081799</v>
      </c>
      <c r="E9260">
        <v>0</v>
      </c>
      <c r="F9260">
        <v>1680</v>
      </c>
      <c r="G9260">
        <v>2</v>
      </c>
      <c r="H9260">
        <v>2</v>
      </c>
      <c r="I9260">
        <v>2013</v>
      </c>
      <c r="J9260">
        <v>0</v>
      </c>
      <c r="K9260">
        <v>0</v>
      </c>
      <c r="L9260">
        <v>1</v>
      </c>
      <c r="M9260">
        <v>12</v>
      </c>
      <c r="N9260" t="s">
        <v>35</v>
      </c>
      <c r="O9260" t="s">
        <v>27</v>
      </c>
      <c r="P9260">
        <v>11.0455066623846</v>
      </c>
      <c r="Q9260">
        <v>0.72585258751295501</v>
      </c>
      <c r="R9260">
        <v>4.1107354692024797E-2</v>
      </c>
      <c r="S9260">
        <v>186</v>
      </c>
      <c r="T9260">
        <v>37</v>
      </c>
      <c r="U9260">
        <v>854.91522761252804</v>
      </c>
      <c r="V9260">
        <v>7.14285714285714E-3</v>
      </c>
      <c r="W9260">
        <v>1673262.6837518499</v>
      </c>
      <c r="X9260" t="s">
        <v>38</v>
      </c>
      <c r="Y9260">
        <f>1-630-518-4186</f>
        <v>-5333</v>
      </c>
    </row>
    <row r="9261" spans="1:25" x14ac:dyDescent="0.35">
      <c r="A9261">
        <v>36.280467562833998</v>
      </c>
      <c r="B9261">
        <v>-117.11514645483101</v>
      </c>
      <c r="C9261" t="s">
        <v>25</v>
      </c>
      <c r="D9261">
        <v>28.726700012033</v>
      </c>
      <c r="E9261">
        <v>5</v>
      </c>
      <c r="F9261">
        <v>668</v>
      </c>
      <c r="G9261">
        <v>2</v>
      </c>
      <c r="H9261">
        <v>3</v>
      </c>
      <c r="I9261">
        <v>2021</v>
      </c>
      <c r="J9261">
        <v>1</v>
      </c>
      <c r="K9261">
        <v>0</v>
      </c>
      <c r="L9261">
        <v>0</v>
      </c>
      <c r="M9261">
        <v>3</v>
      </c>
      <c r="N9261" t="s">
        <v>37</v>
      </c>
      <c r="O9261" t="s">
        <v>30</v>
      </c>
      <c r="P9261">
        <v>13.743164512183</v>
      </c>
      <c r="Q9261">
        <v>2.0942611243509499</v>
      </c>
      <c r="R9261">
        <v>9.4412913437549495</v>
      </c>
      <c r="S9261">
        <v>181</v>
      </c>
      <c r="T9261">
        <v>22</v>
      </c>
      <c r="U9261">
        <v>498.32520174862498</v>
      </c>
      <c r="V9261">
        <v>4.4910179640718501E-3</v>
      </c>
      <c r="W9261">
        <v>531567.410944239</v>
      </c>
      <c r="X9261" t="s">
        <v>44</v>
      </c>
      <c r="Y9261">
        <f>1-797-833-5442</f>
        <v>-7071</v>
      </c>
    </row>
    <row r="9262" spans="1:25" x14ac:dyDescent="0.35">
      <c r="A9262">
        <v>32.685297936882598</v>
      </c>
      <c r="B9262">
        <v>-119.344199128776</v>
      </c>
      <c r="C9262" t="s">
        <v>29</v>
      </c>
      <c r="D9262">
        <v>35.212345429457997</v>
      </c>
      <c r="E9262">
        <v>3</v>
      </c>
      <c r="F9262">
        <v>2830</v>
      </c>
      <c r="G9262">
        <v>3</v>
      </c>
      <c r="H9262">
        <v>1</v>
      </c>
      <c r="I9262">
        <v>2013</v>
      </c>
      <c r="J9262">
        <v>1</v>
      </c>
      <c r="K9262">
        <v>0</v>
      </c>
      <c r="L9262">
        <v>0</v>
      </c>
      <c r="M9262">
        <v>5</v>
      </c>
      <c r="N9262" t="s">
        <v>37</v>
      </c>
      <c r="O9262" t="s">
        <v>27</v>
      </c>
      <c r="P9262">
        <v>3.3419477085159701</v>
      </c>
      <c r="Q9262">
        <v>2.0303947271502598</v>
      </c>
      <c r="R9262">
        <v>9.8898334490708795</v>
      </c>
      <c r="S9262">
        <v>101</v>
      </c>
      <c r="T9262">
        <v>63</v>
      </c>
      <c r="U9262">
        <v>605.281338407627</v>
      </c>
      <c r="V9262">
        <v>1.76678445229681E-3</v>
      </c>
      <c r="W9262">
        <v>1953501.64626395</v>
      </c>
      <c r="X9262" t="s">
        <v>43</v>
      </c>
      <c r="Y9262">
        <f>1-782-711-2424</f>
        <v>-3916</v>
      </c>
    </row>
    <row r="9263" spans="1:25" x14ac:dyDescent="0.35">
      <c r="A9263">
        <v>33.622651445722703</v>
      </c>
      <c r="B9263">
        <v>-116.86103463621301</v>
      </c>
      <c r="C9263" t="s">
        <v>34</v>
      </c>
      <c r="D9263">
        <v>46.4576098444997</v>
      </c>
      <c r="E9263">
        <v>4</v>
      </c>
      <c r="F9263">
        <v>2403</v>
      </c>
      <c r="G9263">
        <v>2</v>
      </c>
      <c r="H9263">
        <v>3</v>
      </c>
      <c r="I9263">
        <v>2010</v>
      </c>
      <c r="J9263">
        <v>1</v>
      </c>
      <c r="K9263">
        <v>0</v>
      </c>
      <c r="L9263">
        <v>1</v>
      </c>
      <c r="M9263">
        <v>2</v>
      </c>
      <c r="N9263" t="s">
        <v>26</v>
      </c>
      <c r="O9263" t="s">
        <v>32</v>
      </c>
      <c r="P9263">
        <v>3.9168457392103599</v>
      </c>
      <c r="Q9263">
        <v>1.19841759974882</v>
      </c>
      <c r="R9263">
        <v>1.8461681197895199</v>
      </c>
      <c r="S9263">
        <v>65</v>
      </c>
      <c r="T9263">
        <v>76</v>
      </c>
      <c r="U9263">
        <v>720.79570001695299</v>
      </c>
      <c r="V9263">
        <v>8.3229296712442698E-4</v>
      </c>
      <c r="W9263">
        <v>1935400.7788513601</v>
      </c>
      <c r="X9263" t="s">
        <v>40</v>
      </c>
      <c r="Y9263">
        <f>1-608-245-8157</f>
        <v>-9009</v>
      </c>
    </row>
    <row r="9264" spans="1:25" x14ac:dyDescent="0.35">
      <c r="A9264">
        <v>40.920925660827599</v>
      </c>
      <c r="B9264">
        <v>-118.68291917662501</v>
      </c>
      <c r="C9264" t="s">
        <v>34</v>
      </c>
      <c r="D9264">
        <v>45.466443021946198</v>
      </c>
      <c r="E9264">
        <v>7</v>
      </c>
      <c r="F9264">
        <v>1979</v>
      </c>
      <c r="G9264">
        <v>4</v>
      </c>
      <c r="H9264">
        <v>1</v>
      </c>
      <c r="I9264">
        <v>1992</v>
      </c>
      <c r="J9264">
        <v>0</v>
      </c>
      <c r="K9264">
        <v>0</v>
      </c>
      <c r="L9264">
        <v>0</v>
      </c>
      <c r="M9264">
        <v>2</v>
      </c>
      <c r="N9264" t="s">
        <v>35</v>
      </c>
      <c r="O9264" t="s">
        <v>32</v>
      </c>
      <c r="P9264">
        <v>12.620742648704599</v>
      </c>
      <c r="Q9264">
        <v>0.74938435329584796</v>
      </c>
      <c r="R9264">
        <v>0.46246169951867999</v>
      </c>
      <c r="S9264">
        <v>124</v>
      </c>
      <c r="T9264">
        <v>26</v>
      </c>
      <c r="U9264">
        <v>935.86996305039804</v>
      </c>
      <c r="V9264">
        <v>1.0106114199090401E-3</v>
      </c>
      <c r="W9264">
        <v>2106786.4816538999</v>
      </c>
      <c r="X9264" t="s">
        <v>36</v>
      </c>
      <c r="Y9264">
        <f>1-467-428-8752</f>
        <v>-9646</v>
      </c>
    </row>
    <row r="9265" spans="1:25" x14ac:dyDescent="0.35">
      <c r="A9265">
        <v>38.625908729518301</v>
      </c>
      <c r="B9265">
        <v>-115.383623132964</v>
      </c>
      <c r="C9265" t="s">
        <v>25</v>
      </c>
      <c r="D9265">
        <v>23.6433153807459</v>
      </c>
      <c r="E9265">
        <v>0</v>
      </c>
      <c r="F9265">
        <v>1136</v>
      </c>
      <c r="G9265">
        <v>1</v>
      </c>
      <c r="H9265">
        <v>3</v>
      </c>
      <c r="I9265">
        <v>2011</v>
      </c>
      <c r="J9265">
        <v>0</v>
      </c>
      <c r="K9265">
        <v>1</v>
      </c>
      <c r="L9265">
        <v>0</v>
      </c>
      <c r="M9265">
        <v>7</v>
      </c>
      <c r="N9265" t="s">
        <v>26</v>
      </c>
      <c r="O9265" t="s">
        <v>30</v>
      </c>
      <c r="P9265">
        <v>5.5859539249111796</v>
      </c>
      <c r="Q9265">
        <v>1.0599437624177299</v>
      </c>
      <c r="R9265">
        <v>7.4233237977395401</v>
      </c>
      <c r="S9265">
        <v>150</v>
      </c>
      <c r="T9265">
        <v>49</v>
      </c>
      <c r="U9265">
        <v>786.88568176408296</v>
      </c>
      <c r="V9265">
        <v>6.1619718309859099E-3</v>
      </c>
      <c r="W9265">
        <v>1117412.16958997</v>
      </c>
      <c r="X9265" t="s">
        <v>38</v>
      </c>
      <c r="Y9265">
        <f>1-489-612-9280</f>
        <v>-10380</v>
      </c>
    </row>
    <row r="9266" spans="1:25" x14ac:dyDescent="0.35">
      <c r="A9266">
        <v>39.570149991750299</v>
      </c>
      <c r="B9266">
        <v>-121.71019861019499</v>
      </c>
      <c r="C9266" t="s">
        <v>25</v>
      </c>
      <c r="D9266">
        <v>34.327067842560602</v>
      </c>
      <c r="E9266">
        <v>3</v>
      </c>
      <c r="F9266">
        <v>1658</v>
      </c>
      <c r="G9266">
        <v>4</v>
      </c>
      <c r="H9266">
        <v>2</v>
      </c>
      <c r="I9266">
        <v>1953</v>
      </c>
      <c r="J9266">
        <v>1</v>
      </c>
      <c r="K9266">
        <v>1</v>
      </c>
      <c r="L9266">
        <v>1</v>
      </c>
      <c r="M9266">
        <v>5</v>
      </c>
      <c r="N9266" t="s">
        <v>26</v>
      </c>
      <c r="O9266" t="s">
        <v>30</v>
      </c>
      <c r="P9266">
        <v>6.7884860929362096</v>
      </c>
      <c r="Q9266">
        <v>0.78783405342436197</v>
      </c>
      <c r="R9266">
        <v>6.3444154235719497</v>
      </c>
      <c r="S9266">
        <v>89</v>
      </c>
      <c r="T9266">
        <v>69</v>
      </c>
      <c r="U9266">
        <v>672.57111143596603</v>
      </c>
      <c r="V9266">
        <v>3.01568154402895E-3</v>
      </c>
      <c r="W9266">
        <v>1468361.1830742499</v>
      </c>
      <c r="X9266" t="s">
        <v>28</v>
      </c>
      <c r="Y9266">
        <f>1-560-485-2894</f>
        <v>-3938</v>
      </c>
    </row>
    <row r="9267" spans="1:25" x14ac:dyDescent="0.35">
      <c r="A9267">
        <v>39.715394155410003</v>
      </c>
      <c r="B9267">
        <v>-116.00401311245599</v>
      </c>
      <c r="C9267" t="s">
        <v>34</v>
      </c>
      <c r="D9267">
        <v>21.927885796900998</v>
      </c>
      <c r="E9267">
        <v>7</v>
      </c>
      <c r="F9267">
        <v>3362</v>
      </c>
      <c r="G9267">
        <v>1</v>
      </c>
      <c r="H9267">
        <v>2</v>
      </c>
      <c r="I9267">
        <v>2003</v>
      </c>
      <c r="J9267">
        <v>1</v>
      </c>
      <c r="K9267">
        <v>0</v>
      </c>
      <c r="L9267">
        <v>0</v>
      </c>
      <c r="M9267">
        <v>13</v>
      </c>
      <c r="N9267" t="s">
        <v>26</v>
      </c>
      <c r="O9267" t="s">
        <v>27</v>
      </c>
      <c r="P9267">
        <v>4.4682185727064496</v>
      </c>
      <c r="Q9267">
        <v>2.4261176317403899</v>
      </c>
      <c r="R9267">
        <v>7.0701021623909099</v>
      </c>
      <c r="S9267">
        <v>186</v>
      </c>
      <c r="T9267">
        <v>54</v>
      </c>
      <c r="U9267">
        <v>713.21787184130994</v>
      </c>
      <c r="V9267">
        <v>3.8667459845330098E-3</v>
      </c>
      <c r="W9267">
        <v>2439866.5474584098</v>
      </c>
      <c r="X9267" t="s">
        <v>38</v>
      </c>
      <c r="Y9267">
        <f>1-360-223-7517</f>
        <v>-8099</v>
      </c>
    </row>
    <row r="9268" spans="1:25" x14ac:dyDescent="0.35">
      <c r="A9268">
        <v>41.245806501528797</v>
      </c>
      <c r="B9268">
        <v>-118.603882623141</v>
      </c>
      <c r="C9268" t="s">
        <v>34</v>
      </c>
      <c r="D9268">
        <v>24.697238698363002</v>
      </c>
      <c r="E9268">
        <v>7</v>
      </c>
      <c r="F9268">
        <v>1807</v>
      </c>
      <c r="G9268">
        <v>1</v>
      </c>
      <c r="H9268">
        <v>3</v>
      </c>
      <c r="I9268">
        <v>1970</v>
      </c>
      <c r="J9268">
        <v>0</v>
      </c>
      <c r="K9268">
        <v>1</v>
      </c>
      <c r="L9268">
        <v>0</v>
      </c>
      <c r="M9268">
        <v>7</v>
      </c>
      <c r="N9268" t="s">
        <v>41</v>
      </c>
      <c r="O9268" t="s">
        <v>32</v>
      </c>
      <c r="P9268">
        <v>14.080030152316301</v>
      </c>
      <c r="Q9268">
        <v>2.2996464280943201</v>
      </c>
      <c r="R9268">
        <v>5.1236670552999399</v>
      </c>
      <c r="S9268">
        <v>139</v>
      </c>
      <c r="T9268">
        <v>56</v>
      </c>
      <c r="U9268">
        <v>229.33536153008799</v>
      </c>
      <c r="V9268">
        <v>3.87382401770891E-3</v>
      </c>
      <c r="W9268">
        <v>567870.37408301805</v>
      </c>
      <c r="X9268" t="s">
        <v>43</v>
      </c>
      <c r="Y9268">
        <f>1-299-315-1846</f>
        <v>-2459</v>
      </c>
    </row>
    <row r="9269" spans="1:25" x14ac:dyDescent="0.35">
      <c r="A9269">
        <v>41.446771493570203</v>
      </c>
      <c r="B9269">
        <v>-119.57141154026</v>
      </c>
      <c r="C9269" t="s">
        <v>34</v>
      </c>
      <c r="D9269">
        <v>9.3443530607288707</v>
      </c>
      <c r="E9269">
        <v>2</v>
      </c>
      <c r="F9269">
        <v>2082</v>
      </c>
      <c r="G9269">
        <v>2</v>
      </c>
      <c r="H9269">
        <v>2</v>
      </c>
      <c r="I9269">
        <v>2000</v>
      </c>
      <c r="J9269">
        <v>0</v>
      </c>
      <c r="K9269">
        <v>0</v>
      </c>
      <c r="L9269">
        <v>1</v>
      </c>
      <c r="M9269">
        <v>14</v>
      </c>
      <c r="N9269" t="s">
        <v>41</v>
      </c>
      <c r="O9269" t="s">
        <v>27</v>
      </c>
      <c r="P9269">
        <v>12.0445390496361</v>
      </c>
      <c r="Q9269">
        <v>2.3196890200804501</v>
      </c>
      <c r="R9269">
        <v>0.48254520605622803</v>
      </c>
      <c r="S9269">
        <v>169</v>
      </c>
      <c r="T9269">
        <v>32</v>
      </c>
      <c r="U9269">
        <v>703.46616970509297</v>
      </c>
      <c r="V9269">
        <v>6.7243035542747303E-3</v>
      </c>
      <c r="W9269">
        <v>1674267.58130617</v>
      </c>
      <c r="X9269" t="s">
        <v>33</v>
      </c>
      <c r="Y9269">
        <f>1-765-284-7806</f>
        <v>-8854</v>
      </c>
    </row>
    <row r="9270" spans="1:25" x14ac:dyDescent="0.35">
      <c r="A9270">
        <v>32.580397305509202</v>
      </c>
      <c r="B9270">
        <v>-115.872638042494</v>
      </c>
      <c r="C9270" t="s">
        <v>29</v>
      </c>
      <c r="D9270">
        <v>48.742619175290102</v>
      </c>
      <c r="E9270">
        <v>0</v>
      </c>
      <c r="F9270">
        <v>2567</v>
      </c>
      <c r="G9270">
        <v>3</v>
      </c>
      <c r="H9270">
        <v>3</v>
      </c>
      <c r="I9270">
        <v>1972</v>
      </c>
      <c r="J9270">
        <v>0</v>
      </c>
      <c r="K9270">
        <v>1</v>
      </c>
      <c r="L9270">
        <v>1</v>
      </c>
      <c r="M9270">
        <v>3</v>
      </c>
      <c r="N9270" t="s">
        <v>37</v>
      </c>
      <c r="O9270" t="s">
        <v>30</v>
      </c>
      <c r="P9270">
        <v>2.4381587332316799</v>
      </c>
      <c r="Q9270">
        <v>1.6006600318023601</v>
      </c>
      <c r="R9270">
        <v>4.1707921619726003</v>
      </c>
      <c r="S9270">
        <v>41</v>
      </c>
      <c r="T9270">
        <v>75</v>
      </c>
      <c r="U9270">
        <v>736.47224852912302</v>
      </c>
      <c r="V9270">
        <v>1.16867939228671E-3</v>
      </c>
      <c r="W9270">
        <v>2182389.9331177301</v>
      </c>
      <c r="X9270" t="s">
        <v>40</v>
      </c>
      <c r="Y9270">
        <f>1-747-715-4131</f>
        <v>-5592</v>
      </c>
    </row>
    <row r="9271" spans="1:25" x14ac:dyDescent="0.35">
      <c r="A9271">
        <v>41.161939816102098</v>
      </c>
      <c r="B9271">
        <v>-123.775752144281</v>
      </c>
      <c r="C9271" t="s">
        <v>34</v>
      </c>
      <c r="D9271">
        <v>22.6801217553495</v>
      </c>
      <c r="E9271">
        <v>6</v>
      </c>
      <c r="F9271">
        <v>3553</v>
      </c>
      <c r="G9271">
        <v>5</v>
      </c>
      <c r="H9271">
        <v>2</v>
      </c>
      <c r="I9271">
        <v>1992</v>
      </c>
      <c r="J9271">
        <v>1</v>
      </c>
      <c r="K9271">
        <v>1</v>
      </c>
      <c r="L9271">
        <v>1</v>
      </c>
      <c r="M9271">
        <v>3</v>
      </c>
      <c r="N9271" t="s">
        <v>41</v>
      </c>
      <c r="O9271" t="s">
        <v>27</v>
      </c>
      <c r="P9271">
        <v>10.0798026092928</v>
      </c>
      <c r="Q9271">
        <v>2.2672073204413401</v>
      </c>
      <c r="R9271">
        <v>6.3378767231892201</v>
      </c>
      <c r="S9271">
        <v>163</v>
      </c>
      <c r="T9271">
        <v>64</v>
      </c>
      <c r="U9271">
        <v>358.649377965241</v>
      </c>
      <c r="V9271">
        <v>8.44356881508584E-4</v>
      </c>
      <c r="W9271">
        <v>1695474.0634429599</v>
      </c>
      <c r="X9271" t="s">
        <v>36</v>
      </c>
      <c r="Y9271">
        <f>1-250-790-6207</f>
        <v>-7246</v>
      </c>
    </row>
    <row r="9272" spans="1:25" x14ac:dyDescent="0.35">
      <c r="A9272">
        <v>36.069596889258698</v>
      </c>
      <c r="B9272">
        <v>-121.403846601514</v>
      </c>
      <c r="C9272" t="s">
        <v>29</v>
      </c>
      <c r="D9272">
        <v>34.7539273555942</v>
      </c>
      <c r="E9272">
        <v>0</v>
      </c>
      <c r="F9272">
        <v>3134</v>
      </c>
      <c r="G9272">
        <v>4</v>
      </c>
      <c r="H9272">
        <v>1</v>
      </c>
      <c r="I9272">
        <v>2004</v>
      </c>
      <c r="J9272">
        <v>0</v>
      </c>
      <c r="K9272">
        <v>1</v>
      </c>
      <c r="L9272">
        <v>1</v>
      </c>
      <c r="M9272">
        <v>13</v>
      </c>
      <c r="N9272" t="s">
        <v>26</v>
      </c>
      <c r="O9272" t="s">
        <v>30</v>
      </c>
      <c r="P9272">
        <v>7.5155014198116001</v>
      </c>
      <c r="Q9272">
        <v>1.7795609228048099</v>
      </c>
      <c r="R9272">
        <v>7.6617281219400803</v>
      </c>
      <c r="S9272">
        <v>28</v>
      </c>
      <c r="T9272">
        <v>38</v>
      </c>
      <c r="U9272">
        <v>542.86906705950105</v>
      </c>
      <c r="V9272">
        <v>4.1480536056158201E-3</v>
      </c>
      <c r="W9272">
        <v>2093790.2676639699</v>
      </c>
      <c r="X9272" t="s">
        <v>28</v>
      </c>
      <c r="Y9272">
        <f>1-630-106-3322</f>
        <v>-4057</v>
      </c>
    </row>
    <row r="9273" spans="1:25" x14ac:dyDescent="0.35">
      <c r="A9273">
        <v>39.832102571456197</v>
      </c>
      <c r="B9273">
        <v>-119.994670310624</v>
      </c>
      <c r="C9273" t="s">
        <v>25</v>
      </c>
      <c r="D9273">
        <v>24.1532426660814</v>
      </c>
      <c r="E9273">
        <v>2</v>
      </c>
      <c r="F9273">
        <v>3383</v>
      </c>
      <c r="G9273">
        <v>1</v>
      </c>
      <c r="H9273">
        <v>3</v>
      </c>
      <c r="I9273">
        <v>2012</v>
      </c>
      <c r="J9273">
        <v>0</v>
      </c>
      <c r="K9273">
        <v>0</v>
      </c>
      <c r="L9273">
        <v>0</v>
      </c>
      <c r="M9273">
        <v>11</v>
      </c>
      <c r="N9273" t="s">
        <v>37</v>
      </c>
      <c r="O9273" t="s">
        <v>27</v>
      </c>
      <c r="P9273">
        <v>3.8515079070662801</v>
      </c>
      <c r="Q9273">
        <v>2.3831480012209201</v>
      </c>
      <c r="R9273">
        <v>6.2821985497230903</v>
      </c>
      <c r="S9273">
        <v>199</v>
      </c>
      <c r="T9273">
        <v>49</v>
      </c>
      <c r="U9273">
        <v>379.696954020877</v>
      </c>
      <c r="V9273">
        <v>3.2515518770322199E-3</v>
      </c>
      <c r="W9273">
        <v>1389227.9924248899</v>
      </c>
      <c r="X9273" t="s">
        <v>38</v>
      </c>
      <c r="Y9273">
        <f>1-610-594-6685</f>
        <v>-7888</v>
      </c>
    </row>
    <row r="9274" spans="1:25" x14ac:dyDescent="0.35">
      <c r="A9274">
        <v>37.504105202932102</v>
      </c>
      <c r="B9274">
        <v>-121.94957469652999</v>
      </c>
      <c r="C9274" t="s">
        <v>34</v>
      </c>
      <c r="D9274">
        <v>19.712697141870699</v>
      </c>
      <c r="E9274">
        <v>3</v>
      </c>
      <c r="F9274">
        <v>718</v>
      </c>
      <c r="G9274">
        <v>3</v>
      </c>
      <c r="H9274">
        <v>2</v>
      </c>
      <c r="I9274">
        <v>1955</v>
      </c>
      <c r="J9274">
        <v>1</v>
      </c>
      <c r="K9274">
        <v>1</v>
      </c>
      <c r="L9274">
        <v>0</v>
      </c>
      <c r="M9274">
        <v>2</v>
      </c>
      <c r="N9274" t="s">
        <v>37</v>
      </c>
      <c r="O9274" t="s">
        <v>30</v>
      </c>
      <c r="P9274">
        <v>5.5731070037606596</v>
      </c>
      <c r="Q9274">
        <v>1.94975574095851</v>
      </c>
      <c r="R9274">
        <v>3.6312723727791001</v>
      </c>
      <c r="S9274">
        <v>193</v>
      </c>
      <c r="T9274">
        <v>29</v>
      </c>
      <c r="U9274">
        <v>247.50540303804999</v>
      </c>
      <c r="V9274">
        <v>2.7855153203342601E-3</v>
      </c>
      <c r="W9274">
        <v>427988.882813918</v>
      </c>
      <c r="X9274" t="s">
        <v>40</v>
      </c>
      <c r="Y9274">
        <f>1-927-451-3256</f>
        <v>-4633</v>
      </c>
    </row>
    <row r="9275" spans="1:25" x14ac:dyDescent="0.35">
      <c r="A9275">
        <v>33.266149317808903</v>
      </c>
      <c r="B9275">
        <v>-121.25150609437399</v>
      </c>
      <c r="C9275" t="s">
        <v>25</v>
      </c>
      <c r="D9275">
        <v>8.3207898863773497</v>
      </c>
      <c r="E9275">
        <v>0</v>
      </c>
      <c r="F9275">
        <v>892</v>
      </c>
      <c r="G9275">
        <v>3</v>
      </c>
      <c r="H9275">
        <v>2</v>
      </c>
      <c r="I9275">
        <v>2020</v>
      </c>
      <c r="J9275">
        <v>1</v>
      </c>
      <c r="K9275">
        <v>0</v>
      </c>
      <c r="L9275">
        <v>0</v>
      </c>
      <c r="M9275">
        <v>11</v>
      </c>
      <c r="N9275" t="s">
        <v>41</v>
      </c>
      <c r="O9275" t="s">
        <v>32</v>
      </c>
      <c r="P9275">
        <v>13.2617005791995</v>
      </c>
      <c r="Q9275">
        <v>2.1812419245396102</v>
      </c>
      <c r="R9275">
        <v>6.1467250940109501</v>
      </c>
      <c r="S9275">
        <v>36</v>
      </c>
      <c r="T9275">
        <v>52</v>
      </c>
      <c r="U9275">
        <v>916.02146649860504</v>
      </c>
      <c r="V9275">
        <v>1.23318385650224E-2</v>
      </c>
      <c r="W9275">
        <v>1229523.02212665</v>
      </c>
      <c r="X9275" t="s">
        <v>36</v>
      </c>
      <c r="Y9275">
        <f>1-781-351-2582</f>
        <v>-3713</v>
      </c>
    </row>
    <row r="9276" spans="1:25" x14ac:dyDescent="0.35">
      <c r="A9276">
        <v>41.061984027616703</v>
      </c>
      <c r="B9276">
        <v>-117.852604896906</v>
      </c>
      <c r="C9276" t="s">
        <v>34</v>
      </c>
      <c r="D9276">
        <v>22.5816163851749</v>
      </c>
      <c r="E9276">
        <v>4</v>
      </c>
      <c r="F9276">
        <v>4225</v>
      </c>
      <c r="G9276">
        <v>3</v>
      </c>
      <c r="H9276">
        <v>1</v>
      </c>
      <c r="I9276">
        <v>2022</v>
      </c>
      <c r="J9276">
        <v>0</v>
      </c>
      <c r="K9276">
        <v>0</v>
      </c>
      <c r="L9276">
        <v>1</v>
      </c>
      <c r="M9276">
        <v>8</v>
      </c>
      <c r="N9276" t="s">
        <v>26</v>
      </c>
      <c r="O9276" t="s">
        <v>32</v>
      </c>
      <c r="P9276">
        <v>7.2599085073028702</v>
      </c>
      <c r="Q9276">
        <v>0.51320407610457597</v>
      </c>
      <c r="R9276">
        <v>9.5293488044867303</v>
      </c>
      <c r="S9276">
        <v>161</v>
      </c>
      <c r="T9276">
        <v>70</v>
      </c>
      <c r="U9276">
        <v>936.37822958356401</v>
      </c>
      <c r="V9276">
        <v>1.89349112426035E-3</v>
      </c>
      <c r="W9276">
        <v>4172532.8525590501</v>
      </c>
      <c r="X9276" t="s">
        <v>33</v>
      </c>
      <c r="Y9276">
        <f>1-283-963-5389</f>
        <v>-6634</v>
      </c>
    </row>
    <row r="9277" spans="1:25" x14ac:dyDescent="0.35">
      <c r="A9277">
        <v>41.708388579651697</v>
      </c>
      <c r="B9277">
        <v>-123.981609586717</v>
      </c>
      <c r="C9277" t="s">
        <v>25</v>
      </c>
      <c r="D9277">
        <v>27.743973885327801</v>
      </c>
      <c r="E9277">
        <v>3</v>
      </c>
      <c r="F9277">
        <v>3697</v>
      </c>
      <c r="G9277">
        <v>1</v>
      </c>
      <c r="H9277">
        <v>1</v>
      </c>
      <c r="I9277">
        <v>1957</v>
      </c>
      <c r="J9277">
        <v>1</v>
      </c>
      <c r="K9277">
        <v>0</v>
      </c>
      <c r="L9277">
        <v>0</v>
      </c>
      <c r="M9277">
        <v>4</v>
      </c>
      <c r="N9277" t="s">
        <v>37</v>
      </c>
      <c r="O9277" t="s">
        <v>27</v>
      </c>
      <c r="P9277">
        <v>13.004492576723999</v>
      </c>
      <c r="Q9277">
        <v>1.80582067157863</v>
      </c>
      <c r="R9277">
        <v>1.8822391811735799</v>
      </c>
      <c r="S9277">
        <v>65</v>
      </c>
      <c r="T9277">
        <v>52</v>
      </c>
      <c r="U9277">
        <v>430.57272599750002</v>
      </c>
      <c r="V9277">
        <v>1.0819583446037299E-3</v>
      </c>
      <c r="W9277">
        <v>1796401.0910364499</v>
      </c>
      <c r="X9277" t="s">
        <v>28</v>
      </c>
      <c r="Y9277">
        <f>1-294-980-2296</f>
        <v>-3569</v>
      </c>
    </row>
    <row r="9278" spans="1:25" x14ac:dyDescent="0.35">
      <c r="A9278">
        <v>34.466720665613799</v>
      </c>
      <c r="B9278">
        <v>-114.225646193112</v>
      </c>
      <c r="C9278" t="s">
        <v>25</v>
      </c>
      <c r="D9278">
        <v>26.887794114709401</v>
      </c>
      <c r="E9278">
        <v>8</v>
      </c>
      <c r="F9278">
        <v>4528</v>
      </c>
      <c r="G9278">
        <v>4</v>
      </c>
      <c r="H9278">
        <v>3</v>
      </c>
      <c r="I9278">
        <v>1985</v>
      </c>
      <c r="J9278">
        <v>0</v>
      </c>
      <c r="K9278">
        <v>0</v>
      </c>
      <c r="L9278">
        <v>1</v>
      </c>
      <c r="M9278">
        <v>9</v>
      </c>
      <c r="N9278" t="s">
        <v>35</v>
      </c>
      <c r="O9278" t="s">
        <v>27</v>
      </c>
      <c r="P9278">
        <v>3.9584948340485</v>
      </c>
      <c r="Q9278">
        <v>1.0718979831192801</v>
      </c>
      <c r="R9278">
        <v>7.5838049538168297</v>
      </c>
      <c r="S9278">
        <v>48</v>
      </c>
      <c r="T9278">
        <v>69</v>
      </c>
      <c r="U9278">
        <v>788.22865929054899</v>
      </c>
      <c r="V9278">
        <v>1.9876325088339199E-3</v>
      </c>
      <c r="W9278">
        <v>3849287.4589849301</v>
      </c>
      <c r="X9278" t="s">
        <v>39</v>
      </c>
      <c r="Y9278">
        <f>1-731-907-1652</f>
        <v>-3289</v>
      </c>
    </row>
    <row r="9279" spans="1:25" x14ac:dyDescent="0.35">
      <c r="A9279">
        <v>36.464459883621402</v>
      </c>
      <c r="B9279">
        <v>-119.25849832150701</v>
      </c>
      <c r="C9279" t="s">
        <v>29</v>
      </c>
      <c r="D9279">
        <v>41.859736945840503</v>
      </c>
      <c r="E9279">
        <v>5</v>
      </c>
      <c r="F9279">
        <v>3453</v>
      </c>
      <c r="G9279">
        <v>3</v>
      </c>
      <c r="H9279">
        <v>1</v>
      </c>
      <c r="I9279">
        <v>1974</v>
      </c>
      <c r="J9279">
        <v>1</v>
      </c>
      <c r="K9279">
        <v>1</v>
      </c>
      <c r="L9279">
        <v>1</v>
      </c>
      <c r="M9279">
        <v>7</v>
      </c>
      <c r="N9279" t="s">
        <v>41</v>
      </c>
      <c r="O9279" t="s">
        <v>32</v>
      </c>
      <c r="P9279">
        <v>6.8244154403492301</v>
      </c>
      <c r="Q9279">
        <v>2.4680274276696701</v>
      </c>
      <c r="R9279">
        <v>3.4518594343662299</v>
      </c>
      <c r="S9279">
        <v>131</v>
      </c>
      <c r="T9279">
        <v>60</v>
      </c>
      <c r="U9279">
        <v>532.85312786576901</v>
      </c>
      <c r="V9279">
        <v>2.02722270489429E-3</v>
      </c>
      <c r="W9279">
        <v>2134368.03389771</v>
      </c>
      <c r="X9279" t="s">
        <v>44</v>
      </c>
      <c r="Y9279">
        <f>1-679-229-7076</f>
        <v>-7983</v>
      </c>
    </row>
    <row r="9280" spans="1:25" x14ac:dyDescent="0.35">
      <c r="A9280">
        <v>33.420975610431</v>
      </c>
      <c r="B9280">
        <v>-115.78547951491601</v>
      </c>
      <c r="C9280" t="s">
        <v>29</v>
      </c>
      <c r="D9280">
        <v>3.23023407512393</v>
      </c>
      <c r="E9280">
        <v>6</v>
      </c>
      <c r="F9280">
        <v>4360</v>
      </c>
      <c r="G9280">
        <v>2</v>
      </c>
      <c r="H9280">
        <v>1</v>
      </c>
      <c r="I9280">
        <v>2015</v>
      </c>
      <c r="J9280">
        <v>1</v>
      </c>
      <c r="K9280">
        <v>1</v>
      </c>
      <c r="L9280">
        <v>1</v>
      </c>
      <c r="M9280">
        <v>4</v>
      </c>
      <c r="N9280" t="s">
        <v>37</v>
      </c>
      <c r="O9280" t="s">
        <v>27</v>
      </c>
      <c r="P9280">
        <v>7.0360548617066003</v>
      </c>
      <c r="Q9280">
        <v>2.4233475887659401</v>
      </c>
      <c r="R9280">
        <v>8.7838940917084702</v>
      </c>
      <c r="S9280">
        <v>116</v>
      </c>
      <c r="T9280">
        <v>64</v>
      </c>
      <c r="U9280">
        <v>439.05292099163398</v>
      </c>
      <c r="V9280">
        <v>9.1743119266054997E-4</v>
      </c>
      <c r="W9280">
        <v>2242985.8699660501</v>
      </c>
      <c r="X9280" t="s">
        <v>43</v>
      </c>
      <c r="Y9280">
        <f>1-266-518-5734</f>
        <v>-6517</v>
      </c>
    </row>
    <row r="9281" spans="1:25" x14ac:dyDescent="0.35">
      <c r="A9281">
        <v>40.9147343814072</v>
      </c>
      <c r="B9281">
        <v>-114.78914838855</v>
      </c>
      <c r="C9281" t="s">
        <v>29</v>
      </c>
      <c r="D9281">
        <v>21.527946689502301</v>
      </c>
      <c r="E9281">
        <v>5</v>
      </c>
      <c r="F9281">
        <v>653</v>
      </c>
      <c r="G9281">
        <v>5</v>
      </c>
      <c r="H9281">
        <v>1</v>
      </c>
      <c r="I9281">
        <v>2020</v>
      </c>
      <c r="J9281">
        <v>0</v>
      </c>
      <c r="K9281">
        <v>0</v>
      </c>
      <c r="L9281">
        <v>1</v>
      </c>
      <c r="M9281">
        <v>7</v>
      </c>
      <c r="N9281" t="s">
        <v>41</v>
      </c>
      <c r="O9281" t="s">
        <v>27</v>
      </c>
      <c r="P9281">
        <v>4.84000812949572</v>
      </c>
      <c r="Q9281">
        <v>1.62950318952977</v>
      </c>
      <c r="R9281">
        <v>5.1725067198741597</v>
      </c>
      <c r="S9281">
        <v>99</v>
      </c>
      <c r="T9281">
        <v>43</v>
      </c>
      <c r="U9281">
        <v>448.954308585717</v>
      </c>
      <c r="V9281">
        <v>1.0719754977029001E-2</v>
      </c>
      <c r="W9281">
        <v>575630.52593868796</v>
      </c>
      <c r="X9281" t="s">
        <v>36</v>
      </c>
      <c r="Y9281">
        <f>1-876-714-9752</f>
        <v>-11341</v>
      </c>
    </row>
    <row r="9282" spans="1:25" x14ac:dyDescent="0.35">
      <c r="A9282">
        <v>38.9221818709023</v>
      </c>
      <c r="B9282">
        <v>-118.40826209491399</v>
      </c>
      <c r="C9282" t="s">
        <v>25</v>
      </c>
      <c r="D9282">
        <v>2.4801856822112298</v>
      </c>
      <c r="E9282">
        <v>3</v>
      </c>
      <c r="F9282">
        <v>1895</v>
      </c>
      <c r="G9282">
        <v>3</v>
      </c>
      <c r="H9282">
        <v>1</v>
      </c>
      <c r="I9282">
        <v>1962</v>
      </c>
      <c r="J9282">
        <v>1</v>
      </c>
      <c r="K9282">
        <v>1</v>
      </c>
      <c r="L9282">
        <v>1</v>
      </c>
      <c r="M9282">
        <v>8</v>
      </c>
      <c r="N9282" t="s">
        <v>35</v>
      </c>
      <c r="O9282" t="s">
        <v>27</v>
      </c>
      <c r="P9282">
        <v>9.2416230759907005</v>
      </c>
      <c r="Q9282">
        <v>1.75858070554386</v>
      </c>
      <c r="R9282">
        <v>6.2460810829082103</v>
      </c>
      <c r="S9282">
        <v>159</v>
      </c>
      <c r="T9282">
        <v>25</v>
      </c>
      <c r="U9282">
        <v>810.67086575748101</v>
      </c>
      <c r="V9282">
        <v>4.2216358839050096E-3</v>
      </c>
      <c r="W9282">
        <v>1858815.97486397</v>
      </c>
      <c r="X9282" t="s">
        <v>44</v>
      </c>
      <c r="Y9282">
        <f>1-742-340-2567</f>
        <v>-3648</v>
      </c>
    </row>
    <row r="9283" spans="1:25" x14ac:dyDescent="0.35">
      <c r="A9283">
        <v>40.314111037113001</v>
      </c>
      <c r="B9283">
        <v>-118.559639869954</v>
      </c>
      <c r="C9283" t="s">
        <v>29</v>
      </c>
      <c r="D9283">
        <v>13.2045900972954</v>
      </c>
      <c r="E9283">
        <v>3</v>
      </c>
      <c r="F9283">
        <v>4859</v>
      </c>
      <c r="G9283">
        <v>2</v>
      </c>
      <c r="H9283">
        <v>2</v>
      </c>
      <c r="I9283">
        <v>1967</v>
      </c>
      <c r="J9283">
        <v>1</v>
      </c>
      <c r="K9283">
        <v>1</v>
      </c>
      <c r="L9283">
        <v>0</v>
      </c>
      <c r="M9283">
        <v>3</v>
      </c>
      <c r="N9283" t="s">
        <v>26</v>
      </c>
      <c r="O9283" t="s">
        <v>30</v>
      </c>
      <c r="P9283">
        <v>14.858813626369299</v>
      </c>
      <c r="Q9283">
        <v>1.91298466071788</v>
      </c>
      <c r="R9283">
        <v>5.3204287684964999</v>
      </c>
      <c r="S9283">
        <v>118</v>
      </c>
      <c r="T9283">
        <v>63</v>
      </c>
      <c r="U9283">
        <v>713.51949899346801</v>
      </c>
      <c r="V9283">
        <v>6.1741098991561995E-4</v>
      </c>
      <c r="W9283">
        <v>3756556.8271705299</v>
      </c>
      <c r="X9283" t="s">
        <v>31</v>
      </c>
      <c r="Y9283">
        <f>1-223-634-7926</f>
        <v>-8782</v>
      </c>
    </row>
    <row r="9284" spans="1:25" x14ac:dyDescent="0.35">
      <c r="A9284">
        <v>32.984740927344802</v>
      </c>
      <c r="B9284">
        <v>-117.660239732818</v>
      </c>
      <c r="C9284" t="s">
        <v>29</v>
      </c>
      <c r="D9284">
        <v>24.744032773759201</v>
      </c>
      <c r="E9284">
        <v>3</v>
      </c>
      <c r="F9284">
        <v>4708</v>
      </c>
      <c r="G9284">
        <v>3</v>
      </c>
      <c r="H9284">
        <v>3</v>
      </c>
      <c r="I9284">
        <v>2006</v>
      </c>
      <c r="J9284">
        <v>0</v>
      </c>
      <c r="K9284">
        <v>1</v>
      </c>
      <c r="L9284">
        <v>1</v>
      </c>
      <c r="M9284">
        <v>8</v>
      </c>
      <c r="N9284" t="s">
        <v>26</v>
      </c>
      <c r="O9284" t="s">
        <v>30</v>
      </c>
      <c r="P9284">
        <v>2.6108462755691701</v>
      </c>
      <c r="Q9284">
        <v>0.620107384114995</v>
      </c>
      <c r="R9284">
        <v>4.6427393246916804</v>
      </c>
      <c r="S9284">
        <v>25</v>
      </c>
      <c r="T9284">
        <v>59</v>
      </c>
      <c r="U9284">
        <v>714.396753234774</v>
      </c>
      <c r="V9284">
        <v>1.6992353440951501E-3</v>
      </c>
      <c r="W9284">
        <v>3749115.7932305299</v>
      </c>
      <c r="X9284" t="s">
        <v>36</v>
      </c>
      <c r="Y9284">
        <f>1-418-623-9866</f>
        <v>-10906</v>
      </c>
    </row>
    <row r="9285" spans="1:25" x14ac:dyDescent="0.35">
      <c r="A9285">
        <v>41.424497521040301</v>
      </c>
      <c r="B9285">
        <v>-123.363686900099</v>
      </c>
      <c r="C9285" t="s">
        <v>25</v>
      </c>
      <c r="D9285">
        <v>40.518640450807503</v>
      </c>
      <c r="E9285">
        <v>1</v>
      </c>
      <c r="F9285">
        <v>2020</v>
      </c>
      <c r="G9285">
        <v>3</v>
      </c>
      <c r="H9285">
        <v>2</v>
      </c>
      <c r="I9285">
        <v>2008</v>
      </c>
      <c r="J9285">
        <v>1</v>
      </c>
      <c r="K9285">
        <v>1</v>
      </c>
      <c r="L9285">
        <v>1</v>
      </c>
      <c r="M9285">
        <v>4</v>
      </c>
      <c r="N9285" t="s">
        <v>41</v>
      </c>
      <c r="O9285" t="s">
        <v>30</v>
      </c>
      <c r="P9285">
        <v>3.9160524356720998</v>
      </c>
      <c r="Q9285">
        <v>1.78232112472409</v>
      </c>
      <c r="R9285">
        <v>8.8090489377613697</v>
      </c>
      <c r="S9285">
        <v>164</v>
      </c>
      <c r="T9285">
        <v>65</v>
      </c>
      <c r="U9285">
        <v>591.08852076557605</v>
      </c>
      <c r="V9285">
        <v>1.9801980198019798E-3</v>
      </c>
      <c r="W9285">
        <v>1534791.3005546399</v>
      </c>
      <c r="X9285" t="s">
        <v>33</v>
      </c>
      <c r="Y9285">
        <f>1-780-903-1468</f>
        <v>-3150</v>
      </c>
    </row>
    <row r="9286" spans="1:25" x14ac:dyDescent="0.35">
      <c r="A9286">
        <v>37.354830217961897</v>
      </c>
      <c r="B9286">
        <v>-124.21791026711399</v>
      </c>
      <c r="C9286" t="s">
        <v>25</v>
      </c>
      <c r="D9286">
        <v>41.844882558950502</v>
      </c>
      <c r="E9286">
        <v>0</v>
      </c>
      <c r="F9286">
        <v>1056</v>
      </c>
      <c r="G9286">
        <v>4</v>
      </c>
      <c r="H9286">
        <v>2</v>
      </c>
      <c r="I9286">
        <v>1972</v>
      </c>
      <c r="J9286">
        <v>1</v>
      </c>
      <c r="K9286">
        <v>1</v>
      </c>
      <c r="L9286">
        <v>1</v>
      </c>
      <c r="M9286">
        <v>5</v>
      </c>
      <c r="N9286" t="s">
        <v>37</v>
      </c>
      <c r="O9286" t="s">
        <v>32</v>
      </c>
      <c r="P9286">
        <v>7.8971340204263401</v>
      </c>
      <c r="Q9286">
        <v>1.6570772232494799</v>
      </c>
      <c r="R9286">
        <v>4.9668771273367804</v>
      </c>
      <c r="S9286">
        <v>123</v>
      </c>
      <c r="T9286">
        <v>26</v>
      </c>
      <c r="U9286">
        <v>356.53844405884098</v>
      </c>
      <c r="V9286">
        <v>4.7348484848484798E-3</v>
      </c>
      <c r="W9286">
        <v>708576.83104981401</v>
      </c>
      <c r="X9286" t="s">
        <v>31</v>
      </c>
      <c r="Y9286">
        <f>1-715-882-5318</f>
        <v>-6914</v>
      </c>
    </row>
    <row r="9287" spans="1:25" x14ac:dyDescent="0.35">
      <c r="A9287">
        <v>39.576913846979501</v>
      </c>
      <c r="B9287">
        <v>-120.961987210367</v>
      </c>
      <c r="C9287" t="s">
        <v>25</v>
      </c>
      <c r="D9287">
        <v>30.328519807115701</v>
      </c>
      <c r="E9287">
        <v>2</v>
      </c>
      <c r="F9287">
        <v>1967</v>
      </c>
      <c r="G9287">
        <v>1</v>
      </c>
      <c r="H9287">
        <v>2</v>
      </c>
      <c r="I9287">
        <v>1952</v>
      </c>
      <c r="J9287">
        <v>0</v>
      </c>
      <c r="K9287">
        <v>1</v>
      </c>
      <c r="L9287">
        <v>1</v>
      </c>
      <c r="M9287">
        <v>6</v>
      </c>
      <c r="N9287" t="s">
        <v>37</v>
      </c>
      <c r="O9287" t="s">
        <v>32</v>
      </c>
      <c r="P9287">
        <v>3.58823925299553</v>
      </c>
      <c r="Q9287">
        <v>2.1578149433434102</v>
      </c>
      <c r="R9287">
        <v>6.2739471801222599</v>
      </c>
      <c r="S9287">
        <v>112</v>
      </c>
      <c r="T9287">
        <v>23</v>
      </c>
      <c r="U9287">
        <v>458.31648943133399</v>
      </c>
      <c r="V9287">
        <v>3.0503304524656799E-3</v>
      </c>
      <c r="W9287">
        <v>1063631.4733432001</v>
      </c>
      <c r="X9287" t="s">
        <v>28</v>
      </c>
      <c r="Y9287">
        <f>1-334-590-8015</f>
        <v>-8938</v>
      </c>
    </row>
    <row r="9288" spans="1:25" x14ac:dyDescent="0.35">
      <c r="A9288">
        <v>39.288580870404402</v>
      </c>
      <c r="B9288">
        <v>-114.55097988772501</v>
      </c>
      <c r="C9288" t="s">
        <v>34</v>
      </c>
      <c r="D9288">
        <v>8.2632935132012708</v>
      </c>
      <c r="E9288">
        <v>3</v>
      </c>
      <c r="F9288">
        <v>4828</v>
      </c>
      <c r="G9288">
        <v>4</v>
      </c>
      <c r="H9288">
        <v>2</v>
      </c>
      <c r="I9288">
        <v>1990</v>
      </c>
      <c r="J9288">
        <v>0</v>
      </c>
      <c r="K9288">
        <v>0</v>
      </c>
      <c r="L9288">
        <v>1</v>
      </c>
      <c r="M9288">
        <v>5</v>
      </c>
      <c r="N9288" t="s">
        <v>35</v>
      </c>
      <c r="O9288" t="s">
        <v>27</v>
      </c>
      <c r="P9288">
        <v>4.6165519200089804</v>
      </c>
      <c r="Q9288">
        <v>1.2426844493081799</v>
      </c>
      <c r="R9288">
        <v>9.7931083646977903</v>
      </c>
      <c r="S9288">
        <v>196</v>
      </c>
      <c r="T9288">
        <v>41</v>
      </c>
      <c r="U9288">
        <v>606.70416972310102</v>
      </c>
      <c r="V9288">
        <v>1.03562551781275E-3</v>
      </c>
      <c r="W9288">
        <v>3113607.3631254798</v>
      </c>
      <c r="X9288" t="s">
        <v>42</v>
      </c>
      <c r="Y9288">
        <f>1-760-278-3885</f>
        <v>-4922</v>
      </c>
    </row>
    <row r="9289" spans="1:25" x14ac:dyDescent="0.35">
      <c r="A9289">
        <v>39.600566178333096</v>
      </c>
      <c r="B9289">
        <v>-124.104912412749</v>
      </c>
      <c r="C9289" t="s">
        <v>25</v>
      </c>
      <c r="D9289">
        <v>12.137436335902899</v>
      </c>
      <c r="E9289">
        <v>7</v>
      </c>
      <c r="F9289">
        <v>3306</v>
      </c>
      <c r="G9289">
        <v>1</v>
      </c>
      <c r="H9289">
        <v>1</v>
      </c>
      <c r="I9289">
        <v>2014</v>
      </c>
      <c r="J9289">
        <v>1</v>
      </c>
      <c r="K9289">
        <v>1</v>
      </c>
      <c r="L9289">
        <v>1</v>
      </c>
      <c r="M9289">
        <v>14</v>
      </c>
      <c r="N9289" t="s">
        <v>41</v>
      </c>
      <c r="O9289" t="s">
        <v>27</v>
      </c>
      <c r="P9289">
        <v>6.38160316707107</v>
      </c>
      <c r="Q9289">
        <v>1.08343220932192</v>
      </c>
      <c r="R9289">
        <v>4.3466818424809803</v>
      </c>
      <c r="S9289">
        <v>92</v>
      </c>
      <c r="T9289">
        <v>38</v>
      </c>
      <c r="U9289">
        <v>350.17817270562801</v>
      </c>
      <c r="V9289">
        <v>4.2347247428917104E-3</v>
      </c>
      <c r="W9289">
        <v>1438891.6671281001</v>
      </c>
      <c r="X9289" t="s">
        <v>43</v>
      </c>
      <c r="Y9289">
        <f>1-625-919-1682</f>
        <v>-3225</v>
      </c>
    </row>
    <row r="9290" spans="1:25" x14ac:dyDescent="0.35">
      <c r="A9290">
        <v>35.250387940291603</v>
      </c>
      <c r="B9290">
        <v>-123.077905263411</v>
      </c>
      <c r="C9290" t="s">
        <v>29</v>
      </c>
      <c r="D9290">
        <v>42.491950186104603</v>
      </c>
      <c r="E9290">
        <v>9</v>
      </c>
      <c r="F9290">
        <v>771</v>
      </c>
      <c r="G9290">
        <v>1</v>
      </c>
      <c r="H9290">
        <v>3</v>
      </c>
      <c r="I9290">
        <v>2010</v>
      </c>
      <c r="J9290">
        <v>0</v>
      </c>
      <c r="K9290">
        <v>0</v>
      </c>
      <c r="L9290">
        <v>0</v>
      </c>
      <c r="M9290">
        <v>6</v>
      </c>
      <c r="N9290" t="s">
        <v>35</v>
      </c>
      <c r="O9290" t="s">
        <v>32</v>
      </c>
      <c r="P9290">
        <v>9.1517787997276194</v>
      </c>
      <c r="Q9290">
        <v>0.72883056382553602</v>
      </c>
      <c r="R9290">
        <v>8.9893875254147897</v>
      </c>
      <c r="S9290">
        <v>113</v>
      </c>
      <c r="T9290">
        <v>65</v>
      </c>
      <c r="U9290">
        <v>467.70768379974601</v>
      </c>
      <c r="V9290">
        <v>7.78210116731517E-3</v>
      </c>
      <c r="W9290">
        <v>483322.168555009</v>
      </c>
      <c r="X9290" t="s">
        <v>33</v>
      </c>
      <c r="Y9290">
        <f>1-280-379-2165</f>
        <v>-2823</v>
      </c>
    </row>
    <row r="9291" spans="1:25" x14ac:dyDescent="0.35">
      <c r="A9291">
        <v>35.568431592852399</v>
      </c>
      <c r="B9291">
        <v>-119.57460322086</v>
      </c>
      <c r="C9291" t="s">
        <v>25</v>
      </c>
      <c r="D9291">
        <v>34.117685953594901</v>
      </c>
      <c r="E9291">
        <v>2</v>
      </c>
      <c r="F9291">
        <v>3958</v>
      </c>
      <c r="G9291">
        <v>1</v>
      </c>
      <c r="H9291">
        <v>2</v>
      </c>
      <c r="I9291">
        <v>1971</v>
      </c>
      <c r="J9291">
        <v>1</v>
      </c>
      <c r="K9291">
        <v>1</v>
      </c>
      <c r="L9291">
        <v>0</v>
      </c>
      <c r="M9291">
        <v>5</v>
      </c>
      <c r="N9291" t="s">
        <v>41</v>
      </c>
      <c r="O9291" t="s">
        <v>32</v>
      </c>
      <c r="P9291">
        <v>6.9235868764158699</v>
      </c>
      <c r="Q9291">
        <v>1.37083507424131</v>
      </c>
      <c r="R9291">
        <v>7.5510211457610001</v>
      </c>
      <c r="S9291">
        <v>82</v>
      </c>
      <c r="T9291">
        <v>62</v>
      </c>
      <c r="U9291">
        <v>983.40467805801802</v>
      </c>
      <c r="V9291">
        <v>1.2632642748863E-3</v>
      </c>
      <c r="W9291">
        <v>4033187.9087185101</v>
      </c>
      <c r="X9291" t="s">
        <v>31</v>
      </c>
      <c r="Y9291">
        <f>1-783-501-1230</f>
        <v>-2513</v>
      </c>
    </row>
    <row r="9292" spans="1:25" x14ac:dyDescent="0.35">
      <c r="A9292">
        <v>33.1355475838293</v>
      </c>
      <c r="B9292">
        <v>-118.069076054159</v>
      </c>
      <c r="C9292" t="s">
        <v>34</v>
      </c>
      <c r="D9292">
        <v>16.156390955475398</v>
      </c>
      <c r="E9292">
        <v>5</v>
      </c>
      <c r="F9292">
        <v>2825</v>
      </c>
      <c r="G9292">
        <v>2</v>
      </c>
      <c r="H9292">
        <v>2</v>
      </c>
      <c r="I9292">
        <v>1979</v>
      </c>
      <c r="J9292">
        <v>0</v>
      </c>
      <c r="K9292">
        <v>0</v>
      </c>
      <c r="L9292">
        <v>0</v>
      </c>
      <c r="M9292">
        <v>12</v>
      </c>
      <c r="N9292" t="s">
        <v>41</v>
      </c>
      <c r="O9292" t="s">
        <v>32</v>
      </c>
      <c r="P9292">
        <v>7.9610788788732902</v>
      </c>
      <c r="Q9292">
        <v>0.62347496694558002</v>
      </c>
      <c r="R9292">
        <v>8.9959072457887501</v>
      </c>
      <c r="S9292">
        <v>172</v>
      </c>
      <c r="T9292">
        <v>64</v>
      </c>
      <c r="U9292">
        <v>275.32882824875497</v>
      </c>
      <c r="V9292">
        <v>4.2477876106194598E-3</v>
      </c>
      <c r="W9292">
        <v>983003.17830169899</v>
      </c>
      <c r="X9292" t="s">
        <v>43</v>
      </c>
      <c r="Y9292">
        <f>1-651-280-2402</f>
        <v>-3332</v>
      </c>
    </row>
    <row r="9293" spans="1:25" x14ac:dyDescent="0.35">
      <c r="A9293">
        <v>37.389612087024702</v>
      </c>
      <c r="B9293">
        <v>-114.258451315117</v>
      </c>
      <c r="C9293" t="s">
        <v>29</v>
      </c>
      <c r="D9293">
        <v>10.0895411178803</v>
      </c>
      <c r="E9293">
        <v>7</v>
      </c>
      <c r="F9293">
        <v>1193</v>
      </c>
      <c r="G9293">
        <v>5</v>
      </c>
      <c r="H9293">
        <v>3</v>
      </c>
      <c r="I9293">
        <v>1953</v>
      </c>
      <c r="J9293">
        <v>0</v>
      </c>
      <c r="K9293">
        <v>1</v>
      </c>
      <c r="L9293">
        <v>1</v>
      </c>
      <c r="M9293">
        <v>9</v>
      </c>
      <c r="N9293" t="s">
        <v>26</v>
      </c>
      <c r="O9293" t="s">
        <v>32</v>
      </c>
      <c r="P9293">
        <v>12.099574656534299</v>
      </c>
      <c r="Q9293">
        <v>0.51826152015994098</v>
      </c>
      <c r="R9293">
        <v>1.7226856363358101</v>
      </c>
      <c r="S9293">
        <v>49</v>
      </c>
      <c r="T9293">
        <v>21</v>
      </c>
      <c r="U9293">
        <v>712.29473829874496</v>
      </c>
      <c r="V9293">
        <v>7.5440067057837299E-3</v>
      </c>
      <c r="W9293">
        <v>1353653.9315420501</v>
      </c>
      <c r="X9293" t="s">
        <v>43</v>
      </c>
      <c r="Y9293">
        <f>1-623-407-2072</f>
        <v>-3101</v>
      </c>
    </row>
    <row r="9294" spans="1:25" x14ac:dyDescent="0.35">
      <c r="A9294">
        <v>40.615398083804003</v>
      </c>
      <c r="B9294">
        <v>-119.247228703678</v>
      </c>
      <c r="C9294" t="s">
        <v>29</v>
      </c>
      <c r="D9294">
        <v>29.5796959235761</v>
      </c>
      <c r="E9294">
        <v>9</v>
      </c>
      <c r="F9294">
        <v>4981</v>
      </c>
      <c r="G9294">
        <v>3</v>
      </c>
      <c r="H9294">
        <v>2</v>
      </c>
      <c r="I9294">
        <v>1962</v>
      </c>
      <c r="J9294">
        <v>0</v>
      </c>
      <c r="K9294">
        <v>1</v>
      </c>
      <c r="L9294">
        <v>1</v>
      </c>
      <c r="M9294">
        <v>4</v>
      </c>
      <c r="N9294" t="s">
        <v>35</v>
      </c>
      <c r="O9294" t="s">
        <v>32</v>
      </c>
      <c r="P9294">
        <v>3.4249479580571398</v>
      </c>
      <c r="Q9294">
        <v>0.90330268626082999</v>
      </c>
      <c r="R9294">
        <v>2.3019159026316598</v>
      </c>
      <c r="S9294">
        <v>1</v>
      </c>
      <c r="T9294">
        <v>78</v>
      </c>
      <c r="U9294">
        <v>230.74311830568499</v>
      </c>
      <c r="V9294">
        <v>8.0305159606504698E-4</v>
      </c>
      <c r="W9294">
        <v>1430419.33122094</v>
      </c>
      <c r="X9294" t="s">
        <v>38</v>
      </c>
      <c r="Y9294">
        <f>1-278-950-2960</f>
        <v>-4187</v>
      </c>
    </row>
    <row r="9295" spans="1:25" x14ac:dyDescent="0.35">
      <c r="A9295">
        <v>40.4313145503953</v>
      </c>
      <c r="B9295">
        <v>-117.114203129318</v>
      </c>
      <c r="C9295" t="s">
        <v>29</v>
      </c>
      <c r="D9295">
        <v>30.0792432569128</v>
      </c>
      <c r="E9295">
        <v>0</v>
      </c>
      <c r="F9295">
        <v>2886</v>
      </c>
      <c r="G9295">
        <v>5</v>
      </c>
      <c r="H9295">
        <v>2</v>
      </c>
      <c r="I9295">
        <v>2020</v>
      </c>
      <c r="J9295">
        <v>0</v>
      </c>
      <c r="K9295">
        <v>1</v>
      </c>
      <c r="L9295">
        <v>1</v>
      </c>
      <c r="M9295">
        <v>7</v>
      </c>
      <c r="N9295" t="s">
        <v>26</v>
      </c>
      <c r="O9295" t="s">
        <v>27</v>
      </c>
      <c r="P9295">
        <v>7.7763776397698399</v>
      </c>
      <c r="Q9295">
        <v>0.91028745058935301</v>
      </c>
      <c r="R9295">
        <v>0.40545926055489301</v>
      </c>
      <c r="S9295">
        <v>83</v>
      </c>
      <c r="T9295">
        <v>51</v>
      </c>
      <c r="U9295">
        <v>280.213744903818</v>
      </c>
      <c r="V9295">
        <v>2.4255024255024201E-3</v>
      </c>
      <c r="W9295">
        <v>1295577.25856243</v>
      </c>
      <c r="X9295" t="s">
        <v>43</v>
      </c>
      <c r="Y9295">
        <f>1-335-451-7400</f>
        <v>-8185</v>
      </c>
    </row>
    <row r="9296" spans="1:25" x14ac:dyDescent="0.35">
      <c r="A9296">
        <v>37.4896311793797</v>
      </c>
      <c r="B9296">
        <v>-116.00584653793</v>
      </c>
      <c r="C9296" t="s">
        <v>25</v>
      </c>
      <c r="D9296">
        <v>14.6985530746083</v>
      </c>
      <c r="E9296">
        <v>9</v>
      </c>
      <c r="F9296">
        <v>3316</v>
      </c>
      <c r="G9296">
        <v>5</v>
      </c>
      <c r="H9296">
        <v>1</v>
      </c>
      <c r="I9296">
        <v>1953</v>
      </c>
      <c r="J9296">
        <v>1</v>
      </c>
      <c r="K9296">
        <v>1</v>
      </c>
      <c r="L9296">
        <v>0</v>
      </c>
      <c r="M9296">
        <v>3</v>
      </c>
      <c r="N9296" t="s">
        <v>37</v>
      </c>
      <c r="O9296" t="s">
        <v>30</v>
      </c>
      <c r="P9296">
        <v>10.2025267661482</v>
      </c>
      <c r="Q9296">
        <v>2.4414442326303201</v>
      </c>
      <c r="R9296">
        <v>2.4197175388126202</v>
      </c>
      <c r="S9296">
        <v>124</v>
      </c>
      <c r="T9296">
        <v>22</v>
      </c>
      <c r="U9296">
        <v>991.52166896653796</v>
      </c>
      <c r="V9296">
        <v>9.0470446320868505E-4</v>
      </c>
      <c r="W9296">
        <v>3722820.06505604</v>
      </c>
      <c r="X9296" t="s">
        <v>39</v>
      </c>
      <c r="Y9296">
        <f>1-212-950-6864</f>
        <v>-8025</v>
      </c>
    </row>
    <row r="9297" spans="1:25" x14ac:dyDescent="0.35">
      <c r="A9297">
        <v>38.590414516098697</v>
      </c>
      <c r="B9297">
        <v>-117.08472690047</v>
      </c>
      <c r="C9297" t="s">
        <v>34</v>
      </c>
      <c r="D9297">
        <v>33.179937475230403</v>
      </c>
      <c r="E9297">
        <v>0</v>
      </c>
      <c r="F9297">
        <v>3483</v>
      </c>
      <c r="G9297">
        <v>1</v>
      </c>
      <c r="H9297">
        <v>2</v>
      </c>
      <c r="I9297">
        <v>2004</v>
      </c>
      <c r="J9297">
        <v>0</v>
      </c>
      <c r="K9297">
        <v>0</v>
      </c>
      <c r="L9297">
        <v>0</v>
      </c>
      <c r="M9297">
        <v>10</v>
      </c>
      <c r="N9297" t="s">
        <v>26</v>
      </c>
      <c r="O9297" t="s">
        <v>32</v>
      </c>
      <c r="P9297">
        <v>11.723036091498701</v>
      </c>
      <c r="Q9297">
        <v>1.9548430153723</v>
      </c>
      <c r="R9297">
        <v>4.8707358573890396</v>
      </c>
      <c r="S9297">
        <v>140</v>
      </c>
      <c r="T9297">
        <v>42</v>
      </c>
      <c r="U9297">
        <v>727.81179325998801</v>
      </c>
      <c r="V9297">
        <v>2.8710881424059702E-3</v>
      </c>
      <c r="W9297">
        <v>2605973.6471473798</v>
      </c>
      <c r="X9297" t="s">
        <v>36</v>
      </c>
      <c r="Y9297">
        <f>1-372-916-3939</f>
        <v>-5226</v>
      </c>
    </row>
    <row r="9298" spans="1:25" x14ac:dyDescent="0.35">
      <c r="A9298">
        <v>40.876097906590502</v>
      </c>
      <c r="B9298">
        <v>-117.902008337156</v>
      </c>
      <c r="C9298" t="s">
        <v>25</v>
      </c>
      <c r="D9298">
        <v>48.951020975755597</v>
      </c>
      <c r="E9298">
        <v>9</v>
      </c>
      <c r="F9298">
        <v>4315</v>
      </c>
      <c r="G9298">
        <v>3</v>
      </c>
      <c r="H9298">
        <v>3</v>
      </c>
      <c r="I9298">
        <v>2015</v>
      </c>
      <c r="J9298">
        <v>0</v>
      </c>
      <c r="K9298">
        <v>1</v>
      </c>
      <c r="L9298">
        <v>1</v>
      </c>
      <c r="M9298">
        <v>12</v>
      </c>
      <c r="N9298" t="s">
        <v>41</v>
      </c>
      <c r="O9298" t="s">
        <v>32</v>
      </c>
      <c r="P9298">
        <v>14.707881609308901</v>
      </c>
      <c r="Q9298">
        <v>1.29822797348774</v>
      </c>
      <c r="R9298">
        <v>1.6439369097044401</v>
      </c>
      <c r="S9298">
        <v>153</v>
      </c>
      <c r="T9298">
        <v>42</v>
      </c>
      <c r="U9298">
        <v>700.51714355982995</v>
      </c>
      <c r="V9298">
        <v>2.7809965237543398E-3</v>
      </c>
      <c r="W9298">
        <v>3540366.5581593201</v>
      </c>
      <c r="X9298" t="s">
        <v>31</v>
      </c>
      <c r="Y9298">
        <f>1-676-435-9991</f>
        <v>-11101</v>
      </c>
    </row>
    <row r="9299" spans="1:25" x14ac:dyDescent="0.35">
      <c r="A9299">
        <v>37.275134350594101</v>
      </c>
      <c r="B9299">
        <v>-117.818066181502</v>
      </c>
      <c r="C9299" t="s">
        <v>29</v>
      </c>
      <c r="D9299">
        <v>48.083785364539203</v>
      </c>
      <c r="E9299">
        <v>9</v>
      </c>
      <c r="F9299">
        <v>1838</v>
      </c>
      <c r="G9299">
        <v>5</v>
      </c>
      <c r="H9299">
        <v>2</v>
      </c>
      <c r="I9299">
        <v>1953</v>
      </c>
      <c r="J9299">
        <v>0</v>
      </c>
      <c r="K9299">
        <v>1</v>
      </c>
      <c r="L9299">
        <v>1</v>
      </c>
      <c r="M9299">
        <v>8</v>
      </c>
      <c r="N9299" t="s">
        <v>37</v>
      </c>
      <c r="O9299" t="s">
        <v>27</v>
      </c>
      <c r="P9299">
        <v>10.3766562167682</v>
      </c>
      <c r="Q9299">
        <v>1.45171217911532</v>
      </c>
      <c r="R9299">
        <v>8.0188704049808397</v>
      </c>
      <c r="S9299">
        <v>106</v>
      </c>
      <c r="T9299">
        <v>73</v>
      </c>
      <c r="U9299">
        <v>754.22668779158096</v>
      </c>
      <c r="V9299">
        <v>4.35255712731229E-3</v>
      </c>
      <c r="W9299">
        <v>1740919.5112123401</v>
      </c>
      <c r="X9299" t="s">
        <v>40</v>
      </c>
      <c r="Y9299">
        <f>1-670-553-8269</f>
        <v>-9491</v>
      </c>
    </row>
    <row r="9300" spans="1:25" x14ac:dyDescent="0.35">
      <c r="A9300">
        <v>37.874075268499602</v>
      </c>
      <c r="B9300">
        <v>-119.83580231959399</v>
      </c>
      <c r="C9300" t="s">
        <v>34</v>
      </c>
      <c r="D9300">
        <v>19.962600438727399</v>
      </c>
      <c r="E9300">
        <v>7</v>
      </c>
      <c r="F9300">
        <v>1426</v>
      </c>
      <c r="G9300">
        <v>1</v>
      </c>
      <c r="H9300">
        <v>1</v>
      </c>
      <c r="I9300">
        <v>1988</v>
      </c>
      <c r="J9300">
        <v>1</v>
      </c>
      <c r="K9300">
        <v>0</v>
      </c>
      <c r="L9300">
        <v>1</v>
      </c>
      <c r="M9300">
        <v>13</v>
      </c>
      <c r="N9300" t="s">
        <v>26</v>
      </c>
      <c r="O9300" t="s">
        <v>32</v>
      </c>
      <c r="P9300">
        <v>6.8924504089742298</v>
      </c>
      <c r="Q9300">
        <v>1.1752763610285699</v>
      </c>
      <c r="R9300">
        <v>6.7303320590569502</v>
      </c>
      <c r="S9300">
        <v>164</v>
      </c>
      <c r="T9300">
        <v>43</v>
      </c>
      <c r="U9300">
        <v>552.93663910857902</v>
      </c>
      <c r="V9300">
        <v>9.1164095371669002E-3</v>
      </c>
      <c r="W9300">
        <v>830408.41335593397</v>
      </c>
      <c r="X9300" t="s">
        <v>39</v>
      </c>
      <c r="Y9300">
        <f>1-383-268-9053</f>
        <v>-9703</v>
      </c>
    </row>
    <row r="9301" spans="1:25" x14ac:dyDescent="0.35">
      <c r="A9301">
        <v>40.528533707094901</v>
      </c>
      <c r="B9301">
        <v>-121.79000123055</v>
      </c>
      <c r="C9301" t="s">
        <v>34</v>
      </c>
      <c r="D9301">
        <v>40.5075490713362</v>
      </c>
      <c r="E9301">
        <v>1</v>
      </c>
      <c r="F9301">
        <v>3497</v>
      </c>
      <c r="G9301">
        <v>3</v>
      </c>
      <c r="H9301">
        <v>1</v>
      </c>
      <c r="I9301">
        <v>1981</v>
      </c>
      <c r="J9301">
        <v>0</v>
      </c>
      <c r="K9301">
        <v>0</v>
      </c>
      <c r="L9301">
        <v>0</v>
      </c>
      <c r="M9301">
        <v>14</v>
      </c>
      <c r="N9301" t="s">
        <v>41</v>
      </c>
      <c r="O9301" t="s">
        <v>30</v>
      </c>
      <c r="P9301">
        <v>4.7770192058641703</v>
      </c>
      <c r="Q9301">
        <v>2.1117289623784901</v>
      </c>
      <c r="R9301">
        <v>4.19972770346474</v>
      </c>
      <c r="S9301">
        <v>104</v>
      </c>
      <c r="T9301">
        <v>67</v>
      </c>
      <c r="U9301">
        <v>458.17385485201203</v>
      </c>
      <c r="V9301">
        <v>4.0034315127251904E-3</v>
      </c>
      <c r="W9301">
        <v>1635141.95212435</v>
      </c>
      <c r="X9301" t="s">
        <v>31</v>
      </c>
      <c r="Y9301">
        <f>1-678-837-2331</f>
        <v>-3845</v>
      </c>
    </row>
    <row r="9302" spans="1:25" x14ac:dyDescent="0.35">
      <c r="A9302">
        <v>35.507261976109397</v>
      </c>
      <c r="B9302">
        <v>-116.71023386322599</v>
      </c>
      <c r="C9302" t="s">
        <v>29</v>
      </c>
      <c r="D9302">
        <v>43.658817199539499</v>
      </c>
      <c r="E9302">
        <v>8</v>
      </c>
      <c r="F9302">
        <v>4223</v>
      </c>
      <c r="G9302">
        <v>4</v>
      </c>
      <c r="H9302">
        <v>1</v>
      </c>
      <c r="I9302">
        <v>1966</v>
      </c>
      <c r="J9302">
        <v>1</v>
      </c>
      <c r="K9302">
        <v>0</v>
      </c>
      <c r="L9302">
        <v>0</v>
      </c>
      <c r="M9302">
        <v>3</v>
      </c>
      <c r="N9302" t="s">
        <v>35</v>
      </c>
      <c r="O9302" t="s">
        <v>32</v>
      </c>
      <c r="P9302">
        <v>11.882721401423</v>
      </c>
      <c r="Q9302">
        <v>1.56801560699551</v>
      </c>
      <c r="R9302">
        <v>7.5058774049814803</v>
      </c>
      <c r="S9302">
        <v>60</v>
      </c>
      <c r="T9302">
        <v>40</v>
      </c>
      <c r="U9302">
        <v>204.45026760899799</v>
      </c>
      <c r="V9302">
        <v>7.1039545346909697E-4</v>
      </c>
      <c r="W9302">
        <v>1164633.4758289801</v>
      </c>
      <c r="X9302" t="s">
        <v>36</v>
      </c>
      <c r="Y9302">
        <f>1-990-131-3367</f>
        <v>-4487</v>
      </c>
    </row>
    <row r="9303" spans="1:25" x14ac:dyDescent="0.35">
      <c r="A9303">
        <v>39.7657725290467</v>
      </c>
      <c r="B9303">
        <v>-114.53885663448401</v>
      </c>
      <c r="C9303" t="s">
        <v>29</v>
      </c>
      <c r="D9303">
        <v>46.290411867282302</v>
      </c>
      <c r="E9303">
        <v>3</v>
      </c>
      <c r="F9303">
        <v>1380</v>
      </c>
      <c r="G9303">
        <v>2</v>
      </c>
      <c r="H9303">
        <v>1</v>
      </c>
      <c r="I9303">
        <v>1950</v>
      </c>
      <c r="J9303">
        <v>0</v>
      </c>
      <c r="K9303">
        <v>1</v>
      </c>
      <c r="L9303">
        <v>0</v>
      </c>
      <c r="M9303">
        <v>14</v>
      </c>
      <c r="N9303" t="s">
        <v>35</v>
      </c>
      <c r="O9303" t="s">
        <v>27</v>
      </c>
      <c r="P9303">
        <v>14.7203859971649</v>
      </c>
      <c r="Q9303">
        <v>2.2149589463988599</v>
      </c>
      <c r="R9303">
        <v>1.4415223229516401</v>
      </c>
      <c r="S9303">
        <v>53</v>
      </c>
      <c r="T9303">
        <v>23</v>
      </c>
      <c r="U9303">
        <v>473.49732962887299</v>
      </c>
      <c r="V9303">
        <v>1.01449275362318E-2</v>
      </c>
      <c r="W9303">
        <v>879902.54049804597</v>
      </c>
      <c r="X9303" t="s">
        <v>38</v>
      </c>
      <c r="Y9303">
        <f>1-536-582-7789</f>
        <v>-8906</v>
      </c>
    </row>
    <row r="9304" spans="1:25" x14ac:dyDescent="0.35">
      <c r="A9304">
        <v>38.347122293526802</v>
      </c>
      <c r="B9304">
        <v>-117.62773708328599</v>
      </c>
      <c r="C9304" t="s">
        <v>25</v>
      </c>
      <c r="D9304">
        <v>31.171787017997801</v>
      </c>
      <c r="E9304">
        <v>1</v>
      </c>
      <c r="F9304">
        <v>2249</v>
      </c>
      <c r="G9304">
        <v>2</v>
      </c>
      <c r="H9304">
        <v>3</v>
      </c>
      <c r="I9304">
        <v>1985</v>
      </c>
      <c r="J9304">
        <v>0</v>
      </c>
      <c r="K9304">
        <v>0</v>
      </c>
      <c r="L9304">
        <v>1</v>
      </c>
      <c r="M9304">
        <v>7</v>
      </c>
      <c r="N9304" t="s">
        <v>26</v>
      </c>
      <c r="O9304" t="s">
        <v>27</v>
      </c>
      <c r="P9304">
        <v>13.380805029490601</v>
      </c>
      <c r="Q9304">
        <v>0.72016435131696799</v>
      </c>
      <c r="R9304">
        <v>0.86060705171234897</v>
      </c>
      <c r="S9304">
        <v>142</v>
      </c>
      <c r="T9304">
        <v>54</v>
      </c>
      <c r="U9304">
        <v>535.881585942529</v>
      </c>
      <c r="V9304">
        <v>3.1124944419742102E-3</v>
      </c>
      <c r="W9304">
        <v>1387594.6864567001</v>
      </c>
      <c r="X9304" t="s">
        <v>31</v>
      </c>
      <c r="Y9304">
        <f>1-731-756-5967</f>
        <v>-7453</v>
      </c>
    </row>
    <row r="9305" spans="1:25" x14ac:dyDescent="0.35">
      <c r="A9305">
        <v>39.036619234062798</v>
      </c>
      <c r="B9305">
        <v>-114.53628915943101</v>
      </c>
      <c r="C9305" t="s">
        <v>25</v>
      </c>
      <c r="D9305">
        <v>6.1297563781765199</v>
      </c>
      <c r="E9305">
        <v>8</v>
      </c>
      <c r="F9305">
        <v>2493</v>
      </c>
      <c r="G9305">
        <v>1</v>
      </c>
      <c r="H9305">
        <v>1</v>
      </c>
      <c r="I9305">
        <v>1983</v>
      </c>
      <c r="J9305">
        <v>0</v>
      </c>
      <c r="K9305">
        <v>0</v>
      </c>
      <c r="L9305">
        <v>0</v>
      </c>
      <c r="M9305">
        <v>2</v>
      </c>
      <c r="N9305" t="s">
        <v>41</v>
      </c>
      <c r="O9305" t="s">
        <v>32</v>
      </c>
      <c r="P9305">
        <v>12.292848101035601</v>
      </c>
      <c r="Q9305">
        <v>0.51148694978063802</v>
      </c>
      <c r="R9305">
        <v>2.5414886174640698</v>
      </c>
      <c r="S9305">
        <v>123</v>
      </c>
      <c r="T9305">
        <v>72</v>
      </c>
      <c r="U9305">
        <v>789.091472683147</v>
      </c>
      <c r="V9305">
        <v>8.0224628961090996E-4</v>
      </c>
      <c r="W9305">
        <v>2106614.3657195698</v>
      </c>
      <c r="X9305" t="s">
        <v>33</v>
      </c>
      <c r="Y9305">
        <f>1-814-888-3980</f>
        <v>-5681</v>
      </c>
    </row>
    <row r="9306" spans="1:25" x14ac:dyDescent="0.35">
      <c r="A9306">
        <v>40.498616591064803</v>
      </c>
      <c r="B9306">
        <v>-116.08998412576901</v>
      </c>
      <c r="C9306" t="s">
        <v>34</v>
      </c>
      <c r="D9306">
        <v>19.858596169856899</v>
      </c>
      <c r="E9306">
        <v>6</v>
      </c>
      <c r="F9306">
        <v>2552</v>
      </c>
      <c r="G9306">
        <v>4</v>
      </c>
      <c r="H9306">
        <v>3</v>
      </c>
      <c r="I9306">
        <v>1972</v>
      </c>
      <c r="J9306">
        <v>1</v>
      </c>
      <c r="K9306">
        <v>0</v>
      </c>
      <c r="L9306">
        <v>0</v>
      </c>
      <c r="M9306">
        <v>14</v>
      </c>
      <c r="N9306" t="s">
        <v>41</v>
      </c>
      <c r="O9306" t="s">
        <v>32</v>
      </c>
      <c r="P9306">
        <v>11.1634946326699</v>
      </c>
      <c r="Q9306">
        <v>1.4837138879332801</v>
      </c>
      <c r="R9306">
        <v>1.7338728938622799E-2</v>
      </c>
      <c r="S9306">
        <v>96</v>
      </c>
      <c r="T9306">
        <v>29</v>
      </c>
      <c r="U9306">
        <v>548.18839848629602</v>
      </c>
      <c r="V9306">
        <v>5.4858934169278997E-3</v>
      </c>
      <c r="W9306">
        <v>1615277.2097718799</v>
      </c>
      <c r="X9306" t="s">
        <v>38</v>
      </c>
      <c r="Y9306">
        <f>1-361-517-3512</f>
        <v>-4389</v>
      </c>
    </row>
    <row r="9307" spans="1:25" x14ac:dyDescent="0.35">
      <c r="A9307">
        <v>37.613759732020299</v>
      </c>
      <c r="B9307">
        <v>-116.504338545579</v>
      </c>
      <c r="C9307" t="s">
        <v>25</v>
      </c>
      <c r="D9307">
        <v>42.695161562994301</v>
      </c>
      <c r="E9307">
        <v>0</v>
      </c>
      <c r="F9307">
        <v>4089</v>
      </c>
      <c r="G9307">
        <v>4</v>
      </c>
      <c r="H9307">
        <v>3</v>
      </c>
      <c r="I9307">
        <v>2018</v>
      </c>
      <c r="J9307">
        <v>0</v>
      </c>
      <c r="K9307">
        <v>1</v>
      </c>
      <c r="L9307">
        <v>0</v>
      </c>
      <c r="M9307">
        <v>6</v>
      </c>
      <c r="N9307" t="s">
        <v>26</v>
      </c>
      <c r="O9307" t="s">
        <v>27</v>
      </c>
      <c r="P9307">
        <v>8.6823390358417196</v>
      </c>
      <c r="Q9307">
        <v>1.2589555148906399</v>
      </c>
      <c r="R9307">
        <v>7.8068123313598496</v>
      </c>
      <c r="S9307">
        <v>102</v>
      </c>
      <c r="T9307">
        <v>37</v>
      </c>
      <c r="U9307">
        <v>427.75802507534098</v>
      </c>
      <c r="V9307">
        <v>1.46735143066764E-3</v>
      </c>
      <c r="W9307">
        <v>2222960.0602875398</v>
      </c>
      <c r="X9307" t="s">
        <v>36</v>
      </c>
      <c r="Y9307">
        <f>1-299-802-7005</f>
        <v>-8105</v>
      </c>
    </row>
    <row r="9308" spans="1:25" x14ac:dyDescent="0.35">
      <c r="A9308">
        <v>35.688334669277502</v>
      </c>
      <c r="B9308">
        <v>-120.127773261518</v>
      </c>
      <c r="C9308" t="s">
        <v>34</v>
      </c>
      <c r="D9308">
        <v>47.358316945020803</v>
      </c>
      <c r="E9308">
        <v>5</v>
      </c>
      <c r="F9308">
        <v>2797</v>
      </c>
      <c r="G9308">
        <v>5</v>
      </c>
      <c r="H9308">
        <v>3</v>
      </c>
      <c r="I9308">
        <v>1966</v>
      </c>
      <c r="J9308">
        <v>0</v>
      </c>
      <c r="K9308">
        <v>1</v>
      </c>
      <c r="L9308">
        <v>0</v>
      </c>
      <c r="M9308">
        <v>5</v>
      </c>
      <c r="N9308" t="s">
        <v>41</v>
      </c>
      <c r="O9308" t="s">
        <v>32</v>
      </c>
      <c r="P9308">
        <v>2.2571995831368699</v>
      </c>
      <c r="Q9308">
        <v>1.09630257508238</v>
      </c>
      <c r="R9308">
        <v>6.8410972502041201</v>
      </c>
      <c r="S9308">
        <v>20</v>
      </c>
      <c r="T9308">
        <v>67</v>
      </c>
      <c r="U9308">
        <v>837.26787842660997</v>
      </c>
      <c r="V9308">
        <v>1.78762960314622E-3</v>
      </c>
      <c r="W9308">
        <v>2715391.87191772</v>
      </c>
      <c r="X9308" t="s">
        <v>44</v>
      </c>
      <c r="Y9308">
        <f>1-502-853-9923</f>
        <v>-11277</v>
      </c>
    </row>
    <row r="9309" spans="1:25" x14ac:dyDescent="0.35">
      <c r="A9309">
        <v>35.199505855352001</v>
      </c>
      <c r="B9309">
        <v>-120.84124968479</v>
      </c>
      <c r="C9309" t="s">
        <v>25</v>
      </c>
      <c r="D9309">
        <v>25.796447658147901</v>
      </c>
      <c r="E9309">
        <v>5</v>
      </c>
      <c r="F9309">
        <v>534</v>
      </c>
      <c r="G9309">
        <v>3</v>
      </c>
      <c r="H9309">
        <v>2</v>
      </c>
      <c r="I9309">
        <v>1982</v>
      </c>
      <c r="J9309">
        <v>1</v>
      </c>
      <c r="K9309">
        <v>0</v>
      </c>
      <c r="L9309">
        <v>0</v>
      </c>
      <c r="M9309">
        <v>5</v>
      </c>
      <c r="N9309" t="s">
        <v>37</v>
      </c>
      <c r="O9309" t="s">
        <v>32</v>
      </c>
      <c r="P9309">
        <v>2.56883757334518</v>
      </c>
      <c r="Q9309">
        <v>1.49646513349739</v>
      </c>
      <c r="R9309">
        <v>4.60326698348796</v>
      </c>
      <c r="S9309">
        <v>98</v>
      </c>
      <c r="T9309">
        <v>43</v>
      </c>
      <c r="U9309">
        <v>837.30494490701903</v>
      </c>
      <c r="V9309">
        <v>9.3632958801498096E-3</v>
      </c>
      <c r="W9309">
        <v>625658.04649161396</v>
      </c>
      <c r="X9309" t="s">
        <v>28</v>
      </c>
      <c r="Y9309">
        <f>1-796-310-5892</f>
        <v>-6997</v>
      </c>
    </row>
    <row r="9310" spans="1:25" x14ac:dyDescent="0.35">
      <c r="A9310">
        <v>40.500315040925997</v>
      </c>
      <c r="B9310">
        <v>-122.023775194935</v>
      </c>
      <c r="C9310" t="s">
        <v>29</v>
      </c>
      <c r="D9310">
        <v>30.061069103943201</v>
      </c>
      <c r="E9310">
        <v>2</v>
      </c>
      <c r="F9310">
        <v>1935</v>
      </c>
      <c r="G9310">
        <v>4</v>
      </c>
      <c r="H9310">
        <v>2</v>
      </c>
      <c r="I9310">
        <v>1970</v>
      </c>
      <c r="J9310">
        <v>0</v>
      </c>
      <c r="K9310">
        <v>1</v>
      </c>
      <c r="L9310">
        <v>0</v>
      </c>
      <c r="M9310">
        <v>8</v>
      </c>
      <c r="N9310" t="s">
        <v>35</v>
      </c>
      <c r="O9310" t="s">
        <v>30</v>
      </c>
      <c r="P9310">
        <v>3.55205781252358</v>
      </c>
      <c r="Q9310">
        <v>0.53859482086528299</v>
      </c>
      <c r="R9310">
        <v>7.3514922206949098</v>
      </c>
      <c r="S9310">
        <v>185</v>
      </c>
      <c r="T9310">
        <v>73</v>
      </c>
      <c r="U9310">
        <v>641.36960876973501</v>
      </c>
      <c r="V9310">
        <v>4.1343669250645896E-3</v>
      </c>
      <c r="W9310">
        <v>1497699.9482348801</v>
      </c>
      <c r="X9310" t="s">
        <v>33</v>
      </c>
      <c r="Y9310">
        <f>1-294-105-8783</f>
        <v>-9181</v>
      </c>
    </row>
    <row r="9311" spans="1:25" x14ac:dyDescent="0.35">
      <c r="A9311">
        <v>36.009012760374802</v>
      </c>
      <c r="B9311">
        <v>-117.607294580603</v>
      </c>
      <c r="C9311" t="s">
        <v>25</v>
      </c>
      <c r="D9311">
        <v>1.2978084437364501</v>
      </c>
      <c r="E9311">
        <v>2</v>
      </c>
      <c r="F9311">
        <v>1095</v>
      </c>
      <c r="G9311">
        <v>5</v>
      </c>
      <c r="H9311">
        <v>3</v>
      </c>
      <c r="I9311">
        <v>1990</v>
      </c>
      <c r="J9311">
        <v>1</v>
      </c>
      <c r="K9311">
        <v>1</v>
      </c>
      <c r="L9311">
        <v>0</v>
      </c>
      <c r="M9311">
        <v>12</v>
      </c>
      <c r="N9311" t="s">
        <v>37</v>
      </c>
      <c r="O9311" t="s">
        <v>30</v>
      </c>
      <c r="P9311">
        <v>7.8329669483950797</v>
      </c>
      <c r="Q9311">
        <v>1.9184218558689099</v>
      </c>
      <c r="R9311">
        <v>9.1789353773370603</v>
      </c>
      <c r="S9311">
        <v>141</v>
      </c>
      <c r="T9311">
        <v>78</v>
      </c>
      <c r="U9311">
        <v>559.34097225245102</v>
      </c>
      <c r="V9311">
        <v>1.0958904109589E-2</v>
      </c>
      <c r="W9311">
        <v>1090840.9002657901</v>
      </c>
      <c r="X9311" t="s">
        <v>42</v>
      </c>
      <c r="Y9311">
        <f>1-835-653-4666</f>
        <v>-6153</v>
      </c>
    </row>
    <row r="9312" spans="1:25" x14ac:dyDescent="0.35">
      <c r="A9312">
        <v>36.0690231686171</v>
      </c>
      <c r="B9312">
        <v>-121.388389670275</v>
      </c>
      <c r="C9312" t="s">
        <v>25</v>
      </c>
      <c r="D9312">
        <v>13.490051840792299</v>
      </c>
      <c r="E9312">
        <v>9</v>
      </c>
      <c r="F9312">
        <v>2694</v>
      </c>
      <c r="G9312">
        <v>1</v>
      </c>
      <c r="H9312">
        <v>2</v>
      </c>
      <c r="I9312">
        <v>1952</v>
      </c>
      <c r="J9312">
        <v>1</v>
      </c>
      <c r="K9312">
        <v>0</v>
      </c>
      <c r="L9312">
        <v>1</v>
      </c>
      <c r="M9312">
        <v>10</v>
      </c>
      <c r="N9312" t="s">
        <v>35</v>
      </c>
      <c r="O9312" t="s">
        <v>32</v>
      </c>
      <c r="P9312">
        <v>3.3179780919761601</v>
      </c>
      <c r="Q9312">
        <v>1.4543891187171201</v>
      </c>
      <c r="R9312">
        <v>8.3427667009733693</v>
      </c>
      <c r="S9312">
        <v>79</v>
      </c>
      <c r="T9312">
        <v>72</v>
      </c>
      <c r="U9312">
        <v>389.406138920817</v>
      </c>
      <c r="V9312">
        <v>3.7119524870081601E-3</v>
      </c>
      <c r="W9312">
        <v>1116142.2072672599</v>
      </c>
      <c r="X9312" t="s">
        <v>33</v>
      </c>
      <c r="Y9312">
        <f>1-449-693-9203</f>
        <v>-10344</v>
      </c>
    </row>
    <row r="9313" spans="1:25" x14ac:dyDescent="0.35">
      <c r="A9313">
        <v>32.649606035058099</v>
      </c>
      <c r="B9313">
        <v>-119.333178199388</v>
      </c>
      <c r="C9313" t="s">
        <v>25</v>
      </c>
      <c r="D9313">
        <v>6.4687928517641797</v>
      </c>
      <c r="E9313">
        <v>5</v>
      </c>
      <c r="F9313">
        <v>1311</v>
      </c>
      <c r="G9313">
        <v>3</v>
      </c>
      <c r="H9313">
        <v>1</v>
      </c>
      <c r="I9313">
        <v>2020</v>
      </c>
      <c r="J9313">
        <v>1</v>
      </c>
      <c r="K9313">
        <v>1</v>
      </c>
      <c r="L9313">
        <v>0</v>
      </c>
      <c r="M9313">
        <v>10</v>
      </c>
      <c r="N9313" t="s">
        <v>37</v>
      </c>
      <c r="O9313" t="s">
        <v>30</v>
      </c>
      <c r="P9313">
        <v>13.0265684505155</v>
      </c>
      <c r="Q9313">
        <v>1.4558726271243501</v>
      </c>
      <c r="R9313">
        <v>7.8203266132207601</v>
      </c>
      <c r="S9313">
        <v>108</v>
      </c>
      <c r="T9313">
        <v>26</v>
      </c>
      <c r="U9313">
        <v>970.77324736486003</v>
      </c>
      <c r="V9313">
        <v>7.6277650648360002E-3</v>
      </c>
      <c r="W9313">
        <v>1599555.0875717001</v>
      </c>
      <c r="X9313" t="s">
        <v>44</v>
      </c>
      <c r="Y9313">
        <f>1-759-607-9475</f>
        <v>-10840</v>
      </c>
    </row>
    <row r="9314" spans="1:25" x14ac:dyDescent="0.35">
      <c r="A9314">
        <v>35.8834944566307</v>
      </c>
      <c r="B9314">
        <v>-118.985987339128</v>
      </c>
      <c r="C9314" t="s">
        <v>29</v>
      </c>
      <c r="D9314">
        <v>47.188484123108601</v>
      </c>
      <c r="E9314">
        <v>7</v>
      </c>
      <c r="F9314">
        <v>2299</v>
      </c>
      <c r="G9314">
        <v>2</v>
      </c>
      <c r="H9314">
        <v>1</v>
      </c>
      <c r="I9314">
        <v>1970</v>
      </c>
      <c r="J9314">
        <v>1</v>
      </c>
      <c r="K9314">
        <v>1</v>
      </c>
      <c r="L9314">
        <v>0</v>
      </c>
      <c r="M9314">
        <v>5</v>
      </c>
      <c r="N9314" t="s">
        <v>37</v>
      </c>
      <c r="O9314" t="s">
        <v>27</v>
      </c>
      <c r="P9314">
        <v>5.5967809618034003</v>
      </c>
      <c r="Q9314">
        <v>1.93863669559209</v>
      </c>
      <c r="R9314">
        <v>4.0008898274298499</v>
      </c>
      <c r="S9314">
        <v>194</v>
      </c>
      <c r="T9314">
        <v>66</v>
      </c>
      <c r="U9314">
        <v>613.54548435482798</v>
      </c>
      <c r="V9314">
        <v>2.1748586341887701E-3</v>
      </c>
      <c r="W9314">
        <v>1594467.4841751</v>
      </c>
      <c r="X9314" t="s">
        <v>42</v>
      </c>
      <c r="Y9314">
        <f>1-736-147-4504</f>
        <v>-5386</v>
      </c>
    </row>
    <row r="9315" spans="1:25" x14ac:dyDescent="0.35">
      <c r="A9315">
        <v>40.687738300828698</v>
      </c>
      <c r="B9315">
        <v>-119.49280137589</v>
      </c>
      <c r="C9315" t="s">
        <v>34</v>
      </c>
      <c r="D9315">
        <v>9.7157216324623601</v>
      </c>
      <c r="E9315">
        <v>3</v>
      </c>
      <c r="F9315">
        <v>4438</v>
      </c>
      <c r="G9315">
        <v>4</v>
      </c>
      <c r="H9315">
        <v>2</v>
      </c>
      <c r="I9315">
        <v>1995</v>
      </c>
      <c r="J9315">
        <v>0</v>
      </c>
      <c r="K9315">
        <v>0</v>
      </c>
      <c r="L9315">
        <v>1</v>
      </c>
      <c r="M9315">
        <v>11</v>
      </c>
      <c r="N9315" t="s">
        <v>37</v>
      </c>
      <c r="O9315" t="s">
        <v>27</v>
      </c>
      <c r="P9315">
        <v>7.6924900455109304</v>
      </c>
      <c r="Q9315">
        <v>1.0017538632585099</v>
      </c>
      <c r="R9315">
        <v>5.5935440103538197</v>
      </c>
      <c r="S9315">
        <v>103</v>
      </c>
      <c r="T9315">
        <v>43</v>
      </c>
      <c r="U9315">
        <v>368.18811809034901</v>
      </c>
      <c r="V9315">
        <v>2.4785939612438001E-3</v>
      </c>
      <c r="W9315">
        <v>1886871.0453069501</v>
      </c>
      <c r="X9315" t="s">
        <v>39</v>
      </c>
      <c r="Y9315">
        <f>1-550-337-9010</f>
        <v>-9896</v>
      </c>
    </row>
    <row r="9316" spans="1:25" x14ac:dyDescent="0.35">
      <c r="A9316">
        <v>38.927236984330499</v>
      </c>
      <c r="B9316">
        <v>-116.297961820954</v>
      </c>
      <c r="C9316" t="s">
        <v>29</v>
      </c>
      <c r="D9316">
        <v>18.8929701006805</v>
      </c>
      <c r="E9316">
        <v>5</v>
      </c>
      <c r="F9316">
        <v>2688</v>
      </c>
      <c r="G9316">
        <v>4</v>
      </c>
      <c r="H9316">
        <v>3</v>
      </c>
      <c r="I9316">
        <v>1970</v>
      </c>
      <c r="J9316">
        <v>1</v>
      </c>
      <c r="K9316">
        <v>0</v>
      </c>
      <c r="L9316">
        <v>0</v>
      </c>
      <c r="M9316">
        <v>3</v>
      </c>
      <c r="N9316" t="s">
        <v>37</v>
      </c>
      <c r="O9316" t="s">
        <v>30</v>
      </c>
      <c r="P9316">
        <v>10.729393290727399</v>
      </c>
      <c r="Q9316">
        <v>0.71124625348850901</v>
      </c>
      <c r="R9316">
        <v>7.0080391678071496</v>
      </c>
      <c r="S9316">
        <v>129</v>
      </c>
      <c r="T9316">
        <v>25</v>
      </c>
      <c r="U9316">
        <v>537.76858594297698</v>
      </c>
      <c r="V9316">
        <v>1.1160714285714201E-3</v>
      </c>
      <c r="W9316">
        <v>1832125.52893297</v>
      </c>
      <c r="X9316" t="s">
        <v>39</v>
      </c>
      <c r="Y9316">
        <f>1-539-654-8111</f>
        <v>-9303</v>
      </c>
    </row>
    <row r="9317" spans="1:25" x14ac:dyDescent="0.35">
      <c r="A9317">
        <v>40.987742081491803</v>
      </c>
      <c r="B9317">
        <v>-124.264153246634</v>
      </c>
      <c r="C9317" t="s">
        <v>29</v>
      </c>
      <c r="D9317">
        <v>23.9406662156069</v>
      </c>
      <c r="E9317">
        <v>6</v>
      </c>
      <c r="F9317">
        <v>1380</v>
      </c>
      <c r="G9317">
        <v>3</v>
      </c>
      <c r="H9317">
        <v>3</v>
      </c>
      <c r="I9317">
        <v>1977</v>
      </c>
      <c r="J9317">
        <v>1</v>
      </c>
      <c r="K9317">
        <v>0</v>
      </c>
      <c r="L9317">
        <v>1</v>
      </c>
      <c r="M9317">
        <v>13</v>
      </c>
      <c r="N9317" t="s">
        <v>37</v>
      </c>
      <c r="O9317" t="s">
        <v>32</v>
      </c>
      <c r="P9317">
        <v>12.938834674531799</v>
      </c>
      <c r="Q9317">
        <v>1.2084427602566901</v>
      </c>
      <c r="R9317">
        <v>4.0155782878528896</v>
      </c>
      <c r="S9317">
        <v>122</v>
      </c>
      <c r="T9317">
        <v>72</v>
      </c>
      <c r="U9317">
        <v>210.17254075835899</v>
      </c>
      <c r="V9317">
        <v>9.4202898550724608E-3</v>
      </c>
      <c r="W9317">
        <v>558921.03405788203</v>
      </c>
      <c r="X9317" t="s">
        <v>40</v>
      </c>
      <c r="Y9317">
        <f>1-893-855-4608</f>
        <v>-6355</v>
      </c>
    </row>
    <row r="9318" spans="1:25" x14ac:dyDescent="0.35">
      <c r="A9318">
        <v>33.955670004369999</v>
      </c>
      <c r="B9318">
        <v>-120.363933049659</v>
      </c>
      <c r="C9318" t="s">
        <v>34</v>
      </c>
      <c r="D9318">
        <v>8.7709392356228708</v>
      </c>
      <c r="E9318">
        <v>4</v>
      </c>
      <c r="F9318">
        <v>3299</v>
      </c>
      <c r="G9318">
        <v>1</v>
      </c>
      <c r="H9318">
        <v>3</v>
      </c>
      <c r="I9318">
        <v>2010</v>
      </c>
      <c r="J9318">
        <v>1</v>
      </c>
      <c r="K9318">
        <v>1</v>
      </c>
      <c r="L9318">
        <v>0</v>
      </c>
      <c r="M9318">
        <v>3</v>
      </c>
      <c r="N9318" t="s">
        <v>35</v>
      </c>
      <c r="O9318" t="s">
        <v>27</v>
      </c>
      <c r="P9318">
        <v>2.4211629850632201</v>
      </c>
      <c r="Q9318">
        <v>2.4306680105346898</v>
      </c>
      <c r="R9318">
        <v>3.6486590553751999</v>
      </c>
      <c r="S9318">
        <v>99</v>
      </c>
      <c r="T9318">
        <v>53</v>
      </c>
      <c r="U9318">
        <v>757.13292872681302</v>
      </c>
      <c r="V9318">
        <v>9.0936647468929904E-4</v>
      </c>
      <c r="W9318">
        <v>2734606.8470884501</v>
      </c>
      <c r="X9318" t="s">
        <v>43</v>
      </c>
      <c r="Y9318">
        <f>1-707-981-5251</f>
        <v>-6938</v>
      </c>
    </row>
    <row r="9319" spans="1:25" x14ac:dyDescent="0.35">
      <c r="A9319">
        <v>36.996062898869397</v>
      </c>
      <c r="B9319">
        <v>-123.959159168003</v>
      </c>
      <c r="C9319" t="s">
        <v>29</v>
      </c>
      <c r="D9319">
        <v>5.12569389721875</v>
      </c>
      <c r="E9319">
        <v>1</v>
      </c>
      <c r="F9319">
        <v>565</v>
      </c>
      <c r="G9319">
        <v>1</v>
      </c>
      <c r="H9319">
        <v>1</v>
      </c>
      <c r="I9319">
        <v>2010</v>
      </c>
      <c r="J9319">
        <v>0</v>
      </c>
      <c r="K9319">
        <v>1</v>
      </c>
      <c r="L9319">
        <v>0</v>
      </c>
      <c r="M9319">
        <v>5</v>
      </c>
      <c r="N9319" t="s">
        <v>41</v>
      </c>
      <c r="O9319" t="s">
        <v>27</v>
      </c>
      <c r="P9319">
        <v>3.4279128060394402</v>
      </c>
      <c r="Q9319">
        <v>0.92344389919166603</v>
      </c>
      <c r="R9319">
        <v>3.1714177850733001</v>
      </c>
      <c r="S9319">
        <v>47</v>
      </c>
      <c r="T9319">
        <v>68</v>
      </c>
      <c r="U9319">
        <v>692.93996031734503</v>
      </c>
      <c r="V9319">
        <v>8.8495575221238902E-3</v>
      </c>
      <c r="W9319">
        <v>559750.81408129004</v>
      </c>
      <c r="X9319" t="s">
        <v>31</v>
      </c>
      <c r="Y9319">
        <f>1-724-939-4526</f>
        <v>-6188</v>
      </c>
    </row>
    <row r="9320" spans="1:25" x14ac:dyDescent="0.35">
      <c r="A9320">
        <v>36.084980207965401</v>
      </c>
      <c r="B9320">
        <v>-121.559922857912</v>
      </c>
      <c r="C9320" t="s">
        <v>34</v>
      </c>
      <c r="D9320">
        <v>16.487031479600301</v>
      </c>
      <c r="E9320">
        <v>5</v>
      </c>
      <c r="F9320">
        <v>2956</v>
      </c>
      <c r="G9320">
        <v>1</v>
      </c>
      <c r="H9320">
        <v>1</v>
      </c>
      <c r="I9320">
        <v>2010</v>
      </c>
      <c r="J9320">
        <v>0</v>
      </c>
      <c r="K9320">
        <v>0</v>
      </c>
      <c r="L9320">
        <v>0</v>
      </c>
      <c r="M9320">
        <v>10</v>
      </c>
      <c r="N9320" t="s">
        <v>37</v>
      </c>
      <c r="O9320" t="s">
        <v>30</v>
      </c>
      <c r="P9320">
        <v>14.7223440897577</v>
      </c>
      <c r="Q9320">
        <v>1.0780742411566699</v>
      </c>
      <c r="R9320">
        <v>9.3928578200298798</v>
      </c>
      <c r="S9320">
        <v>4</v>
      </c>
      <c r="T9320">
        <v>26</v>
      </c>
      <c r="U9320">
        <v>239.533281343108</v>
      </c>
      <c r="V9320">
        <v>3.3829499323410001E-3</v>
      </c>
      <c r="W9320">
        <v>833781.72893253597</v>
      </c>
      <c r="X9320" t="s">
        <v>33</v>
      </c>
      <c r="Y9320">
        <f>1-343-191-9019</f>
        <v>-9552</v>
      </c>
    </row>
    <row r="9321" spans="1:25" x14ac:dyDescent="0.35">
      <c r="A9321">
        <v>37.966778423854599</v>
      </c>
      <c r="B9321">
        <v>-114.344235073747</v>
      </c>
      <c r="C9321" t="s">
        <v>34</v>
      </c>
      <c r="D9321">
        <v>44.182446469575098</v>
      </c>
      <c r="E9321">
        <v>1</v>
      </c>
      <c r="F9321">
        <v>3158</v>
      </c>
      <c r="G9321">
        <v>1</v>
      </c>
      <c r="H9321">
        <v>2</v>
      </c>
      <c r="I9321">
        <v>1997</v>
      </c>
      <c r="J9321">
        <v>0</v>
      </c>
      <c r="K9321">
        <v>1</v>
      </c>
      <c r="L9321">
        <v>0</v>
      </c>
      <c r="M9321">
        <v>9</v>
      </c>
      <c r="N9321" t="s">
        <v>26</v>
      </c>
      <c r="O9321" t="s">
        <v>27</v>
      </c>
      <c r="P9321">
        <v>14.979034048878701</v>
      </c>
      <c r="Q9321">
        <v>1.5510388824416399</v>
      </c>
      <c r="R9321">
        <v>4.2841817717951702</v>
      </c>
      <c r="S9321">
        <v>131</v>
      </c>
      <c r="T9321">
        <v>74</v>
      </c>
      <c r="U9321">
        <v>538.49490774184198</v>
      </c>
      <c r="V9321">
        <v>2.8499050031665601E-3</v>
      </c>
      <c r="W9321">
        <v>2007874.3850536901</v>
      </c>
      <c r="X9321" t="s">
        <v>40</v>
      </c>
      <c r="Y9321">
        <f>1-345-454-4872</f>
        <v>-5670</v>
      </c>
    </row>
    <row r="9322" spans="1:25" x14ac:dyDescent="0.35">
      <c r="A9322">
        <v>38.300340545366197</v>
      </c>
      <c r="B9322">
        <v>-123.975117505333</v>
      </c>
      <c r="C9322" t="s">
        <v>25</v>
      </c>
      <c r="D9322">
        <v>37.619797989519697</v>
      </c>
      <c r="E9322">
        <v>8</v>
      </c>
      <c r="F9322">
        <v>1933</v>
      </c>
      <c r="G9322">
        <v>3</v>
      </c>
      <c r="H9322">
        <v>1</v>
      </c>
      <c r="I9322">
        <v>1980</v>
      </c>
      <c r="J9322">
        <v>0</v>
      </c>
      <c r="K9322">
        <v>0</v>
      </c>
      <c r="L9322">
        <v>0</v>
      </c>
      <c r="M9322">
        <v>12</v>
      </c>
      <c r="N9322" t="s">
        <v>35</v>
      </c>
      <c r="O9322" t="s">
        <v>27</v>
      </c>
      <c r="P9322">
        <v>10.812432903347601</v>
      </c>
      <c r="Q9322">
        <v>1.8984998837832601</v>
      </c>
      <c r="R9322">
        <v>1.7060238497076401</v>
      </c>
      <c r="S9322">
        <v>116</v>
      </c>
      <c r="T9322">
        <v>26</v>
      </c>
      <c r="U9322">
        <v>962.81616834565602</v>
      </c>
      <c r="V9322">
        <v>6.20796689084324E-3</v>
      </c>
      <c r="W9322">
        <v>2082952.9335862</v>
      </c>
      <c r="X9322" t="s">
        <v>28</v>
      </c>
      <c r="Y9322">
        <f>1-793-626-3895</f>
        <v>-5313</v>
      </c>
    </row>
    <row r="9323" spans="1:25" x14ac:dyDescent="0.35">
      <c r="A9323">
        <v>39.677794812889402</v>
      </c>
      <c r="B9323">
        <v>-123.04485406714301</v>
      </c>
      <c r="C9323" t="s">
        <v>34</v>
      </c>
      <c r="D9323">
        <v>46.453785554452601</v>
      </c>
      <c r="E9323">
        <v>6</v>
      </c>
      <c r="F9323">
        <v>4579</v>
      </c>
      <c r="G9323">
        <v>4</v>
      </c>
      <c r="H9323">
        <v>1</v>
      </c>
      <c r="I9323">
        <v>2001</v>
      </c>
      <c r="J9323">
        <v>1</v>
      </c>
      <c r="K9323">
        <v>1</v>
      </c>
      <c r="L9323">
        <v>0</v>
      </c>
      <c r="M9323">
        <v>6</v>
      </c>
      <c r="N9323" t="s">
        <v>26</v>
      </c>
      <c r="O9323" t="s">
        <v>32</v>
      </c>
      <c r="P9323">
        <v>5.9419274054472204</v>
      </c>
      <c r="Q9323">
        <v>0.63541087120419304</v>
      </c>
      <c r="R9323">
        <v>6.2302627388382703</v>
      </c>
      <c r="S9323">
        <v>5</v>
      </c>
      <c r="T9323">
        <v>73</v>
      </c>
      <c r="U9323">
        <v>282.42796622051401</v>
      </c>
      <c r="V9323">
        <v>1.31032976632452E-3</v>
      </c>
      <c r="W9323">
        <v>1663961.42354586</v>
      </c>
      <c r="X9323" t="s">
        <v>36</v>
      </c>
      <c r="Y9323">
        <f>1-350-159-6313</f>
        <v>-6821</v>
      </c>
    </row>
    <row r="9324" spans="1:25" x14ac:dyDescent="0.35">
      <c r="A9324">
        <v>34.452349596120897</v>
      </c>
      <c r="B9324">
        <v>-120.13339245890199</v>
      </c>
      <c r="C9324" t="s">
        <v>25</v>
      </c>
      <c r="D9324">
        <v>13.1143011053479</v>
      </c>
      <c r="E9324">
        <v>5</v>
      </c>
      <c r="F9324">
        <v>1645</v>
      </c>
      <c r="G9324">
        <v>5</v>
      </c>
      <c r="H9324">
        <v>2</v>
      </c>
      <c r="I9324">
        <v>1967</v>
      </c>
      <c r="J9324">
        <v>0</v>
      </c>
      <c r="K9324">
        <v>1</v>
      </c>
      <c r="L9324">
        <v>1</v>
      </c>
      <c r="M9324">
        <v>12</v>
      </c>
      <c r="N9324" t="s">
        <v>41</v>
      </c>
      <c r="O9324" t="s">
        <v>27</v>
      </c>
      <c r="P9324">
        <v>8.13093318971681</v>
      </c>
      <c r="Q9324">
        <v>0.98095224794976399</v>
      </c>
      <c r="R9324">
        <v>5.8176175765274003</v>
      </c>
      <c r="S9324">
        <v>58</v>
      </c>
      <c r="T9324">
        <v>33</v>
      </c>
      <c r="U9324">
        <v>899.42595053345406</v>
      </c>
      <c r="V9324">
        <v>7.29483282674772E-3</v>
      </c>
      <c r="W9324">
        <v>1868987.8166149801</v>
      </c>
      <c r="X9324" t="s">
        <v>36</v>
      </c>
      <c r="Y9324">
        <f>1-694-432-4205</f>
        <v>-5330</v>
      </c>
    </row>
    <row r="9325" spans="1:25" x14ac:dyDescent="0.35">
      <c r="A9325">
        <v>38.236482728789603</v>
      </c>
      <c r="B9325">
        <v>-117.065345617148</v>
      </c>
      <c r="C9325" t="s">
        <v>34</v>
      </c>
      <c r="D9325">
        <v>43.684627096299302</v>
      </c>
      <c r="E9325">
        <v>7</v>
      </c>
      <c r="F9325">
        <v>3618</v>
      </c>
      <c r="G9325">
        <v>1</v>
      </c>
      <c r="H9325">
        <v>1</v>
      </c>
      <c r="I9325">
        <v>1980</v>
      </c>
      <c r="J9325">
        <v>0</v>
      </c>
      <c r="K9325">
        <v>1</v>
      </c>
      <c r="L9325">
        <v>0</v>
      </c>
      <c r="M9325">
        <v>4</v>
      </c>
      <c r="N9325" t="s">
        <v>41</v>
      </c>
      <c r="O9325" t="s">
        <v>27</v>
      </c>
      <c r="P9325">
        <v>6.9926840442305203</v>
      </c>
      <c r="Q9325">
        <v>1.00008080811537</v>
      </c>
      <c r="R9325">
        <v>8.3376391269759296</v>
      </c>
      <c r="S9325">
        <v>180</v>
      </c>
      <c r="T9325">
        <v>66</v>
      </c>
      <c r="U9325">
        <v>453.55929765920399</v>
      </c>
      <c r="V9325">
        <v>1.10558319513543E-3</v>
      </c>
      <c r="W9325">
        <v>1704841.2254759199</v>
      </c>
      <c r="X9325" t="s">
        <v>42</v>
      </c>
      <c r="Y9325">
        <f>1-780-451-7776</f>
        <v>-9006</v>
      </c>
    </row>
    <row r="9326" spans="1:25" x14ac:dyDescent="0.35">
      <c r="A9326">
        <v>40.8473492883519</v>
      </c>
      <c r="B9326">
        <v>-117.602501037945</v>
      </c>
      <c r="C9326" t="s">
        <v>29</v>
      </c>
      <c r="D9326">
        <v>32.2348843925203</v>
      </c>
      <c r="E9326">
        <v>9</v>
      </c>
      <c r="F9326">
        <v>4504</v>
      </c>
      <c r="G9326">
        <v>5</v>
      </c>
      <c r="H9326">
        <v>3</v>
      </c>
      <c r="I9326">
        <v>1956</v>
      </c>
      <c r="J9326">
        <v>1</v>
      </c>
      <c r="K9326">
        <v>0</v>
      </c>
      <c r="L9326">
        <v>0</v>
      </c>
      <c r="M9326">
        <v>11</v>
      </c>
      <c r="N9326" t="s">
        <v>41</v>
      </c>
      <c r="O9326" t="s">
        <v>32</v>
      </c>
      <c r="P9326">
        <v>3.81030820814106</v>
      </c>
      <c r="Q9326">
        <v>1.3650691786336999</v>
      </c>
      <c r="R9326">
        <v>2.86892324113757</v>
      </c>
      <c r="S9326">
        <v>101</v>
      </c>
      <c r="T9326">
        <v>77</v>
      </c>
      <c r="U9326">
        <v>971.83827062317198</v>
      </c>
      <c r="V9326">
        <v>2.4422735346358699E-3</v>
      </c>
      <c r="W9326">
        <v>4603079.7939750301</v>
      </c>
      <c r="X9326" t="s">
        <v>28</v>
      </c>
      <c r="Y9326">
        <f>1-350-200-5475</f>
        <v>-6024</v>
      </c>
    </row>
    <row r="9327" spans="1:25" x14ac:dyDescent="0.35">
      <c r="A9327">
        <v>41.102135202961499</v>
      </c>
      <c r="B9327">
        <v>-122.64891196929599</v>
      </c>
      <c r="C9327" t="s">
        <v>25</v>
      </c>
      <c r="D9327">
        <v>32.292002411886799</v>
      </c>
      <c r="E9327">
        <v>4</v>
      </c>
      <c r="F9327">
        <v>1895</v>
      </c>
      <c r="G9327">
        <v>3</v>
      </c>
      <c r="H9327">
        <v>2</v>
      </c>
      <c r="I9327">
        <v>1997</v>
      </c>
      <c r="J9327">
        <v>0</v>
      </c>
      <c r="K9327">
        <v>0</v>
      </c>
      <c r="L9327">
        <v>0</v>
      </c>
      <c r="M9327">
        <v>4</v>
      </c>
      <c r="N9327" t="s">
        <v>41</v>
      </c>
      <c r="O9327" t="s">
        <v>32</v>
      </c>
      <c r="P9327">
        <v>10.1567033219099</v>
      </c>
      <c r="Q9327">
        <v>0.55505868383377199</v>
      </c>
      <c r="R9327">
        <v>2.7830743019222099</v>
      </c>
      <c r="S9327">
        <v>108</v>
      </c>
      <c r="T9327">
        <v>38</v>
      </c>
      <c r="U9327">
        <v>486.46401254177903</v>
      </c>
      <c r="V9327">
        <v>2.1108179419525E-3</v>
      </c>
      <c r="W9327">
        <v>1117595.0546724901</v>
      </c>
      <c r="X9327" t="s">
        <v>42</v>
      </c>
      <c r="Y9327">
        <f>1-292-585-9839</f>
        <v>-10715</v>
      </c>
    </row>
    <row r="9328" spans="1:25" x14ac:dyDescent="0.35">
      <c r="A9328">
        <v>34.606513641815802</v>
      </c>
      <c r="B9328">
        <v>-116.387030285973</v>
      </c>
      <c r="C9328" t="s">
        <v>29</v>
      </c>
      <c r="D9328">
        <v>12.224229506278199</v>
      </c>
      <c r="E9328">
        <v>1</v>
      </c>
      <c r="F9328">
        <v>2982</v>
      </c>
      <c r="G9328">
        <v>1</v>
      </c>
      <c r="H9328">
        <v>2</v>
      </c>
      <c r="I9328">
        <v>2018</v>
      </c>
      <c r="J9328">
        <v>0</v>
      </c>
      <c r="K9328">
        <v>0</v>
      </c>
      <c r="L9328">
        <v>0</v>
      </c>
      <c r="M9328">
        <v>9</v>
      </c>
      <c r="N9328" t="s">
        <v>37</v>
      </c>
      <c r="O9328" t="s">
        <v>30</v>
      </c>
      <c r="P9328">
        <v>6.2068048502932003</v>
      </c>
      <c r="Q9328">
        <v>2.02861607649701</v>
      </c>
      <c r="R9328">
        <v>7.2714182715624398</v>
      </c>
      <c r="S9328">
        <v>170</v>
      </c>
      <c r="T9328">
        <v>71</v>
      </c>
      <c r="U9328">
        <v>870.591455963219</v>
      </c>
      <c r="V9328">
        <v>3.01810865191146E-3</v>
      </c>
      <c r="W9328">
        <v>2728870.16118886</v>
      </c>
      <c r="X9328" t="s">
        <v>38</v>
      </c>
      <c r="Y9328">
        <f>1-917-435-9956</f>
        <v>-11307</v>
      </c>
    </row>
    <row r="9329" spans="1:25" x14ac:dyDescent="0.35">
      <c r="A9329">
        <v>39.552529359223399</v>
      </c>
      <c r="B9329">
        <v>-119.51963642516399</v>
      </c>
      <c r="C9329" t="s">
        <v>34</v>
      </c>
      <c r="D9329">
        <v>49.195913073413401</v>
      </c>
      <c r="E9329">
        <v>8</v>
      </c>
      <c r="F9329">
        <v>1376</v>
      </c>
      <c r="G9329">
        <v>3</v>
      </c>
      <c r="H9329">
        <v>1</v>
      </c>
      <c r="I9329">
        <v>1998</v>
      </c>
      <c r="J9329">
        <v>0</v>
      </c>
      <c r="K9329">
        <v>1</v>
      </c>
      <c r="L9329">
        <v>1</v>
      </c>
      <c r="M9329">
        <v>5</v>
      </c>
      <c r="N9329" t="s">
        <v>26</v>
      </c>
      <c r="O9329" t="s">
        <v>30</v>
      </c>
      <c r="P9329">
        <v>8.9816636869926594</v>
      </c>
      <c r="Q9329">
        <v>2.1644891884479298</v>
      </c>
      <c r="R9329">
        <v>8.3139973937490108</v>
      </c>
      <c r="S9329">
        <v>139</v>
      </c>
      <c r="T9329">
        <v>20</v>
      </c>
      <c r="U9329">
        <v>956.70153602930202</v>
      </c>
      <c r="V9329">
        <v>3.6337209302325498E-3</v>
      </c>
      <c r="W9329">
        <v>1660203.8030832</v>
      </c>
      <c r="X9329" t="s">
        <v>31</v>
      </c>
      <c r="Y9329">
        <f>1-718-643-6772</f>
        <v>-8132</v>
      </c>
    </row>
    <row r="9330" spans="1:25" x14ac:dyDescent="0.35">
      <c r="A9330">
        <v>39.948079758510097</v>
      </c>
      <c r="B9330">
        <v>-121.732635949101</v>
      </c>
      <c r="C9330" t="s">
        <v>34</v>
      </c>
      <c r="D9330">
        <v>36.317566429049599</v>
      </c>
      <c r="E9330">
        <v>3</v>
      </c>
      <c r="F9330">
        <v>4673</v>
      </c>
      <c r="G9330">
        <v>1</v>
      </c>
      <c r="H9330">
        <v>1</v>
      </c>
      <c r="I9330">
        <v>1980</v>
      </c>
      <c r="J9330">
        <v>0</v>
      </c>
      <c r="K9330">
        <v>1</v>
      </c>
      <c r="L9330">
        <v>1</v>
      </c>
      <c r="M9330">
        <v>6</v>
      </c>
      <c r="N9330" t="s">
        <v>35</v>
      </c>
      <c r="O9330" t="s">
        <v>30</v>
      </c>
      <c r="P9330">
        <v>7.3774058344843896</v>
      </c>
      <c r="Q9330">
        <v>0.91717470640602605</v>
      </c>
      <c r="R9330">
        <v>0.50482968453167099</v>
      </c>
      <c r="S9330">
        <v>189</v>
      </c>
      <c r="T9330">
        <v>72</v>
      </c>
      <c r="U9330">
        <v>866.12344682301</v>
      </c>
      <c r="V9330">
        <v>1.2839717526214401E-3</v>
      </c>
      <c r="W9330">
        <v>4257112.8180228798</v>
      </c>
      <c r="X9330" t="s">
        <v>39</v>
      </c>
      <c r="Y9330">
        <f>1-935-623-6063</f>
        <v>-7620</v>
      </c>
    </row>
    <row r="9331" spans="1:25" x14ac:dyDescent="0.35">
      <c r="A9331">
        <v>39.992300707926802</v>
      </c>
      <c r="B9331">
        <v>-122.68036698944999</v>
      </c>
      <c r="C9331" t="s">
        <v>25</v>
      </c>
      <c r="D9331">
        <v>30.870729973369301</v>
      </c>
      <c r="E9331">
        <v>5</v>
      </c>
      <c r="F9331">
        <v>3385</v>
      </c>
      <c r="G9331">
        <v>5</v>
      </c>
      <c r="H9331">
        <v>3</v>
      </c>
      <c r="I9331">
        <v>2011</v>
      </c>
      <c r="J9331">
        <v>1</v>
      </c>
      <c r="K9331">
        <v>0</v>
      </c>
      <c r="L9331">
        <v>0</v>
      </c>
      <c r="M9331">
        <v>7</v>
      </c>
      <c r="N9331" t="s">
        <v>35</v>
      </c>
      <c r="O9331" t="s">
        <v>30</v>
      </c>
      <c r="P9331">
        <v>5.2226933015313799</v>
      </c>
      <c r="Q9331">
        <v>1.11481044080132</v>
      </c>
      <c r="R9331">
        <v>8.7326946765907305</v>
      </c>
      <c r="S9331">
        <v>76</v>
      </c>
      <c r="T9331">
        <v>61</v>
      </c>
      <c r="U9331">
        <v>433.40197597919303</v>
      </c>
      <c r="V9331">
        <v>2.06794682422452E-3</v>
      </c>
      <c r="W9331">
        <v>1854053.37581801</v>
      </c>
      <c r="X9331" t="s">
        <v>36</v>
      </c>
      <c r="Y9331">
        <f>1-968-522-8553</f>
        <v>-10042</v>
      </c>
    </row>
    <row r="9332" spans="1:25" x14ac:dyDescent="0.35">
      <c r="A9332">
        <v>37.257359372084899</v>
      </c>
      <c r="B9332">
        <v>-123.837260344458</v>
      </c>
      <c r="C9332" t="s">
        <v>34</v>
      </c>
      <c r="D9332">
        <v>48.232164633058197</v>
      </c>
      <c r="E9332">
        <v>8</v>
      </c>
      <c r="F9332">
        <v>2039</v>
      </c>
      <c r="G9332">
        <v>5</v>
      </c>
      <c r="H9332">
        <v>1</v>
      </c>
      <c r="I9332">
        <v>1971</v>
      </c>
      <c r="J9332">
        <v>0</v>
      </c>
      <c r="K9332">
        <v>1</v>
      </c>
      <c r="L9332">
        <v>1</v>
      </c>
      <c r="M9332">
        <v>7</v>
      </c>
      <c r="N9332" t="s">
        <v>26</v>
      </c>
      <c r="O9332" t="s">
        <v>27</v>
      </c>
      <c r="P9332">
        <v>7.9788005668596496</v>
      </c>
      <c r="Q9332">
        <v>0.87537073993940295</v>
      </c>
      <c r="R9332">
        <v>2.7528854822555902</v>
      </c>
      <c r="S9332">
        <v>197</v>
      </c>
      <c r="T9332">
        <v>57</v>
      </c>
      <c r="U9332">
        <v>258.735471433501</v>
      </c>
      <c r="V9332">
        <v>3.4330554193231898E-3</v>
      </c>
      <c r="W9332">
        <v>940753.10843941499</v>
      </c>
      <c r="X9332" t="s">
        <v>40</v>
      </c>
      <c r="Y9332">
        <f>1-991-790-1388</f>
        <v>-3168</v>
      </c>
    </row>
    <row r="9333" spans="1:25" x14ac:dyDescent="0.35">
      <c r="A9333">
        <v>37.5724558921249</v>
      </c>
      <c r="B9333">
        <v>-120.759519145205</v>
      </c>
      <c r="C9333" t="s">
        <v>34</v>
      </c>
      <c r="D9333">
        <v>16.582498224877899</v>
      </c>
      <c r="E9333">
        <v>3</v>
      </c>
      <c r="F9333">
        <v>2056</v>
      </c>
      <c r="G9333">
        <v>1</v>
      </c>
      <c r="H9333">
        <v>1</v>
      </c>
      <c r="I9333">
        <v>2013</v>
      </c>
      <c r="J9333">
        <v>1</v>
      </c>
      <c r="K9333">
        <v>0</v>
      </c>
      <c r="L9333">
        <v>0</v>
      </c>
      <c r="M9333">
        <v>13</v>
      </c>
      <c r="N9333" t="s">
        <v>37</v>
      </c>
      <c r="O9333" t="s">
        <v>30</v>
      </c>
      <c r="P9333">
        <v>8.4318381023736908</v>
      </c>
      <c r="Q9333">
        <v>0.92162758031385805</v>
      </c>
      <c r="R9333">
        <v>5.0877797385668604</v>
      </c>
      <c r="S9333">
        <v>24</v>
      </c>
      <c r="T9333">
        <v>38</v>
      </c>
      <c r="U9333">
        <v>812.57132486745604</v>
      </c>
      <c r="V9333">
        <v>6.3229571984435799E-3</v>
      </c>
      <c r="W9333">
        <v>1826147.87521141</v>
      </c>
      <c r="X9333" t="s">
        <v>40</v>
      </c>
      <c r="Y9333">
        <f>1-532-552-1580</f>
        <v>-2663</v>
      </c>
    </row>
    <row r="9334" spans="1:25" x14ac:dyDescent="0.35">
      <c r="A9334">
        <v>40.810789481329998</v>
      </c>
      <c r="B9334">
        <v>-121.114865714269</v>
      </c>
      <c r="C9334" t="s">
        <v>25</v>
      </c>
      <c r="D9334">
        <v>41.782697902260097</v>
      </c>
      <c r="E9334">
        <v>9</v>
      </c>
      <c r="F9334">
        <v>4256</v>
      </c>
      <c r="G9334">
        <v>1</v>
      </c>
      <c r="H9334">
        <v>3</v>
      </c>
      <c r="I9334">
        <v>2002</v>
      </c>
      <c r="J9334">
        <v>1</v>
      </c>
      <c r="K9334">
        <v>1</v>
      </c>
      <c r="L9334">
        <v>1</v>
      </c>
      <c r="M9334">
        <v>7</v>
      </c>
      <c r="N9334" t="s">
        <v>26</v>
      </c>
      <c r="O9334" t="s">
        <v>27</v>
      </c>
      <c r="P9334">
        <v>4.5331716070849097</v>
      </c>
      <c r="Q9334">
        <v>2.0141914595955002</v>
      </c>
      <c r="R9334">
        <v>5.5405193058222304</v>
      </c>
      <c r="S9334">
        <v>189</v>
      </c>
      <c r="T9334">
        <v>47</v>
      </c>
      <c r="U9334">
        <v>872.49927549957397</v>
      </c>
      <c r="V9334">
        <v>1.64473684210526E-3</v>
      </c>
      <c r="W9334">
        <v>4043136.0985111301</v>
      </c>
      <c r="X9334" t="s">
        <v>33</v>
      </c>
      <c r="Y9334">
        <f>1-954-852-4185</f>
        <v>-5990</v>
      </c>
    </row>
    <row r="9335" spans="1:25" x14ac:dyDescent="0.35">
      <c r="A9335">
        <v>38.895983572508598</v>
      </c>
      <c r="B9335">
        <v>-119.53660980254899</v>
      </c>
      <c r="C9335" t="s">
        <v>25</v>
      </c>
      <c r="D9335">
        <v>5.2892443468798298</v>
      </c>
      <c r="E9335">
        <v>8</v>
      </c>
      <c r="F9335">
        <v>1911</v>
      </c>
      <c r="G9335">
        <v>4</v>
      </c>
      <c r="H9335">
        <v>2</v>
      </c>
      <c r="I9335">
        <v>1993</v>
      </c>
      <c r="J9335">
        <v>0</v>
      </c>
      <c r="K9335">
        <v>0</v>
      </c>
      <c r="L9335">
        <v>1</v>
      </c>
      <c r="M9335">
        <v>9</v>
      </c>
      <c r="N9335" t="s">
        <v>37</v>
      </c>
      <c r="O9335" t="s">
        <v>30</v>
      </c>
      <c r="P9335">
        <v>12.102049556528</v>
      </c>
      <c r="Q9335">
        <v>1.6119890199240301</v>
      </c>
      <c r="R9335">
        <v>6.7660158382191504</v>
      </c>
      <c r="S9335">
        <v>172</v>
      </c>
      <c r="T9335">
        <v>42</v>
      </c>
      <c r="U9335">
        <v>942.86062943684396</v>
      </c>
      <c r="V9335">
        <v>4.7095761381475603E-3</v>
      </c>
      <c r="W9335">
        <v>2125958.71260694</v>
      </c>
      <c r="X9335" t="s">
        <v>44</v>
      </c>
      <c r="Y9335">
        <f>1-695-618-4449</f>
        <v>-5761</v>
      </c>
    </row>
    <row r="9336" spans="1:25" x14ac:dyDescent="0.35">
      <c r="A9336">
        <v>39.205147765402202</v>
      </c>
      <c r="B9336">
        <v>-118.29666899676199</v>
      </c>
      <c r="C9336" t="s">
        <v>25</v>
      </c>
      <c r="D9336">
        <v>47.235368601311599</v>
      </c>
      <c r="E9336">
        <v>8</v>
      </c>
      <c r="F9336">
        <v>1793</v>
      </c>
      <c r="G9336">
        <v>5</v>
      </c>
      <c r="H9336">
        <v>3</v>
      </c>
      <c r="I9336">
        <v>1995</v>
      </c>
      <c r="J9336">
        <v>1</v>
      </c>
      <c r="K9336">
        <v>0</v>
      </c>
      <c r="L9336">
        <v>0</v>
      </c>
      <c r="M9336">
        <v>14</v>
      </c>
      <c r="N9336" t="s">
        <v>35</v>
      </c>
      <c r="O9336" t="s">
        <v>32</v>
      </c>
      <c r="P9336">
        <v>4.5343231315950501</v>
      </c>
      <c r="Q9336">
        <v>1.1161713714474699</v>
      </c>
      <c r="R9336">
        <v>4.29284656333218</v>
      </c>
      <c r="S9336">
        <v>0</v>
      </c>
      <c r="T9336">
        <v>32</v>
      </c>
      <c r="U9336">
        <v>775.60823234829297</v>
      </c>
      <c r="V9336">
        <v>7.80814277746793E-3</v>
      </c>
      <c r="W9336">
        <v>1767644.48347448</v>
      </c>
      <c r="X9336" t="s">
        <v>33</v>
      </c>
      <c r="Y9336">
        <f>1-467-168-6821</f>
        <v>-7455</v>
      </c>
    </row>
    <row r="9337" spans="1:25" x14ac:dyDescent="0.35">
      <c r="A9337">
        <v>39.449594365286202</v>
      </c>
      <c r="B9337">
        <v>-116.09171243138699</v>
      </c>
      <c r="C9337" t="s">
        <v>34</v>
      </c>
      <c r="D9337">
        <v>6.50190748139749</v>
      </c>
      <c r="E9337">
        <v>2</v>
      </c>
      <c r="F9337">
        <v>1474</v>
      </c>
      <c r="G9337">
        <v>1</v>
      </c>
      <c r="H9337">
        <v>2</v>
      </c>
      <c r="I9337">
        <v>1990</v>
      </c>
      <c r="J9337">
        <v>0</v>
      </c>
      <c r="K9337">
        <v>0</v>
      </c>
      <c r="L9337">
        <v>1</v>
      </c>
      <c r="M9337">
        <v>13</v>
      </c>
      <c r="N9337" t="s">
        <v>26</v>
      </c>
      <c r="O9337" t="s">
        <v>30</v>
      </c>
      <c r="P9337">
        <v>9.8184428424668901</v>
      </c>
      <c r="Q9337">
        <v>0.770542871949629</v>
      </c>
      <c r="R9337">
        <v>1.3337919830160101</v>
      </c>
      <c r="S9337">
        <v>43</v>
      </c>
      <c r="T9337">
        <v>69</v>
      </c>
      <c r="U9337">
        <v>429.32497173580299</v>
      </c>
      <c r="V9337">
        <v>8.81953867028493E-3</v>
      </c>
      <c r="W9337">
        <v>835222.59692881501</v>
      </c>
      <c r="X9337" t="s">
        <v>39</v>
      </c>
      <c r="Y9337">
        <f>1-933-432-4157</f>
        <v>-5521</v>
      </c>
    </row>
    <row r="9338" spans="1:25" x14ac:dyDescent="0.35">
      <c r="A9338">
        <v>36.3223031101695</v>
      </c>
      <c r="B9338">
        <v>-122.142366616457</v>
      </c>
      <c r="C9338" t="s">
        <v>25</v>
      </c>
      <c r="D9338">
        <v>3.1087855791406098</v>
      </c>
      <c r="E9338">
        <v>0</v>
      </c>
      <c r="F9338">
        <v>3088</v>
      </c>
      <c r="G9338">
        <v>4</v>
      </c>
      <c r="H9338">
        <v>2</v>
      </c>
      <c r="I9338">
        <v>1988</v>
      </c>
      <c r="J9338">
        <v>1</v>
      </c>
      <c r="K9338">
        <v>1</v>
      </c>
      <c r="L9338">
        <v>0</v>
      </c>
      <c r="M9338">
        <v>12</v>
      </c>
      <c r="N9338" t="s">
        <v>37</v>
      </c>
      <c r="O9338" t="s">
        <v>30</v>
      </c>
      <c r="P9338">
        <v>14.6408641406013</v>
      </c>
      <c r="Q9338">
        <v>2.27098108400364</v>
      </c>
      <c r="R9338">
        <v>8.8012774229925004</v>
      </c>
      <c r="S9338">
        <v>77</v>
      </c>
      <c r="T9338">
        <v>23</v>
      </c>
      <c r="U9338">
        <v>287.26110158383801</v>
      </c>
      <c r="V9338">
        <v>3.8860103626943E-3</v>
      </c>
      <c r="W9338">
        <v>1317489.57379058</v>
      </c>
      <c r="X9338" t="s">
        <v>36</v>
      </c>
      <c r="Y9338">
        <f>1-573-297-8270</f>
        <v>-9139</v>
      </c>
    </row>
    <row r="9339" spans="1:25" x14ac:dyDescent="0.35">
      <c r="A9339">
        <v>39.030642307806303</v>
      </c>
      <c r="B9339">
        <v>-119.69773227794199</v>
      </c>
      <c r="C9339" t="s">
        <v>34</v>
      </c>
      <c r="D9339">
        <v>2.0648463195242002</v>
      </c>
      <c r="E9339">
        <v>4</v>
      </c>
      <c r="F9339">
        <v>2371</v>
      </c>
      <c r="G9339">
        <v>1</v>
      </c>
      <c r="H9339">
        <v>2</v>
      </c>
      <c r="I9339">
        <v>2018</v>
      </c>
      <c r="J9339">
        <v>0</v>
      </c>
      <c r="K9339">
        <v>1</v>
      </c>
      <c r="L9339">
        <v>1</v>
      </c>
      <c r="M9339">
        <v>5</v>
      </c>
      <c r="N9339" t="s">
        <v>26</v>
      </c>
      <c r="O9339" t="s">
        <v>27</v>
      </c>
      <c r="P9339">
        <v>2.4931727457394701</v>
      </c>
      <c r="Q9339">
        <v>2.0109134807602098</v>
      </c>
      <c r="R9339">
        <v>6.5124012822409103</v>
      </c>
      <c r="S9339">
        <v>121</v>
      </c>
      <c r="T9339">
        <v>62</v>
      </c>
      <c r="U9339">
        <v>610.46972683934803</v>
      </c>
      <c r="V9339">
        <v>2.1088148460565101E-3</v>
      </c>
      <c r="W9339">
        <v>1705839.28332963</v>
      </c>
      <c r="X9339" t="s">
        <v>40</v>
      </c>
      <c r="Y9339">
        <f>1-952-342-5524</f>
        <v>-6817</v>
      </c>
    </row>
    <row r="9340" spans="1:25" x14ac:dyDescent="0.35">
      <c r="A9340">
        <v>32.827924554693197</v>
      </c>
      <c r="B9340">
        <v>-119.99929478253399</v>
      </c>
      <c r="C9340" t="s">
        <v>25</v>
      </c>
      <c r="D9340">
        <v>6.8839578817983798</v>
      </c>
      <c r="E9340">
        <v>5</v>
      </c>
      <c r="F9340">
        <v>4760</v>
      </c>
      <c r="G9340">
        <v>3</v>
      </c>
      <c r="H9340">
        <v>2</v>
      </c>
      <c r="I9340">
        <v>1997</v>
      </c>
      <c r="J9340">
        <v>1</v>
      </c>
      <c r="K9340">
        <v>0</v>
      </c>
      <c r="L9340">
        <v>0</v>
      </c>
      <c r="M9340">
        <v>8</v>
      </c>
      <c r="N9340" t="s">
        <v>35</v>
      </c>
      <c r="O9340" t="s">
        <v>27</v>
      </c>
      <c r="P9340">
        <v>7.8904926639618704</v>
      </c>
      <c r="Q9340">
        <v>0.74698322692697405</v>
      </c>
      <c r="R9340">
        <v>1.19781748774284</v>
      </c>
      <c r="S9340">
        <v>120</v>
      </c>
      <c r="T9340">
        <v>36</v>
      </c>
      <c r="U9340">
        <v>464.38837197460202</v>
      </c>
      <c r="V9340">
        <v>1.6806722689075601E-3</v>
      </c>
      <c r="W9340">
        <v>2533726.6635916</v>
      </c>
      <c r="X9340" t="s">
        <v>44</v>
      </c>
      <c r="Y9340">
        <f>1-449-327-4080</f>
        <v>-4855</v>
      </c>
    </row>
    <row r="9341" spans="1:25" x14ac:dyDescent="0.35">
      <c r="A9341">
        <v>40.178515043037201</v>
      </c>
      <c r="B9341">
        <v>-117.353685859649</v>
      </c>
      <c r="C9341" t="s">
        <v>29</v>
      </c>
      <c r="D9341">
        <v>35.822557466652199</v>
      </c>
      <c r="E9341">
        <v>4</v>
      </c>
      <c r="F9341">
        <v>1801</v>
      </c>
      <c r="G9341">
        <v>5</v>
      </c>
      <c r="H9341">
        <v>2</v>
      </c>
      <c r="I9341">
        <v>1975</v>
      </c>
      <c r="J9341">
        <v>1</v>
      </c>
      <c r="K9341">
        <v>0</v>
      </c>
      <c r="L9341">
        <v>1</v>
      </c>
      <c r="M9341">
        <v>6</v>
      </c>
      <c r="N9341" t="s">
        <v>37</v>
      </c>
      <c r="O9341" t="s">
        <v>32</v>
      </c>
      <c r="P9341">
        <v>6.3930452904302504</v>
      </c>
      <c r="Q9341">
        <v>1.0983611430204101</v>
      </c>
      <c r="R9341">
        <v>6.7877091054319196</v>
      </c>
      <c r="S9341">
        <v>139</v>
      </c>
      <c r="T9341">
        <v>58</v>
      </c>
      <c r="U9341">
        <v>568.67505277347095</v>
      </c>
      <c r="V9341">
        <v>3.3314825097168202E-3</v>
      </c>
      <c r="W9341">
        <v>1359649.2898488301</v>
      </c>
      <c r="X9341" t="s">
        <v>43</v>
      </c>
      <c r="Y9341">
        <f>1-826-700-8709</f>
        <v>-10234</v>
      </c>
    </row>
    <row r="9342" spans="1:25" x14ac:dyDescent="0.35">
      <c r="A9342">
        <v>33.8223165175731</v>
      </c>
      <c r="B9342">
        <v>-117.127919195804</v>
      </c>
      <c r="C9342" t="s">
        <v>34</v>
      </c>
      <c r="D9342">
        <v>35.582931180591103</v>
      </c>
      <c r="E9342">
        <v>5</v>
      </c>
      <c r="F9342">
        <v>3393</v>
      </c>
      <c r="G9342">
        <v>2</v>
      </c>
      <c r="H9342">
        <v>2</v>
      </c>
      <c r="I9342">
        <v>2013</v>
      </c>
      <c r="J9342">
        <v>0</v>
      </c>
      <c r="K9342">
        <v>0</v>
      </c>
      <c r="L9342">
        <v>0</v>
      </c>
      <c r="M9342">
        <v>13</v>
      </c>
      <c r="N9342" t="s">
        <v>41</v>
      </c>
      <c r="O9342" t="s">
        <v>30</v>
      </c>
      <c r="P9342">
        <v>6.4475164349392404</v>
      </c>
      <c r="Q9342">
        <v>2.1211357800542401</v>
      </c>
      <c r="R9342">
        <v>9.2878368451475595</v>
      </c>
      <c r="S9342">
        <v>158</v>
      </c>
      <c r="T9342">
        <v>78</v>
      </c>
      <c r="U9342">
        <v>885.16402234446002</v>
      </c>
      <c r="V9342">
        <v>3.83141762452107E-3</v>
      </c>
      <c r="W9342">
        <v>3192461.2244870602</v>
      </c>
      <c r="X9342" t="s">
        <v>44</v>
      </c>
      <c r="Y9342">
        <f>1-872-220-2500</f>
        <v>-3591</v>
      </c>
    </row>
    <row r="9343" spans="1:25" x14ac:dyDescent="0.35">
      <c r="A9343">
        <v>36.989483668811403</v>
      </c>
      <c r="B9343">
        <v>-115.52169665188499</v>
      </c>
      <c r="C9343" t="s">
        <v>34</v>
      </c>
      <c r="D9343">
        <v>7.3808645514842999</v>
      </c>
      <c r="E9343">
        <v>7</v>
      </c>
      <c r="F9343">
        <v>1429</v>
      </c>
      <c r="G9343">
        <v>5</v>
      </c>
      <c r="H9343">
        <v>2</v>
      </c>
      <c r="I9343">
        <v>1976</v>
      </c>
      <c r="J9343">
        <v>1</v>
      </c>
      <c r="K9343">
        <v>1</v>
      </c>
      <c r="L9343">
        <v>1</v>
      </c>
      <c r="M9343">
        <v>2</v>
      </c>
      <c r="N9343" t="s">
        <v>41</v>
      </c>
      <c r="O9343" t="s">
        <v>30</v>
      </c>
      <c r="P9343">
        <v>7.2219678101517104</v>
      </c>
      <c r="Q9343">
        <v>1.1716232156295801</v>
      </c>
      <c r="R9343">
        <v>7.3298489657968</v>
      </c>
      <c r="S9343">
        <v>5</v>
      </c>
      <c r="T9343">
        <v>22</v>
      </c>
      <c r="U9343">
        <v>309.33342294168398</v>
      </c>
      <c r="V9343">
        <v>1.3995801259622099E-3</v>
      </c>
      <c r="W9343">
        <v>817076.78169502201</v>
      </c>
      <c r="X9343" t="s">
        <v>40</v>
      </c>
      <c r="Y9343">
        <f>1-267-953-7642</f>
        <v>-8861</v>
      </c>
    </row>
    <row r="9344" spans="1:25" x14ac:dyDescent="0.35">
      <c r="A9344">
        <v>41.0757432921042</v>
      </c>
      <c r="B9344">
        <v>-118.979428940012</v>
      </c>
      <c r="C9344" t="s">
        <v>34</v>
      </c>
      <c r="D9344">
        <v>39.091773157741201</v>
      </c>
      <c r="E9344">
        <v>8</v>
      </c>
      <c r="F9344">
        <v>1933</v>
      </c>
      <c r="G9344">
        <v>5</v>
      </c>
      <c r="H9344">
        <v>1</v>
      </c>
      <c r="I9344">
        <v>1964</v>
      </c>
      <c r="J9344">
        <v>0</v>
      </c>
      <c r="K9344">
        <v>0</v>
      </c>
      <c r="L9344">
        <v>0</v>
      </c>
      <c r="M9344">
        <v>13</v>
      </c>
      <c r="N9344" t="s">
        <v>37</v>
      </c>
      <c r="O9344" t="s">
        <v>32</v>
      </c>
      <c r="P9344">
        <v>2.4294036133579699</v>
      </c>
      <c r="Q9344">
        <v>1.8938586672377999</v>
      </c>
      <c r="R9344">
        <v>4.6494950449063097</v>
      </c>
      <c r="S9344">
        <v>33</v>
      </c>
      <c r="T9344">
        <v>75</v>
      </c>
      <c r="U9344">
        <v>598.59803163697097</v>
      </c>
      <c r="V9344">
        <v>6.72529746508018E-3</v>
      </c>
      <c r="W9344">
        <v>1280678.88219294</v>
      </c>
      <c r="X9344" t="s">
        <v>36</v>
      </c>
      <c r="Y9344">
        <f>1-740-978-3315</f>
        <v>-5032</v>
      </c>
    </row>
    <row r="9345" spans="1:25" x14ac:dyDescent="0.35">
      <c r="A9345">
        <v>34.420558402893398</v>
      </c>
      <c r="B9345">
        <v>-123.735202936939</v>
      </c>
      <c r="C9345" t="s">
        <v>25</v>
      </c>
      <c r="D9345">
        <v>38.455291291879199</v>
      </c>
      <c r="E9345">
        <v>0</v>
      </c>
      <c r="F9345">
        <v>1585</v>
      </c>
      <c r="G9345">
        <v>4</v>
      </c>
      <c r="H9345">
        <v>1</v>
      </c>
      <c r="I9345">
        <v>1981</v>
      </c>
      <c r="J9345">
        <v>0</v>
      </c>
      <c r="K9345">
        <v>0</v>
      </c>
      <c r="L9345">
        <v>0</v>
      </c>
      <c r="M9345">
        <v>4</v>
      </c>
      <c r="N9345" t="s">
        <v>26</v>
      </c>
      <c r="O9345" t="s">
        <v>30</v>
      </c>
      <c r="P9345">
        <v>10.9243357851309</v>
      </c>
      <c r="Q9345">
        <v>1.34232572671163</v>
      </c>
      <c r="R9345">
        <v>9.7124319801374099</v>
      </c>
      <c r="S9345">
        <v>22</v>
      </c>
      <c r="T9345">
        <v>52</v>
      </c>
      <c r="U9345">
        <v>480.02323716859797</v>
      </c>
      <c r="V9345">
        <v>2.5236593059936902E-3</v>
      </c>
      <c r="W9345">
        <v>1015240.38388128</v>
      </c>
      <c r="X9345" t="s">
        <v>36</v>
      </c>
      <c r="Y9345">
        <f>1-385-436-3258</f>
        <v>-4078</v>
      </c>
    </row>
    <row r="9346" spans="1:25" x14ac:dyDescent="0.35">
      <c r="A9346">
        <v>36.6339922526669</v>
      </c>
      <c r="B9346">
        <v>-115.676444750595</v>
      </c>
      <c r="C9346" t="s">
        <v>34</v>
      </c>
      <c r="D9346">
        <v>24.4031046064203</v>
      </c>
      <c r="E9346">
        <v>1</v>
      </c>
      <c r="F9346">
        <v>2574</v>
      </c>
      <c r="G9346">
        <v>3</v>
      </c>
      <c r="H9346">
        <v>3</v>
      </c>
      <c r="I9346">
        <v>1959</v>
      </c>
      <c r="J9346">
        <v>1</v>
      </c>
      <c r="K9346">
        <v>1</v>
      </c>
      <c r="L9346">
        <v>1</v>
      </c>
      <c r="M9346">
        <v>3</v>
      </c>
      <c r="N9346" t="s">
        <v>26</v>
      </c>
      <c r="O9346" t="s">
        <v>32</v>
      </c>
      <c r="P9346">
        <v>10.3288859527371</v>
      </c>
      <c r="Q9346">
        <v>1.1921282866517899</v>
      </c>
      <c r="R9346">
        <v>0.50078952322590498</v>
      </c>
      <c r="S9346">
        <v>30</v>
      </c>
      <c r="T9346">
        <v>35</v>
      </c>
      <c r="U9346">
        <v>838.02679373416004</v>
      </c>
      <c r="V9346">
        <v>1.1655011655011601E-3</v>
      </c>
      <c r="W9346">
        <v>2581102.54144827</v>
      </c>
      <c r="X9346" t="s">
        <v>43</v>
      </c>
      <c r="Y9346">
        <f>1-501-167-5657</f>
        <v>-6324</v>
      </c>
    </row>
    <row r="9347" spans="1:25" x14ac:dyDescent="0.35">
      <c r="A9347">
        <v>32.905597439744497</v>
      </c>
      <c r="B9347">
        <v>-119.811551176024</v>
      </c>
      <c r="C9347" t="s">
        <v>29</v>
      </c>
      <c r="D9347">
        <v>17.449096385029701</v>
      </c>
      <c r="E9347">
        <v>0</v>
      </c>
      <c r="F9347">
        <v>3969</v>
      </c>
      <c r="G9347">
        <v>3</v>
      </c>
      <c r="H9347">
        <v>1</v>
      </c>
      <c r="I9347">
        <v>1980</v>
      </c>
      <c r="J9347">
        <v>0</v>
      </c>
      <c r="K9347">
        <v>1</v>
      </c>
      <c r="L9347">
        <v>1</v>
      </c>
      <c r="M9347">
        <v>10</v>
      </c>
      <c r="N9347" t="s">
        <v>26</v>
      </c>
      <c r="O9347" t="s">
        <v>32</v>
      </c>
      <c r="P9347">
        <v>4.0391494799461798</v>
      </c>
      <c r="Q9347">
        <v>0.61850834641974395</v>
      </c>
      <c r="R9347">
        <v>4.2630097812882903</v>
      </c>
      <c r="S9347">
        <v>29</v>
      </c>
      <c r="T9347">
        <v>67</v>
      </c>
      <c r="U9347">
        <v>460.68604814559501</v>
      </c>
      <c r="V9347">
        <v>2.5195263290501298E-3</v>
      </c>
      <c r="W9347">
        <v>2111812.4313910599</v>
      </c>
      <c r="X9347" t="s">
        <v>39</v>
      </c>
      <c r="Y9347">
        <f>1-332-336-7634</f>
        <v>-8301</v>
      </c>
    </row>
    <row r="9348" spans="1:25" x14ac:dyDescent="0.35">
      <c r="A9348">
        <v>37.402574402193103</v>
      </c>
      <c r="B9348">
        <v>-118.666995814852</v>
      </c>
      <c r="C9348" t="s">
        <v>29</v>
      </c>
      <c r="D9348">
        <v>31.168577232663299</v>
      </c>
      <c r="E9348">
        <v>6</v>
      </c>
      <c r="F9348">
        <v>606</v>
      </c>
      <c r="G9348">
        <v>5</v>
      </c>
      <c r="H9348">
        <v>3</v>
      </c>
      <c r="I9348">
        <v>1958</v>
      </c>
      <c r="J9348">
        <v>0</v>
      </c>
      <c r="K9348">
        <v>1</v>
      </c>
      <c r="L9348">
        <v>1</v>
      </c>
      <c r="M9348">
        <v>6</v>
      </c>
      <c r="N9348" t="s">
        <v>26</v>
      </c>
      <c r="O9348" t="s">
        <v>30</v>
      </c>
      <c r="P9348">
        <v>3.2212896277304299</v>
      </c>
      <c r="Q9348">
        <v>1.2584353684396301</v>
      </c>
      <c r="R9348">
        <v>9.57112989255595</v>
      </c>
      <c r="S9348">
        <v>137</v>
      </c>
      <c r="T9348">
        <v>46</v>
      </c>
      <c r="U9348">
        <v>401.97570269034702</v>
      </c>
      <c r="V9348">
        <v>9.9009900990098994E-3</v>
      </c>
      <c r="W9348">
        <v>602088.48929379706</v>
      </c>
      <c r="X9348" t="s">
        <v>38</v>
      </c>
      <c r="Y9348">
        <f>1-479-446-3764</f>
        <v>-4688</v>
      </c>
    </row>
    <row r="9349" spans="1:25" x14ac:dyDescent="0.35">
      <c r="A9349">
        <v>37.401371065026296</v>
      </c>
      <c r="B9349">
        <v>-122.741194690708</v>
      </c>
      <c r="C9349" t="s">
        <v>34</v>
      </c>
      <c r="D9349">
        <v>14.4572803391452</v>
      </c>
      <c r="E9349">
        <v>3</v>
      </c>
      <c r="F9349">
        <v>697</v>
      </c>
      <c r="G9349">
        <v>4</v>
      </c>
      <c r="H9349">
        <v>3</v>
      </c>
      <c r="I9349">
        <v>1984</v>
      </c>
      <c r="J9349">
        <v>1</v>
      </c>
      <c r="K9349">
        <v>1</v>
      </c>
      <c r="L9349">
        <v>0</v>
      </c>
      <c r="M9349">
        <v>10</v>
      </c>
      <c r="N9349" t="s">
        <v>41</v>
      </c>
      <c r="O9349" t="s">
        <v>32</v>
      </c>
      <c r="P9349">
        <v>8.9617279831063108</v>
      </c>
      <c r="Q9349">
        <v>1.8476492806517</v>
      </c>
      <c r="R9349">
        <v>6.5491621447417003</v>
      </c>
      <c r="S9349">
        <v>56</v>
      </c>
      <c r="T9349">
        <v>25</v>
      </c>
      <c r="U9349">
        <v>335.40737379207701</v>
      </c>
      <c r="V9349">
        <v>1.43472022955523E-2</v>
      </c>
      <c r="W9349">
        <v>654636.433341222</v>
      </c>
      <c r="X9349" t="s">
        <v>43</v>
      </c>
      <c r="Y9349">
        <f>1-671-704-7898</f>
        <v>-9272</v>
      </c>
    </row>
    <row r="9350" spans="1:25" x14ac:dyDescent="0.35">
      <c r="A9350">
        <v>34.7264690116195</v>
      </c>
      <c r="B9350">
        <v>-122.926323590577</v>
      </c>
      <c r="C9350" t="s">
        <v>25</v>
      </c>
      <c r="D9350">
        <v>34.8022387527391</v>
      </c>
      <c r="E9350">
        <v>1</v>
      </c>
      <c r="F9350">
        <v>1672</v>
      </c>
      <c r="G9350">
        <v>3</v>
      </c>
      <c r="H9350">
        <v>2</v>
      </c>
      <c r="I9350">
        <v>1954</v>
      </c>
      <c r="J9350">
        <v>1</v>
      </c>
      <c r="K9350">
        <v>1</v>
      </c>
      <c r="L9350">
        <v>0</v>
      </c>
      <c r="M9350">
        <v>3</v>
      </c>
      <c r="N9350" t="s">
        <v>37</v>
      </c>
      <c r="O9350" t="s">
        <v>30</v>
      </c>
      <c r="P9350">
        <v>13.6387596861142</v>
      </c>
      <c r="Q9350">
        <v>1.0231684293315699</v>
      </c>
      <c r="R9350">
        <v>6.2281236972347802</v>
      </c>
      <c r="S9350">
        <v>15</v>
      </c>
      <c r="T9350">
        <v>28</v>
      </c>
      <c r="U9350">
        <v>987.71766252379302</v>
      </c>
      <c r="V9350">
        <v>1.7942583732057399E-3</v>
      </c>
      <c r="W9350">
        <v>2080736.4030675001</v>
      </c>
      <c r="X9350" t="s">
        <v>28</v>
      </c>
      <c r="Y9350">
        <f>1-654-668-6285</f>
        <v>-7606</v>
      </c>
    </row>
    <row r="9351" spans="1:25" x14ac:dyDescent="0.35">
      <c r="A9351">
        <v>38.222594231310502</v>
      </c>
      <c r="B9351">
        <v>-116.88071808628099</v>
      </c>
      <c r="C9351" t="s">
        <v>29</v>
      </c>
      <c r="D9351">
        <v>36.662935799446899</v>
      </c>
      <c r="E9351">
        <v>9</v>
      </c>
      <c r="F9351">
        <v>3968</v>
      </c>
      <c r="G9351">
        <v>4</v>
      </c>
      <c r="H9351">
        <v>2</v>
      </c>
      <c r="I9351">
        <v>1968</v>
      </c>
      <c r="J9351">
        <v>0</v>
      </c>
      <c r="K9351">
        <v>1</v>
      </c>
      <c r="L9351">
        <v>0</v>
      </c>
      <c r="M9351">
        <v>6</v>
      </c>
      <c r="N9351" t="s">
        <v>41</v>
      </c>
      <c r="O9351" t="s">
        <v>30</v>
      </c>
      <c r="P9351">
        <v>12.536415732377399</v>
      </c>
      <c r="Q9351">
        <v>1.3053961045770901</v>
      </c>
      <c r="R9351">
        <v>8.8865387735111891</v>
      </c>
      <c r="S9351">
        <v>177</v>
      </c>
      <c r="T9351">
        <v>49</v>
      </c>
      <c r="U9351">
        <v>276.52800167658899</v>
      </c>
      <c r="V9351">
        <v>1.5120967741935401E-3</v>
      </c>
      <c r="W9351">
        <v>1439794.8595787601</v>
      </c>
      <c r="X9351" t="s">
        <v>31</v>
      </c>
      <c r="Y9351">
        <f>1-630-271-2609</f>
        <v>-3509</v>
      </c>
    </row>
    <row r="9352" spans="1:25" x14ac:dyDescent="0.35">
      <c r="A9352">
        <v>39.023602802811801</v>
      </c>
      <c r="B9352">
        <v>-123.535958798545</v>
      </c>
      <c r="C9352" t="s">
        <v>29</v>
      </c>
      <c r="D9352">
        <v>42.575061136025397</v>
      </c>
      <c r="E9352">
        <v>1</v>
      </c>
      <c r="F9352">
        <v>2794</v>
      </c>
      <c r="G9352">
        <v>4</v>
      </c>
      <c r="H9352">
        <v>3</v>
      </c>
      <c r="I9352">
        <v>1990</v>
      </c>
      <c r="J9352">
        <v>1</v>
      </c>
      <c r="K9352">
        <v>0</v>
      </c>
      <c r="L9352">
        <v>1</v>
      </c>
      <c r="M9352">
        <v>8</v>
      </c>
      <c r="N9352" t="s">
        <v>26</v>
      </c>
      <c r="O9352" t="s">
        <v>27</v>
      </c>
      <c r="P9352">
        <v>7.8998410582393399</v>
      </c>
      <c r="Q9352">
        <v>1.30182054232227</v>
      </c>
      <c r="R9352">
        <v>9.9665284074863294</v>
      </c>
      <c r="S9352">
        <v>159</v>
      </c>
      <c r="T9352">
        <v>73</v>
      </c>
      <c r="U9352">
        <v>318.37733916440197</v>
      </c>
      <c r="V9352">
        <v>2.86327845382963E-3</v>
      </c>
      <c r="W9352">
        <v>1300419.5343651001</v>
      </c>
      <c r="X9352" t="s">
        <v>38</v>
      </c>
      <c r="Y9352">
        <f>1-281-809-4959</f>
        <v>-6048</v>
      </c>
    </row>
    <row r="9353" spans="1:25" x14ac:dyDescent="0.35">
      <c r="A9353">
        <v>40.530623298785301</v>
      </c>
      <c r="B9353">
        <v>-123.330018033256</v>
      </c>
      <c r="C9353" t="s">
        <v>34</v>
      </c>
      <c r="D9353">
        <v>33.735815496087298</v>
      </c>
      <c r="E9353">
        <v>5</v>
      </c>
      <c r="F9353">
        <v>4247</v>
      </c>
      <c r="G9353">
        <v>2</v>
      </c>
      <c r="H9353">
        <v>2</v>
      </c>
      <c r="I9353">
        <v>1993</v>
      </c>
      <c r="J9353">
        <v>1</v>
      </c>
      <c r="K9353">
        <v>1</v>
      </c>
      <c r="L9353">
        <v>0</v>
      </c>
      <c r="M9353">
        <v>8</v>
      </c>
      <c r="N9353" t="s">
        <v>41</v>
      </c>
      <c r="O9353" t="s">
        <v>27</v>
      </c>
      <c r="P9353">
        <v>13.147919213761201</v>
      </c>
      <c r="Q9353">
        <v>1.6938351149823401</v>
      </c>
      <c r="R9353">
        <v>9.2795867383738706</v>
      </c>
      <c r="S9353">
        <v>173</v>
      </c>
      <c r="T9353">
        <v>47</v>
      </c>
      <c r="U9353">
        <v>624.11844597949698</v>
      </c>
      <c r="V9353">
        <v>1.8836825994819799E-3</v>
      </c>
      <c r="W9353">
        <v>2981873.51069566</v>
      </c>
      <c r="X9353" t="s">
        <v>42</v>
      </c>
      <c r="Y9353">
        <f>1-891-924-1697</f>
        <v>-3511</v>
      </c>
    </row>
    <row r="9354" spans="1:25" x14ac:dyDescent="0.35">
      <c r="A9354">
        <v>36.327483121429701</v>
      </c>
      <c r="B9354">
        <v>-122.53435717272799</v>
      </c>
      <c r="C9354" t="s">
        <v>29</v>
      </c>
      <c r="D9354">
        <v>20.107991866376501</v>
      </c>
      <c r="E9354">
        <v>7</v>
      </c>
      <c r="F9354">
        <v>3780</v>
      </c>
      <c r="G9354">
        <v>1</v>
      </c>
      <c r="H9354">
        <v>2</v>
      </c>
      <c r="I9354">
        <v>1956</v>
      </c>
      <c r="J9354">
        <v>1</v>
      </c>
      <c r="K9354">
        <v>0</v>
      </c>
      <c r="L9354">
        <v>0</v>
      </c>
      <c r="M9354">
        <v>8</v>
      </c>
      <c r="N9354" t="s">
        <v>26</v>
      </c>
      <c r="O9354" t="s">
        <v>27</v>
      </c>
      <c r="P9354">
        <v>8.1888488433414395</v>
      </c>
      <c r="Q9354">
        <v>2.22259480852615</v>
      </c>
      <c r="R9354">
        <v>4.4613013949816001</v>
      </c>
      <c r="S9354">
        <v>83</v>
      </c>
      <c r="T9354">
        <v>49</v>
      </c>
      <c r="U9354">
        <v>833.35893388213697</v>
      </c>
      <c r="V9354">
        <v>2.11640211640211E-3</v>
      </c>
      <c r="W9354">
        <v>3270205.4554174198</v>
      </c>
      <c r="X9354" t="s">
        <v>44</v>
      </c>
      <c r="Y9354">
        <f>1-375-975-5425</f>
        <v>-6774</v>
      </c>
    </row>
    <row r="9355" spans="1:25" x14ac:dyDescent="0.35">
      <c r="A9355">
        <v>33.239711258988599</v>
      </c>
      <c r="B9355">
        <v>-119.41345129211901</v>
      </c>
      <c r="C9355" t="s">
        <v>34</v>
      </c>
      <c r="D9355">
        <v>1.1807345313062201</v>
      </c>
      <c r="E9355">
        <v>3</v>
      </c>
      <c r="F9355">
        <v>2256</v>
      </c>
      <c r="G9355">
        <v>4</v>
      </c>
      <c r="H9355">
        <v>1</v>
      </c>
      <c r="I9355">
        <v>1965</v>
      </c>
      <c r="J9355">
        <v>1</v>
      </c>
      <c r="K9355">
        <v>1</v>
      </c>
      <c r="L9355">
        <v>0</v>
      </c>
      <c r="M9355">
        <v>9</v>
      </c>
      <c r="N9355" t="s">
        <v>37</v>
      </c>
      <c r="O9355" t="s">
        <v>32</v>
      </c>
      <c r="P9355">
        <v>5.9338457521920098</v>
      </c>
      <c r="Q9355">
        <v>0.65535263553271195</v>
      </c>
      <c r="R9355">
        <v>3.05666827641212</v>
      </c>
      <c r="S9355">
        <v>68</v>
      </c>
      <c r="T9355">
        <v>73</v>
      </c>
      <c r="U9355">
        <v>330.92155182043598</v>
      </c>
      <c r="V9355">
        <v>3.9893617021276497E-3</v>
      </c>
      <c r="W9355">
        <v>967319.10001161695</v>
      </c>
      <c r="X9355" t="s">
        <v>39</v>
      </c>
      <c r="Y9355">
        <f>1-409-308-5982</f>
        <v>-6698</v>
      </c>
    </row>
    <row r="9356" spans="1:25" x14ac:dyDescent="0.35">
      <c r="A9356">
        <v>36.6547145384244</v>
      </c>
      <c r="B9356">
        <v>-124.384177038213</v>
      </c>
      <c r="C9356" t="s">
        <v>29</v>
      </c>
      <c r="D9356">
        <v>21.7448774081669</v>
      </c>
      <c r="E9356">
        <v>5</v>
      </c>
      <c r="F9356">
        <v>1819</v>
      </c>
      <c r="G9356">
        <v>2</v>
      </c>
      <c r="H9356">
        <v>1</v>
      </c>
      <c r="I9356">
        <v>2008</v>
      </c>
      <c r="J9356">
        <v>1</v>
      </c>
      <c r="K9356">
        <v>1</v>
      </c>
      <c r="L9356">
        <v>1</v>
      </c>
      <c r="M9356">
        <v>3</v>
      </c>
      <c r="N9356" t="s">
        <v>41</v>
      </c>
      <c r="O9356" t="s">
        <v>32</v>
      </c>
      <c r="P9356">
        <v>14.5139503232376</v>
      </c>
      <c r="Q9356">
        <v>1.49600617234727</v>
      </c>
      <c r="R9356">
        <v>0.89407649595588101</v>
      </c>
      <c r="S9356">
        <v>45</v>
      </c>
      <c r="T9356">
        <v>31</v>
      </c>
      <c r="U9356">
        <v>943.26759003090501</v>
      </c>
      <c r="V9356">
        <v>1.6492578339747099E-3</v>
      </c>
      <c r="W9356">
        <v>2061912.5801045301</v>
      </c>
      <c r="X9356" t="s">
        <v>40</v>
      </c>
      <c r="Y9356">
        <f>1-521-414-7949</f>
        <v>-8883</v>
      </c>
    </row>
    <row r="9357" spans="1:25" x14ac:dyDescent="0.35">
      <c r="A9357">
        <v>41.261467736208601</v>
      </c>
      <c r="B9357">
        <v>-119.91318107098699</v>
      </c>
      <c r="C9357" t="s">
        <v>29</v>
      </c>
      <c r="D9357">
        <v>47.376236991822502</v>
      </c>
      <c r="E9357">
        <v>7</v>
      </c>
      <c r="F9357">
        <v>4207</v>
      </c>
      <c r="G9357">
        <v>2</v>
      </c>
      <c r="H9357">
        <v>1</v>
      </c>
      <c r="I9357">
        <v>2002</v>
      </c>
      <c r="J9357">
        <v>1</v>
      </c>
      <c r="K9357">
        <v>1</v>
      </c>
      <c r="L9357">
        <v>0</v>
      </c>
      <c r="M9357">
        <v>13</v>
      </c>
      <c r="N9357" t="s">
        <v>41</v>
      </c>
      <c r="O9357" t="s">
        <v>32</v>
      </c>
      <c r="P9357">
        <v>7.69355854599561</v>
      </c>
      <c r="Q9357">
        <v>1.9605363661388899</v>
      </c>
      <c r="R9357">
        <v>2.7625551253190999</v>
      </c>
      <c r="S9357">
        <v>3</v>
      </c>
      <c r="T9357">
        <v>37</v>
      </c>
      <c r="U9357">
        <v>273.42581513129602</v>
      </c>
      <c r="V9357">
        <v>3.0900879486569998E-3</v>
      </c>
      <c r="W9357">
        <v>1405238.4741749701</v>
      </c>
      <c r="X9357" t="s">
        <v>36</v>
      </c>
      <c r="Y9357">
        <f>1-781-481-4228</f>
        <v>-5489</v>
      </c>
    </row>
    <row r="9358" spans="1:25" x14ac:dyDescent="0.35">
      <c r="A9358">
        <v>41.033754388344697</v>
      </c>
      <c r="B9358">
        <v>-119.385188796657</v>
      </c>
      <c r="C9358" t="s">
        <v>34</v>
      </c>
      <c r="D9358">
        <v>5.22747324591767</v>
      </c>
      <c r="E9358">
        <v>4</v>
      </c>
      <c r="F9358">
        <v>1541</v>
      </c>
      <c r="G9358">
        <v>5</v>
      </c>
      <c r="H9358">
        <v>3</v>
      </c>
      <c r="I9358">
        <v>1987</v>
      </c>
      <c r="J9358">
        <v>1</v>
      </c>
      <c r="K9358">
        <v>0</v>
      </c>
      <c r="L9358">
        <v>1</v>
      </c>
      <c r="M9358">
        <v>8</v>
      </c>
      <c r="N9358" t="s">
        <v>41</v>
      </c>
      <c r="O9358" t="s">
        <v>30</v>
      </c>
      <c r="P9358">
        <v>11.5090891082867</v>
      </c>
      <c r="Q9358">
        <v>0.56332715481542495</v>
      </c>
      <c r="R9358">
        <v>4.2851517453591699</v>
      </c>
      <c r="S9358">
        <v>90</v>
      </c>
      <c r="T9358">
        <v>60</v>
      </c>
      <c r="U9358">
        <v>251.83026670747199</v>
      </c>
      <c r="V9358">
        <v>5.1914341336794199E-3</v>
      </c>
      <c r="W9358">
        <v>969621.34525812196</v>
      </c>
      <c r="X9358" t="s">
        <v>44</v>
      </c>
      <c r="Y9358">
        <f>1-543-373-7095</f>
        <v>-8010</v>
      </c>
    </row>
    <row r="9359" spans="1:25" x14ac:dyDescent="0.35">
      <c r="A9359">
        <v>38.243067213905803</v>
      </c>
      <c r="B9359">
        <v>-122.25723581949801</v>
      </c>
      <c r="C9359" t="s">
        <v>25</v>
      </c>
      <c r="D9359">
        <v>28.2136752225077</v>
      </c>
      <c r="E9359">
        <v>3</v>
      </c>
      <c r="F9359">
        <v>3559</v>
      </c>
      <c r="G9359">
        <v>5</v>
      </c>
      <c r="H9359">
        <v>3</v>
      </c>
      <c r="I9359">
        <v>1968</v>
      </c>
      <c r="J9359">
        <v>0</v>
      </c>
      <c r="K9359">
        <v>1</v>
      </c>
      <c r="L9359">
        <v>0</v>
      </c>
      <c r="M9359">
        <v>8</v>
      </c>
      <c r="N9359" t="s">
        <v>41</v>
      </c>
      <c r="O9359" t="s">
        <v>30</v>
      </c>
      <c r="P9359">
        <v>5.1874291968140103</v>
      </c>
      <c r="Q9359">
        <v>1.25635001319901</v>
      </c>
      <c r="R9359">
        <v>1.1022273760819099</v>
      </c>
      <c r="S9359">
        <v>97</v>
      </c>
      <c r="T9359">
        <v>49</v>
      </c>
      <c r="U9359">
        <v>678.36556264695002</v>
      </c>
      <c r="V9359">
        <v>2.2478224220286599E-3</v>
      </c>
      <c r="W9359">
        <v>2818352.4688358698</v>
      </c>
      <c r="X9359" t="s">
        <v>38</v>
      </c>
      <c r="Y9359">
        <f>1-902-793-4467</f>
        <v>-6161</v>
      </c>
    </row>
    <row r="9360" spans="1:25" x14ac:dyDescent="0.35">
      <c r="A9360">
        <v>33.553462213643101</v>
      </c>
      <c r="B9360">
        <v>-117.79399797111</v>
      </c>
      <c r="C9360" t="s">
        <v>25</v>
      </c>
      <c r="D9360">
        <v>8.2305765470006804</v>
      </c>
      <c r="E9360">
        <v>5</v>
      </c>
      <c r="F9360">
        <v>2721</v>
      </c>
      <c r="G9360">
        <v>3</v>
      </c>
      <c r="H9360">
        <v>1</v>
      </c>
      <c r="I9360">
        <v>2005</v>
      </c>
      <c r="J9360">
        <v>1</v>
      </c>
      <c r="K9360">
        <v>0</v>
      </c>
      <c r="L9360">
        <v>1</v>
      </c>
      <c r="M9360">
        <v>11</v>
      </c>
      <c r="N9360" t="s">
        <v>37</v>
      </c>
      <c r="O9360" t="s">
        <v>32</v>
      </c>
      <c r="P9360">
        <v>12.9259434977134</v>
      </c>
      <c r="Q9360">
        <v>2.1473527471184899</v>
      </c>
      <c r="R9360">
        <v>6.72325317470301</v>
      </c>
      <c r="S9360">
        <v>172</v>
      </c>
      <c r="T9360">
        <v>69</v>
      </c>
      <c r="U9360">
        <v>995.366776752889</v>
      </c>
      <c r="V9360">
        <v>4.0426313855200296E-3</v>
      </c>
      <c r="W9360">
        <v>3036620.0315146502</v>
      </c>
      <c r="X9360" t="s">
        <v>39</v>
      </c>
      <c r="Y9360">
        <f>1-565-243-7263</f>
        <v>-8070</v>
      </c>
    </row>
    <row r="9361" spans="1:25" x14ac:dyDescent="0.35">
      <c r="A9361">
        <v>36.410882001222703</v>
      </c>
      <c r="B9361">
        <v>-120.35038747024799</v>
      </c>
      <c r="C9361" t="s">
        <v>25</v>
      </c>
      <c r="D9361">
        <v>44.829506799986703</v>
      </c>
      <c r="E9361">
        <v>0</v>
      </c>
      <c r="F9361">
        <v>4849</v>
      </c>
      <c r="G9361">
        <v>2</v>
      </c>
      <c r="H9361">
        <v>3</v>
      </c>
      <c r="I9361">
        <v>1996</v>
      </c>
      <c r="J9361">
        <v>1</v>
      </c>
      <c r="K9361">
        <v>0</v>
      </c>
      <c r="L9361">
        <v>0</v>
      </c>
      <c r="M9361">
        <v>11</v>
      </c>
      <c r="N9361" t="s">
        <v>37</v>
      </c>
      <c r="O9361" t="s">
        <v>32</v>
      </c>
      <c r="P9361">
        <v>14.0669403832095</v>
      </c>
      <c r="Q9361">
        <v>1.3755715850464401</v>
      </c>
      <c r="R9361">
        <v>3.29276144173161</v>
      </c>
      <c r="S9361">
        <v>91</v>
      </c>
      <c r="T9361">
        <v>25</v>
      </c>
      <c r="U9361">
        <v>229.20771815695301</v>
      </c>
      <c r="V9361">
        <v>2.2685089709218302E-3</v>
      </c>
      <c r="W9361">
        <v>1466782.1280399601</v>
      </c>
      <c r="X9361" t="s">
        <v>44</v>
      </c>
      <c r="Y9361">
        <f>1-216-360-7045</f>
        <v>-7620</v>
      </c>
    </row>
    <row r="9362" spans="1:25" x14ac:dyDescent="0.35">
      <c r="A9362">
        <v>36.793606317523803</v>
      </c>
      <c r="B9362">
        <v>-119.29138645699599</v>
      </c>
      <c r="C9362" t="s">
        <v>29</v>
      </c>
      <c r="D9362">
        <v>28.1921489351442</v>
      </c>
      <c r="E9362">
        <v>6</v>
      </c>
      <c r="F9362">
        <v>2322</v>
      </c>
      <c r="G9362">
        <v>4</v>
      </c>
      <c r="H9362">
        <v>3</v>
      </c>
      <c r="I9362">
        <v>1980</v>
      </c>
      <c r="J9362">
        <v>0</v>
      </c>
      <c r="K9362">
        <v>1</v>
      </c>
      <c r="L9362">
        <v>0</v>
      </c>
      <c r="M9362">
        <v>12</v>
      </c>
      <c r="N9362" t="s">
        <v>35</v>
      </c>
      <c r="O9362" t="s">
        <v>27</v>
      </c>
      <c r="P9362">
        <v>5.7939236364254603</v>
      </c>
      <c r="Q9362">
        <v>1.9517462787390001</v>
      </c>
      <c r="R9362">
        <v>0.18985877970038501</v>
      </c>
      <c r="S9362">
        <v>96</v>
      </c>
      <c r="T9362">
        <v>71</v>
      </c>
      <c r="U9362">
        <v>826.39437082923598</v>
      </c>
      <c r="V9362">
        <v>5.1679586563307496E-3</v>
      </c>
      <c r="W9362">
        <v>2259949.07389588</v>
      </c>
      <c r="X9362" t="s">
        <v>40</v>
      </c>
      <c r="Y9362">
        <f>1-653-104-8190</f>
        <v>-8946</v>
      </c>
    </row>
    <row r="9363" spans="1:25" x14ac:dyDescent="0.35">
      <c r="A9363">
        <v>38.049726347360298</v>
      </c>
      <c r="B9363">
        <v>-119.043985806067</v>
      </c>
      <c r="C9363" t="s">
        <v>34</v>
      </c>
      <c r="D9363">
        <v>10.794301617075501</v>
      </c>
      <c r="E9363">
        <v>3</v>
      </c>
      <c r="F9363">
        <v>4746</v>
      </c>
      <c r="G9363">
        <v>2</v>
      </c>
      <c r="H9363">
        <v>3</v>
      </c>
      <c r="I9363">
        <v>2001</v>
      </c>
      <c r="J9363">
        <v>1</v>
      </c>
      <c r="K9363">
        <v>0</v>
      </c>
      <c r="L9363">
        <v>0</v>
      </c>
      <c r="M9363">
        <v>3</v>
      </c>
      <c r="N9363" t="s">
        <v>35</v>
      </c>
      <c r="O9363" t="s">
        <v>30</v>
      </c>
      <c r="P9363">
        <v>8.1140495295409192</v>
      </c>
      <c r="Q9363">
        <v>1.39573938720494</v>
      </c>
      <c r="R9363">
        <v>1.84384087820558</v>
      </c>
      <c r="S9363">
        <v>195</v>
      </c>
      <c r="T9363">
        <v>33</v>
      </c>
      <c r="U9363">
        <v>790.556475507458</v>
      </c>
      <c r="V9363">
        <v>6.3211125158027797E-4</v>
      </c>
      <c r="W9363">
        <v>3906432.3973964802</v>
      </c>
      <c r="X9363" t="s">
        <v>38</v>
      </c>
      <c r="Y9363">
        <f>1-657-698-2998</f>
        <v>-4352</v>
      </c>
    </row>
    <row r="9364" spans="1:25" x14ac:dyDescent="0.35">
      <c r="A9364">
        <v>37.428652826283098</v>
      </c>
      <c r="B9364">
        <v>-118.416706048425</v>
      </c>
      <c r="C9364" t="s">
        <v>25</v>
      </c>
      <c r="D9364">
        <v>5.3507816862748099</v>
      </c>
      <c r="E9364">
        <v>5</v>
      </c>
      <c r="F9364">
        <v>4519</v>
      </c>
      <c r="G9364">
        <v>4</v>
      </c>
      <c r="H9364">
        <v>2</v>
      </c>
      <c r="I9364">
        <v>2013</v>
      </c>
      <c r="J9364">
        <v>0</v>
      </c>
      <c r="K9364">
        <v>1</v>
      </c>
      <c r="L9364">
        <v>0</v>
      </c>
      <c r="M9364">
        <v>4</v>
      </c>
      <c r="N9364" t="s">
        <v>35</v>
      </c>
      <c r="O9364" t="s">
        <v>32</v>
      </c>
      <c r="P9364">
        <v>10.436749201581801</v>
      </c>
      <c r="Q9364">
        <v>1.19625428429406</v>
      </c>
      <c r="R9364">
        <v>1.8064270682437399E-2</v>
      </c>
      <c r="S9364">
        <v>187</v>
      </c>
      <c r="T9364">
        <v>44</v>
      </c>
      <c r="U9364">
        <v>500.41239667440698</v>
      </c>
      <c r="V9364">
        <v>8.8515158220845303E-4</v>
      </c>
      <c r="W9364">
        <v>2669134.91300742</v>
      </c>
      <c r="X9364" t="s">
        <v>36</v>
      </c>
      <c r="Y9364">
        <f>1-675-118-5714</f>
        <v>-6506</v>
      </c>
    </row>
    <row r="9365" spans="1:25" x14ac:dyDescent="0.35">
      <c r="A9365">
        <v>33.364658631036498</v>
      </c>
      <c r="B9365">
        <v>-115.42930360220301</v>
      </c>
      <c r="C9365" t="s">
        <v>34</v>
      </c>
      <c r="D9365">
        <v>34.703537146668801</v>
      </c>
      <c r="E9365">
        <v>7</v>
      </c>
      <c r="F9365">
        <v>1337</v>
      </c>
      <c r="G9365">
        <v>2</v>
      </c>
      <c r="H9365">
        <v>1</v>
      </c>
      <c r="I9365">
        <v>2015</v>
      </c>
      <c r="J9365">
        <v>1</v>
      </c>
      <c r="K9365">
        <v>0</v>
      </c>
      <c r="L9365">
        <v>1</v>
      </c>
      <c r="M9365">
        <v>8</v>
      </c>
      <c r="N9365" t="s">
        <v>37</v>
      </c>
      <c r="O9365" t="s">
        <v>32</v>
      </c>
      <c r="P9365">
        <v>8.8486523102994994</v>
      </c>
      <c r="Q9365">
        <v>1.52604170529436</v>
      </c>
      <c r="R9365">
        <v>8.3594016874615509</v>
      </c>
      <c r="S9365">
        <v>9</v>
      </c>
      <c r="T9365">
        <v>25</v>
      </c>
      <c r="U9365">
        <v>910.24808227923097</v>
      </c>
      <c r="V9365">
        <v>5.9835452505609503E-3</v>
      </c>
      <c r="W9365">
        <v>1478949.5978331999</v>
      </c>
      <c r="X9365" t="s">
        <v>31</v>
      </c>
      <c r="Y9365">
        <f>1-399-875-7000</f>
        <v>-8273</v>
      </c>
    </row>
    <row r="9366" spans="1:25" x14ac:dyDescent="0.35">
      <c r="A9366">
        <v>32.601414619871399</v>
      </c>
      <c r="B9366">
        <v>-115.415245023598</v>
      </c>
      <c r="C9366" t="s">
        <v>25</v>
      </c>
      <c r="D9366">
        <v>48.356500781706998</v>
      </c>
      <c r="E9366">
        <v>4</v>
      </c>
      <c r="F9366">
        <v>3491</v>
      </c>
      <c r="G9366">
        <v>4</v>
      </c>
      <c r="H9366">
        <v>3</v>
      </c>
      <c r="I9366">
        <v>1996</v>
      </c>
      <c r="J9366">
        <v>0</v>
      </c>
      <c r="K9366">
        <v>0</v>
      </c>
      <c r="L9366">
        <v>1</v>
      </c>
      <c r="M9366">
        <v>9</v>
      </c>
      <c r="N9366" t="s">
        <v>26</v>
      </c>
      <c r="O9366" t="s">
        <v>32</v>
      </c>
      <c r="P9366">
        <v>12.427291012820801</v>
      </c>
      <c r="Q9366">
        <v>2.20713738539057</v>
      </c>
      <c r="R9366">
        <v>8.6242490460388694</v>
      </c>
      <c r="S9366">
        <v>92</v>
      </c>
      <c r="T9366">
        <v>50</v>
      </c>
      <c r="U9366">
        <v>431.77232126752398</v>
      </c>
      <c r="V9366">
        <v>2.57805786307648E-3</v>
      </c>
      <c r="W9366">
        <v>1821582.87142678</v>
      </c>
      <c r="X9366" t="s">
        <v>28</v>
      </c>
      <c r="Y9366">
        <f>1-963-794-1290</f>
        <v>-3046</v>
      </c>
    </row>
    <row r="9367" spans="1:25" x14ac:dyDescent="0.35">
      <c r="A9367">
        <v>40.4376632390221</v>
      </c>
      <c r="B9367">
        <v>-121.075322457601</v>
      </c>
      <c r="C9367" t="s">
        <v>25</v>
      </c>
      <c r="D9367">
        <v>17.927443046946099</v>
      </c>
      <c r="E9367">
        <v>5</v>
      </c>
      <c r="F9367">
        <v>2741</v>
      </c>
      <c r="G9367">
        <v>1</v>
      </c>
      <c r="H9367">
        <v>2</v>
      </c>
      <c r="I9367">
        <v>1970</v>
      </c>
      <c r="J9367">
        <v>1</v>
      </c>
      <c r="K9367">
        <v>0</v>
      </c>
      <c r="L9367">
        <v>1</v>
      </c>
      <c r="M9367">
        <v>6</v>
      </c>
      <c r="N9367" t="s">
        <v>37</v>
      </c>
      <c r="O9367" t="s">
        <v>27</v>
      </c>
      <c r="P9367">
        <v>2.7603080986317101</v>
      </c>
      <c r="Q9367">
        <v>2.0046144452994099</v>
      </c>
      <c r="R9367">
        <v>2.01454011495382</v>
      </c>
      <c r="S9367">
        <v>196</v>
      </c>
      <c r="T9367">
        <v>50</v>
      </c>
      <c r="U9367">
        <v>326.14800326490399</v>
      </c>
      <c r="V9367">
        <v>2.1889821233126499E-3</v>
      </c>
      <c r="W9367">
        <v>999723.17154039105</v>
      </c>
      <c r="X9367" t="s">
        <v>42</v>
      </c>
      <c r="Y9367">
        <f>1-389-212-6965</f>
        <v>-7565</v>
      </c>
    </row>
    <row r="9368" spans="1:25" x14ac:dyDescent="0.35">
      <c r="A9368">
        <v>36.106144461090302</v>
      </c>
      <c r="B9368">
        <v>-116.52672702679099</v>
      </c>
      <c r="C9368" t="s">
        <v>34</v>
      </c>
      <c r="D9368">
        <v>7.3331545833712202</v>
      </c>
      <c r="E9368">
        <v>4</v>
      </c>
      <c r="F9368">
        <v>2732</v>
      </c>
      <c r="G9368">
        <v>3</v>
      </c>
      <c r="H9368">
        <v>2</v>
      </c>
      <c r="I9368">
        <v>1969</v>
      </c>
      <c r="J9368">
        <v>1</v>
      </c>
      <c r="K9368">
        <v>1</v>
      </c>
      <c r="L9368">
        <v>0</v>
      </c>
      <c r="M9368">
        <v>14</v>
      </c>
      <c r="N9368" t="s">
        <v>37</v>
      </c>
      <c r="O9368" t="s">
        <v>30</v>
      </c>
      <c r="P9368">
        <v>5.7763076193946103</v>
      </c>
      <c r="Q9368">
        <v>1.6209806481431299</v>
      </c>
      <c r="R9368">
        <v>4.01598776944072</v>
      </c>
      <c r="S9368">
        <v>151</v>
      </c>
      <c r="T9368">
        <v>38</v>
      </c>
      <c r="U9368">
        <v>494.222264447236</v>
      </c>
      <c r="V9368">
        <v>5.1244509516837396E-3</v>
      </c>
      <c r="W9368">
        <v>1667837.75133467</v>
      </c>
      <c r="X9368" t="s">
        <v>33</v>
      </c>
      <c r="Y9368">
        <f>1-547-959-9043</f>
        <v>-10548</v>
      </c>
    </row>
    <row r="9369" spans="1:25" x14ac:dyDescent="0.35">
      <c r="A9369">
        <v>41.732190960213302</v>
      </c>
      <c r="B9369">
        <v>-121.56381734129999</v>
      </c>
      <c r="C9369" t="s">
        <v>25</v>
      </c>
      <c r="D9369">
        <v>31.8123001213633</v>
      </c>
      <c r="E9369">
        <v>7</v>
      </c>
      <c r="F9369">
        <v>3013</v>
      </c>
      <c r="G9369">
        <v>5</v>
      </c>
      <c r="H9369">
        <v>2</v>
      </c>
      <c r="I9369">
        <v>2021</v>
      </c>
      <c r="J9369">
        <v>0</v>
      </c>
      <c r="K9369">
        <v>1</v>
      </c>
      <c r="L9369">
        <v>1</v>
      </c>
      <c r="M9369">
        <v>5</v>
      </c>
      <c r="N9369" t="s">
        <v>37</v>
      </c>
      <c r="O9369" t="s">
        <v>27</v>
      </c>
      <c r="P9369">
        <v>4.0331279272664098</v>
      </c>
      <c r="Q9369">
        <v>1.1731313423071299</v>
      </c>
      <c r="R9369">
        <v>4.7728928432473099</v>
      </c>
      <c r="S9369">
        <v>6</v>
      </c>
      <c r="T9369">
        <v>76</v>
      </c>
      <c r="U9369">
        <v>783.13779088482602</v>
      </c>
      <c r="V9369">
        <v>1.6594756057085899E-3</v>
      </c>
      <c r="W9369">
        <v>2848904.7728826301</v>
      </c>
      <c r="X9369" t="s">
        <v>31</v>
      </c>
      <c r="Y9369">
        <f>1-934-706-2586</f>
        <v>-4225</v>
      </c>
    </row>
    <row r="9370" spans="1:25" x14ac:dyDescent="0.35">
      <c r="A9370">
        <v>34.287849417781501</v>
      </c>
      <c r="B9370">
        <v>-118.00760116261699</v>
      </c>
      <c r="C9370" t="s">
        <v>25</v>
      </c>
      <c r="D9370">
        <v>22.628052039894801</v>
      </c>
      <c r="E9370">
        <v>3</v>
      </c>
      <c r="F9370">
        <v>2610</v>
      </c>
      <c r="G9370">
        <v>3</v>
      </c>
      <c r="H9370">
        <v>2</v>
      </c>
      <c r="I9370">
        <v>2003</v>
      </c>
      <c r="J9370">
        <v>1</v>
      </c>
      <c r="K9370">
        <v>0</v>
      </c>
      <c r="L9370">
        <v>0</v>
      </c>
      <c r="M9370">
        <v>5</v>
      </c>
      <c r="N9370" t="s">
        <v>37</v>
      </c>
      <c r="O9370" t="s">
        <v>32</v>
      </c>
      <c r="P9370">
        <v>9.4136755078131404</v>
      </c>
      <c r="Q9370">
        <v>1.93505942083702</v>
      </c>
      <c r="R9370">
        <v>4.9924707812378699</v>
      </c>
      <c r="S9370">
        <v>99</v>
      </c>
      <c r="T9370">
        <v>39</v>
      </c>
      <c r="U9370">
        <v>405.86512040087899</v>
      </c>
      <c r="V9370">
        <v>1.91570881226053E-3</v>
      </c>
      <c r="W9370">
        <v>1389907.8665372101</v>
      </c>
      <c r="X9370" t="s">
        <v>33</v>
      </c>
      <c r="Y9370">
        <f>1-676-552-4355</f>
        <v>-5582</v>
      </c>
    </row>
    <row r="9371" spans="1:25" x14ac:dyDescent="0.35">
      <c r="A9371">
        <v>40.449272848342197</v>
      </c>
      <c r="B9371">
        <v>-121.410178889338</v>
      </c>
      <c r="C9371" t="s">
        <v>29</v>
      </c>
      <c r="D9371">
        <v>18.108851178619101</v>
      </c>
      <c r="E9371">
        <v>0</v>
      </c>
      <c r="F9371">
        <v>530</v>
      </c>
      <c r="G9371">
        <v>5</v>
      </c>
      <c r="H9371">
        <v>1</v>
      </c>
      <c r="I9371">
        <v>2021</v>
      </c>
      <c r="J9371">
        <v>1</v>
      </c>
      <c r="K9371">
        <v>0</v>
      </c>
      <c r="L9371">
        <v>1</v>
      </c>
      <c r="M9371">
        <v>11</v>
      </c>
      <c r="N9371" t="s">
        <v>35</v>
      </c>
      <c r="O9371" t="s">
        <v>27</v>
      </c>
      <c r="P9371">
        <v>8.7811624941607906</v>
      </c>
      <c r="Q9371">
        <v>1.3457979174305901</v>
      </c>
      <c r="R9371">
        <v>1.30048722262607</v>
      </c>
      <c r="S9371">
        <v>154</v>
      </c>
      <c r="T9371">
        <v>77</v>
      </c>
      <c r="U9371">
        <v>794.23861767351002</v>
      </c>
      <c r="V9371">
        <v>2.0754716981132001E-2</v>
      </c>
      <c r="W9371">
        <v>816960.91442368098</v>
      </c>
      <c r="X9371" t="s">
        <v>33</v>
      </c>
      <c r="Y9371">
        <f>1-561-129-9886</f>
        <v>-10575</v>
      </c>
    </row>
    <row r="9372" spans="1:25" x14ac:dyDescent="0.35">
      <c r="A9372">
        <v>40.5487899732126</v>
      </c>
      <c r="B9372">
        <v>-122.727280455727</v>
      </c>
      <c r="C9372" t="s">
        <v>34</v>
      </c>
      <c r="D9372">
        <v>41.9233406363226</v>
      </c>
      <c r="E9372">
        <v>1</v>
      </c>
      <c r="F9372">
        <v>1594</v>
      </c>
      <c r="G9372">
        <v>4</v>
      </c>
      <c r="H9372">
        <v>2</v>
      </c>
      <c r="I9372">
        <v>1991</v>
      </c>
      <c r="J9372">
        <v>1</v>
      </c>
      <c r="K9372">
        <v>1</v>
      </c>
      <c r="L9372">
        <v>0</v>
      </c>
      <c r="M9372">
        <v>9</v>
      </c>
      <c r="N9372" t="s">
        <v>37</v>
      </c>
      <c r="O9372" t="s">
        <v>30</v>
      </c>
      <c r="P9372">
        <v>4.1525705930270398</v>
      </c>
      <c r="Q9372">
        <v>1.4955581566398</v>
      </c>
      <c r="R9372">
        <v>2.7422556726324898</v>
      </c>
      <c r="S9372">
        <v>139</v>
      </c>
      <c r="T9372">
        <v>36</v>
      </c>
      <c r="U9372">
        <v>375.218106730638</v>
      </c>
      <c r="V9372">
        <v>5.6461731493099099E-3</v>
      </c>
      <c r="W9372">
        <v>944072.19018094405</v>
      </c>
      <c r="X9372" t="s">
        <v>39</v>
      </c>
      <c r="Y9372">
        <f>1-565-993-6049</f>
        <v>-7606</v>
      </c>
    </row>
    <row r="9373" spans="1:25" x14ac:dyDescent="0.35">
      <c r="A9373">
        <v>34.125008877076198</v>
      </c>
      <c r="B9373">
        <v>-116.05916655464399</v>
      </c>
      <c r="C9373" t="s">
        <v>29</v>
      </c>
      <c r="D9373">
        <v>25.9081924109055</v>
      </c>
      <c r="E9373">
        <v>5</v>
      </c>
      <c r="F9373">
        <v>4256</v>
      </c>
      <c r="G9373">
        <v>1</v>
      </c>
      <c r="H9373">
        <v>1</v>
      </c>
      <c r="I9373">
        <v>2012</v>
      </c>
      <c r="J9373">
        <v>0</v>
      </c>
      <c r="K9373">
        <v>0</v>
      </c>
      <c r="L9373">
        <v>0</v>
      </c>
      <c r="M9373">
        <v>12</v>
      </c>
      <c r="N9373" t="s">
        <v>26</v>
      </c>
      <c r="O9373" t="s">
        <v>32</v>
      </c>
      <c r="P9373">
        <v>14.4446972757134</v>
      </c>
      <c r="Q9373">
        <v>1.5644838269978301</v>
      </c>
      <c r="R9373">
        <v>7.69086947331785</v>
      </c>
      <c r="S9373">
        <v>9</v>
      </c>
      <c r="T9373">
        <v>52</v>
      </c>
      <c r="U9373">
        <v>899.61165345023096</v>
      </c>
      <c r="V9373">
        <v>2.8195488721804501E-3</v>
      </c>
      <c r="W9373">
        <v>3935045.8813033001</v>
      </c>
      <c r="X9373" t="s">
        <v>40</v>
      </c>
      <c r="Y9373">
        <f>1-487-743-6357</f>
        <v>-7586</v>
      </c>
    </row>
    <row r="9374" spans="1:25" x14ac:dyDescent="0.35">
      <c r="A9374">
        <v>36.646519577635402</v>
      </c>
      <c r="B9374">
        <v>-119.340518756105</v>
      </c>
      <c r="C9374" t="s">
        <v>34</v>
      </c>
      <c r="D9374">
        <v>36.460332080693597</v>
      </c>
      <c r="E9374">
        <v>5</v>
      </c>
      <c r="F9374">
        <v>2638</v>
      </c>
      <c r="G9374">
        <v>1</v>
      </c>
      <c r="H9374">
        <v>2</v>
      </c>
      <c r="I9374">
        <v>1982</v>
      </c>
      <c r="J9374">
        <v>0</v>
      </c>
      <c r="K9374">
        <v>1</v>
      </c>
      <c r="L9374">
        <v>1</v>
      </c>
      <c r="M9374">
        <v>5</v>
      </c>
      <c r="N9374" t="s">
        <v>26</v>
      </c>
      <c r="O9374" t="s">
        <v>30</v>
      </c>
      <c r="P9374">
        <v>4.5959242224798498</v>
      </c>
      <c r="Q9374">
        <v>2.25574975699445</v>
      </c>
      <c r="R9374">
        <v>5.9584265764614797</v>
      </c>
      <c r="S9374">
        <v>20</v>
      </c>
      <c r="T9374">
        <v>22</v>
      </c>
      <c r="U9374">
        <v>235.57723459430801</v>
      </c>
      <c r="V9374">
        <v>1.89537528430629E-3</v>
      </c>
      <c r="W9374">
        <v>781670.31342047697</v>
      </c>
      <c r="X9374" t="s">
        <v>28</v>
      </c>
      <c r="Y9374">
        <f>1-705-821-9051</f>
        <v>-10576</v>
      </c>
    </row>
    <row r="9375" spans="1:25" x14ac:dyDescent="0.35">
      <c r="A9375">
        <v>36.658887899862499</v>
      </c>
      <c r="B9375">
        <v>-118.002307382219</v>
      </c>
      <c r="C9375" t="s">
        <v>25</v>
      </c>
      <c r="D9375">
        <v>27.871502996595598</v>
      </c>
      <c r="E9375">
        <v>3</v>
      </c>
      <c r="F9375">
        <v>3382</v>
      </c>
      <c r="G9375">
        <v>2</v>
      </c>
      <c r="H9375">
        <v>2</v>
      </c>
      <c r="I9375">
        <v>1955</v>
      </c>
      <c r="J9375">
        <v>1</v>
      </c>
      <c r="K9375">
        <v>1</v>
      </c>
      <c r="L9375">
        <v>1</v>
      </c>
      <c r="M9375">
        <v>11</v>
      </c>
      <c r="N9375" t="s">
        <v>37</v>
      </c>
      <c r="O9375" t="s">
        <v>30</v>
      </c>
      <c r="P9375">
        <v>4.7007042660482199</v>
      </c>
      <c r="Q9375">
        <v>1.79719690367408</v>
      </c>
      <c r="R9375">
        <v>0.98329860715099004</v>
      </c>
      <c r="S9375">
        <v>43</v>
      </c>
      <c r="T9375">
        <v>36</v>
      </c>
      <c r="U9375">
        <v>418.72191899030997</v>
      </c>
      <c r="V9375">
        <v>3.25251330573625E-3</v>
      </c>
      <c r="W9375">
        <v>1702626.4963847499</v>
      </c>
      <c r="X9375" t="s">
        <v>39</v>
      </c>
      <c r="Y9375">
        <f>1-344-541-4041</f>
        <v>-4925</v>
      </c>
    </row>
    <row r="9376" spans="1:25" x14ac:dyDescent="0.35">
      <c r="A9376">
        <v>37.3172937382813</v>
      </c>
      <c r="B9376">
        <v>-121.817536851751</v>
      </c>
      <c r="C9376" t="s">
        <v>34</v>
      </c>
      <c r="D9376">
        <v>19.346104593698598</v>
      </c>
      <c r="E9376">
        <v>0</v>
      </c>
      <c r="F9376">
        <v>589</v>
      </c>
      <c r="G9376">
        <v>5</v>
      </c>
      <c r="H9376">
        <v>2</v>
      </c>
      <c r="I9376">
        <v>2010</v>
      </c>
      <c r="J9376">
        <v>1</v>
      </c>
      <c r="K9376">
        <v>1</v>
      </c>
      <c r="L9376">
        <v>0</v>
      </c>
      <c r="M9376">
        <v>6</v>
      </c>
      <c r="N9376" t="s">
        <v>37</v>
      </c>
      <c r="O9376" t="s">
        <v>30</v>
      </c>
      <c r="P9376">
        <v>10.102450369894701</v>
      </c>
      <c r="Q9376">
        <v>1.66204705605118</v>
      </c>
      <c r="R9376">
        <v>2.1063435763538498</v>
      </c>
      <c r="S9376">
        <v>70</v>
      </c>
      <c r="T9376">
        <v>39</v>
      </c>
      <c r="U9376">
        <v>403.83115830576003</v>
      </c>
      <c r="V9376">
        <v>1.01867572156196E-2</v>
      </c>
      <c r="W9376">
        <v>740429.40753337205</v>
      </c>
      <c r="X9376" t="s">
        <v>40</v>
      </c>
      <c r="Y9376">
        <f>1-365-650-1878</f>
        <v>-2892</v>
      </c>
    </row>
    <row r="9377" spans="1:25" x14ac:dyDescent="0.35">
      <c r="A9377">
        <v>38.926342809142902</v>
      </c>
      <c r="B9377">
        <v>-122.75249895749</v>
      </c>
      <c r="C9377" t="s">
        <v>29</v>
      </c>
      <c r="D9377">
        <v>17.310641565029101</v>
      </c>
      <c r="E9377">
        <v>4</v>
      </c>
      <c r="F9377">
        <v>3569</v>
      </c>
      <c r="G9377">
        <v>5</v>
      </c>
      <c r="H9377">
        <v>1</v>
      </c>
      <c r="I9377">
        <v>1958</v>
      </c>
      <c r="J9377">
        <v>0</v>
      </c>
      <c r="K9377">
        <v>1</v>
      </c>
      <c r="L9377">
        <v>0</v>
      </c>
      <c r="M9377">
        <v>5</v>
      </c>
      <c r="N9377" t="s">
        <v>37</v>
      </c>
      <c r="O9377" t="s">
        <v>32</v>
      </c>
      <c r="P9377">
        <v>4.78028724443325</v>
      </c>
      <c r="Q9377">
        <v>2.194434889299</v>
      </c>
      <c r="R9377">
        <v>2.5759298225446798</v>
      </c>
      <c r="S9377">
        <v>141</v>
      </c>
      <c r="T9377">
        <v>47</v>
      </c>
      <c r="U9377">
        <v>407.98008526647197</v>
      </c>
      <c r="V9377">
        <v>1.4009526478005001E-3</v>
      </c>
      <c r="W9377">
        <v>1759204.2988878801</v>
      </c>
      <c r="X9377" t="s">
        <v>33</v>
      </c>
      <c r="Y9377">
        <f>1-591-319-7463</f>
        <v>-8372</v>
      </c>
    </row>
    <row r="9378" spans="1:25" x14ac:dyDescent="0.35">
      <c r="A9378">
        <v>39.086851913041201</v>
      </c>
      <c r="B9378">
        <v>-118.379418265156</v>
      </c>
      <c r="C9378" t="s">
        <v>29</v>
      </c>
      <c r="D9378">
        <v>27.970061682864699</v>
      </c>
      <c r="E9378">
        <v>8</v>
      </c>
      <c r="F9378">
        <v>695</v>
      </c>
      <c r="G9378">
        <v>1</v>
      </c>
      <c r="H9378">
        <v>1</v>
      </c>
      <c r="I9378">
        <v>2005</v>
      </c>
      <c r="J9378">
        <v>1</v>
      </c>
      <c r="K9378">
        <v>0</v>
      </c>
      <c r="L9378">
        <v>0</v>
      </c>
      <c r="M9378">
        <v>13</v>
      </c>
      <c r="N9378" t="s">
        <v>41</v>
      </c>
      <c r="O9378" t="s">
        <v>27</v>
      </c>
      <c r="P9378">
        <v>10.679003551944399</v>
      </c>
      <c r="Q9378">
        <v>1.6721214452579301</v>
      </c>
      <c r="R9378">
        <v>7.6554342887146998</v>
      </c>
      <c r="S9378">
        <v>175</v>
      </c>
      <c r="T9378">
        <v>67</v>
      </c>
      <c r="U9378">
        <v>622.10646423529897</v>
      </c>
      <c r="V9378">
        <v>1.8705035971223E-2</v>
      </c>
      <c r="W9378">
        <v>548058.80109806499</v>
      </c>
      <c r="X9378" t="s">
        <v>38</v>
      </c>
      <c r="Y9378">
        <f>1-868-624-5253</f>
        <v>-6744</v>
      </c>
    </row>
    <row r="9379" spans="1:25" x14ac:dyDescent="0.35">
      <c r="A9379">
        <v>39.670149503612002</v>
      </c>
      <c r="B9379">
        <v>-120.007558579932</v>
      </c>
      <c r="C9379" t="s">
        <v>29</v>
      </c>
      <c r="D9379">
        <v>37.3199154728823</v>
      </c>
      <c r="E9379">
        <v>7</v>
      </c>
      <c r="F9379">
        <v>3162</v>
      </c>
      <c r="G9379">
        <v>4</v>
      </c>
      <c r="H9379">
        <v>3</v>
      </c>
      <c r="I9379">
        <v>2018</v>
      </c>
      <c r="J9379">
        <v>1</v>
      </c>
      <c r="K9379">
        <v>0</v>
      </c>
      <c r="L9379">
        <v>1</v>
      </c>
      <c r="M9379">
        <v>13</v>
      </c>
      <c r="N9379" t="s">
        <v>26</v>
      </c>
      <c r="O9379" t="s">
        <v>32</v>
      </c>
      <c r="P9379">
        <v>8.8210869267687695</v>
      </c>
      <c r="Q9379">
        <v>0.91742573720169895</v>
      </c>
      <c r="R9379">
        <v>0.12718985969376001</v>
      </c>
      <c r="S9379">
        <v>63</v>
      </c>
      <c r="T9379">
        <v>72</v>
      </c>
      <c r="U9379">
        <v>848.48318270246398</v>
      </c>
      <c r="V9379">
        <v>4.1113219481340897E-3</v>
      </c>
      <c r="W9379">
        <v>3118332.3158106399</v>
      </c>
      <c r="X9379" t="s">
        <v>28</v>
      </c>
      <c r="Y9379">
        <f>1-351-304-3547</f>
        <v>-4201</v>
      </c>
    </row>
    <row r="9380" spans="1:25" x14ac:dyDescent="0.35">
      <c r="A9380">
        <v>39.301046310504198</v>
      </c>
      <c r="B9380">
        <v>-118.27508766294901</v>
      </c>
      <c r="C9380" t="s">
        <v>34</v>
      </c>
      <c r="D9380">
        <v>8.5960137440687703</v>
      </c>
      <c r="E9380">
        <v>2</v>
      </c>
      <c r="F9380">
        <v>1591</v>
      </c>
      <c r="G9380">
        <v>5</v>
      </c>
      <c r="H9380">
        <v>2</v>
      </c>
      <c r="I9380">
        <v>2021</v>
      </c>
      <c r="J9380">
        <v>0</v>
      </c>
      <c r="K9380">
        <v>0</v>
      </c>
      <c r="L9380">
        <v>0</v>
      </c>
      <c r="M9380">
        <v>7</v>
      </c>
      <c r="N9380" t="s">
        <v>41</v>
      </c>
      <c r="O9380" t="s">
        <v>27</v>
      </c>
      <c r="P9380">
        <v>11.8714443498511</v>
      </c>
      <c r="Q9380">
        <v>1.40027388505113</v>
      </c>
      <c r="R9380">
        <v>5.0188377341381898</v>
      </c>
      <c r="S9380">
        <v>108</v>
      </c>
      <c r="T9380">
        <v>68</v>
      </c>
      <c r="U9380">
        <v>589.95277849632805</v>
      </c>
      <c r="V9380">
        <v>4.3997485857950897E-3</v>
      </c>
      <c r="W9380">
        <v>1217156.0799165701</v>
      </c>
      <c r="X9380" t="s">
        <v>39</v>
      </c>
      <c r="Y9380">
        <f>1-810-437-5996</f>
        <v>-7242</v>
      </c>
    </row>
    <row r="9381" spans="1:25" x14ac:dyDescent="0.35">
      <c r="A9381">
        <v>36.0519261129445</v>
      </c>
      <c r="B9381">
        <v>-122.739728647544</v>
      </c>
      <c r="C9381" t="s">
        <v>29</v>
      </c>
      <c r="D9381">
        <v>10.9836306562625</v>
      </c>
      <c r="E9381">
        <v>8</v>
      </c>
      <c r="F9381">
        <v>2963</v>
      </c>
      <c r="G9381">
        <v>5</v>
      </c>
      <c r="H9381">
        <v>2</v>
      </c>
      <c r="I9381">
        <v>1984</v>
      </c>
      <c r="J9381">
        <v>0</v>
      </c>
      <c r="K9381">
        <v>0</v>
      </c>
      <c r="L9381">
        <v>0</v>
      </c>
      <c r="M9381">
        <v>3</v>
      </c>
      <c r="N9381" t="s">
        <v>41</v>
      </c>
      <c r="O9381" t="s">
        <v>27</v>
      </c>
      <c r="P9381">
        <v>9.5307890051804591</v>
      </c>
      <c r="Q9381">
        <v>1.79940757974025</v>
      </c>
      <c r="R9381">
        <v>6.9420290568651799</v>
      </c>
      <c r="S9381">
        <v>183</v>
      </c>
      <c r="T9381">
        <v>48</v>
      </c>
      <c r="U9381">
        <v>330.24008354510403</v>
      </c>
      <c r="V9381">
        <v>1.0124873439081999E-3</v>
      </c>
      <c r="W9381">
        <v>1329640.4408483701</v>
      </c>
      <c r="X9381" t="s">
        <v>43</v>
      </c>
      <c r="Y9381">
        <f>1-772-487-3005</f>
        <v>-4263</v>
      </c>
    </row>
    <row r="9382" spans="1:25" x14ac:dyDescent="0.35">
      <c r="A9382">
        <v>37.006322089214599</v>
      </c>
      <c r="B9382">
        <v>-115.487269564941</v>
      </c>
      <c r="C9382" t="s">
        <v>34</v>
      </c>
      <c r="D9382">
        <v>13.5898674393099</v>
      </c>
      <c r="E9382">
        <v>7</v>
      </c>
      <c r="F9382">
        <v>3628</v>
      </c>
      <c r="G9382">
        <v>3</v>
      </c>
      <c r="H9382">
        <v>2</v>
      </c>
      <c r="I9382">
        <v>1992</v>
      </c>
      <c r="J9382">
        <v>1</v>
      </c>
      <c r="K9382">
        <v>1</v>
      </c>
      <c r="L9382">
        <v>1</v>
      </c>
      <c r="M9382">
        <v>14</v>
      </c>
      <c r="N9382" t="s">
        <v>41</v>
      </c>
      <c r="O9382" t="s">
        <v>27</v>
      </c>
      <c r="P9382">
        <v>7.2702615364862</v>
      </c>
      <c r="Q9382">
        <v>1.19862900650619</v>
      </c>
      <c r="R9382">
        <v>6.2765751440390298</v>
      </c>
      <c r="S9382">
        <v>49</v>
      </c>
      <c r="T9382">
        <v>67</v>
      </c>
      <c r="U9382">
        <v>721.52662526491099</v>
      </c>
      <c r="V9382">
        <v>3.8588754134509301E-3</v>
      </c>
      <c r="W9382">
        <v>3010549.2730500898</v>
      </c>
      <c r="X9382" t="s">
        <v>42</v>
      </c>
      <c r="Y9382">
        <f>1-352-627-1396</f>
        <v>-2374</v>
      </c>
    </row>
    <row r="9383" spans="1:25" x14ac:dyDescent="0.35">
      <c r="A9383">
        <v>39.809952572439698</v>
      </c>
      <c r="B9383">
        <v>-124.17147482039</v>
      </c>
      <c r="C9383" t="s">
        <v>29</v>
      </c>
      <c r="D9383">
        <v>20.2066655032488</v>
      </c>
      <c r="E9383">
        <v>8</v>
      </c>
      <c r="F9383">
        <v>711</v>
      </c>
      <c r="G9383">
        <v>3</v>
      </c>
      <c r="H9383">
        <v>3</v>
      </c>
      <c r="I9383">
        <v>2008</v>
      </c>
      <c r="J9383">
        <v>1</v>
      </c>
      <c r="K9383">
        <v>1</v>
      </c>
      <c r="L9383">
        <v>1</v>
      </c>
      <c r="M9383">
        <v>12</v>
      </c>
      <c r="N9383" t="s">
        <v>37</v>
      </c>
      <c r="O9383" t="s">
        <v>30</v>
      </c>
      <c r="P9383">
        <v>14.8918036114191</v>
      </c>
      <c r="Q9383">
        <v>0.88215605495199201</v>
      </c>
      <c r="R9383">
        <v>2.48562965126307</v>
      </c>
      <c r="S9383">
        <v>68</v>
      </c>
      <c r="T9383">
        <v>43</v>
      </c>
      <c r="U9383">
        <v>332.15248880040002</v>
      </c>
      <c r="V9383">
        <v>1.68776371308016E-2</v>
      </c>
      <c r="W9383">
        <v>752800.85352632403</v>
      </c>
      <c r="X9383" t="s">
        <v>40</v>
      </c>
      <c r="Y9383">
        <f>1-633-534-7517</f>
        <v>-8683</v>
      </c>
    </row>
    <row r="9384" spans="1:25" x14ac:dyDescent="0.35">
      <c r="A9384">
        <v>37.248413937868101</v>
      </c>
      <c r="B9384">
        <v>-117.90967925543799</v>
      </c>
      <c r="C9384" t="s">
        <v>29</v>
      </c>
      <c r="D9384">
        <v>23.2010671374704</v>
      </c>
      <c r="E9384">
        <v>5</v>
      </c>
      <c r="F9384">
        <v>4751</v>
      </c>
      <c r="G9384">
        <v>2</v>
      </c>
      <c r="H9384">
        <v>2</v>
      </c>
      <c r="I9384">
        <v>2013</v>
      </c>
      <c r="J9384">
        <v>1</v>
      </c>
      <c r="K9384">
        <v>0</v>
      </c>
      <c r="L9384">
        <v>0</v>
      </c>
      <c r="M9384">
        <v>3</v>
      </c>
      <c r="N9384" t="s">
        <v>26</v>
      </c>
      <c r="O9384" t="s">
        <v>32</v>
      </c>
      <c r="P9384">
        <v>7.7929423416549604</v>
      </c>
      <c r="Q9384">
        <v>1.74382120361784</v>
      </c>
      <c r="R9384">
        <v>5.1715853376497902</v>
      </c>
      <c r="S9384">
        <v>162</v>
      </c>
      <c r="T9384">
        <v>26</v>
      </c>
      <c r="U9384">
        <v>381.65649007177802</v>
      </c>
      <c r="V9384">
        <v>6.3144601136602804E-4</v>
      </c>
      <c r="W9384">
        <v>2059863.5867888699</v>
      </c>
      <c r="X9384" t="s">
        <v>31</v>
      </c>
      <c r="Y9384">
        <f>1-972-946-2184</f>
        <v>-4101</v>
      </c>
    </row>
    <row r="9385" spans="1:25" x14ac:dyDescent="0.35">
      <c r="A9385">
        <v>40.530349294588198</v>
      </c>
      <c r="B9385">
        <v>-122.016325755408</v>
      </c>
      <c r="C9385" t="s">
        <v>34</v>
      </c>
      <c r="D9385">
        <v>32.6558468370594</v>
      </c>
      <c r="E9385">
        <v>4</v>
      </c>
      <c r="F9385">
        <v>3161</v>
      </c>
      <c r="G9385">
        <v>5</v>
      </c>
      <c r="H9385">
        <v>1</v>
      </c>
      <c r="I9385">
        <v>1977</v>
      </c>
      <c r="J9385">
        <v>0</v>
      </c>
      <c r="K9385">
        <v>1</v>
      </c>
      <c r="L9385">
        <v>0</v>
      </c>
      <c r="M9385">
        <v>8</v>
      </c>
      <c r="N9385" t="s">
        <v>26</v>
      </c>
      <c r="O9385" t="s">
        <v>32</v>
      </c>
      <c r="P9385">
        <v>12.909073925747499</v>
      </c>
      <c r="Q9385">
        <v>0.54158501674332504</v>
      </c>
      <c r="R9385">
        <v>6.5382172433943904</v>
      </c>
      <c r="S9385">
        <v>32</v>
      </c>
      <c r="T9385">
        <v>27</v>
      </c>
      <c r="U9385">
        <v>447.45557852842302</v>
      </c>
      <c r="V9385">
        <v>2.5308446694084102E-3</v>
      </c>
      <c r="W9385">
        <v>1844371.8359515299</v>
      </c>
      <c r="X9385" t="s">
        <v>33</v>
      </c>
      <c r="Y9385">
        <f>1-483-263-3929</f>
        <v>-4674</v>
      </c>
    </row>
    <row r="9386" spans="1:25" x14ac:dyDescent="0.35">
      <c r="A9386">
        <v>39.162512352179299</v>
      </c>
      <c r="B9386">
        <v>-121.92446163985601</v>
      </c>
      <c r="C9386" t="s">
        <v>29</v>
      </c>
      <c r="D9386">
        <v>39.594140106207199</v>
      </c>
      <c r="E9386">
        <v>4</v>
      </c>
      <c r="F9386">
        <v>3544</v>
      </c>
      <c r="G9386">
        <v>3</v>
      </c>
      <c r="H9386">
        <v>1</v>
      </c>
      <c r="I9386">
        <v>2017</v>
      </c>
      <c r="J9386">
        <v>0</v>
      </c>
      <c r="K9386">
        <v>0</v>
      </c>
      <c r="L9386">
        <v>0</v>
      </c>
      <c r="M9386">
        <v>14</v>
      </c>
      <c r="N9386" t="s">
        <v>41</v>
      </c>
      <c r="O9386" t="s">
        <v>32</v>
      </c>
      <c r="P9386">
        <v>9.4250503047166099</v>
      </c>
      <c r="Q9386">
        <v>1.7051495889749599</v>
      </c>
      <c r="R9386">
        <v>3.3427893476605099</v>
      </c>
      <c r="S9386">
        <v>172</v>
      </c>
      <c r="T9386">
        <v>59</v>
      </c>
      <c r="U9386">
        <v>572.99459545027298</v>
      </c>
      <c r="V9386">
        <v>3.9503386004514597E-3</v>
      </c>
      <c r="W9386">
        <v>2254765.3975752401</v>
      </c>
      <c r="X9386" t="s">
        <v>40</v>
      </c>
      <c r="Y9386">
        <f>1-882-245-4422</f>
        <v>-5548</v>
      </c>
    </row>
    <row r="9387" spans="1:25" x14ac:dyDescent="0.35">
      <c r="A9387">
        <v>35.451813006124802</v>
      </c>
      <c r="B9387">
        <v>-115.064476953417</v>
      </c>
      <c r="C9387" t="s">
        <v>25</v>
      </c>
      <c r="D9387">
        <v>5.2776379054327798</v>
      </c>
      <c r="E9387">
        <v>7</v>
      </c>
      <c r="F9387">
        <v>552</v>
      </c>
      <c r="G9387">
        <v>5</v>
      </c>
      <c r="H9387">
        <v>2</v>
      </c>
      <c r="I9387">
        <v>1982</v>
      </c>
      <c r="J9387">
        <v>0</v>
      </c>
      <c r="K9387">
        <v>0</v>
      </c>
      <c r="L9387">
        <v>1</v>
      </c>
      <c r="M9387">
        <v>5</v>
      </c>
      <c r="N9387" t="s">
        <v>35</v>
      </c>
      <c r="O9387" t="s">
        <v>32</v>
      </c>
      <c r="P9387">
        <v>8.2274225373362402</v>
      </c>
      <c r="Q9387">
        <v>2.0554890133283501</v>
      </c>
      <c r="R9387">
        <v>8.836581623512</v>
      </c>
      <c r="S9387">
        <v>5</v>
      </c>
      <c r="T9387">
        <v>71</v>
      </c>
      <c r="U9387">
        <v>671.488187256532</v>
      </c>
      <c r="V9387">
        <v>9.0579710144927505E-3</v>
      </c>
      <c r="W9387">
        <v>712227.78152328497</v>
      </c>
      <c r="X9387" t="s">
        <v>38</v>
      </c>
      <c r="Y9387">
        <f>1-341-312-4006</f>
        <v>-4658</v>
      </c>
    </row>
    <row r="9388" spans="1:25" x14ac:dyDescent="0.35">
      <c r="A9388">
        <v>38.164906730182601</v>
      </c>
      <c r="B9388">
        <v>-117.7840424287</v>
      </c>
      <c r="C9388" t="s">
        <v>25</v>
      </c>
      <c r="D9388">
        <v>24.051059984818899</v>
      </c>
      <c r="E9388">
        <v>9</v>
      </c>
      <c r="F9388">
        <v>1214</v>
      </c>
      <c r="G9388">
        <v>5</v>
      </c>
      <c r="H9388">
        <v>2</v>
      </c>
      <c r="I9388">
        <v>1979</v>
      </c>
      <c r="J9388">
        <v>0</v>
      </c>
      <c r="K9388">
        <v>0</v>
      </c>
      <c r="L9388">
        <v>1</v>
      </c>
      <c r="M9388">
        <v>14</v>
      </c>
      <c r="N9388" t="s">
        <v>41</v>
      </c>
      <c r="O9388" t="s">
        <v>30</v>
      </c>
      <c r="P9388">
        <v>7.3263492860921904</v>
      </c>
      <c r="Q9388">
        <v>1.6630743863959201</v>
      </c>
      <c r="R9388">
        <v>0.47836126386182998</v>
      </c>
      <c r="S9388">
        <v>8</v>
      </c>
      <c r="T9388">
        <v>24</v>
      </c>
      <c r="U9388">
        <v>878.98140996508198</v>
      </c>
      <c r="V9388">
        <v>1.1532125205930799E-2</v>
      </c>
      <c r="W9388">
        <v>1435952.11437788</v>
      </c>
      <c r="X9388" t="s">
        <v>43</v>
      </c>
      <c r="Y9388">
        <f>1-718-130-3819</f>
        <v>-4666</v>
      </c>
    </row>
    <row r="9389" spans="1:25" x14ac:dyDescent="0.35">
      <c r="A9389">
        <v>36.348040700656497</v>
      </c>
      <c r="B9389">
        <v>-119.402035523202</v>
      </c>
      <c r="C9389" t="s">
        <v>25</v>
      </c>
      <c r="D9389">
        <v>46.154753657682903</v>
      </c>
      <c r="E9389">
        <v>3</v>
      </c>
      <c r="F9389">
        <v>632</v>
      </c>
      <c r="G9389">
        <v>1</v>
      </c>
      <c r="H9389">
        <v>1</v>
      </c>
      <c r="I9389">
        <v>1953</v>
      </c>
      <c r="J9389">
        <v>0</v>
      </c>
      <c r="K9389">
        <v>1</v>
      </c>
      <c r="L9389">
        <v>1</v>
      </c>
      <c r="M9389">
        <v>14</v>
      </c>
      <c r="N9389" t="s">
        <v>35</v>
      </c>
      <c r="O9389" t="s">
        <v>27</v>
      </c>
      <c r="P9389">
        <v>4.9998547445304604</v>
      </c>
      <c r="Q9389">
        <v>1.4312943614865901</v>
      </c>
      <c r="R9389">
        <v>7.5369546331699997</v>
      </c>
      <c r="S9389">
        <v>70</v>
      </c>
      <c r="T9389">
        <v>65</v>
      </c>
      <c r="U9389">
        <v>443.75545278637799</v>
      </c>
      <c r="V9389">
        <v>2.2151898734177201E-2</v>
      </c>
      <c r="W9389">
        <v>434412.34596890601</v>
      </c>
      <c r="X9389" t="s">
        <v>43</v>
      </c>
      <c r="Y9389">
        <f>1-318-153-9220</f>
        <v>-9690</v>
      </c>
    </row>
    <row r="9390" spans="1:25" x14ac:dyDescent="0.35">
      <c r="A9390">
        <v>41.156686360147198</v>
      </c>
      <c r="B9390">
        <v>-123.58518852238799</v>
      </c>
      <c r="C9390" t="s">
        <v>25</v>
      </c>
      <c r="D9390">
        <v>4.0416226405695799</v>
      </c>
      <c r="E9390">
        <v>0</v>
      </c>
      <c r="F9390">
        <v>992</v>
      </c>
      <c r="G9390">
        <v>5</v>
      </c>
      <c r="H9390">
        <v>1</v>
      </c>
      <c r="I9390">
        <v>1998</v>
      </c>
      <c r="J9390">
        <v>0</v>
      </c>
      <c r="K9390">
        <v>1</v>
      </c>
      <c r="L9390">
        <v>1</v>
      </c>
      <c r="M9390">
        <v>14</v>
      </c>
      <c r="N9390" t="s">
        <v>37</v>
      </c>
      <c r="O9390" t="s">
        <v>32</v>
      </c>
      <c r="P9390">
        <v>8.5099836320466693</v>
      </c>
      <c r="Q9390">
        <v>1.54442754898882</v>
      </c>
      <c r="R9390">
        <v>1.7760747263799399</v>
      </c>
      <c r="S9390">
        <v>97</v>
      </c>
      <c r="T9390">
        <v>46</v>
      </c>
      <c r="U9390">
        <v>269.86324478984699</v>
      </c>
      <c r="V9390">
        <v>1.4112903225806399E-2</v>
      </c>
      <c r="W9390">
        <v>682019.39160253096</v>
      </c>
      <c r="X9390" t="s">
        <v>36</v>
      </c>
      <c r="Y9390">
        <f>1-600-316-5760</f>
        <v>-6675</v>
      </c>
    </row>
    <row r="9391" spans="1:25" x14ac:dyDescent="0.35">
      <c r="A9391">
        <v>39.812433437502001</v>
      </c>
      <c r="B9391">
        <v>-116.35174880275</v>
      </c>
      <c r="C9391" t="s">
        <v>29</v>
      </c>
      <c r="D9391">
        <v>30.747884230692801</v>
      </c>
      <c r="E9391">
        <v>8</v>
      </c>
      <c r="F9391">
        <v>3305</v>
      </c>
      <c r="G9391">
        <v>5</v>
      </c>
      <c r="H9391">
        <v>3</v>
      </c>
      <c r="I9391">
        <v>1977</v>
      </c>
      <c r="J9391">
        <v>0</v>
      </c>
      <c r="K9391">
        <v>1</v>
      </c>
      <c r="L9391">
        <v>0</v>
      </c>
      <c r="M9391">
        <v>2</v>
      </c>
      <c r="N9391" t="s">
        <v>41</v>
      </c>
      <c r="O9391" t="s">
        <v>32</v>
      </c>
      <c r="P9391">
        <v>6.6320080201136999</v>
      </c>
      <c r="Q9391">
        <v>1.0973319168624001</v>
      </c>
      <c r="R9391">
        <v>1.11539663477405</v>
      </c>
      <c r="S9391">
        <v>174</v>
      </c>
      <c r="T9391">
        <v>55</v>
      </c>
      <c r="U9391">
        <v>452.82178063326899</v>
      </c>
      <c r="V9391">
        <v>6.05143721633888E-4</v>
      </c>
      <c r="W9391">
        <v>1925506.46443737</v>
      </c>
      <c r="X9391" t="s">
        <v>42</v>
      </c>
      <c r="Y9391">
        <f>1-958-134-7774</f>
        <v>-8865</v>
      </c>
    </row>
    <row r="9392" spans="1:25" x14ac:dyDescent="0.35">
      <c r="A9392">
        <v>35.1508807258692</v>
      </c>
      <c r="B9392">
        <v>-122.16339616594701</v>
      </c>
      <c r="C9392" t="s">
        <v>25</v>
      </c>
      <c r="D9392">
        <v>29.817027666763799</v>
      </c>
      <c r="E9392">
        <v>6</v>
      </c>
      <c r="F9392">
        <v>2664</v>
      </c>
      <c r="G9392">
        <v>3</v>
      </c>
      <c r="H9392">
        <v>2</v>
      </c>
      <c r="I9392">
        <v>1964</v>
      </c>
      <c r="J9392">
        <v>0</v>
      </c>
      <c r="K9392">
        <v>1</v>
      </c>
      <c r="L9392">
        <v>1</v>
      </c>
      <c r="M9392">
        <v>6</v>
      </c>
      <c r="N9392" t="s">
        <v>37</v>
      </c>
      <c r="O9392" t="s">
        <v>27</v>
      </c>
      <c r="P9392">
        <v>14.2199870155161</v>
      </c>
      <c r="Q9392">
        <v>1.2881562612497499</v>
      </c>
      <c r="R9392">
        <v>5.0493052216551</v>
      </c>
      <c r="S9392">
        <v>151</v>
      </c>
      <c r="T9392">
        <v>55</v>
      </c>
      <c r="U9392">
        <v>697.06318608042295</v>
      </c>
      <c r="V9392">
        <v>2.2522522522522501E-3</v>
      </c>
      <c r="W9392">
        <v>2213484.3941041902</v>
      </c>
      <c r="X9392" t="s">
        <v>43</v>
      </c>
      <c r="Y9392">
        <f>1-476-364-2295</f>
        <v>-3134</v>
      </c>
    </row>
    <row r="9393" spans="1:25" x14ac:dyDescent="0.35">
      <c r="A9393">
        <v>34.476232722540701</v>
      </c>
      <c r="B9393">
        <v>-119.854271107334</v>
      </c>
      <c r="C9393" t="s">
        <v>29</v>
      </c>
      <c r="D9393">
        <v>13.4863094599229</v>
      </c>
      <c r="E9393">
        <v>2</v>
      </c>
      <c r="F9393">
        <v>652</v>
      </c>
      <c r="G9393">
        <v>2</v>
      </c>
      <c r="H9393">
        <v>1</v>
      </c>
      <c r="I9393">
        <v>2007</v>
      </c>
      <c r="J9393">
        <v>0</v>
      </c>
      <c r="K9393">
        <v>1</v>
      </c>
      <c r="L9393">
        <v>1</v>
      </c>
      <c r="M9393">
        <v>8</v>
      </c>
      <c r="N9393" t="s">
        <v>37</v>
      </c>
      <c r="O9393" t="s">
        <v>27</v>
      </c>
      <c r="P9393">
        <v>12.060868343622801</v>
      </c>
      <c r="Q9393">
        <v>2.1075528463893001</v>
      </c>
      <c r="R9393">
        <v>7.0523489916229103</v>
      </c>
      <c r="S9393">
        <v>182</v>
      </c>
      <c r="T9393">
        <v>29</v>
      </c>
      <c r="U9393">
        <v>693.474226179889</v>
      </c>
      <c r="V9393">
        <v>1.22699386503067E-2</v>
      </c>
      <c r="W9393">
        <v>697523.51267919398</v>
      </c>
      <c r="X9393" t="s">
        <v>40</v>
      </c>
      <c r="Y9393">
        <f>1-347-970-6531</f>
        <v>-7847</v>
      </c>
    </row>
    <row r="9394" spans="1:25" x14ac:dyDescent="0.35">
      <c r="A9394">
        <v>32.914954019430198</v>
      </c>
      <c r="B9394">
        <v>-116.300142572978</v>
      </c>
      <c r="C9394" t="s">
        <v>34</v>
      </c>
      <c r="D9394">
        <v>8.6556463992857395</v>
      </c>
      <c r="E9394">
        <v>9</v>
      </c>
      <c r="F9394">
        <v>2520</v>
      </c>
      <c r="G9394">
        <v>1</v>
      </c>
      <c r="H9394">
        <v>3</v>
      </c>
      <c r="I9394">
        <v>1975</v>
      </c>
      <c r="J9394">
        <v>0</v>
      </c>
      <c r="K9394">
        <v>1</v>
      </c>
      <c r="L9394">
        <v>1</v>
      </c>
      <c r="M9394">
        <v>5</v>
      </c>
      <c r="N9394" t="s">
        <v>41</v>
      </c>
      <c r="O9394" t="s">
        <v>32</v>
      </c>
      <c r="P9394">
        <v>13.3600535245629</v>
      </c>
      <c r="Q9394">
        <v>2.12131079895439</v>
      </c>
      <c r="R9394">
        <v>5.6800779533966397</v>
      </c>
      <c r="S9394">
        <v>81</v>
      </c>
      <c r="T9394">
        <v>79</v>
      </c>
      <c r="U9394">
        <v>727.27488671876699</v>
      </c>
      <c r="V9394">
        <v>1.9841269841269801E-3</v>
      </c>
      <c r="W9394">
        <v>2094031.26479822</v>
      </c>
      <c r="X9394" t="s">
        <v>28</v>
      </c>
      <c r="Y9394">
        <f>1-934-904-8256</f>
        <v>-10093</v>
      </c>
    </row>
    <row r="9395" spans="1:25" x14ac:dyDescent="0.35">
      <c r="A9395">
        <v>39.978408793631999</v>
      </c>
      <c r="B9395">
        <v>-120.900707024046</v>
      </c>
      <c r="C9395" t="s">
        <v>29</v>
      </c>
      <c r="D9395">
        <v>35.002478986148397</v>
      </c>
      <c r="E9395">
        <v>1</v>
      </c>
      <c r="F9395">
        <v>1683</v>
      </c>
      <c r="G9395">
        <v>5</v>
      </c>
      <c r="H9395">
        <v>2</v>
      </c>
      <c r="I9395">
        <v>2014</v>
      </c>
      <c r="J9395">
        <v>1</v>
      </c>
      <c r="K9395">
        <v>1</v>
      </c>
      <c r="L9395">
        <v>1</v>
      </c>
      <c r="M9395">
        <v>11</v>
      </c>
      <c r="N9395" t="s">
        <v>26</v>
      </c>
      <c r="O9395" t="s">
        <v>27</v>
      </c>
      <c r="P9395">
        <v>8.4375163127728499</v>
      </c>
      <c r="Q9395">
        <v>2.3387608899731398</v>
      </c>
      <c r="R9395">
        <v>3.6190803748021598</v>
      </c>
      <c r="S9395">
        <v>180</v>
      </c>
      <c r="T9395">
        <v>63</v>
      </c>
      <c r="U9395">
        <v>288.18324561512202</v>
      </c>
      <c r="V9395">
        <v>6.5359477124183E-3</v>
      </c>
      <c r="W9395">
        <v>959978.47817542194</v>
      </c>
      <c r="X9395" t="s">
        <v>33</v>
      </c>
      <c r="Y9395">
        <f>1-711-508-6315</f>
        <v>-7533</v>
      </c>
    </row>
    <row r="9396" spans="1:25" x14ac:dyDescent="0.35">
      <c r="A9396">
        <v>32.612860458364501</v>
      </c>
      <c r="B9396">
        <v>-123.367255618138</v>
      </c>
      <c r="C9396" t="s">
        <v>34</v>
      </c>
      <c r="D9396">
        <v>2.4754028358774498</v>
      </c>
      <c r="E9396">
        <v>7</v>
      </c>
      <c r="F9396">
        <v>2529</v>
      </c>
      <c r="G9396">
        <v>1</v>
      </c>
      <c r="H9396">
        <v>2</v>
      </c>
      <c r="I9396">
        <v>2005</v>
      </c>
      <c r="J9396">
        <v>1</v>
      </c>
      <c r="K9396">
        <v>1</v>
      </c>
      <c r="L9396">
        <v>0</v>
      </c>
      <c r="M9396">
        <v>12</v>
      </c>
      <c r="N9396" t="s">
        <v>37</v>
      </c>
      <c r="O9396" t="s">
        <v>30</v>
      </c>
      <c r="P9396">
        <v>9.6884575178799004</v>
      </c>
      <c r="Q9396">
        <v>2.0030299373439502</v>
      </c>
      <c r="R9396">
        <v>3.3538430547019198</v>
      </c>
      <c r="S9396">
        <v>135</v>
      </c>
      <c r="T9396">
        <v>74</v>
      </c>
      <c r="U9396">
        <v>533.45237210505502</v>
      </c>
      <c r="V9396">
        <v>4.7449584816132801E-3</v>
      </c>
      <c r="W9396">
        <v>1641849.25547993</v>
      </c>
      <c r="X9396" t="s">
        <v>42</v>
      </c>
      <c r="Y9396">
        <f>1-271-825-6883</f>
        <v>-7978</v>
      </c>
    </row>
    <row r="9397" spans="1:25" x14ac:dyDescent="0.35">
      <c r="A9397">
        <v>32.887399658041097</v>
      </c>
      <c r="B9397">
        <v>-123.326772833615</v>
      </c>
      <c r="C9397" t="s">
        <v>25</v>
      </c>
      <c r="D9397">
        <v>34.9951155865405</v>
      </c>
      <c r="E9397">
        <v>3</v>
      </c>
      <c r="F9397">
        <v>842</v>
      </c>
      <c r="G9397">
        <v>5</v>
      </c>
      <c r="H9397">
        <v>1</v>
      </c>
      <c r="I9397">
        <v>1994</v>
      </c>
      <c r="J9397">
        <v>1</v>
      </c>
      <c r="K9397">
        <v>1</v>
      </c>
      <c r="L9397">
        <v>1</v>
      </c>
      <c r="M9397">
        <v>11</v>
      </c>
      <c r="N9397" t="s">
        <v>35</v>
      </c>
      <c r="O9397" t="s">
        <v>32</v>
      </c>
      <c r="P9397">
        <v>14.8208455457757</v>
      </c>
      <c r="Q9397">
        <v>1.6053110866342599</v>
      </c>
      <c r="R9397">
        <v>7.0517084465887603</v>
      </c>
      <c r="S9397">
        <v>173</v>
      </c>
      <c r="T9397">
        <v>64</v>
      </c>
      <c r="U9397">
        <v>430.63730239691398</v>
      </c>
      <c r="V9397">
        <v>1.3064133016627E-2</v>
      </c>
      <c r="W9397">
        <v>904504.701249131</v>
      </c>
      <c r="X9397" t="s">
        <v>36</v>
      </c>
      <c r="Y9397">
        <f>1-274-479-9739</f>
        <v>-10491</v>
      </c>
    </row>
    <row r="9398" spans="1:25" x14ac:dyDescent="0.35">
      <c r="A9398">
        <v>33.144559014581702</v>
      </c>
      <c r="B9398">
        <v>-115.82348173189899</v>
      </c>
      <c r="C9398" t="s">
        <v>29</v>
      </c>
      <c r="D9398">
        <v>22.4040971506153</v>
      </c>
      <c r="E9398">
        <v>2</v>
      </c>
      <c r="F9398">
        <v>3483</v>
      </c>
      <c r="G9398">
        <v>2</v>
      </c>
      <c r="H9398">
        <v>3</v>
      </c>
      <c r="I9398">
        <v>1973</v>
      </c>
      <c r="J9398">
        <v>1</v>
      </c>
      <c r="K9398">
        <v>1</v>
      </c>
      <c r="L9398">
        <v>0</v>
      </c>
      <c r="M9398">
        <v>14</v>
      </c>
      <c r="N9398" t="s">
        <v>37</v>
      </c>
      <c r="O9398" t="s">
        <v>32</v>
      </c>
      <c r="P9398">
        <v>5.8061371376971298</v>
      </c>
      <c r="Q9398">
        <v>1.4344022072450999</v>
      </c>
      <c r="R9398">
        <v>1.1086940574175499</v>
      </c>
      <c r="S9398">
        <v>60</v>
      </c>
      <c r="T9398">
        <v>53</v>
      </c>
      <c r="U9398">
        <v>441.18727782015497</v>
      </c>
      <c r="V9398">
        <v>4.0195233993683601E-3</v>
      </c>
      <c r="W9398">
        <v>1842629.4219806399</v>
      </c>
      <c r="X9398" t="s">
        <v>44</v>
      </c>
      <c r="Y9398">
        <f>1-913-737-9310</f>
        <v>-10959</v>
      </c>
    </row>
    <row r="9399" spans="1:25" x14ac:dyDescent="0.35">
      <c r="A9399">
        <v>33.624864873289901</v>
      </c>
      <c r="B9399">
        <v>-124.26692716999101</v>
      </c>
      <c r="C9399" t="s">
        <v>29</v>
      </c>
      <c r="D9399">
        <v>23.4107747097672</v>
      </c>
      <c r="E9399">
        <v>4</v>
      </c>
      <c r="F9399">
        <v>3440</v>
      </c>
      <c r="G9399">
        <v>2</v>
      </c>
      <c r="H9399">
        <v>1</v>
      </c>
      <c r="I9399">
        <v>1964</v>
      </c>
      <c r="J9399">
        <v>1</v>
      </c>
      <c r="K9399">
        <v>1</v>
      </c>
      <c r="L9399">
        <v>0</v>
      </c>
      <c r="M9399">
        <v>4</v>
      </c>
      <c r="N9399" t="s">
        <v>26</v>
      </c>
      <c r="O9399" t="s">
        <v>30</v>
      </c>
      <c r="P9399">
        <v>7.9543307469230804</v>
      </c>
      <c r="Q9399">
        <v>0.52819252776085501</v>
      </c>
      <c r="R9399">
        <v>8.3319560204117593</v>
      </c>
      <c r="S9399">
        <v>51</v>
      </c>
      <c r="T9399">
        <v>64</v>
      </c>
      <c r="U9399">
        <v>430.933140422191</v>
      </c>
      <c r="V9399">
        <v>1.1627906976744099E-3</v>
      </c>
      <c r="W9399">
        <v>1703468.0499998699</v>
      </c>
      <c r="X9399" t="s">
        <v>39</v>
      </c>
      <c r="Y9399">
        <f>1-903-527-1857</f>
        <v>-3286</v>
      </c>
    </row>
    <row r="9400" spans="1:25" x14ac:dyDescent="0.35">
      <c r="A9400">
        <v>41.2586248284071</v>
      </c>
      <c r="B9400">
        <v>-116.06063982883801</v>
      </c>
      <c r="C9400" t="s">
        <v>25</v>
      </c>
      <c r="D9400">
        <v>10.109485738521</v>
      </c>
      <c r="E9400">
        <v>0</v>
      </c>
      <c r="F9400">
        <v>4036</v>
      </c>
      <c r="G9400">
        <v>3</v>
      </c>
      <c r="H9400">
        <v>2</v>
      </c>
      <c r="I9400">
        <v>1994</v>
      </c>
      <c r="J9400">
        <v>1</v>
      </c>
      <c r="K9400">
        <v>0</v>
      </c>
      <c r="L9400">
        <v>0</v>
      </c>
      <c r="M9400">
        <v>13</v>
      </c>
      <c r="N9400" t="s">
        <v>41</v>
      </c>
      <c r="O9400" t="s">
        <v>30</v>
      </c>
      <c r="P9400">
        <v>4.5031832816907196</v>
      </c>
      <c r="Q9400">
        <v>2.3029317844134898</v>
      </c>
      <c r="R9400">
        <v>3.3319678922760398</v>
      </c>
      <c r="S9400">
        <v>74</v>
      </c>
      <c r="T9400">
        <v>74</v>
      </c>
      <c r="U9400">
        <v>942.34570266856497</v>
      </c>
      <c r="V9400">
        <v>3.2210109018830499E-3</v>
      </c>
      <c r="W9400">
        <v>4060127.5783584299</v>
      </c>
      <c r="X9400" t="s">
        <v>38</v>
      </c>
      <c r="Y9400">
        <f>1-671-314-3191</f>
        <v>-4175</v>
      </c>
    </row>
    <row r="9401" spans="1:25" x14ac:dyDescent="0.35">
      <c r="A9401">
        <v>40.5610427510126</v>
      </c>
      <c r="B9401">
        <v>-115.67270598195201</v>
      </c>
      <c r="C9401" t="s">
        <v>34</v>
      </c>
      <c r="D9401">
        <v>25.861887900189799</v>
      </c>
      <c r="E9401">
        <v>8</v>
      </c>
      <c r="F9401">
        <v>3727</v>
      </c>
      <c r="G9401">
        <v>1</v>
      </c>
      <c r="H9401">
        <v>3</v>
      </c>
      <c r="I9401">
        <v>1995</v>
      </c>
      <c r="J9401">
        <v>1</v>
      </c>
      <c r="K9401">
        <v>0</v>
      </c>
      <c r="L9401">
        <v>0</v>
      </c>
      <c r="M9401">
        <v>13</v>
      </c>
      <c r="N9401" t="s">
        <v>26</v>
      </c>
      <c r="O9401" t="s">
        <v>27</v>
      </c>
      <c r="P9401">
        <v>5.7710757984398997</v>
      </c>
      <c r="Q9401">
        <v>1.54510920526193</v>
      </c>
      <c r="R9401">
        <v>0.86353868991344396</v>
      </c>
      <c r="S9401">
        <v>177</v>
      </c>
      <c r="T9401">
        <v>79</v>
      </c>
      <c r="U9401">
        <v>379.18479352719203</v>
      </c>
      <c r="V9401">
        <v>3.4880601019586801E-3</v>
      </c>
      <c r="W9401">
        <v>1604850.5663878601</v>
      </c>
      <c r="X9401" t="s">
        <v>44</v>
      </c>
      <c r="Y9401">
        <f>1-565-415-5033</f>
        <v>-6012</v>
      </c>
    </row>
    <row r="9402" spans="1:25" x14ac:dyDescent="0.35">
      <c r="A9402">
        <v>36.146692420896301</v>
      </c>
      <c r="B9402">
        <v>-118.305657570907</v>
      </c>
      <c r="C9402" t="s">
        <v>29</v>
      </c>
      <c r="D9402">
        <v>36.201937940829801</v>
      </c>
      <c r="E9402">
        <v>6</v>
      </c>
      <c r="F9402">
        <v>963</v>
      </c>
      <c r="G9402">
        <v>5</v>
      </c>
      <c r="H9402">
        <v>1</v>
      </c>
      <c r="I9402">
        <v>2009</v>
      </c>
      <c r="J9402">
        <v>1</v>
      </c>
      <c r="K9402">
        <v>1</v>
      </c>
      <c r="L9402">
        <v>1</v>
      </c>
      <c r="M9402">
        <v>8</v>
      </c>
      <c r="N9402" t="s">
        <v>37</v>
      </c>
      <c r="O9402" t="s">
        <v>27</v>
      </c>
      <c r="P9402">
        <v>10.116219241607601</v>
      </c>
      <c r="Q9402">
        <v>1.51175277237467</v>
      </c>
      <c r="R9402">
        <v>7.49711288063554</v>
      </c>
      <c r="S9402">
        <v>56</v>
      </c>
      <c r="T9402">
        <v>39</v>
      </c>
      <c r="U9402">
        <v>209.60871601048601</v>
      </c>
      <c r="V9402">
        <v>8.3073727933540998E-3</v>
      </c>
      <c r="W9402">
        <v>714862.17575130495</v>
      </c>
      <c r="X9402" t="s">
        <v>40</v>
      </c>
      <c r="Y9402">
        <f>1-613-250-5140</f>
        <v>-6002</v>
      </c>
    </row>
    <row r="9403" spans="1:25" x14ac:dyDescent="0.35">
      <c r="A9403">
        <v>33.624778876690499</v>
      </c>
      <c r="B9403">
        <v>-116.22216935968299</v>
      </c>
      <c r="C9403" t="s">
        <v>25</v>
      </c>
      <c r="D9403">
        <v>9.9760045452939092</v>
      </c>
      <c r="E9403">
        <v>0</v>
      </c>
      <c r="F9403">
        <v>993</v>
      </c>
      <c r="G9403">
        <v>5</v>
      </c>
      <c r="H9403">
        <v>1</v>
      </c>
      <c r="I9403">
        <v>1990</v>
      </c>
      <c r="J9403">
        <v>1</v>
      </c>
      <c r="K9403">
        <v>0</v>
      </c>
      <c r="L9403">
        <v>0</v>
      </c>
      <c r="M9403">
        <v>7</v>
      </c>
      <c r="N9403" t="s">
        <v>41</v>
      </c>
      <c r="O9403" t="s">
        <v>27</v>
      </c>
      <c r="P9403">
        <v>14.674699632836999</v>
      </c>
      <c r="Q9403">
        <v>0.79741016441701695</v>
      </c>
      <c r="R9403">
        <v>2.72588191484104</v>
      </c>
      <c r="S9403">
        <v>77</v>
      </c>
      <c r="T9403">
        <v>42</v>
      </c>
      <c r="U9403">
        <v>782.58160929164796</v>
      </c>
      <c r="V9403">
        <v>7.0493454179254697E-3</v>
      </c>
      <c r="W9403">
        <v>1215738.1544610001</v>
      </c>
      <c r="X9403" t="s">
        <v>40</v>
      </c>
      <c r="Y9403">
        <f>1-288-973-5980</f>
        <v>-7240</v>
      </c>
    </row>
    <row r="9404" spans="1:25" x14ac:dyDescent="0.35">
      <c r="A9404">
        <v>38.875149854613397</v>
      </c>
      <c r="B9404">
        <v>-114.483859384385</v>
      </c>
      <c r="C9404" t="s">
        <v>25</v>
      </c>
      <c r="D9404">
        <v>28.5237998792459</v>
      </c>
      <c r="E9404">
        <v>7</v>
      </c>
      <c r="F9404">
        <v>4285</v>
      </c>
      <c r="G9404">
        <v>5</v>
      </c>
      <c r="H9404">
        <v>1</v>
      </c>
      <c r="I9404">
        <v>1960</v>
      </c>
      <c r="J9404">
        <v>0</v>
      </c>
      <c r="K9404">
        <v>1</v>
      </c>
      <c r="L9404">
        <v>1</v>
      </c>
      <c r="M9404">
        <v>11</v>
      </c>
      <c r="N9404" t="s">
        <v>37</v>
      </c>
      <c r="O9404" t="s">
        <v>30</v>
      </c>
      <c r="P9404">
        <v>2.9005032086755</v>
      </c>
      <c r="Q9404">
        <v>2.2646399527671899</v>
      </c>
      <c r="R9404">
        <v>4.6165143448225097</v>
      </c>
      <c r="S9404">
        <v>195</v>
      </c>
      <c r="T9404">
        <v>71</v>
      </c>
      <c r="U9404">
        <v>539.098716851978</v>
      </c>
      <c r="V9404">
        <v>2.5670945157526201E-3</v>
      </c>
      <c r="W9404">
        <v>2692917.6736159702</v>
      </c>
      <c r="X9404" t="s">
        <v>44</v>
      </c>
      <c r="Y9404">
        <f>1-303-188-6551</f>
        <v>-7041</v>
      </c>
    </row>
    <row r="9405" spans="1:25" x14ac:dyDescent="0.35">
      <c r="A9405">
        <v>32.857769708037402</v>
      </c>
      <c r="B9405">
        <v>-118.84722612447101</v>
      </c>
      <c r="C9405" t="s">
        <v>29</v>
      </c>
      <c r="D9405">
        <v>28.2437758145823</v>
      </c>
      <c r="E9405">
        <v>3</v>
      </c>
      <c r="F9405">
        <v>2406</v>
      </c>
      <c r="G9405">
        <v>2</v>
      </c>
      <c r="H9405">
        <v>2</v>
      </c>
      <c r="I9405">
        <v>1983</v>
      </c>
      <c r="J9405">
        <v>0</v>
      </c>
      <c r="K9405">
        <v>1</v>
      </c>
      <c r="L9405">
        <v>0</v>
      </c>
      <c r="M9405">
        <v>4</v>
      </c>
      <c r="N9405" t="s">
        <v>41</v>
      </c>
      <c r="O9405" t="s">
        <v>30</v>
      </c>
      <c r="P9405">
        <v>12.9895113277381</v>
      </c>
      <c r="Q9405">
        <v>1.8070604834338</v>
      </c>
      <c r="R9405">
        <v>6.7992410461848198</v>
      </c>
      <c r="S9405">
        <v>155</v>
      </c>
      <c r="T9405">
        <v>47</v>
      </c>
      <c r="U9405">
        <v>455.40723873969199</v>
      </c>
      <c r="V9405">
        <v>1.6625103906899401E-3</v>
      </c>
      <c r="W9405">
        <v>1403955.5780752201</v>
      </c>
      <c r="X9405" t="s">
        <v>40</v>
      </c>
      <c r="Y9405">
        <f>1-637-172-2724</f>
        <v>-3532</v>
      </c>
    </row>
    <row r="9406" spans="1:25" x14ac:dyDescent="0.35">
      <c r="A9406">
        <v>34.651979810914803</v>
      </c>
      <c r="B9406">
        <v>-122.23149549797</v>
      </c>
      <c r="C9406" t="s">
        <v>25</v>
      </c>
      <c r="D9406">
        <v>4.6702990012319701</v>
      </c>
      <c r="E9406">
        <v>7</v>
      </c>
      <c r="F9406">
        <v>1720</v>
      </c>
      <c r="G9406">
        <v>2</v>
      </c>
      <c r="H9406">
        <v>3</v>
      </c>
      <c r="I9406">
        <v>1968</v>
      </c>
      <c r="J9406">
        <v>1</v>
      </c>
      <c r="K9406">
        <v>0</v>
      </c>
      <c r="L9406">
        <v>1</v>
      </c>
      <c r="M9406">
        <v>3</v>
      </c>
      <c r="N9406" t="s">
        <v>26</v>
      </c>
      <c r="O9406" t="s">
        <v>30</v>
      </c>
      <c r="P9406">
        <v>10.023197304616801</v>
      </c>
      <c r="Q9406">
        <v>2.0236378229130398</v>
      </c>
      <c r="R9406">
        <v>4.51326840119183</v>
      </c>
      <c r="S9406">
        <v>169</v>
      </c>
      <c r="T9406">
        <v>41</v>
      </c>
      <c r="U9406">
        <v>720.48649187349304</v>
      </c>
      <c r="V9406">
        <v>1.7441860465116201E-3</v>
      </c>
      <c r="W9406">
        <v>1507427.9191166</v>
      </c>
      <c r="X9406" t="s">
        <v>38</v>
      </c>
      <c r="Y9406">
        <f>1-674-355-6281</f>
        <v>-7309</v>
      </c>
    </row>
    <row r="9407" spans="1:25" x14ac:dyDescent="0.35">
      <c r="A9407">
        <v>35.616748368975202</v>
      </c>
      <c r="B9407">
        <v>-121.51585298086501</v>
      </c>
      <c r="C9407" t="s">
        <v>29</v>
      </c>
      <c r="D9407">
        <v>2.7037861935052399</v>
      </c>
      <c r="E9407">
        <v>9</v>
      </c>
      <c r="F9407">
        <v>3054</v>
      </c>
      <c r="G9407">
        <v>4</v>
      </c>
      <c r="H9407">
        <v>1</v>
      </c>
      <c r="I9407">
        <v>1997</v>
      </c>
      <c r="J9407">
        <v>1</v>
      </c>
      <c r="K9407">
        <v>1</v>
      </c>
      <c r="L9407">
        <v>1</v>
      </c>
      <c r="M9407">
        <v>3</v>
      </c>
      <c r="N9407" t="s">
        <v>26</v>
      </c>
      <c r="O9407" t="s">
        <v>30</v>
      </c>
      <c r="P9407">
        <v>5.34039605225537</v>
      </c>
      <c r="Q9407">
        <v>1.0753214320240501</v>
      </c>
      <c r="R9407">
        <v>6.2877658562701102</v>
      </c>
      <c r="S9407">
        <v>198</v>
      </c>
      <c r="T9407">
        <v>42</v>
      </c>
      <c r="U9407">
        <v>547.45665035894206</v>
      </c>
      <c r="V9407">
        <v>9.8231827111984211E-4</v>
      </c>
      <c r="W9407">
        <v>1930525.45982103</v>
      </c>
      <c r="X9407" t="s">
        <v>40</v>
      </c>
      <c r="Y9407">
        <f>1-453-976-7101</f>
        <v>-8529</v>
      </c>
    </row>
    <row r="9408" spans="1:25" x14ac:dyDescent="0.35">
      <c r="A9408">
        <v>36.491642954678802</v>
      </c>
      <c r="B9408">
        <v>-120.219637397727</v>
      </c>
      <c r="C9408" t="s">
        <v>29</v>
      </c>
      <c r="D9408">
        <v>7.2655397567729496</v>
      </c>
      <c r="E9408">
        <v>3</v>
      </c>
      <c r="F9408">
        <v>3764</v>
      </c>
      <c r="G9408">
        <v>1</v>
      </c>
      <c r="H9408">
        <v>2</v>
      </c>
      <c r="I9408">
        <v>1979</v>
      </c>
      <c r="J9408">
        <v>0</v>
      </c>
      <c r="K9408">
        <v>0</v>
      </c>
      <c r="L9408">
        <v>0</v>
      </c>
      <c r="M9408">
        <v>3</v>
      </c>
      <c r="N9408" t="s">
        <v>26</v>
      </c>
      <c r="O9408" t="s">
        <v>30</v>
      </c>
      <c r="P9408">
        <v>4.8645972265450803</v>
      </c>
      <c r="Q9408">
        <v>2.2416617889568</v>
      </c>
      <c r="R9408">
        <v>8.8803746178094691</v>
      </c>
      <c r="S9408">
        <v>87</v>
      </c>
      <c r="T9408">
        <v>76</v>
      </c>
      <c r="U9408">
        <v>659.46569046491197</v>
      </c>
      <c r="V9408">
        <v>7.9702444208288995E-4</v>
      </c>
      <c r="W9408">
        <v>2584440.7234436902</v>
      </c>
      <c r="X9408" t="s">
        <v>40</v>
      </c>
      <c r="Y9408">
        <f>1-664-255-4093</f>
        <v>-5011</v>
      </c>
    </row>
    <row r="9409" spans="1:25" x14ac:dyDescent="0.35">
      <c r="A9409">
        <v>36.332569225705797</v>
      </c>
      <c r="B9409">
        <v>-114.912709346987</v>
      </c>
      <c r="C9409" t="s">
        <v>34</v>
      </c>
      <c r="D9409">
        <v>30.325040985906998</v>
      </c>
      <c r="E9409">
        <v>2</v>
      </c>
      <c r="F9409">
        <v>2350</v>
      </c>
      <c r="G9409">
        <v>2</v>
      </c>
      <c r="H9409">
        <v>1</v>
      </c>
      <c r="I9409">
        <v>1982</v>
      </c>
      <c r="J9409">
        <v>1</v>
      </c>
      <c r="K9409">
        <v>0</v>
      </c>
      <c r="L9409">
        <v>0</v>
      </c>
      <c r="M9409">
        <v>14</v>
      </c>
      <c r="N9409" t="s">
        <v>35</v>
      </c>
      <c r="O9409" t="s">
        <v>30</v>
      </c>
      <c r="P9409">
        <v>4.3323091089809997</v>
      </c>
      <c r="Q9409">
        <v>0.74201254494535496</v>
      </c>
      <c r="R9409">
        <v>8.5535656578962094</v>
      </c>
      <c r="S9409">
        <v>121</v>
      </c>
      <c r="T9409">
        <v>55</v>
      </c>
      <c r="U9409">
        <v>508.46486838721501</v>
      </c>
      <c r="V9409">
        <v>5.9574468085106299E-3</v>
      </c>
      <c r="W9409">
        <v>1267777.4223513501</v>
      </c>
      <c r="X9409" t="s">
        <v>36</v>
      </c>
      <c r="Y9409">
        <f>1-515-346-8653</f>
        <v>-9513</v>
      </c>
    </row>
    <row r="9410" spans="1:25" x14ac:dyDescent="0.35">
      <c r="A9410">
        <v>38.309263850385797</v>
      </c>
      <c r="B9410">
        <v>-120.34791168171201</v>
      </c>
      <c r="C9410" t="s">
        <v>25</v>
      </c>
      <c r="D9410">
        <v>3.8417014892738601</v>
      </c>
      <c r="E9410">
        <v>0</v>
      </c>
      <c r="F9410">
        <v>1228</v>
      </c>
      <c r="G9410">
        <v>3</v>
      </c>
      <c r="H9410">
        <v>3</v>
      </c>
      <c r="I9410">
        <v>1989</v>
      </c>
      <c r="J9410">
        <v>0</v>
      </c>
      <c r="K9410">
        <v>1</v>
      </c>
      <c r="L9410">
        <v>0</v>
      </c>
      <c r="M9410">
        <v>7</v>
      </c>
      <c r="N9410" t="s">
        <v>37</v>
      </c>
      <c r="O9410" t="s">
        <v>30</v>
      </c>
      <c r="P9410">
        <v>6.6309550997167701</v>
      </c>
      <c r="Q9410">
        <v>0.60842132588306996</v>
      </c>
      <c r="R9410">
        <v>8.1749225581367693</v>
      </c>
      <c r="S9410">
        <v>44</v>
      </c>
      <c r="T9410">
        <v>57</v>
      </c>
      <c r="U9410">
        <v>495.44268288560301</v>
      </c>
      <c r="V9410">
        <v>5.7003257328990201E-3</v>
      </c>
      <c r="W9410">
        <v>899108.27787092596</v>
      </c>
      <c r="X9410" t="s">
        <v>28</v>
      </c>
      <c r="Y9410">
        <f>1-989-258-1587</f>
        <v>-2833</v>
      </c>
    </row>
    <row r="9411" spans="1:25" x14ac:dyDescent="0.35">
      <c r="A9411">
        <v>35.300840259384699</v>
      </c>
      <c r="B9411">
        <v>-115.95148055169599</v>
      </c>
      <c r="C9411" t="s">
        <v>25</v>
      </c>
      <c r="D9411">
        <v>43.765841473475298</v>
      </c>
      <c r="E9411">
        <v>4</v>
      </c>
      <c r="F9411">
        <v>4496</v>
      </c>
      <c r="G9411">
        <v>3</v>
      </c>
      <c r="H9411">
        <v>1</v>
      </c>
      <c r="I9411">
        <v>1996</v>
      </c>
      <c r="J9411">
        <v>1</v>
      </c>
      <c r="K9411">
        <v>1</v>
      </c>
      <c r="L9411">
        <v>1</v>
      </c>
      <c r="M9411">
        <v>9</v>
      </c>
      <c r="N9411" t="s">
        <v>37</v>
      </c>
      <c r="O9411" t="s">
        <v>32</v>
      </c>
      <c r="P9411">
        <v>5.33211225518136</v>
      </c>
      <c r="Q9411">
        <v>1.6260154685396899</v>
      </c>
      <c r="R9411">
        <v>9.2634308467505804</v>
      </c>
      <c r="S9411">
        <v>20</v>
      </c>
      <c r="T9411">
        <v>76</v>
      </c>
      <c r="U9411">
        <v>567.52633749219399</v>
      </c>
      <c r="V9411">
        <v>2.0017793594305998E-3</v>
      </c>
      <c r="W9411">
        <v>2878373.20462299</v>
      </c>
      <c r="X9411" t="s">
        <v>43</v>
      </c>
      <c r="Y9411">
        <f>1-205-137-1486</f>
        <v>-1827</v>
      </c>
    </row>
    <row r="9412" spans="1:25" x14ac:dyDescent="0.35">
      <c r="A9412">
        <v>34.467669454124803</v>
      </c>
      <c r="B9412">
        <v>-117.57609780441</v>
      </c>
      <c r="C9412" t="s">
        <v>25</v>
      </c>
      <c r="D9412">
        <v>42.010463929913499</v>
      </c>
      <c r="E9412">
        <v>1</v>
      </c>
      <c r="F9412">
        <v>2236</v>
      </c>
      <c r="G9412">
        <v>1</v>
      </c>
      <c r="H9412">
        <v>3</v>
      </c>
      <c r="I9412">
        <v>1979</v>
      </c>
      <c r="J9412">
        <v>0</v>
      </c>
      <c r="K9412">
        <v>0</v>
      </c>
      <c r="L9412">
        <v>1</v>
      </c>
      <c r="M9412">
        <v>6</v>
      </c>
      <c r="N9412" t="s">
        <v>41</v>
      </c>
      <c r="O9412" t="s">
        <v>27</v>
      </c>
      <c r="P9412">
        <v>13.117513741478099</v>
      </c>
      <c r="Q9412">
        <v>1.4075305417884101</v>
      </c>
      <c r="R9412">
        <v>8.4439297712998993</v>
      </c>
      <c r="S9412">
        <v>150</v>
      </c>
      <c r="T9412">
        <v>77</v>
      </c>
      <c r="U9412">
        <v>221.92884205794701</v>
      </c>
      <c r="V9412">
        <v>2.68336314847942E-3</v>
      </c>
      <c r="W9412">
        <v>662675.02838797704</v>
      </c>
      <c r="X9412" t="s">
        <v>42</v>
      </c>
      <c r="Y9412">
        <f>1-885-742-7355</f>
        <v>-8981</v>
      </c>
    </row>
    <row r="9413" spans="1:25" x14ac:dyDescent="0.35">
      <c r="A9413">
        <v>37.438859396426402</v>
      </c>
      <c r="B9413">
        <v>-116.25668665688499</v>
      </c>
      <c r="C9413" t="s">
        <v>34</v>
      </c>
      <c r="D9413">
        <v>35.052023398365399</v>
      </c>
      <c r="E9413">
        <v>5</v>
      </c>
      <c r="F9413">
        <v>3591</v>
      </c>
      <c r="G9413">
        <v>5</v>
      </c>
      <c r="H9413">
        <v>2</v>
      </c>
      <c r="I9413">
        <v>1993</v>
      </c>
      <c r="J9413">
        <v>0</v>
      </c>
      <c r="K9413">
        <v>0</v>
      </c>
      <c r="L9413">
        <v>0</v>
      </c>
      <c r="M9413">
        <v>4</v>
      </c>
      <c r="N9413" t="s">
        <v>26</v>
      </c>
      <c r="O9413" t="s">
        <v>32</v>
      </c>
      <c r="P9413">
        <v>7.4914456888509298</v>
      </c>
      <c r="Q9413">
        <v>1.2797105533398001</v>
      </c>
      <c r="R9413">
        <v>2.8257505758893702</v>
      </c>
      <c r="S9413">
        <v>186</v>
      </c>
      <c r="T9413">
        <v>27</v>
      </c>
      <c r="U9413">
        <v>555.08583301944998</v>
      </c>
      <c r="V9413">
        <v>1.1138958507379501E-3</v>
      </c>
      <c r="W9413">
        <v>2241220.8124577701</v>
      </c>
      <c r="X9413" t="s">
        <v>40</v>
      </c>
      <c r="Y9413">
        <f>1-651-858-6432</f>
        <v>-7940</v>
      </c>
    </row>
    <row r="9414" spans="1:25" x14ac:dyDescent="0.35">
      <c r="A9414">
        <v>35.861370748516002</v>
      </c>
      <c r="B9414">
        <v>-116.61693163269101</v>
      </c>
      <c r="C9414" t="s">
        <v>29</v>
      </c>
      <c r="D9414">
        <v>11.402034293965</v>
      </c>
      <c r="E9414">
        <v>8</v>
      </c>
      <c r="F9414">
        <v>3004</v>
      </c>
      <c r="G9414">
        <v>4</v>
      </c>
      <c r="H9414">
        <v>1</v>
      </c>
      <c r="I9414">
        <v>1981</v>
      </c>
      <c r="J9414">
        <v>0</v>
      </c>
      <c r="K9414">
        <v>0</v>
      </c>
      <c r="L9414">
        <v>0</v>
      </c>
      <c r="M9414">
        <v>9</v>
      </c>
      <c r="N9414" t="s">
        <v>41</v>
      </c>
      <c r="O9414" t="s">
        <v>30</v>
      </c>
      <c r="P9414">
        <v>8.2817760041603297</v>
      </c>
      <c r="Q9414">
        <v>1.03027921336172</v>
      </c>
      <c r="R9414">
        <v>6.6161772946089803</v>
      </c>
      <c r="S9414">
        <v>117</v>
      </c>
      <c r="T9414">
        <v>71</v>
      </c>
      <c r="U9414">
        <v>291.85792221664798</v>
      </c>
      <c r="V9414">
        <v>2.99600532623169E-3</v>
      </c>
      <c r="W9414">
        <v>1063736.57455916</v>
      </c>
      <c r="X9414" t="s">
        <v>28</v>
      </c>
      <c r="Y9414">
        <f>1-717-614-1079</f>
        <v>-2409</v>
      </c>
    </row>
    <row r="9415" spans="1:25" x14ac:dyDescent="0.35">
      <c r="A9415">
        <v>37.244881996097298</v>
      </c>
      <c r="B9415">
        <v>-119.924380423679</v>
      </c>
      <c r="C9415" t="s">
        <v>29</v>
      </c>
      <c r="D9415">
        <v>42.305277648333501</v>
      </c>
      <c r="E9415">
        <v>4</v>
      </c>
      <c r="F9415">
        <v>3097</v>
      </c>
      <c r="G9415">
        <v>2</v>
      </c>
      <c r="H9415">
        <v>1</v>
      </c>
      <c r="I9415">
        <v>2019</v>
      </c>
      <c r="J9415">
        <v>1</v>
      </c>
      <c r="K9415">
        <v>0</v>
      </c>
      <c r="L9415">
        <v>0</v>
      </c>
      <c r="M9415">
        <v>6</v>
      </c>
      <c r="N9415" t="s">
        <v>37</v>
      </c>
      <c r="O9415" t="s">
        <v>27</v>
      </c>
      <c r="P9415">
        <v>14.4297664970884</v>
      </c>
      <c r="Q9415">
        <v>0.97184745683612594</v>
      </c>
      <c r="R9415">
        <v>0.70685555563551905</v>
      </c>
      <c r="S9415">
        <v>92</v>
      </c>
      <c r="T9415">
        <v>61</v>
      </c>
      <c r="U9415">
        <v>281.353613885031</v>
      </c>
      <c r="V9415">
        <v>1.93735873425896E-3</v>
      </c>
      <c r="W9415">
        <v>1173329.17278803</v>
      </c>
      <c r="X9415" t="s">
        <v>33</v>
      </c>
      <c r="Y9415">
        <f>1-795-909-9110</f>
        <v>-10813</v>
      </c>
    </row>
    <row r="9416" spans="1:25" x14ac:dyDescent="0.35">
      <c r="A9416">
        <v>37.463170010558102</v>
      </c>
      <c r="B9416">
        <v>-123.51456441224001</v>
      </c>
      <c r="C9416" t="s">
        <v>29</v>
      </c>
      <c r="D9416">
        <v>9.7685894933965294</v>
      </c>
      <c r="E9416">
        <v>0</v>
      </c>
      <c r="F9416">
        <v>699</v>
      </c>
      <c r="G9416">
        <v>5</v>
      </c>
      <c r="H9416">
        <v>1</v>
      </c>
      <c r="I9416">
        <v>1991</v>
      </c>
      <c r="J9416">
        <v>1</v>
      </c>
      <c r="K9416">
        <v>0</v>
      </c>
      <c r="L9416">
        <v>0</v>
      </c>
      <c r="M9416">
        <v>13</v>
      </c>
      <c r="N9416" t="s">
        <v>37</v>
      </c>
      <c r="O9416" t="s">
        <v>32</v>
      </c>
      <c r="P9416">
        <v>5.31462803236822</v>
      </c>
      <c r="Q9416">
        <v>1.68456703457875</v>
      </c>
      <c r="R9416">
        <v>6.6321567944877504</v>
      </c>
      <c r="S9416">
        <v>41</v>
      </c>
      <c r="T9416">
        <v>70</v>
      </c>
      <c r="U9416">
        <v>627.31808441362602</v>
      </c>
      <c r="V9416">
        <v>1.8597997138769602E-2</v>
      </c>
      <c r="W9416">
        <v>671192.46212559799</v>
      </c>
      <c r="X9416" t="s">
        <v>36</v>
      </c>
      <c r="Y9416">
        <f>1-881-145-9987</f>
        <v>-11012</v>
      </c>
    </row>
    <row r="9417" spans="1:25" x14ac:dyDescent="0.35">
      <c r="A9417">
        <v>35.381992541031799</v>
      </c>
      <c r="B9417">
        <v>-118.463683046751</v>
      </c>
      <c r="C9417" t="s">
        <v>29</v>
      </c>
      <c r="D9417">
        <v>33.6817500065969</v>
      </c>
      <c r="E9417">
        <v>1</v>
      </c>
      <c r="F9417">
        <v>2845</v>
      </c>
      <c r="G9417">
        <v>3</v>
      </c>
      <c r="H9417">
        <v>1</v>
      </c>
      <c r="I9417">
        <v>2001</v>
      </c>
      <c r="J9417">
        <v>0</v>
      </c>
      <c r="K9417">
        <v>1</v>
      </c>
      <c r="L9417">
        <v>0</v>
      </c>
      <c r="M9417">
        <v>10</v>
      </c>
      <c r="N9417" t="s">
        <v>37</v>
      </c>
      <c r="O9417" t="s">
        <v>30</v>
      </c>
      <c r="P9417">
        <v>13.334071369358499</v>
      </c>
      <c r="Q9417">
        <v>0.99922586209199005</v>
      </c>
      <c r="R9417">
        <v>9.9786565080948009</v>
      </c>
      <c r="S9417">
        <v>138</v>
      </c>
      <c r="T9417">
        <v>70</v>
      </c>
      <c r="U9417">
        <v>309.35875588972999</v>
      </c>
      <c r="V9417">
        <v>3.5149384885764402E-3</v>
      </c>
      <c r="W9417">
        <v>1166620.03573863</v>
      </c>
      <c r="X9417" t="s">
        <v>42</v>
      </c>
      <c r="Y9417">
        <f>1-234-951-8619</f>
        <v>-9803</v>
      </c>
    </row>
    <row r="9418" spans="1:25" x14ac:dyDescent="0.35">
      <c r="A9418">
        <v>37.290926437699099</v>
      </c>
      <c r="B9418">
        <v>-119.41705978028099</v>
      </c>
      <c r="C9418" t="s">
        <v>25</v>
      </c>
      <c r="D9418">
        <v>25.725344090843201</v>
      </c>
      <c r="E9418">
        <v>3</v>
      </c>
      <c r="F9418">
        <v>1838</v>
      </c>
      <c r="G9418">
        <v>3</v>
      </c>
      <c r="H9418">
        <v>3</v>
      </c>
      <c r="I9418">
        <v>1962</v>
      </c>
      <c r="J9418">
        <v>1</v>
      </c>
      <c r="K9418">
        <v>0</v>
      </c>
      <c r="L9418">
        <v>1</v>
      </c>
      <c r="M9418">
        <v>13</v>
      </c>
      <c r="N9418" t="s">
        <v>26</v>
      </c>
      <c r="O9418" t="s">
        <v>30</v>
      </c>
      <c r="P9418">
        <v>7.3289167337258201</v>
      </c>
      <c r="Q9418">
        <v>1.27161602311278</v>
      </c>
      <c r="R9418">
        <v>0.15461116708007</v>
      </c>
      <c r="S9418">
        <v>22</v>
      </c>
      <c r="T9418">
        <v>43</v>
      </c>
      <c r="U9418">
        <v>733.15374830835503</v>
      </c>
      <c r="V9418">
        <v>7.0729053318824798E-3</v>
      </c>
      <c r="W9418">
        <v>1651927.4749716299</v>
      </c>
      <c r="X9418" t="s">
        <v>39</v>
      </c>
      <c r="Y9418">
        <f>1-427-354-6633</f>
        <v>-7413</v>
      </c>
    </row>
    <row r="9419" spans="1:25" x14ac:dyDescent="0.35">
      <c r="A9419">
        <v>33.626895727621097</v>
      </c>
      <c r="B9419">
        <v>-119.262668884457</v>
      </c>
      <c r="C9419" t="s">
        <v>34</v>
      </c>
      <c r="D9419">
        <v>19.339438646801302</v>
      </c>
      <c r="E9419">
        <v>9</v>
      </c>
      <c r="F9419">
        <v>3917</v>
      </c>
      <c r="G9419">
        <v>1</v>
      </c>
      <c r="H9419">
        <v>1</v>
      </c>
      <c r="I9419">
        <v>2006</v>
      </c>
      <c r="J9419">
        <v>0</v>
      </c>
      <c r="K9419">
        <v>0</v>
      </c>
      <c r="L9419">
        <v>1</v>
      </c>
      <c r="M9419">
        <v>2</v>
      </c>
      <c r="N9419" t="s">
        <v>41</v>
      </c>
      <c r="O9419" t="s">
        <v>30</v>
      </c>
      <c r="P9419">
        <v>5.3422021580992798</v>
      </c>
      <c r="Q9419">
        <v>0.68789257220183597</v>
      </c>
      <c r="R9419">
        <v>3.1281293294029999</v>
      </c>
      <c r="S9419">
        <v>38</v>
      </c>
      <c r="T9419">
        <v>25</v>
      </c>
      <c r="U9419">
        <v>878.88032530667294</v>
      </c>
      <c r="V9419">
        <v>5.1059484299208495E-4</v>
      </c>
      <c r="W9419">
        <v>3558479.4647440002</v>
      </c>
      <c r="X9419" t="s">
        <v>40</v>
      </c>
      <c r="Y9419">
        <f>1-505-752-5500</f>
        <v>-6756</v>
      </c>
    </row>
    <row r="9420" spans="1:25" x14ac:dyDescent="0.35">
      <c r="A9420">
        <v>33.787323928571503</v>
      </c>
      <c r="B9420">
        <v>-117.040240501894</v>
      </c>
      <c r="C9420" t="s">
        <v>34</v>
      </c>
      <c r="D9420">
        <v>15.439245606231999</v>
      </c>
      <c r="E9420">
        <v>2</v>
      </c>
      <c r="F9420">
        <v>3028</v>
      </c>
      <c r="G9420">
        <v>5</v>
      </c>
      <c r="H9420">
        <v>1</v>
      </c>
      <c r="I9420">
        <v>2000</v>
      </c>
      <c r="J9420">
        <v>1</v>
      </c>
      <c r="K9420">
        <v>1</v>
      </c>
      <c r="L9420">
        <v>1</v>
      </c>
      <c r="M9420">
        <v>4</v>
      </c>
      <c r="N9420" t="s">
        <v>26</v>
      </c>
      <c r="O9420" t="s">
        <v>27</v>
      </c>
      <c r="P9420">
        <v>6.5044250643998698</v>
      </c>
      <c r="Q9420">
        <v>1.85553302695768</v>
      </c>
      <c r="R9420">
        <v>3.0341904694247601</v>
      </c>
      <c r="S9420">
        <v>127</v>
      </c>
      <c r="T9420">
        <v>44</v>
      </c>
      <c r="U9420">
        <v>962.20344091369805</v>
      </c>
      <c r="V9420">
        <v>1.3210039630118799E-3</v>
      </c>
      <c r="W9420">
        <v>3348798.4515576698</v>
      </c>
      <c r="X9420" t="s">
        <v>28</v>
      </c>
      <c r="Y9420">
        <f>1-738-936-2981</f>
        <v>-4654</v>
      </c>
    </row>
    <row r="9421" spans="1:25" x14ac:dyDescent="0.35">
      <c r="A9421">
        <v>34.621902878056702</v>
      </c>
      <c r="B9421">
        <v>-115.746776711652</v>
      </c>
      <c r="C9421" t="s">
        <v>29</v>
      </c>
      <c r="D9421">
        <v>39.770570536012897</v>
      </c>
      <c r="E9421">
        <v>9</v>
      </c>
      <c r="F9421">
        <v>1488</v>
      </c>
      <c r="G9421">
        <v>2</v>
      </c>
      <c r="H9421">
        <v>3</v>
      </c>
      <c r="I9421">
        <v>1982</v>
      </c>
      <c r="J9421">
        <v>1</v>
      </c>
      <c r="K9421">
        <v>0</v>
      </c>
      <c r="L9421">
        <v>0</v>
      </c>
      <c r="M9421">
        <v>12</v>
      </c>
      <c r="N9421" t="s">
        <v>26</v>
      </c>
      <c r="O9421" t="s">
        <v>30</v>
      </c>
      <c r="P9421">
        <v>5.8576358758618099</v>
      </c>
      <c r="Q9421">
        <v>2.1156170160528398</v>
      </c>
      <c r="R9421">
        <v>7.0436017457514204</v>
      </c>
      <c r="S9421">
        <v>80</v>
      </c>
      <c r="T9421">
        <v>61</v>
      </c>
      <c r="U9421">
        <v>928.73959075416894</v>
      </c>
      <c r="V9421">
        <v>8.0645161290322492E-3</v>
      </c>
      <c r="W9421">
        <v>1597902.46513144</v>
      </c>
      <c r="X9421" t="s">
        <v>28</v>
      </c>
      <c r="Y9421">
        <f>1-642-672-7212</f>
        <v>-8525</v>
      </c>
    </row>
    <row r="9422" spans="1:25" x14ac:dyDescent="0.35">
      <c r="A9422">
        <v>34.684629351445203</v>
      </c>
      <c r="B9422">
        <v>-118.90519849408</v>
      </c>
      <c r="C9422" t="s">
        <v>25</v>
      </c>
      <c r="D9422">
        <v>33.846389060379799</v>
      </c>
      <c r="E9422">
        <v>1</v>
      </c>
      <c r="F9422">
        <v>3983</v>
      </c>
      <c r="G9422">
        <v>3</v>
      </c>
      <c r="H9422">
        <v>2</v>
      </c>
      <c r="I9422">
        <v>2002</v>
      </c>
      <c r="J9422">
        <v>1</v>
      </c>
      <c r="K9422">
        <v>0</v>
      </c>
      <c r="L9422">
        <v>0</v>
      </c>
      <c r="M9422">
        <v>11</v>
      </c>
      <c r="N9422" t="s">
        <v>35</v>
      </c>
      <c r="O9422" t="s">
        <v>32</v>
      </c>
      <c r="P9422">
        <v>5.5371184032766596</v>
      </c>
      <c r="Q9422">
        <v>1.2393412848035801</v>
      </c>
      <c r="R9422">
        <v>4.2425808204460704</v>
      </c>
      <c r="S9422">
        <v>143</v>
      </c>
      <c r="T9422">
        <v>27</v>
      </c>
      <c r="U9422">
        <v>725.657261141361</v>
      </c>
      <c r="V9422">
        <v>2.7617373838814902E-3</v>
      </c>
      <c r="W9422">
        <v>3151937.58628857</v>
      </c>
      <c r="X9422" t="s">
        <v>39</v>
      </c>
      <c r="Y9422">
        <f>1-753-490-6931</f>
        <v>-8173</v>
      </c>
    </row>
    <row r="9423" spans="1:25" x14ac:dyDescent="0.35">
      <c r="A9423">
        <v>40.131509573342299</v>
      </c>
      <c r="B9423">
        <v>-119.74124082797999</v>
      </c>
      <c r="C9423" t="s">
        <v>25</v>
      </c>
      <c r="D9423">
        <v>29.4177960521335</v>
      </c>
      <c r="E9423">
        <v>8</v>
      </c>
      <c r="F9423">
        <v>586</v>
      </c>
      <c r="G9423">
        <v>3</v>
      </c>
      <c r="H9423">
        <v>2</v>
      </c>
      <c r="I9423">
        <v>2020</v>
      </c>
      <c r="J9423">
        <v>1</v>
      </c>
      <c r="K9423">
        <v>0</v>
      </c>
      <c r="L9423">
        <v>1</v>
      </c>
      <c r="M9423">
        <v>9</v>
      </c>
      <c r="N9423" t="s">
        <v>41</v>
      </c>
      <c r="O9423" t="s">
        <v>30</v>
      </c>
      <c r="P9423">
        <v>4.5374872438684601</v>
      </c>
      <c r="Q9423">
        <v>0.67881049379812897</v>
      </c>
      <c r="R9423">
        <v>8.9355016473761797</v>
      </c>
      <c r="S9423">
        <v>34</v>
      </c>
      <c r="T9423">
        <v>65</v>
      </c>
      <c r="U9423">
        <v>252.933822330407</v>
      </c>
      <c r="V9423">
        <v>1.5358361774744001E-2</v>
      </c>
      <c r="W9423">
        <v>445391.19700517302</v>
      </c>
      <c r="X9423" t="s">
        <v>31</v>
      </c>
      <c r="Y9423">
        <f>1-641-791-4281</f>
        <v>-5712</v>
      </c>
    </row>
    <row r="9424" spans="1:25" x14ac:dyDescent="0.35">
      <c r="A9424">
        <v>41.5485521741874</v>
      </c>
      <c r="B9424">
        <v>-117.283520642573</v>
      </c>
      <c r="C9424" t="s">
        <v>34</v>
      </c>
      <c r="D9424">
        <v>48.427196846014198</v>
      </c>
      <c r="E9424">
        <v>0</v>
      </c>
      <c r="F9424">
        <v>4550</v>
      </c>
      <c r="G9424">
        <v>5</v>
      </c>
      <c r="H9424">
        <v>1</v>
      </c>
      <c r="I9424">
        <v>2008</v>
      </c>
      <c r="J9424">
        <v>0</v>
      </c>
      <c r="K9424">
        <v>1</v>
      </c>
      <c r="L9424">
        <v>1</v>
      </c>
      <c r="M9424">
        <v>12</v>
      </c>
      <c r="N9424" t="s">
        <v>37</v>
      </c>
      <c r="O9424" t="s">
        <v>30</v>
      </c>
      <c r="P9424">
        <v>9.9776205011268608</v>
      </c>
      <c r="Q9424">
        <v>1.3626558331309999</v>
      </c>
      <c r="R9424">
        <v>8.1551731337756905</v>
      </c>
      <c r="S9424">
        <v>22</v>
      </c>
      <c r="T9424">
        <v>77</v>
      </c>
      <c r="U9424">
        <v>584.78209393253599</v>
      </c>
      <c r="V9424">
        <v>2.63736263736263E-3</v>
      </c>
      <c r="W9424">
        <v>3096646.6545580602</v>
      </c>
      <c r="X9424" t="s">
        <v>33</v>
      </c>
      <c r="Y9424">
        <f>1-451-476-8504</f>
        <v>-9430</v>
      </c>
    </row>
    <row r="9425" spans="1:25" x14ac:dyDescent="0.35">
      <c r="A9425">
        <v>40.304909167352299</v>
      </c>
      <c r="B9425">
        <v>-117.421567646238</v>
      </c>
      <c r="C9425" t="s">
        <v>25</v>
      </c>
      <c r="D9425">
        <v>22.486785445710201</v>
      </c>
      <c r="E9425">
        <v>5</v>
      </c>
      <c r="F9425">
        <v>1702</v>
      </c>
      <c r="G9425">
        <v>4</v>
      </c>
      <c r="H9425">
        <v>2</v>
      </c>
      <c r="I9425">
        <v>1992</v>
      </c>
      <c r="J9425">
        <v>0</v>
      </c>
      <c r="K9425">
        <v>1</v>
      </c>
      <c r="L9425">
        <v>0</v>
      </c>
      <c r="M9425">
        <v>8</v>
      </c>
      <c r="N9425" t="s">
        <v>26</v>
      </c>
      <c r="O9425" t="s">
        <v>27</v>
      </c>
      <c r="P9425">
        <v>3.6038474462790102</v>
      </c>
      <c r="Q9425">
        <v>1.45638774945744</v>
      </c>
      <c r="R9425">
        <v>4.0210232002650503</v>
      </c>
      <c r="S9425">
        <v>58</v>
      </c>
      <c r="T9425">
        <v>51</v>
      </c>
      <c r="U9425">
        <v>305.725159396827</v>
      </c>
      <c r="V9425">
        <v>4.7003525264394802E-3</v>
      </c>
      <c r="W9425">
        <v>925494.43018887297</v>
      </c>
      <c r="X9425" t="s">
        <v>40</v>
      </c>
      <c r="Y9425">
        <f>1-784-754-2636</f>
        <v>-4173</v>
      </c>
    </row>
    <row r="9426" spans="1:25" x14ac:dyDescent="0.35">
      <c r="A9426">
        <v>36.625767107761803</v>
      </c>
      <c r="B9426">
        <v>-117.374023186899</v>
      </c>
      <c r="C9426" t="s">
        <v>29</v>
      </c>
      <c r="D9426">
        <v>39.121719303232602</v>
      </c>
      <c r="E9426">
        <v>7</v>
      </c>
      <c r="F9426">
        <v>4709</v>
      </c>
      <c r="G9426">
        <v>3</v>
      </c>
      <c r="H9426">
        <v>1</v>
      </c>
      <c r="I9426">
        <v>1958</v>
      </c>
      <c r="J9426">
        <v>0</v>
      </c>
      <c r="K9426">
        <v>0</v>
      </c>
      <c r="L9426">
        <v>0</v>
      </c>
      <c r="M9426">
        <v>7</v>
      </c>
      <c r="N9426" t="s">
        <v>26</v>
      </c>
      <c r="O9426" t="s">
        <v>32</v>
      </c>
      <c r="P9426">
        <v>13.106616536387</v>
      </c>
      <c r="Q9426">
        <v>0.73186617574004498</v>
      </c>
      <c r="R9426">
        <v>0.27197669695057403</v>
      </c>
      <c r="S9426">
        <v>90</v>
      </c>
      <c r="T9426">
        <v>25</v>
      </c>
      <c r="U9426">
        <v>405.80080758523201</v>
      </c>
      <c r="V9426">
        <v>1.4865151836908001E-3</v>
      </c>
      <c r="W9426">
        <v>2098822.3832490901</v>
      </c>
      <c r="X9426" t="s">
        <v>44</v>
      </c>
      <c r="Y9426">
        <f>1-604-484-7586</f>
        <v>-8673</v>
      </c>
    </row>
    <row r="9427" spans="1:25" x14ac:dyDescent="0.35">
      <c r="A9427">
        <v>35.235146645574297</v>
      </c>
      <c r="B9427">
        <v>-122.72669302228201</v>
      </c>
      <c r="C9427" t="s">
        <v>29</v>
      </c>
      <c r="D9427">
        <v>20.221934005560598</v>
      </c>
      <c r="E9427">
        <v>9</v>
      </c>
      <c r="F9427">
        <v>4929</v>
      </c>
      <c r="G9427">
        <v>5</v>
      </c>
      <c r="H9427">
        <v>2</v>
      </c>
      <c r="I9427">
        <v>1972</v>
      </c>
      <c r="J9427">
        <v>0</v>
      </c>
      <c r="K9427">
        <v>0</v>
      </c>
      <c r="L9427">
        <v>1</v>
      </c>
      <c r="M9427">
        <v>9</v>
      </c>
      <c r="N9427" t="s">
        <v>35</v>
      </c>
      <c r="O9427" t="s">
        <v>30</v>
      </c>
      <c r="P9427">
        <v>8.3206580759049107</v>
      </c>
      <c r="Q9427">
        <v>2.34214956865112</v>
      </c>
      <c r="R9427">
        <v>5.9623993767837202</v>
      </c>
      <c r="S9427">
        <v>166</v>
      </c>
      <c r="T9427">
        <v>49</v>
      </c>
      <c r="U9427">
        <v>925.73105251713298</v>
      </c>
      <c r="V9427">
        <v>1.82592818015824E-3</v>
      </c>
      <c r="W9427">
        <v>4912641.1439807797</v>
      </c>
      <c r="X9427" t="s">
        <v>31</v>
      </c>
      <c r="Y9427">
        <f>1-799-231-9746</f>
        <v>-10775</v>
      </c>
    </row>
    <row r="9428" spans="1:25" x14ac:dyDescent="0.35">
      <c r="A9428">
        <v>37.881146252644697</v>
      </c>
      <c r="B9428">
        <v>-114.12246304489</v>
      </c>
      <c r="C9428" t="s">
        <v>25</v>
      </c>
      <c r="D9428">
        <v>43.515145975699298</v>
      </c>
      <c r="E9428">
        <v>1</v>
      </c>
      <c r="F9428">
        <v>3329</v>
      </c>
      <c r="G9428">
        <v>4</v>
      </c>
      <c r="H9428">
        <v>2</v>
      </c>
      <c r="I9428">
        <v>1996</v>
      </c>
      <c r="J9428">
        <v>1</v>
      </c>
      <c r="K9428">
        <v>0</v>
      </c>
      <c r="L9428">
        <v>1</v>
      </c>
      <c r="M9428">
        <v>2</v>
      </c>
      <c r="N9428" t="s">
        <v>35</v>
      </c>
      <c r="O9428" t="s">
        <v>30</v>
      </c>
      <c r="P9428">
        <v>8.1573984623360403</v>
      </c>
      <c r="Q9428">
        <v>0.89243037790118396</v>
      </c>
      <c r="R9428">
        <v>2.5900698475292598</v>
      </c>
      <c r="S9428">
        <v>67</v>
      </c>
      <c r="T9428">
        <v>67</v>
      </c>
      <c r="U9428">
        <v>719.941488814835</v>
      </c>
      <c r="V9428">
        <v>6.0078101531991503E-4</v>
      </c>
      <c r="W9428">
        <v>2681641.5733637302</v>
      </c>
      <c r="X9428" t="s">
        <v>36</v>
      </c>
      <c r="Y9428">
        <f>1-544-215-4166</f>
        <v>-4924</v>
      </c>
    </row>
    <row r="9429" spans="1:25" x14ac:dyDescent="0.35">
      <c r="A9429">
        <v>38.554581030769299</v>
      </c>
      <c r="B9429">
        <v>-120.691415151958</v>
      </c>
      <c r="C9429" t="s">
        <v>25</v>
      </c>
      <c r="D9429">
        <v>45.3754883686196</v>
      </c>
      <c r="E9429">
        <v>5</v>
      </c>
      <c r="F9429">
        <v>771</v>
      </c>
      <c r="G9429">
        <v>4</v>
      </c>
      <c r="H9429">
        <v>2</v>
      </c>
      <c r="I9429">
        <v>1988</v>
      </c>
      <c r="J9429">
        <v>1</v>
      </c>
      <c r="K9429">
        <v>0</v>
      </c>
      <c r="L9429">
        <v>1</v>
      </c>
      <c r="M9429">
        <v>8</v>
      </c>
      <c r="N9429" t="s">
        <v>37</v>
      </c>
      <c r="O9429" t="s">
        <v>30</v>
      </c>
      <c r="P9429">
        <v>4.1560527346834304</v>
      </c>
      <c r="Q9429">
        <v>1.89273961779725</v>
      </c>
      <c r="R9429">
        <v>2.1355442444273698</v>
      </c>
      <c r="S9429">
        <v>8</v>
      </c>
      <c r="T9429">
        <v>62</v>
      </c>
      <c r="U9429">
        <v>440.60266209953801</v>
      </c>
      <c r="V9429">
        <v>1.03761348897535E-2</v>
      </c>
      <c r="W9429">
        <v>644946.86393769097</v>
      </c>
      <c r="X9429" t="s">
        <v>33</v>
      </c>
      <c r="Y9429">
        <f>1-419-919-7013</f>
        <v>-8350</v>
      </c>
    </row>
    <row r="9430" spans="1:25" x14ac:dyDescent="0.35">
      <c r="A9430">
        <v>33.199561203609797</v>
      </c>
      <c r="B9430">
        <v>-116.26691185246899</v>
      </c>
      <c r="C9430" t="s">
        <v>25</v>
      </c>
      <c r="D9430">
        <v>35.692424804489598</v>
      </c>
      <c r="E9430">
        <v>9</v>
      </c>
      <c r="F9430">
        <v>3819</v>
      </c>
      <c r="G9430">
        <v>4</v>
      </c>
      <c r="H9430">
        <v>3</v>
      </c>
      <c r="I9430">
        <v>1954</v>
      </c>
      <c r="J9430">
        <v>0</v>
      </c>
      <c r="K9430">
        <v>0</v>
      </c>
      <c r="L9430">
        <v>0</v>
      </c>
      <c r="M9430">
        <v>14</v>
      </c>
      <c r="N9430" t="s">
        <v>26</v>
      </c>
      <c r="O9430" t="s">
        <v>32</v>
      </c>
      <c r="P9430">
        <v>7.0781493597504204</v>
      </c>
      <c r="Q9430">
        <v>0.99232039671706795</v>
      </c>
      <c r="R9430">
        <v>0.75863187943784205</v>
      </c>
      <c r="S9430">
        <v>49</v>
      </c>
      <c r="T9430">
        <v>50</v>
      </c>
      <c r="U9430">
        <v>879.74893116129704</v>
      </c>
      <c r="V9430">
        <v>3.6658811207122199E-3</v>
      </c>
      <c r="W9430">
        <v>3605218.7439891398</v>
      </c>
      <c r="X9430" t="s">
        <v>43</v>
      </c>
      <c r="Y9430">
        <f>1-490-933-7925</f>
        <v>-9347</v>
      </c>
    </row>
    <row r="9431" spans="1:25" x14ac:dyDescent="0.35">
      <c r="A9431">
        <v>33.579445327278101</v>
      </c>
      <c r="B9431">
        <v>-116.422773085933</v>
      </c>
      <c r="C9431" t="s">
        <v>29</v>
      </c>
      <c r="D9431">
        <v>24.254996857936199</v>
      </c>
      <c r="E9431">
        <v>3</v>
      </c>
      <c r="F9431">
        <v>3297</v>
      </c>
      <c r="G9431">
        <v>1</v>
      </c>
      <c r="H9431">
        <v>2</v>
      </c>
      <c r="I9431">
        <v>2019</v>
      </c>
      <c r="J9431">
        <v>1</v>
      </c>
      <c r="K9431">
        <v>0</v>
      </c>
      <c r="L9431">
        <v>0</v>
      </c>
      <c r="M9431">
        <v>2</v>
      </c>
      <c r="N9431" t="s">
        <v>26</v>
      </c>
      <c r="O9431" t="s">
        <v>30</v>
      </c>
      <c r="P9431">
        <v>10.183983617706399</v>
      </c>
      <c r="Q9431">
        <v>0.98431994818479696</v>
      </c>
      <c r="R9431">
        <v>8.7843955266173008</v>
      </c>
      <c r="S9431">
        <v>148</v>
      </c>
      <c r="T9431">
        <v>44</v>
      </c>
      <c r="U9431">
        <v>506.67240521475901</v>
      </c>
      <c r="V9431">
        <v>6.0661207158022403E-4</v>
      </c>
      <c r="W9431">
        <v>1813281.5428676601</v>
      </c>
      <c r="X9431" t="s">
        <v>42</v>
      </c>
      <c r="Y9431">
        <f>1-978-755-2416</f>
        <v>-4148</v>
      </c>
    </row>
    <row r="9432" spans="1:25" x14ac:dyDescent="0.35">
      <c r="A9432">
        <v>36.133262512404102</v>
      </c>
      <c r="B9432">
        <v>-119.807449389569</v>
      </c>
      <c r="C9432" t="s">
        <v>25</v>
      </c>
      <c r="D9432">
        <v>44.627798565112698</v>
      </c>
      <c r="E9432">
        <v>1</v>
      </c>
      <c r="F9432">
        <v>3697</v>
      </c>
      <c r="G9432">
        <v>1</v>
      </c>
      <c r="H9432">
        <v>1</v>
      </c>
      <c r="I9432">
        <v>2007</v>
      </c>
      <c r="J9432">
        <v>1</v>
      </c>
      <c r="K9432">
        <v>1</v>
      </c>
      <c r="L9432">
        <v>0</v>
      </c>
      <c r="M9432">
        <v>12</v>
      </c>
      <c r="N9432" t="s">
        <v>35</v>
      </c>
      <c r="O9432" t="s">
        <v>30</v>
      </c>
      <c r="P9432">
        <v>3.0747566484281301</v>
      </c>
      <c r="Q9432">
        <v>1.01363125697788</v>
      </c>
      <c r="R9432">
        <v>0.43068017872907099</v>
      </c>
      <c r="S9432">
        <v>136</v>
      </c>
      <c r="T9432">
        <v>22</v>
      </c>
      <c r="U9432">
        <v>409.38858459288002</v>
      </c>
      <c r="V9432">
        <v>3.24587503381119E-3</v>
      </c>
      <c r="W9432">
        <v>1749982.1903655599</v>
      </c>
      <c r="X9432" t="s">
        <v>42</v>
      </c>
      <c r="Y9432">
        <f>1-597-809-1391</f>
        <v>-2796</v>
      </c>
    </row>
    <row r="9433" spans="1:25" x14ac:dyDescent="0.35">
      <c r="A9433">
        <v>33.275151834094501</v>
      </c>
      <c r="B9433">
        <v>-119.296655674647</v>
      </c>
      <c r="C9433" t="s">
        <v>25</v>
      </c>
      <c r="D9433">
        <v>29.057746009165299</v>
      </c>
      <c r="E9433">
        <v>0</v>
      </c>
      <c r="F9433">
        <v>1878</v>
      </c>
      <c r="G9433">
        <v>4</v>
      </c>
      <c r="H9433">
        <v>3</v>
      </c>
      <c r="I9433">
        <v>1970</v>
      </c>
      <c r="J9433">
        <v>1</v>
      </c>
      <c r="K9433">
        <v>0</v>
      </c>
      <c r="L9433">
        <v>1</v>
      </c>
      <c r="M9433">
        <v>5</v>
      </c>
      <c r="N9433" t="s">
        <v>41</v>
      </c>
      <c r="O9433" t="s">
        <v>30</v>
      </c>
      <c r="P9433">
        <v>9.9328076553020495</v>
      </c>
      <c r="Q9433">
        <v>1.92115508343356</v>
      </c>
      <c r="R9433">
        <v>7.3627475384341698</v>
      </c>
      <c r="S9433">
        <v>43</v>
      </c>
      <c r="T9433">
        <v>65</v>
      </c>
      <c r="U9433">
        <v>238.701063896779</v>
      </c>
      <c r="V9433">
        <v>2.6624068157614401E-3</v>
      </c>
      <c r="W9433">
        <v>749462.50985844596</v>
      </c>
      <c r="X9433" t="s">
        <v>42</v>
      </c>
      <c r="Y9433">
        <f>1-823-468-4081</f>
        <v>-5371</v>
      </c>
    </row>
    <row r="9434" spans="1:25" x14ac:dyDescent="0.35">
      <c r="A9434">
        <v>33.919004153054502</v>
      </c>
      <c r="B9434">
        <v>-115.895105988583</v>
      </c>
      <c r="C9434" t="s">
        <v>25</v>
      </c>
      <c r="D9434">
        <v>29.769019550678099</v>
      </c>
      <c r="E9434">
        <v>6</v>
      </c>
      <c r="F9434">
        <v>988</v>
      </c>
      <c r="G9434">
        <v>4</v>
      </c>
      <c r="H9434">
        <v>3</v>
      </c>
      <c r="I9434">
        <v>1990</v>
      </c>
      <c r="J9434">
        <v>0</v>
      </c>
      <c r="K9434">
        <v>0</v>
      </c>
      <c r="L9434">
        <v>1</v>
      </c>
      <c r="M9434">
        <v>5</v>
      </c>
      <c r="N9434" t="s">
        <v>37</v>
      </c>
      <c r="O9434" t="s">
        <v>27</v>
      </c>
      <c r="P9434">
        <v>13.104252462444901</v>
      </c>
      <c r="Q9434">
        <v>2.1356001825454398</v>
      </c>
      <c r="R9434">
        <v>3.4526640684424899</v>
      </c>
      <c r="S9434">
        <v>28</v>
      </c>
      <c r="T9434">
        <v>75</v>
      </c>
      <c r="U9434">
        <v>671.93335165027304</v>
      </c>
      <c r="V9434">
        <v>5.0607287449392696E-3</v>
      </c>
      <c r="W9434">
        <v>1066287.0413803</v>
      </c>
      <c r="X9434" t="s">
        <v>39</v>
      </c>
      <c r="Y9434">
        <f>1-373-833-6542</f>
        <v>-7747</v>
      </c>
    </row>
    <row r="9435" spans="1:25" x14ac:dyDescent="0.35">
      <c r="A9435">
        <v>33.343007965877497</v>
      </c>
      <c r="B9435">
        <v>-124.096281163688</v>
      </c>
      <c r="C9435" t="s">
        <v>29</v>
      </c>
      <c r="D9435">
        <v>4.0486820130987597</v>
      </c>
      <c r="E9435">
        <v>1</v>
      </c>
      <c r="F9435">
        <v>3957</v>
      </c>
      <c r="G9435">
        <v>3</v>
      </c>
      <c r="H9435">
        <v>2</v>
      </c>
      <c r="I9435">
        <v>1980</v>
      </c>
      <c r="J9435">
        <v>0</v>
      </c>
      <c r="K9435">
        <v>0</v>
      </c>
      <c r="L9435">
        <v>1</v>
      </c>
      <c r="M9435">
        <v>11</v>
      </c>
      <c r="N9435" t="s">
        <v>37</v>
      </c>
      <c r="O9435" t="s">
        <v>30</v>
      </c>
      <c r="P9435">
        <v>14.766646914421299</v>
      </c>
      <c r="Q9435">
        <v>1.0392557147626</v>
      </c>
      <c r="R9435">
        <v>3.0155495804016099</v>
      </c>
      <c r="S9435">
        <v>178</v>
      </c>
      <c r="T9435">
        <v>58</v>
      </c>
      <c r="U9435">
        <v>829.60407220349805</v>
      </c>
      <c r="V9435">
        <v>2.7798837503158901E-3</v>
      </c>
      <c r="W9435">
        <v>3541440.5107520102</v>
      </c>
      <c r="X9435" t="s">
        <v>38</v>
      </c>
      <c r="Y9435">
        <f>1-214-746-2448</f>
        <v>-3407</v>
      </c>
    </row>
    <row r="9436" spans="1:25" x14ac:dyDescent="0.35">
      <c r="A9436">
        <v>33.828128331111699</v>
      </c>
      <c r="B9436">
        <v>-121.05735454881901</v>
      </c>
      <c r="C9436" t="s">
        <v>34</v>
      </c>
      <c r="D9436">
        <v>36.195411838755398</v>
      </c>
      <c r="E9436">
        <v>7</v>
      </c>
      <c r="F9436">
        <v>3901</v>
      </c>
      <c r="G9436">
        <v>2</v>
      </c>
      <c r="H9436">
        <v>1</v>
      </c>
      <c r="I9436">
        <v>1961</v>
      </c>
      <c r="J9436">
        <v>0</v>
      </c>
      <c r="K9436">
        <v>0</v>
      </c>
      <c r="L9436">
        <v>0</v>
      </c>
      <c r="M9436">
        <v>9</v>
      </c>
      <c r="N9436" t="s">
        <v>37</v>
      </c>
      <c r="O9436" t="s">
        <v>32</v>
      </c>
      <c r="P9436">
        <v>10.780578286438701</v>
      </c>
      <c r="Q9436">
        <v>1.3141502822022</v>
      </c>
      <c r="R9436">
        <v>3.4586996339941498</v>
      </c>
      <c r="S9436">
        <v>65</v>
      </c>
      <c r="T9436">
        <v>22</v>
      </c>
      <c r="U9436">
        <v>806.477562094772</v>
      </c>
      <c r="V9436">
        <v>2.3071007433991199E-3</v>
      </c>
      <c r="W9436">
        <v>3327732.7980015599</v>
      </c>
      <c r="X9436" t="s">
        <v>44</v>
      </c>
      <c r="Y9436">
        <f>1-590-526-8923</f>
        <v>-10038</v>
      </c>
    </row>
    <row r="9437" spans="1:25" x14ac:dyDescent="0.35">
      <c r="A9437">
        <v>39.313363504440503</v>
      </c>
      <c r="B9437">
        <v>-123.25044326567399</v>
      </c>
      <c r="C9437" t="s">
        <v>29</v>
      </c>
      <c r="D9437">
        <v>24.773273477971198</v>
      </c>
      <c r="E9437">
        <v>2</v>
      </c>
      <c r="F9437">
        <v>2638</v>
      </c>
      <c r="G9437">
        <v>2</v>
      </c>
      <c r="H9437">
        <v>1</v>
      </c>
      <c r="I9437">
        <v>2017</v>
      </c>
      <c r="J9437">
        <v>0</v>
      </c>
      <c r="K9437">
        <v>0</v>
      </c>
      <c r="L9437">
        <v>0</v>
      </c>
      <c r="M9437">
        <v>2</v>
      </c>
      <c r="N9437" t="s">
        <v>37</v>
      </c>
      <c r="O9437" t="s">
        <v>32</v>
      </c>
      <c r="P9437">
        <v>12.667981013694</v>
      </c>
      <c r="Q9437">
        <v>1.0158796900776701</v>
      </c>
      <c r="R9437">
        <v>9.6706141206603604</v>
      </c>
      <c r="S9437">
        <v>164</v>
      </c>
      <c r="T9437">
        <v>39</v>
      </c>
      <c r="U9437">
        <v>524.64204092978605</v>
      </c>
      <c r="V9437">
        <v>7.5815011372251705E-4</v>
      </c>
      <c r="W9437">
        <v>1423367.783109</v>
      </c>
      <c r="X9437" t="s">
        <v>43</v>
      </c>
      <c r="Y9437">
        <f>1-822-687-3533</f>
        <v>-5041</v>
      </c>
    </row>
    <row r="9438" spans="1:25" x14ac:dyDescent="0.35">
      <c r="A9438">
        <v>41.074836529746896</v>
      </c>
      <c r="B9438">
        <v>-121.688736739752</v>
      </c>
      <c r="C9438" t="s">
        <v>34</v>
      </c>
      <c r="D9438">
        <v>49.248607646662997</v>
      </c>
      <c r="E9438">
        <v>6</v>
      </c>
      <c r="F9438">
        <v>1377</v>
      </c>
      <c r="G9438">
        <v>1</v>
      </c>
      <c r="H9438">
        <v>3</v>
      </c>
      <c r="I9438">
        <v>2012</v>
      </c>
      <c r="J9438">
        <v>1</v>
      </c>
      <c r="K9438">
        <v>1</v>
      </c>
      <c r="L9438">
        <v>1</v>
      </c>
      <c r="M9438">
        <v>9</v>
      </c>
      <c r="N9438" t="s">
        <v>26</v>
      </c>
      <c r="O9438" t="s">
        <v>27</v>
      </c>
      <c r="P9438">
        <v>2.4175571256234201</v>
      </c>
      <c r="Q9438">
        <v>1.84001288832776</v>
      </c>
      <c r="R9438">
        <v>3.48225572254634</v>
      </c>
      <c r="S9438">
        <v>3</v>
      </c>
      <c r="T9438">
        <v>26</v>
      </c>
      <c r="U9438">
        <v>290.19315357637402</v>
      </c>
      <c r="V9438">
        <v>6.5359477124183E-3</v>
      </c>
      <c r="W9438">
        <v>738266.77809423802</v>
      </c>
      <c r="X9438" t="s">
        <v>28</v>
      </c>
      <c r="Y9438">
        <f>1-238-848-2780</f>
        <v>-3865</v>
      </c>
    </row>
    <row r="9439" spans="1:25" x14ac:dyDescent="0.35">
      <c r="A9439">
        <v>33.790572755869</v>
      </c>
      <c r="B9439">
        <v>-115.469099882865</v>
      </c>
      <c r="C9439" t="s">
        <v>34</v>
      </c>
      <c r="D9439">
        <v>39.5206987362155</v>
      </c>
      <c r="E9439">
        <v>7</v>
      </c>
      <c r="F9439">
        <v>4536</v>
      </c>
      <c r="G9439">
        <v>5</v>
      </c>
      <c r="H9439">
        <v>2</v>
      </c>
      <c r="I9439">
        <v>1956</v>
      </c>
      <c r="J9439">
        <v>0</v>
      </c>
      <c r="K9439">
        <v>0</v>
      </c>
      <c r="L9439">
        <v>0</v>
      </c>
      <c r="M9439">
        <v>7</v>
      </c>
      <c r="N9439" t="s">
        <v>35</v>
      </c>
      <c r="O9439" t="s">
        <v>32</v>
      </c>
      <c r="P9439">
        <v>4.15747534747514</v>
      </c>
      <c r="Q9439">
        <v>1.68627593471618</v>
      </c>
      <c r="R9439">
        <v>7.3717485219810603</v>
      </c>
      <c r="S9439">
        <v>177</v>
      </c>
      <c r="T9439">
        <v>53</v>
      </c>
      <c r="U9439">
        <v>647.17229866878802</v>
      </c>
      <c r="V9439">
        <v>1.5432098765432E-3</v>
      </c>
      <c r="W9439">
        <v>3130725.0300625302</v>
      </c>
      <c r="X9439" t="s">
        <v>44</v>
      </c>
      <c r="Y9439">
        <f>1-661-595-4062</f>
        <v>-5317</v>
      </c>
    </row>
    <row r="9440" spans="1:25" x14ac:dyDescent="0.35">
      <c r="A9440">
        <v>37.963799425329803</v>
      </c>
      <c r="B9440">
        <v>-123.38199172473399</v>
      </c>
      <c r="C9440" t="s">
        <v>34</v>
      </c>
      <c r="D9440">
        <v>6.5413329695062901</v>
      </c>
      <c r="E9440">
        <v>3</v>
      </c>
      <c r="F9440">
        <v>1064</v>
      </c>
      <c r="G9440">
        <v>3</v>
      </c>
      <c r="H9440">
        <v>1</v>
      </c>
      <c r="I9440">
        <v>1975</v>
      </c>
      <c r="J9440">
        <v>0</v>
      </c>
      <c r="K9440">
        <v>0</v>
      </c>
      <c r="L9440">
        <v>0</v>
      </c>
      <c r="M9440">
        <v>6</v>
      </c>
      <c r="N9440" t="s">
        <v>37</v>
      </c>
      <c r="O9440" t="s">
        <v>32</v>
      </c>
      <c r="P9440">
        <v>13.8685453919789</v>
      </c>
      <c r="Q9440">
        <v>2.0910340554570501</v>
      </c>
      <c r="R9440">
        <v>3.8379048390266099</v>
      </c>
      <c r="S9440">
        <v>116</v>
      </c>
      <c r="T9440">
        <v>25</v>
      </c>
      <c r="U9440">
        <v>631.10092102682302</v>
      </c>
      <c r="V9440">
        <v>5.6390977443609002E-3</v>
      </c>
      <c r="W9440">
        <v>861181.28060431895</v>
      </c>
      <c r="X9440" t="s">
        <v>38</v>
      </c>
      <c r="Y9440">
        <f>1-846-615-4758</f>
        <v>-6218</v>
      </c>
    </row>
    <row r="9441" spans="1:25" x14ac:dyDescent="0.35">
      <c r="A9441">
        <v>33.401406765800601</v>
      </c>
      <c r="B9441">
        <v>-123.981591834818</v>
      </c>
      <c r="C9441" t="s">
        <v>29</v>
      </c>
      <c r="D9441">
        <v>30.5698803629477</v>
      </c>
      <c r="E9441">
        <v>4</v>
      </c>
      <c r="F9441">
        <v>4685</v>
      </c>
      <c r="G9441">
        <v>2</v>
      </c>
      <c r="H9441">
        <v>3</v>
      </c>
      <c r="I9441">
        <v>2008</v>
      </c>
      <c r="J9441">
        <v>1</v>
      </c>
      <c r="K9441">
        <v>0</v>
      </c>
      <c r="L9441">
        <v>1</v>
      </c>
      <c r="M9441">
        <v>6</v>
      </c>
      <c r="N9441" t="s">
        <v>26</v>
      </c>
      <c r="O9441" t="s">
        <v>27</v>
      </c>
      <c r="P9441">
        <v>9.6588411425110099</v>
      </c>
      <c r="Q9441">
        <v>1.9208278152370599</v>
      </c>
      <c r="R9441">
        <v>7.2358611148363599</v>
      </c>
      <c r="S9441">
        <v>162</v>
      </c>
      <c r="T9441">
        <v>37</v>
      </c>
      <c r="U9441">
        <v>444.015703237406</v>
      </c>
      <c r="V9441">
        <v>1.2806830309498301E-3</v>
      </c>
      <c r="W9441">
        <v>2305651.5049312599</v>
      </c>
      <c r="X9441" t="s">
        <v>43</v>
      </c>
      <c r="Y9441">
        <f>1-781-888-7201</f>
        <v>-8869</v>
      </c>
    </row>
    <row r="9442" spans="1:25" x14ac:dyDescent="0.35">
      <c r="A9442">
        <v>41.563032948666802</v>
      </c>
      <c r="B9442">
        <v>-122.79742295315801</v>
      </c>
      <c r="C9442" t="s">
        <v>29</v>
      </c>
      <c r="D9442">
        <v>25.099124938711402</v>
      </c>
      <c r="E9442">
        <v>1</v>
      </c>
      <c r="F9442">
        <v>1843</v>
      </c>
      <c r="G9442">
        <v>2</v>
      </c>
      <c r="H9442">
        <v>1</v>
      </c>
      <c r="I9442">
        <v>2010</v>
      </c>
      <c r="J9442">
        <v>0</v>
      </c>
      <c r="K9442">
        <v>1</v>
      </c>
      <c r="L9442">
        <v>1</v>
      </c>
      <c r="M9442">
        <v>6</v>
      </c>
      <c r="N9442" t="s">
        <v>41</v>
      </c>
      <c r="O9442" t="s">
        <v>30</v>
      </c>
      <c r="P9442">
        <v>7.7173718957940096</v>
      </c>
      <c r="Q9442">
        <v>1.67432383891317</v>
      </c>
      <c r="R9442">
        <v>8.7333295815722902</v>
      </c>
      <c r="S9442">
        <v>178</v>
      </c>
      <c r="T9442">
        <v>45</v>
      </c>
      <c r="U9442">
        <v>727.29440645248303</v>
      </c>
      <c r="V9442">
        <v>3.2555615843732999E-3</v>
      </c>
      <c r="W9442">
        <v>1636621.55545149</v>
      </c>
      <c r="X9442" t="s">
        <v>38</v>
      </c>
      <c r="Y9442">
        <f>1-778-132-9486</f>
        <v>-10395</v>
      </c>
    </row>
    <row r="9443" spans="1:25" x14ac:dyDescent="0.35">
      <c r="A9443">
        <v>41.875209130683203</v>
      </c>
      <c r="B9443">
        <v>-118.589781520271</v>
      </c>
      <c r="C9443" t="s">
        <v>34</v>
      </c>
      <c r="D9443">
        <v>33.408238039306397</v>
      </c>
      <c r="E9443">
        <v>1</v>
      </c>
      <c r="F9443">
        <v>2600</v>
      </c>
      <c r="G9443">
        <v>4</v>
      </c>
      <c r="H9443">
        <v>1</v>
      </c>
      <c r="I9443">
        <v>2004</v>
      </c>
      <c r="J9443">
        <v>1</v>
      </c>
      <c r="K9443">
        <v>0</v>
      </c>
      <c r="L9443">
        <v>1</v>
      </c>
      <c r="M9443">
        <v>12</v>
      </c>
      <c r="N9443" t="s">
        <v>26</v>
      </c>
      <c r="O9443" t="s">
        <v>27</v>
      </c>
      <c r="P9443">
        <v>8.6327901911126208</v>
      </c>
      <c r="Q9443">
        <v>1.8090829395161001</v>
      </c>
      <c r="R9443">
        <v>9.5333978215120201</v>
      </c>
      <c r="S9443">
        <v>101</v>
      </c>
      <c r="T9443">
        <v>25</v>
      </c>
      <c r="U9443">
        <v>758.69749909549103</v>
      </c>
      <c r="V9443">
        <v>4.6153846153846097E-3</v>
      </c>
      <c r="W9443">
        <v>2225951.4454089301</v>
      </c>
      <c r="X9443" t="s">
        <v>28</v>
      </c>
      <c r="Y9443">
        <f>1-283-649-9423</f>
        <v>-10354</v>
      </c>
    </row>
    <row r="9444" spans="1:25" x14ac:dyDescent="0.35">
      <c r="A9444">
        <v>35.645206543665999</v>
      </c>
      <c r="B9444">
        <v>-121.935865650864</v>
      </c>
      <c r="C9444" t="s">
        <v>29</v>
      </c>
      <c r="D9444">
        <v>24.382556194439001</v>
      </c>
      <c r="E9444">
        <v>0</v>
      </c>
      <c r="F9444">
        <v>3191</v>
      </c>
      <c r="G9444">
        <v>2</v>
      </c>
      <c r="H9444">
        <v>3</v>
      </c>
      <c r="I9444">
        <v>1997</v>
      </c>
      <c r="J9444">
        <v>1</v>
      </c>
      <c r="K9444">
        <v>1</v>
      </c>
      <c r="L9444">
        <v>0</v>
      </c>
      <c r="M9444">
        <v>3</v>
      </c>
      <c r="N9444" t="s">
        <v>41</v>
      </c>
      <c r="O9444" t="s">
        <v>27</v>
      </c>
      <c r="P9444">
        <v>7.65148184577136</v>
      </c>
      <c r="Q9444">
        <v>0.74428846451433495</v>
      </c>
      <c r="R9444">
        <v>2.9046209558596701</v>
      </c>
      <c r="S9444">
        <v>111</v>
      </c>
      <c r="T9444">
        <v>39</v>
      </c>
      <c r="U9444">
        <v>865.407621797807</v>
      </c>
      <c r="V9444">
        <v>9.4014415543716701E-4</v>
      </c>
      <c r="W9444">
        <v>3150773.2212771098</v>
      </c>
      <c r="X9444" t="s">
        <v>28</v>
      </c>
      <c r="Y9444">
        <f>1-318-553-9672</f>
        <v>-10542</v>
      </c>
    </row>
    <row r="9445" spans="1:25" x14ac:dyDescent="0.35">
      <c r="A9445">
        <v>36.745214991441998</v>
      </c>
      <c r="B9445">
        <v>-116.42728905804</v>
      </c>
      <c r="C9445" t="s">
        <v>34</v>
      </c>
      <c r="D9445">
        <v>45.510386263596097</v>
      </c>
      <c r="E9445">
        <v>9</v>
      </c>
      <c r="F9445">
        <v>1999</v>
      </c>
      <c r="G9445">
        <v>2</v>
      </c>
      <c r="H9445">
        <v>1</v>
      </c>
      <c r="I9445">
        <v>1979</v>
      </c>
      <c r="J9445">
        <v>0</v>
      </c>
      <c r="K9445">
        <v>0</v>
      </c>
      <c r="L9445">
        <v>1</v>
      </c>
      <c r="M9445">
        <v>7</v>
      </c>
      <c r="N9445" t="s">
        <v>26</v>
      </c>
      <c r="O9445" t="s">
        <v>30</v>
      </c>
      <c r="P9445">
        <v>13.184331531349899</v>
      </c>
      <c r="Q9445">
        <v>0.94570251925815496</v>
      </c>
      <c r="R9445">
        <v>7.3680669206904597</v>
      </c>
      <c r="S9445">
        <v>5</v>
      </c>
      <c r="T9445">
        <v>55</v>
      </c>
      <c r="U9445">
        <v>657.22126933187099</v>
      </c>
      <c r="V9445">
        <v>3.5017508754377098E-3</v>
      </c>
      <c r="W9445">
        <v>1440005.35435857</v>
      </c>
      <c r="X9445" t="s">
        <v>36</v>
      </c>
      <c r="Y9445">
        <f>1-295-791-4110</f>
        <v>-5195</v>
      </c>
    </row>
    <row r="9446" spans="1:25" x14ac:dyDescent="0.35">
      <c r="A9446">
        <v>41.450915617357197</v>
      </c>
      <c r="B9446">
        <v>-123.69071166959201</v>
      </c>
      <c r="C9446" t="s">
        <v>25</v>
      </c>
      <c r="D9446">
        <v>31.592608857477199</v>
      </c>
      <c r="E9446">
        <v>2</v>
      </c>
      <c r="F9446">
        <v>4516</v>
      </c>
      <c r="G9446">
        <v>5</v>
      </c>
      <c r="H9446">
        <v>3</v>
      </c>
      <c r="I9446">
        <v>1953</v>
      </c>
      <c r="J9446">
        <v>0</v>
      </c>
      <c r="K9446">
        <v>1</v>
      </c>
      <c r="L9446">
        <v>1</v>
      </c>
      <c r="M9446">
        <v>6</v>
      </c>
      <c r="N9446" t="s">
        <v>37</v>
      </c>
      <c r="O9446" t="s">
        <v>27</v>
      </c>
      <c r="P9446">
        <v>12.4804441217922</v>
      </c>
      <c r="Q9446">
        <v>0.64232940332903998</v>
      </c>
      <c r="R9446">
        <v>5.0749652585878202</v>
      </c>
      <c r="S9446">
        <v>191</v>
      </c>
      <c r="T9446">
        <v>63</v>
      </c>
      <c r="U9446">
        <v>639.08644325310604</v>
      </c>
      <c r="V9446">
        <v>1.32860938883968E-3</v>
      </c>
      <c r="W9446">
        <v>3320623.4428754901</v>
      </c>
      <c r="X9446" t="s">
        <v>31</v>
      </c>
      <c r="Y9446">
        <f>1-319-780-1573</f>
        <v>-2671</v>
      </c>
    </row>
    <row r="9447" spans="1:25" x14ac:dyDescent="0.35">
      <c r="A9447">
        <v>39.2967212652255</v>
      </c>
      <c r="B9447">
        <v>-121.62238709779599</v>
      </c>
      <c r="C9447" t="s">
        <v>25</v>
      </c>
      <c r="D9447">
        <v>21.950573991643399</v>
      </c>
      <c r="E9447">
        <v>8</v>
      </c>
      <c r="F9447">
        <v>973</v>
      </c>
      <c r="G9447">
        <v>3</v>
      </c>
      <c r="H9447">
        <v>1</v>
      </c>
      <c r="I9447">
        <v>2007</v>
      </c>
      <c r="J9447">
        <v>1</v>
      </c>
      <c r="K9447">
        <v>0</v>
      </c>
      <c r="L9447">
        <v>0</v>
      </c>
      <c r="M9447">
        <v>13</v>
      </c>
      <c r="N9447" t="s">
        <v>26</v>
      </c>
      <c r="O9447" t="s">
        <v>27</v>
      </c>
      <c r="P9447">
        <v>11.102730045049199</v>
      </c>
      <c r="Q9447">
        <v>0.82502365122349997</v>
      </c>
      <c r="R9447">
        <v>6.1402329900411701</v>
      </c>
      <c r="S9447">
        <v>166</v>
      </c>
      <c r="T9447">
        <v>22</v>
      </c>
      <c r="U9447">
        <v>300.02174239261302</v>
      </c>
      <c r="V9447">
        <v>1.3360739979445001E-2</v>
      </c>
      <c r="W9447">
        <v>559672.59267090505</v>
      </c>
      <c r="X9447" t="s">
        <v>39</v>
      </c>
      <c r="Y9447">
        <f>1-784-248-1476</f>
        <v>-2507</v>
      </c>
    </row>
    <row r="9448" spans="1:25" x14ac:dyDescent="0.35">
      <c r="A9448">
        <v>40.866881406327799</v>
      </c>
      <c r="B9448">
        <v>-119.242843941431</v>
      </c>
      <c r="C9448" t="s">
        <v>29</v>
      </c>
      <c r="D9448">
        <v>42.408657457870902</v>
      </c>
      <c r="E9448">
        <v>4</v>
      </c>
      <c r="F9448">
        <v>3615</v>
      </c>
      <c r="G9448">
        <v>4</v>
      </c>
      <c r="H9448">
        <v>1</v>
      </c>
      <c r="I9448">
        <v>1977</v>
      </c>
      <c r="J9448">
        <v>0</v>
      </c>
      <c r="K9448">
        <v>0</v>
      </c>
      <c r="L9448">
        <v>0</v>
      </c>
      <c r="M9448">
        <v>14</v>
      </c>
      <c r="N9448" t="s">
        <v>26</v>
      </c>
      <c r="O9448" t="s">
        <v>27</v>
      </c>
      <c r="P9448">
        <v>3.0422595282101099</v>
      </c>
      <c r="Q9448">
        <v>0.693663556821287</v>
      </c>
      <c r="R9448">
        <v>5.9037419317735296</v>
      </c>
      <c r="S9448">
        <v>161</v>
      </c>
      <c r="T9448">
        <v>22</v>
      </c>
      <c r="U9448">
        <v>657.28743818981195</v>
      </c>
      <c r="V9448">
        <v>3.8727524204702599E-3</v>
      </c>
      <c r="W9448">
        <v>2549084.76446258</v>
      </c>
      <c r="X9448" t="s">
        <v>31</v>
      </c>
      <c r="Y9448">
        <f>1-263-543-9014</f>
        <v>-9819</v>
      </c>
    </row>
    <row r="9449" spans="1:25" x14ac:dyDescent="0.35">
      <c r="A9449">
        <v>41.195912405975101</v>
      </c>
      <c r="B9449">
        <v>-117.01833080296799</v>
      </c>
      <c r="C9449" t="s">
        <v>25</v>
      </c>
      <c r="D9449">
        <v>10.444307790530299</v>
      </c>
      <c r="E9449">
        <v>0</v>
      </c>
      <c r="F9449">
        <v>4435</v>
      </c>
      <c r="G9449">
        <v>1</v>
      </c>
      <c r="H9449">
        <v>2</v>
      </c>
      <c r="I9449">
        <v>2018</v>
      </c>
      <c r="J9449">
        <v>1</v>
      </c>
      <c r="K9449">
        <v>0</v>
      </c>
      <c r="L9449">
        <v>0</v>
      </c>
      <c r="M9449">
        <v>10</v>
      </c>
      <c r="N9449" t="s">
        <v>37</v>
      </c>
      <c r="O9449" t="s">
        <v>30</v>
      </c>
      <c r="P9449">
        <v>5.4840934428881702</v>
      </c>
      <c r="Q9449">
        <v>0.85893599441119095</v>
      </c>
      <c r="R9449">
        <v>1.1140844621100601</v>
      </c>
      <c r="S9449">
        <v>13</v>
      </c>
      <c r="T9449">
        <v>25</v>
      </c>
      <c r="U9449">
        <v>246.655165590753</v>
      </c>
      <c r="V9449">
        <v>2.25479143179255E-3</v>
      </c>
      <c r="W9449">
        <v>1272212.76787333</v>
      </c>
      <c r="X9449" t="s">
        <v>36</v>
      </c>
      <c r="Y9449">
        <f>1-929-180-5218</f>
        <v>-6326</v>
      </c>
    </row>
    <row r="9450" spans="1:25" x14ac:dyDescent="0.35">
      <c r="A9450">
        <v>36.853149042062597</v>
      </c>
      <c r="B9450">
        <v>-116.513008568998</v>
      </c>
      <c r="C9450" t="s">
        <v>29</v>
      </c>
      <c r="D9450">
        <v>19.193226616228198</v>
      </c>
      <c r="E9450">
        <v>8</v>
      </c>
      <c r="F9450">
        <v>1445</v>
      </c>
      <c r="G9450">
        <v>1</v>
      </c>
      <c r="H9450">
        <v>2</v>
      </c>
      <c r="I9450">
        <v>1975</v>
      </c>
      <c r="J9450">
        <v>1</v>
      </c>
      <c r="K9450">
        <v>1</v>
      </c>
      <c r="L9450">
        <v>1</v>
      </c>
      <c r="M9450">
        <v>4</v>
      </c>
      <c r="N9450" t="s">
        <v>26</v>
      </c>
      <c r="O9450" t="s">
        <v>32</v>
      </c>
      <c r="P9450">
        <v>3.76401360424255</v>
      </c>
      <c r="Q9450">
        <v>2.0329118541668199</v>
      </c>
      <c r="R9450">
        <v>0.41392429408334203</v>
      </c>
      <c r="S9450">
        <v>173</v>
      </c>
      <c r="T9450">
        <v>73</v>
      </c>
      <c r="U9450">
        <v>376.81004651053502</v>
      </c>
      <c r="V9450">
        <v>2.76816608996539E-3</v>
      </c>
      <c r="W9450">
        <v>763356.59112784604</v>
      </c>
      <c r="X9450" t="s">
        <v>44</v>
      </c>
      <c r="Y9450">
        <f>1-819-838-2045</f>
        <v>-3701</v>
      </c>
    </row>
    <row r="9451" spans="1:25" x14ac:dyDescent="0.35">
      <c r="A9451">
        <v>35.123581158385697</v>
      </c>
      <c r="B9451">
        <v>-116.09826466034799</v>
      </c>
      <c r="C9451" t="s">
        <v>29</v>
      </c>
      <c r="D9451">
        <v>17.456053065996802</v>
      </c>
      <c r="E9451">
        <v>2</v>
      </c>
      <c r="F9451">
        <v>4066</v>
      </c>
      <c r="G9451">
        <v>3</v>
      </c>
      <c r="H9451">
        <v>1</v>
      </c>
      <c r="I9451">
        <v>2006</v>
      </c>
      <c r="J9451">
        <v>1</v>
      </c>
      <c r="K9451">
        <v>0</v>
      </c>
      <c r="L9451">
        <v>1</v>
      </c>
      <c r="M9451">
        <v>4</v>
      </c>
      <c r="N9451" t="s">
        <v>26</v>
      </c>
      <c r="O9451" t="s">
        <v>27</v>
      </c>
      <c r="P9451">
        <v>3.6909721972608902</v>
      </c>
      <c r="Q9451">
        <v>1.8934147548927001</v>
      </c>
      <c r="R9451">
        <v>0.25118138974460003</v>
      </c>
      <c r="S9451">
        <v>144</v>
      </c>
      <c r="T9451">
        <v>34</v>
      </c>
      <c r="U9451">
        <v>656.91254097514104</v>
      </c>
      <c r="V9451">
        <v>9.8376783079193305E-4</v>
      </c>
      <c r="W9451">
        <v>2885077.6970166899</v>
      </c>
      <c r="X9451" t="s">
        <v>44</v>
      </c>
      <c r="Y9451">
        <f>1-612-291-6256</f>
        <v>-7158</v>
      </c>
    </row>
    <row r="9452" spans="1:25" x14ac:dyDescent="0.35">
      <c r="A9452">
        <v>41.643506046442397</v>
      </c>
      <c r="B9452">
        <v>-117.00717997445599</v>
      </c>
      <c r="C9452" t="s">
        <v>34</v>
      </c>
      <c r="D9452">
        <v>19.339574900230499</v>
      </c>
      <c r="E9452">
        <v>2</v>
      </c>
      <c r="F9452">
        <v>2839</v>
      </c>
      <c r="G9452">
        <v>1</v>
      </c>
      <c r="H9452">
        <v>3</v>
      </c>
      <c r="I9452">
        <v>1956</v>
      </c>
      <c r="J9452">
        <v>0</v>
      </c>
      <c r="K9452">
        <v>0</v>
      </c>
      <c r="L9452">
        <v>1</v>
      </c>
      <c r="M9452">
        <v>7</v>
      </c>
      <c r="N9452" t="s">
        <v>37</v>
      </c>
      <c r="O9452" t="s">
        <v>32</v>
      </c>
      <c r="P9452">
        <v>10.0276489620516</v>
      </c>
      <c r="Q9452">
        <v>0.98165465737311897</v>
      </c>
      <c r="R9452">
        <v>5.80946546757324</v>
      </c>
      <c r="S9452">
        <v>148</v>
      </c>
      <c r="T9452">
        <v>71</v>
      </c>
      <c r="U9452">
        <v>413.22205210704402</v>
      </c>
      <c r="V9452">
        <v>2.4656569214512101E-3</v>
      </c>
      <c r="W9452">
        <v>1319307.84028006</v>
      </c>
      <c r="X9452" t="s">
        <v>38</v>
      </c>
      <c r="Y9452">
        <f>1-501-832-2985</f>
        <v>-4317</v>
      </c>
    </row>
    <row r="9453" spans="1:25" x14ac:dyDescent="0.35">
      <c r="A9453">
        <v>35.370832240183603</v>
      </c>
      <c r="B9453">
        <v>-115.721939316548</v>
      </c>
      <c r="C9453" t="s">
        <v>25</v>
      </c>
      <c r="D9453">
        <v>24.994779622787899</v>
      </c>
      <c r="E9453">
        <v>9</v>
      </c>
      <c r="F9453">
        <v>4743</v>
      </c>
      <c r="G9453">
        <v>2</v>
      </c>
      <c r="H9453">
        <v>3</v>
      </c>
      <c r="I9453">
        <v>1989</v>
      </c>
      <c r="J9453">
        <v>0</v>
      </c>
      <c r="K9453">
        <v>0</v>
      </c>
      <c r="L9453">
        <v>0</v>
      </c>
      <c r="M9453">
        <v>12</v>
      </c>
      <c r="N9453" t="s">
        <v>35</v>
      </c>
      <c r="O9453" t="s">
        <v>32</v>
      </c>
      <c r="P9453">
        <v>14.311430587454399</v>
      </c>
      <c r="Q9453">
        <v>0.82481645255351899</v>
      </c>
      <c r="R9453">
        <v>6.88124109211833</v>
      </c>
      <c r="S9453">
        <v>93</v>
      </c>
      <c r="T9453">
        <v>20</v>
      </c>
      <c r="U9453">
        <v>268.58024454667702</v>
      </c>
      <c r="V9453">
        <v>2.53004427577482E-3</v>
      </c>
      <c r="W9453">
        <v>1530038.48669161</v>
      </c>
      <c r="X9453" t="s">
        <v>44</v>
      </c>
      <c r="Y9453">
        <f>1-528-370-6495</f>
        <v>-7392</v>
      </c>
    </row>
    <row r="9454" spans="1:25" x14ac:dyDescent="0.35">
      <c r="A9454">
        <v>36.268845781297898</v>
      </c>
      <c r="B9454">
        <v>-121.038496414714</v>
      </c>
      <c r="C9454" t="s">
        <v>25</v>
      </c>
      <c r="D9454">
        <v>2.0522632307098601</v>
      </c>
      <c r="E9454">
        <v>1</v>
      </c>
      <c r="F9454">
        <v>3080</v>
      </c>
      <c r="G9454">
        <v>4</v>
      </c>
      <c r="H9454">
        <v>2</v>
      </c>
      <c r="I9454">
        <v>2020</v>
      </c>
      <c r="J9454">
        <v>0</v>
      </c>
      <c r="K9454">
        <v>1</v>
      </c>
      <c r="L9454">
        <v>0</v>
      </c>
      <c r="M9454">
        <v>4</v>
      </c>
      <c r="N9454" t="s">
        <v>37</v>
      </c>
      <c r="O9454" t="s">
        <v>32</v>
      </c>
      <c r="P9454">
        <v>5.4444660956073099</v>
      </c>
      <c r="Q9454">
        <v>0.501485180303893</v>
      </c>
      <c r="R9454">
        <v>5.6523968709786097</v>
      </c>
      <c r="S9454">
        <v>13</v>
      </c>
      <c r="T9454">
        <v>61</v>
      </c>
      <c r="U9454">
        <v>624.46702583135504</v>
      </c>
      <c r="V9454">
        <v>1.29870129870129E-3</v>
      </c>
      <c r="W9454">
        <v>2310230.6254950599</v>
      </c>
      <c r="X9454" t="s">
        <v>31</v>
      </c>
      <c r="Y9454">
        <f>1-965-456-6362</f>
        <v>-7782</v>
      </c>
    </row>
    <row r="9455" spans="1:25" x14ac:dyDescent="0.35">
      <c r="A9455">
        <v>40.961292837200297</v>
      </c>
      <c r="B9455">
        <v>-123.509577008279</v>
      </c>
      <c r="C9455" t="s">
        <v>34</v>
      </c>
      <c r="D9455">
        <v>33.384966626311702</v>
      </c>
      <c r="E9455">
        <v>9</v>
      </c>
      <c r="F9455">
        <v>2339</v>
      </c>
      <c r="G9455">
        <v>4</v>
      </c>
      <c r="H9455">
        <v>3</v>
      </c>
      <c r="I9455">
        <v>1951</v>
      </c>
      <c r="J9455">
        <v>0</v>
      </c>
      <c r="K9455">
        <v>1</v>
      </c>
      <c r="L9455">
        <v>0</v>
      </c>
      <c r="M9455">
        <v>14</v>
      </c>
      <c r="N9455" t="s">
        <v>37</v>
      </c>
      <c r="O9455" t="s">
        <v>27</v>
      </c>
      <c r="P9455">
        <v>7.2277157236934402</v>
      </c>
      <c r="Q9455">
        <v>1.91363854258552</v>
      </c>
      <c r="R9455">
        <v>2.9679944195375301</v>
      </c>
      <c r="S9455">
        <v>149</v>
      </c>
      <c r="T9455">
        <v>26</v>
      </c>
      <c r="U9455">
        <v>810.94439349478205</v>
      </c>
      <c r="V9455">
        <v>5.9854638734501897E-3</v>
      </c>
      <c r="W9455">
        <v>2203497.35968677</v>
      </c>
      <c r="X9455" t="s">
        <v>43</v>
      </c>
      <c r="Y9455">
        <f>1-760-299-7044</f>
        <v>-8102</v>
      </c>
    </row>
    <row r="9456" spans="1:25" x14ac:dyDescent="0.35">
      <c r="A9456">
        <v>36.321911958823399</v>
      </c>
      <c r="B9456">
        <v>-120.87027071126499</v>
      </c>
      <c r="C9456" t="s">
        <v>25</v>
      </c>
      <c r="D9456">
        <v>16.9055604942908</v>
      </c>
      <c r="E9456">
        <v>1</v>
      </c>
      <c r="F9456">
        <v>1202</v>
      </c>
      <c r="G9456">
        <v>2</v>
      </c>
      <c r="H9456">
        <v>3</v>
      </c>
      <c r="I9456">
        <v>1996</v>
      </c>
      <c r="J9456">
        <v>1</v>
      </c>
      <c r="K9456">
        <v>0</v>
      </c>
      <c r="L9456">
        <v>0</v>
      </c>
      <c r="M9456">
        <v>2</v>
      </c>
      <c r="N9456" t="s">
        <v>37</v>
      </c>
      <c r="O9456" t="s">
        <v>32</v>
      </c>
      <c r="P9456">
        <v>2.01097474361731</v>
      </c>
      <c r="Q9456">
        <v>0.51378333856995395</v>
      </c>
      <c r="R9456">
        <v>6.9569030395128699</v>
      </c>
      <c r="S9456">
        <v>119</v>
      </c>
      <c r="T9456">
        <v>68</v>
      </c>
      <c r="U9456">
        <v>240.71383855971999</v>
      </c>
      <c r="V9456">
        <v>1.6638935108153001E-3</v>
      </c>
      <c r="W9456">
        <v>438715.54782317101</v>
      </c>
      <c r="X9456" t="s">
        <v>36</v>
      </c>
      <c r="Y9456">
        <f>1-456-236-2522</f>
        <v>-3213</v>
      </c>
    </row>
    <row r="9457" spans="1:25" x14ac:dyDescent="0.35">
      <c r="A9457">
        <v>38.306611089566601</v>
      </c>
      <c r="B9457">
        <v>-118.38876696913201</v>
      </c>
      <c r="C9457" t="s">
        <v>34</v>
      </c>
      <c r="D9457">
        <v>45.9263857077867</v>
      </c>
      <c r="E9457">
        <v>8</v>
      </c>
      <c r="F9457">
        <v>4595</v>
      </c>
      <c r="G9457">
        <v>2</v>
      </c>
      <c r="H9457">
        <v>1</v>
      </c>
      <c r="I9457">
        <v>1962</v>
      </c>
      <c r="J9457">
        <v>0</v>
      </c>
      <c r="K9457">
        <v>0</v>
      </c>
      <c r="L9457">
        <v>0</v>
      </c>
      <c r="M9457">
        <v>5</v>
      </c>
      <c r="N9457" t="s">
        <v>37</v>
      </c>
      <c r="O9457" t="s">
        <v>30</v>
      </c>
      <c r="P9457">
        <v>7.0297342481915903</v>
      </c>
      <c r="Q9457">
        <v>1.0090546540021801</v>
      </c>
      <c r="R9457">
        <v>3.3743134815344802</v>
      </c>
      <c r="S9457">
        <v>171</v>
      </c>
      <c r="T9457">
        <v>30</v>
      </c>
      <c r="U9457">
        <v>561.83452180800202</v>
      </c>
      <c r="V9457">
        <v>1.0881392818280699E-3</v>
      </c>
      <c r="W9457">
        <v>2758541.8189988602</v>
      </c>
      <c r="X9457" t="s">
        <v>38</v>
      </c>
      <c r="Y9457">
        <f>1-947-655-4553</f>
        <v>-6154</v>
      </c>
    </row>
    <row r="9458" spans="1:25" x14ac:dyDescent="0.35">
      <c r="A9458">
        <v>37.010536747853003</v>
      </c>
      <c r="B9458">
        <v>-116.72194794801899</v>
      </c>
      <c r="C9458" t="s">
        <v>25</v>
      </c>
      <c r="D9458">
        <v>5.6154143540336996</v>
      </c>
      <c r="E9458">
        <v>8</v>
      </c>
      <c r="F9458">
        <v>2949</v>
      </c>
      <c r="G9458">
        <v>1</v>
      </c>
      <c r="H9458">
        <v>3</v>
      </c>
      <c r="I9458">
        <v>1966</v>
      </c>
      <c r="J9458">
        <v>1</v>
      </c>
      <c r="K9458">
        <v>0</v>
      </c>
      <c r="L9458">
        <v>1</v>
      </c>
      <c r="M9458">
        <v>2</v>
      </c>
      <c r="N9458" t="s">
        <v>35</v>
      </c>
      <c r="O9458" t="s">
        <v>32</v>
      </c>
      <c r="P9458">
        <v>8.8818711505201904</v>
      </c>
      <c r="Q9458">
        <v>2.2211448480959999</v>
      </c>
      <c r="R9458">
        <v>7.5126973815436404</v>
      </c>
      <c r="S9458">
        <v>92</v>
      </c>
      <c r="T9458">
        <v>48</v>
      </c>
      <c r="U9458">
        <v>358.99000162454303</v>
      </c>
      <c r="V9458">
        <v>6.7819599864360795E-4</v>
      </c>
      <c r="W9458">
        <v>1299770.1480232801</v>
      </c>
      <c r="X9458" t="s">
        <v>31</v>
      </c>
      <c r="Y9458">
        <f>1-566-327-4517</f>
        <v>-5409</v>
      </c>
    </row>
    <row r="9459" spans="1:25" x14ac:dyDescent="0.35">
      <c r="A9459">
        <v>34.930669492713697</v>
      </c>
      <c r="B9459">
        <v>-119.82912644835299</v>
      </c>
      <c r="C9459" t="s">
        <v>25</v>
      </c>
      <c r="D9459">
        <v>6.44743523079637</v>
      </c>
      <c r="E9459">
        <v>3</v>
      </c>
      <c r="F9459">
        <v>2334</v>
      </c>
      <c r="G9459">
        <v>2</v>
      </c>
      <c r="H9459">
        <v>1</v>
      </c>
      <c r="I9459">
        <v>1964</v>
      </c>
      <c r="J9459">
        <v>0</v>
      </c>
      <c r="K9459">
        <v>0</v>
      </c>
      <c r="L9459">
        <v>0</v>
      </c>
      <c r="M9459">
        <v>2</v>
      </c>
      <c r="N9459" t="s">
        <v>35</v>
      </c>
      <c r="O9459" t="s">
        <v>32</v>
      </c>
      <c r="P9459">
        <v>8.6500934460140702</v>
      </c>
      <c r="Q9459">
        <v>2.4167686328856299</v>
      </c>
      <c r="R9459">
        <v>7.3231597524607297</v>
      </c>
      <c r="S9459">
        <v>12</v>
      </c>
      <c r="T9459">
        <v>72</v>
      </c>
      <c r="U9459">
        <v>368.57467861844401</v>
      </c>
      <c r="V9459">
        <v>8.5689802913453304E-4</v>
      </c>
      <c r="W9459">
        <v>918566.40402842604</v>
      </c>
      <c r="X9459" t="s">
        <v>36</v>
      </c>
      <c r="Y9459">
        <f>1-611-221-5423</f>
        <v>-6254</v>
      </c>
    </row>
    <row r="9460" spans="1:25" x14ac:dyDescent="0.35">
      <c r="A9460">
        <v>38.383755901159297</v>
      </c>
      <c r="B9460">
        <v>-116.809893095058</v>
      </c>
      <c r="C9460" t="s">
        <v>25</v>
      </c>
      <c r="D9460">
        <v>22.393824323437201</v>
      </c>
      <c r="E9460">
        <v>9</v>
      </c>
      <c r="F9460">
        <v>1076</v>
      </c>
      <c r="G9460">
        <v>3</v>
      </c>
      <c r="H9460">
        <v>2</v>
      </c>
      <c r="I9460">
        <v>1985</v>
      </c>
      <c r="J9460">
        <v>1</v>
      </c>
      <c r="K9460">
        <v>0</v>
      </c>
      <c r="L9460">
        <v>0</v>
      </c>
      <c r="M9460">
        <v>8</v>
      </c>
      <c r="N9460" t="s">
        <v>41</v>
      </c>
      <c r="O9460" t="s">
        <v>27</v>
      </c>
      <c r="P9460">
        <v>14.6305951557489</v>
      </c>
      <c r="Q9460">
        <v>1.80752363629284</v>
      </c>
      <c r="R9460">
        <v>7.8709891111574501</v>
      </c>
      <c r="S9460">
        <v>1</v>
      </c>
      <c r="T9460">
        <v>50</v>
      </c>
      <c r="U9460">
        <v>564.78472878020204</v>
      </c>
      <c r="V9460">
        <v>7.4349442379182101E-3</v>
      </c>
      <c r="W9460">
        <v>874666.82642525795</v>
      </c>
      <c r="X9460" t="s">
        <v>44</v>
      </c>
      <c r="Y9460">
        <f>1-932-573-8093</f>
        <v>-9597</v>
      </c>
    </row>
    <row r="9461" spans="1:25" x14ac:dyDescent="0.35">
      <c r="A9461">
        <v>40.318959426504399</v>
      </c>
      <c r="B9461">
        <v>-119.59886105466001</v>
      </c>
      <c r="C9461" t="s">
        <v>34</v>
      </c>
      <c r="D9461">
        <v>23.807109068720401</v>
      </c>
      <c r="E9461">
        <v>2</v>
      </c>
      <c r="F9461">
        <v>3337</v>
      </c>
      <c r="G9461">
        <v>2</v>
      </c>
      <c r="H9461">
        <v>3</v>
      </c>
      <c r="I9461">
        <v>2011</v>
      </c>
      <c r="J9461">
        <v>1</v>
      </c>
      <c r="K9461">
        <v>0</v>
      </c>
      <c r="L9461">
        <v>1</v>
      </c>
      <c r="M9461">
        <v>3</v>
      </c>
      <c r="N9461" t="s">
        <v>37</v>
      </c>
      <c r="O9461" t="s">
        <v>27</v>
      </c>
      <c r="P9461">
        <v>7.7378068289948603</v>
      </c>
      <c r="Q9461">
        <v>2.4692320010827098</v>
      </c>
      <c r="R9461">
        <v>8.5725165729033908</v>
      </c>
      <c r="S9461">
        <v>29</v>
      </c>
      <c r="T9461">
        <v>56</v>
      </c>
      <c r="U9461">
        <v>325.31083678697701</v>
      </c>
      <c r="V9461">
        <v>8.9901108780341603E-4</v>
      </c>
      <c r="W9461">
        <v>1403626.45090532</v>
      </c>
      <c r="X9461" t="s">
        <v>33</v>
      </c>
      <c r="Y9461">
        <f>1-337-331-8825</f>
        <v>-9492</v>
      </c>
    </row>
    <row r="9462" spans="1:25" x14ac:dyDescent="0.35">
      <c r="A9462">
        <v>35.515995685038</v>
      </c>
      <c r="B9462">
        <v>-123.618257893359</v>
      </c>
      <c r="C9462" t="s">
        <v>34</v>
      </c>
      <c r="D9462">
        <v>42.280080193841101</v>
      </c>
      <c r="E9462">
        <v>3</v>
      </c>
      <c r="F9462">
        <v>503</v>
      </c>
      <c r="G9462">
        <v>4</v>
      </c>
      <c r="H9462">
        <v>2</v>
      </c>
      <c r="I9462">
        <v>1971</v>
      </c>
      <c r="J9462">
        <v>1</v>
      </c>
      <c r="K9462">
        <v>0</v>
      </c>
      <c r="L9462">
        <v>0</v>
      </c>
      <c r="M9462">
        <v>5</v>
      </c>
      <c r="N9462" t="s">
        <v>41</v>
      </c>
      <c r="O9462" t="s">
        <v>32</v>
      </c>
      <c r="P9462">
        <v>4.4390259984375904</v>
      </c>
      <c r="Q9462">
        <v>1.95611823512771</v>
      </c>
      <c r="R9462">
        <v>9.4173491480927698</v>
      </c>
      <c r="S9462">
        <v>182</v>
      </c>
      <c r="T9462">
        <v>76</v>
      </c>
      <c r="U9462">
        <v>562.03968673707698</v>
      </c>
      <c r="V9462">
        <v>9.9403578528827006E-3</v>
      </c>
      <c r="W9462">
        <v>491082.63722559001</v>
      </c>
      <c r="X9462" t="s">
        <v>44</v>
      </c>
      <c r="Y9462">
        <f>1-212-409-2924</f>
        <v>-3544</v>
      </c>
    </row>
    <row r="9463" spans="1:25" x14ac:dyDescent="0.35">
      <c r="A9463">
        <v>32.835164203005199</v>
      </c>
      <c r="B9463">
        <v>-118.59023966637299</v>
      </c>
      <c r="C9463" t="s">
        <v>34</v>
      </c>
      <c r="D9463">
        <v>38.667000246623303</v>
      </c>
      <c r="E9463">
        <v>1</v>
      </c>
      <c r="F9463">
        <v>502</v>
      </c>
      <c r="G9463">
        <v>2</v>
      </c>
      <c r="H9463">
        <v>2</v>
      </c>
      <c r="I9463">
        <v>2022</v>
      </c>
      <c r="J9463">
        <v>1</v>
      </c>
      <c r="K9463">
        <v>0</v>
      </c>
      <c r="L9463">
        <v>1</v>
      </c>
      <c r="M9463">
        <v>12</v>
      </c>
      <c r="N9463" t="s">
        <v>26</v>
      </c>
      <c r="O9463" t="s">
        <v>32</v>
      </c>
      <c r="P9463">
        <v>13.0264489043058</v>
      </c>
      <c r="Q9463">
        <v>1.30652928213393</v>
      </c>
      <c r="R9463">
        <v>0.662475138023916</v>
      </c>
      <c r="S9463">
        <v>103</v>
      </c>
      <c r="T9463">
        <v>51</v>
      </c>
      <c r="U9463">
        <v>328.64248421406802</v>
      </c>
      <c r="V9463">
        <v>2.3904382470119501E-2</v>
      </c>
      <c r="W9463">
        <v>492517.77117167198</v>
      </c>
      <c r="X9463" t="s">
        <v>40</v>
      </c>
      <c r="Y9463">
        <f>1-884-175-9332</f>
        <v>-10390</v>
      </c>
    </row>
    <row r="9464" spans="1:25" x14ac:dyDescent="0.35">
      <c r="A9464">
        <v>40.021665946955103</v>
      </c>
      <c r="B9464">
        <v>-118.305542827438</v>
      </c>
      <c r="C9464" t="s">
        <v>25</v>
      </c>
      <c r="D9464">
        <v>18.823168680158201</v>
      </c>
      <c r="E9464">
        <v>7</v>
      </c>
      <c r="F9464">
        <v>4860</v>
      </c>
      <c r="G9464">
        <v>3</v>
      </c>
      <c r="H9464">
        <v>3</v>
      </c>
      <c r="I9464">
        <v>1980</v>
      </c>
      <c r="J9464">
        <v>0</v>
      </c>
      <c r="K9464">
        <v>1</v>
      </c>
      <c r="L9464">
        <v>0</v>
      </c>
      <c r="M9464">
        <v>12</v>
      </c>
      <c r="N9464" t="s">
        <v>26</v>
      </c>
      <c r="O9464" t="s">
        <v>27</v>
      </c>
      <c r="P9464">
        <v>11.348066159879</v>
      </c>
      <c r="Q9464">
        <v>0.91012076985102697</v>
      </c>
      <c r="R9464">
        <v>4.6399914748906097</v>
      </c>
      <c r="S9464">
        <v>180</v>
      </c>
      <c r="T9464">
        <v>59</v>
      </c>
      <c r="U9464">
        <v>717.62001008662003</v>
      </c>
      <c r="V9464">
        <v>2.4691358024691301E-3</v>
      </c>
      <c r="W9464">
        <v>3773331.5489936699</v>
      </c>
      <c r="X9464" t="s">
        <v>28</v>
      </c>
      <c r="Y9464">
        <f>1-457-962-9843</f>
        <v>-11261</v>
      </c>
    </row>
    <row r="9465" spans="1:25" x14ac:dyDescent="0.35">
      <c r="A9465">
        <v>38.925310932970497</v>
      </c>
      <c r="B9465">
        <v>-119.668344346306</v>
      </c>
      <c r="C9465" t="s">
        <v>29</v>
      </c>
      <c r="D9465">
        <v>11.7472349026757</v>
      </c>
      <c r="E9465">
        <v>3</v>
      </c>
      <c r="F9465">
        <v>1277</v>
      </c>
      <c r="G9465">
        <v>4</v>
      </c>
      <c r="H9465">
        <v>1</v>
      </c>
      <c r="I9465">
        <v>1980</v>
      </c>
      <c r="J9465">
        <v>1</v>
      </c>
      <c r="K9465">
        <v>0</v>
      </c>
      <c r="L9465">
        <v>0</v>
      </c>
      <c r="M9465">
        <v>9</v>
      </c>
      <c r="N9465" t="s">
        <v>41</v>
      </c>
      <c r="O9465" t="s">
        <v>27</v>
      </c>
      <c r="P9465">
        <v>14.2873736663248</v>
      </c>
      <c r="Q9465">
        <v>0.86031487195254097</v>
      </c>
      <c r="R9465">
        <v>9.7963278105038007</v>
      </c>
      <c r="S9465">
        <v>197</v>
      </c>
      <c r="T9465">
        <v>75</v>
      </c>
      <c r="U9465">
        <v>799.62899182716603</v>
      </c>
      <c r="V9465">
        <v>7.0477682067345299E-3</v>
      </c>
      <c r="W9465">
        <v>1333853.1854733001</v>
      </c>
      <c r="X9465" t="s">
        <v>31</v>
      </c>
      <c r="Y9465">
        <f>1-380-632-8575</f>
        <v>-9586</v>
      </c>
    </row>
    <row r="9466" spans="1:25" x14ac:dyDescent="0.35">
      <c r="A9466">
        <v>38.484163135276198</v>
      </c>
      <c r="B9466">
        <v>-117.021113062667</v>
      </c>
      <c r="C9466" t="s">
        <v>25</v>
      </c>
      <c r="D9466">
        <v>44.333045463061303</v>
      </c>
      <c r="E9466">
        <v>7</v>
      </c>
      <c r="F9466">
        <v>2528</v>
      </c>
      <c r="G9466">
        <v>2</v>
      </c>
      <c r="H9466">
        <v>2</v>
      </c>
      <c r="I9466">
        <v>1978</v>
      </c>
      <c r="J9466">
        <v>1</v>
      </c>
      <c r="K9466">
        <v>0</v>
      </c>
      <c r="L9466">
        <v>1</v>
      </c>
      <c r="M9466">
        <v>13</v>
      </c>
      <c r="N9466" t="s">
        <v>37</v>
      </c>
      <c r="O9466" t="s">
        <v>32</v>
      </c>
      <c r="P9466">
        <v>4.8871499591980001</v>
      </c>
      <c r="Q9466">
        <v>0.50024597027843398</v>
      </c>
      <c r="R9466">
        <v>0.61678178578947795</v>
      </c>
      <c r="S9466">
        <v>29</v>
      </c>
      <c r="T9466">
        <v>63</v>
      </c>
      <c r="U9466">
        <v>294.876118384309</v>
      </c>
      <c r="V9466">
        <v>5.1424050632911302E-3</v>
      </c>
      <c r="W9466">
        <v>915667.85123539797</v>
      </c>
      <c r="X9466" t="s">
        <v>36</v>
      </c>
      <c r="Y9466">
        <f>1-534-536-2283</f>
        <v>-3352</v>
      </c>
    </row>
    <row r="9467" spans="1:25" x14ac:dyDescent="0.35">
      <c r="A9467">
        <v>41.742662338243797</v>
      </c>
      <c r="B9467">
        <v>-116.80440633556999</v>
      </c>
      <c r="C9467" t="s">
        <v>25</v>
      </c>
      <c r="D9467">
        <v>17.321787982614602</v>
      </c>
      <c r="E9467">
        <v>3</v>
      </c>
      <c r="F9467">
        <v>4612</v>
      </c>
      <c r="G9467">
        <v>2</v>
      </c>
      <c r="H9467">
        <v>3</v>
      </c>
      <c r="I9467">
        <v>2008</v>
      </c>
      <c r="J9467">
        <v>1</v>
      </c>
      <c r="K9467">
        <v>1</v>
      </c>
      <c r="L9467">
        <v>1</v>
      </c>
      <c r="M9467">
        <v>9</v>
      </c>
      <c r="N9467" t="s">
        <v>26</v>
      </c>
      <c r="O9467" t="s">
        <v>32</v>
      </c>
      <c r="P9467">
        <v>14.492389173824201</v>
      </c>
      <c r="Q9467">
        <v>1.02865020622083</v>
      </c>
      <c r="R9467">
        <v>3.1000459493800001</v>
      </c>
      <c r="S9467">
        <v>188</v>
      </c>
      <c r="T9467">
        <v>66</v>
      </c>
      <c r="U9467">
        <v>429.11893727690699</v>
      </c>
      <c r="V9467">
        <v>1.95143104943625E-3</v>
      </c>
      <c r="W9467">
        <v>2374052.6421726001</v>
      </c>
      <c r="X9467" t="s">
        <v>38</v>
      </c>
      <c r="Y9467">
        <f>1-828-168-8042</f>
        <v>-9037</v>
      </c>
    </row>
    <row r="9468" spans="1:25" x14ac:dyDescent="0.35">
      <c r="A9468">
        <v>33.277229202560001</v>
      </c>
      <c r="B9468">
        <v>-121.272910354467</v>
      </c>
      <c r="C9468" t="s">
        <v>34</v>
      </c>
      <c r="D9468">
        <v>5.2661029805892001</v>
      </c>
      <c r="E9468">
        <v>5</v>
      </c>
      <c r="F9468">
        <v>1421</v>
      </c>
      <c r="G9468">
        <v>5</v>
      </c>
      <c r="H9468">
        <v>1</v>
      </c>
      <c r="I9468">
        <v>1989</v>
      </c>
      <c r="J9468">
        <v>0</v>
      </c>
      <c r="K9468">
        <v>0</v>
      </c>
      <c r="L9468">
        <v>1</v>
      </c>
      <c r="M9468">
        <v>2</v>
      </c>
      <c r="N9468" t="s">
        <v>26</v>
      </c>
      <c r="O9468" t="s">
        <v>30</v>
      </c>
      <c r="P9468">
        <v>5.0573648855017499</v>
      </c>
      <c r="Q9468">
        <v>0.90532847661923199</v>
      </c>
      <c r="R9468">
        <v>4.4154809361669196</v>
      </c>
      <c r="S9468">
        <v>70</v>
      </c>
      <c r="T9468">
        <v>69</v>
      </c>
      <c r="U9468">
        <v>830.48453061875705</v>
      </c>
      <c r="V9468">
        <v>1.40745953553835E-3</v>
      </c>
      <c r="W9468">
        <v>1473507.2575694299</v>
      </c>
      <c r="X9468" t="s">
        <v>42</v>
      </c>
      <c r="Y9468">
        <f>1-307-342-6886</f>
        <v>-7534</v>
      </c>
    </row>
    <row r="9469" spans="1:25" x14ac:dyDescent="0.35">
      <c r="A9469">
        <v>38.652188191951502</v>
      </c>
      <c r="B9469">
        <v>-115.54416692475699</v>
      </c>
      <c r="C9469" t="s">
        <v>34</v>
      </c>
      <c r="D9469">
        <v>1.8658671527081701</v>
      </c>
      <c r="E9469">
        <v>3</v>
      </c>
      <c r="F9469">
        <v>599</v>
      </c>
      <c r="G9469">
        <v>1</v>
      </c>
      <c r="H9469">
        <v>3</v>
      </c>
      <c r="I9469">
        <v>1958</v>
      </c>
      <c r="J9469">
        <v>1</v>
      </c>
      <c r="K9469">
        <v>0</v>
      </c>
      <c r="L9469">
        <v>0</v>
      </c>
      <c r="M9469">
        <v>12</v>
      </c>
      <c r="N9469" t="s">
        <v>41</v>
      </c>
      <c r="O9469" t="s">
        <v>27</v>
      </c>
      <c r="P9469">
        <v>14.0870834595974</v>
      </c>
      <c r="Q9469">
        <v>2.1416893731803901</v>
      </c>
      <c r="R9469">
        <v>4.8802114040861202</v>
      </c>
      <c r="S9469">
        <v>198</v>
      </c>
      <c r="T9469">
        <v>58</v>
      </c>
      <c r="U9469">
        <v>513.44174881695699</v>
      </c>
      <c r="V9469">
        <v>2.0033388981636001E-2</v>
      </c>
      <c r="W9469">
        <v>454192.23253116</v>
      </c>
      <c r="X9469" t="s">
        <v>43</v>
      </c>
      <c r="Y9469">
        <f>1-722-876-2484</f>
        <v>-4081</v>
      </c>
    </row>
    <row r="9470" spans="1:25" x14ac:dyDescent="0.35">
      <c r="A9470">
        <v>33.382424673453102</v>
      </c>
      <c r="B9470">
        <v>-117.09108295894001</v>
      </c>
      <c r="C9470" t="s">
        <v>34</v>
      </c>
      <c r="D9470">
        <v>7.6230241181552403</v>
      </c>
      <c r="E9470">
        <v>9</v>
      </c>
      <c r="F9470">
        <v>1410</v>
      </c>
      <c r="G9470">
        <v>5</v>
      </c>
      <c r="H9470">
        <v>3</v>
      </c>
      <c r="I9470">
        <v>2006</v>
      </c>
      <c r="J9470">
        <v>1</v>
      </c>
      <c r="K9470">
        <v>0</v>
      </c>
      <c r="L9470">
        <v>0</v>
      </c>
      <c r="M9470">
        <v>6</v>
      </c>
      <c r="N9470" t="s">
        <v>26</v>
      </c>
      <c r="O9470" t="s">
        <v>27</v>
      </c>
      <c r="P9470">
        <v>9.21967993892126</v>
      </c>
      <c r="Q9470">
        <v>0.68056266854757597</v>
      </c>
      <c r="R9470">
        <v>3.6471831024274701</v>
      </c>
      <c r="S9470">
        <v>190</v>
      </c>
      <c r="T9470">
        <v>32</v>
      </c>
      <c r="U9470">
        <v>805.18083053586201</v>
      </c>
      <c r="V9470">
        <v>4.2553191489361703E-3</v>
      </c>
      <c r="W9470">
        <v>1492430.18281481</v>
      </c>
      <c r="X9470" t="s">
        <v>28</v>
      </c>
      <c r="Y9470">
        <f>1-305-586-5355</f>
        <v>-6245</v>
      </c>
    </row>
    <row r="9471" spans="1:25" x14ac:dyDescent="0.35">
      <c r="A9471">
        <v>37.960649450162798</v>
      </c>
      <c r="B9471">
        <v>-122.364555551705</v>
      </c>
      <c r="C9471" t="s">
        <v>34</v>
      </c>
      <c r="D9471">
        <v>42.685593008649597</v>
      </c>
      <c r="E9471">
        <v>3</v>
      </c>
      <c r="F9471">
        <v>3406</v>
      </c>
      <c r="G9471">
        <v>1</v>
      </c>
      <c r="H9471">
        <v>1</v>
      </c>
      <c r="I9471">
        <v>1963</v>
      </c>
      <c r="J9471">
        <v>1</v>
      </c>
      <c r="K9471">
        <v>1</v>
      </c>
      <c r="L9471">
        <v>0</v>
      </c>
      <c r="M9471">
        <v>5</v>
      </c>
      <c r="N9471" t="s">
        <v>35</v>
      </c>
      <c r="O9471" t="s">
        <v>32</v>
      </c>
      <c r="P9471">
        <v>6.6361473287098498</v>
      </c>
      <c r="Q9471">
        <v>1.45110029762176</v>
      </c>
      <c r="R9471">
        <v>5.0671128586111998</v>
      </c>
      <c r="S9471">
        <v>182</v>
      </c>
      <c r="T9471">
        <v>64</v>
      </c>
      <c r="U9471">
        <v>817.05737001486204</v>
      </c>
      <c r="V9471">
        <v>1.46799765120375E-3</v>
      </c>
      <c r="W9471">
        <v>2916191.17014251</v>
      </c>
      <c r="X9471" t="s">
        <v>36</v>
      </c>
      <c r="Y9471">
        <f>1-549-731-4984</f>
        <v>-6263</v>
      </c>
    </row>
    <row r="9472" spans="1:25" x14ac:dyDescent="0.35">
      <c r="A9472">
        <v>38.033951497487998</v>
      </c>
      <c r="B9472">
        <v>-120.302331852316</v>
      </c>
      <c r="C9472" t="s">
        <v>29</v>
      </c>
      <c r="D9472">
        <v>28.4960042350706</v>
      </c>
      <c r="E9472">
        <v>9</v>
      </c>
      <c r="F9472">
        <v>1763</v>
      </c>
      <c r="G9472">
        <v>4</v>
      </c>
      <c r="H9472">
        <v>2</v>
      </c>
      <c r="I9472">
        <v>2016</v>
      </c>
      <c r="J9472">
        <v>0</v>
      </c>
      <c r="K9472">
        <v>0</v>
      </c>
      <c r="L9472">
        <v>0</v>
      </c>
      <c r="M9472">
        <v>2</v>
      </c>
      <c r="N9472" t="s">
        <v>41</v>
      </c>
      <c r="O9472" t="s">
        <v>32</v>
      </c>
      <c r="P9472">
        <v>3.6542689169084999</v>
      </c>
      <c r="Q9472">
        <v>1.02174548252262</v>
      </c>
      <c r="R9472">
        <v>0.59892123378989004</v>
      </c>
      <c r="S9472">
        <v>31</v>
      </c>
      <c r="T9472">
        <v>50</v>
      </c>
      <c r="U9472">
        <v>831.77875619880604</v>
      </c>
      <c r="V9472">
        <v>1.13442994895065E-3</v>
      </c>
      <c r="W9472">
        <v>1810704.3782289</v>
      </c>
      <c r="X9472" t="s">
        <v>39</v>
      </c>
      <c r="Y9472">
        <f>1-749-632-2542</f>
        <v>-3922</v>
      </c>
    </row>
    <row r="9473" spans="1:25" x14ac:dyDescent="0.35">
      <c r="A9473">
        <v>34.800228112287201</v>
      </c>
      <c r="B9473">
        <v>-119.114362870281</v>
      </c>
      <c r="C9473" t="s">
        <v>25</v>
      </c>
      <c r="D9473">
        <v>2.3102873461201798</v>
      </c>
      <c r="E9473">
        <v>4</v>
      </c>
      <c r="F9473">
        <v>2820</v>
      </c>
      <c r="G9473">
        <v>1</v>
      </c>
      <c r="H9473">
        <v>3</v>
      </c>
      <c r="I9473">
        <v>1953</v>
      </c>
      <c r="J9473">
        <v>0</v>
      </c>
      <c r="K9473">
        <v>0</v>
      </c>
      <c r="L9473">
        <v>0</v>
      </c>
      <c r="M9473">
        <v>5</v>
      </c>
      <c r="N9473" t="s">
        <v>26</v>
      </c>
      <c r="O9473" t="s">
        <v>27</v>
      </c>
      <c r="P9473">
        <v>14.0537780750591</v>
      </c>
      <c r="Q9473">
        <v>2.1705398443102002</v>
      </c>
      <c r="R9473">
        <v>2.80027761944321</v>
      </c>
      <c r="S9473">
        <v>191</v>
      </c>
      <c r="T9473">
        <v>57</v>
      </c>
      <c r="U9473">
        <v>253.13369177497199</v>
      </c>
      <c r="V9473">
        <v>1.77304964539007E-3</v>
      </c>
      <c r="W9473">
        <v>812956.75892691198</v>
      </c>
      <c r="X9473" t="s">
        <v>40</v>
      </c>
      <c r="Y9473">
        <f>1-618-660-5056</f>
        <v>-6333</v>
      </c>
    </row>
    <row r="9474" spans="1:25" x14ac:dyDescent="0.35">
      <c r="A9474">
        <v>41.394675091339302</v>
      </c>
      <c r="B9474">
        <v>-115.65710948521701</v>
      </c>
      <c r="C9474" t="s">
        <v>25</v>
      </c>
      <c r="D9474">
        <v>27.020975156763299</v>
      </c>
      <c r="E9474">
        <v>9</v>
      </c>
      <c r="F9474">
        <v>2696</v>
      </c>
      <c r="G9474">
        <v>2</v>
      </c>
      <c r="H9474">
        <v>2</v>
      </c>
      <c r="I9474">
        <v>2011</v>
      </c>
      <c r="J9474">
        <v>1</v>
      </c>
      <c r="K9474">
        <v>0</v>
      </c>
      <c r="L9474">
        <v>0</v>
      </c>
      <c r="M9474">
        <v>7</v>
      </c>
      <c r="N9474" t="s">
        <v>26</v>
      </c>
      <c r="O9474" t="s">
        <v>30</v>
      </c>
      <c r="P9474">
        <v>8.7405231149022402</v>
      </c>
      <c r="Q9474">
        <v>0.96571262693898297</v>
      </c>
      <c r="R9474">
        <v>2.8911145880056699</v>
      </c>
      <c r="S9474">
        <v>11</v>
      </c>
      <c r="T9474">
        <v>22</v>
      </c>
      <c r="U9474">
        <v>337.46332973915401</v>
      </c>
      <c r="V9474">
        <v>2.5964391691394601E-3</v>
      </c>
      <c r="W9474">
        <v>1158116.4601026899</v>
      </c>
      <c r="X9474" t="s">
        <v>43</v>
      </c>
      <c r="Y9474">
        <f>1-682-341-7675</f>
        <v>-8697</v>
      </c>
    </row>
    <row r="9475" spans="1:25" x14ac:dyDescent="0.35">
      <c r="A9475">
        <v>37.789412910793502</v>
      </c>
      <c r="B9475">
        <v>-116.707479282469</v>
      </c>
      <c r="C9475" t="s">
        <v>34</v>
      </c>
      <c r="D9475">
        <v>25.648836103760299</v>
      </c>
      <c r="E9475">
        <v>6</v>
      </c>
      <c r="F9475">
        <v>663</v>
      </c>
      <c r="G9475">
        <v>3</v>
      </c>
      <c r="H9475">
        <v>3</v>
      </c>
      <c r="I9475">
        <v>1967</v>
      </c>
      <c r="J9475">
        <v>1</v>
      </c>
      <c r="K9475">
        <v>1</v>
      </c>
      <c r="L9475">
        <v>1</v>
      </c>
      <c r="M9475">
        <v>6</v>
      </c>
      <c r="N9475" t="s">
        <v>41</v>
      </c>
      <c r="O9475" t="s">
        <v>27</v>
      </c>
      <c r="P9475">
        <v>7.73653096321239</v>
      </c>
      <c r="Q9475">
        <v>0.860405898956212</v>
      </c>
      <c r="R9475">
        <v>6.7029664517305498</v>
      </c>
      <c r="S9475">
        <v>184</v>
      </c>
      <c r="T9475">
        <v>63</v>
      </c>
      <c r="U9475">
        <v>585.98462783610796</v>
      </c>
      <c r="V9475">
        <v>9.0497737556561094E-3</v>
      </c>
      <c r="W9475">
        <v>786937.23479266197</v>
      </c>
      <c r="X9475" t="s">
        <v>38</v>
      </c>
      <c r="Y9475">
        <f>1-278-918-4213</f>
        <v>-5408</v>
      </c>
    </row>
    <row r="9476" spans="1:25" x14ac:dyDescent="0.35">
      <c r="A9476">
        <v>40.511626461914503</v>
      </c>
      <c r="B9476">
        <v>-115.288982686599</v>
      </c>
      <c r="C9476" t="s">
        <v>34</v>
      </c>
      <c r="D9476">
        <v>2.1129275738337001</v>
      </c>
      <c r="E9476">
        <v>8</v>
      </c>
      <c r="F9476">
        <v>1542</v>
      </c>
      <c r="G9476">
        <v>1</v>
      </c>
      <c r="H9476">
        <v>1</v>
      </c>
      <c r="I9476">
        <v>1995</v>
      </c>
      <c r="J9476">
        <v>0</v>
      </c>
      <c r="K9476">
        <v>0</v>
      </c>
      <c r="L9476">
        <v>1</v>
      </c>
      <c r="M9476">
        <v>5</v>
      </c>
      <c r="N9476" t="s">
        <v>35</v>
      </c>
      <c r="O9476" t="s">
        <v>30</v>
      </c>
      <c r="P9476">
        <v>2.9434736881491799</v>
      </c>
      <c r="Q9476">
        <v>1.86488491901016</v>
      </c>
      <c r="R9476">
        <v>4.8449810001470102</v>
      </c>
      <c r="S9476">
        <v>29</v>
      </c>
      <c r="T9476">
        <v>73</v>
      </c>
      <c r="U9476">
        <v>547.61209716275596</v>
      </c>
      <c r="V9476">
        <v>3.2425421530479898E-3</v>
      </c>
      <c r="W9476">
        <v>936183.621287624</v>
      </c>
      <c r="X9476" t="s">
        <v>33</v>
      </c>
      <c r="Y9476">
        <f>1-654-969-1495</f>
        <v>-3117</v>
      </c>
    </row>
    <row r="9477" spans="1:25" x14ac:dyDescent="0.35">
      <c r="A9477">
        <v>39.295838556517502</v>
      </c>
      <c r="B9477">
        <v>-120.67122259525701</v>
      </c>
      <c r="C9477" t="s">
        <v>34</v>
      </c>
      <c r="D9477">
        <v>25.709201281771701</v>
      </c>
      <c r="E9477">
        <v>4</v>
      </c>
      <c r="F9477">
        <v>2527</v>
      </c>
      <c r="G9477">
        <v>1</v>
      </c>
      <c r="H9477">
        <v>2</v>
      </c>
      <c r="I9477">
        <v>1955</v>
      </c>
      <c r="J9477">
        <v>1</v>
      </c>
      <c r="K9477">
        <v>0</v>
      </c>
      <c r="L9477">
        <v>0</v>
      </c>
      <c r="M9477">
        <v>13</v>
      </c>
      <c r="N9477" t="s">
        <v>41</v>
      </c>
      <c r="O9477" t="s">
        <v>30</v>
      </c>
      <c r="P9477">
        <v>10.841790186063299</v>
      </c>
      <c r="Q9477">
        <v>0.80957892300415901</v>
      </c>
      <c r="R9477">
        <v>5.2198977569003802</v>
      </c>
      <c r="S9477">
        <v>146</v>
      </c>
      <c r="T9477">
        <v>51</v>
      </c>
      <c r="U9477">
        <v>541.41768063665995</v>
      </c>
      <c r="V9477">
        <v>5.1444400474871298E-3</v>
      </c>
      <c r="W9477">
        <v>1489427.0985936599</v>
      </c>
      <c r="X9477" t="s">
        <v>33</v>
      </c>
      <c r="Y9477">
        <f>1-275-569-9252</f>
        <v>-10095</v>
      </c>
    </row>
    <row r="9478" spans="1:25" x14ac:dyDescent="0.35">
      <c r="A9478">
        <v>35.376857164909403</v>
      </c>
      <c r="B9478">
        <v>-119.82661496365699</v>
      </c>
      <c r="C9478" t="s">
        <v>34</v>
      </c>
      <c r="D9478">
        <v>36.740184705781502</v>
      </c>
      <c r="E9478">
        <v>2</v>
      </c>
      <c r="F9478">
        <v>4653</v>
      </c>
      <c r="G9478">
        <v>3</v>
      </c>
      <c r="H9478">
        <v>3</v>
      </c>
      <c r="I9478">
        <v>1959</v>
      </c>
      <c r="J9478">
        <v>0</v>
      </c>
      <c r="K9478">
        <v>0</v>
      </c>
      <c r="L9478">
        <v>1</v>
      </c>
      <c r="M9478">
        <v>14</v>
      </c>
      <c r="N9478" t="s">
        <v>41</v>
      </c>
      <c r="O9478" t="s">
        <v>32</v>
      </c>
      <c r="P9478">
        <v>13.0784112931069</v>
      </c>
      <c r="Q9478">
        <v>2.03984367191851</v>
      </c>
      <c r="R9478">
        <v>3.9171030690008299</v>
      </c>
      <c r="S9478">
        <v>87</v>
      </c>
      <c r="T9478">
        <v>77</v>
      </c>
      <c r="U9478">
        <v>675.93271789495998</v>
      </c>
      <c r="V9478">
        <v>3.0088115194498101E-3</v>
      </c>
      <c r="W9478">
        <v>3382505.77365029</v>
      </c>
      <c r="X9478" t="s">
        <v>36</v>
      </c>
      <c r="Y9478">
        <f>1-684-905-1783</f>
        <v>-3371</v>
      </c>
    </row>
    <row r="9479" spans="1:25" x14ac:dyDescent="0.35">
      <c r="A9479">
        <v>34.965832724708299</v>
      </c>
      <c r="B9479">
        <v>-121.42041782312501</v>
      </c>
      <c r="C9479" t="s">
        <v>34</v>
      </c>
      <c r="D9479">
        <v>38.953982570946302</v>
      </c>
      <c r="E9479">
        <v>5</v>
      </c>
      <c r="F9479">
        <v>4030</v>
      </c>
      <c r="G9479">
        <v>2</v>
      </c>
      <c r="H9479">
        <v>1</v>
      </c>
      <c r="I9479">
        <v>2021</v>
      </c>
      <c r="J9479">
        <v>0</v>
      </c>
      <c r="K9479">
        <v>1</v>
      </c>
      <c r="L9479">
        <v>0</v>
      </c>
      <c r="M9479">
        <v>6</v>
      </c>
      <c r="N9479" t="s">
        <v>41</v>
      </c>
      <c r="O9479" t="s">
        <v>27</v>
      </c>
      <c r="P9479">
        <v>13.996904155866799</v>
      </c>
      <c r="Q9479">
        <v>2.3213504940130099</v>
      </c>
      <c r="R9479">
        <v>1.1273339052184299</v>
      </c>
      <c r="S9479">
        <v>54</v>
      </c>
      <c r="T9479">
        <v>34</v>
      </c>
      <c r="U9479">
        <v>511.489388098635</v>
      </c>
      <c r="V9479">
        <v>1.48883374689826E-3</v>
      </c>
      <c r="W9479">
        <v>2456073.9861180601</v>
      </c>
      <c r="X9479" t="s">
        <v>33</v>
      </c>
      <c r="Y9479">
        <f>1-360-142-4081</f>
        <v>-4582</v>
      </c>
    </row>
    <row r="9480" spans="1:25" x14ac:dyDescent="0.35">
      <c r="A9480">
        <v>39.919860850296203</v>
      </c>
      <c r="B9480">
        <v>-114.030451222198</v>
      </c>
      <c r="C9480" t="s">
        <v>25</v>
      </c>
      <c r="D9480">
        <v>17.135133576924702</v>
      </c>
      <c r="E9480">
        <v>4</v>
      </c>
      <c r="F9480">
        <v>4999</v>
      </c>
      <c r="G9480">
        <v>4</v>
      </c>
      <c r="H9480">
        <v>2</v>
      </c>
      <c r="I9480">
        <v>1994</v>
      </c>
      <c r="J9480">
        <v>0</v>
      </c>
      <c r="K9480">
        <v>1</v>
      </c>
      <c r="L9480">
        <v>0</v>
      </c>
      <c r="M9480">
        <v>6</v>
      </c>
      <c r="N9480" t="s">
        <v>41</v>
      </c>
      <c r="O9480" t="s">
        <v>27</v>
      </c>
      <c r="P9480">
        <v>8.2396913956218292</v>
      </c>
      <c r="Q9480">
        <v>1.6739026130297301</v>
      </c>
      <c r="R9480">
        <v>9.9375607045610792</v>
      </c>
      <c r="S9480">
        <v>101</v>
      </c>
      <c r="T9480">
        <v>62</v>
      </c>
      <c r="U9480">
        <v>921.53595053218896</v>
      </c>
      <c r="V9480">
        <v>1.2002400480096E-3</v>
      </c>
      <c r="W9480">
        <v>4889694.9306838997</v>
      </c>
      <c r="X9480" t="s">
        <v>33</v>
      </c>
      <c r="Y9480">
        <f>1-222-819-5649</f>
        <v>-6689</v>
      </c>
    </row>
    <row r="9481" spans="1:25" x14ac:dyDescent="0.35">
      <c r="A9481">
        <v>41.205139763161199</v>
      </c>
      <c r="B9481">
        <v>-122.02174433330801</v>
      </c>
      <c r="C9481" t="s">
        <v>29</v>
      </c>
      <c r="D9481">
        <v>27.687279979176999</v>
      </c>
      <c r="E9481">
        <v>8</v>
      </c>
      <c r="F9481">
        <v>3560</v>
      </c>
      <c r="G9481">
        <v>3</v>
      </c>
      <c r="H9481">
        <v>2</v>
      </c>
      <c r="I9481">
        <v>2000</v>
      </c>
      <c r="J9481">
        <v>0</v>
      </c>
      <c r="K9481">
        <v>0</v>
      </c>
      <c r="L9481">
        <v>1</v>
      </c>
      <c r="M9481">
        <v>3</v>
      </c>
      <c r="N9481" t="s">
        <v>37</v>
      </c>
      <c r="O9481" t="s">
        <v>32</v>
      </c>
      <c r="P9481">
        <v>13.037743455402</v>
      </c>
      <c r="Q9481">
        <v>1.9403913669347099</v>
      </c>
      <c r="R9481">
        <v>9.2920833794712792</v>
      </c>
      <c r="S9481">
        <v>68</v>
      </c>
      <c r="T9481">
        <v>26</v>
      </c>
      <c r="U9481">
        <v>261.37651312169402</v>
      </c>
      <c r="V9481">
        <v>8.4269662921348295E-4</v>
      </c>
      <c r="W9481">
        <v>1312562.7637540901</v>
      </c>
      <c r="X9481" t="s">
        <v>40</v>
      </c>
      <c r="Y9481">
        <f>1-894-807-5242</f>
        <v>-6942</v>
      </c>
    </row>
    <row r="9482" spans="1:25" x14ac:dyDescent="0.35">
      <c r="A9482">
        <v>40.542592858731901</v>
      </c>
      <c r="B9482">
        <v>-121.5223548972</v>
      </c>
      <c r="C9482" t="s">
        <v>29</v>
      </c>
      <c r="D9482">
        <v>32.442838751213898</v>
      </c>
      <c r="E9482">
        <v>9</v>
      </c>
      <c r="F9482">
        <v>4105</v>
      </c>
      <c r="G9482">
        <v>3</v>
      </c>
      <c r="H9482">
        <v>3</v>
      </c>
      <c r="I9482">
        <v>2017</v>
      </c>
      <c r="J9482">
        <v>1</v>
      </c>
      <c r="K9482">
        <v>1</v>
      </c>
      <c r="L9482">
        <v>1</v>
      </c>
      <c r="M9482">
        <v>14</v>
      </c>
      <c r="N9482" t="s">
        <v>35</v>
      </c>
      <c r="O9482" t="s">
        <v>27</v>
      </c>
      <c r="P9482">
        <v>4.8718445100999102</v>
      </c>
      <c r="Q9482">
        <v>2.32207595405468</v>
      </c>
      <c r="R9482">
        <v>7.8890844447596402</v>
      </c>
      <c r="S9482">
        <v>123</v>
      </c>
      <c r="T9482">
        <v>54</v>
      </c>
      <c r="U9482">
        <v>797.15281679022598</v>
      </c>
      <c r="V9482">
        <v>3.4104750304506698E-3</v>
      </c>
      <c r="W9482">
        <v>3631994.1761813802</v>
      </c>
      <c r="X9482" t="s">
        <v>44</v>
      </c>
      <c r="Y9482">
        <f>1-302-749-5944</f>
        <v>-6994</v>
      </c>
    </row>
    <row r="9483" spans="1:25" x14ac:dyDescent="0.35">
      <c r="A9483">
        <v>40.354566268248199</v>
      </c>
      <c r="B9483">
        <v>-114.690341032612</v>
      </c>
      <c r="C9483" t="s">
        <v>25</v>
      </c>
      <c r="D9483">
        <v>41.157718862703497</v>
      </c>
      <c r="E9483">
        <v>7</v>
      </c>
      <c r="F9483">
        <v>2359</v>
      </c>
      <c r="G9483">
        <v>4</v>
      </c>
      <c r="H9483">
        <v>3</v>
      </c>
      <c r="I9483">
        <v>2010</v>
      </c>
      <c r="J9483">
        <v>0</v>
      </c>
      <c r="K9483">
        <v>1</v>
      </c>
      <c r="L9483">
        <v>1</v>
      </c>
      <c r="M9483">
        <v>4</v>
      </c>
      <c r="N9483" t="s">
        <v>26</v>
      </c>
      <c r="O9483" t="s">
        <v>30</v>
      </c>
      <c r="P9483">
        <v>8.9525088905586596</v>
      </c>
      <c r="Q9483">
        <v>1.3926744001651601</v>
      </c>
      <c r="R9483">
        <v>1.2113536273661101</v>
      </c>
      <c r="S9483">
        <v>139</v>
      </c>
      <c r="T9483">
        <v>72</v>
      </c>
      <c r="U9483">
        <v>485.336382899044</v>
      </c>
      <c r="V9483">
        <v>1.6956337431114799E-3</v>
      </c>
      <c r="W9483">
        <v>1574737.0026211101</v>
      </c>
      <c r="X9483" t="s">
        <v>40</v>
      </c>
      <c r="Y9483">
        <f>1-741-148-2794</f>
        <v>-3682</v>
      </c>
    </row>
    <row r="9484" spans="1:25" x14ac:dyDescent="0.35">
      <c r="A9484">
        <v>38.624732722096397</v>
      </c>
      <c r="B9484">
        <v>-123.696356270026</v>
      </c>
      <c r="C9484" t="s">
        <v>25</v>
      </c>
      <c r="D9484">
        <v>40.229726532927998</v>
      </c>
      <c r="E9484">
        <v>6</v>
      </c>
      <c r="F9484">
        <v>1759</v>
      </c>
      <c r="G9484">
        <v>2</v>
      </c>
      <c r="H9484">
        <v>2</v>
      </c>
      <c r="I9484">
        <v>1994</v>
      </c>
      <c r="J9484">
        <v>1</v>
      </c>
      <c r="K9484">
        <v>1</v>
      </c>
      <c r="L9484">
        <v>1</v>
      </c>
      <c r="M9484">
        <v>3</v>
      </c>
      <c r="N9484" t="s">
        <v>41</v>
      </c>
      <c r="O9484" t="s">
        <v>27</v>
      </c>
      <c r="P9484">
        <v>8.7118904028985398</v>
      </c>
      <c r="Q9484">
        <v>1.0508614665325899</v>
      </c>
      <c r="R9484">
        <v>2.5149403301605902</v>
      </c>
      <c r="S9484">
        <v>89</v>
      </c>
      <c r="T9484">
        <v>30</v>
      </c>
      <c r="U9484">
        <v>852.62727936960596</v>
      </c>
      <c r="V9484">
        <v>1.7055144968732201E-3</v>
      </c>
      <c r="W9484">
        <v>1909639.5874898201</v>
      </c>
      <c r="X9484" t="s">
        <v>39</v>
      </c>
      <c r="Y9484">
        <f>1-852-479-3767</f>
        <v>-5097</v>
      </c>
    </row>
    <row r="9485" spans="1:25" x14ac:dyDescent="0.35">
      <c r="A9485">
        <v>40.096254535945597</v>
      </c>
      <c r="B9485">
        <v>-120.48682824076801</v>
      </c>
      <c r="C9485" t="s">
        <v>29</v>
      </c>
      <c r="D9485">
        <v>42.761862387131103</v>
      </c>
      <c r="E9485">
        <v>9</v>
      </c>
      <c r="F9485">
        <v>2859</v>
      </c>
      <c r="G9485">
        <v>4</v>
      </c>
      <c r="H9485">
        <v>2</v>
      </c>
      <c r="I9485">
        <v>2018</v>
      </c>
      <c r="J9485">
        <v>0</v>
      </c>
      <c r="K9485">
        <v>1</v>
      </c>
      <c r="L9485">
        <v>1</v>
      </c>
      <c r="M9485">
        <v>5</v>
      </c>
      <c r="N9485" t="s">
        <v>37</v>
      </c>
      <c r="O9485" t="s">
        <v>30</v>
      </c>
      <c r="P9485">
        <v>6.0515861168753</v>
      </c>
      <c r="Q9485">
        <v>0.93650701712098094</v>
      </c>
      <c r="R9485">
        <v>5.9154054190014502</v>
      </c>
      <c r="S9485">
        <v>197</v>
      </c>
      <c r="T9485">
        <v>68</v>
      </c>
      <c r="U9485">
        <v>625.01551460712699</v>
      </c>
      <c r="V9485">
        <v>1.74886323889471E-3</v>
      </c>
      <c r="W9485">
        <v>2079021.6371812599</v>
      </c>
      <c r="X9485" t="s">
        <v>40</v>
      </c>
      <c r="Y9485">
        <f>1-964-606-3516</f>
        <v>-5085</v>
      </c>
    </row>
    <row r="9486" spans="1:25" x14ac:dyDescent="0.35">
      <c r="A9486">
        <v>40.0053207992636</v>
      </c>
      <c r="B9486">
        <v>-118.983569300661</v>
      </c>
      <c r="C9486" t="s">
        <v>29</v>
      </c>
      <c r="D9486">
        <v>14.875616796803101</v>
      </c>
      <c r="E9486">
        <v>0</v>
      </c>
      <c r="F9486">
        <v>1021</v>
      </c>
      <c r="G9486">
        <v>5</v>
      </c>
      <c r="H9486">
        <v>3</v>
      </c>
      <c r="I9486">
        <v>2003</v>
      </c>
      <c r="J9486">
        <v>1</v>
      </c>
      <c r="K9486">
        <v>1</v>
      </c>
      <c r="L9486">
        <v>1</v>
      </c>
      <c r="M9486">
        <v>7</v>
      </c>
      <c r="N9486" t="s">
        <v>37</v>
      </c>
      <c r="O9486" t="s">
        <v>27</v>
      </c>
      <c r="P9486">
        <v>5.7539280108265602</v>
      </c>
      <c r="Q9486">
        <v>1.83903495257427</v>
      </c>
      <c r="R9486">
        <v>2.5490085338181601</v>
      </c>
      <c r="S9486">
        <v>1</v>
      </c>
      <c r="T9486">
        <v>37</v>
      </c>
      <c r="U9486">
        <v>583.04607547508499</v>
      </c>
      <c r="V9486">
        <v>6.8560235063662997E-3</v>
      </c>
      <c r="W9486">
        <v>1011305.8653149999</v>
      </c>
      <c r="X9486" t="s">
        <v>44</v>
      </c>
      <c r="Y9486">
        <f>1-993-909-4592</f>
        <v>-6493</v>
      </c>
    </row>
    <row r="9487" spans="1:25" x14ac:dyDescent="0.35">
      <c r="A9487">
        <v>36.843657992632401</v>
      </c>
      <c r="B9487">
        <v>-122.700977062448</v>
      </c>
      <c r="C9487" t="s">
        <v>29</v>
      </c>
      <c r="D9487">
        <v>19.893221150587198</v>
      </c>
      <c r="E9487">
        <v>1</v>
      </c>
      <c r="F9487">
        <v>4354</v>
      </c>
      <c r="G9487">
        <v>5</v>
      </c>
      <c r="H9487">
        <v>3</v>
      </c>
      <c r="I9487">
        <v>1959</v>
      </c>
      <c r="J9487">
        <v>0</v>
      </c>
      <c r="K9487">
        <v>1</v>
      </c>
      <c r="L9487">
        <v>0</v>
      </c>
      <c r="M9487">
        <v>11</v>
      </c>
      <c r="N9487" t="s">
        <v>26</v>
      </c>
      <c r="O9487" t="s">
        <v>27</v>
      </c>
      <c r="P9487">
        <v>4.3715849292493596</v>
      </c>
      <c r="Q9487">
        <v>1.2264860530096999</v>
      </c>
      <c r="R9487">
        <v>3.6848397944896099</v>
      </c>
      <c r="S9487">
        <v>187</v>
      </c>
      <c r="T9487">
        <v>26</v>
      </c>
      <c r="U9487">
        <v>447.84083761505599</v>
      </c>
      <c r="V9487">
        <v>2.52641249425815E-3</v>
      </c>
      <c r="W9487">
        <v>2297695.3831578</v>
      </c>
      <c r="X9487" t="s">
        <v>31</v>
      </c>
      <c r="Y9487">
        <f>1-593-466-4238</f>
        <v>-5296</v>
      </c>
    </row>
    <row r="9488" spans="1:25" x14ac:dyDescent="0.35">
      <c r="A9488">
        <v>35.526308375702598</v>
      </c>
      <c r="B9488">
        <v>-122.42778634662</v>
      </c>
      <c r="C9488" t="s">
        <v>29</v>
      </c>
      <c r="D9488">
        <v>17.432515773081601</v>
      </c>
      <c r="E9488">
        <v>7</v>
      </c>
      <c r="F9488">
        <v>1501</v>
      </c>
      <c r="G9488">
        <v>5</v>
      </c>
      <c r="H9488">
        <v>3</v>
      </c>
      <c r="I9488">
        <v>2019</v>
      </c>
      <c r="J9488">
        <v>1</v>
      </c>
      <c r="K9488">
        <v>1</v>
      </c>
      <c r="L9488">
        <v>1</v>
      </c>
      <c r="M9488">
        <v>13</v>
      </c>
      <c r="N9488" t="s">
        <v>41</v>
      </c>
      <c r="O9488" t="s">
        <v>27</v>
      </c>
      <c r="P9488">
        <v>3.1049849807032399</v>
      </c>
      <c r="Q9488">
        <v>0.90786293377913996</v>
      </c>
      <c r="R9488">
        <v>7.2954336737256398</v>
      </c>
      <c r="S9488">
        <v>4</v>
      </c>
      <c r="T9488">
        <v>65</v>
      </c>
      <c r="U9488">
        <v>278.43782335735301</v>
      </c>
      <c r="V9488">
        <v>8.6608927381745492E-3</v>
      </c>
      <c r="W9488">
        <v>905167.03282252199</v>
      </c>
      <c r="X9488" t="s">
        <v>28</v>
      </c>
      <c r="Y9488">
        <f>1-496-997-6755</f>
        <v>-8247</v>
      </c>
    </row>
    <row r="9489" spans="1:25" x14ac:dyDescent="0.35">
      <c r="A9489">
        <v>41.470542153940599</v>
      </c>
      <c r="B9489">
        <v>-117.62878770063</v>
      </c>
      <c r="C9489" t="s">
        <v>29</v>
      </c>
      <c r="D9489">
        <v>38.838836505740403</v>
      </c>
      <c r="E9489">
        <v>6</v>
      </c>
      <c r="F9489">
        <v>1055</v>
      </c>
      <c r="G9489">
        <v>5</v>
      </c>
      <c r="H9489">
        <v>3</v>
      </c>
      <c r="I9489">
        <v>1973</v>
      </c>
      <c r="J9489">
        <v>0</v>
      </c>
      <c r="K9489">
        <v>1</v>
      </c>
      <c r="L9489">
        <v>1</v>
      </c>
      <c r="M9489">
        <v>9</v>
      </c>
      <c r="N9489" t="s">
        <v>37</v>
      </c>
      <c r="O9489" t="s">
        <v>30</v>
      </c>
      <c r="P9489">
        <v>11.6450528381919</v>
      </c>
      <c r="Q9489">
        <v>1.1807291721725299</v>
      </c>
      <c r="R9489">
        <v>6.3322356474198997</v>
      </c>
      <c r="S9489">
        <v>13</v>
      </c>
      <c r="T9489">
        <v>41</v>
      </c>
      <c r="U9489">
        <v>921.62450481155997</v>
      </c>
      <c r="V9489">
        <v>8.5308056872037893E-3</v>
      </c>
      <c r="W9489">
        <v>1513405.1745120201</v>
      </c>
      <c r="X9489" t="s">
        <v>33</v>
      </c>
      <c r="Y9489">
        <f>1-423-616-4778</f>
        <v>-5816</v>
      </c>
    </row>
    <row r="9490" spans="1:25" x14ac:dyDescent="0.35">
      <c r="A9490">
        <v>35.592037328456698</v>
      </c>
      <c r="B9490">
        <v>-118.478611389164</v>
      </c>
      <c r="C9490" t="s">
        <v>34</v>
      </c>
      <c r="D9490">
        <v>41.392448320638003</v>
      </c>
      <c r="E9490">
        <v>5</v>
      </c>
      <c r="F9490">
        <v>2263</v>
      </c>
      <c r="G9490">
        <v>5</v>
      </c>
      <c r="H9490">
        <v>1</v>
      </c>
      <c r="I9490">
        <v>1966</v>
      </c>
      <c r="J9490">
        <v>0</v>
      </c>
      <c r="K9490">
        <v>1</v>
      </c>
      <c r="L9490">
        <v>1</v>
      </c>
      <c r="M9490">
        <v>10</v>
      </c>
      <c r="N9490" t="s">
        <v>35</v>
      </c>
      <c r="O9490" t="s">
        <v>32</v>
      </c>
      <c r="P9490">
        <v>8.8141760923285695</v>
      </c>
      <c r="Q9490">
        <v>0.78863731730501796</v>
      </c>
      <c r="R9490">
        <v>5.6629805792050698</v>
      </c>
      <c r="S9490">
        <v>26</v>
      </c>
      <c r="T9490">
        <v>66</v>
      </c>
      <c r="U9490">
        <v>544.91273809839799</v>
      </c>
      <c r="V9490">
        <v>4.41891294741493E-3</v>
      </c>
      <c r="W9490">
        <v>1581294.4638296501</v>
      </c>
      <c r="X9490" t="s">
        <v>42</v>
      </c>
      <c r="Y9490">
        <f>1-891-115-1044</f>
        <v>-2049</v>
      </c>
    </row>
    <row r="9491" spans="1:25" x14ac:dyDescent="0.35">
      <c r="A9491">
        <v>32.597781816009501</v>
      </c>
      <c r="B9491">
        <v>-114.897138295914</v>
      </c>
      <c r="C9491" t="s">
        <v>25</v>
      </c>
      <c r="D9491">
        <v>37.7047708683019</v>
      </c>
      <c r="E9491">
        <v>1</v>
      </c>
      <c r="F9491">
        <v>2782</v>
      </c>
      <c r="G9491">
        <v>4</v>
      </c>
      <c r="H9491">
        <v>2</v>
      </c>
      <c r="I9491">
        <v>1952</v>
      </c>
      <c r="J9491">
        <v>1</v>
      </c>
      <c r="K9491">
        <v>0</v>
      </c>
      <c r="L9491">
        <v>0</v>
      </c>
      <c r="M9491">
        <v>13</v>
      </c>
      <c r="N9491" t="s">
        <v>26</v>
      </c>
      <c r="O9491" t="s">
        <v>32</v>
      </c>
      <c r="P9491">
        <v>2.89152457621072</v>
      </c>
      <c r="Q9491">
        <v>1.9777471768221999</v>
      </c>
      <c r="R9491">
        <v>7.5351012580734302</v>
      </c>
      <c r="S9491">
        <v>23</v>
      </c>
      <c r="T9491">
        <v>47</v>
      </c>
      <c r="U9491">
        <v>532.63181099754001</v>
      </c>
      <c r="V9491">
        <v>4.6728971962616802E-3</v>
      </c>
      <c r="W9491">
        <v>1683858.6117151401</v>
      </c>
      <c r="X9491" t="s">
        <v>40</v>
      </c>
      <c r="Y9491">
        <f>1-404-150-8382</f>
        <v>-8935</v>
      </c>
    </row>
    <row r="9492" spans="1:25" x14ac:dyDescent="0.35">
      <c r="A9492">
        <v>37.858824037530901</v>
      </c>
      <c r="B9492">
        <v>-121.217043844843</v>
      </c>
      <c r="C9492" t="s">
        <v>34</v>
      </c>
      <c r="D9492">
        <v>5.2446162682350304</v>
      </c>
      <c r="E9492">
        <v>9</v>
      </c>
      <c r="F9492">
        <v>4776</v>
      </c>
      <c r="G9492">
        <v>4</v>
      </c>
      <c r="H9492">
        <v>2</v>
      </c>
      <c r="I9492">
        <v>1956</v>
      </c>
      <c r="J9492">
        <v>1</v>
      </c>
      <c r="K9492">
        <v>0</v>
      </c>
      <c r="L9492">
        <v>0</v>
      </c>
      <c r="M9492">
        <v>14</v>
      </c>
      <c r="N9492" t="s">
        <v>37</v>
      </c>
      <c r="O9492" t="s">
        <v>32</v>
      </c>
      <c r="P9492">
        <v>3.0651448681873301</v>
      </c>
      <c r="Q9492">
        <v>1.4427300551167299</v>
      </c>
      <c r="R9492">
        <v>0.885252621304778</v>
      </c>
      <c r="S9492">
        <v>82</v>
      </c>
      <c r="T9492">
        <v>23</v>
      </c>
      <c r="U9492">
        <v>307.03688801884698</v>
      </c>
      <c r="V9492">
        <v>2.9313232830820699E-3</v>
      </c>
      <c r="W9492">
        <v>1656485.8406571699</v>
      </c>
      <c r="X9492" t="s">
        <v>39</v>
      </c>
      <c r="Y9492">
        <f>1-364-133-3098</f>
        <v>-3594</v>
      </c>
    </row>
    <row r="9493" spans="1:25" x14ac:dyDescent="0.35">
      <c r="A9493">
        <v>35.872075719241202</v>
      </c>
      <c r="B9493">
        <v>-116.29782145474999</v>
      </c>
      <c r="C9493" t="s">
        <v>29</v>
      </c>
      <c r="D9493">
        <v>34.634470233878297</v>
      </c>
      <c r="E9493">
        <v>2</v>
      </c>
      <c r="F9493">
        <v>3068</v>
      </c>
      <c r="G9493">
        <v>4</v>
      </c>
      <c r="H9493">
        <v>3</v>
      </c>
      <c r="I9493">
        <v>1969</v>
      </c>
      <c r="J9493">
        <v>1</v>
      </c>
      <c r="K9493">
        <v>1</v>
      </c>
      <c r="L9493">
        <v>1</v>
      </c>
      <c r="M9493">
        <v>11</v>
      </c>
      <c r="N9493" t="s">
        <v>35</v>
      </c>
      <c r="O9493" t="s">
        <v>30</v>
      </c>
      <c r="P9493">
        <v>11.904783856193401</v>
      </c>
      <c r="Q9493">
        <v>0.70564865340459004</v>
      </c>
      <c r="R9493">
        <v>4.5408937502900297</v>
      </c>
      <c r="S9493">
        <v>121</v>
      </c>
      <c r="T9493">
        <v>43</v>
      </c>
      <c r="U9493">
        <v>286.62686121862703</v>
      </c>
      <c r="V9493">
        <v>3.5853976531942601E-3</v>
      </c>
      <c r="W9493">
        <v>1321577.52350841</v>
      </c>
      <c r="X9493" t="s">
        <v>42</v>
      </c>
      <c r="Y9493">
        <f>1-422-537-8824</f>
        <v>-9782</v>
      </c>
    </row>
    <row r="9494" spans="1:25" x14ac:dyDescent="0.35">
      <c r="A9494">
        <v>38.448171911037797</v>
      </c>
      <c r="B9494">
        <v>-124.42980320743099</v>
      </c>
      <c r="C9494" t="s">
        <v>25</v>
      </c>
      <c r="D9494">
        <v>41.171440811663302</v>
      </c>
      <c r="E9494">
        <v>4</v>
      </c>
      <c r="F9494">
        <v>1483</v>
      </c>
      <c r="G9494">
        <v>1</v>
      </c>
      <c r="H9494">
        <v>1</v>
      </c>
      <c r="I9494">
        <v>1968</v>
      </c>
      <c r="J9494">
        <v>0</v>
      </c>
      <c r="K9494">
        <v>0</v>
      </c>
      <c r="L9494">
        <v>0</v>
      </c>
      <c r="M9494">
        <v>13</v>
      </c>
      <c r="N9494" t="s">
        <v>41</v>
      </c>
      <c r="O9494" t="s">
        <v>32</v>
      </c>
      <c r="P9494">
        <v>6.8831357234995698</v>
      </c>
      <c r="Q9494">
        <v>0.93470909340685004</v>
      </c>
      <c r="R9494">
        <v>3.4642548677995699</v>
      </c>
      <c r="S9494">
        <v>153</v>
      </c>
      <c r="T9494">
        <v>47</v>
      </c>
      <c r="U9494">
        <v>860.90864259772798</v>
      </c>
      <c r="V9494">
        <v>8.7660148347943299E-3</v>
      </c>
      <c r="W9494">
        <v>1325772.3917717701</v>
      </c>
      <c r="X9494" t="s">
        <v>40</v>
      </c>
      <c r="Y9494">
        <f>1-301-110-7538</f>
        <v>-7948</v>
      </c>
    </row>
    <row r="9495" spans="1:25" x14ac:dyDescent="0.35">
      <c r="A9495">
        <v>33.109143240297698</v>
      </c>
      <c r="B9495">
        <v>-116.44285467584901</v>
      </c>
      <c r="C9495" t="s">
        <v>29</v>
      </c>
      <c r="D9495">
        <v>15.4819300140999</v>
      </c>
      <c r="E9495">
        <v>2</v>
      </c>
      <c r="F9495">
        <v>4204</v>
      </c>
      <c r="G9495">
        <v>3</v>
      </c>
      <c r="H9495">
        <v>2</v>
      </c>
      <c r="I9495">
        <v>1952</v>
      </c>
      <c r="J9495">
        <v>1</v>
      </c>
      <c r="K9495">
        <v>1</v>
      </c>
      <c r="L9495">
        <v>0</v>
      </c>
      <c r="M9495">
        <v>8</v>
      </c>
      <c r="N9495" t="s">
        <v>26</v>
      </c>
      <c r="O9495" t="s">
        <v>32</v>
      </c>
      <c r="P9495">
        <v>4.6314442311208301</v>
      </c>
      <c r="Q9495">
        <v>0.89550937842845901</v>
      </c>
      <c r="R9495">
        <v>9.88511105145035</v>
      </c>
      <c r="S9495">
        <v>174</v>
      </c>
      <c r="T9495">
        <v>48</v>
      </c>
      <c r="U9495">
        <v>358.52025285854802</v>
      </c>
      <c r="V9495">
        <v>1.9029495718363399E-3</v>
      </c>
      <c r="W9495">
        <v>1665471.1227822299</v>
      </c>
      <c r="X9495" t="s">
        <v>44</v>
      </c>
      <c r="Y9495">
        <f>1-232-836-2436</f>
        <v>-3503</v>
      </c>
    </row>
    <row r="9496" spans="1:25" x14ac:dyDescent="0.35">
      <c r="A9496">
        <v>37.246780462949197</v>
      </c>
      <c r="B9496">
        <v>-118.681656446525</v>
      </c>
      <c r="C9496" t="s">
        <v>25</v>
      </c>
      <c r="D9496">
        <v>48.525476954856998</v>
      </c>
      <c r="E9496">
        <v>2</v>
      </c>
      <c r="F9496">
        <v>4460</v>
      </c>
      <c r="G9496">
        <v>3</v>
      </c>
      <c r="H9496">
        <v>3</v>
      </c>
      <c r="I9496">
        <v>1982</v>
      </c>
      <c r="J9496">
        <v>0</v>
      </c>
      <c r="K9496">
        <v>1</v>
      </c>
      <c r="L9496">
        <v>1</v>
      </c>
      <c r="M9496">
        <v>3</v>
      </c>
      <c r="N9496" t="s">
        <v>26</v>
      </c>
      <c r="O9496" t="s">
        <v>27</v>
      </c>
      <c r="P9496">
        <v>13.510384401999699</v>
      </c>
      <c r="Q9496">
        <v>1.96905291521225</v>
      </c>
      <c r="R9496">
        <v>4.7456775155783602</v>
      </c>
      <c r="S9496">
        <v>150</v>
      </c>
      <c r="T9496">
        <v>68</v>
      </c>
      <c r="U9496">
        <v>203.57500997091699</v>
      </c>
      <c r="V9496">
        <v>6.7264573991031296E-4</v>
      </c>
      <c r="W9496">
        <v>1270910.5184494201</v>
      </c>
      <c r="X9496" t="s">
        <v>36</v>
      </c>
      <c r="Y9496">
        <f>1-243-591-7249</f>
        <v>-8082</v>
      </c>
    </row>
    <row r="9497" spans="1:25" x14ac:dyDescent="0.35">
      <c r="A9497">
        <v>32.956353543722898</v>
      </c>
      <c r="B9497">
        <v>-121.20966367755599</v>
      </c>
      <c r="C9497" t="s">
        <v>29</v>
      </c>
      <c r="D9497">
        <v>19.526239096060898</v>
      </c>
      <c r="E9497">
        <v>4</v>
      </c>
      <c r="F9497">
        <v>3195</v>
      </c>
      <c r="G9497">
        <v>4</v>
      </c>
      <c r="H9497">
        <v>3</v>
      </c>
      <c r="I9497">
        <v>2001</v>
      </c>
      <c r="J9497">
        <v>1</v>
      </c>
      <c r="K9497">
        <v>1</v>
      </c>
      <c r="L9497">
        <v>1</v>
      </c>
      <c r="M9497">
        <v>11</v>
      </c>
      <c r="N9497" t="s">
        <v>26</v>
      </c>
      <c r="O9497" t="s">
        <v>30</v>
      </c>
      <c r="P9497">
        <v>12.0450397205089</v>
      </c>
      <c r="Q9497">
        <v>1.6297015804855399</v>
      </c>
      <c r="R9497">
        <v>7.5093573531557496</v>
      </c>
      <c r="S9497">
        <v>94</v>
      </c>
      <c r="T9497">
        <v>57</v>
      </c>
      <c r="U9497">
        <v>202.29526936728601</v>
      </c>
      <c r="V9497">
        <v>3.44287949921752E-3</v>
      </c>
      <c r="W9497">
        <v>1253569.1174711401</v>
      </c>
      <c r="X9497" t="s">
        <v>36</v>
      </c>
      <c r="Y9497">
        <f>1-912-282-2530</f>
        <v>-3723</v>
      </c>
    </row>
    <row r="9498" spans="1:25" x14ac:dyDescent="0.35">
      <c r="A9498">
        <v>34.181391238315399</v>
      </c>
      <c r="B9498">
        <v>-119.631643949108</v>
      </c>
      <c r="C9498" t="s">
        <v>34</v>
      </c>
      <c r="D9498">
        <v>37.437533837627903</v>
      </c>
      <c r="E9498">
        <v>5</v>
      </c>
      <c r="F9498">
        <v>4576</v>
      </c>
      <c r="G9498">
        <v>1</v>
      </c>
      <c r="H9498">
        <v>2</v>
      </c>
      <c r="I9498">
        <v>1997</v>
      </c>
      <c r="J9498">
        <v>0</v>
      </c>
      <c r="K9498">
        <v>0</v>
      </c>
      <c r="L9498">
        <v>0</v>
      </c>
      <c r="M9498">
        <v>4</v>
      </c>
      <c r="N9498" t="s">
        <v>35</v>
      </c>
      <c r="O9498" t="s">
        <v>27</v>
      </c>
      <c r="P9498">
        <v>9.1846834743987493</v>
      </c>
      <c r="Q9498">
        <v>2.00798795877337</v>
      </c>
      <c r="R9498">
        <v>5.4972843217784897</v>
      </c>
      <c r="S9498">
        <v>132</v>
      </c>
      <c r="T9498">
        <v>52</v>
      </c>
      <c r="U9498">
        <v>304.15364040810698</v>
      </c>
      <c r="V9498">
        <v>8.7412587412587402E-4</v>
      </c>
      <c r="W9498">
        <v>1495282.4372956899</v>
      </c>
      <c r="X9498" t="s">
        <v>33</v>
      </c>
      <c r="Y9498">
        <f>1-280-416-9760</f>
        <v>-10455</v>
      </c>
    </row>
    <row r="9499" spans="1:25" x14ac:dyDescent="0.35">
      <c r="A9499">
        <v>34.389869324838301</v>
      </c>
      <c r="B9499">
        <v>-122.62789437867301</v>
      </c>
      <c r="C9499" t="s">
        <v>25</v>
      </c>
      <c r="D9499">
        <v>42.366739035086297</v>
      </c>
      <c r="E9499">
        <v>5</v>
      </c>
      <c r="F9499">
        <v>2268</v>
      </c>
      <c r="G9499">
        <v>1</v>
      </c>
      <c r="H9499">
        <v>1</v>
      </c>
      <c r="I9499">
        <v>1952</v>
      </c>
      <c r="J9499">
        <v>1</v>
      </c>
      <c r="K9499">
        <v>1</v>
      </c>
      <c r="L9499">
        <v>0</v>
      </c>
      <c r="M9499">
        <v>7</v>
      </c>
      <c r="N9499" t="s">
        <v>41</v>
      </c>
      <c r="O9499" t="s">
        <v>32</v>
      </c>
      <c r="P9499">
        <v>9.7467930721534195</v>
      </c>
      <c r="Q9499">
        <v>1.5586674380843699</v>
      </c>
      <c r="R9499">
        <v>2.95420341877045</v>
      </c>
      <c r="S9499">
        <v>14</v>
      </c>
      <c r="T9499">
        <v>71</v>
      </c>
      <c r="U9499">
        <v>737.48168557558995</v>
      </c>
      <c r="V9499">
        <v>3.08641975308641E-3</v>
      </c>
      <c r="W9499">
        <v>1797699.0933093</v>
      </c>
      <c r="X9499" t="s">
        <v>33</v>
      </c>
      <c r="Y9499">
        <f>1-976-784-8768</f>
        <v>-10527</v>
      </c>
    </row>
    <row r="9500" spans="1:25" x14ac:dyDescent="0.35">
      <c r="A9500">
        <v>36.364634624786198</v>
      </c>
      <c r="B9500">
        <v>-115.22797856743399</v>
      </c>
      <c r="C9500" t="s">
        <v>25</v>
      </c>
      <c r="D9500">
        <v>33.020043737551397</v>
      </c>
      <c r="E9500">
        <v>6</v>
      </c>
      <c r="F9500">
        <v>4557</v>
      </c>
      <c r="G9500">
        <v>3</v>
      </c>
      <c r="H9500">
        <v>2</v>
      </c>
      <c r="I9500">
        <v>1972</v>
      </c>
      <c r="J9500">
        <v>0</v>
      </c>
      <c r="K9500">
        <v>1</v>
      </c>
      <c r="L9500">
        <v>1</v>
      </c>
      <c r="M9500">
        <v>11</v>
      </c>
      <c r="N9500" t="s">
        <v>26</v>
      </c>
      <c r="O9500" t="s">
        <v>30</v>
      </c>
      <c r="P9500">
        <v>13.5031306568258</v>
      </c>
      <c r="Q9500">
        <v>0.53059471982864903</v>
      </c>
      <c r="R9500">
        <v>3.6323693863223698</v>
      </c>
      <c r="S9500">
        <v>182</v>
      </c>
      <c r="T9500">
        <v>55</v>
      </c>
      <c r="U9500">
        <v>510.47929175875601</v>
      </c>
      <c r="V9500">
        <v>2.4138687733157699E-3</v>
      </c>
      <c r="W9500">
        <v>2709715.7340221298</v>
      </c>
      <c r="X9500" t="s">
        <v>28</v>
      </c>
      <c r="Y9500">
        <f>1-962-698-2456</f>
        <v>-4115</v>
      </c>
    </row>
    <row r="9501" spans="1:25" x14ac:dyDescent="0.35">
      <c r="A9501">
        <v>32.541123445775099</v>
      </c>
      <c r="B9501">
        <v>-114.531514351437</v>
      </c>
      <c r="C9501" t="s">
        <v>29</v>
      </c>
      <c r="D9501">
        <v>16.755401919152401</v>
      </c>
      <c r="E9501">
        <v>0</v>
      </c>
      <c r="F9501">
        <v>1546</v>
      </c>
      <c r="G9501">
        <v>3</v>
      </c>
      <c r="H9501">
        <v>1</v>
      </c>
      <c r="I9501">
        <v>1998</v>
      </c>
      <c r="J9501">
        <v>0</v>
      </c>
      <c r="K9501">
        <v>0</v>
      </c>
      <c r="L9501">
        <v>0</v>
      </c>
      <c r="M9501">
        <v>7</v>
      </c>
      <c r="N9501" t="s">
        <v>26</v>
      </c>
      <c r="O9501" t="s">
        <v>30</v>
      </c>
      <c r="P9501">
        <v>8.2096061873903992</v>
      </c>
      <c r="Q9501">
        <v>2.3045389097003102</v>
      </c>
      <c r="R9501">
        <v>9.0569283153072</v>
      </c>
      <c r="S9501">
        <v>54</v>
      </c>
      <c r="T9501">
        <v>79</v>
      </c>
      <c r="U9501">
        <v>858.97169247182796</v>
      </c>
      <c r="V9501">
        <v>4.5278137128072398E-3</v>
      </c>
      <c r="W9501">
        <v>1509918.5459712499</v>
      </c>
      <c r="X9501" t="s">
        <v>38</v>
      </c>
      <c r="Y9501">
        <f>1-503-332-7846</f>
        <v>-8680</v>
      </c>
    </row>
    <row r="9502" spans="1:25" x14ac:dyDescent="0.35">
      <c r="A9502">
        <v>37.194932060370498</v>
      </c>
      <c r="B9502">
        <v>-122.098960485422</v>
      </c>
      <c r="C9502" t="s">
        <v>25</v>
      </c>
      <c r="D9502">
        <v>2.7867641616305301</v>
      </c>
      <c r="E9502">
        <v>0</v>
      </c>
      <c r="F9502">
        <v>2712</v>
      </c>
      <c r="G9502">
        <v>2</v>
      </c>
      <c r="H9502">
        <v>2</v>
      </c>
      <c r="I9502">
        <v>2002</v>
      </c>
      <c r="J9502">
        <v>0</v>
      </c>
      <c r="K9502">
        <v>1</v>
      </c>
      <c r="L9502">
        <v>0</v>
      </c>
      <c r="M9502">
        <v>6</v>
      </c>
      <c r="N9502" t="s">
        <v>35</v>
      </c>
      <c r="O9502" t="s">
        <v>30</v>
      </c>
      <c r="P9502">
        <v>14.8842863409113</v>
      </c>
      <c r="Q9502">
        <v>1.28894177595603</v>
      </c>
      <c r="R9502">
        <v>9.2654771516633296</v>
      </c>
      <c r="S9502">
        <v>138</v>
      </c>
      <c r="T9502">
        <v>47</v>
      </c>
      <c r="U9502">
        <v>369.11975565210099</v>
      </c>
      <c r="V9502">
        <v>2.21238938053097E-3</v>
      </c>
      <c r="W9502">
        <v>1372921.65324746</v>
      </c>
      <c r="X9502" t="s">
        <v>40</v>
      </c>
      <c r="Y9502">
        <f>1-286-384-3868</f>
        <v>-4537</v>
      </c>
    </row>
    <row r="9503" spans="1:25" x14ac:dyDescent="0.35">
      <c r="A9503">
        <v>33.356578202857399</v>
      </c>
      <c r="B9503">
        <v>-121.035930361616</v>
      </c>
      <c r="C9503" t="s">
        <v>29</v>
      </c>
      <c r="D9503">
        <v>17.961214282893099</v>
      </c>
      <c r="E9503">
        <v>5</v>
      </c>
      <c r="F9503">
        <v>2900</v>
      </c>
      <c r="G9503">
        <v>1</v>
      </c>
      <c r="H9503">
        <v>2</v>
      </c>
      <c r="I9503">
        <v>2013</v>
      </c>
      <c r="J9503">
        <v>1</v>
      </c>
      <c r="K9503">
        <v>0</v>
      </c>
      <c r="L9503">
        <v>1</v>
      </c>
      <c r="M9503">
        <v>5</v>
      </c>
      <c r="N9503" t="s">
        <v>26</v>
      </c>
      <c r="O9503" t="s">
        <v>27</v>
      </c>
      <c r="P9503">
        <v>9.9488766444674699</v>
      </c>
      <c r="Q9503">
        <v>2.10325773493153</v>
      </c>
      <c r="R9503">
        <v>5.7650129363404403</v>
      </c>
      <c r="S9503">
        <v>50</v>
      </c>
      <c r="T9503">
        <v>76</v>
      </c>
      <c r="U9503">
        <v>752.46663081612701</v>
      </c>
      <c r="V9503">
        <v>1.7241379310344799E-3</v>
      </c>
      <c r="W9503">
        <v>2474765.7207644698</v>
      </c>
      <c r="X9503" t="s">
        <v>31</v>
      </c>
      <c r="Y9503">
        <f>1-531-637-3909</f>
        <v>-5076</v>
      </c>
    </row>
    <row r="9504" spans="1:25" x14ac:dyDescent="0.35">
      <c r="A9504">
        <v>33.242766526718299</v>
      </c>
      <c r="B9504">
        <v>-119.99215818123</v>
      </c>
      <c r="C9504" t="s">
        <v>25</v>
      </c>
      <c r="D9504">
        <v>12.105849433223501</v>
      </c>
      <c r="E9504">
        <v>7</v>
      </c>
      <c r="F9504">
        <v>1699</v>
      </c>
      <c r="G9504">
        <v>1</v>
      </c>
      <c r="H9504">
        <v>2</v>
      </c>
      <c r="I9504">
        <v>1982</v>
      </c>
      <c r="J9504">
        <v>0</v>
      </c>
      <c r="K9504">
        <v>1</v>
      </c>
      <c r="L9504">
        <v>1</v>
      </c>
      <c r="M9504">
        <v>6</v>
      </c>
      <c r="N9504" t="s">
        <v>37</v>
      </c>
      <c r="O9504" t="s">
        <v>32</v>
      </c>
      <c r="P9504">
        <v>14.0045211929756</v>
      </c>
      <c r="Q9504">
        <v>2.3412968075962102</v>
      </c>
      <c r="R9504">
        <v>4.9304154737647696</v>
      </c>
      <c r="S9504">
        <v>137</v>
      </c>
      <c r="T9504">
        <v>73</v>
      </c>
      <c r="U9504">
        <v>832.53245691223901</v>
      </c>
      <c r="V9504">
        <v>3.5314891112418999E-3</v>
      </c>
      <c r="W9504">
        <v>1727308.1716998699</v>
      </c>
      <c r="X9504" t="s">
        <v>28</v>
      </c>
      <c r="Y9504">
        <f>1-226-176-3246</f>
        <v>-3647</v>
      </c>
    </row>
    <row r="9505" spans="1:25" x14ac:dyDescent="0.35">
      <c r="A9505">
        <v>38.550991698445799</v>
      </c>
      <c r="B9505">
        <v>-117.002027296748</v>
      </c>
      <c r="C9505" t="s">
        <v>29</v>
      </c>
      <c r="D9505">
        <v>12.769689299181399</v>
      </c>
      <c r="E9505">
        <v>1</v>
      </c>
      <c r="F9505">
        <v>3331</v>
      </c>
      <c r="G9505">
        <v>4</v>
      </c>
      <c r="H9505">
        <v>2</v>
      </c>
      <c r="I9505">
        <v>1974</v>
      </c>
      <c r="J9505">
        <v>0</v>
      </c>
      <c r="K9505">
        <v>0</v>
      </c>
      <c r="L9505">
        <v>0</v>
      </c>
      <c r="M9505">
        <v>5</v>
      </c>
      <c r="N9505" t="s">
        <v>41</v>
      </c>
      <c r="O9505" t="s">
        <v>27</v>
      </c>
      <c r="P9505">
        <v>11.496689067776501</v>
      </c>
      <c r="Q9505">
        <v>1.66942356644348</v>
      </c>
      <c r="R9505">
        <v>7.2839308343874301</v>
      </c>
      <c r="S9505">
        <v>116</v>
      </c>
      <c r="T9505">
        <v>45</v>
      </c>
      <c r="U9505">
        <v>453.71900291277001</v>
      </c>
      <c r="V9505">
        <v>1.50105073551486E-3</v>
      </c>
      <c r="W9505">
        <v>1805922.18062061</v>
      </c>
      <c r="X9505" t="s">
        <v>28</v>
      </c>
      <c r="Y9505">
        <f>1-237-439-1468</f>
        <v>-2143</v>
      </c>
    </row>
    <row r="9506" spans="1:25" x14ac:dyDescent="0.35">
      <c r="A9506">
        <v>32.583773008737801</v>
      </c>
      <c r="B9506">
        <v>-119.130465038024</v>
      </c>
      <c r="C9506" t="s">
        <v>29</v>
      </c>
      <c r="D9506">
        <v>19.221946440797801</v>
      </c>
      <c r="E9506">
        <v>0</v>
      </c>
      <c r="F9506">
        <v>4821</v>
      </c>
      <c r="G9506">
        <v>2</v>
      </c>
      <c r="H9506">
        <v>1</v>
      </c>
      <c r="I9506">
        <v>1958</v>
      </c>
      <c r="J9506">
        <v>0</v>
      </c>
      <c r="K9506">
        <v>1</v>
      </c>
      <c r="L9506">
        <v>1</v>
      </c>
      <c r="M9506">
        <v>13</v>
      </c>
      <c r="N9506" t="s">
        <v>35</v>
      </c>
      <c r="O9506" t="s">
        <v>30</v>
      </c>
      <c r="P9506">
        <v>3.4635616512812999</v>
      </c>
      <c r="Q9506">
        <v>2.3475722107794899</v>
      </c>
      <c r="R9506">
        <v>1.29094169172697</v>
      </c>
      <c r="S9506">
        <v>171</v>
      </c>
      <c r="T9506">
        <v>79</v>
      </c>
      <c r="U9506">
        <v>554.06894247001003</v>
      </c>
      <c r="V9506">
        <v>2.69653598838415E-3</v>
      </c>
      <c r="W9506">
        <v>2815394.5756816799</v>
      </c>
      <c r="X9506" t="s">
        <v>31</v>
      </c>
      <c r="Y9506">
        <f>1-590-403-5447</f>
        <v>-6439</v>
      </c>
    </row>
    <row r="9507" spans="1:25" x14ac:dyDescent="0.35">
      <c r="A9507">
        <v>40.2948081346237</v>
      </c>
      <c r="B9507">
        <v>-115.038273222436</v>
      </c>
      <c r="C9507" t="s">
        <v>34</v>
      </c>
      <c r="D9507">
        <v>10.9809151259459</v>
      </c>
      <c r="E9507">
        <v>4</v>
      </c>
      <c r="F9507">
        <v>3171</v>
      </c>
      <c r="G9507">
        <v>1</v>
      </c>
      <c r="H9507">
        <v>3</v>
      </c>
      <c r="I9507">
        <v>2020</v>
      </c>
      <c r="J9507">
        <v>0</v>
      </c>
      <c r="K9507">
        <v>0</v>
      </c>
      <c r="L9507">
        <v>0</v>
      </c>
      <c r="M9507">
        <v>4</v>
      </c>
      <c r="N9507" t="s">
        <v>26</v>
      </c>
      <c r="O9507" t="s">
        <v>32</v>
      </c>
      <c r="P9507">
        <v>11.7535317096916</v>
      </c>
      <c r="Q9507">
        <v>1.93892785675048</v>
      </c>
      <c r="R9507">
        <v>8.4771422367254292</v>
      </c>
      <c r="S9507">
        <v>164</v>
      </c>
      <c r="T9507">
        <v>56</v>
      </c>
      <c r="U9507">
        <v>534.08632071579098</v>
      </c>
      <c r="V9507">
        <v>1.26143172500788E-3</v>
      </c>
      <c r="W9507">
        <v>1848720.1202823599</v>
      </c>
      <c r="X9507" t="s">
        <v>28</v>
      </c>
      <c r="Y9507">
        <f>1-648-659-5646</f>
        <v>-6952</v>
      </c>
    </row>
    <row r="9508" spans="1:25" x14ac:dyDescent="0.35">
      <c r="A9508">
        <v>39.256281361728298</v>
      </c>
      <c r="B9508">
        <v>-121.71432607384401</v>
      </c>
      <c r="C9508" t="s">
        <v>34</v>
      </c>
      <c r="D9508">
        <v>40.044189516964202</v>
      </c>
      <c r="E9508">
        <v>7</v>
      </c>
      <c r="F9508">
        <v>3054</v>
      </c>
      <c r="G9508">
        <v>4</v>
      </c>
      <c r="H9508">
        <v>2</v>
      </c>
      <c r="I9508">
        <v>2005</v>
      </c>
      <c r="J9508">
        <v>0</v>
      </c>
      <c r="K9508">
        <v>0</v>
      </c>
      <c r="L9508">
        <v>1</v>
      </c>
      <c r="M9508">
        <v>14</v>
      </c>
      <c r="N9508" t="s">
        <v>35</v>
      </c>
      <c r="O9508" t="s">
        <v>32</v>
      </c>
      <c r="P9508">
        <v>5.7583351810306302</v>
      </c>
      <c r="Q9508">
        <v>1.52009184746286</v>
      </c>
      <c r="R9508">
        <v>8.9378588210724992</v>
      </c>
      <c r="S9508">
        <v>96</v>
      </c>
      <c r="T9508">
        <v>72</v>
      </c>
      <c r="U9508">
        <v>271.136191408434</v>
      </c>
      <c r="V9508">
        <v>4.5841519318926003E-3</v>
      </c>
      <c r="W9508">
        <v>1175250.5893008399</v>
      </c>
      <c r="X9508" t="s">
        <v>31</v>
      </c>
      <c r="Y9508">
        <f>1-912-670-8789</f>
        <v>-10370</v>
      </c>
    </row>
    <row r="9509" spans="1:25" x14ac:dyDescent="0.35">
      <c r="A9509">
        <v>33.262632506667899</v>
      </c>
      <c r="B9509">
        <v>-115.75884733918301</v>
      </c>
      <c r="C9509" t="s">
        <v>29</v>
      </c>
      <c r="D9509">
        <v>27.523682884672098</v>
      </c>
      <c r="E9509">
        <v>3</v>
      </c>
      <c r="F9509">
        <v>1988</v>
      </c>
      <c r="G9509">
        <v>5</v>
      </c>
      <c r="H9509">
        <v>2</v>
      </c>
      <c r="I9509">
        <v>2008</v>
      </c>
      <c r="J9509">
        <v>0</v>
      </c>
      <c r="K9509">
        <v>0</v>
      </c>
      <c r="L9509">
        <v>0</v>
      </c>
      <c r="M9509">
        <v>12</v>
      </c>
      <c r="N9509" t="s">
        <v>41</v>
      </c>
      <c r="O9509" t="s">
        <v>30</v>
      </c>
      <c r="P9509">
        <v>12.653067824703101</v>
      </c>
      <c r="Q9509">
        <v>0.88234939715439098</v>
      </c>
      <c r="R9509">
        <v>8.4965989278814398</v>
      </c>
      <c r="S9509">
        <v>101</v>
      </c>
      <c r="T9509">
        <v>59</v>
      </c>
      <c r="U9509">
        <v>889.02975643108596</v>
      </c>
      <c r="V9509">
        <v>6.0362173038229303E-3</v>
      </c>
      <c r="W9509">
        <v>2127484.7309281901</v>
      </c>
      <c r="X9509" t="s">
        <v>33</v>
      </c>
      <c r="Y9509">
        <f>1-311-826-8938</f>
        <v>-10074</v>
      </c>
    </row>
    <row r="9510" spans="1:25" x14ac:dyDescent="0.35">
      <c r="A9510">
        <v>33.923717983159101</v>
      </c>
      <c r="B9510">
        <v>-115.69086603025499</v>
      </c>
      <c r="C9510" t="s">
        <v>25</v>
      </c>
      <c r="D9510">
        <v>23.428506549005601</v>
      </c>
      <c r="E9510">
        <v>5</v>
      </c>
      <c r="F9510">
        <v>2326</v>
      </c>
      <c r="G9510">
        <v>1</v>
      </c>
      <c r="H9510">
        <v>1</v>
      </c>
      <c r="I9510">
        <v>1988</v>
      </c>
      <c r="J9510">
        <v>1</v>
      </c>
      <c r="K9510">
        <v>0</v>
      </c>
      <c r="L9510">
        <v>0</v>
      </c>
      <c r="M9510">
        <v>8</v>
      </c>
      <c r="N9510" t="s">
        <v>35</v>
      </c>
      <c r="O9510" t="s">
        <v>30</v>
      </c>
      <c r="P9510">
        <v>13.951692940878401</v>
      </c>
      <c r="Q9510">
        <v>2.4256103706845198</v>
      </c>
      <c r="R9510">
        <v>4.0512847334326096</v>
      </c>
      <c r="S9510">
        <v>46</v>
      </c>
      <c r="T9510">
        <v>44</v>
      </c>
      <c r="U9510">
        <v>970.41676383248102</v>
      </c>
      <c r="V9510">
        <v>3.4393809114359399E-3</v>
      </c>
      <c r="W9510">
        <v>2401095.0359833301</v>
      </c>
      <c r="X9510" t="s">
        <v>28</v>
      </c>
      <c r="Y9510">
        <f>1-912-138-2851</f>
        <v>-3900</v>
      </c>
    </row>
    <row r="9511" spans="1:25" x14ac:dyDescent="0.35">
      <c r="A9511">
        <v>37.299199202778802</v>
      </c>
      <c r="B9511">
        <v>-117.346654744338</v>
      </c>
      <c r="C9511" t="s">
        <v>25</v>
      </c>
      <c r="D9511">
        <v>25.6385050180285</v>
      </c>
      <c r="E9511">
        <v>8</v>
      </c>
      <c r="F9511">
        <v>4795</v>
      </c>
      <c r="G9511">
        <v>1</v>
      </c>
      <c r="H9511">
        <v>1</v>
      </c>
      <c r="I9511">
        <v>1963</v>
      </c>
      <c r="J9511">
        <v>1</v>
      </c>
      <c r="K9511">
        <v>1</v>
      </c>
      <c r="L9511">
        <v>0</v>
      </c>
      <c r="M9511">
        <v>14</v>
      </c>
      <c r="N9511" t="s">
        <v>41</v>
      </c>
      <c r="O9511" t="s">
        <v>27</v>
      </c>
      <c r="P9511">
        <v>12.6472263304205</v>
      </c>
      <c r="Q9511">
        <v>2.3813247076599899</v>
      </c>
      <c r="R9511">
        <v>8.8190462989817497</v>
      </c>
      <c r="S9511">
        <v>100</v>
      </c>
      <c r="T9511">
        <v>46</v>
      </c>
      <c r="U9511">
        <v>439.26995882236798</v>
      </c>
      <c r="V9511">
        <v>2.9197080291970801E-3</v>
      </c>
      <c r="W9511">
        <v>2316573.6789781</v>
      </c>
      <c r="X9511" t="s">
        <v>33</v>
      </c>
      <c r="Y9511">
        <f>1-697-868-3341</f>
        <v>-4905</v>
      </c>
    </row>
    <row r="9512" spans="1:25" x14ac:dyDescent="0.35">
      <c r="A9512">
        <v>32.566004815713796</v>
      </c>
      <c r="B9512">
        <v>-123.34474387887001</v>
      </c>
      <c r="C9512" t="s">
        <v>29</v>
      </c>
      <c r="D9512">
        <v>49.317440534430602</v>
      </c>
      <c r="E9512">
        <v>6</v>
      </c>
      <c r="F9512">
        <v>1535</v>
      </c>
      <c r="G9512">
        <v>1</v>
      </c>
      <c r="H9512">
        <v>2</v>
      </c>
      <c r="I9512">
        <v>1954</v>
      </c>
      <c r="J9512">
        <v>0</v>
      </c>
      <c r="K9512">
        <v>1</v>
      </c>
      <c r="L9512">
        <v>1</v>
      </c>
      <c r="M9512">
        <v>10</v>
      </c>
      <c r="N9512" t="s">
        <v>37</v>
      </c>
      <c r="O9512" t="s">
        <v>32</v>
      </c>
      <c r="P9512">
        <v>10.3669337973775</v>
      </c>
      <c r="Q9512">
        <v>1.2510486583876099</v>
      </c>
      <c r="R9512">
        <v>4.1464105244135201</v>
      </c>
      <c r="S9512">
        <v>114</v>
      </c>
      <c r="T9512">
        <v>75</v>
      </c>
      <c r="U9512">
        <v>720.28532319346903</v>
      </c>
      <c r="V9512">
        <v>6.5146579804560203E-3</v>
      </c>
      <c r="W9512">
        <v>1227682.0055885799</v>
      </c>
      <c r="X9512" t="s">
        <v>39</v>
      </c>
      <c r="Y9512">
        <f>1-779-375-2312</f>
        <v>-3465</v>
      </c>
    </row>
    <row r="9513" spans="1:25" x14ac:dyDescent="0.35">
      <c r="A9513">
        <v>38.545959598777102</v>
      </c>
      <c r="B9513">
        <v>-120.44322009040199</v>
      </c>
      <c r="C9513" t="s">
        <v>34</v>
      </c>
      <c r="D9513">
        <v>32.364152288216502</v>
      </c>
      <c r="E9513">
        <v>8</v>
      </c>
      <c r="F9513">
        <v>3149</v>
      </c>
      <c r="G9513">
        <v>4</v>
      </c>
      <c r="H9513">
        <v>2</v>
      </c>
      <c r="I9513">
        <v>1952</v>
      </c>
      <c r="J9513">
        <v>0</v>
      </c>
      <c r="K9513">
        <v>1</v>
      </c>
      <c r="L9513">
        <v>0</v>
      </c>
      <c r="M9513">
        <v>5</v>
      </c>
      <c r="N9513" t="s">
        <v>26</v>
      </c>
      <c r="O9513" t="s">
        <v>30</v>
      </c>
      <c r="P9513">
        <v>2.1928190828530401</v>
      </c>
      <c r="Q9513">
        <v>0.71227976888814803</v>
      </c>
      <c r="R9513">
        <v>5.8481640700081297</v>
      </c>
      <c r="S9513">
        <v>154</v>
      </c>
      <c r="T9513">
        <v>26</v>
      </c>
      <c r="U9513">
        <v>950.19378034362205</v>
      </c>
      <c r="V9513">
        <v>1.5878056525881199E-3</v>
      </c>
      <c r="W9513">
        <v>3312274.09324273</v>
      </c>
      <c r="X9513" t="s">
        <v>36</v>
      </c>
      <c r="Y9513">
        <f>1-223-352-1327</f>
        <v>-1901</v>
      </c>
    </row>
    <row r="9514" spans="1:25" x14ac:dyDescent="0.35">
      <c r="A9514">
        <v>39.811175154803202</v>
      </c>
      <c r="B9514">
        <v>-118.72867784840101</v>
      </c>
      <c r="C9514" t="s">
        <v>25</v>
      </c>
      <c r="D9514">
        <v>12.6069413527291</v>
      </c>
      <c r="E9514">
        <v>3</v>
      </c>
      <c r="F9514">
        <v>2210</v>
      </c>
      <c r="G9514">
        <v>4</v>
      </c>
      <c r="H9514">
        <v>2</v>
      </c>
      <c r="I9514">
        <v>2003</v>
      </c>
      <c r="J9514">
        <v>0</v>
      </c>
      <c r="K9514">
        <v>0</v>
      </c>
      <c r="L9514">
        <v>0</v>
      </c>
      <c r="M9514">
        <v>2</v>
      </c>
      <c r="N9514" t="s">
        <v>37</v>
      </c>
      <c r="O9514" t="s">
        <v>32</v>
      </c>
      <c r="P9514">
        <v>13.9386041528603</v>
      </c>
      <c r="Q9514">
        <v>0.93907269566751295</v>
      </c>
      <c r="R9514">
        <v>5.8468714922663203</v>
      </c>
      <c r="S9514">
        <v>172</v>
      </c>
      <c r="T9514">
        <v>71</v>
      </c>
      <c r="U9514">
        <v>385.25564260830998</v>
      </c>
      <c r="V9514">
        <v>9.0497737556561003E-4</v>
      </c>
      <c r="W9514">
        <v>1190795.9031122101</v>
      </c>
      <c r="X9514" t="s">
        <v>31</v>
      </c>
      <c r="Y9514">
        <f>1-973-654-1668</f>
        <v>-3294</v>
      </c>
    </row>
    <row r="9515" spans="1:25" x14ac:dyDescent="0.35">
      <c r="A9515">
        <v>40.923893196429297</v>
      </c>
      <c r="B9515">
        <v>-117.545896917429</v>
      </c>
      <c r="C9515" t="s">
        <v>34</v>
      </c>
      <c r="D9515">
        <v>37.6335948528762</v>
      </c>
      <c r="E9515">
        <v>1</v>
      </c>
      <c r="F9515">
        <v>2298</v>
      </c>
      <c r="G9515">
        <v>3</v>
      </c>
      <c r="H9515">
        <v>2</v>
      </c>
      <c r="I9515">
        <v>1999</v>
      </c>
      <c r="J9515">
        <v>1</v>
      </c>
      <c r="K9515">
        <v>0</v>
      </c>
      <c r="L9515">
        <v>0</v>
      </c>
      <c r="M9515">
        <v>8</v>
      </c>
      <c r="N9515" t="s">
        <v>35</v>
      </c>
      <c r="O9515" t="s">
        <v>30</v>
      </c>
      <c r="P9515">
        <v>10.534563108282599</v>
      </c>
      <c r="Q9515">
        <v>0.93666637447472101</v>
      </c>
      <c r="R9515">
        <v>6.2593819414417897</v>
      </c>
      <c r="S9515">
        <v>158</v>
      </c>
      <c r="T9515">
        <v>26</v>
      </c>
      <c r="U9515">
        <v>891.818924711401</v>
      </c>
      <c r="V9515">
        <v>3.4812880765883302E-3</v>
      </c>
      <c r="W9515">
        <v>2364885.7173092999</v>
      </c>
      <c r="X9515" t="s">
        <v>33</v>
      </c>
      <c r="Y9515">
        <f>1-979-308-5684</f>
        <v>-6970</v>
      </c>
    </row>
    <row r="9516" spans="1:25" x14ac:dyDescent="0.35">
      <c r="A9516">
        <v>39.862639654335197</v>
      </c>
      <c r="B9516">
        <v>-117.38584437830799</v>
      </c>
      <c r="C9516" t="s">
        <v>34</v>
      </c>
      <c r="D9516">
        <v>7.0684635068271504</v>
      </c>
      <c r="E9516">
        <v>4</v>
      </c>
      <c r="F9516">
        <v>2954</v>
      </c>
      <c r="G9516">
        <v>2</v>
      </c>
      <c r="H9516">
        <v>2</v>
      </c>
      <c r="I9516">
        <v>1981</v>
      </c>
      <c r="J9516">
        <v>1</v>
      </c>
      <c r="K9516">
        <v>1</v>
      </c>
      <c r="L9516">
        <v>1</v>
      </c>
      <c r="M9516">
        <v>13</v>
      </c>
      <c r="N9516" t="s">
        <v>35</v>
      </c>
      <c r="O9516" t="s">
        <v>27</v>
      </c>
      <c r="P9516">
        <v>4.5470171054800304</v>
      </c>
      <c r="Q9516">
        <v>0.81950733321604696</v>
      </c>
      <c r="R9516">
        <v>2.6631130973721602</v>
      </c>
      <c r="S9516">
        <v>43</v>
      </c>
      <c r="T9516">
        <v>49</v>
      </c>
      <c r="U9516">
        <v>537.56655611514805</v>
      </c>
      <c r="V9516">
        <v>4.4008124576844897E-3</v>
      </c>
      <c r="W9516">
        <v>1988832.5626832601</v>
      </c>
      <c r="X9516" t="s">
        <v>38</v>
      </c>
      <c r="Y9516">
        <f>1-871-493-5297</f>
        <v>-6660</v>
      </c>
    </row>
    <row r="9517" spans="1:25" x14ac:dyDescent="0.35">
      <c r="A9517">
        <v>38.592005322615201</v>
      </c>
      <c r="B9517">
        <v>-116.60182903098099</v>
      </c>
      <c r="C9517" t="s">
        <v>34</v>
      </c>
      <c r="D9517">
        <v>31.007834636782</v>
      </c>
      <c r="E9517">
        <v>7</v>
      </c>
      <c r="F9517">
        <v>3308</v>
      </c>
      <c r="G9517">
        <v>2</v>
      </c>
      <c r="H9517">
        <v>2</v>
      </c>
      <c r="I9517">
        <v>1998</v>
      </c>
      <c r="J9517">
        <v>0</v>
      </c>
      <c r="K9517">
        <v>0</v>
      </c>
      <c r="L9517">
        <v>1</v>
      </c>
      <c r="M9517">
        <v>5</v>
      </c>
      <c r="N9517" t="s">
        <v>37</v>
      </c>
      <c r="O9517" t="s">
        <v>32</v>
      </c>
      <c r="P9517">
        <v>2.00305526131404</v>
      </c>
      <c r="Q9517">
        <v>1.2659888704095299</v>
      </c>
      <c r="R9517">
        <v>3.9449032628135501</v>
      </c>
      <c r="S9517">
        <v>6</v>
      </c>
      <c r="T9517">
        <v>58</v>
      </c>
      <c r="U9517">
        <v>643.89083525432795</v>
      </c>
      <c r="V9517">
        <v>1.5114873035066501E-3</v>
      </c>
      <c r="W9517">
        <v>2287192.6642204798</v>
      </c>
      <c r="X9517" t="s">
        <v>38</v>
      </c>
      <c r="Y9517">
        <f>1-830-966-1674</f>
        <v>-3469</v>
      </c>
    </row>
    <row r="9518" spans="1:25" x14ac:dyDescent="0.35">
      <c r="A9518">
        <v>36.980724054342403</v>
      </c>
      <c r="B9518">
        <v>-118.452269262101</v>
      </c>
      <c r="C9518" t="s">
        <v>25</v>
      </c>
      <c r="D9518">
        <v>27.773111821417501</v>
      </c>
      <c r="E9518">
        <v>0</v>
      </c>
      <c r="F9518">
        <v>3016</v>
      </c>
      <c r="G9518">
        <v>4</v>
      </c>
      <c r="H9518">
        <v>3</v>
      </c>
      <c r="I9518">
        <v>1979</v>
      </c>
      <c r="J9518">
        <v>0</v>
      </c>
      <c r="K9518">
        <v>1</v>
      </c>
      <c r="L9518">
        <v>1</v>
      </c>
      <c r="M9518">
        <v>4</v>
      </c>
      <c r="N9518" t="s">
        <v>26</v>
      </c>
      <c r="O9518" t="s">
        <v>30</v>
      </c>
      <c r="P9518">
        <v>13.8032299895159</v>
      </c>
      <c r="Q9518">
        <v>1.0526912775866499</v>
      </c>
      <c r="R9518">
        <v>2.28215553797232</v>
      </c>
      <c r="S9518">
        <v>169</v>
      </c>
      <c r="T9518">
        <v>78</v>
      </c>
      <c r="U9518">
        <v>941.849858979744</v>
      </c>
      <c r="V9518">
        <v>1.3262599469496001E-3</v>
      </c>
      <c r="W9518">
        <v>3268089.2931599799</v>
      </c>
      <c r="X9518" t="s">
        <v>31</v>
      </c>
      <c r="Y9518">
        <f>1-507-168-7203</f>
        <v>-7877</v>
      </c>
    </row>
    <row r="9519" spans="1:25" x14ac:dyDescent="0.35">
      <c r="A9519">
        <v>34.703485349283604</v>
      </c>
      <c r="B9519">
        <v>-114.20654184733399</v>
      </c>
      <c r="C9519" t="s">
        <v>34</v>
      </c>
      <c r="D9519">
        <v>47.429557414349702</v>
      </c>
      <c r="E9519">
        <v>3</v>
      </c>
      <c r="F9519">
        <v>2981</v>
      </c>
      <c r="G9519">
        <v>2</v>
      </c>
      <c r="H9519">
        <v>3</v>
      </c>
      <c r="I9519">
        <v>2007</v>
      </c>
      <c r="J9519">
        <v>0</v>
      </c>
      <c r="K9519">
        <v>1</v>
      </c>
      <c r="L9519">
        <v>0</v>
      </c>
      <c r="M9519">
        <v>9</v>
      </c>
      <c r="N9519" t="s">
        <v>41</v>
      </c>
      <c r="O9519" t="s">
        <v>32</v>
      </c>
      <c r="P9519">
        <v>9.7819274125267803</v>
      </c>
      <c r="Q9519">
        <v>1.4843840246459299</v>
      </c>
      <c r="R9519">
        <v>0.12126401829917</v>
      </c>
      <c r="S9519">
        <v>20</v>
      </c>
      <c r="T9519">
        <v>51</v>
      </c>
      <c r="U9519">
        <v>293.81297243307199</v>
      </c>
      <c r="V9519">
        <v>3.0191211003019101E-3</v>
      </c>
      <c r="W9519">
        <v>1236736.0412471399</v>
      </c>
      <c r="X9519" t="s">
        <v>28</v>
      </c>
      <c r="Y9519">
        <f>1-541-683-3205</f>
        <v>-4428</v>
      </c>
    </row>
    <row r="9520" spans="1:25" x14ac:dyDescent="0.35">
      <c r="A9520">
        <v>38.6621454410352</v>
      </c>
      <c r="B9520">
        <v>-117.085796876443</v>
      </c>
      <c r="C9520" t="s">
        <v>34</v>
      </c>
      <c r="D9520">
        <v>9.0174414127473899</v>
      </c>
      <c r="E9520">
        <v>3</v>
      </c>
      <c r="F9520">
        <v>2036</v>
      </c>
      <c r="G9520">
        <v>1</v>
      </c>
      <c r="H9520">
        <v>3</v>
      </c>
      <c r="I9520">
        <v>1965</v>
      </c>
      <c r="J9520">
        <v>1</v>
      </c>
      <c r="K9520">
        <v>1</v>
      </c>
      <c r="L9520">
        <v>0</v>
      </c>
      <c r="M9520">
        <v>6</v>
      </c>
      <c r="N9520" t="s">
        <v>35</v>
      </c>
      <c r="O9520" t="s">
        <v>27</v>
      </c>
      <c r="P9520">
        <v>3.19601300727965</v>
      </c>
      <c r="Q9520">
        <v>1.8796814273281499</v>
      </c>
      <c r="R9520">
        <v>8.6936153080084502</v>
      </c>
      <c r="S9520">
        <v>197</v>
      </c>
      <c r="T9520">
        <v>61</v>
      </c>
      <c r="U9520">
        <v>351.044909031678</v>
      </c>
      <c r="V9520">
        <v>2.9469548133595198E-3</v>
      </c>
      <c r="W9520">
        <v>749061.04663826898</v>
      </c>
      <c r="X9520" t="s">
        <v>31</v>
      </c>
      <c r="Y9520">
        <f>1-438-716-2754</f>
        <v>-3907</v>
      </c>
    </row>
    <row r="9521" spans="1:25" x14ac:dyDescent="0.35">
      <c r="A9521">
        <v>34.444890242486402</v>
      </c>
      <c r="B9521">
        <v>-116.64484328903799</v>
      </c>
      <c r="C9521" t="s">
        <v>29</v>
      </c>
      <c r="D9521">
        <v>43.285400267507001</v>
      </c>
      <c r="E9521">
        <v>2</v>
      </c>
      <c r="F9521">
        <v>4580</v>
      </c>
      <c r="G9521">
        <v>4</v>
      </c>
      <c r="H9521">
        <v>1</v>
      </c>
      <c r="I9521">
        <v>1989</v>
      </c>
      <c r="J9521">
        <v>0</v>
      </c>
      <c r="K9521">
        <v>1</v>
      </c>
      <c r="L9521">
        <v>0</v>
      </c>
      <c r="M9521">
        <v>7</v>
      </c>
      <c r="N9521" t="s">
        <v>37</v>
      </c>
      <c r="O9521" t="s">
        <v>30</v>
      </c>
      <c r="P9521">
        <v>8.7527296924795799</v>
      </c>
      <c r="Q9521">
        <v>2.1215496456762399</v>
      </c>
      <c r="R9521">
        <v>1.87266503172724</v>
      </c>
      <c r="S9521">
        <v>8</v>
      </c>
      <c r="T9521">
        <v>51</v>
      </c>
      <c r="U9521">
        <v>308.92756809416397</v>
      </c>
      <c r="V9521">
        <v>1.5283842794759799E-3</v>
      </c>
      <c r="W9521">
        <v>1703165.4437815801</v>
      </c>
      <c r="X9521" t="s">
        <v>36</v>
      </c>
      <c r="Y9521">
        <f>1-757-673-2764</f>
        <v>-4193</v>
      </c>
    </row>
    <row r="9522" spans="1:25" x14ac:dyDescent="0.35">
      <c r="A9522">
        <v>39.3671282430508</v>
      </c>
      <c r="B9522">
        <v>-115.167176379381</v>
      </c>
      <c r="C9522" t="s">
        <v>29</v>
      </c>
      <c r="D9522">
        <v>46.084519545300402</v>
      </c>
      <c r="E9522">
        <v>7</v>
      </c>
      <c r="F9522">
        <v>1492</v>
      </c>
      <c r="G9522">
        <v>1</v>
      </c>
      <c r="H9522">
        <v>1</v>
      </c>
      <c r="I9522">
        <v>1965</v>
      </c>
      <c r="J9522">
        <v>0</v>
      </c>
      <c r="K9522">
        <v>0</v>
      </c>
      <c r="L9522">
        <v>1</v>
      </c>
      <c r="M9522">
        <v>5</v>
      </c>
      <c r="N9522" t="s">
        <v>37</v>
      </c>
      <c r="O9522" t="s">
        <v>30</v>
      </c>
      <c r="P9522">
        <v>14.7607700995001</v>
      </c>
      <c r="Q9522">
        <v>2.14106684032852</v>
      </c>
      <c r="R9522">
        <v>6.3666263346149998</v>
      </c>
      <c r="S9522">
        <v>27</v>
      </c>
      <c r="T9522">
        <v>72</v>
      </c>
      <c r="U9522">
        <v>646.06498942181202</v>
      </c>
      <c r="V9522">
        <v>3.35120643431635E-3</v>
      </c>
      <c r="W9522">
        <v>1018723.15882165</v>
      </c>
      <c r="X9522" t="s">
        <v>31</v>
      </c>
      <c r="Y9522">
        <f>1-559-966-8792</f>
        <v>-10316</v>
      </c>
    </row>
    <row r="9523" spans="1:25" x14ac:dyDescent="0.35">
      <c r="A9523">
        <v>39.840995139795801</v>
      </c>
      <c r="B9523">
        <v>-120.604170766428</v>
      </c>
      <c r="C9523" t="s">
        <v>25</v>
      </c>
      <c r="D9523">
        <v>48.200618367518302</v>
      </c>
      <c r="E9523">
        <v>5</v>
      </c>
      <c r="F9523">
        <v>4490</v>
      </c>
      <c r="G9523">
        <v>5</v>
      </c>
      <c r="H9523">
        <v>1</v>
      </c>
      <c r="I9523">
        <v>1997</v>
      </c>
      <c r="J9523">
        <v>1</v>
      </c>
      <c r="K9523">
        <v>1</v>
      </c>
      <c r="L9523">
        <v>1</v>
      </c>
      <c r="M9523">
        <v>10</v>
      </c>
      <c r="N9523" t="s">
        <v>37</v>
      </c>
      <c r="O9523" t="s">
        <v>27</v>
      </c>
      <c r="P9523">
        <v>12.930813104823599</v>
      </c>
      <c r="Q9523">
        <v>2.39238309698634</v>
      </c>
      <c r="R9523">
        <v>6.9263841455014497</v>
      </c>
      <c r="S9523">
        <v>16</v>
      </c>
      <c r="T9523">
        <v>60</v>
      </c>
      <c r="U9523">
        <v>364.933536987276</v>
      </c>
      <c r="V9523">
        <v>2.2271714922048901E-3</v>
      </c>
      <c r="W9523">
        <v>2140307.5477014799</v>
      </c>
      <c r="X9523" t="s">
        <v>39</v>
      </c>
      <c r="Y9523">
        <f>1-309-948-5219</f>
        <v>-6475</v>
      </c>
    </row>
    <row r="9524" spans="1:25" x14ac:dyDescent="0.35">
      <c r="A9524">
        <v>37.408586536262703</v>
      </c>
      <c r="B9524">
        <v>-118.10823034107</v>
      </c>
      <c r="C9524" t="s">
        <v>29</v>
      </c>
      <c r="D9524">
        <v>38.484339349011599</v>
      </c>
      <c r="E9524">
        <v>5</v>
      </c>
      <c r="F9524">
        <v>4544</v>
      </c>
      <c r="G9524">
        <v>3</v>
      </c>
      <c r="H9524">
        <v>3</v>
      </c>
      <c r="I9524">
        <v>1977</v>
      </c>
      <c r="J9524">
        <v>1</v>
      </c>
      <c r="K9524">
        <v>1</v>
      </c>
      <c r="L9524">
        <v>1</v>
      </c>
      <c r="M9524">
        <v>2</v>
      </c>
      <c r="N9524" t="s">
        <v>26</v>
      </c>
      <c r="O9524" t="s">
        <v>32</v>
      </c>
      <c r="P9524">
        <v>5.1221126343825398</v>
      </c>
      <c r="Q9524">
        <v>1.90191929012575</v>
      </c>
      <c r="R9524">
        <v>0.19500291065499201</v>
      </c>
      <c r="S9524">
        <v>144</v>
      </c>
      <c r="T9524">
        <v>35</v>
      </c>
      <c r="U9524">
        <v>819.90922300677198</v>
      </c>
      <c r="V9524">
        <v>4.40140845070422E-4</v>
      </c>
      <c r="W9524">
        <v>4127975.0959824501</v>
      </c>
      <c r="X9524" t="s">
        <v>39</v>
      </c>
      <c r="Y9524">
        <f>1-792-700-6030</f>
        <v>-7521</v>
      </c>
    </row>
    <row r="9525" spans="1:25" x14ac:dyDescent="0.35">
      <c r="A9525">
        <v>35.821018378728503</v>
      </c>
      <c r="B9525">
        <v>-121.042321900452</v>
      </c>
      <c r="C9525" t="s">
        <v>25</v>
      </c>
      <c r="D9525">
        <v>42.995315343580103</v>
      </c>
      <c r="E9525">
        <v>7</v>
      </c>
      <c r="F9525">
        <v>3788</v>
      </c>
      <c r="G9525">
        <v>3</v>
      </c>
      <c r="H9525">
        <v>3</v>
      </c>
      <c r="I9525">
        <v>1964</v>
      </c>
      <c r="J9525">
        <v>0</v>
      </c>
      <c r="K9525">
        <v>1</v>
      </c>
      <c r="L9525">
        <v>0</v>
      </c>
      <c r="M9525">
        <v>9</v>
      </c>
      <c r="N9525" t="s">
        <v>35</v>
      </c>
      <c r="O9525" t="s">
        <v>30</v>
      </c>
      <c r="P9525">
        <v>8.4137854906865197</v>
      </c>
      <c r="Q9525">
        <v>0.89808875140200695</v>
      </c>
      <c r="R9525">
        <v>4.6153775497198604</v>
      </c>
      <c r="S9525">
        <v>89</v>
      </c>
      <c r="T9525">
        <v>72</v>
      </c>
      <c r="U9525">
        <v>930.30572180426702</v>
      </c>
      <c r="V9525">
        <v>2.37592397043294E-3</v>
      </c>
      <c r="W9525">
        <v>3841778.8129135701</v>
      </c>
      <c r="X9525" t="s">
        <v>42</v>
      </c>
      <c r="Y9525">
        <f>1-974-120-6589</f>
        <v>-7682</v>
      </c>
    </row>
    <row r="9526" spans="1:25" x14ac:dyDescent="0.35">
      <c r="A9526">
        <v>39.505224239072099</v>
      </c>
      <c r="B9526">
        <v>-116.370103473325</v>
      </c>
      <c r="C9526" t="s">
        <v>25</v>
      </c>
      <c r="D9526">
        <v>8.0610502876312999</v>
      </c>
      <c r="E9526">
        <v>4</v>
      </c>
      <c r="F9526">
        <v>4050</v>
      </c>
      <c r="G9526">
        <v>3</v>
      </c>
      <c r="H9526">
        <v>2</v>
      </c>
      <c r="I9526">
        <v>1966</v>
      </c>
      <c r="J9526">
        <v>0</v>
      </c>
      <c r="K9526">
        <v>1</v>
      </c>
      <c r="L9526">
        <v>1</v>
      </c>
      <c r="M9526">
        <v>2</v>
      </c>
      <c r="N9526" t="s">
        <v>41</v>
      </c>
      <c r="O9526" t="s">
        <v>32</v>
      </c>
      <c r="P9526">
        <v>11.809660888379801</v>
      </c>
      <c r="Q9526">
        <v>0.85935178868439199</v>
      </c>
      <c r="R9526">
        <v>1.3013260710487999</v>
      </c>
      <c r="S9526">
        <v>123</v>
      </c>
      <c r="T9526">
        <v>26</v>
      </c>
      <c r="U9526">
        <v>337.03334944891799</v>
      </c>
      <c r="V9526">
        <v>4.9382716049382696E-4</v>
      </c>
      <c r="W9526">
        <v>1652502.4280431699</v>
      </c>
      <c r="X9526" t="s">
        <v>43</v>
      </c>
      <c r="Y9526">
        <f>1-236-883-5099</f>
        <v>-6217</v>
      </c>
    </row>
    <row r="9527" spans="1:25" x14ac:dyDescent="0.35">
      <c r="A9527">
        <v>33.589528637349602</v>
      </c>
      <c r="B9527">
        <v>-123.110286237</v>
      </c>
      <c r="C9527" t="s">
        <v>34</v>
      </c>
      <c r="D9527">
        <v>16.787810035976499</v>
      </c>
      <c r="E9527">
        <v>7</v>
      </c>
      <c r="F9527">
        <v>2410</v>
      </c>
      <c r="G9527">
        <v>5</v>
      </c>
      <c r="H9527">
        <v>1</v>
      </c>
      <c r="I9527">
        <v>1997</v>
      </c>
      <c r="J9527">
        <v>0</v>
      </c>
      <c r="K9527">
        <v>1</v>
      </c>
      <c r="L9527">
        <v>1</v>
      </c>
      <c r="M9527">
        <v>11</v>
      </c>
      <c r="N9527" t="s">
        <v>37</v>
      </c>
      <c r="O9527" t="s">
        <v>27</v>
      </c>
      <c r="P9527">
        <v>3.99423323574679</v>
      </c>
      <c r="Q9527">
        <v>2.3051623565476902</v>
      </c>
      <c r="R9527">
        <v>9.5103979762148594</v>
      </c>
      <c r="S9527">
        <v>81</v>
      </c>
      <c r="T9527">
        <v>53</v>
      </c>
      <c r="U9527">
        <v>809.24829776466902</v>
      </c>
      <c r="V9527">
        <v>4.5643153526970896E-3</v>
      </c>
      <c r="W9527">
        <v>2229854.48254759</v>
      </c>
      <c r="X9527" t="s">
        <v>44</v>
      </c>
      <c r="Y9527">
        <f>1-772-207-2441</f>
        <v>-3419</v>
      </c>
    </row>
    <row r="9528" spans="1:25" x14ac:dyDescent="0.35">
      <c r="A9528">
        <v>38.025489160630698</v>
      </c>
      <c r="B9528">
        <v>-123.875464224515</v>
      </c>
      <c r="C9528" t="s">
        <v>29</v>
      </c>
      <c r="D9528">
        <v>14.699960111928601</v>
      </c>
      <c r="E9528">
        <v>6</v>
      </c>
      <c r="F9528">
        <v>3650</v>
      </c>
      <c r="G9528">
        <v>1</v>
      </c>
      <c r="H9528">
        <v>2</v>
      </c>
      <c r="I9528">
        <v>1975</v>
      </c>
      <c r="J9528">
        <v>0</v>
      </c>
      <c r="K9528">
        <v>0</v>
      </c>
      <c r="L9528">
        <v>0</v>
      </c>
      <c r="M9528">
        <v>14</v>
      </c>
      <c r="N9528" t="s">
        <v>35</v>
      </c>
      <c r="O9528" t="s">
        <v>30</v>
      </c>
      <c r="P9528">
        <v>13.784831640494801</v>
      </c>
      <c r="Q9528">
        <v>2.48145288331119</v>
      </c>
      <c r="R9528">
        <v>5.2428010871421096</v>
      </c>
      <c r="S9528">
        <v>84</v>
      </c>
      <c r="T9528">
        <v>73</v>
      </c>
      <c r="U9528">
        <v>866.62813866219801</v>
      </c>
      <c r="V9528">
        <v>3.83561643835616E-3</v>
      </c>
      <c r="W9528">
        <v>3180036.47767876</v>
      </c>
      <c r="X9528" t="s">
        <v>44</v>
      </c>
      <c r="Y9528">
        <f>1-821-916-9244</f>
        <v>-10980</v>
      </c>
    </row>
    <row r="9529" spans="1:25" x14ac:dyDescent="0.35">
      <c r="A9529">
        <v>36.9747227868219</v>
      </c>
      <c r="B9529">
        <v>-122.50291158098899</v>
      </c>
      <c r="C9529" t="s">
        <v>29</v>
      </c>
      <c r="D9529">
        <v>19.938036917857499</v>
      </c>
      <c r="E9529">
        <v>4</v>
      </c>
      <c r="F9529">
        <v>2515</v>
      </c>
      <c r="G9529">
        <v>4</v>
      </c>
      <c r="H9529">
        <v>1</v>
      </c>
      <c r="I9529">
        <v>1951</v>
      </c>
      <c r="J9529">
        <v>1</v>
      </c>
      <c r="K9529">
        <v>1</v>
      </c>
      <c r="L9529">
        <v>1</v>
      </c>
      <c r="M9529">
        <v>5</v>
      </c>
      <c r="N9529" t="s">
        <v>41</v>
      </c>
      <c r="O9529" t="s">
        <v>32</v>
      </c>
      <c r="P9529">
        <v>10.313411814764599</v>
      </c>
      <c r="Q9529">
        <v>2.2969503781282299</v>
      </c>
      <c r="R9529">
        <v>5.7245920938169599</v>
      </c>
      <c r="S9529">
        <v>160</v>
      </c>
      <c r="T9529">
        <v>52</v>
      </c>
      <c r="U9529">
        <v>411.90534668736501</v>
      </c>
      <c r="V9529">
        <v>1.9880715705765401E-3</v>
      </c>
      <c r="W9529">
        <v>1310948.4529824001</v>
      </c>
      <c r="X9529" t="s">
        <v>43</v>
      </c>
      <c r="Y9529">
        <f>1-200-965-8943</f>
        <v>-10107</v>
      </c>
    </row>
    <row r="9530" spans="1:25" x14ac:dyDescent="0.35">
      <c r="A9530">
        <v>35.564266403858298</v>
      </c>
      <c r="B9530">
        <v>-115.533257960011</v>
      </c>
      <c r="C9530" t="s">
        <v>29</v>
      </c>
      <c r="D9530">
        <v>23.873328734312199</v>
      </c>
      <c r="E9530">
        <v>4</v>
      </c>
      <c r="F9530">
        <v>1858</v>
      </c>
      <c r="G9530">
        <v>3</v>
      </c>
      <c r="H9530">
        <v>1</v>
      </c>
      <c r="I9530">
        <v>1999</v>
      </c>
      <c r="J9530">
        <v>0</v>
      </c>
      <c r="K9530">
        <v>0</v>
      </c>
      <c r="L9530">
        <v>0</v>
      </c>
      <c r="M9530">
        <v>14</v>
      </c>
      <c r="N9530" t="s">
        <v>41</v>
      </c>
      <c r="O9530" t="s">
        <v>32</v>
      </c>
      <c r="P9530">
        <v>12.9464874862798</v>
      </c>
      <c r="Q9530">
        <v>2.3194194515194102</v>
      </c>
      <c r="R9530">
        <v>1.3974078667829299</v>
      </c>
      <c r="S9530">
        <v>99</v>
      </c>
      <c r="T9530">
        <v>30</v>
      </c>
      <c r="U9530">
        <v>898.20842771995899</v>
      </c>
      <c r="V9530">
        <v>7.5349838536060204E-3</v>
      </c>
      <c r="W9530">
        <v>1981256.7590360499</v>
      </c>
      <c r="X9530" t="s">
        <v>40</v>
      </c>
      <c r="Y9530">
        <f>1-319-228-7082</f>
        <v>-7628</v>
      </c>
    </row>
    <row r="9531" spans="1:25" x14ac:dyDescent="0.35">
      <c r="A9531">
        <v>34.161341756443498</v>
      </c>
      <c r="B9531">
        <v>-114.630472038668</v>
      </c>
      <c r="C9531" t="s">
        <v>25</v>
      </c>
      <c r="D9531">
        <v>7.61309097094375</v>
      </c>
      <c r="E9531">
        <v>8</v>
      </c>
      <c r="F9531">
        <v>4566</v>
      </c>
      <c r="G9531">
        <v>5</v>
      </c>
      <c r="H9531">
        <v>2</v>
      </c>
      <c r="I9531">
        <v>1950</v>
      </c>
      <c r="J9531">
        <v>0</v>
      </c>
      <c r="K9531">
        <v>1</v>
      </c>
      <c r="L9531">
        <v>1</v>
      </c>
      <c r="M9531">
        <v>11</v>
      </c>
      <c r="N9531" t="s">
        <v>37</v>
      </c>
      <c r="O9531" t="s">
        <v>27</v>
      </c>
      <c r="P9531">
        <v>13.947439901848901</v>
      </c>
      <c r="Q9531">
        <v>2.1059605398211199</v>
      </c>
      <c r="R9531">
        <v>3.26114251389984</v>
      </c>
      <c r="S9531">
        <v>151</v>
      </c>
      <c r="T9531">
        <v>57</v>
      </c>
      <c r="U9531">
        <v>988.63145383674498</v>
      </c>
      <c r="V9531">
        <v>2.4091108190976698E-3</v>
      </c>
      <c r="W9531">
        <v>4940171.30802166</v>
      </c>
      <c r="X9531" t="s">
        <v>39</v>
      </c>
      <c r="Y9531">
        <f>1-598-889-2442</f>
        <v>-3928</v>
      </c>
    </row>
    <row r="9532" spans="1:25" x14ac:dyDescent="0.35">
      <c r="A9532">
        <v>35.260358798291001</v>
      </c>
      <c r="B9532">
        <v>-114.35860310813599</v>
      </c>
      <c r="C9532" t="s">
        <v>25</v>
      </c>
      <c r="D9532">
        <v>25.539307335671701</v>
      </c>
      <c r="E9532">
        <v>8</v>
      </c>
      <c r="F9532">
        <v>2319</v>
      </c>
      <c r="G9532">
        <v>2</v>
      </c>
      <c r="H9532">
        <v>3</v>
      </c>
      <c r="I9532">
        <v>2007</v>
      </c>
      <c r="J9532">
        <v>1</v>
      </c>
      <c r="K9532">
        <v>0</v>
      </c>
      <c r="L9532">
        <v>1</v>
      </c>
      <c r="M9532">
        <v>13</v>
      </c>
      <c r="N9532" t="s">
        <v>37</v>
      </c>
      <c r="O9532" t="s">
        <v>27</v>
      </c>
      <c r="P9532">
        <v>10.8018263641583</v>
      </c>
      <c r="Q9532">
        <v>1.0044800744201201</v>
      </c>
      <c r="R9532">
        <v>1.6202184082972899</v>
      </c>
      <c r="S9532">
        <v>97</v>
      </c>
      <c r="T9532">
        <v>33</v>
      </c>
      <c r="U9532">
        <v>689.51037989882195</v>
      </c>
      <c r="V9532">
        <v>5.6058645968089698E-3</v>
      </c>
      <c r="W9532">
        <v>1792095.25583665</v>
      </c>
      <c r="X9532" t="s">
        <v>42</v>
      </c>
      <c r="Y9532">
        <f>1-735-598-2800</f>
        <v>-4132</v>
      </c>
    </row>
    <row r="9533" spans="1:25" x14ac:dyDescent="0.35">
      <c r="A9533">
        <v>38.5224271088126</v>
      </c>
      <c r="B9533">
        <v>-116.161041733315</v>
      </c>
      <c r="C9533" t="s">
        <v>29</v>
      </c>
      <c r="D9533">
        <v>30.337741937418699</v>
      </c>
      <c r="E9533">
        <v>2</v>
      </c>
      <c r="F9533">
        <v>1761</v>
      </c>
      <c r="G9533">
        <v>5</v>
      </c>
      <c r="H9533">
        <v>2</v>
      </c>
      <c r="I9533">
        <v>1986</v>
      </c>
      <c r="J9533">
        <v>1</v>
      </c>
      <c r="K9533">
        <v>1</v>
      </c>
      <c r="L9533">
        <v>0</v>
      </c>
      <c r="M9533">
        <v>2</v>
      </c>
      <c r="N9533" t="s">
        <v>41</v>
      </c>
      <c r="O9533" t="s">
        <v>27</v>
      </c>
      <c r="P9533">
        <v>11.6947659430791</v>
      </c>
      <c r="Q9533">
        <v>1.4386410053229699</v>
      </c>
      <c r="R9533">
        <v>9.9278488720216806</v>
      </c>
      <c r="S9533">
        <v>61</v>
      </c>
      <c r="T9533">
        <v>35</v>
      </c>
      <c r="U9533">
        <v>552.93579198397595</v>
      </c>
      <c r="V9533">
        <v>1.13571834185122E-3</v>
      </c>
      <c r="W9533">
        <v>1335481.00790367</v>
      </c>
      <c r="X9533" t="s">
        <v>39</v>
      </c>
      <c r="Y9533">
        <f>1-347-658-5793</f>
        <v>-6797</v>
      </c>
    </row>
    <row r="9534" spans="1:25" x14ac:dyDescent="0.35">
      <c r="A9534">
        <v>39.757380207824099</v>
      </c>
      <c r="B9534">
        <v>-120.80939261261599</v>
      </c>
      <c r="C9534" t="s">
        <v>34</v>
      </c>
      <c r="D9534">
        <v>47.557567261057798</v>
      </c>
      <c r="E9534">
        <v>7</v>
      </c>
      <c r="F9534">
        <v>4396</v>
      </c>
      <c r="G9534">
        <v>4</v>
      </c>
      <c r="H9534">
        <v>1</v>
      </c>
      <c r="I9534">
        <v>1970</v>
      </c>
      <c r="J9534">
        <v>1</v>
      </c>
      <c r="K9534">
        <v>1</v>
      </c>
      <c r="L9534">
        <v>1</v>
      </c>
      <c r="M9534">
        <v>6</v>
      </c>
      <c r="N9534" t="s">
        <v>41</v>
      </c>
      <c r="O9534" t="s">
        <v>30</v>
      </c>
      <c r="P9534">
        <v>11.0121352478359</v>
      </c>
      <c r="Q9534">
        <v>1.2826364746157299</v>
      </c>
      <c r="R9534">
        <v>2.9084699155653402</v>
      </c>
      <c r="S9534">
        <v>24</v>
      </c>
      <c r="T9534">
        <v>71</v>
      </c>
      <c r="U9534">
        <v>481.37422441932102</v>
      </c>
      <c r="V9534">
        <v>1.3648771610554999E-3</v>
      </c>
      <c r="W9534">
        <v>2432364.7164454702</v>
      </c>
      <c r="X9534" t="s">
        <v>43</v>
      </c>
      <c r="Y9534">
        <f>1-773-575-8728</f>
        <v>-10075</v>
      </c>
    </row>
    <row r="9535" spans="1:25" x14ac:dyDescent="0.35">
      <c r="A9535">
        <v>41.119748063644103</v>
      </c>
      <c r="B9535">
        <v>-122.19394546509101</v>
      </c>
      <c r="C9535" t="s">
        <v>25</v>
      </c>
      <c r="D9535">
        <v>28.1946195896525</v>
      </c>
      <c r="E9535">
        <v>6</v>
      </c>
      <c r="F9535">
        <v>4545</v>
      </c>
      <c r="G9535">
        <v>2</v>
      </c>
      <c r="H9535">
        <v>1</v>
      </c>
      <c r="I9535">
        <v>2004</v>
      </c>
      <c r="J9535">
        <v>0</v>
      </c>
      <c r="K9535">
        <v>1</v>
      </c>
      <c r="L9535">
        <v>1</v>
      </c>
      <c r="M9535">
        <v>2</v>
      </c>
      <c r="N9535" t="s">
        <v>26</v>
      </c>
      <c r="O9535" t="s">
        <v>27</v>
      </c>
      <c r="P9535">
        <v>6.4771337907574003</v>
      </c>
      <c r="Q9535">
        <v>2.3845384092480799</v>
      </c>
      <c r="R9535">
        <v>0.151514610523836</v>
      </c>
      <c r="S9535">
        <v>199</v>
      </c>
      <c r="T9535">
        <v>63</v>
      </c>
      <c r="U9535">
        <v>877.18146958745001</v>
      </c>
      <c r="V9535">
        <v>4.4004400440043998E-4</v>
      </c>
      <c r="W9535">
        <v>4407097.77147674</v>
      </c>
      <c r="X9535" t="s">
        <v>31</v>
      </c>
      <c r="Y9535">
        <f>1-644-286-9431</f>
        <v>-10360</v>
      </c>
    </row>
    <row r="9536" spans="1:25" x14ac:dyDescent="0.35">
      <c r="A9536">
        <v>34.667030953368602</v>
      </c>
      <c r="B9536">
        <v>-119.171851428473</v>
      </c>
      <c r="C9536" t="s">
        <v>34</v>
      </c>
      <c r="D9536">
        <v>32.602256623029398</v>
      </c>
      <c r="E9536">
        <v>2</v>
      </c>
      <c r="F9536">
        <v>2391</v>
      </c>
      <c r="G9536">
        <v>5</v>
      </c>
      <c r="H9536">
        <v>1</v>
      </c>
      <c r="I9536">
        <v>1999</v>
      </c>
      <c r="J9536">
        <v>1</v>
      </c>
      <c r="K9536">
        <v>0</v>
      </c>
      <c r="L9536">
        <v>1</v>
      </c>
      <c r="M9536">
        <v>10</v>
      </c>
      <c r="N9536" t="s">
        <v>37</v>
      </c>
      <c r="O9536" t="s">
        <v>32</v>
      </c>
      <c r="P9536">
        <v>6.4667540635040996</v>
      </c>
      <c r="Q9536">
        <v>1.0459955617630201</v>
      </c>
      <c r="R9536">
        <v>1.51192579063324</v>
      </c>
      <c r="S9536">
        <v>13</v>
      </c>
      <c r="T9536">
        <v>38</v>
      </c>
      <c r="U9536">
        <v>936.43793389767404</v>
      </c>
      <c r="V9536">
        <v>4.1823504809702997E-3</v>
      </c>
      <c r="W9536">
        <v>2585158.58674721</v>
      </c>
      <c r="X9536" t="s">
        <v>44</v>
      </c>
      <c r="Y9536">
        <f>1-365-874-2297</f>
        <v>-3535</v>
      </c>
    </row>
    <row r="9537" spans="1:25" x14ac:dyDescent="0.35">
      <c r="A9537">
        <v>39.384160579391398</v>
      </c>
      <c r="B9537">
        <v>-121.58189736865</v>
      </c>
      <c r="C9537" t="s">
        <v>25</v>
      </c>
      <c r="D9537">
        <v>35.442141645753203</v>
      </c>
      <c r="E9537">
        <v>8</v>
      </c>
      <c r="F9537">
        <v>2938</v>
      </c>
      <c r="G9537">
        <v>5</v>
      </c>
      <c r="H9537">
        <v>1</v>
      </c>
      <c r="I9537">
        <v>1994</v>
      </c>
      <c r="J9537">
        <v>1</v>
      </c>
      <c r="K9537">
        <v>1</v>
      </c>
      <c r="L9537">
        <v>0</v>
      </c>
      <c r="M9537">
        <v>7</v>
      </c>
      <c r="N9537" t="s">
        <v>35</v>
      </c>
      <c r="O9537" t="s">
        <v>32</v>
      </c>
      <c r="P9537">
        <v>8.5422941641894994</v>
      </c>
      <c r="Q9537">
        <v>0.79798830373403495</v>
      </c>
      <c r="R9537">
        <v>0.44560515062400102</v>
      </c>
      <c r="S9537">
        <v>134</v>
      </c>
      <c r="T9537">
        <v>25</v>
      </c>
      <c r="U9537">
        <v>678.71416557195596</v>
      </c>
      <c r="V9537">
        <v>2.38257317903335E-3</v>
      </c>
      <c r="W9537">
        <v>2450482.96587756</v>
      </c>
      <c r="X9537" t="s">
        <v>40</v>
      </c>
      <c r="Y9537">
        <f>1-340-324-6399</f>
        <v>-7062</v>
      </c>
    </row>
    <row r="9538" spans="1:25" x14ac:dyDescent="0.35">
      <c r="A9538">
        <v>33.4892405779661</v>
      </c>
      <c r="B9538">
        <v>-118.145617667221</v>
      </c>
      <c r="C9538" t="s">
        <v>29</v>
      </c>
      <c r="D9538">
        <v>18.187318103997299</v>
      </c>
      <c r="E9538">
        <v>8</v>
      </c>
      <c r="F9538">
        <v>3820</v>
      </c>
      <c r="G9538">
        <v>1</v>
      </c>
      <c r="H9538">
        <v>1</v>
      </c>
      <c r="I9538">
        <v>1980</v>
      </c>
      <c r="J9538">
        <v>1</v>
      </c>
      <c r="K9538">
        <v>0</v>
      </c>
      <c r="L9538">
        <v>0</v>
      </c>
      <c r="M9538">
        <v>10</v>
      </c>
      <c r="N9538" t="s">
        <v>26</v>
      </c>
      <c r="O9538" t="s">
        <v>27</v>
      </c>
      <c r="P9538">
        <v>5.9259370161717397</v>
      </c>
      <c r="Q9538">
        <v>1.0205231282888201</v>
      </c>
      <c r="R9538">
        <v>1.4635916355129599</v>
      </c>
      <c r="S9538">
        <v>111</v>
      </c>
      <c r="T9538">
        <v>51</v>
      </c>
      <c r="U9538">
        <v>688.89313282613705</v>
      </c>
      <c r="V9538">
        <v>2.6178010471204099E-3</v>
      </c>
      <c r="W9538">
        <v>2681476.87944136</v>
      </c>
      <c r="X9538" t="s">
        <v>43</v>
      </c>
      <c r="Y9538">
        <f>1-847-594-3875</f>
        <v>-5315</v>
      </c>
    </row>
    <row r="9539" spans="1:25" x14ac:dyDescent="0.35">
      <c r="A9539">
        <v>36.344491034289902</v>
      </c>
      <c r="B9539">
        <v>-115.97238540084</v>
      </c>
      <c r="C9539" t="s">
        <v>34</v>
      </c>
      <c r="D9539">
        <v>31.494698021527402</v>
      </c>
      <c r="E9539">
        <v>8</v>
      </c>
      <c r="F9539">
        <v>3867</v>
      </c>
      <c r="G9539">
        <v>2</v>
      </c>
      <c r="H9539">
        <v>2</v>
      </c>
      <c r="I9539">
        <v>1958</v>
      </c>
      <c r="J9539">
        <v>0</v>
      </c>
      <c r="K9539">
        <v>0</v>
      </c>
      <c r="L9539">
        <v>0</v>
      </c>
      <c r="M9539">
        <v>11</v>
      </c>
      <c r="N9539" t="s">
        <v>37</v>
      </c>
      <c r="O9539" t="s">
        <v>30</v>
      </c>
      <c r="P9539">
        <v>13.1424052604756</v>
      </c>
      <c r="Q9539">
        <v>1.71041605170475</v>
      </c>
      <c r="R9539">
        <v>2.76407056073413E-2</v>
      </c>
      <c r="S9539">
        <v>172</v>
      </c>
      <c r="T9539">
        <v>22</v>
      </c>
      <c r="U9539">
        <v>968.71419492525797</v>
      </c>
      <c r="V9539">
        <v>2.8445823635893401E-3</v>
      </c>
      <c r="W9539">
        <v>3932624.2229794599</v>
      </c>
      <c r="X9539" t="s">
        <v>40</v>
      </c>
      <c r="Y9539">
        <f>1-273-929-2500</f>
        <v>-3701</v>
      </c>
    </row>
    <row r="9540" spans="1:25" x14ac:dyDescent="0.35">
      <c r="A9540">
        <v>38.847242185435199</v>
      </c>
      <c r="B9540">
        <v>-121.318853468584</v>
      </c>
      <c r="C9540" t="s">
        <v>29</v>
      </c>
      <c r="D9540">
        <v>45.7936344717358</v>
      </c>
      <c r="E9540">
        <v>7</v>
      </c>
      <c r="F9540">
        <v>4618</v>
      </c>
      <c r="G9540">
        <v>5</v>
      </c>
      <c r="H9540">
        <v>2</v>
      </c>
      <c r="I9540">
        <v>1970</v>
      </c>
      <c r="J9540">
        <v>1</v>
      </c>
      <c r="K9540">
        <v>1</v>
      </c>
      <c r="L9540">
        <v>1</v>
      </c>
      <c r="M9540">
        <v>14</v>
      </c>
      <c r="N9540" t="s">
        <v>26</v>
      </c>
      <c r="O9540" t="s">
        <v>27</v>
      </c>
      <c r="P9540">
        <v>3.3736524821385898</v>
      </c>
      <c r="Q9540">
        <v>0.62800562189155895</v>
      </c>
      <c r="R9540">
        <v>5.6503079791372102</v>
      </c>
      <c r="S9540">
        <v>104</v>
      </c>
      <c r="T9540">
        <v>21</v>
      </c>
      <c r="U9540">
        <v>311.68049111374199</v>
      </c>
      <c r="V9540">
        <v>3.0316154179298302E-3</v>
      </c>
      <c r="W9540">
        <v>1859701.7575411701</v>
      </c>
      <c r="X9540" t="s">
        <v>40</v>
      </c>
      <c r="Y9540">
        <f>1-657-666-9866</f>
        <v>-11188</v>
      </c>
    </row>
    <row r="9541" spans="1:25" x14ac:dyDescent="0.35">
      <c r="A9541">
        <v>37.618370105765898</v>
      </c>
      <c r="B9541">
        <v>-119.544433945092</v>
      </c>
      <c r="C9541" t="s">
        <v>29</v>
      </c>
      <c r="D9541">
        <v>7.5652126368150299</v>
      </c>
      <c r="E9541">
        <v>7</v>
      </c>
      <c r="F9541">
        <v>2889</v>
      </c>
      <c r="G9541">
        <v>4</v>
      </c>
      <c r="H9541">
        <v>3</v>
      </c>
      <c r="I9541">
        <v>2009</v>
      </c>
      <c r="J9541">
        <v>0</v>
      </c>
      <c r="K9541">
        <v>1</v>
      </c>
      <c r="L9541">
        <v>1</v>
      </c>
      <c r="M9541">
        <v>7</v>
      </c>
      <c r="N9541" t="s">
        <v>35</v>
      </c>
      <c r="O9541" t="s">
        <v>30</v>
      </c>
      <c r="P9541">
        <v>9.3928590865622592</v>
      </c>
      <c r="Q9541">
        <v>0.71437781102537701</v>
      </c>
      <c r="R9541">
        <v>6.8336502647799504</v>
      </c>
      <c r="S9541">
        <v>188</v>
      </c>
      <c r="T9541">
        <v>25</v>
      </c>
      <c r="U9541">
        <v>666.02511571924902</v>
      </c>
      <c r="V9541">
        <v>2.4229837313949399E-3</v>
      </c>
      <c r="W9541">
        <v>2373434.59684854</v>
      </c>
      <c r="X9541" t="s">
        <v>28</v>
      </c>
      <c r="Y9541">
        <f>1-878-871-3635</f>
        <v>-5383</v>
      </c>
    </row>
    <row r="9542" spans="1:25" x14ac:dyDescent="0.35">
      <c r="A9542">
        <v>37.869063442732198</v>
      </c>
      <c r="B9542">
        <v>-121.215506060181</v>
      </c>
      <c r="C9542" t="s">
        <v>34</v>
      </c>
      <c r="D9542">
        <v>43.817197962392797</v>
      </c>
      <c r="E9542">
        <v>2</v>
      </c>
      <c r="F9542">
        <v>982</v>
      </c>
      <c r="G9542">
        <v>3</v>
      </c>
      <c r="H9542">
        <v>3</v>
      </c>
      <c r="I9542">
        <v>1967</v>
      </c>
      <c r="J9542">
        <v>0</v>
      </c>
      <c r="K9542">
        <v>1</v>
      </c>
      <c r="L9542">
        <v>0</v>
      </c>
      <c r="M9542">
        <v>7</v>
      </c>
      <c r="N9542" t="s">
        <v>26</v>
      </c>
      <c r="O9542" t="s">
        <v>30</v>
      </c>
      <c r="P9542">
        <v>11.0974267278543</v>
      </c>
      <c r="Q9542">
        <v>0.82799856456881704</v>
      </c>
      <c r="R9542">
        <v>6.9083871012895699</v>
      </c>
      <c r="S9542">
        <v>123</v>
      </c>
      <c r="T9542">
        <v>79</v>
      </c>
      <c r="U9542">
        <v>546.04939143093998</v>
      </c>
      <c r="V9542">
        <v>7.12830957230142E-3</v>
      </c>
      <c r="W9542">
        <v>892318.08268419595</v>
      </c>
      <c r="X9542" t="s">
        <v>31</v>
      </c>
      <c r="Y9542">
        <f>1-980-625-2433</f>
        <v>-4037</v>
      </c>
    </row>
    <row r="9543" spans="1:25" x14ac:dyDescent="0.35">
      <c r="A9543">
        <v>33.682268397542501</v>
      </c>
      <c r="B9543">
        <v>-115.73800927542599</v>
      </c>
      <c r="C9543" t="s">
        <v>29</v>
      </c>
      <c r="D9543">
        <v>10.307702159943799</v>
      </c>
      <c r="E9543">
        <v>4</v>
      </c>
      <c r="F9543">
        <v>2299</v>
      </c>
      <c r="G9543">
        <v>2</v>
      </c>
      <c r="H9543">
        <v>1</v>
      </c>
      <c r="I9543">
        <v>1987</v>
      </c>
      <c r="J9543">
        <v>1</v>
      </c>
      <c r="K9543">
        <v>0</v>
      </c>
      <c r="L9543">
        <v>1</v>
      </c>
      <c r="M9543">
        <v>4</v>
      </c>
      <c r="N9543" t="s">
        <v>35</v>
      </c>
      <c r="O9543" t="s">
        <v>27</v>
      </c>
      <c r="P9543">
        <v>7.0907601669461799</v>
      </c>
      <c r="Q9543">
        <v>1.2286198499021299</v>
      </c>
      <c r="R9543">
        <v>7.5803960452052497</v>
      </c>
      <c r="S9543">
        <v>3</v>
      </c>
      <c r="T9543">
        <v>51</v>
      </c>
      <c r="U9543">
        <v>876.97083081903099</v>
      </c>
      <c r="V9543">
        <v>1.73988690735102E-3</v>
      </c>
      <c r="W9543">
        <v>2183033.0840984201</v>
      </c>
      <c r="X9543" t="s">
        <v>42</v>
      </c>
      <c r="Y9543">
        <f>1-290-702-3865</f>
        <v>-4856</v>
      </c>
    </row>
    <row r="9544" spans="1:25" x14ac:dyDescent="0.35">
      <c r="A9544">
        <v>41.438358320234201</v>
      </c>
      <c r="B9544">
        <v>-115.406950182619</v>
      </c>
      <c r="C9544" t="s">
        <v>25</v>
      </c>
      <c r="D9544">
        <v>16.525006621660399</v>
      </c>
      <c r="E9544">
        <v>4</v>
      </c>
      <c r="F9544">
        <v>1678</v>
      </c>
      <c r="G9544">
        <v>3</v>
      </c>
      <c r="H9544">
        <v>2</v>
      </c>
      <c r="I9544">
        <v>1960</v>
      </c>
      <c r="J9544">
        <v>1</v>
      </c>
      <c r="K9544">
        <v>0</v>
      </c>
      <c r="L9544">
        <v>1</v>
      </c>
      <c r="M9544">
        <v>5</v>
      </c>
      <c r="N9544" t="s">
        <v>41</v>
      </c>
      <c r="O9544" t="s">
        <v>27</v>
      </c>
      <c r="P9544">
        <v>10.292697808422499</v>
      </c>
      <c r="Q9544">
        <v>0.54769037251929698</v>
      </c>
      <c r="R9544">
        <v>1.5103556555645701</v>
      </c>
      <c r="S9544">
        <v>60</v>
      </c>
      <c r="T9544">
        <v>35</v>
      </c>
      <c r="U9544">
        <v>207.76492363610501</v>
      </c>
      <c r="V9544">
        <v>2.9797377830750801E-3</v>
      </c>
      <c r="W9544">
        <v>697030.30867739394</v>
      </c>
      <c r="X9544" t="s">
        <v>40</v>
      </c>
      <c r="Y9544">
        <f>1-820-389-5378</f>
        <v>-6586</v>
      </c>
    </row>
    <row r="9545" spans="1:25" x14ac:dyDescent="0.35">
      <c r="A9545">
        <v>39.630207255968799</v>
      </c>
      <c r="B9545">
        <v>-120.414042245606</v>
      </c>
      <c r="C9545" t="s">
        <v>25</v>
      </c>
      <c r="D9545">
        <v>30.673385752457602</v>
      </c>
      <c r="E9545">
        <v>5</v>
      </c>
      <c r="F9545">
        <v>2299</v>
      </c>
      <c r="G9545">
        <v>4</v>
      </c>
      <c r="H9545">
        <v>1</v>
      </c>
      <c r="I9545">
        <v>1959</v>
      </c>
      <c r="J9545">
        <v>0</v>
      </c>
      <c r="K9545">
        <v>0</v>
      </c>
      <c r="L9545">
        <v>1</v>
      </c>
      <c r="M9545">
        <v>10</v>
      </c>
      <c r="N9545" t="s">
        <v>41</v>
      </c>
      <c r="O9545" t="s">
        <v>27</v>
      </c>
      <c r="P9545">
        <v>14.4170368686434</v>
      </c>
      <c r="Q9545">
        <v>1.9222097170579</v>
      </c>
      <c r="R9545">
        <v>7.22299033439716</v>
      </c>
      <c r="S9545">
        <v>57</v>
      </c>
      <c r="T9545">
        <v>45</v>
      </c>
      <c r="U9545">
        <v>277.75333889587898</v>
      </c>
      <c r="V9545">
        <v>4.3497172683775497E-3</v>
      </c>
      <c r="W9545">
        <v>869103.348558862</v>
      </c>
      <c r="X9545" t="s">
        <v>31</v>
      </c>
      <c r="Y9545">
        <f>1-549-844-4798</f>
        <v>-6190</v>
      </c>
    </row>
    <row r="9546" spans="1:25" x14ac:dyDescent="0.35">
      <c r="A9546">
        <v>33.091300187599103</v>
      </c>
      <c r="B9546">
        <v>-117.847824309347</v>
      </c>
      <c r="C9546" t="s">
        <v>29</v>
      </c>
      <c r="D9546">
        <v>48.1241871376888</v>
      </c>
      <c r="E9546">
        <v>6</v>
      </c>
      <c r="F9546">
        <v>1045</v>
      </c>
      <c r="G9546">
        <v>2</v>
      </c>
      <c r="H9546">
        <v>2</v>
      </c>
      <c r="I9546">
        <v>1985</v>
      </c>
      <c r="J9546">
        <v>0</v>
      </c>
      <c r="K9546">
        <v>1</v>
      </c>
      <c r="L9546">
        <v>1</v>
      </c>
      <c r="M9546">
        <v>13</v>
      </c>
      <c r="N9546" t="s">
        <v>35</v>
      </c>
      <c r="O9546" t="s">
        <v>27</v>
      </c>
      <c r="P9546">
        <v>2.1387105257730301</v>
      </c>
      <c r="Q9546">
        <v>2.46952673714733</v>
      </c>
      <c r="R9546">
        <v>6.96772500917006</v>
      </c>
      <c r="S9546">
        <v>192</v>
      </c>
      <c r="T9546">
        <v>27</v>
      </c>
      <c r="U9546">
        <v>609.77188735531399</v>
      </c>
      <c r="V9546">
        <v>1.24401913875598E-2</v>
      </c>
      <c r="W9546">
        <v>778191.32029551605</v>
      </c>
      <c r="X9546" t="s">
        <v>42</v>
      </c>
      <c r="Y9546">
        <f>1-830-778-3668</f>
        <v>-5275</v>
      </c>
    </row>
    <row r="9547" spans="1:25" x14ac:dyDescent="0.35">
      <c r="A9547">
        <v>36.0508228189371</v>
      </c>
      <c r="B9547">
        <v>-116.21837210327</v>
      </c>
      <c r="C9547" t="s">
        <v>34</v>
      </c>
      <c r="D9547">
        <v>46.093825297553899</v>
      </c>
      <c r="E9547">
        <v>6</v>
      </c>
      <c r="F9547">
        <v>4108</v>
      </c>
      <c r="G9547">
        <v>3</v>
      </c>
      <c r="H9547">
        <v>1</v>
      </c>
      <c r="I9547">
        <v>1962</v>
      </c>
      <c r="J9547">
        <v>1</v>
      </c>
      <c r="K9547">
        <v>1</v>
      </c>
      <c r="L9547">
        <v>0</v>
      </c>
      <c r="M9547">
        <v>6</v>
      </c>
      <c r="N9547" t="s">
        <v>37</v>
      </c>
      <c r="O9547" t="s">
        <v>32</v>
      </c>
      <c r="P9547">
        <v>10.9821446452028</v>
      </c>
      <c r="Q9547">
        <v>0.64330093718238102</v>
      </c>
      <c r="R9547">
        <v>6.0964772007385601</v>
      </c>
      <c r="S9547">
        <v>178</v>
      </c>
      <c r="T9547">
        <v>63</v>
      </c>
      <c r="U9547">
        <v>969.91251684504903</v>
      </c>
      <c r="V9547">
        <v>1.46056475170399E-3</v>
      </c>
      <c r="W9547">
        <v>4225951.5419057803</v>
      </c>
      <c r="X9547" t="s">
        <v>38</v>
      </c>
      <c r="Y9547">
        <f>1-267-888-9247</f>
        <v>-10401</v>
      </c>
    </row>
    <row r="9548" spans="1:25" x14ac:dyDescent="0.35">
      <c r="A9548">
        <v>32.723132432996898</v>
      </c>
      <c r="B9548">
        <v>-117.476036314365</v>
      </c>
      <c r="C9548" t="s">
        <v>25</v>
      </c>
      <c r="D9548">
        <v>47.518594107155899</v>
      </c>
      <c r="E9548">
        <v>8</v>
      </c>
      <c r="F9548">
        <v>792</v>
      </c>
      <c r="G9548">
        <v>2</v>
      </c>
      <c r="H9548">
        <v>3</v>
      </c>
      <c r="I9548">
        <v>1982</v>
      </c>
      <c r="J9548">
        <v>1</v>
      </c>
      <c r="K9548">
        <v>1</v>
      </c>
      <c r="L9548">
        <v>0</v>
      </c>
      <c r="M9548">
        <v>3</v>
      </c>
      <c r="N9548" t="s">
        <v>26</v>
      </c>
      <c r="O9548" t="s">
        <v>27</v>
      </c>
      <c r="P9548">
        <v>6.1206433982094799</v>
      </c>
      <c r="Q9548">
        <v>1.7298240431368801</v>
      </c>
      <c r="R9548">
        <v>4.4980467064379202</v>
      </c>
      <c r="S9548">
        <v>179</v>
      </c>
      <c r="T9548">
        <v>49</v>
      </c>
      <c r="U9548">
        <v>910.83200161590605</v>
      </c>
      <c r="V9548">
        <v>3.7878787878787802E-3</v>
      </c>
      <c r="W9548">
        <v>965669.08452261996</v>
      </c>
      <c r="X9548" t="s">
        <v>28</v>
      </c>
      <c r="Y9548">
        <f>1-237-712-4781</f>
        <v>-5729</v>
      </c>
    </row>
    <row r="9549" spans="1:25" x14ac:dyDescent="0.35">
      <c r="A9549">
        <v>40.746955966773498</v>
      </c>
      <c r="B9549">
        <v>-123.967097381996</v>
      </c>
      <c r="C9549" t="s">
        <v>29</v>
      </c>
      <c r="D9549">
        <v>39.341526620821099</v>
      </c>
      <c r="E9549">
        <v>8</v>
      </c>
      <c r="F9549">
        <v>1004</v>
      </c>
      <c r="G9549">
        <v>5</v>
      </c>
      <c r="H9549">
        <v>2</v>
      </c>
      <c r="I9549">
        <v>1965</v>
      </c>
      <c r="J9549">
        <v>0</v>
      </c>
      <c r="K9549">
        <v>1</v>
      </c>
      <c r="L9549">
        <v>0</v>
      </c>
      <c r="M9549">
        <v>8</v>
      </c>
      <c r="N9549" t="s">
        <v>37</v>
      </c>
      <c r="O9549" t="s">
        <v>30</v>
      </c>
      <c r="P9549">
        <v>7.8268370701156398</v>
      </c>
      <c r="Q9549">
        <v>0.88228595471441595</v>
      </c>
      <c r="R9549">
        <v>8.6985503617957303</v>
      </c>
      <c r="S9549">
        <v>76</v>
      </c>
      <c r="T9549">
        <v>30</v>
      </c>
      <c r="U9549">
        <v>417.07702108045402</v>
      </c>
      <c r="V9549">
        <v>7.9681274900398405E-3</v>
      </c>
      <c r="W9549">
        <v>886606.81783885194</v>
      </c>
      <c r="X9549" t="s">
        <v>40</v>
      </c>
      <c r="Y9549">
        <f>1-749-303-9186</f>
        <v>-10237</v>
      </c>
    </row>
    <row r="9550" spans="1:25" x14ac:dyDescent="0.35">
      <c r="A9550">
        <v>36.619593011638997</v>
      </c>
      <c r="B9550">
        <v>-115.43506047775701</v>
      </c>
      <c r="C9550" t="s">
        <v>29</v>
      </c>
      <c r="D9550">
        <v>33.1539531845022</v>
      </c>
      <c r="E9550">
        <v>1</v>
      </c>
      <c r="F9550">
        <v>2376</v>
      </c>
      <c r="G9550">
        <v>1</v>
      </c>
      <c r="H9550">
        <v>3</v>
      </c>
      <c r="I9550">
        <v>1985</v>
      </c>
      <c r="J9550">
        <v>0</v>
      </c>
      <c r="K9550">
        <v>0</v>
      </c>
      <c r="L9550">
        <v>0</v>
      </c>
      <c r="M9550">
        <v>11</v>
      </c>
      <c r="N9550" t="s">
        <v>37</v>
      </c>
      <c r="O9550" t="s">
        <v>30</v>
      </c>
      <c r="P9550">
        <v>3.5651716909323401</v>
      </c>
      <c r="Q9550">
        <v>1.1764430680114799</v>
      </c>
      <c r="R9550">
        <v>3.7243151217934098</v>
      </c>
      <c r="S9550">
        <v>84</v>
      </c>
      <c r="T9550">
        <v>51</v>
      </c>
      <c r="U9550">
        <v>868.86075947975098</v>
      </c>
      <c r="V9550">
        <v>4.6296296296296198E-3</v>
      </c>
      <c r="W9550">
        <v>2151682.2983178599</v>
      </c>
      <c r="X9550" t="s">
        <v>44</v>
      </c>
      <c r="Y9550">
        <f>1-682-449-3690</f>
        <v>-4820</v>
      </c>
    </row>
    <row r="9551" spans="1:25" x14ac:dyDescent="0.35">
      <c r="A9551">
        <v>39.021930178185599</v>
      </c>
      <c r="B9551">
        <v>-120.337970768983</v>
      </c>
      <c r="C9551" t="s">
        <v>34</v>
      </c>
      <c r="D9551">
        <v>10.5255938845907</v>
      </c>
      <c r="E9551">
        <v>4</v>
      </c>
      <c r="F9551">
        <v>3351</v>
      </c>
      <c r="G9551">
        <v>3</v>
      </c>
      <c r="H9551">
        <v>3</v>
      </c>
      <c r="I9551">
        <v>1974</v>
      </c>
      <c r="J9551">
        <v>0</v>
      </c>
      <c r="K9551">
        <v>0</v>
      </c>
      <c r="L9551">
        <v>0</v>
      </c>
      <c r="M9551">
        <v>10</v>
      </c>
      <c r="N9551" t="s">
        <v>26</v>
      </c>
      <c r="O9551" t="s">
        <v>32</v>
      </c>
      <c r="P9551">
        <v>10.2271454306498</v>
      </c>
      <c r="Q9551">
        <v>2.34793272737488</v>
      </c>
      <c r="R9551">
        <v>4.3443530400928498</v>
      </c>
      <c r="S9551">
        <v>77</v>
      </c>
      <c r="T9551">
        <v>42</v>
      </c>
      <c r="U9551">
        <v>612.82574311462599</v>
      </c>
      <c r="V9551">
        <v>2.9841838257236601E-3</v>
      </c>
      <c r="W9551">
        <v>2259222.2622130699</v>
      </c>
      <c r="X9551" t="s">
        <v>39</v>
      </c>
      <c r="Y9551">
        <f>1-582-482-9196</f>
        <v>-10259</v>
      </c>
    </row>
    <row r="9552" spans="1:25" x14ac:dyDescent="0.35">
      <c r="A9552">
        <v>38.039826322293997</v>
      </c>
      <c r="B9552">
        <v>-116.501076799979</v>
      </c>
      <c r="C9552" t="s">
        <v>29</v>
      </c>
      <c r="D9552">
        <v>6.29398577945011</v>
      </c>
      <c r="E9552">
        <v>7</v>
      </c>
      <c r="F9552">
        <v>2821</v>
      </c>
      <c r="G9552">
        <v>2</v>
      </c>
      <c r="H9552">
        <v>3</v>
      </c>
      <c r="I9552">
        <v>1958</v>
      </c>
      <c r="J9552">
        <v>0</v>
      </c>
      <c r="K9552">
        <v>0</v>
      </c>
      <c r="L9552">
        <v>1</v>
      </c>
      <c r="M9552">
        <v>8</v>
      </c>
      <c r="N9552" t="s">
        <v>26</v>
      </c>
      <c r="O9552" t="s">
        <v>32</v>
      </c>
      <c r="P9552">
        <v>8.6275849020528899</v>
      </c>
      <c r="Q9552">
        <v>2.0114491539863</v>
      </c>
      <c r="R9552">
        <v>7.9290046925272204</v>
      </c>
      <c r="S9552">
        <v>182</v>
      </c>
      <c r="T9552">
        <v>50</v>
      </c>
      <c r="U9552">
        <v>201.92412489812901</v>
      </c>
      <c r="V9552">
        <v>2.83587380361573E-3</v>
      </c>
      <c r="W9552">
        <v>716890.02238695696</v>
      </c>
      <c r="X9552" t="s">
        <v>31</v>
      </c>
      <c r="Y9552">
        <f>1-725-822-9541</f>
        <v>-11087</v>
      </c>
    </row>
    <row r="9553" spans="1:25" x14ac:dyDescent="0.35">
      <c r="A9553">
        <v>35.2055685396044</v>
      </c>
      <c r="B9553">
        <v>-117.943752455424</v>
      </c>
      <c r="C9553" t="s">
        <v>34</v>
      </c>
      <c r="D9553">
        <v>7.7940443234877002</v>
      </c>
      <c r="E9553">
        <v>9</v>
      </c>
      <c r="F9553">
        <v>1191</v>
      </c>
      <c r="G9553">
        <v>4</v>
      </c>
      <c r="H9553">
        <v>3</v>
      </c>
      <c r="I9553">
        <v>2010</v>
      </c>
      <c r="J9553">
        <v>0</v>
      </c>
      <c r="K9553">
        <v>1</v>
      </c>
      <c r="L9553">
        <v>1</v>
      </c>
      <c r="M9553">
        <v>9</v>
      </c>
      <c r="N9553" t="s">
        <v>26</v>
      </c>
      <c r="O9553" t="s">
        <v>32</v>
      </c>
      <c r="P9553">
        <v>8.4063348733704402</v>
      </c>
      <c r="Q9553">
        <v>1.5466546812179001</v>
      </c>
      <c r="R9553">
        <v>6.8932329133393901</v>
      </c>
      <c r="S9553">
        <v>41</v>
      </c>
      <c r="T9553">
        <v>65</v>
      </c>
      <c r="U9553">
        <v>414.75993944817799</v>
      </c>
      <c r="V9553">
        <v>7.5566750629722903E-3</v>
      </c>
      <c r="W9553">
        <v>984816.621430306</v>
      </c>
      <c r="X9553" t="s">
        <v>44</v>
      </c>
      <c r="Y9553">
        <f>1-488-178-6057</f>
        <v>-6722</v>
      </c>
    </row>
    <row r="9554" spans="1:25" x14ac:dyDescent="0.35">
      <c r="A9554">
        <v>33.695987052528899</v>
      </c>
      <c r="B9554">
        <v>-114.62564459849899</v>
      </c>
      <c r="C9554" t="s">
        <v>29</v>
      </c>
      <c r="D9554">
        <v>26.391646735359998</v>
      </c>
      <c r="E9554">
        <v>8</v>
      </c>
      <c r="F9554">
        <v>4896</v>
      </c>
      <c r="G9554">
        <v>5</v>
      </c>
      <c r="H9554">
        <v>2</v>
      </c>
      <c r="I9554">
        <v>1990</v>
      </c>
      <c r="J9554">
        <v>1</v>
      </c>
      <c r="K9554">
        <v>1</v>
      </c>
      <c r="L9554">
        <v>1</v>
      </c>
      <c r="M9554">
        <v>14</v>
      </c>
      <c r="N9554" t="s">
        <v>37</v>
      </c>
      <c r="O9554" t="s">
        <v>32</v>
      </c>
      <c r="P9554">
        <v>9.0092348090043206</v>
      </c>
      <c r="Q9554">
        <v>0.68739245631003898</v>
      </c>
      <c r="R9554">
        <v>7.1000554921894796</v>
      </c>
      <c r="S9554">
        <v>17</v>
      </c>
      <c r="T9554">
        <v>31</v>
      </c>
      <c r="U9554">
        <v>252.95738279982899</v>
      </c>
      <c r="V9554">
        <v>2.8594771241829998E-3</v>
      </c>
      <c r="W9554">
        <v>1653343.1242351001</v>
      </c>
      <c r="X9554" t="s">
        <v>31</v>
      </c>
      <c r="Y9554">
        <f>1-406-274-4079</f>
        <v>-4758</v>
      </c>
    </row>
    <row r="9555" spans="1:25" x14ac:dyDescent="0.35">
      <c r="A9555">
        <v>38.840381745243903</v>
      </c>
      <c r="B9555">
        <v>-121.527152089941</v>
      </c>
      <c r="C9555" t="s">
        <v>25</v>
      </c>
      <c r="D9555">
        <v>18.837640737076899</v>
      </c>
      <c r="E9555">
        <v>5</v>
      </c>
      <c r="F9555">
        <v>1052</v>
      </c>
      <c r="G9555">
        <v>3</v>
      </c>
      <c r="H9555">
        <v>1</v>
      </c>
      <c r="I9555">
        <v>1958</v>
      </c>
      <c r="J9555">
        <v>0</v>
      </c>
      <c r="K9555">
        <v>0</v>
      </c>
      <c r="L9555">
        <v>1</v>
      </c>
      <c r="M9555">
        <v>9</v>
      </c>
      <c r="N9555" t="s">
        <v>35</v>
      </c>
      <c r="O9555" t="s">
        <v>30</v>
      </c>
      <c r="P9555">
        <v>5.4438447756967596</v>
      </c>
      <c r="Q9555">
        <v>0.51242481880443402</v>
      </c>
      <c r="R9555">
        <v>1.0021321101101599</v>
      </c>
      <c r="S9555">
        <v>131</v>
      </c>
      <c r="T9555">
        <v>70</v>
      </c>
      <c r="U9555">
        <v>920.551954051454</v>
      </c>
      <c r="V9555">
        <v>8.5551330798479003E-3</v>
      </c>
      <c r="W9555">
        <v>1121380.8620897999</v>
      </c>
      <c r="X9555" t="s">
        <v>38</v>
      </c>
      <c r="Y9555">
        <f>1-995-688-7556</f>
        <v>-9238</v>
      </c>
    </row>
    <row r="9556" spans="1:25" x14ac:dyDescent="0.35">
      <c r="A9556">
        <v>40.451328817902201</v>
      </c>
      <c r="B9556">
        <v>-123.07011325743601</v>
      </c>
      <c r="C9556" t="s">
        <v>29</v>
      </c>
      <c r="D9556">
        <v>3.3886904207445698</v>
      </c>
      <c r="E9556">
        <v>4</v>
      </c>
      <c r="F9556">
        <v>1426</v>
      </c>
      <c r="G9556">
        <v>5</v>
      </c>
      <c r="H9556">
        <v>3</v>
      </c>
      <c r="I9556">
        <v>2006</v>
      </c>
      <c r="J9556">
        <v>0</v>
      </c>
      <c r="K9556">
        <v>1</v>
      </c>
      <c r="L9556">
        <v>0</v>
      </c>
      <c r="M9556">
        <v>7</v>
      </c>
      <c r="N9556" t="s">
        <v>41</v>
      </c>
      <c r="O9556" t="s">
        <v>32</v>
      </c>
      <c r="P9556">
        <v>13.1880091793075</v>
      </c>
      <c r="Q9556">
        <v>1.7219931207413599</v>
      </c>
      <c r="R9556">
        <v>3.6150436001124602</v>
      </c>
      <c r="S9556">
        <v>105</v>
      </c>
      <c r="T9556">
        <v>74</v>
      </c>
      <c r="U9556">
        <v>358.595564798748</v>
      </c>
      <c r="V9556">
        <v>4.90883590462833E-3</v>
      </c>
      <c r="W9556">
        <v>928280.07580360898</v>
      </c>
      <c r="X9556" t="s">
        <v>44</v>
      </c>
      <c r="Y9556">
        <f>1-977-754-6618</f>
        <v>-8348</v>
      </c>
    </row>
    <row r="9557" spans="1:25" x14ac:dyDescent="0.35">
      <c r="A9557">
        <v>39.966246887642001</v>
      </c>
      <c r="B9557">
        <v>-121.41199722513799</v>
      </c>
      <c r="C9557" t="s">
        <v>29</v>
      </c>
      <c r="D9557">
        <v>5.9145181158976801</v>
      </c>
      <c r="E9557">
        <v>1</v>
      </c>
      <c r="F9557">
        <v>2329</v>
      </c>
      <c r="G9557">
        <v>3</v>
      </c>
      <c r="H9557">
        <v>1</v>
      </c>
      <c r="I9557">
        <v>2005</v>
      </c>
      <c r="J9557">
        <v>0</v>
      </c>
      <c r="K9557">
        <v>1</v>
      </c>
      <c r="L9557">
        <v>1</v>
      </c>
      <c r="M9557">
        <v>2</v>
      </c>
      <c r="N9557" t="s">
        <v>41</v>
      </c>
      <c r="O9557" t="s">
        <v>32</v>
      </c>
      <c r="P9557">
        <v>13.702998999286301</v>
      </c>
      <c r="Q9557">
        <v>0.78498514466954195</v>
      </c>
      <c r="R9557">
        <v>8.4001145077486505</v>
      </c>
      <c r="S9557">
        <v>96</v>
      </c>
      <c r="T9557">
        <v>78</v>
      </c>
      <c r="U9557">
        <v>229.00242109520801</v>
      </c>
      <c r="V9557">
        <v>8.5873765564620003E-4</v>
      </c>
      <c r="W9557">
        <v>966508.59144283598</v>
      </c>
      <c r="X9557" t="s">
        <v>38</v>
      </c>
      <c r="Y9557">
        <f>1-656-249-5812</f>
        <v>-6716</v>
      </c>
    </row>
    <row r="9558" spans="1:25" x14ac:dyDescent="0.35">
      <c r="A9558">
        <v>34.798488799173398</v>
      </c>
      <c r="B9558">
        <v>-115.207203317683</v>
      </c>
      <c r="C9558" t="s">
        <v>29</v>
      </c>
      <c r="D9558">
        <v>46.597791281153199</v>
      </c>
      <c r="E9558">
        <v>5</v>
      </c>
      <c r="F9558">
        <v>1758</v>
      </c>
      <c r="G9558">
        <v>2</v>
      </c>
      <c r="H9558">
        <v>3</v>
      </c>
      <c r="I9558">
        <v>1956</v>
      </c>
      <c r="J9558">
        <v>1</v>
      </c>
      <c r="K9558">
        <v>0</v>
      </c>
      <c r="L9558">
        <v>1</v>
      </c>
      <c r="M9558">
        <v>3</v>
      </c>
      <c r="N9558" t="s">
        <v>26</v>
      </c>
      <c r="O9558" t="s">
        <v>30</v>
      </c>
      <c r="P9558">
        <v>11.972449884095401</v>
      </c>
      <c r="Q9558">
        <v>2.0800477507995998</v>
      </c>
      <c r="R9558">
        <v>9.3127167994306195</v>
      </c>
      <c r="S9558">
        <v>172</v>
      </c>
      <c r="T9558">
        <v>47</v>
      </c>
      <c r="U9558">
        <v>922.49974546349597</v>
      </c>
      <c r="V9558">
        <v>1.7064846416382201E-3</v>
      </c>
      <c r="W9558">
        <v>1779550.6085327</v>
      </c>
      <c r="X9558" t="s">
        <v>33</v>
      </c>
      <c r="Y9558">
        <f>1-356-498-8903</f>
        <v>-9756</v>
      </c>
    </row>
    <row r="9559" spans="1:25" x14ac:dyDescent="0.35">
      <c r="A9559">
        <v>41.640059130976901</v>
      </c>
      <c r="B9559">
        <v>-114.81242411766701</v>
      </c>
      <c r="C9559" t="s">
        <v>34</v>
      </c>
      <c r="D9559">
        <v>23.442927545786901</v>
      </c>
      <c r="E9559">
        <v>6</v>
      </c>
      <c r="F9559">
        <v>1334</v>
      </c>
      <c r="G9559">
        <v>3</v>
      </c>
      <c r="H9559">
        <v>2</v>
      </c>
      <c r="I9559">
        <v>1997</v>
      </c>
      <c r="J9559">
        <v>1</v>
      </c>
      <c r="K9559">
        <v>1</v>
      </c>
      <c r="L9559">
        <v>1</v>
      </c>
      <c r="M9559">
        <v>2</v>
      </c>
      <c r="N9559" t="s">
        <v>26</v>
      </c>
      <c r="O9559" t="s">
        <v>27</v>
      </c>
      <c r="P9559">
        <v>4.1150027658604502</v>
      </c>
      <c r="Q9559">
        <v>2.2335762956570702</v>
      </c>
      <c r="R9559">
        <v>6.0973710609393299</v>
      </c>
      <c r="S9559">
        <v>148</v>
      </c>
      <c r="T9559">
        <v>70</v>
      </c>
      <c r="U9559">
        <v>473.96829262734599</v>
      </c>
      <c r="V9559">
        <v>1.49925037481259E-3</v>
      </c>
      <c r="W9559">
        <v>983088.04769146501</v>
      </c>
      <c r="X9559" t="s">
        <v>40</v>
      </c>
      <c r="Y9559">
        <f>1-814-531-5913</f>
        <v>-7257</v>
      </c>
    </row>
    <row r="9560" spans="1:25" x14ac:dyDescent="0.35">
      <c r="A9560">
        <v>35.965775966589199</v>
      </c>
      <c r="B9560">
        <v>-116.025499714083</v>
      </c>
      <c r="C9560" t="s">
        <v>25</v>
      </c>
      <c r="D9560">
        <v>29.677080802046099</v>
      </c>
      <c r="E9560">
        <v>6</v>
      </c>
      <c r="F9560">
        <v>1931</v>
      </c>
      <c r="G9560">
        <v>4</v>
      </c>
      <c r="H9560">
        <v>2</v>
      </c>
      <c r="I9560">
        <v>1993</v>
      </c>
      <c r="J9560">
        <v>0</v>
      </c>
      <c r="K9560">
        <v>1</v>
      </c>
      <c r="L9560">
        <v>1</v>
      </c>
      <c r="M9560">
        <v>6</v>
      </c>
      <c r="N9560" t="s">
        <v>41</v>
      </c>
      <c r="O9560" t="s">
        <v>30</v>
      </c>
      <c r="P9560">
        <v>7.9793571292085996</v>
      </c>
      <c r="Q9560">
        <v>1.4933632791656299</v>
      </c>
      <c r="R9560">
        <v>7.4849752942894696</v>
      </c>
      <c r="S9560">
        <v>27</v>
      </c>
      <c r="T9560">
        <v>49</v>
      </c>
      <c r="U9560">
        <v>912.27068841513596</v>
      </c>
      <c r="V9560">
        <v>3.10719834282755E-3</v>
      </c>
      <c r="W9560">
        <v>2215867.9970024</v>
      </c>
      <c r="X9560" t="s">
        <v>40</v>
      </c>
      <c r="Y9560">
        <f>1-365-155-8011</f>
        <v>-8530</v>
      </c>
    </row>
    <row r="9561" spans="1:25" x14ac:dyDescent="0.35">
      <c r="A9561">
        <v>41.010412576452801</v>
      </c>
      <c r="B9561">
        <v>-123.577415215709</v>
      </c>
      <c r="C9561" t="s">
        <v>34</v>
      </c>
      <c r="D9561">
        <v>23.7969587647415</v>
      </c>
      <c r="E9561">
        <v>5</v>
      </c>
      <c r="F9561">
        <v>2944</v>
      </c>
      <c r="G9561">
        <v>5</v>
      </c>
      <c r="H9561">
        <v>2</v>
      </c>
      <c r="I9561">
        <v>1988</v>
      </c>
      <c r="J9561">
        <v>0</v>
      </c>
      <c r="K9561">
        <v>0</v>
      </c>
      <c r="L9561">
        <v>0</v>
      </c>
      <c r="M9561">
        <v>11</v>
      </c>
      <c r="N9561" t="s">
        <v>26</v>
      </c>
      <c r="O9561" t="s">
        <v>32</v>
      </c>
      <c r="P9561">
        <v>3.7247730993933299</v>
      </c>
      <c r="Q9561">
        <v>0.84392334945971903</v>
      </c>
      <c r="R9561">
        <v>7.2213565760291996</v>
      </c>
      <c r="S9561">
        <v>29</v>
      </c>
      <c r="T9561">
        <v>54</v>
      </c>
      <c r="U9561">
        <v>608.74469274295598</v>
      </c>
      <c r="V9561">
        <v>3.7364130434782601E-3</v>
      </c>
      <c r="W9561">
        <v>1936702.92918838</v>
      </c>
      <c r="X9561" t="s">
        <v>38</v>
      </c>
      <c r="Y9561">
        <f>1-546-143-7302</f>
        <v>-7990</v>
      </c>
    </row>
    <row r="9562" spans="1:25" x14ac:dyDescent="0.35">
      <c r="A9562">
        <v>36.850927950126398</v>
      </c>
      <c r="B9562">
        <v>-119.904477134307</v>
      </c>
      <c r="C9562" t="s">
        <v>25</v>
      </c>
      <c r="D9562">
        <v>20.620574458645699</v>
      </c>
      <c r="E9562">
        <v>1</v>
      </c>
      <c r="F9562">
        <v>3014</v>
      </c>
      <c r="G9562">
        <v>3</v>
      </c>
      <c r="H9562">
        <v>2</v>
      </c>
      <c r="I9562">
        <v>1994</v>
      </c>
      <c r="J9562">
        <v>0</v>
      </c>
      <c r="K9562">
        <v>0</v>
      </c>
      <c r="L9562">
        <v>0</v>
      </c>
      <c r="M9562">
        <v>3</v>
      </c>
      <c r="N9562" t="s">
        <v>26</v>
      </c>
      <c r="O9562" t="s">
        <v>30</v>
      </c>
      <c r="P9562">
        <v>4.7341831871063196</v>
      </c>
      <c r="Q9562">
        <v>2.0546317623139001</v>
      </c>
      <c r="R9562">
        <v>4.2208095523153597</v>
      </c>
      <c r="S9562">
        <v>1</v>
      </c>
      <c r="T9562">
        <v>25</v>
      </c>
      <c r="U9562">
        <v>328.267519905016</v>
      </c>
      <c r="V9562">
        <v>9.9535500995354999E-4</v>
      </c>
      <c r="W9562">
        <v>1233567.9867789701</v>
      </c>
      <c r="X9562" t="s">
        <v>33</v>
      </c>
      <c r="Y9562">
        <f>1-281-680-2450</f>
        <v>-3410</v>
      </c>
    </row>
    <row r="9563" spans="1:25" x14ac:dyDescent="0.35">
      <c r="A9563">
        <v>35.947027837660002</v>
      </c>
      <c r="B9563">
        <v>-119.55537568186</v>
      </c>
      <c r="C9563" t="s">
        <v>29</v>
      </c>
      <c r="D9563">
        <v>41.668218671688798</v>
      </c>
      <c r="E9563">
        <v>2</v>
      </c>
      <c r="F9563">
        <v>1781</v>
      </c>
      <c r="G9563">
        <v>5</v>
      </c>
      <c r="H9563">
        <v>3</v>
      </c>
      <c r="I9563">
        <v>1991</v>
      </c>
      <c r="J9563">
        <v>0</v>
      </c>
      <c r="K9563">
        <v>1</v>
      </c>
      <c r="L9563">
        <v>1</v>
      </c>
      <c r="M9563">
        <v>8</v>
      </c>
      <c r="N9563" t="s">
        <v>41</v>
      </c>
      <c r="O9563" t="s">
        <v>27</v>
      </c>
      <c r="P9563">
        <v>6.3826960319442696</v>
      </c>
      <c r="Q9563">
        <v>2.3185312089250099</v>
      </c>
      <c r="R9563">
        <v>4.3612341831273698</v>
      </c>
      <c r="S9563">
        <v>125</v>
      </c>
      <c r="T9563">
        <v>64</v>
      </c>
      <c r="U9563">
        <v>236.73100396941399</v>
      </c>
      <c r="V9563">
        <v>4.49185850645704E-3</v>
      </c>
      <c r="W9563">
        <v>866253.22809814697</v>
      </c>
      <c r="X9563" t="s">
        <v>28</v>
      </c>
      <c r="Y9563">
        <f>1-482-386-1403</f>
        <v>-2270</v>
      </c>
    </row>
    <row r="9564" spans="1:25" x14ac:dyDescent="0.35">
      <c r="A9564">
        <v>39.266570608899499</v>
      </c>
      <c r="B9564">
        <v>-115.212977805793</v>
      </c>
      <c r="C9564" t="s">
        <v>25</v>
      </c>
      <c r="D9564">
        <v>46.776868456606401</v>
      </c>
      <c r="E9564">
        <v>3</v>
      </c>
      <c r="F9564">
        <v>3102</v>
      </c>
      <c r="G9564">
        <v>3</v>
      </c>
      <c r="H9564">
        <v>3</v>
      </c>
      <c r="I9564">
        <v>1987</v>
      </c>
      <c r="J9564">
        <v>0</v>
      </c>
      <c r="K9564">
        <v>0</v>
      </c>
      <c r="L9564">
        <v>0</v>
      </c>
      <c r="M9564">
        <v>10</v>
      </c>
      <c r="N9564" t="s">
        <v>41</v>
      </c>
      <c r="O9564" t="s">
        <v>30</v>
      </c>
      <c r="P9564">
        <v>9.9009703263568802</v>
      </c>
      <c r="Q9564">
        <v>2.0657540045551399</v>
      </c>
      <c r="R9564">
        <v>1.0357120003725999</v>
      </c>
      <c r="S9564">
        <v>71</v>
      </c>
      <c r="T9564">
        <v>38</v>
      </c>
      <c r="U9564">
        <v>667.31848360922902</v>
      </c>
      <c r="V9564">
        <v>3.22372662798194E-3</v>
      </c>
      <c r="W9564">
        <v>2299229.8365559201</v>
      </c>
      <c r="X9564" t="s">
        <v>40</v>
      </c>
      <c r="Y9564">
        <f>1-915-744-6154</f>
        <v>-7812</v>
      </c>
    </row>
    <row r="9565" spans="1:25" x14ac:dyDescent="0.35">
      <c r="A9565">
        <v>32.7185529066398</v>
      </c>
      <c r="B9565">
        <v>-118.247440000005</v>
      </c>
      <c r="C9565" t="s">
        <v>29</v>
      </c>
      <c r="D9565">
        <v>28.5825903965934</v>
      </c>
      <c r="E9565">
        <v>0</v>
      </c>
      <c r="F9565">
        <v>4287</v>
      </c>
      <c r="G9565">
        <v>2</v>
      </c>
      <c r="H9565">
        <v>3</v>
      </c>
      <c r="I9565">
        <v>2017</v>
      </c>
      <c r="J9565">
        <v>0</v>
      </c>
      <c r="K9565">
        <v>1</v>
      </c>
      <c r="L9565">
        <v>1</v>
      </c>
      <c r="M9565">
        <v>11</v>
      </c>
      <c r="N9565" t="s">
        <v>26</v>
      </c>
      <c r="O9565" t="s">
        <v>32</v>
      </c>
      <c r="P9565">
        <v>8.3142573361062801</v>
      </c>
      <c r="Q9565">
        <v>2.4127760679311399</v>
      </c>
      <c r="R9565">
        <v>6.67087829952776</v>
      </c>
      <c r="S9565">
        <v>172</v>
      </c>
      <c r="T9565">
        <v>71</v>
      </c>
      <c r="U9565">
        <v>821.37757613475901</v>
      </c>
      <c r="V9565">
        <v>2.5658968975973799E-3</v>
      </c>
      <c r="W9565">
        <v>3838070.4938418102</v>
      </c>
      <c r="X9565" t="s">
        <v>40</v>
      </c>
      <c r="Y9565">
        <f>1-904-308-2221</f>
        <v>-3432</v>
      </c>
    </row>
    <row r="9566" spans="1:25" x14ac:dyDescent="0.35">
      <c r="A9566">
        <v>40.476697333220301</v>
      </c>
      <c r="B9566">
        <v>-117.484288219227</v>
      </c>
      <c r="C9566" t="s">
        <v>25</v>
      </c>
      <c r="D9566">
        <v>43.160247518493101</v>
      </c>
      <c r="E9566">
        <v>9</v>
      </c>
      <c r="F9566">
        <v>2938</v>
      </c>
      <c r="G9566">
        <v>2</v>
      </c>
      <c r="H9566">
        <v>3</v>
      </c>
      <c r="I9566">
        <v>1953</v>
      </c>
      <c r="J9566">
        <v>0</v>
      </c>
      <c r="K9566">
        <v>1</v>
      </c>
      <c r="L9566">
        <v>0</v>
      </c>
      <c r="M9566">
        <v>4</v>
      </c>
      <c r="N9566" t="s">
        <v>26</v>
      </c>
      <c r="O9566" t="s">
        <v>32</v>
      </c>
      <c r="P9566">
        <v>11.328493079156701</v>
      </c>
      <c r="Q9566">
        <v>0.73573377962916597</v>
      </c>
      <c r="R9566">
        <v>1.3874439034408801</v>
      </c>
      <c r="S9566">
        <v>77</v>
      </c>
      <c r="T9566">
        <v>59</v>
      </c>
      <c r="U9566">
        <v>788.62163670541395</v>
      </c>
      <c r="V9566">
        <v>1.3614703880190601E-3</v>
      </c>
      <c r="W9566">
        <v>2567249.3435352701</v>
      </c>
      <c r="X9566" t="s">
        <v>44</v>
      </c>
      <c r="Y9566">
        <f>1-645-305-7621</f>
        <v>-8570</v>
      </c>
    </row>
    <row r="9567" spans="1:25" x14ac:dyDescent="0.35">
      <c r="A9567">
        <v>34.508991853718904</v>
      </c>
      <c r="B9567">
        <v>-122.15155692214999</v>
      </c>
      <c r="C9567" t="s">
        <v>25</v>
      </c>
      <c r="D9567">
        <v>1.1135559483287201</v>
      </c>
      <c r="E9567">
        <v>2</v>
      </c>
      <c r="F9567">
        <v>3227</v>
      </c>
      <c r="G9567">
        <v>5</v>
      </c>
      <c r="H9567">
        <v>3</v>
      </c>
      <c r="I9567">
        <v>1954</v>
      </c>
      <c r="J9567">
        <v>0</v>
      </c>
      <c r="K9567">
        <v>0</v>
      </c>
      <c r="L9567">
        <v>0</v>
      </c>
      <c r="M9567">
        <v>7</v>
      </c>
      <c r="N9567" t="s">
        <v>35</v>
      </c>
      <c r="O9567" t="s">
        <v>32</v>
      </c>
      <c r="P9567">
        <v>4.8015141377190496</v>
      </c>
      <c r="Q9567">
        <v>1.12131760729885</v>
      </c>
      <c r="R9567">
        <v>9.9195955640039006</v>
      </c>
      <c r="S9567">
        <v>58</v>
      </c>
      <c r="T9567">
        <v>20</v>
      </c>
      <c r="U9567">
        <v>847.24355472608499</v>
      </c>
      <c r="V9567">
        <v>2.1691973969631198E-3</v>
      </c>
      <c r="W9567">
        <v>2881288.4853497199</v>
      </c>
      <c r="X9567" t="s">
        <v>38</v>
      </c>
      <c r="Y9567">
        <f>1-825-438-8744</f>
        <v>-10006</v>
      </c>
    </row>
    <row r="9568" spans="1:25" x14ac:dyDescent="0.35">
      <c r="A9568">
        <v>34.323983428143997</v>
      </c>
      <c r="B9568">
        <v>-122.16367905783299</v>
      </c>
      <c r="C9568" t="s">
        <v>29</v>
      </c>
      <c r="D9568">
        <v>49.782430145935201</v>
      </c>
      <c r="E9568">
        <v>7</v>
      </c>
      <c r="F9568">
        <v>1793</v>
      </c>
      <c r="G9568">
        <v>2</v>
      </c>
      <c r="H9568">
        <v>1</v>
      </c>
      <c r="I9568">
        <v>1960</v>
      </c>
      <c r="J9568">
        <v>1</v>
      </c>
      <c r="K9568">
        <v>1</v>
      </c>
      <c r="L9568">
        <v>1</v>
      </c>
      <c r="M9568">
        <v>7</v>
      </c>
      <c r="N9568" t="s">
        <v>41</v>
      </c>
      <c r="O9568" t="s">
        <v>32</v>
      </c>
      <c r="P9568">
        <v>4.3640056940658098</v>
      </c>
      <c r="Q9568">
        <v>2.3385368075827202</v>
      </c>
      <c r="R9568">
        <v>4.7980967065433902</v>
      </c>
      <c r="S9568">
        <v>159</v>
      </c>
      <c r="T9568">
        <v>32</v>
      </c>
      <c r="U9568">
        <v>321.74559695088197</v>
      </c>
      <c r="V9568">
        <v>3.9040713887339598E-3</v>
      </c>
      <c r="W9568">
        <v>914524.12630745303</v>
      </c>
      <c r="X9568" t="s">
        <v>43</v>
      </c>
      <c r="Y9568">
        <f>1-308-779-3090</f>
        <v>-4176</v>
      </c>
    </row>
    <row r="9569" spans="1:25" x14ac:dyDescent="0.35">
      <c r="A9569">
        <v>39.881605076463998</v>
      </c>
      <c r="B9569">
        <v>-115.40100825322401</v>
      </c>
      <c r="C9569" t="s">
        <v>25</v>
      </c>
      <c r="D9569">
        <v>16.1433635761015</v>
      </c>
      <c r="E9569">
        <v>1</v>
      </c>
      <c r="F9569">
        <v>3313</v>
      </c>
      <c r="G9569">
        <v>4</v>
      </c>
      <c r="H9569">
        <v>2</v>
      </c>
      <c r="I9569">
        <v>2009</v>
      </c>
      <c r="J9569">
        <v>0</v>
      </c>
      <c r="K9569">
        <v>1</v>
      </c>
      <c r="L9569">
        <v>0</v>
      </c>
      <c r="M9569">
        <v>10</v>
      </c>
      <c r="N9569" t="s">
        <v>26</v>
      </c>
      <c r="O9569" t="s">
        <v>32</v>
      </c>
      <c r="P9569">
        <v>4.4834950255496899</v>
      </c>
      <c r="Q9569">
        <v>0.76284411381617301</v>
      </c>
      <c r="R9569">
        <v>5.1766261300203</v>
      </c>
      <c r="S9569">
        <v>131</v>
      </c>
      <c r="T9569">
        <v>39</v>
      </c>
      <c r="U9569">
        <v>581.86181236699804</v>
      </c>
      <c r="V9569">
        <v>3.0184123151222402E-3</v>
      </c>
      <c r="W9569">
        <v>2283733.81526986</v>
      </c>
      <c r="X9569" t="s">
        <v>38</v>
      </c>
      <c r="Y9569">
        <f>1-431-378-3049</f>
        <v>-3857</v>
      </c>
    </row>
    <row r="9570" spans="1:25" x14ac:dyDescent="0.35">
      <c r="A9570">
        <v>36.5995839326661</v>
      </c>
      <c r="B9570">
        <v>-118.47518887735301</v>
      </c>
      <c r="C9570" t="s">
        <v>29</v>
      </c>
      <c r="D9570">
        <v>49.754939679282302</v>
      </c>
      <c r="E9570">
        <v>0</v>
      </c>
      <c r="F9570">
        <v>1177</v>
      </c>
      <c r="G9570">
        <v>1</v>
      </c>
      <c r="H9570">
        <v>1</v>
      </c>
      <c r="I9570">
        <v>2019</v>
      </c>
      <c r="J9570">
        <v>1</v>
      </c>
      <c r="K9570">
        <v>0</v>
      </c>
      <c r="L9570">
        <v>0</v>
      </c>
      <c r="M9570">
        <v>6</v>
      </c>
      <c r="N9570" t="s">
        <v>26</v>
      </c>
      <c r="O9570" t="s">
        <v>32</v>
      </c>
      <c r="P9570">
        <v>3.0272678287015902</v>
      </c>
      <c r="Q9570">
        <v>1.8004639447515101</v>
      </c>
      <c r="R9570">
        <v>5.02090865803829</v>
      </c>
      <c r="S9570">
        <v>32</v>
      </c>
      <c r="T9570">
        <v>41</v>
      </c>
      <c r="U9570">
        <v>660.04132113367996</v>
      </c>
      <c r="V9570">
        <v>5.0977060322854699E-3</v>
      </c>
      <c r="W9570">
        <v>827473.10276978905</v>
      </c>
      <c r="X9570" t="s">
        <v>33</v>
      </c>
      <c r="Y9570">
        <f>1-435-727-2630</f>
        <v>-3791</v>
      </c>
    </row>
    <row r="9571" spans="1:25" x14ac:dyDescent="0.35">
      <c r="A9571">
        <v>41.371607216544199</v>
      </c>
      <c r="B9571">
        <v>-117.651723593412</v>
      </c>
      <c r="C9571" t="s">
        <v>34</v>
      </c>
      <c r="D9571">
        <v>14.8492747939291</v>
      </c>
      <c r="E9571">
        <v>0</v>
      </c>
      <c r="F9571">
        <v>3778</v>
      </c>
      <c r="G9571">
        <v>3</v>
      </c>
      <c r="H9571">
        <v>1</v>
      </c>
      <c r="I9571">
        <v>1959</v>
      </c>
      <c r="J9571">
        <v>1</v>
      </c>
      <c r="K9571">
        <v>0</v>
      </c>
      <c r="L9571">
        <v>1</v>
      </c>
      <c r="M9571">
        <v>13</v>
      </c>
      <c r="N9571" t="s">
        <v>37</v>
      </c>
      <c r="O9571" t="s">
        <v>30</v>
      </c>
      <c r="P9571">
        <v>11.411058289570899</v>
      </c>
      <c r="Q9571">
        <v>1.3662216336075499</v>
      </c>
      <c r="R9571">
        <v>0.21736348191295299</v>
      </c>
      <c r="S9571">
        <v>8</v>
      </c>
      <c r="T9571">
        <v>64</v>
      </c>
      <c r="U9571">
        <v>851.93577149035696</v>
      </c>
      <c r="V9571">
        <v>3.4409740603493898E-3</v>
      </c>
      <c r="W9571">
        <v>3504531.53138371</v>
      </c>
      <c r="X9571" t="s">
        <v>40</v>
      </c>
      <c r="Y9571">
        <f>1-971-402-2269</f>
        <v>-3641</v>
      </c>
    </row>
    <row r="9572" spans="1:25" x14ac:dyDescent="0.35">
      <c r="A9572">
        <v>35.825150277774597</v>
      </c>
      <c r="B9572">
        <v>-123.39382509573301</v>
      </c>
      <c r="C9572" t="s">
        <v>34</v>
      </c>
      <c r="D9572">
        <v>29.096705364551202</v>
      </c>
      <c r="E9572">
        <v>6</v>
      </c>
      <c r="F9572">
        <v>753</v>
      </c>
      <c r="G9572">
        <v>5</v>
      </c>
      <c r="H9572">
        <v>1</v>
      </c>
      <c r="I9572">
        <v>1992</v>
      </c>
      <c r="J9572">
        <v>1</v>
      </c>
      <c r="K9572">
        <v>1</v>
      </c>
      <c r="L9572">
        <v>0</v>
      </c>
      <c r="M9572">
        <v>14</v>
      </c>
      <c r="N9572" t="s">
        <v>35</v>
      </c>
      <c r="O9572" t="s">
        <v>32</v>
      </c>
      <c r="P9572">
        <v>7.8192679127902203</v>
      </c>
      <c r="Q9572">
        <v>1.5480470657509899</v>
      </c>
      <c r="R9572">
        <v>1.2972591935770701</v>
      </c>
      <c r="S9572">
        <v>30</v>
      </c>
      <c r="T9572">
        <v>23</v>
      </c>
      <c r="U9572">
        <v>692.71379692851804</v>
      </c>
      <c r="V9572">
        <v>1.8592297476759601E-2</v>
      </c>
      <c r="W9572">
        <v>1090626.5498708601</v>
      </c>
      <c r="X9572" t="s">
        <v>28</v>
      </c>
      <c r="Y9572">
        <f>1-245-987-5603</f>
        <v>-6834</v>
      </c>
    </row>
    <row r="9573" spans="1:25" x14ac:dyDescent="0.35">
      <c r="A9573">
        <v>40.6091351423647</v>
      </c>
      <c r="B9573">
        <v>-118.23358109893999</v>
      </c>
      <c r="C9573" t="s">
        <v>25</v>
      </c>
      <c r="D9573">
        <v>25.551560269981199</v>
      </c>
      <c r="E9573">
        <v>4</v>
      </c>
      <c r="F9573">
        <v>3584</v>
      </c>
      <c r="G9573">
        <v>5</v>
      </c>
      <c r="H9573">
        <v>1</v>
      </c>
      <c r="I9573">
        <v>2007</v>
      </c>
      <c r="J9573">
        <v>0</v>
      </c>
      <c r="K9573">
        <v>1</v>
      </c>
      <c r="L9573">
        <v>0</v>
      </c>
      <c r="M9573">
        <v>8</v>
      </c>
      <c r="N9573" t="s">
        <v>41</v>
      </c>
      <c r="O9573" t="s">
        <v>27</v>
      </c>
      <c r="P9573">
        <v>14.0991803591695</v>
      </c>
      <c r="Q9573">
        <v>2.33744683541445</v>
      </c>
      <c r="R9573">
        <v>5.1493123509764702</v>
      </c>
      <c r="S9573">
        <v>60</v>
      </c>
      <c r="T9573">
        <v>65</v>
      </c>
      <c r="U9573">
        <v>511.140937751119</v>
      </c>
      <c r="V9573">
        <v>2.2321428571428501E-3</v>
      </c>
      <c r="W9573">
        <v>2314367.1006232202</v>
      </c>
      <c r="X9573" t="s">
        <v>43</v>
      </c>
      <c r="Y9573">
        <f>1-315-187-7752</f>
        <v>-8253</v>
      </c>
    </row>
    <row r="9574" spans="1:25" x14ac:dyDescent="0.35">
      <c r="A9574">
        <v>40.729248732785301</v>
      </c>
      <c r="B9574">
        <v>-121.00247287771801</v>
      </c>
      <c r="C9574" t="s">
        <v>34</v>
      </c>
      <c r="D9574">
        <v>37.166908141324001</v>
      </c>
      <c r="E9574">
        <v>1</v>
      </c>
      <c r="F9574">
        <v>1879</v>
      </c>
      <c r="G9574">
        <v>5</v>
      </c>
      <c r="H9574">
        <v>3</v>
      </c>
      <c r="I9574">
        <v>2022</v>
      </c>
      <c r="J9574">
        <v>1</v>
      </c>
      <c r="K9574">
        <v>1</v>
      </c>
      <c r="L9574">
        <v>1</v>
      </c>
      <c r="M9574">
        <v>9</v>
      </c>
      <c r="N9574" t="s">
        <v>35</v>
      </c>
      <c r="O9574" t="s">
        <v>32</v>
      </c>
      <c r="P9574">
        <v>8.4682476002151397</v>
      </c>
      <c r="Q9574">
        <v>1.88644051681981</v>
      </c>
      <c r="R9574">
        <v>0.30421816682507902</v>
      </c>
      <c r="S9574">
        <v>90</v>
      </c>
      <c r="T9574">
        <v>61</v>
      </c>
      <c r="U9574">
        <v>546.69556064467395</v>
      </c>
      <c r="V9574">
        <v>4.7897817988291598E-3</v>
      </c>
      <c r="W9574">
        <v>1548277.7675767499</v>
      </c>
      <c r="X9574" t="s">
        <v>31</v>
      </c>
      <c r="Y9574">
        <f>1-528-208-3549</f>
        <v>-4284</v>
      </c>
    </row>
    <row r="9575" spans="1:25" x14ac:dyDescent="0.35">
      <c r="A9575">
        <v>34.8111761431527</v>
      </c>
      <c r="B9575">
        <v>-115.931468587721</v>
      </c>
      <c r="C9575" t="s">
        <v>25</v>
      </c>
      <c r="D9575">
        <v>29.8857683795048</v>
      </c>
      <c r="E9575">
        <v>3</v>
      </c>
      <c r="F9575">
        <v>3725</v>
      </c>
      <c r="G9575">
        <v>2</v>
      </c>
      <c r="H9575">
        <v>1</v>
      </c>
      <c r="I9575">
        <v>2008</v>
      </c>
      <c r="J9575">
        <v>1</v>
      </c>
      <c r="K9575">
        <v>0</v>
      </c>
      <c r="L9575">
        <v>1</v>
      </c>
      <c r="M9575">
        <v>2</v>
      </c>
      <c r="N9575" t="s">
        <v>26</v>
      </c>
      <c r="O9575" t="s">
        <v>32</v>
      </c>
      <c r="P9575">
        <v>4.2770396317278001</v>
      </c>
      <c r="Q9575">
        <v>1.9218756411549001</v>
      </c>
      <c r="R9575">
        <v>6.8865517780904</v>
      </c>
      <c r="S9575">
        <v>81</v>
      </c>
      <c r="T9575">
        <v>61</v>
      </c>
      <c r="U9575">
        <v>833.81088125642896</v>
      </c>
      <c r="V9575">
        <v>5.3691275167785197E-4</v>
      </c>
      <c r="W9575">
        <v>3287047.0438151201</v>
      </c>
      <c r="X9575" t="s">
        <v>40</v>
      </c>
      <c r="Y9575">
        <f>1-514-560-1387</f>
        <v>-2460</v>
      </c>
    </row>
    <row r="9576" spans="1:25" x14ac:dyDescent="0.35">
      <c r="A9576">
        <v>35.940486462014697</v>
      </c>
      <c r="B9576">
        <v>-119.56537012466001</v>
      </c>
      <c r="C9576" t="s">
        <v>34</v>
      </c>
      <c r="D9576">
        <v>25.360104991962999</v>
      </c>
      <c r="E9576">
        <v>2</v>
      </c>
      <c r="F9576">
        <v>4773</v>
      </c>
      <c r="G9576">
        <v>1</v>
      </c>
      <c r="H9576">
        <v>2</v>
      </c>
      <c r="I9576">
        <v>2010</v>
      </c>
      <c r="J9576">
        <v>0</v>
      </c>
      <c r="K9576">
        <v>0</v>
      </c>
      <c r="L9576">
        <v>0</v>
      </c>
      <c r="M9576">
        <v>2</v>
      </c>
      <c r="N9576" t="s">
        <v>26</v>
      </c>
      <c r="O9576" t="s">
        <v>30</v>
      </c>
      <c r="P9576">
        <v>8.7665039618701108</v>
      </c>
      <c r="Q9576">
        <v>2.1209902224209598</v>
      </c>
      <c r="R9576">
        <v>3.8173540104986001</v>
      </c>
      <c r="S9576">
        <v>137</v>
      </c>
      <c r="T9576">
        <v>42</v>
      </c>
      <c r="U9576">
        <v>515.10604829994804</v>
      </c>
      <c r="V9576">
        <v>4.1902367483762797E-4</v>
      </c>
      <c r="W9576">
        <v>2664768.4108389602</v>
      </c>
      <c r="X9576" t="s">
        <v>40</v>
      </c>
      <c r="Y9576">
        <f>1-660-280-4746</f>
        <v>-5685</v>
      </c>
    </row>
    <row r="9577" spans="1:25" x14ac:dyDescent="0.35">
      <c r="A9577">
        <v>34.578895226129397</v>
      </c>
      <c r="B9577">
        <v>-121.583952725987</v>
      </c>
      <c r="C9577" t="s">
        <v>29</v>
      </c>
      <c r="D9577">
        <v>6.4685983716845001</v>
      </c>
      <c r="E9577">
        <v>0</v>
      </c>
      <c r="F9577">
        <v>824</v>
      </c>
      <c r="G9577">
        <v>5</v>
      </c>
      <c r="H9577">
        <v>1</v>
      </c>
      <c r="I9577">
        <v>1981</v>
      </c>
      <c r="J9577">
        <v>0</v>
      </c>
      <c r="K9577">
        <v>0</v>
      </c>
      <c r="L9577">
        <v>0</v>
      </c>
      <c r="M9577">
        <v>14</v>
      </c>
      <c r="N9577" t="s">
        <v>37</v>
      </c>
      <c r="O9577" t="s">
        <v>27</v>
      </c>
      <c r="P9577">
        <v>13.3151774614785</v>
      </c>
      <c r="Q9577">
        <v>1.9389129278524899</v>
      </c>
      <c r="R9577">
        <v>3.26419870457784</v>
      </c>
      <c r="S9577">
        <v>142</v>
      </c>
      <c r="T9577">
        <v>42</v>
      </c>
      <c r="U9577">
        <v>628.70136676861705</v>
      </c>
      <c r="V9577">
        <v>1.6990291262135901E-2</v>
      </c>
      <c r="W9577">
        <v>786501.86306714104</v>
      </c>
      <c r="X9577" t="s">
        <v>38</v>
      </c>
      <c r="Y9577">
        <f>1-416-677-4739</f>
        <v>-5831</v>
      </c>
    </row>
    <row r="9578" spans="1:25" x14ac:dyDescent="0.35">
      <c r="A9578">
        <v>36.645233648176301</v>
      </c>
      <c r="B9578">
        <v>-119.769339025736</v>
      </c>
      <c r="C9578" t="s">
        <v>25</v>
      </c>
      <c r="D9578">
        <v>17.928824017517901</v>
      </c>
      <c r="E9578">
        <v>9</v>
      </c>
      <c r="F9578">
        <v>2926</v>
      </c>
      <c r="G9578">
        <v>1</v>
      </c>
      <c r="H9578">
        <v>1</v>
      </c>
      <c r="I9578">
        <v>1995</v>
      </c>
      <c r="J9578">
        <v>1</v>
      </c>
      <c r="K9578">
        <v>1</v>
      </c>
      <c r="L9578">
        <v>1</v>
      </c>
      <c r="M9578">
        <v>14</v>
      </c>
      <c r="N9578" t="s">
        <v>37</v>
      </c>
      <c r="O9578" t="s">
        <v>30</v>
      </c>
      <c r="P9578">
        <v>9.5606552091080097</v>
      </c>
      <c r="Q9578">
        <v>0.77600472889123895</v>
      </c>
      <c r="R9578">
        <v>2.1606098501816602</v>
      </c>
      <c r="S9578">
        <v>87</v>
      </c>
      <c r="T9578">
        <v>69</v>
      </c>
      <c r="U9578">
        <v>515.89913482052202</v>
      </c>
      <c r="V9578">
        <v>4.78468899521531E-3</v>
      </c>
      <c r="W9578">
        <v>1766549.1143022799</v>
      </c>
      <c r="X9578" t="s">
        <v>31</v>
      </c>
      <c r="Y9578">
        <f>1-258-744-6716</f>
        <v>-7717</v>
      </c>
    </row>
    <row r="9579" spans="1:25" x14ac:dyDescent="0.35">
      <c r="A9579">
        <v>35.023410933251398</v>
      </c>
      <c r="B9579">
        <v>-120.854958427478</v>
      </c>
      <c r="C9579" t="s">
        <v>34</v>
      </c>
      <c r="D9579">
        <v>15.1755809601517</v>
      </c>
      <c r="E9579">
        <v>5</v>
      </c>
      <c r="F9579">
        <v>958</v>
      </c>
      <c r="G9579">
        <v>2</v>
      </c>
      <c r="H9579">
        <v>1</v>
      </c>
      <c r="I9579">
        <v>2000</v>
      </c>
      <c r="J9579">
        <v>1</v>
      </c>
      <c r="K9579">
        <v>0</v>
      </c>
      <c r="L9579">
        <v>1</v>
      </c>
      <c r="M9579">
        <v>13</v>
      </c>
      <c r="N9579" t="s">
        <v>41</v>
      </c>
      <c r="O9579" t="s">
        <v>27</v>
      </c>
      <c r="P9579">
        <v>7.6019050525109604</v>
      </c>
      <c r="Q9579">
        <v>1.20999984048489</v>
      </c>
      <c r="R9579">
        <v>6.0691480040431198</v>
      </c>
      <c r="S9579">
        <v>35</v>
      </c>
      <c r="T9579">
        <v>77</v>
      </c>
      <c r="U9579">
        <v>729.99539870528599</v>
      </c>
      <c r="V9579">
        <v>1.3569937369519801E-2</v>
      </c>
      <c r="W9579">
        <v>879000.11155584105</v>
      </c>
      <c r="X9579" t="s">
        <v>28</v>
      </c>
      <c r="Y9579">
        <f>1-946-299-2791</f>
        <v>-4035</v>
      </c>
    </row>
    <row r="9580" spans="1:25" x14ac:dyDescent="0.35">
      <c r="A9580">
        <v>33.256925416859502</v>
      </c>
      <c r="B9580">
        <v>-119.654828204079</v>
      </c>
      <c r="C9580" t="s">
        <v>29</v>
      </c>
      <c r="D9580">
        <v>44.413226788600603</v>
      </c>
      <c r="E9580">
        <v>4</v>
      </c>
      <c r="F9580">
        <v>3262</v>
      </c>
      <c r="G9580">
        <v>4</v>
      </c>
      <c r="H9580">
        <v>2</v>
      </c>
      <c r="I9580">
        <v>2015</v>
      </c>
      <c r="J9580">
        <v>0</v>
      </c>
      <c r="K9580">
        <v>0</v>
      </c>
      <c r="L9580">
        <v>1</v>
      </c>
      <c r="M9580">
        <v>13</v>
      </c>
      <c r="N9580" t="s">
        <v>26</v>
      </c>
      <c r="O9580" t="s">
        <v>30</v>
      </c>
      <c r="P9580">
        <v>4.48768718146815</v>
      </c>
      <c r="Q9580">
        <v>1.72961742153353</v>
      </c>
      <c r="R9580">
        <v>0.66714673792279999</v>
      </c>
      <c r="S9580">
        <v>49</v>
      </c>
      <c r="T9580">
        <v>67</v>
      </c>
      <c r="U9580">
        <v>470.617263871506</v>
      </c>
      <c r="V9580">
        <v>3.9852851011649296E-3</v>
      </c>
      <c r="W9580">
        <v>1756586.7384251601</v>
      </c>
      <c r="X9580" t="s">
        <v>28</v>
      </c>
      <c r="Y9580">
        <f>1-629-751-1978</f>
        <v>-3357</v>
      </c>
    </row>
    <row r="9581" spans="1:25" x14ac:dyDescent="0.35">
      <c r="A9581">
        <v>39.203555880426201</v>
      </c>
      <c r="B9581">
        <v>-118.478995570435</v>
      </c>
      <c r="C9581" t="s">
        <v>25</v>
      </c>
      <c r="D9581">
        <v>25.0089099695717</v>
      </c>
      <c r="E9581">
        <v>9</v>
      </c>
      <c r="F9581">
        <v>1193</v>
      </c>
      <c r="G9581">
        <v>5</v>
      </c>
      <c r="H9581">
        <v>1</v>
      </c>
      <c r="I9581">
        <v>2018</v>
      </c>
      <c r="J9581">
        <v>1</v>
      </c>
      <c r="K9581">
        <v>1</v>
      </c>
      <c r="L9581">
        <v>0</v>
      </c>
      <c r="M9581">
        <v>4</v>
      </c>
      <c r="N9581" t="s">
        <v>37</v>
      </c>
      <c r="O9581" t="s">
        <v>32</v>
      </c>
      <c r="P9581">
        <v>8.7203138892886098</v>
      </c>
      <c r="Q9581">
        <v>2.4803293851089001</v>
      </c>
      <c r="R9581">
        <v>0.28068099532524898</v>
      </c>
      <c r="S9581">
        <v>190</v>
      </c>
      <c r="T9581">
        <v>53</v>
      </c>
      <c r="U9581">
        <v>856.61397629415296</v>
      </c>
      <c r="V9581">
        <v>3.3528918692372102E-3</v>
      </c>
      <c r="W9581">
        <v>1445198.0303213201</v>
      </c>
      <c r="X9581" t="s">
        <v>42</v>
      </c>
      <c r="Y9581">
        <f>1-889-111-9094</f>
        <v>-10093</v>
      </c>
    </row>
    <row r="9582" spans="1:25" x14ac:dyDescent="0.35">
      <c r="A9582">
        <v>39.020518122361203</v>
      </c>
      <c r="B9582">
        <v>-118.925491575512</v>
      </c>
      <c r="C9582" t="s">
        <v>34</v>
      </c>
      <c r="D9582">
        <v>22.875549327169601</v>
      </c>
      <c r="E9582">
        <v>6</v>
      </c>
      <c r="F9582">
        <v>4804</v>
      </c>
      <c r="G9582">
        <v>4</v>
      </c>
      <c r="H9582">
        <v>1</v>
      </c>
      <c r="I9582">
        <v>1983</v>
      </c>
      <c r="J9582">
        <v>1</v>
      </c>
      <c r="K9582">
        <v>0</v>
      </c>
      <c r="L9582">
        <v>1</v>
      </c>
      <c r="M9582">
        <v>12</v>
      </c>
      <c r="N9582" t="s">
        <v>41</v>
      </c>
      <c r="O9582" t="s">
        <v>32</v>
      </c>
      <c r="P9582">
        <v>3.8289836581953498</v>
      </c>
      <c r="Q9582">
        <v>0.53263909008329002</v>
      </c>
      <c r="R9582">
        <v>5.1747776556388096</v>
      </c>
      <c r="S9582">
        <v>179</v>
      </c>
      <c r="T9582">
        <v>24</v>
      </c>
      <c r="U9582">
        <v>658.14620214727495</v>
      </c>
      <c r="V9582">
        <v>2.4979184013322201E-3</v>
      </c>
      <c r="W9582">
        <v>3377551.7632197798</v>
      </c>
      <c r="X9582" t="s">
        <v>33</v>
      </c>
      <c r="Y9582">
        <f>1-302-634-3899</f>
        <v>-4834</v>
      </c>
    </row>
    <row r="9583" spans="1:25" x14ac:dyDescent="0.35">
      <c r="A9583">
        <v>32.808021610080303</v>
      </c>
      <c r="B9583">
        <v>-116.423265905904</v>
      </c>
      <c r="C9583" t="s">
        <v>29</v>
      </c>
      <c r="D9583">
        <v>10.6318509638484</v>
      </c>
      <c r="E9583">
        <v>7</v>
      </c>
      <c r="F9583">
        <v>3049</v>
      </c>
      <c r="G9583">
        <v>5</v>
      </c>
      <c r="H9583">
        <v>2</v>
      </c>
      <c r="I9583">
        <v>1970</v>
      </c>
      <c r="J9583">
        <v>1</v>
      </c>
      <c r="K9583">
        <v>0</v>
      </c>
      <c r="L9583">
        <v>1</v>
      </c>
      <c r="M9583">
        <v>3</v>
      </c>
      <c r="N9583" t="s">
        <v>37</v>
      </c>
      <c r="O9583" t="s">
        <v>30</v>
      </c>
      <c r="P9583">
        <v>3.9980536216566098</v>
      </c>
      <c r="Q9583">
        <v>2.0726209679917602</v>
      </c>
      <c r="R9583">
        <v>9.1738250790789397</v>
      </c>
      <c r="S9583">
        <v>189</v>
      </c>
      <c r="T9583">
        <v>78</v>
      </c>
      <c r="U9583">
        <v>749.08582925193502</v>
      </c>
      <c r="V9583">
        <v>9.8392915710068807E-4</v>
      </c>
      <c r="W9583">
        <v>2542700.5908586099</v>
      </c>
      <c r="X9583" t="s">
        <v>42</v>
      </c>
      <c r="Y9583">
        <f>1-811-114-7336</f>
        <v>-8260</v>
      </c>
    </row>
    <row r="9584" spans="1:25" x14ac:dyDescent="0.35">
      <c r="A9584">
        <v>38.3895916864114</v>
      </c>
      <c r="B9584">
        <v>-116.97164995385999</v>
      </c>
      <c r="C9584" t="s">
        <v>25</v>
      </c>
      <c r="D9584">
        <v>40.313324766923202</v>
      </c>
      <c r="E9584">
        <v>2</v>
      </c>
      <c r="F9584">
        <v>3895</v>
      </c>
      <c r="G9584">
        <v>2</v>
      </c>
      <c r="H9584">
        <v>1</v>
      </c>
      <c r="I9584">
        <v>2007</v>
      </c>
      <c r="J9584">
        <v>1</v>
      </c>
      <c r="K9584">
        <v>0</v>
      </c>
      <c r="L9584">
        <v>1</v>
      </c>
      <c r="M9584">
        <v>3</v>
      </c>
      <c r="N9584" t="s">
        <v>37</v>
      </c>
      <c r="O9584" t="s">
        <v>27</v>
      </c>
      <c r="P9584">
        <v>5.3463674706594499</v>
      </c>
      <c r="Q9584">
        <v>0.99284453568136899</v>
      </c>
      <c r="R9584">
        <v>4.0970927080565298</v>
      </c>
      <c r="S9584">
        <v>90</v>
      </c>
      <c r="T9584">
        <v>31</v>
      </c>
      <c r="U9584">
        <v>700.17067067338803</v>
      </c>
      <c r="V9584">
        <v>7.7021822849807401E-4</v>
      </c>
      <c r="W9584">
        <v>2902513.82998004</v>
      </c>
      <c r="X9584" t="s">
        <v>42</v>
      </c>
      <c r="Y9584">
        <f>1-869-387-6039</f>
        <v>-7294</v>
      </c>
    </row>
    <row r="9585" spans="1:25" x14ac:dyDescent="0.35">
      <c r="A9585">
        <v>33.655954303561003</v>
      </c>
      <c r="B9585">
        <v>-119.22957272755001</v>
      </c>
      <c r="C9585" t="s">
        <v>29</v>
      </c>
      <c r="D9585">
        <v>27.449043515707299</v>
      </c>
      <c r="E9585">
        <v>2</v>
      </c>
      <c r="F9585">
        <v>3355</v>
      </c>
      <c r="G9585">
        <v>2</v>
      </c>
      <c r="H9585">
        <v>2</v>
      </c>
      <c r="I9585">
        <v>1962</v>
      </c>
      <c r="J9585">
        <v>0</v>
      </c>
      <c r="K9585">
        <v>0</v>
      </c>
      <c r="L9585">
        <v>0</v>
      </c>
      <c r="M9585">
        <v>6</v>
      </c>
      <c r="N9585" t="s">
        <v>37</v>
      </c>
      <c r="O9585" t="s">
        <v>32</v>
      </c>
      <c r="P9585">
        <v>2.5785129303877699</v>
      </c>
      <c r="Q9585">
        <v>0.79619453918834404</v>
      </c>
      <c r="R9585">
        <v>8.2658573940255202</v>
      </c>
      <c r="S9585">
        <v>7</v>
      </c>
      <c r="T9585">
        <v>57</v>
      </c>
      <c r="U9585">
        <v>251.738727484924</v>
      </c>
      <c r="V9585">
        <v>1.78837555886736E-3</v>
      </c>
      <c r="W9585">
        <v>922407.712899126</v>
      </c>
      <c r="X9585" t="s">
        <v>42</v>
      </c>
      <c r="Y9585">
        <f>1-227-665-1454</f>
        <v>-2345</v>
      </c>
    </row>
    <row r="9586" spans="1:25" x14ac:dyDescent="0.35">
      <c r="A9586">
        <v>41.4496720669488</v>
      </c>
      <c r="B9586">
        <v>-115.23561025019799</v>
      </c>
      <c r="C9586" t="s">
        <v>25</v>
      </c>
      <c r="D9586">
        <v>14.381415600270801</v>
      </c>
      <c r="E9586">
        <v>8</v>
      </c>
      <c r="F9586">
        <v>1620</v>
      </c>
      <c r="G9586">
        <v>2</v>
      </c>
      <c r="H9586">
        <v>3</v>
      </c>
      <c r="I9586">
        <v>1957</v>
      </c>
      <c r="J9586">
        <v>0</v>
      </c>
      <c r="K9586">
        <v>0</v>
      </c>
      <c r="L9586">
        <v>1</v>
      </c>
      <c r="M9586">
        <v>3</v>
      </c>
      <c r="N9586" t="s">
        <v>35</v>
      </c>
      <c r="O9586" t="s">
        <v>30</v>
      </c>
      <c r="P9586">
        <v>7.2708471338828904</v>
      </c>
      <c r="Q9586">
        <v>2.44631405217222</v>
      </c>
      <c r="R9586">
        <v>9.6858433931806598</v>
      </c>
      <c r="S9586">
        <v>68</v>
      </c>
      <c r="T9586">
        <v>24</v>
      </c>
      <c r="U9586">
        <v>800.860203457544</v>
      </c>
      <c r="V9586">
        <v>1.85185185185185E-3</v>
      </c>
      <c r="W9586">
        <v>1396411.3634901301</v>
      </c>
      <c r="X9586" t="s">
        <v>40</v>
      </c>
      <c r="Y9586">
        <f>1-592-828-1915</f>
        <v>-3334</v>
      </c>
    </row>
    <row r="9587" spans="1:25" x14ac:dyDescent="0.35">
      <c r="A9587">
        <v>34.941649983018998</v>
      </c>
      <c r="B9587">
        <v>-122.49502686806299</v>
      </c>
      <c r="C9587" t="s">
        <v>25</v>
      </c>
      <c r="D9587">
        <v>29.8226764989721</v>
      </c>
      <c r="E9587">
        <v>0</v>
      </c>
      <c r="F9587">
        <v>1076</v>
      </c>
      <c r="G9587">
        <v>3</v>
      </c>
      <c r="H9587">
        <v>2</v>
      </c>
      <c r="I9587">
        <v>1994</v>
      </c>
      <c r="J9587">
        <v>1</v>
      </c>
      <c r="K9587">
        <v>1</v>
      </c>
      <c r="L9587">
        <v>0</v>
      </c>
      <c r="M9587">
        <v>9</v>
      </c>
      <c r="N9587" t="s">
        <v>26</v>
      </c>
      <c r="O9587" t="s">
        <v>32</v>
      </c>
      <c r="P9587">
        <v>9.7095503603528197</v>
      </c>
      <c r="Q9587">
        <v>0.66159002829788105</v>
      </c>
      <c r="R9587">
        <v>9.8412101924363995</v>
      </c>
      <c r="S9587">
        <v>117</v>
      </c>
      <c r="T9587">
        <v>68</v>
      </c>
      <c r="U9587">
        <v>761.31908487077203</v>
      </c>
      <c r="V9587">
        <v>8.36431226765799E-3</v>
      </c>
      <c r="W9587">
        <v>1166026.97673757</v>
      </c>
      <c r="X9587" t="s">
        <v>31</v>
      </c>
      <c r="Y9587">
        <f>1-341-693-3340</f>
        <v>-4373</v>
      </c>
    </row>
    <row r="9588" spans="1:25" x14ac:dyDescent="0.35">
      <c r="A9588">
        <v>33.548679688218598</v>
      </c>
      <c r="B9588">
        <v>-114.970970814534</v>
      </c>
      <c r="C9588" t="s">
        <v>34</v>
      </c>
      <c r="D9588">
        <v>18.4939436665233</v>
      </c>
      <c r="E9588">
        <v>8</v>
      </c>
      <c r="F9588">
        <v>1341</v>
      </c>
      <c r="G9588">
        <v>2</v>
      </c>
      <c r="H9588">
        <v>1</v>
      </c>
      <c r="I9588">
        <v>2016</v>
      </c>
      <c r="J9588">
        <v>1</v>
      </c>
      <c r="K9588">
        <v>0</v>
      </c>
      <c r="L9588">
        <v>0</v>
      </c>
      <c r="M9588">
        <v>12</v>
      </c>
      <c r="N9588" t="s">
        <v>26</v>
      </c>
      <c r="O9588" t="s">
        <v>30</v>
      </c>
      <c r="P9588">
        <v>2.1079152504766401</v>
      </c>
      <c r="Q9588">
        <v>2.4598026455306501</v>
      </c>
      <c r="R9588">
        <v>9.8272992868538704</v>
      </c>
      <c r="S9588">
        <v>12</v>
      </c>
      <c r="T9588">
        <v>61</v>
      </c>
      <c r="U9588">
        <v>568.16386689172805</v>
      </c>
      <c r="V9588">
        <v>8.9485458612975303E-3</v>
      </c>
      <c r="W9588">
        <v>997352.69988231605</v>
      </c>
      <c r="X9588" t="s">
        <v>31</v>
      </c>
      <c r="Y9588">
        <f>1-497-809-7735</f>
        <v>-9040</v>
      </c>
    </row>
    <row r="9589" spans="1:25" x14ac:dyDescent="0.35">
      <c r="A9589">
        <v>33.887562451313897</v>
      </c>
      <c r="B9589">
        <v>-121.43737304728199</v>
      </c>
      <c r="C9589" t="s">
        <v>29</v>
      </c>
      <c r="D9589">
        <v>34.9511093955796</v>
      </c>
      <c r="E9589">
        <v>9</v>
      </c>
      <c r="F9589">
        <v>2891</v>
      </c>
      <c r="G9589">
        <v>4</v>
      </c>
      <c r="H9589">
        <v>3</v>
      </c>
      <c r="I9589">
        <v>1954</v>
      </c>
      <c r="J9589">
        <v>1</v>
      </c>
      <c r="K9589">
        <v>1</v>
      </c>
      <c r="L9589">
        <v>0</v>
      </c>
      <c r="M9589">
        <v>7</v>
      </c>
      <c r="N9589" t="s">
        <v>37</v>
      </c>
      <c r="O9589" t="s">
        <v>30</v>
      </c>
      <c r="P9589">
        <v>11.2405895523969</v>
      </c>
      <c r="Q9589">
        <v>1.5022371801594001</v>
      </c>
      <c r="R9589">
        <v>2.67470874980744</v>
      </c>
      <c r="S9589">
        <v>121</v>
      </c>
      <c r="T9589">
        <v>57</v>
      </c>
      <c r="U9589">
        <v>304.650344213354</v>
      </c>
      <c r="V9589">
        <v>2.4213075060532602E-3</v>
      </c>
      <c r="W9589">
        <v>1248804.8752933899</v>
      </c>
      <c r="X9589" t="s">
        <v>39</v>
      </c>
      <c r="Y9589">
        <f>1-990-919-4031</f>
        <v>-5939</v>
      </c>
    </row>
    <row r="9590" spans="1:25" x14ac:dyDescent="0.35">
      <c r="A9590">
        <v>34.549536849744598</v>
      </c>
      <c r="B9590">
        <v>-122.175936169401</v>
      </c>
      <c r="C9590" t="s">
        <v>34</v>
      </c>
      <c r="D9590">
        <v>19.211789895853599</v>
      </c>
      <c r="E9590">
        <v>9</v>
      </c>
      <c r="F9590">
        <v>581</v>
      </c>
      <c r="G9590">
        <v>1</v>
      </c>
      <c r="H9590">
        <v>3</v>
      </c>
      <c r="I9590">
        <v>2010</v>
      </c>
      <c r="J9590">
        <v>1</v>
      </c>
      <c r="K9590">
        <v>1</v>
      </c>
      <c r="L9590">
        <v>1</v>
      </c>
      <c r="M9590">
        <v>14</v>
      </c>
      <c r="N9590" t="s">
        <v>26</v>
      </c>
      <c r="O9590" t="s">
        <v>27</v>
      </c>
      <c r="P9590">
        <v>3.6598291399975502</v>
      </c>
      <c r="Q9590">
        <v>0.69638495348330998</v>
      </c>
      <c r="R9590">
        <v>7.0889240601713199</v>
      </c>
      <c r="S9590">
        <v>174</v>
      </c>
      <c r="T9590">
        <v>61</v>
      </c>
      <c r="U9590">
        <v>799.008003719577</v>
      </c>
      <c r="V9590">
        <v>2.40963855421686E-2</v>
      </c>
      <c r="W9590">
        <v>759968.76920312399</v>
      </c>
      <c r="X9590" t="s">
        <v>39</v>
      </c>
      <c r="Y9590">
        <f>1-621-130-5701</f>
        <v>-6451</v>
      </c>
    </row>
    <row r="9591" spans="1:25" x14ac:dyDescent="0.35">
      <c r="A9591">
        <v>33.725936493929801</v>
      </c>
      <c r="B9591">
        <v>-117.42751501149201</v>
      </c>
      <c r="C9591" t="s">
        <v>25</v>
      </c>
      <c r="D9591">
        <v>34.917308621088999</v>
      </c>
      <c r="E9591">
        <v>0</v>
      </c>
      <c r="F9591">
        <v>4997</v>
      </c>
      <c r="G9591">
        <v>5</v>
      </c>
      <c r="H9591">
        <v>1</v>
      </c>
      <c r="I9591">
        <v>2017</v>
      </c>
      <c r="J9591">
        <v>0</v>
      </c>
      <c r="K9591">
        <v>0</v>
      </c>
      <c r="L9591">
        <v>1</v>
      </c>
      <c r="M9591">
        <v>7</v>
      </c>
      <c r="N9591" t="s">
        <v>26</v>
      </c>
      <c r="O9591" t="s">
        <v>27</v>
      </c>
      <c r="P9591">
        <v>7.80580053329831</v>
      </c>
      <c r="Q9591">
        <v>2.1048365971958298</v>
      </c>
      <c r="R9591">
        <v>1.0543669290964599</v>
      </c>
      <c r="S9591">
        <v>35</v>
      </c>
      <c r="T9591">
        <v>72</v>
      </c>
      <c r="U9591">
        <v>752.56634264162301</v>
      </c>
      <c r="V9591">
        <v>1.4008405043025799E-3</v>
      </c>
      <c r="W9591">
        <v>4089980.3621826</v>
      </c>
      <c r="X9591" t="s">
        <v>39</v>
      </c>
      <c r="Y9591">
        <f>1-433-238-1733</f>
        <v>-2403</v>
      </c>
    </row>
    <row r="9592" spans="1:25" x14ac:dyDescent="0.35">
      <c r="A9592">
        <v>38.023063282576203</v>
      </c>
      <c r="B9592">
        <v>-114.002785524393</v>
      </c>
      <c r="C9592" t="s">
        <v>29</v>
      </c>
      <c r="D9592">
        <v>14.8596628610035</v>
      </c>
      <c r="E9592">
        <v>9</v>
      </c>
      <c r="F9592">
        <v>3501</v>
      </c>
      <c r="G9592">
        <v>2</v>
      </c>
      <c r="H9592">
        <v>1</v>
      </c>
      <c r="I9592">
        <v>1974</v>
      </c>
      <c r="J9592">
        <v>1</v>
      </c>
      <c r="K9592">
        <v>0</v>
      </c>
      <c r="L9592">
        <v>1</v>
      </c>
      <c r="M9592">
        <v>2</v>
      </c>
      <c r="N9592" t="s">
        <v>37</v>
      </c>
      <c r="O9592" t="s">
        <v>27</v>
      </c>
      <c r="P9592">
        <v>13.643211872129299</v>
      </c>
      <c r="Q9592">
        <v>1.0199035553565201</v>
      </c>
      <c r="R9592">
        <v>6.7781967362836797</v>
      </c>
      <c r="S9592">
        <v>34</v>
      </c>
      <c r="T9592">
        <v>47</v>
      </c>
      <c r="U9592">
        <v>390.37876654842802</v>
      </c>
      <c r="V9592">
        <v>5.71265352756355E-4</v>
      </c>
      <c r="W9592">
        <v>1551752.1915256099</v>
      </c>
      <c r="X9592" t="s">
        <v>43</v>
      </c>
      <c r="Y9592">
        <f>1-482-510-6027</f>
        <v>-7018</v>
      </c>
    </row>
    <row r="9593" spans="1:25" x14ac:dyDescent="0.35">
      <c r="A9593">
        <v>33.633313155625402</v>
      </c>
      <c r="B9593">
        <v>-122.66603970115899</v>
      </c>
      <c r="C9593" t="s">
        <v>29</v>
      </c>
      <c r="D9593">
        <v>4.4643704706191798</v>
      </c>
      <c r="E9593">
        <v>3</v>
      </c>
      <c r="F9593">
        <v>2379</v>
      </c>
      <c r="G9593">
        <v>4</v>
      </c>
      <c r="H9593">
        <v>1</v>
      </c>
      <c r="I9593">
        <v>2004</v>
      </c>
      <c r="J9593">
        <v>0</v>
      </c>
      <c r="K9593">
        <v>1</v>
      </c>
      <c r="L9593">
        <v>0</v>
      </c>
      <c r="M9593">
        <v>5</v>
      </c>
      <c r="N9593" t="s">
        <v>37</v>
      </c>
      <c r="O9593" t="s">
        <v>30</v>
      </c>
      <c r="P9593">
        <v>7.6317449573813798</v>
      </c>
      <c r="Q9593">
        <v>1.2663260892447501</v>
      </c>
      <c r="R9593">
        <v>2.4164018894838799</v>
      </c>
      <c r="S9593">
        <v>196</v>
      </c>
      <c r="T9593">
        <v>30</v>
      </c>
      <c r="U9593">
        <v>956.28359178037795</v>
      </c>
      <c r="V9593">
        <v>2.10172341319882E-3</v>
      </c>
      <c r="W9593">
        <v>2468807.96452063</v>
      </c>
      <c r="X9593" t="s">
        <v>38</v>
      </c>
      <c r="Y9593">
        <f>1-869-614-1599</f>
        <v>-3081</v>
      </c>
    </row>
    <row r="9594" spans="1:25" x14ac:dyDescent="0.35">
      <c r="A9594">
        <v>39.368357427146698</v>
      </c>
      <c r="B9594">
        <v>-114.961236180882</v>
      </c>
      <c r="C9594" t="s">
        <v>25</v>
      </c>
      <c r="D9594">
        <v>27.966355578065102</v>
      </c>
      <c r="E9594">
        <v>1</v>
      </c>
      <c r="F9594">
        <v>1089</v>
      </c>
      <c r="G9594">
        <v>1</v>
      </c>
      <c r="H9594">
        <v>2</v>
      </c>
      <c r="I9594">
        <v>1970</v>
      </c>
      <c r="J9594">
        <v>1</v>
      </c>
      <c r="K9594">
        <v>0</v>
      </c>
      <c r="L9594">
        <v>1</v>
      </c>
      <c r="M9594">
        <v>5</v>
      </c>
      <c r="N9594" t="s">
        <v>35</v>
      </c>
      <c r="O9594" t="s">
        <v>32</v>
      </c>
      <c r="P9594">
        <v>10.618157790061501</v>
      </c>
      <c r="Q9594">
        <v>2.08770435521784</v>
      </c>
      <c r="R9594">
        <v>3.3109444525420302</v>
      </c>
      <c r="S9594">
        <v>149</v>
      </c>
      <c r="T9594">
        <v>63</v>
      </c>
      <c r="U9594">
        <v>731.43281008054998</v>
      </c>
      <c r="V9594">
        <v>4.5913682277318596E-3</v>
      </c>
      <c r="W9594">
        <v>945583.07746278599</v>
      </c>
      <c r="X9594" t="s">
        <v>42</v>
      </c>
      <c r="Y9594">
        <f>1-622-883-5988</f>
        <v>-7492</v>
      </c>
    </row>
    <row r="9595" spans="1:25" x14ac:dyDescent="0.35">
      <c r="A9595">
        <v>41.737108973636701</v>
      </c>
      <c r="B9595">
        <v>-120.870933384792</v>
      </c>
      <c r="C9595" t="s">
        <v>25</v>
      </c>
      <c r="D9595">
        <v>45.339737340010899</v>
      </c>
      <c r="E9595">
        <v>4</v>
      </c>
      <c r="F9595">
        <v>2744</v>
      </c>
      <c r="G9595">
        <v>4</v>
      </c>
      <c r="H9595">
        <v>1</v>
      </c>
      <c r="I9595">
        <v>1959</v>
      </c>
      <c r="J9595">
        <v>0</v>
      </c>
      <c r="K9595">
        <v>0</v>
      </c>
      <c r="L9595">
        <v>0</v>
      </c>
      <c r="M9595">
        <v>2</v>
      </c>
      <c r="N9595" t="s">
        <v>41</v>
      </c>
      <c r="O9595" t="s">
        <v>27</v>
      </c>
      <c r="P9595">
        <v>8.7566602392168793</v>
      </c>
      <c r="Q9595">
        <v>1.9562636458715801</v>
      </c>
      <c r="R9595">
        <v>0.52531401824812896</v>
      </c>
      <c r="S9595">
        <v>150</v>
      </c>
      <c r="T9595">
        <v>51</v>
      </c>
      <c r="U9595">
        <v>593.449663457822</v>
      </c>
      <c r="V9595">
        <v>7.2886297376093196E-4</v>
      </c>
      <c r="W9595">
        <v>1822575.2663804099</v>
      </c>
      <c r="X9595" t="s">
        <v>31</v>
      </c>
      <c r="Y9595">
        <f>1-367-159-3014</f>
        <v>-3539</v>
      </c>
    </row>
    <row r="9596" spans="1:25" x14ac:dyDescent="0.35">
      <c r="A9596">
        <v>32.663765967302098</v>
      </c>
      <c r="B9596">
        <v>-118.371668622166</v>
      </c>
      <c r="C9596" t="s">
        <v>25</v>
      </c>
      <c r="D9596">
        <v>33.161526705957101</v>
      </c>
      <c r="E9596">
        <v>6</v>
      </c>
      <c r="F9596">
        <v>4212</v>
      </c>
      <c r="G9596">
        <v>5</v>
      </c>
      <c r="H9596">
        <v>2</v>
      </c>
      <c r="I9596">
        <v>1987</v>
      </c>
      <c r="J9596">
        <v>0</v>
      </c>
      <c r="K9596">
        <v>0</v>
      </c>
      <c r="L9596">
        <v>1</v>
      </c>
      <c r="M9596">
        <v>9</v>
      </c>
      <c r="N9596" t="s">
        <v>41</v>
      </c>
      <c r="O9596" t="s">
        <v>32</v>
      </c>
      <c r="P9596">
        <v>2.48438069714777</v>
      </c>
      <c r="Q9596">
        <v>0.52644931046862198</v>
      </c>
      <c r="R9596">
        <v>7.2175444662918098</v>
      </c>
      <c r="S9596">
        <v>75</v>
      </c>
      <c r="T9596">
        <v>76</v>
      </c>
      <c r="U9596">
        <v>440.96938223813402</v>
      </c>
      <c r="V9596">
        <v>2.13675213675213E-3</v>
      </c>
      <c r="W9596">
        <v>2089075.5322993</v>
      </c>
      <c r="X9596" t="s">
        <v>33</v>
      </c>
      <c r="Y9596">
        <f>1-420-308-3550</f>
        <v>-4277</v>
      </c>
    </row>
    <row r="9597" spans="1:25" x14ac:dyDescent="0.35">
      <c r="A9597">
        <v>41.438263068638101</v>
      </c>
      <c r="B9597">
        <v>-116.280905613154</v>
      </c>
      <c r="C9597" t="s">
        <v>29</v>
      </c>
      <c r="D9597">
        <v>15.104301824336</v>
      </c>
      <c r="E9597">
        <v>3</v>
      </c>
      <c r="F9597">
        <v>2704</v>
      </c>
      <c r="G9597">
        <v>5</v>
      </c>
      <c r="H9597">
        <v>1</v>
      </c>
      <c r="I9597">
        <v>1973</v>
      </c>
      <c r="J9597">
        <v>1</v>
      </c>
      <c r="K9597">
        <v>1</v>
      </c>
      <c r="L9597">
        <v>0</v>
      </c>
      <c r="M9597">
        <v>10</v>
      </c>
      <c r="N9597" t="s">
        <v>26</v>
      </c>
      <c r="O9597" t="s">
        <v>30</v>
      </c>
      <c r="P9597">
        <v>14.266748462441999</v>
      </c>
      <c r="Q9597">
        <v>1.4435786238955599</v>
      </c>
      <c r="R9597">
        <v>7.8087077301238299</v>
      </c>
      <c r="S9597">
        <v>165</v>
      </c>
      <c r="T9597">
        <v>50</v>
      </c>
      <c r="U9597">
        <v>430.93241283891598</v>
      </c>
      <c r="V9597">
        <v>3.6982248520710001E-3</v>
      </c>
      <c r="W9597">
        <v>1503790.0949911401</v>
      </c>
      <c r="X9597" t="s">
        <v>31</v>
      </c>
      <c r="Y9597">
        <f>1-240-189-1255</f>
        <v>-1683</v>
      </c>
    </row>
    <row r="9598" spans="1:25" x14ac:dyDescent="0.35">
      <c r="A9598">
        <v>40.053623065348603</v>
      </c>
      <c r="B9598">
        <v>-114.057647575649</v>
      </c>
      <c r="C9598" t="s">
        <v>25</v>
      </c>
      <c r="D9598">
        <v>45.4260685094482</v>
      </c>
      <c r="E9598">
        <v>5</v>
      </c>
      <c r="F9598">
        <v>2030</v>
      </c>
      <c r="G9598">
        <v>1</v>
      </c>
      <c r="H9598">
        <v>2</v>
      </c>
      <c r="I9598">
        <v>1965</v>
      </c>
      <c r="J9598">
        <v>1</v>
      </c>
      <c r="K9598">
        <v>1</v>
      </c>
      <c r="L9598">
        <v>1</v>
      </c>
      <c r="M9598">
        <v>3</v>
      </c>
      <c r="N9598" t="s">
        <v>37</v>
      </c>
      <c r="O9598" t="s">
        <v>30</v>
      </c>
      <c r="P9598">
        <v>9.6436189955122504</v>
      </c>
      <c r="Q9598">
        <v>2.3799841317634498</v>
      </c>
      <c r="R9598">
        <v>4.1280164020762298</v>
      </c>
      <c r="S9598">
        <v>95</v>
      </c>
      <c r="T9598">
        <v>54</v>
      </c>
      <c r="U9598">
        <v>453.922680286961</v>
      </c>
      <c r="V9598">
        <v>1.47783251231527E-3</v>
      </c>
      <c r="W9598">
        <v>1193517.7956918301</v>
      </c>
      <c r="X9598" t="s">
        <v>39</v>
      </c>
      <c r="Y9598">
        <f>1-639-386-2934</f>
        <v>-3958</v>
      </c>
    </row>
    <row r="9599" spans="1:25" x14ac:dyDescent="0.35">
      <c r="A9599">
        <v>41.293573236579903</v>
      </c>
      <c r="B9599">
        <v>-122.282707215915</v>
      </c>
      <c r="C9599" t="s">
        <v>25</v>
      </c>
      <c r="D9599">
        <v>33.356363332767998</v>
      </c>
      <c r="E9599">
        <v>3</v>
      </c>
      <c r="F9599">
        <v>3143</v>
      </c>
      <c r="G9599">
        <v>1</v>
      </c>
      <c r="H9599">
        <v>3</v>
      </c>
      <c r="I9599">
        <v>2003</v>
      </c>
      <c r="J9599">
        <v>1</v>
      </c>
      <c r="K9599">
        <v>1</v>
      </c>
      <c r="L9599">
        <v>1</v>
      </c>
      <c r="M9599">
        <v>10</v>
      </c>
      <c r="N9599" t="s">
        <v>37</v>
      </c>
      <c r="O9599" t="s">
        <v>27</v>
      </c>
      <c r="P9599">
        <v>10.543298357404799</v>
      </c>
      <c r="Q9599">
        <v>0.74737573458192896</v>
      </c>
      <c r="R9599">
        <v>6.5361456176430996</v>
      </c>
      <c r="S9599">
        <v>173</v>
      </c>
      <c r="T9599">
        <v>68</v>
      </c>
      <c r="U9599">
        <v>559.68835949320203</v>
      </c>
      <c r="V9599">
        <v>3.1816735602927101E-3</v>
      </c>
      <c r="W9599">
        <v>2074914.6193773199</v>
      </c>
      <c r="X9599" t="s">
        <v>42</v>
      </c>
      <c r="Y9599">
        <f>1-762-284-4507</f>
        <v>-5552</v>
      </c>
    </row>
    <row r="9600" spans="1:25" x14ac:dyDescent="0.35">
      <c r="A9600">
        <v>41.624892056121801</v>
      </c>
      <c r="B9600">
        <v>-114.703448396345</v>
      </c>
      <c r="C9600" t="s">
        <v>25</v>
      </c>
      <c r="D9600">
        <v>27.9082704447537</v>
      </c>
      <c r="E9600">
        <v>5</v>
      </c>
      <c r="F9600">
        <v>3483</v>
      </c>
      <c r="G9600">
        <v>2</v>
      </c>
      <c r="H9600">
        <v>3</v>
      </c>
      <c r="I9600">
        <v>2006</v>
      </c>
      <c r="J9600">
        <v>0</v>
      </c>
      <c r="K9600">
        <v>0</v>
      </c>
      <c r="L9600">
        <v>1</v>
      </c>
      <c r="M9600">
        <v>8</v>
      </c>
      <c r="N9600" t="s">
        <v>35</v>
      </c>
      <c r="O9600" t="s">
        <v>32</v>
      </c>
      <c r="P9600">
        <v>10.8705211003932</v>
      </c>
      <c r="Q9600">
        <v>2.3761579998632198</v>
      </c>
      <c r="R9600">
        <v>9.1277514877134003</v>
      </c>
      <c r="S9600">
        <v>7</v>
      </c>
      <c r="T9600">
        <v>51</v>
      </c>
      <c r="U9600">
        <v>543.92860513321898</v>
      </c>
      <c r="V9600">
        <v>2.2968705139247698E-3</v>
      </c>
      <c r="W9600">
        <v>2186779.31223694</v>
      </c>
      <c r="X9600" t="s">
        <v>40</v>
      </c>
      <c r="Y9600">
        <f>1-588-325-7051</f>
        <v>-7963</v>
      </c>
    </row>
    <row r="9601" spans="1:25" x14ac:dyDescent="0.35">
      <c r="A9601">
        <v>40.2649093066834</v>
      </c>
      <c r="B9601">
        <v>-120.12175013296201</v>
      </c>
      <c r="C9601" t="s">
        <v>25</v>
      </c>
      <c r="D9601">
        <v>43.896741794306699</v>
      </c>
      <c r="E9601">
        <v>8</v>
      </c>
      <c r="F9601">
        <v>1873</v>
      </c>
      <c r="G9601">
        <v>2</v>
      </c>
      <c r="H9601">
        <v>2</v>
      </c>
      <c r="I9601">
        <v>1981</v>
      </c>
      <c r="J9601">
        <v>0</v>
      </c>
      <c r="K9601">
        <v>0</v>
      </c>
      <c r="L9601">
        <v>1</v>
      </c>
      <c r="M9601">
        <v>5</v>
      </c>
      <c r="N9601" t="s">
        <v>41</v>
      </c>
      <c r="O9601" t="s">
        <v>32</v>
      </c>
      <c r="P9601">
        <v>6.0794375334840298</v>
      </c>
      <c r="Q9601">
        <v>1.4726121192483701</v>
      </c>
      <c r="R9601">
        <v>0.31647947229219398</v>
      </c>
      <c r="S9601">
        <v>156</v>
      </c>
      <c r="T9601">
        <v>60</v>
      </c>
      <c r="U9601">
        <v>885.45749491859499</v>
      </c>
      <c r="V9601">
        <v>2.6695141484249802E-3</v>
      </c>
      <c r="W9601">
        <v>1800455.3418868601</v>
      </c>
      <c r="X9601" t="s">
        <v>31</v>
      </c>
      <c r="Y9601">
        <f>1-741-568-1505</f>
        <v>-2813</v>
      </c>
    </row>
    <row r="9602" spans="1:25" x14ac:dyDescent="0.35">
      <c r="A9602">
        <v>37.598237977548301</v>
      </c>
      <c r="B9602">
        <v>-123.66166052215701</v>
      </c>
      <c r="C9602" t="s">
        <v>25</v>
      </c>
      <c r="D9602">
        <v>37.639423642176197</v>
      </c>
      <c r="E9602">
        <v>0</v>
      </c>
      <c r="F9602">
        <v>524</v>
      </c>
      <c r="G9602">
        <v>2</v>
      </c>
      <c r="H9602">
        <v>3</v>
      </c>
      <c r="I9602">
        <v>1993</v>
      </c>
      <c r="J9602">
        <v>0</v>
      </c>
      <c r="K9602">
        <v>0</v>
      </c>
      <c r="L9602">
        <v>1</v>
      </c>
      <c r="M9602">
        <v>10</v>
      </c>
      <c r="N9602" t="s">
        <v>26</v>
      </c>
      <c r="O9602" t="s">
        <v>32</v>
      </c>
      <c r="P9602">
        <v>14.1717903589452</v>
      </c>
      <c r="Q9602">
        <v>0.75662599810228004</v>
      </c>
      <c r="R9602">
        <v>3.4929621271070901</v>
      </c>
      <c r="S9602">
        <v>42</v>
      </c>
      <c r="T9602">
        <v>65</v>
      </c>
      <c r="U9602">
        <v>480.64946308231799</v>
      </c>
      <c r="V9602">
        <v>1.90839694656488E-2</v>
      </c>
      <c r="W9602">
        <v>497184.51460635703</v>
      </c>
      <c r="X9602" t="s">
        <v>42</v>
      </c>
      <c r="Y9602">
        <f>1-561-156-5738</f>
        <v>-6454</v>
      </c>
    </row>
    <row r="9603" spans="1:25" x14ac:dyDescent="0.35">
      <c r="A9603">
        <v>39.797690607944801</v>
      </c>
      <c r="B9603">
        <v>-117.75914800074</v>
      </c>
      <c r="C9603" t="s">
        <v>34</v>
      </c>
      <c r="D9603">
        <v>2.7987921095100599</v>
      </c>
      <c r="E9603">
        <v>3</v>
      </c>
      <c r="F9603">
        <v>994</v>
      </c>
      <c r="G9603">
        <v>1</v>
      </c>
      <c r="H9603">
        <v>2</v>
      </c>
      <c r="I9603">
        <v>2010</v>
      </c>
      <c r="J9603">
        <v>1</v>
      </c>
      <c r="K9603">
        <v>1</v>
      </c>
      <c r="L9603">
        <v>0</v>
      </c>
      <c r="M9603">
        <v>7</v>
      </c>
      <c r="N9603" t="s">
        <v>41</v>
      </c>
      <c r="O9603" t="s">
        <v>27</v>
      </c>
      <c r="P9603">
        <v>5.4886656051963998</v>
      </c>
      <c r="Q9603">
        <v>1.4352009679660001</v>
      </c>
      <c r="R9603">
        <v>9.2740035208976597</v>
      </c>
      <c r="S9603">
        <v>58</v>
      </c>
      <c r="T9603">
        <v>78</v>
      </c>
      <c r="U9603">
        <v>240.101724912603</v>
      </c>
      <c r="V9603">
        <v>7.0422535211267599E-3</v>
      </c>
      <c r="W9603">
        <v>531079.33622262196</v>
      </c>
      <c r="X9603" t="s">
        <v>28</v>
      </c>
      <c r="Y9603">
        <f>1-267-279-3799</f>
        <v>-4344</v>
      </c>
    </row>
    <row r="9604" spans="1:25" x14ac:dyDescent="0.35">
      <c r="A9604">
        <v>39.917421240678699</v>
      </c>
      <c r="B9604">
        <v>-117.396397152323</v>
      </c>
      <c r="C9604" t="s">
        <v>25</v>
      </c>
      <c r="D9604">
        <v>31.0483650992904</v>
      </c>
      <c r="E9604">
        <v>7</v>
      </c>
      <c r="F9604">
        <v>3098</v>
      </c>
      <c r="G9604">
        <v>2</v>
      </c>
      <c r="H9604">
        <v>3</v>
      </c>
      <c r="I9604">
        <v>2008</v>
      </c>
      <c r="J9604">
        <v>1</v>
      </c>
      <c r="K9604">
        <v>0</v>
      </c>
      <c r="L9604">
        <v>1</v>
      </c>
      <c r="M9604">
        <v>7</v>
      </c>
      <c r="N9604" t="s">
        <v>26</v>
      </c>
      <c r="O9604" t="s">
        <v>30</v>
      </c>
      <c r="P9604">
        <v>2.9780049335991801</v>
      </c>
      <c r="Q9604">
        <v>2.2247658216240001</v>
      </c>
      <c r="R9604">
        <v>2.6637031864796801</v>
      </c>
      <c r="S9604">
        <v>3</v>
      </c>
      <c r="T9604">
        <v>71</v>
      </c>
      <c r="U9604">
        <v>333.85868283219901</v>
      </c>
      <c r="V9604">
        <v>2.2595222724338202E-3</v>
      </c>
      <c r="W9604">
        <v>1221800.52222924</v>
      </c>
      <c r="X9604" t="s">
        <v>39</v>
      </c>
      <c r="Y9604">
        <f>1-462-880-1562</f>
        <v>-2903</v>
      </c>
    </row>
    <row r="9605" spans="1:25" x14ac:dyDescent="0.35">
      <c r="A9605">
        <v>34.580342198265797</v>
      </c>
      <c r="B9605">
        <v>-116.09815630318199</v>
      </c>
      <c r="C9605" t="s">
        <v>29</v>
      </c>
      <c r="D9605">
        <v>29.4838367790856</v>
      </c>
      <c r="E9605">
        <v>9</v>
      </c>
      <c r="F9605">
        <v>970</v>
      </c>
      <c r="G9605">
        <v>5</v>
      </c>
      <c r="H9605">
        <v>1</v>
      </c>
      <c r="I9605">
        <v>1955</v>
      </c>
      <c r="J9605">
        <v>1</v>
      </c>
      <c r="K9605">
        <v>1</v>
      </c>
      <c r="L9605">
        <v>1</v>
      </c>
      <c r="M9605">
        <v>8</v>
      </c>
      <c r="N9605" t="s">
        <v>41</v>
      </c>
      <c r="O9605" t="s">
        <v>32</v>
      </c>
      <c r="P9605">
        <v>4.4953455425181099</v>
      </c>
      <c r="Q9605">
        <v>0.92487500045513804</v>
      </c>
      <c r="R9605">
        <v>6.9286934923016599</v>
      </c>
      <c r="S9605">
        <v>0</v>
      </c>
      <c r="T9605">
        <v>66</v>
      </c>
      <c r="U9605">
        <v>781.94648415954896</v>
      </c>
      <c r="V9605">
        <v>8.2474226804123696E-3</v>
      </c>
      <c r="W9605">
        <v>1264128.8852308299</v>
      </c>
      <c r="X9605" t="s">
        <v>38</v>
      </c>
      <c r="Y9605">
        <f>1-737-460-8766</f>
        <v>-9962</v>
      </c>
    </row>
    <row r="9606" spans="1:25" x14ac:dyDescent="0.35">
      <c r="A9606">
        <v>36.3279191324823</v>
      </c>
      <c r="B9606">
        <v>-119.79422462906599</v>
      </c>
      <c r="C9606" t="s">
        <v>34</v>
      </c>
      <c r="D9606">
        <v>47.492755170719001</v>
      </c>
      <c r="E9606">
        <v>1</v>
      </c>
      <c r="F9606">
        <v>1463</v>
      </c>
      <c r="G9606">
        <v>5</v>
      </c>
      <c r="H9606">
        <v>3</v>
      </c>
      <c r="I9606">
        <v>2016</v>
      </c>
      <c r="J9606">
        <v>0</v>
      </c>
      <c r="K9606">
        <v>0</v>
      </c>
      <c r="L9606">
        <v>0</v>
      </c>
      <c r="M9606">
        <v>8</v>
      </c>
      <c r="N9606" t="s">
        <v>37</v>
      </c>
      <c r="O9606" t="s">
        <v>32</v>
      </c>
      <c r="P9606">
        <v>8.0535772953777602</v>
      </c>
      <c r="Q9606">
        <v>1.9043860789193301</v>
      </c>
      <c r="R9606">
        <v>3.7135899833444501</v>
      </c>
      <c r="S9606">
        <v>102</v>
      </c>
      <c r="T9606">
        <v>25</v>
      </c>
      <c r="U9606">
        <v>784.12273290959001</v>
      </c>
      <c r="V9606">
        <v>5.4682159945317801E-3</v>
      </c>
      <c r="W9606">
        <v>1586781.6661809699</v>
      </c>
      <c r="X9606" t="s">
        <v>43</v>
      </c>
      <c r="Y9606">
        <f>1-288-826-2589</f>
        <v>-3702</v>
      </c>
    </row>
    <row r="9607" spans="1:25" x14ac:dyDescent="0.35">
      <c r="A9607">
        <v>35.044303593145401</v>
      </c>
      <c r="B9607">
        <v>-114.01456270373799</v>
      </c>
      <c r="C9607" t="s">
        <v>25</v>
      </c>
      <c r="D9607">
        <v>33.008291383441602</v>
      </c>
      <c r="E9607">
        <v>6</v>
      </c>
      <c r="F9607">
        <v>1072</v>
      </c>
      <c r="G9607">
        <v>2</v>
      </c>
      <c r="H9607">
        <v>1</v>
      </c>
      <c r="I9607">
        <v>1991</v>
      </c>
      <c r="J9607">
        <v>1</v>
      </c>
      <c r="K9607">
        <v>0</v>
      </c>
      <c r="L9607">
        <v>1</v>
      </c>
      <c r="M9607">
        <v>3</v>
      </c>
      <c r="N9607" t="s">
        <v>26</v>
      </c>
      <c r="O9607" t="s">
        <v>30</v>
      </c>
      <c r="P9607">
        <v>12.088856038389</v>
      </c>
      <c r="Q9607">
        <v>2.1950224880728899</v>
      </c>
      <c r="R9607">
        <v>2.5418594777009198</v>
      </c>
      <c r="S9607">
        <v>110</v>
      </c>
      <c r="T9607">
        <v>71</v>
      </c>
      <c r="U9607">
        <v>734.28120718787</v>
      </c>
      <c r="V9607">
        <v>2.7985074626865601E-3</v>
      </c>
      <c r="W9607">
        <v>955919.77425663499</v>
      </c>
      <c r="X9607" t="s">
        <v>39</v>
      </c>
      <c r="Y9607">
        <f>1-720-803-5118</f>
        <v>-6640</v>
      </c>
    </row>
    <row r="9608" spans="1:25" x14ac:dyDescent="0.35">
      <c r="A9608">
        <v>32.518821076932397</v>
      </c>
      <c r="B9608">
        <v>-120.042184544691</v>
      </c>
      <c r="C9608" t="s">
        <v>29</v>
      </c>
      <c r="D9608">
        <v>21.0381371757056</v>
      </c>
      <c r="E9608">
        <v>3</v>
      </c>
      <c r="F9608">
        <v>4093</v>
      </c>
      <c r="G9608">
        <v>4</v>
      </c>
      <c r="H9608">
        <v>1</v>
      </c>
      <c r="I9608">
        <v>2004</v>
      </c>
      <c r="J9608">
        <v>0</v>
      </c>
      <c r="K9608">
        <v>0</v>
      </c>
      <c r="L9608">
        <v>0</v>
      </c>
      <c r="M9608">
        <v>12</v>
      </c>
      <c r="N9608" t="s">
        <v>41</v>
      </c>
      <c r="O9608" t="s">
        <v>32</v>
      </c>
      <c r="P9608">
        <v>12.081105541775401</v>
      </c>
      <c r="Q9608">
        <v>0.89628812882770104</v>
      </c>
      <c r="R9608">
        <v>4.8527163147182701</v>
      </c>
      <c r="S9608">
        <v>146</v>
      </c>
      <c r="T9608">
        <v>49</v>
      </c>
      <c r="U9608">
        <v>470.08594931544599</v>
      </c>
      <c r="V9608">
        <v>2.9318348399706802E-3</v>
      </c>
      <c r="W9608">
        <v>2156859.39632968</v>
      </c>
      <c r="X9608" t="s">
        <v>28</v>
      </c>
      <c r="Y9608">
        <f>1-480-805-8903</f>
        <v>-10187</v>
      </c>
    </row>
    <row r="9609" spans="1:25" x14ac:dyDescent="0.35">
      <c r="A9609">
        <v>38.568343610268698</v>
      </c>
      <c r="B9609">
        <v>-121.51982577391099</v>
      </c>
      <c r="C9609" t="s">
        <v>34</v>
      </c>
      <c r="D9609">
        <v>48.392006184816701</v>
      </c>
      <c r="E9609">
        <v>2</v>
      </c>
      <c r="F9609">
        <v>3045</v>
      </c>
      <c r="G9609">
        <v>2</v>
      </c>
      <c r="H9609">
        <v>3</v>
      </c>
      <c r="I9609">
        <v>1978</v>
      </c>
      <c r="J9609">
        <v>0</v>
      </c>
      <c r="K9609">
        <v>0</v>
      </c>
      <c r="L9609">
        <v>0</v>
      </c>
      <c r="M9609">
        <v>11</v>
      </c>
      <c r="N9609" t="s">
        <v>26</v>
      </c>
      <c r="O9609" t="s">
        <v>32</v>
      </c>
      <c r="P9609">
        <v>10.987601580451299</v>
      </c>
      <c r="Q9609">
        <v>0.69064441469271498</v>
      </c>
      <c r="R9609">
        <v>5.00081773873538</v>
      </c>
      <c r="S9609">
        <v>104</v>
      </c>
      <c r="T9609">
        <v>34</v>
      </c>
      <c r="U9609">
        <v>980.08247259182599</v>
      </c>
      <c r="V9609">
        <v>3.6124794745484401E-3</v>
      </c>
      <c r="W9609">
        <v>3159030.84065024</v>
      </c>
      <c r="X9609" t="s">
        <v>28</v>
      </c>
      <c r="Y9609">
        <f>1-958-617-3403</f>
        <v>-4977</v>
      </c>
    </row>
    <row r="9610" spans="1:25" x14ac:dyDescent="0.35">
      <c r="A9610">
        <v>39.889838810286903</v>
      </c>
      <c r="B9610">
        <v>-116.087354851817</v>
      </c>
      <c r="C9610" t="s">
        <v>29</v>
      </c>
      <c r="D9610">
        <v>28.787734672812501</v>
      </c>
      <c r="E9610">
        <v>7</v>
      </c>
      <c r="F9610">
        <v>1366</v>
      </c>
      <c r="G9610">
        <v>2</v>
      </c>
      <c r="H9610">
        <v>2</v>
      </c>
      <c r="I9610">
        <v>1989</v>
      </c>
      <c r="J9610">
        <v>0</v>
      </c>
      <c r="K9610">
        <v>0</v>
      </c>
      <c r="L9610">
        <v>1</v>
      </c>
      <c r="M9610">
        <v>13</v>
      </c>
      <c r="N9610" t="s">
        <v>35</v>
      </c>
      <c r="O9610" t="s">
        <v>32</v>
      </c>
      <c r="P9610">
        <v>8.2513354236838108</v>
      </c>
      <c r="Q9610">
        <v>1.28551034337266</v>
      </c>
      <c r="R9610">
        <v>3.8894526817659001</v>
      </c>
      <c r="S9610">
        <v>64</v>
      </c>
      <c r="T9610">
        <v>53</v>
      </c>
      <c r="U9610">
        <v>489.52243998699998</v>
      </c>
      <c r="V9610">
        <v>9.5168374816983897E-3</v>
      </c>
      <c r="W9610">
        <v>854537.17472699704</v>
      </c>
      <c r="X9610" t="s">
        <v>39</v>
      </c>
      <c r="Y9610">
        <f>1-508-636-2231</f>
        <v>-3374</v>
      </c>
    </row>
    <row r="9611" spans="1:25" x14ac:dyDescent="0.35">
      <c r="A9611">
        <v>39.742765252566301</v>
      </c>
      <c r="B9611">
        <v>-116.21361811080401</v>
      </c>
      <c r="C9611" t="s">
        <v>25</v>
      </c>
      <c r="D9611">
        <v>27.6279168027345</v>
      </c>
      <c r="E9611">
        <v>8</v>
      </c>
      <c r="F9611">
        <v>1340</v>
      </c>
      <c r="G9611">
        <v>1</v>
      </c>
      <c r="H9611">
        <v>2</v>
      </c>
      <c r="I9611">
        <v>1977</v>
      </c>
      <c r="J9611">
        <v>0</v>
      </c>
      <c r="K9611">
        <v>0</v>
      </c>
      <c r="L9611">
        <v>0</v>
      </c>
      <c r="M9611">
        <v>5</v>
      </c>
      <c r="N9611" t="s">
        <v>41</v>
      </c>
      <c r="O9611" t="s">
        <v>32</v>
      </c>
      <c r="P9611">
        <v>8.4877002639680708</v>
      </c>
      <c r="Q9611">
        <v>1.5970300919401901</v>
      </c>
      <c r="R9611">
        <v>3.0862926003167601</v>
      </c>
      <c r="S9611">
        <v>70</v>
      </c>
      <c r="T9611">
        <v>41</v>
      </c>
      <c r="U9611">
        <v>339.11037618942697</v>
      </c>
      <c r="V9611">
        <v>3.7313432835820799E-3</v>
      </c>
      <c r="W9611">
        <v>646308.58232826903</v>
      </c>
      <c r="X9611" t="s">
        <v>33</v>
      </c>
      <c r="Y9611">
        <f>1-379-852-3108</f>
        <v>-4338</v>
      </c>
    </row>
    <row r="9612" spans="1:25" x14ac:dyDescent="0.35">
      <c r="A9612">
        <v>36.101431343180501</v>
      </c>
      <c r="B9612">
        <v>-114.586838222259</v>
      </c>
      <c r="C9612" t="s">
        <v>25</v>
      </c>
      <c r="D9612">
        <v>1.5762067823261601</v>
      </c>
      <c r="E9612">
        <v>5</v>
      </c>
      <c r="F9612">
        <v>3496</v>
      </c>
      <c r="G9612">
        <v>1</v>
      </c>
      <c r="H9612">
        <v>1</v>
      </c>
      <c r="I9612">
        <v>1994</v>
      </c>
      <c r="J9612">
        <v>0</v>
      </c>
      <c r="K9612">
        <v>1</v>
      </c>
      <c r="L9612">
        <v>1</v>
      </c>
      <c r="M9612">
        <v>12</v>
      </c>
      <c r="N9612" t="s">
        <v>26</v>
      </c>
      <c r="O9612" t="s">
        <v>27</v>
      </c>
      <c r="P9612">
        <v>5.8563129886567999</v>
      </c>
      <c r="Q9612">
        <v>1.3709515437420501</v>
      </c>
      <c r="R9612">
        <v>7.7712135249412597</v>
      </c>
      <c r="S9612">
        <v>197</v>
      </c>
      <c r="T9612">
        <v>51</v>
      </c>
      <c r="U9612">
        <v>935.712970359716</v>
      </c>
      <c r="V9612">
        <v>3.4324942791761999E-3</v>
      </c>
      <c r="W9612">
        <v>3423651.8381840098</v>
      </c>
      <c r="X9612" t="s">
        <v>31</v>
      </c>
      <c r="Y9612">
        <f>1-712-116-4151</f>
        <v>-4978</v>
      </c>
    </row>
    <row r="9613" spans="1:25" x14ac:dyDescent="0.35">
      <c r="A9613">
        <v>36.016213818223299</v>
      </c>
      <c r="B9613">
        <v>-123.480175719168</v>
      </c>
      <c r="C9613" t="s">
        <v>29</v>
      </c>
      <c r="D9613">
        <v>4.0034621155844903</v>
      </c>
      <c r="E9613">
        <v>9</v>
      </c>
      <c r="F9613">
        <v>3030</v>
      </c>
      <c r="G9613">
        <v>5</v>
      </c>
      <c r="H9613">
        <v>2</v>
      </c>
      <c r="I9613">
        <v>1996</v>
      </c>
      <c r="J9613">
        <v>0</v>
      </c>
      <c r="K9613">
        <v>0</v>
      </c>
      <c r="L9613">
        <v>0</v>
      </c>
      <c r="M9613">
        <v>3</v>
      </c>
      <c r="N9613" t="s">
        <v>26</v>
      </c>
      <c r="O9613" t="s">
        <v>32</v>
      </c>
      <c r="P9613">
        <v>4.3485764981234398</v>
      </c>
      <c r="Q9613">
        <v>0.60645626571475697</v>
      </c>
      <c r="R9613">
        <v>9.3626120227079994</v>
      </c>
      <c r="S9613">
        <v>16</v>
      </c>
      <c r="T9613">
        <v>53</v>
      </c>
      <c r="U9613">
        <v>240.26875437641101</v>
      </c>
      <c r="V9613">
        <v>9.9009900990098989E-4</v>
      </c>
      <c r="W9613">
        <v>1030217.62487553</v>
      </c>
      <c r="X9613" t="s">
        <v>44</v>
      </c>
      <c r="Y9613">
        <f>1-961-915-9780</f>
        <v>-11655</v>
      </c>
    </row>
    <row r="9614" spans="1:25" x14ac:dyDescent="0.35">
      <c r="A9614">
        <v>39.562409228672102</v>
      </c>
      <c r="B9614">
        <v>-124.312317857555</v>
      </c>
      <c r="C9614" t="s">
        <v>34</v>
      </c>
      <c r="D9614">
        <v>35.500071054535702</v>
      </c>
      <c r="E9614">
        <v>7</v>
      </c>
      <c r="F9614">
        <v>3394</v>
      </c>
      <c r="G9614">
        <v>1</v>
      </c>
      <c r="H9614">
        <v>1</v>
      </c>
      <c r="I9614">
        <v>1999</v>
      </c>
      <c r="J9614">
        <v>0</v>
      </c>
      <c r="K9614">
        <v>0</v>
      </c>
      <c r="L9614">
        <v>0</v>
      </c>
      <c r="M9614">
        <v>7</v>
      </c>
      <c r="N9614" t="s">
        <v>37</v>
      </c>
      <c r="O9614" t="s">
        <v>27</v>
      </c>
      <c r="P9614">
        <v>14.427526708083199</v>
      </c>
      <c r="Q9614">
        <v>1.2570807749823001</v>
      </c>
      <c r="R9614">
        <v>9.4703647933774207</v>
      </c>
      <c r="S9614">
        <v>32</v>
      </c>
      <c r="T9614">
        <v>44</v>
      </c>
      <c r="U9614">
        <v>307.038752470107</v>
      </c>
      <c r="V9614">
        <v>2.0624631703005298E-3</v>
      </c>
      <c r="W9614">
        <v>1227931.3004821499</v>
      </c>
      <c r="X9614" t="s">
        <v>42</v>
      </c>
      <c r="Y9614">
        <f>1-840-698-2646</f>
        <v>-4183</v>
      </c>
    </row>
    <row r="9615" spans="1:25" x14ac:dyDescent="0.35">
      <c r="A9615">
        <v>35.056821126565403</v>
      </c>
      <c r="B9615">
        <v>-116.008643628182</v>
      </c>
      <c r="C9615" t="s">
        <v>25</v>
      </c>
      <c r="D9615">
        <v>30.119427661831999</v>
      </c>
      <c r="E9615">
        <v>5</v>
      </c>
      <c r="F9615">
        <v>1811</v>
      </c>
      <c r="G9615">
        <v>2</v>
      </c>
      <c r="H9615">
        <v>3</v>
      </c>
      <c r="I9615">
        <v>1951</v>
      </c>
      <c r="J9615">
        <v>0</v>
      </c>
      <c r="K9615">
        <v>1</v>
      </c>
      <c r="L9615">
        <v>0</v>
      </c>
      <c r="M9615">
        <v>2</v>
      </c>
      <c r="N9615" t="s">
        <v>26</v>
      </c>
      <c r="O9615" t="s">
        <v>32</v>
      </c>
      <c r="P9615">
        <v>8.8470042137089209</v>
      </c>
      <c r="Q9615">
        <v>1.1551504942289399</v>
      </c>
      <c r="R9615">
        <v>9.7943001939281604</v>
      </c>
      <c r="S9615">
        <v>21</v>
      </c>
      <c r="T9615">
        <v>51</v>
      </c>
      <c r="U9615">
        <v>626.48126317678498</v>
      </c>
      <c r="V9615">
        <v>1.1043622308117001E-3</v>
      </c>
      <c r="W9615">
        <v>1440428.1175249</v>
      </c>
      <c r="X9615" t="s">
        <v>39</v>
      </c>
      <c r="Y9615">
        <f>1-369-856-6861</f>
        <v>-8085</v>
      </c>
    </row>
    <row r="9616" spans="1:25" x14ac:dyDescent="0.35">
      <c r="A9616">
        <v>40.455185269953702</v>
      </c>
      <c r="B9616">
        <v>-118.60588309102199</v>
      </c>
      <c r="C9616" t="s">
        <v>29</v>
      </c>
      <c r="D9616">
        <v>9.0289638920321202</v>
      </c>
      <c r="E9616">
        <v>0</v>
      </c>
      <c r="F9616">
        <v>952</v>
      </c>
      <c r="G9616">
        <v>5</v>
      </c>
      <c r="H9616">
        <v>3</v>
      </c>
      <c r="I9616">
        <v>1984</v>
      </c>
      <c r="J9616">
        <v>1</v>
      </c>
      <c r="K9616">
        <v>0</v>
      </c>
      <c r="L9616">
        <v>1</v>
      </c>
      <c r="M9616">
        <v>3</v>
      </c>
      <c r="N9616" t="s">
        <v>37</v>
      </c>
      <c r="O9616" t="s">
        <v>32</v>
      </c>
      <c r="P9616">
        <v>13.023842431949999</v>
      </c>
      <c r="Q9616">
        <v>0.63942056864715602</v>
      </c>
      <c r="R9616">
        <v>4.9008184604263798</v>
      </c>
      <c r="S9616">
        <v>34</v>
      </c>
      <c r="T9616">
        <v>61</v>
      </c>
      <c r="U9616">
        <v>767.51089761291905</v>
      </c>
      <c r="V9616">
        <v>3.1512605042016799E-3</v>
      </c>
      <c r="W9616">
        <v>1159637.58919538</v>
      </c>
      <c r="X9616" t="s">
        <v>39</v>
      </c>
      <c r="Y9616">
        <f>1-207-873-2323</f>
        <v>-3402</v>
      </c>
    </row>
    <row r="9617" spans="1:25" x14ac:dyDescent="0.35">
      <c r="A9617">
        <v>37.177484219937099</v>
      </c>
      <c r="B9617">
        <v>-114.349866422538</v>
      </c>
      <c r="C9617" t="s">
        <v>25</v>
      </c>
      <c r="D9617">
        <v>32.456552789046</v>
      </c>
      <c r="E9617">
        <v>9</v>
      </c>
      <c r="F9617">
        <v>758</v>
      </c>
      <c r="G9617">
        <v>1</v>
      </c>
      <c r="H9617">
        <v>3</v>
      </c>
      <c r="I9617">
        <v>1954</v>
      </c>
      <c r="J9617">
        <v>0</v>
      </c>
      <c r="K9617">
        <v>1</v>
      </c>
      <c r="L9617">
        <v>0</v>
      </c>
      <c r="M9617">
        <v>3</v>
      </c>
      <c r="N9617" t="s">
        <v>35</v>
      </c>
      <c r="O9617" t="s">
        <v>30</v>
      </c>
      <c r="P9617">
        <v>10.404372032003501</v>
      </c>
      <c r="Q9617">
        <v>1.7245926932689599</v>
      </c>
      <c r="R9617">
        <v>7.6546133362345703</v>
      </c>
      <c r="S9617">
        <v>8</v>
      </c>
      <c r="T9617">
        <v>78</v>
      </c>
      <c r="U9617">
        <v>325.573261634424</v>
      </c>
      <c r="V9617">
        <v>3.9577836411609502E-3</v>
      </c>
      <c r="W9617">
        <v>455245.527480244</v>
      </c>
      <c r="X9617" t="s">
        <v>44</v>
      </c>
      <c r="Y9617">
        <f>1-799-289-8401</f>
        <v>-9488</v>
      </c>
    </row>
    <row r="9618" spans="1:25" x14ac:dyDescent="0.35">
      <c r="A9618">
        <v>32.521431308927397</v>
      </c>
      <c r="B9618">
        <v>-124.16330470211901</v>
      </c>
      <c r="C9618" t="s">
        <v>25</v>
      </c>
      <c r="D9618">
        <v>4.7520344627791298</v>
      </c>
      <c r="E9618">
        <v>0</v>
      </c>
      <c r="F9618">
        <v>3723</v>
      </c>
      <c r="G9618">
        <v>3</v>
      </c>
      <c r="H9618">
        <v>3</v>
      </c>
      <c r="I9618">
        <v>1954</v>
      </c>
      <c r="J9618">
        <v>1</v>
      </c>
      <c r="K9618">
        <v>0</v>
      </c>
      <c r="L9618">
        <v>0</v>
      </c>
      <c r="M9618">
        <v>2</v>
      </c>
      <c r="N9618" t="s">
        <v>26</v>
      </c>
      <c r="O9618" t="s">
        <v>30</v>
      </c>
      <c r="P9618">
        <v>3.6321778647684799</v>
      </c>
      <c r="Q9618">
        <v>2.2471523209940201</v>
      </c>
      <c r="R9618">
        <v>3.2388619724049801</v>
      </c>
      <c r="S9618">
        <v>158</v>
      </c>
      <c r="T9618">
        <v>63</v>
      </c>
      <c r="U9618">
        <v>776.27482568086702</v>
      </c>
      <c r="V9618">
        <v>5.3720118184259996E-4</v>
      </c>
      <c r="W9618">
        <v>3037454.1263106298</v>
      </c>
      <c r="X9618" t="s">
        <v>44</v>
      </c>
      <c r="Y9618">
        <f>1-355-401-6479</f>
        <v>-7234</v>
      </c>
    </row>
    <row r="9619" spans="1:25" x14ac:dyDescent="0.35">
      <c r="A9619">
        <v>38.597315129240897</v>
      </c>
      <c r="B9619">
        <v>-115.485734461452</v>
      </c>
      <c r="C9619" t="s">
        <v>29</v>
      </c>
      <c r="D9619">
        <v>16.350551254555398</v>
      </c>
      <c r="E9619">
        <v>0</v>
      </c>
      <c r="F9619">
        <v>4626</v>
      </c>
      <c r="G9619">
        <v>4</v>
      </c>
      <c r="H9619">
        <v>3</v>
      </c>
      <c r="I9619">
        <v>1980</v>
      </c>
      <c r="J9619">
        <v>0</v>
      </c>
      <c r="K9619">
        <v>0</v>
      </c>
      <c r="L9619">
        <v>0</v>
      </c>
      <c r="M9619">
        <v>10</v>
      </c>
      <c r="N9619" t="s">
        <v>41</v>
      </c>
      <c r="O9619" t="s">
        <v>32</v>
      </c>
      <c r="P9619">
        <v>7.9439695797654002</v>
      </c>
      <c r="Q9619">
        <v>1.6815071164614099</v>
      </c>
      <c r="R9619">
        <v>1.4354036195433799</v>
      </c>
      <c r="S9619">
        <v>128</v>
      </c>
      <c r="T9619">
        <v>40</v>
      </c>
      <c r="U9619">
        <v>253.32186247516901</v>
      </c>
      <c r="V9619">
        <v>2.1616947686986599E-3</v>
      </c>
      <c r="W9619">
        <v>1510637.82952821</v>
      </c>
      <c r="X9619" t="s">
        <v>39</v>
      </c>
      <c r="Y9619">
        <f>1-440-499-3481</f>
        <v>-4419</v>
      </c>
    </row>
    <row r="9620" spans="1:25" x14ac:dyDescent="0.35">
      <c r="A9620">
        <v>39.031509526383502</v>
      </c>
      <c r="B9620">
        <v>-122.40022588989601</v>
      </c>
      <c r="C9620" t="s">
        <v>34</v>
      </c>
      <c r="D9620">
        <v>35.4618459136518</v>
      </c>
      <c r="E9620">
        <v>2</v>
      </c>
      <c r="F9620">
        <v>2129</v>
      </c>
      <c r="G9620">
        <v>4</v>
      </c>
      <c r="H9620">
        <v>1</v>
      </c>
      <c r="I9620">
        <v>2021</v>
      </c>
      <c r="J9620">
        <v>1</v>
      </c>
      <c r="K9620">
        <v>1</v>
      </c>
      <c r="L9620">
        <v>1</v>
      </c>
      <c r="M9620">
        <v>12</v>
      </c>
      <c r="N9620" t="s">
        <v>37</v>
      </c>
      <c r="O9620" t="s">
        <v>30</v>
      </c>
      <c r="P9620">
        <v>9.8401574900286892</v>
      </c>
      <c r="Q9620">
        <v>1.3768528682563099</v>
      </c>
      <c r="R9620">
        <v>4.4355772849033803</v>
      </c>
      <c r="S9620">
        <v>15</v>
      </c>
      <c r="T9620">
        <v>76</v>
      </c>
      <c r="U9620">
        <v>607.91240423388501</v>
      </c>
      <c r="V9620">
        <v>5.6364490371066198E-3</v>
      </c>
      <c r="W9620">
        <v>1869221.3103132001</v>
      </c>
      <c r="X9620" t="s">
        <v>31</v>
      </c>
      <c r="Y9620">
        <f>1-846-392-5961</f>
        <v>-7198</v>
      </c>
    </row>
    <row r="9621" spans="1:25" x14ac:dyDescent="0.35">
      <c r="A9621">
        <v>39.0302793338779</v>
      </c>
      <c r="B9621">
        <v>-116.785412855281</v>
      </c>
      <c r="C9621" t="s">
        <v>25</v>
      </c>
      <c r="D9621">
        <v>18.473571750360801</v>
      </c>
      <c r="E9621">
        <v>8</v>
      </c>
      <c r="F9621">
        <v>1152</v>
      </c>
      <c r="G9621">
        <v>1</v>
      </c>
      <c r="H9621">
        <v>2</v>
      </c>
      <c r="I9621">
        <v>1984</v>
      </c>
      <c r="J9621">
        <v>1</v>
      </c>
      <c r="K9621">
        <v>0</v>
      </c>
      <c r="L9621">
        <v>0</v>
      </c>
      <c r="M9621">
        <v>2</v>
      </c>
      <c r="N9621" t="s">
        <v>35</v>
      </c>
      <c r="O9621" t="s">
        <v>30</v>
      </c>
      <c r="P9621">
        <v>10.136483129001</v>
      </c>
      <c r="Q9621">
        <v>1.8439086284880399</v>
      </c>
      <c r="R9621">
        <v>8.3317491452052099</v>
      </c>
      <c r="S9621">
        <v>26</v>
      </c>
      <c r="T9621">
        <v>21</v>
      </c>
      <c r="U9621">
        <v>504.701202347047</v>
      </c>
      <c r="V9621">
        <v>1.7361111111111099E-3</v>
      </c>
      <c r="W9621">
        <v>741583.66592007701</v>
      </c>
      <c r="X9621" t="s">
        <v>33</v>
      </c>
      <c r="Y9621">
        <f>1-221-168-7919</f>
        <v>-8307</v>
      </c>
    </row>
    <row r="9622" spans="1:25" x14ac:dyDescent="0.35">
      <c r="A9622">
        <v>35.635604342139203</v>
      </c>
      <c r="B9622">
        <v>-114.682525160369</v>
      </c>
      <c r="C9622" t="s">
        <v>34</v>
      </c>
      <c r="D9622">
        <v>43.840621120196701</v>
      </c>
      <c r="E9622">
        <v>3</v>
      </c>
      <c r="F9622">
        <v>4977</v>
      </c>
      <c r="G9622">
        <v>2</v>
      </c>
      <c r="H9622">
        <v>1</v>
      </c>
      <c r="I9622">
        <v>1965</v>
      </c>
      <c r="J9622">
        <v>0</v>
      </c>
      <c r="K9622">
        <v>1</v>
      </c>
      <c r="L9622">
        <v>1</v>
      </c>
      <c r="M9622">
        <v>13</v>
      </c>
      <c r="N9622" t="s">
        <v>26</v>
      </c>
      <c r="O9622" t="s">
        <v>27</v>
      </c>
      <c r="P9622">
        <v>11.572513325622401</v>
      </c>
      <c r="Q9622">
        <v>1.6411294712108999</v>
      </c>
      <c r="R9622">
        <v>0.66820266645555004</v>
      </c>
      <c r="S9622">
        <v>45</v>
      </c>
      <c r="T9622">
        <v>36</v>
      </c>
      <c r="U9622">
        <v>271.47385990048298</v>
      </c>
      <c r="V9622">
        <v>2.6120152702431101E-3</v>
      </c>
      <c r="W9622">
        <v>1602126.4328141799</v>
      </c>
      <c r="X9622" t="s">
        <v>33</v>
      </c>
      <c r="Y9622">
        <f>1-747-863-1539</f>
        <v>-3148</v>
      </c>
    </row>
    <row r="9623" spans="1:25" x14ac:dyDescent="0.35">
      <c r="A9623">
        <v>38.575314535731501</v>
      </c>
      <c r="B9623">
        <v>-117.190748755233</v>
      </c>
      <c r="C9623" t="s">
        <v>25</v>
      </c>
      <c r="D9623">
        <v>25.023462448019799</v>
      </c>
      <c r="E9623">
        <v>0</v>
      </c>
      <c r="F9623">
        <v>1334</v>
      </c>
      <c r="G9623">
        <v>2</v>
      </c>
      <c r="H9623">
        <v>1</v>
      </c>
      <c r="I9623">
        <v>1991</v>
      </c>
      <c r="J9623">
        <v>0</v>
      </c>
      <c r="K9623">
        <v>1</v>
      </c>
      <c r="L9623">
        <v>0</v>
      </c>
      <c r="M9623">
        <v>6</v>
      </c>
      <c r="N9623" t="s">
        <v>35</v>
      </c>
      <c r="O9623" t="s">
        <v>32</v>
      </c>
      <c r="P9623">
        <v>5.1277650599804296</v>
      </c>
      <c r="Q9623">
        <v>0.82701130948225998</v>
      </c>
      <c r="R9623">
        <v>4.4456939486132399</v>
      </c>
      <c r="S9623">
        <v>96</v>
      </c>
      <c r="T9623">
        <v>66</v>
      </c>
      <c r="U9623">
        <v>211.02874772013499</v>
      </c>
      <c r="V9623">
        <v>4.4977511244377799E-3</v>
      </c>
      <c r="W9623">
        <v>382559.54423596698</v>
      </c>
      <c r="X9623" t="s">
        <v>31</v>
      </c>
      <c r="Y9623">
        <f>1-683-703-9270</f>
        <v>-10655</v>
      </c>
    </row>
    <row r="9624" spans="1:25" x14ac:dyDescent="0.35">
      <c r="A9624">
        <v>36.101578493414401</v>
      </c>
      <c r="B9624">
        <v>-119.42844391230599</v>
      </c>
      <c r="C9624" t="s">
        <v>29</v>
      </c>
      <c r="D9624">
        <v>18.2509413508037</v>
      </c>
      <c r="E9624">
        <v>9</v>
      </c>
      <c r="F9624">
        <v>787</v>
      </c>
      <c r="G9624">
        <v>5</v>
      </c>
      <c r="H9624">
        <v>1</v>
      </c>
      <c r="I9624">
        <v>2012</v>
      </c>
      <c r="J9624">
        <v>0</v>
      </c>
      <c r="K9624">
        <v>1</v>
      </c>
      <c r="L9624">
        <v>0</v>
      </c>
      <c r="M9624">
        <v>5</v>
      </c>
      <c r="N9624" t="s">
        <v>26</v>
      </c>
      <c r="O9624" t="s">
        <v>27</v>
      </c>
      <c r="P9624">
        <v>8.38848411376269</v>
      </c>
      <c r="Q9624">
        <v>1.04406779011746</v>
      </c>
      <c r="R9624">
        <v>1.34955022395595</v>
      </c>
      <c r="S9624">
        <v>93</v>
      </c>
      <c r="T9624">
        <v>43</v>
      </c>
      <c r="U9624">
        <v>616.53830961737901</v>
      </c>
      <c r="V9624">
        <v>6.35324015247776E-3</v>
      </c>
      <c r="W9624">
        <v>821460.07703074103</v>
      </c>
      <c r="X9624" t="s">
        <v>36</v>
      </c>
      <c r="Y9624">
        <f>1-213-346-7716</f>
        <v>-8274</v>
      </c>
    </row>
    <row r="9625" spans="1:25" x14ac:dyDescent="0.35">
      <c r="A9625">
        <v>38.020348110022901</v>
      </c>
      <c r="B9625">
        <v>-120.401906790026</v>
      </c>
      <c r="C9625" t="s">
        <v>25</v>
      </c>
      <c r="D9625">
        <v>31.6004644537228</v>
      </c>
      <c r="E9625">
        <v>2</v>
      </c>
      <c r="F9625">
        <v>799</v>
      </c>
      <c r="G9625">
        <v>1</v>
      </c>
      <c r="H9625">
        <v>1</v>
      </c>
      <c r="I9625">
        <v>1994</v>
      </c>
      <c r="J9625">
        <v>0</v>
      </c>
      <c r="K9625">
        <v>1</v>
      </c>
      <c r="L9625">
        <v>1</v>
      </c>
      <c r="M9625">
        <v>10</v>
      </c>
      <c r="N9625" t="s">
        <v>37</v>
      </c>
      <c r="O9625" t="s">
        <v>27</v>
      </c>
      <c r="P9625">
        <v>4.16517348475847</v>
      </c>
      <c r="Q9625">
        <v>2.2998939836538099</v>
      </c>
      <c r="R9625">
        <v>9.6409044860592399</v>
      </c>
      <c r="S9625">
        <v>146</v>
      </c>
      <c r="T9625">
        <v>31</v>
      </c>
      <c r="U9625">
        <v>546.57650732943796</v>
      </c>
      <c r="V9625">
        <v>1.2515644555694601E-2</v>
      </c>
      <c r="W9625">
        <v>576472.45770233904</v>
      </c>
      <c r="X9625" t="s">
        <v>31</v>
      </c>
      <c r="Y9625">
        <f>1-943-622-2698</f>
        <v>-4262</v>
      </c>
    </row>
    <row r="9626" spans="1:25" x14ac:dyDescent="0.35">
      <c r="A9626">
        <v>36.926607719501703</v>
      </c>
      <c r="B9626">
        <v>-118.84171413006401</v>
      </c>
      <c r="C9626" t="s">
        <v>29</v>
      </c>
      <c r="D9626">
        <v>24.6440950150057</v>
      </c>
      <c r="E9626">
        <v>8</v>
      </c>
      <c r="F9626">
        <v>1479</v>
      </c>
      <c r="G9626">
        <v>4</v>
      </c>
      <c r="H9626">
        <v>3</v>
      </c>
      <c r="I9626">
        <v>2011</v>
      </c>
      <c r="J9626">
        <v>1</v>
      </c>
      <c r="K9626">
        <v>0</v>
      </c>
      <c r="L9626">
        <v>0</v>
      </c>
      <c r="M9626">
        <v>8</v>
      </c>
      <c r="N9626" t="s">
        <v>41</v>
      </c>
      <c r="O9626" t="s">
        <v>32</v>
      </c>
      <c r="P9626">
        <v>12.5693918551998</v>
      </c>
      <c r="Q9626">
        <v>0.52249014269734895</v>
      </c>
      <c r="R9626">
        <v>5.0698950120745696</v>
      </c>
      <c r="S9626">
        <v>96</v>
      </c>
      <c r="T9626">
        <v>55</v>
      </c>
      <c r="U9626">
        <v>539.66566184047201</v>
      </c>
      <c r="V9626">
        <v>5.4090601757944496E-3</v>
      </c>
      <c r="W9626">
        <v>1192958.3093765101</v>
      </c>
      <c r="X9626" t="s">
        <v>31</v>
      </c>
      <c r="Y9626">
        <f>1-948-737-7007</f>
        <v>-8691</v>
      </c>
    </row>
    <row r="9627" spans="1:25" x14ac:dyDescent="0.35">
      <c r="A9627">
        <v>38.9806400754387</v>
      </c>
      <c r="B9627">
        <v>-115.12489347386899</v>
      </c>
      <c r="C9627" t="s">
        <v>25</v>
      </c>
      <c r="D9627">
        <v>20.751597958942799</v>
      </c>
      <c r="E9627">
        <v>2</v>
      </c>
      <c r="F9627">
        <v>2268</v>
      </c>
      <c r="G9627">
        <v>2</v>
      </c>
      <c r="H9627">
        <v>2</v>
      </c>
      <c r="I9627">
        <v>2018</v>
      </c>
      <c r="J9627">
        <v>1</v>
      </c>
      <c r="K9627">
        <v>0</v>
      </c>
      <c r="L9627">
        <v>0</v>
      </c>
      <c r="M9627">
        <v>3</v>
      </c>
      <c r="N9627" t="s">
        <v>41</v>
      </c>
      <c r="O9627" t="s">
        <v>27</v>
      </c>
      <c r="P9627">
        <v>2.5767931870580698</v>
      </c>
      <c r="Q9627">
        <v>1.74994682033245</v>
      </c>
      <c r="R9627">
        <v>2.8337051717745698</v>
      </c>
      <c r="S9627">
        <v>169</v>
      </c>
      <c r="T9627">
        <v>55</v>
      </c>
      <c r="U9627">
        <v>262.823347781846</v>
      </c>
      <c r="V9627">
        <v>1.3227513227513201E-3</v>
      </c>
      <c r="W9627">
        <v>731492.96751840296</v>
      </c>
      <c r="X9627" t="s">
        <v>40</v>
      </c>
      <c r="Y9627">
        <f>1-405-628-9346</f>
        <v>-10378</v>
      </c>
    </row>
    <row r="9628" spans="1:25" x14ac:dyDescent="0.35">
      <c r="A9628">
        <v>40.194861934357803</v>
      </c>
      <c r="B9628">
        <v>-123.203124310075</v>
      </c>
      <c r="C9628" t="s">
        <v>29</v>
      </c>
      <c r="D9628">
        <v>21.958551213680298</v>
      </c>
      <c r="E9628">
        <v>9</v>
      </c>
      <c r="F9628">
        <v>3004</v>
      </c>
      <c r="G9628">
        <v>2</v>
      </c>
      <c r="H9628">
        <v>1</v>
      </c>
      <c r="I9628">
        <v>2001</v>
      </c>
      <c r="J9628">
        <v>1</v>
      </c>
      <c r="K9628">
        <v>1</v>
      </c>
      <c r="L9628">
        <v>1</v>
      </c>
      <c r="M9628">
        <v>3</v>
      </c>
      <c r="N9628" t="s">
        <v>37</v>
      </c>
      <c r="O9628" t="s">
        <v>30</v>
      </c>
      <c r="P9628">
        <v>13.9377050364841</v>
      </c>
      <c r="Q9628">
        <v>2.1131528548657101</v>
      </c>
      <c r="R9628">
        <v>1.0376034580870299</v>
      </c>
      <c r="S9628">
        <v>199</v>
      </c>
      <c r="T9628">
        <v>20</v>
      </c>
      <c r="U9628">
        <v>966.51758426013896</v>
      </c>
      <c r="V9628">
        <v>9.9866844207722994E-4</v>
      </c>
      <c r="W9628">
        <v>3236143.8577079498</v>
      </c>
      <c r="X9628" t="s">
        <v>38</v>
      </c>
      <c r="Y9628">
        <f>1-451-120-2907</f>
        <v>-3477</v>
      </c>
    </row>
    <row r="9629" spans="1:25" x14ac:dyDescent="0.35">
      <c r="A9629">
        <v>38.271942054384297</v>
      </c>
      <c r="B9629">
        <v>-119.18639542142</v>
      </c>
      <c r="C9629" t="s">
        <v>25</v>
      </c>
      <c r="D9629">
        <v>49.812104985498799</v>
      </c>
      <c r="E9629">
        <v>4</v>
      </c>
      <c r="F9629">
        <v>850</v>
      </c>
      <c r="G9629">
        <v>2</v>
      </c>
      <c r="H9629">
        <v>2</v>
      </c>
      <c r="I9629">
        <v>1962</v>
      </c>
      <c r="J9629">
        <v>0</v>
      </c>
      <c r="K9629">
        <v>1</v>
      </c>
      <c r="L9629">
        <v>1</v>
      </c>
      <c r="M9629">
        <v>9</v>
      </c>
      <c r="N9629" t="s">
        <v>41</v>
      </c>
      <c r="O9629" t="s">
        <v>30</v>
      </c>
      <c r="P9629">
        <v>2.2490008680059201</v>
      </c>
      <c r="Q9629">
        <v>1.78851674430288</v>
      </c>
      <c r="R9629">
        <v>8.0228069062064602</v>
      </c>
      <c r="S9629">
        <v>157</v>
      </c>
      <c r="T9629">
        <v>47</v>
      </c>
      <c r="U9629">
        <v>805.18060853569</v>
      </c>
      <c r="V9629">
        <v>1.05882352941176E-2</v>
      </c>
      <c r="W9629">
        <v>726984.84492870804</v>
      </c>
      <c r="X9629" t="s">
        <v>40</v>
      </c>
      <c r="Y9629">
        <f>1-624-106-4331</f>
        <v>-5060</v>
      </c>
    </row>
    <row r="9630" spans="1:25" x14ac:dyDescent="0.35">
      <c r="A9630">
        <v>36.175614569899402</v>
      </c>
      <c r="B9630">
        <v>-117.166874561528</v>
      </c>
      <c r="C9630" t="s">
        <v>29</v>
      </c>
      <c r="D9630">
        <v>14.4483882752341</v>
      </c>
      <c r="E9630">
        <v>3</v>
      </c>
      <c r="F9630">
        <v>721</v>
      </c>
      <c r="G9630">
        <v>5</v>
      </c>
      <c r="H9630">
        <v>1</v>
      </c>
      <c r="I9630">
        <v>2008</v>
      </c>
      <c r="J9630">
        <v>1</v>
      </c>
      <c r="K9630">
        <v>1</v>
      </c>
      <c r="L9630">
        <v>0</v>
      </c>
      <c r="M9630">
        <v>3</v>
      </c>
      <c r="N9630" t="s">
        <v>37</v>
      </c>
      <c r="O9630" t="s">
        <v>27</v>
      </c>
      <c r="P9630">
        <v>2.0772940466315801</v>
      </c>
      <c r="Q9630">
        <v>1.52196832322849</v>
      </c>
      <c r="R9630">
        <v>2.07113443325906</v>
      </c>
      <c r="S9630">
        <v>166</v>
      </c>
      <c r="T9630">
        <v>75</v>
      </c>
      <c r="U9630">
        <v>353.68708117165897</v>
      </c>
      <c r="V9630">
        <v>4.16088765603328E-3</v>
      </c>
      <c r="W9630">
        <v>567831.756482217</v>
      </c>
      <c r="X9630" t="s">
        <v>40</v>
      </c>
      <c r="Y9630">
        <f>1-716-178-5136</f>
        <v>-6029</v>
      </c>
    </row>
    <row r="9631" spans="1:25" x14ac:dyDescent="0.35">
      <c r="A9631">
        <v>38.286051010665403</v>
      </c>
      <c r="B9631">
        <v>-118.73600387959399</v>
      </c>
      <c r="C9631" t="s">
        <v>29</v>
      </c>
      <c r="D9631">
        <v>21.744947434991499</v>
      </c>
      <c r="E9631">
        <v>4</v>
      </c>
      <c r="F9631">
        <v>2600</v>
      </c>
      <c r="G9631">
        <v>4</v>
      </c>
      <c r="H9631">
        <v>3</v>
      </c>
      <c r="I9631">
        <v>1955</v>
      </c>
      <c r="J9631">
        <v>1</v>
      </c>
      <c r="K9631">
        <v>1</v>
      </c>
      <c r="L9631">
        <v>0</v>
      </c>
      <c r="M9631">
        <v>8</v>
      </c>
      <c r="N9631" t="s">
        <v>41</v>
      </c>
      <c r="O9631" t="s">
        <v>32</v>
      </c>
      <c r="P9631">
        <v>11.7368223276093</v>
      </c>
      <c r="Q9631">
        <v>0.951682240763007</v>
      </c>
      <c r="R9631">
        <v>4.5679798218860901</v>
      </c>
      <c r="S9631">
        <v>44</v>
      </c>
      <c r="T9631">
        <v>48</v>
      </c>
      <c r="U9631">
        <v>882.751950198435</v>
      </c>
      <c r="V9631">
        <v>3.07692307692307E-3</v>
      </c>
      <c r="W9631">
        <v>2769494.6438118299</v>
      </c>
      <c r="X9631" t="s">
        <v>36</v>
      </c>
      <c r="Y9631">
        <f>1-666-817-7894</f>
        <v>-9376</v>
      </c>
    </row>
    <row r="9632" spans="1:25" x14ac:dyDescent="0.35">
      <c r="A9632">
        <v>40.315416675098099</v>
      </c>
      <c r="B9632">
        <v>-124.02629113163501</v>
      </c>
      <c r="C9632" t="s">
        <v>34</v>
      </c>
      <c r="D9632">
        <v>13.3759805903422</v>
      </c>
      <c r="E9632">
        <v>4</v>
      </c>
      <c r="F9632">
        <v>1128</v>
      </c>
      <c r="G9632">
        <v>3</v>
      </c>
      <c r="H9632">
        <v>3</v>
      </c>
      <c r="I9632">
        <v>1975</v>
      </c>
      <c r="J9632">
        <v>0</v>
      </c>
      <c r="K9632">
        <v>1</v>
      </c>
      <c r="L9632">
        <v>1</v>
      </c>
      <c r="M9632">
        <v>2</v>
      </c>
      <c r="N9632" t="s">
        <v>37</v>
      </c>
      <c r="O9632" t="s">
        <v>30</v>
      </c>
      <c r="P9632">
        <v>5.2116170684211696</v>
      </c>
      <c r="Q9632">
        <v>1.9551023695238501</v>
      </c>
      <c r="R9632">
        <v>1.42206601905257</v>
      </c>
      <c r="S9632">
        <v>178</v>
      </c>
      <c r="T9632">
        <v>31</v>
      </c>
      <c r="U9632">
        <v>273.45223897451501</v>
      </c>
      <c r="V9632">
        <v>1.77304964539007E-3</v>
      </c>
      <c r="W9632">
        <v>604785.78049280297</v>
      </c>
      <c r="X9632" t="s">
        <v>42</v>
      </c>
      <c r="Y9632">
        <f>1-340-216-7302</f>
        <v>-7857</v>
      </c>
    </row>
    <row r="9633" spans="1:25" x14ac:dyDescent="0.35">
      <c r="A9633">
        <v>38.945038752846401</v>
      </c>
      <c r="B9633">
        <v>-117.473164832477</v>
      </c>
      <c r="C9633" t="s">
        <v>34</v>
      </c>
      <c r="D9633">
        <v>45.449032080875298</v>
      </c>
      <c r="E9633">
        <v>8</v>
      </c>
      <c r="F9633">
        <v>3204</v>
      </c>
      <c r="G9633">
        <v>5</v>
      </c>
      <c r="H9633">
        <v>2</v>
      </c>
      <c r="I9633">
        <v>2010</v>
      </c>
      <c r="J9633">
        <v>1</v>
      </c>
      <c r="K9633">
        <v>0</v>
      </c>
      <c r="L9633">
        <v>0</v>
      </c>
      <c r="M9633">
        <v>3</v>
      </c>
      <c r="N9633" t="s">
        <v>35</v>
      </c>
      <c r="O9633" t="s">
        <v>30</v>
      </c>
      <c r="P9633">
        <v>10.552645021017801</v>
      </c>
      <c r="Q9633">
        <v>1.2669913741376999</v>
      </c>
      <c r="R9633">
        <v>3.9160579850062498</v>
      </c>
      <c r="S9633">
        <v>155</v>
      </c>
      <c r="T9633">
        <v>71</v>
      </c>
      <c r="U9633">
        <v>947.13123034652801</v>
      </c>
      <c r="V9633">
        <v>9.3632958801498096E-4</v>
      </c>
      <c r="W9633">
        <v>3467706.49297577</v>
      </c>
      <c r="X9633" t="s">
        <v>44</v>
      </c>
      <c r="Y9633">
        <f>1-529-577-3541</f>
        <v>-4646</v>
      </c>
    </row>
    <row r="9634" spans="1:25" x14ac:dyDescent="0.35">
      <c r="A9634">
        <v>40.967507447670499</v>
      </c>
      <c r="B9634">
        <v>-118.37529232707</v>
      </c>
      <c r="C9634" t="s">
        <v>29</v>
      </c>
      <c r="D9634">
        <v>5.1516246267828398</v>
      </c>
      <c r="E9634">
        <v>1</v>
      </c>
      <c r="F9634">
        <v>1173</v>
      </c>
      <c r="G9634">
        <v>3</v>
      </c>
      <c r="H9634">
        <v>2</v>
      </c>
      <c r="I9634">
        <v>1999</v>
      </c>
      <c r="J9634">
        <v>1</v>
      </c>
      <c r="K9634">
        <v>1</v>
      </c>
      <c r="L9634">
        <v>1</v>
      </c>
      <c r="M9634">
        <v>13</v>
      </c>
      <c r="N9634" t="s">
        <v>35</v>
      </c>
      <c r="O9634" t="s">
        <v>27</v>
      </c>
      <c r="P9634">
        <v>3.92551683469584</v>
      </c>
      <c r="Q9634">
        <v>2.1279325671560998</v>
      </c>
      <c r="R9634">
        <v>4.0816317307647703</v>
      </c>
      <c r="S9634">
        <v>65</v>
      </c>
      <c r="T9634">
        <v>42</v>
      </c>
      <c r="U9634">
        <v>305.34085192923197</v>
      </c>
      <c r="V9634">
        <v>1.1082693947144E-2</v>
      </c>
      <c r="W9634">
        <v>657499.37496079598</v>
      </c>
      <c r="X9634" t="s">
        <v>28</v>
      </c>
      <c r="Y9634">
        <f>1-458-512-8621</f>
        <v>-9590</v>
      </c>
    </row>
    <row r="9635" spans="1:25" x14ac:dyDescent="0.35">
      <c r="A9635">
        <v>35.827072532470503</v>
      </c>
      <c r="B9635">
        <v>-120.434593421155</v>
      </c>
      <c r="C9635" t="s">
        <v>25</v>
      </c>
      <c r="D9635">
        <v>24.9316930203019</v>
      </c>
      <c r="E9635">
        <v>8</v>
      </c>
      <c r="F9635">
        <v>2103</v>
      </c>
      <c r="G9635">
        <v>2</v>
      </c>
      <c r="H9635">
        <v>3</v>
      </c>
      <c r="I9635">
        <v>2015</v>
      </c>
      <c r="J9635">
        <v>1</v>
      </c>
      <c r="K9635">
        <v>1</v>
      </c>
      <c r="L9635">
        <v>0</v>
      </c>
      <c r="M9635">
        <v>8</v>
      </c>
      <c r="N9635" t="s">
        <v>26</v>
      </c>
      <c r="O9635" t="s">
        <v>30</v>
      </c>
      <c r="P9635">
        <v>6.2326381013285497</v>
      </c>
      <c r="Q9635">
        <v>2.01001697867548</v>
      </c>
      <c r="R9635">
        <v>3.4872229278494999</v>
      </c>
      <c r="S9635">
        <v>63</v>
      </c>
      <c r="T9635">
        <v>79</v>
      </c>
      <c r="U9635">
        <v>606.19538240823601</v>
      </c>
      <c r="V9635">
        <v>3.8040893961007998E-3</v>
      </c>
      <c r="W9635">
        <v>1637033.3730436999</v>
      </c>
      <c r="X9635" t="s">
        <v>39</v>
      </c>
      <c r="Y9635">
        <f>1-992-333-7935</f>
        <v>-9259</v>
      </c>
    </row>
    <row r="9636" spans="1:25" x14ac:dyDescent="0.35">
      <c r="A9636">
        <v>40.111434768597903</v>
      </c>
      <c r="B9636">
        <v>-118.29129681956201</v>
      </c>
      <c r="C9636" t="s">
        <v>29</v>
      </c>
      <c r="D9636">
        <v>49.875389525967996</v>
      </c>
      <c r="E9636">
        <v>8</v>
      </c>
      <c r="F9636">
        <v>4870</v>
      </c>
      <c r="G9636">
        <v>3</v>
      </c>
      <c r="H9636">
        <v>3</v>
      </c>
      <c r="I9636">
        <v>2018</v>
      </c>
      <c r="J9636">
        <v>1</v>
      </c>
      <c r="K9636">
        <v>1</v>
      </c>
      <c r="L9636">
        <v>1</v>
      </c>
      <c r="M9636">
        <v>4</v>
      </c>
      <c r="N9636" t="s">
        <v>41</v>
      </c>
      <c r="O9636" t="s">
        <v>32</v>
      </c>
      <c r="P9636">
        <v>5.0678476878614802</v>
      </c>
      <c r="Q9636">
        <v>2.3932955436752299</v>
      </c>
      <c r="R9636">
        <v>5.9359941617151097</v>
      </c>
      <c r="S9636">
        <v>193</v>
      </c>
      <c r="T9636">
        <v>45</v>
      </c>
      <c r="U9636">
        <v>478.86331473891403</v>
      </c>
      <c r="V9636">
        <v>8.2135523613963005E-4</v>
      </c>
      <c r="W9636">
        <v>2795050.5658635502</v>
      </c>
      <c r="X9636" t="s">
        <v>39</v>
      </c>
      <c r="Y9636">
        <f>1-557-870-9409</f>
        <v>-10835</v>
      </c>
    </row>
    <row r="9637" spans="1:25" x14ac:dyDescent="0.35">
      <c r="A9637">
        <v>32.625996052371399</v>
      </c>
      <c r="B9637">
        <v>-114.76376033217799</v>
      </c>
      <c r="C9637" t="s">
        <v>25</v>
      </c>
      <c r="D9637">
        <v>31.9257055249732</v>
      </c>
      <c r="E9637">
        <v>9</v>
      </c>
      <c r="F9637">
        <v>1398</v>
      </c>
      <c r="G9637">
        <v>3</v>
      </c>
      <c r="H9637">
        <v>3</v>
      </c>
      <c r="I9637">
        <v>1957</v>
      </c>
      <c r="J9637">
        <v>0</v>
      </c>
      <c r="K9637">
        <v>1</v>
      </c>
      <c r="L9637">
        <v>1</v>
      </c>
      <c r="M9637">
        <v>13</v>
      </c>
      <c r="N9637" t="s">
        <v>26</v>
      </c>
      <c r="O9637" t="s">
        <v>30</v>
      </c>
      <c r="P9637">
        <v>10.200642238169699</v>
      </c>
      <c r="Q9637">
        <v>1.0309958167026501</v>
      </c>
      <c r="R9637">
        <v>2.52755249862745</v>
      </c>
      <c r="S9637">
        <v>50</v>
      </c>
      <c r="T9637">
        <v>30</v>
      </c>
      <c r="U9637">
        <v>359.37682705801598</v>
      </c>
      <c r="V9637">
        <v>9.2989985693848302E-3</v>
      </c>
      <c r="W9637">
        <v>790111.20027960197</v>
      </c>
      <c r="X9637" t="s">
        <v>36</v>
      </c>
      <c r="Y9637">
        <f>1-680-719-7711</f>
        <v>-9109</v>
      </c>
    </row>
    <row r="9638" spans="1:25" x14ac:dyDescent="0.35">
      <c r="A9638">
        <v>37.835912350303801</v>
      </c>
      <c r="B9638">
        <v>-114.40836871538301</v>
      </c>
      <c r="C9638" t="s">
        <v>25</v>
      </c>
      <c r="D9638">
        <v>37.703739539490201</v>
      </c>
      <c r="E9638">
        <v>3</v>
      </c>
      <c r="F9638">
        <v>2380</v>
      </c>
      <c r="G9638">
        <v>4</v>
      </c>
      <c r="H9638">
        <v>3</v>
      </c>
      <c r="I9638">
        <v>2018</v>
      </c>
      <c r="J9638">
        <v>0</v>
      </c>
      <c r="K9638">
        <v>1</v>
      </c>
      <c r="L9638">
        <v>1</v>
      </c>
      <c r="M9638">
        <v>5</v>
      </c>
      <c r="N9638" t="s">
        <v>41</v>
      </c>
      <c r="O9638" t="s">
        <v>32</v>
      </c>
      <c r="P9638">
        <v>6.9111304724293996</v>
      </c>
      <c r="Q9638">
        <v>1.4639252208804401</v>
      </c>
      <c r="R9638">
        <v>2.9023337089734298</v>
      </c>
      <c r="S9638">
        <v>119</v>
      </c>
      <c r="T9638">
        <v>32</v>
      </c>
      <c r="U9638">
        <v>443.320258360624</v>
      </c>
      <c r="V9638">
        <v>2.1008403361344498E-3</v>
      </c>
      <c r="W9638">
        <v>1489143.39951587</v>
      </c>
      <c r="X9638" t="s">
        <v>33</v>
      </c>
      <c r="Y9638">
        <f>1-955-615-5767</f>
        <v>-7336</v>
      </c>
    </row>
    <row r="9639" spans="1:25" x14ac:dyDescent="0.35">
      <c r="A9639">
        <v>41.7011000395309</v>
      </c>
      <c r="B9639">
        <v>-123.60100772057</v>
      </c>
      <c r="C9639" t="s">
        <v>34</v>
      </c>
      <c r="D9639">
        <v>37.269552037658698</v>
      </c>
      <c r="E9639">
        <v>6</v>
      </c>
      <c r="F9639">
        <v>4290</v>
      </c>
      <c r="G9639">
        <v>4</v>
      </c>
      <c r="H9639">
        <v>1</v>
      </c>
      <c r="I9639">
        <v>1982</v>
      </c>
      <c r="J9639">
        <v>0</v>
      </c>
      <c r="K9639">
        <v>0</v>
      </c>
      <c r="L9639">
        <v>1</v>
      </c>
      <c r="M9639">
        <v>6</v>
      </c>
      <c r="N9639" t="s">
        <v>26</v>
      </c>
      <c r="O9639" t="s">
        <v>30</v>
      </c>
      <c r="P9639">
        <v>7.9843940850694004</v>
      </c>
      <c r="Q9639">
        <v>0.51769156805684402</v>
      </c>
      <c r="R9639">
        <v>1.54977410552197</v>
      </c>
      <c r="S9639">
        <v>128</v>
      </c>
      <c r="T9639">
        <v>52</v>
      </c>
      <c r="U9639">
        <v>770.21745041922395</v>
      </c>
      <c r="V9639">
        <v>1.3986013986013899E-3</v>
      </c>
      <c r="W9639">
        <v>3515587.11650653</v>
      </c>
      <c r="X9639" t="s">
        <v>33</v>
      </c>
      <c r="Y9639">
        <f>1-537-185-8347</f>
        <v>-9068</v>
      </c>
    </row>
    <row r="9640" spans="1:25" x14ac:dyDescent="0.35">
      <c r="A9640">
        <v>41.342621650897399</v>
      </c>
      <c r="B9640">
        <v>-120.494110989294</v>
      </c>
      <c r="C9640" t="s">
        <v>29</v>
      </c>
      <c r="D9640">
        <v>11.2357752303864</v>
      </c>
      <c r="E9640">
        <v>3</v>
      </c>
      <c r="F9640">
        <v>1363</v>
      </c>
      <c r="G9640">
        <v>2</v>
      </c>
      <c r="H9640">
        <v>3</v>
      </c>
      <c r="I9640">
        <v>1957</v>
      </c>
      <c r="J9640">
        <v>1</v>
      </c>
      <c r="K9640">
        <v>1</v>
      </c>
      <c r="L9640">
        <v>0</v>
      </c>
      <c r="M9640">
        <v>7</v>
      </c>
      <c r="N9640" t="s">
        <v>35</v>
      </c>
      <c r="O9640" t="s">
        <v>32</v>
      </c>
      <c r="P9640">
        <v>3.15738551720084</v>
      </c>
      <c r="Q9640">
        <v>0.51407198090616002</v>
      </c>
      <c r="R9640">
        <v>0.72384016507472004</v>
      </c>
      <c r="S9640">
        <v>67</v>
      </c>
      <c r="T9640">
        <v>38</v>
      </c>
      <c r="U9640">
        <v>662.87852785257803</v>
      </c>
      <c r="V9640">
        <v>5.1357300073367499E-3</v>
      </c>
      <c r="W9640">
        <v>1156136.2686318001</v>
      </c>
      <c r="X9640" t="s">
        <v>38</v>
      </c>
      <c r="Y9640">
        <f>1-522-371-1382</f>
        <v>-2274</v>
      </c>
    </row>
    <row r="9641" spans="1:25" x14ac:dyDescent="0.35">
      <c r="A9641">
        <v>41.161956505252803</v>
      </c>
      <c r="B9641">
        <v>-124.233852759398</v>
      </c>
      <c r="C9641" t="s">
        <v>34</v>
      </c>
      <c r="D9641">
        <v>38.5585241268045</v>
      </c>
      <c r="E9641">
        <v>5</v>
      </c>
      <c r="F9641">
        <v>3581</v>
      </c>
      <c r="G9641">
        <v>3</v>
      </c>
      <c r="H9641">
        <v>2</v>
      </c>
      <c r="I9641">
        <v>1969</v>
      </c>
      <c r="J9641">
        <v>1</v>
      </c>
      <c r="K9641">
        <v>1</v>
      </c>
      <c r="L9641">
        <v>1</v>
      </c>
      <c r="M9641">
        <v>14</v>
      </c>
      <c r="N9641" t="s">
        <v>26</v>
      </c>
      <c r="O9641" t="s">
        <v>32</v>
      </c>
      <c r="P9641">
        <v>11.957242605941399</v>
      </c>
      <c r="Q9641">
        <v>2.3319490604908699</v>
      </c>
      <c r="R9641">
        <v>2.6150425428627302</v>
      </c>
      <c r="S9641">
        <v>188</v>
      </c>
      <c r="T9641">
        <v>39</v>
      </c>
      <c r="U9641">
        <v>306.48481351667903</v>
      </c>
      <c r="V9641">
        <v>3.9095224797542497E-3</v>
      </c>
      <c r="W9641">
        <v>1408078.3041039901</v>
      </c>
      <c r="X9641" t="s">
        <v>28</v>
      </c>
      <c r="Y9641">
        <f>1-829-519-6424</f>
        <v>-7771</v>
      </c>
    </row>
    <row r="9642" spans="1:25" x14ac:dyDescent="0.35">
      <c r="A9642">
        <v>36.890614333871298</v>
      </c>
      <c r="B9642">
        <v>-115.724942773793</v>
      </c>
      <c r="C9642" t="s">
        <v>25</v>
      </c>
      <c r="D9642">
        <v>20.765714129443701</v>
      </c>
      <c r="E9642">
        <v>7</v>
      </c>
      <c r="F9642">
        <v>3982</v>
      </c>
      <c r="G9642">
        <v>1</v>
      </c>
      <c r="H9642">
        <v>1</v>
      </c>
      <c r="I9642">
        <v>1979</v>
      </c>
      <c r="J9642">
        <v>1</v>
      </c>
      <c r="K9642">
        <v>0</v>
      </c>
      <c r="L9642">
        <v>0</v>
      </c>
      <c r="M9642">
        <v>14</v>
      </c>
      <c r="N9642" t="s">
        <v>37</v>
      </c>
      <c r="O9642" t="s">
        <v>30</v>
      </c>
      <c r="P9642">
        <v>13.2466690621743</v>
      </c>
      <c r="Q9642">
        <v>1.8853396372015601</v>
      </c>
      <c r="R9642">
        <v>8.7257909195663697</v>
      </c>
      <c r="S9642">
        <v>15</v>
      </c>
      <c r="T9642">
        <v>59</v>
      </c>
      <c r="U9642">
        <v>396.93704621727102</v>
      </c>
      <c r="V9642">
        <v>3.5158211953791999E-3</v>
      </c>
      <c r="W9642">
        <v>1710088.6283112799</v>
      </c>
      <c r="X9642" t="s">
        <v>40</v>
      </c>
      <c r="Y9642">
        <f>1-644-237-9252</f>
        <v>-10132</v>
      </c>
    </row>
    <row r="9643" spans="1:25" x14ac:dyDescent="0.35">
      <c r="A9643">
        <v>33.244001351862103</v>
      </c>
      <c r="B9643">
        <v>-116.114032636809</v>
      </c>
      <c r="C9643" t="s">
        <v>29</v>
      </c>
      <c r="D9643">
        <v>8.9322010216260601</v>
      </c>
      <c r="E9643">
        <v>2</v>
      </c>
      <c r="F9643">
        <v>1182</v>
      </c>
      <c r="G9643">
        <v>2</v>
      </c>
      <c r="H9643">
        <v>2</v>
      </c>
      <c r="I9643">
        <v>1951</v>
      </c>
      <c r="J9643">
        <v>0</v>
      </c>
      <c r="K9643">
        <v>1</v>
      </c>
      <c r="L9643">
        <v>0</v>
      </c>
      <c r="M9643">
        <v>7</v>
      </c>
      <c r="N9643" t="s">
        <v>35</v>
      </c>
      <c r="O9643" t="s">
        <v>30</v>
      </c>
      <c r="P9643">
        <v>4.3194120105876896</v>
      </c>
      <c r="Q9643">
        <v>1.3623390160101201</v>
      </c>
      <c r="R9643">
        <v>4.9201736320713199</v>
      </c>
      <c r="S9643">
        <v>81</v>
      </c>
      <c r="T9643">
        <v>47</v>
      </c>
      <c r="U9643">
        <v>350.34892748916297</v>
      </c>
      <c r="V9643">
        <v>5.9221658206429703E-3</v>
      </c>
      <c r="W9643">
        <v>575779.88824996096</v>
      </c>
      <c r="X9643" t="s">
        <v>31</v>
      </c>
      <c r="Y9643">
        <f>1-556-540-8828</f>
        <v>-9923</v>
      </c>
    </row>
    <row r="9644" spans="1:25" x14ac:dyDescent="0.35">
      <c r="A9644">
        <v>32.606495033044297</v>
      </c>
      <c r="B9644">
        <v>-122.752478402577</v>
      </c>
      <c r="C9644" t="s">
        <v>34</v>
      </c>
      <c r="D9644">
        <v>25.865647883133299</v>
      </c>
      <c r="E9644">
        <v>9</v>
      </c>
      <c r="F9644">
        <v>4212</v>
      </c>
      <c r="G9644">
        <v>5</v>
      </c>
      <c r="H9644">
        <v>1</v>
      </c>
      <c r="I9644">
        <v>1961</v>
      </c>
      <c r="J9644">
        <v>1</v>
      </c>
      <c r="K9644">
        <v>0</v>
      </c>
      <c r="L9644">
        <v>1</v>
      </c>
      <c r="M9644">
        <v>12</v>
      </c>
      <c r="N9644" t="s">
        <v>26</v>
      </c>
      <c r="O9644" t="s">
        <v>30</v>
      </c>
      <c r="P9644">
        <v>5.0111525961588903</v>
      </c>
      <c r="Q9644">
        <v>2.0986932066063302</v>
      </c>
      <c r="R9644">
        <v>6.4218789812593204</v>
      </c>
      <c r="S9644">
        <v>97</v>
      </c>
      <c r="T9644">
        <v>41</v>
      </c>
      <c r="U9644">
        <v>600.05050984987599</v>
      </c>
      <c r="V9644">
        <v>2.84900284900284E-3</v>
      </c>
      <c r="W9644">
        <v>2856886.9122929899</v>
      </c>
      <c r="X9644" t="s">
        <v>28</v>
      </c>
      <c r="Y9644">
        <f>1-650-843-1243</f>
        <v>-2735</v>
      </c>
    </row>
    <row r="9645" spans="1:25" x14ac:dyDescent="0.35">
      <c r="A9645">
        <v>34.097463572427301</v>
      </c>
      <c r="B9645">
        <v>-118.178090190559</v>
      </c>
      <c r="C9645" t="s">
        <v>29</v>
      </c>
      <c r="D9645">
        <v>28.531395518306599</v>
      </c>
      <c r="E9645">
        <v>9</v>
      </c>
      <c r="F9645">
        <v>4267</v>
      </c>
      <c r="G9645">
        <v>2</v>
      </c>
      <c r="H9645">
        <v>3</v>
      </c>
      <c r="I9645">
        <v>2018</v>
      </c>
      <c r="J9645">
        <v>1</v>
      </c>
      <c r="K9645">
        <v>0</v>
      </c>
      <c r="L9645">
        <v>0</v>
      </c>
      <c r="M9645">
        <v>5</v>
      </c>
      <c r="N9645" t="s">
        <v>35</v>
      </c>
      <c r="O9645" t="s">
        <v>27</v>
      </c>
      <c r="P9645">
        <v>7.6919581173714997</v>
      </c>
      <c r="Q9645">
        <v>0.89180057265948498</v>
      </c>
      <c r="R9645">
        <v>9.5716823392807697</v>
      </c>
      <c r="S9645">
        <v>142</v>
      </c>
      <c r="T9645">
        <v>79</v>
      </c>
      <c r="U9645">
        <v>263.35806963858897</v>
      </c>
      <c r="V9645">
        <v>1.1717834544176201E-3</v>
      </c>
      <c r="W9645">
        <v>1393691.6892079101</v>
      </c>
      <c r="X9645" t="s">
        <v>40</v>
      </c>
      <c r="Y9645">
        <f>1-605-387-5197</f>
        <v>-6188</v>
      </c>
    </row>
    <row r="9646" spans="1:25" x14ac:dyDescent="0.35">
      <c r="A9646">
        <v>40.717443461013403</v>
      </c>
      <c r="B9646">
        <v>-121.481440361471</v>
      </c>
      <c r="C9646" t="s">
        <v>25</v>
      </c>
      <c r="D9646">
        <v>19.185080913217899</v>
      </c>
      <c r="E9646">
        <v>9</v>
      </c>
      <c r="F9646">
        <v>3984</v>
      </c>
      <c r="G9646">
        <v>5</v>
      </c>
      <c r="H9646">
        <v>2</v>
      </c>
      <c r="I9646">
        <v>2021</v>
      </c>
      <c r="J9646">
        <v>1</v>
      </c>
      <c r="K9646">
        <v>0</v>
      </c>
      <c r="L9646">
        <v>0</v>
      </c>
      <c r="M9646">
        <v>2</v>
      </c>
      <c r="N9646" t="s">
        <v>26</v>
      </c>
      <c r="O9646" t="s">
        <v>30</v>
      </c>
      <c r="P9646">
        <v>14.666264069975799</v>
      </c>
      <c r="Q9646">
        <v>1.64296970673247</v>
      </c>
      <c r="R9646">
        <v>9.3260569676856093</v>
      </c>
      <c r="S9646">
        <v>76</v>
      </c>
      <c r="T9646">
        <v>69</v>
      </c>
      <c r="U9646">
        <v>838.56301158872895</v>
      </c>
      <c r="V9646">
        <v>5.0200803212851401E-4</v>
      </c>
      <c r="W9646">
        <v>3778809.4687787299</v>
      </c>
      <c r="X9646" t="s">
        <v>42</v>
      </c>
      <c r="Y9646">
        <f>1-881-778-8210</f>
        <v>-9868</v>
      </c>
    </row>
    <row r="9647" spans="1:25" x14ac:dyDescent="0.35">
      <c r="A9647">
        <v>35.778959282454501</v>
      </c>
      <c r="B9647">
        <v>-119.395025650389</v>
      </c>
      <c r="C9647" t="s">
        <v>34</v>
      </c>
      <c r="D9647">
        <v>17.185256477486501</v>
      </c>
      <c r="E9647">
        <v>9</v>
      </c>
      <c r="F9647">
        <v>3020</v>
      </c>
      <c r="G9647">
        <v>3</v>
      </c>
      <c r="H9647">
        <v>3</v>
      </c>
      <c r="I9647">
        <v>1993</v>
      </c>
      <c r="J9647">
        <v>0</v>
      </c>
      <c r="K9647">
        <v>1</v>
      </c>
      <c r="L9647">
        <v>0</v>
      </c>
      <c r="M9647">
        <v>9</v>
      </c>
      <c r="N9647" t="s">
        <v>41</v>
      </c>
      <c r="O9647" t="s">
        <v>30</v>
      </c>
      <c r="P9647">
        <v>6.7783039390093096</v>
      </c>
      <c r="Q9647">
        <v>1.6622876051170601</v>
      </c>
      <c r="R9647">
        <v>8.4332042315441598</v>
      </c>
      <c r="S9647">
        <v>88</v>
      </c>
      <c r="T9647">
        <v>69</v>
      </c>
      <c r="U9647">
        <v>914.05497092804296</v>
      </c>
      <c r="V9647">
        <v>2.98013245033112E-3</v>
      </c>
      <c r="W9647">
        <v>3089962.6717914301</v>
      </c>
      <c r="X9647" t="s">
        <v>43</v>
      </c>
      <c r="Y9647">
        <f>1-811-214-2882</f>
        <v>-3906</v>
      </c>
    </row>
    <row r="9648" spans="1:25" x14ac:dyDescent="0.35">
      <c r="A9648">
        <v>40.447548522623102</v>
      </c>
      <c r="B9648">
        <v>-124.348261722006</v>
      </c>
      <c r="C9648" t="s">
        <v>29</v>
      </c>
      <c r="D9648">
        <v>29.601336961320602</v>
      </c>
      <c r="E9648">
        <v>1</v>
      </c>
      <c r="F9648">
        <v>3693</v>
      </c>
      <c r="G9648">
        <v>2</v>
      </c>
      <c r="H9648">
        <v>2</v>
      </c>
      <c r="I9648">
        <v>2002</v>
      </c>
      <c r="J9648">
        <v>1</v>
      </c>
      <c r="K9648">
        <v>0</v>
      </c>
      <c r="L9648">
        <v>0</v>
      </c>
      <c r="M9648">
        <v>9</v>
      </c>
      <c r="N9648" t="s">
        <v>37</v>
      </c>
      <c r="O9648" t="s">
        <v>32</v>
      </c>
      <c r="P9648">
        <v>6.2099228162757596</v>
      </c>
      <c r="Q9648">
        <v>1.0982374472858001</v>
      </c>
      <c r="R9648">
        <v>1.80431472207134</v>
      </c>
      <c r="S9648">
        <v>20</v>
      </c>
      <c r="T9648">
        <v>76</v>
      </c>
      <c r="U9648">
        <v>535.60892746492505</v>
      </c>
      <c r="V9648">
        <v>2.4370430544272902E-3</v>
      </c>
      <c r="W9648">
        <v>2080875.3855417401</v>
      </c>
      <c r="X9648" t="s">
        <v>40</v>
      </c>
      <c r="Y9648">
        <f>1-657-437-9718</f>
        <v>-10811</v>
      </c>
    </row>
    <row r="9649" spans="1:25" x14ac:dyDescent="0.35">
      <c r="A9649">
        <v>39.163850440225197</v>
      </c>
      <c r="B9649">
        <v>-121.217570765948</v>
      </c>
      <c r="C9649" t="s">
        <v>29</v>
      </c>
      <c r="D9649">
        <v>18.486821697171699</v>
      </c>
      <c r="E9649">
        <v>8</v>
      </c>
      <c r="F9649">
        <v>679</v>
      </c>
      <c r="G9649">
        <v>1</v>
      </c>
      <c r="H9649">
        <v>3</v>
      </c>
      <c r="I9649">
        <v>1983</v>
      </c>
      <c r="J9649">
        <v>1</v>
      </c>
      <c r="K9649">
        <v>1</v>
      </c>
      <c r="L9649">
        <v>0</v>
      </c>
      <c r="M9649">
        <v>5</v>
      </c>
      <c r="N9649" t="s">
        <v>41</v>
      </c>
      <c r="O9649" t="s">
        <v>27</v>
      </c>
      <c r="P9649">
        <v>6.8144540454976799</v>
      </c>
      <c r="Q9649">
        <v>1.68662832918443</v>
      </c>
      <c r="R9649">
        <v>4.6865800843205303</v>
      </c>
      <c r="S9649">
        <v>157</v>
      </c>
      <c r="T9649">
        <v>50</v>
      </c>
      <c r="U9649">
        <v>683.77150914863705</v>
      </c>
      <c r="V9649">
        <v>7.3637702503681797E-3</v>
      </c>
      <c r="W9649">
        <v>711441.82201356802</v>
      </c>
      <c r="X9649" t="s">
        <v>44</v>
      </c>
      <c r="Y9649">
        <f>1-595-386-2763</f>
        <v>-3743</v>
      </c>
    </row>
    <row r="9650" spans="1:25" x14ac:dyDescent="0.35">
      <c r="A9650">
        <v>35.227788740995798</v>
      </c>
      <c r="B9650">
        <v>-115.931075433356</v>
      </c>
      <c r="C9650" t="s">
        <v>29</v>
      </c>
      <c r="D9650">
        <v>21.724107065701201</v>
      </c>
      <c r="E9650">
        <v>4</v>
      </c>
      <c r="F9650">
        <v>776</v>
      </c>
      <c r="G9650">
        <v>5</v>
      </c>
      <c r="H9650">
        <v>3</v>
      </c>
      <c r="I9650">
        <v>1976</v>
      </c>
      <c r="J9650">
        <v>0</v>
      </c>
      <c r="K9650">
        <v>0</v>
      </c>
      <c r="L9650">
        <v>1</v>
      </c>
      <c r="M9650">
        <v>7</v>
      </c>
      <c r="N9650" t="s">
        <v>37</v>
      </c>
      <c r="O9650" t="s">
        <v>27</v>
      </c>
      <c r="P9650">
        <v>13.198711520771999</v>
      </c>
      <c r="Q9650">
        <v>1.0761848942707799</v>
      </c>
      <c r="R9650">
        <v>9.7939804106135302</v>
      </c>
      <c r="S9650">
        <v>186</v>
      </c>
      <c r="T9650">
        <v>43</v>
      </c>
      <c r="U9650">
        <v>808.73061379211003</v>
      </c>
      <c r="V9650">
        <v>9.0206185567010301E-3</v>
      </c>
      <c r="W9650">
        <v>915696.33650241699</v>
      </c>
      <c r="X9650" t="s">
        <v>28</v>
      </c>
      <c r="Y9650">
        <f>1-293-114-4625</f>
        <v>-5031</v>
      </c>
    </row>
    <row r="9651" spans="1:25" x14ac:dyDescent="0.35">
      <c r="A9651">
        <v>41.697458222836701</v>
      </c>
      <c r="B9651">
        <v>-123.104352573398</v>
      </c>
      <c r="C9651" t="s">
        <v>34</v>
      </c>
      <c r="D9651">
        <v>16.685323305185101</v>
      </c>
      <c r="E9651">
        <v>4</v>
      </c>
      <c r="F9651">
        <v>1386</v>
      </c>
      <c r="G9651">
        <v>4</v>
      </c>
      <c r="H9651">
        <v>3</v>
      </c>
      <c r="I9651">
        <v>2011</v>
      </c>
      <c r="J9651">
        <v>1</v>
      </c>
      <c r="K9651">
        <v>0</v>
      </c>
      <c r="L9651">
        <v>1</v>
      </c>
      <c r="M9651">
        <v>10</v>
      </c>
      <c r="N9651" t="s">
        <v>26</v>
      </c>
      <c r="O9651" t="s">
        <v>30</v>
      </c>
      <c r="P9651">
        <v>6.8455812590674698</v>
      </c>
      <c r="Q9651">
        <v>0.70260735501094995</v>
      </c>
      <c r="R9651">
        <v>0.78915944927719905</v>
      </c>
      <c r="S9651">
        <v>18</v>
      </c>
      <c r="T9651">
        <v>25</v>
      </c>
      <c r="U9651">
        <v>323.94151925881903</v>
      </c>
      <c r="V9651">
        <v>7.2150072150072098E-3</v>
      </c>
      <c r="W9651">
        <v>908781.49558076099</v>
      </c>
      <c r="X9651" t="s">
        <v>33</v>
      </c>
      <c r="Y9651">
        <f>1-620-930-9558</f>
        <v>-11107</v>
      </c>
    </row>
    <row r="9652" spans="1:25" x14ac:dyDescent="0.35">
      <c r="A9652">
        <v>34.7912273342966</v>
      </c>
      <c r="B9652">
        <v>-114.418198854964</v>
      </c>
      <c r="C9652" t="s">
        <v>25</v>
      </c>
      <c r="D9652">
        <v>15.821708460757099</v>
      </c>
      <c r="E9652">
        <v>0</v>
      </c>
      <c r="F9652">
        <v>798</v>
      </c>
      <c r="G9652">
        <v>2</v>
      </c>
      <c r="H9652">
        <v>2</v>
      </c>
      <c r="I9652">
        <v>1952</v>
      </c>
      <c r="J9652">
        <v>0</v>
      </c>
      <c r="K9652">
        <v>1</v>
      </c>
      <c r="L9652">
        <v>0</v>
      </c>
      <c r="M9652">
        <v>5</v>
      </c>
      <c r="N9652" t="s">
        <v>26</v>
      </c>
      <c r="O9652" t="s">
        <v>30</v>
      </c>
      <c r="P9652">
        <v>3.4897635259076898</v>
      </c>
      <c r="Q9652">
        <v>2.13529908311844</v>
      </c>
      <c r="R9652">
        <v>1.2160517465808001</v>
      </c>
      <c r="S9652">
        <v>122</v>
      </c>
      <c r="T9652">
        <v>40</v>
      </c>
      <c r="U9652">
        <v>333.26423973506701</v>
      </c>
      <c r="V9652">
        <v>6.2656641604010004E-3</v>
      </c>
      <c r="W9652">
        <v>456404.37574847799</v>
      </c>
      <c r="X9652" t="s">
        <v>39</v>
      </c>
      <c r="Y9652">
        <f>1-524-934-6815</f>
        <v>-8272</v>
      </c>
    </row>
    <row r="9653" spans="1:25" x14ac:dyDescent="0.35">
      <c r="A9653">
        <v>39.9657591834765</v>
      </c>
      <c r="B9653">
        <v>-115.460081726065</v>
      </c>
      <c r="C9653" t="s">
        <v>25</v>
      </c>
      <c r="D9653">
        <v>18.248152588943501</v>
      </c>
      <c r="E9653">
        <v>5</v>
      </c>
      <c r="F9653">
        <v>4866</v>
      </c>
      <c r="G9653">
        <v>5</v>
      </c>
      <c r="H9653">
        <v>3</v>
      </c>
      <c r="I9653">
        <v>2022</v>
      </c>
      <c r="J9653">
        <v>1</v>
      </c>
      <c r="K9653">
        <v>1</v>
      </c>
      <c r="L9653">
        <v>1</v>
      </c>
      <c r="M9653">
        <v>8</v>
      </c>
      <c r="N9653" t="s">
        <v>37</v>
      </c>
      <c r="O9653" t="s">
        <v>32</v>
      </c>
      <c r="P9653">
        <v>4.7987805140481896</v>
      </c>
      <c r="Q9653">
        <v>1.5273313069165499</v>
      </c>
      <c r="R9653">
        <v>7.2620160649945698</v>
      </c>
      <c r="S9653">
        <v>63</v>
      </c>
      <c r="T9653">
        <v>47</v>
      </c>
      <c r="U9653">
        <v>241.18739869823099</v>
      </c>
      <c r="V9653">
        <v>1.6440608302507099E-3</v>
      </c>
      <c r="W9653">
        <v>1571193.2831816699</v>
      </c>
      <c r="X9653" t="s">
        <v>31</v>
      </c>
      <c r="Y9653">
        <f>1-818-550-1065</f>
        <v>-2432</v>
      </c>
    </row>
    <row r="9654" spans="1:25" x14ac:dyDescent="0.35">
      <c r="A9654">
        <v>35.935503973222197</v>
      </c>
      <c r="B9654">
        <v>-119.381622166114</v>
      </c>
      <c r="C9654" t="s">
        <v>29</v>
      </c>
      <c r="D9654">
        <v>44.477300084366199</v>
      </c>
      <c r="E9654">
        <v>8</v>
      </c>
      <c r="F9654">
        <v>2950</v>
      </c>
      <c r="G9654">
        <v>2</v>
      </c>
      <c r="H9654">
        <v>3</v>
      </c>
      <c r="I9654">
        <v>2008</v>
      </c>
      <c r="J9654">
        <v>1</v>
      </c>
      <c r="K9654">
        <v>1</v>
      </c>
      <c r="L9654">
        <v>1</v>
      </c>
      <c r="M9654">
        <v>4</v>
      </c>
      <c r="N9654" t="s">
        <v>26</v>
      </c>
      <c r="O9654" t="s">
        <v>30</v>
      </c>
      <c r="P9654">
        <v>2.0960914709893999</v>
      </c>
      <c r="Q9654">
        <v>1.6749853457739901</v>
      </c>
      <c r="R9654">
        <v>2.1584370720061998</v>
      </c>
      <c r="S9654">
        <v>6</v>
      </c>
      <c r="T9654">
        <v>71</v>
      </c>
      <c r="U9654">
        <v>603.21430402158103</v>
      </c>
      <c r="V9654">
        <v>1.3559322033898299E-3</v>
      </c>
      <c r="W9654">
        <v>2181604.1374522299</v>
      </c>
      <c r="X9654" t="s">
        <v>38</v>
      </c>
      <c r="Y9654">
        <f>1-888-724-1533</f>
        <v>-3144</v>
      </c>
    </row>
    <row r="9655" spans="1:25" x14ac:dyDescent="0.35">
      <c r="A9655">
        <v>36.249907483900998</v>
      </c>
      <c r="B9655">
        <v>-117.74857064350699</v>
      </c>
      <c r="C9655" t="s">
        <v>25</v>
      </c>
      <c r="D9655">
        <v>38.586869286589</v>
      </c>
      <c r="E9655">
        <v>2</v>
      </c>
      <c r="F9655">
        <v>561</v>
      </c>
      <c r="G9655">
        <v>4</v>
      </c>
      <c r="H9655">
        <v>3</v>
      </c>
      <c r="I9655">
        <v>1995</v>
      </c>
      <c r="J9655">
        <v>0</v>
      </c>
      <c r="K9655">
        <v>0</v>
      </c>
      <c r="L9655">
        <v>1</v>
      </c>
      <c r="M9655">
        <v>14</v>
      </c>
      <c r="N9655" t="s">
        <v>35</v>
      </c>
      <c r="O9655" t="s">
        <v>32</v>
      </c>
      <c r="P9655">
        <v>6.0508511079704999</v>
      </c>
      <c r="Q9655">
        <v>1.5757253786574901</v>
      </c>
      <c r="R9655">
        <v>5.9130194129172198</v>
      </c>
      <c r="S9655">
        <v>92</v>
      </c>
      <c r="T9655">
        <v>40</v>
      </c>
      <c r="U9655">
        <v>263.63748733752197</v>
      </c>
      <c r="V9655">
        <v>2.4955436720142599E-2</v>
      </c>
      <c r="W9655">
        <v>501054.37801530299</v>
      </c>
      <c r="X9655" t="s">
        <v>43</v>
      </c>
      <c r="Y9655">
        <f>1-821-841-5061</f>
        <v>-6722</v>
      </c>
    </row>
    <row r="9656" spans="1:25" x14ac:dyDescent="0.35">
      <c r="A9656">
        <v>33.820127171886099</v>
      </c>
      <c r="B9656">
        <v>-122.973327935379</v>
      </c>
      <c r="C9656" t="s">
        <v>29</v>
      </c>
      <c r="D9656">
        <v>33.093247284465399</v>
      </c>
      <c r="E9656">
        <v>4</v>
      </c>
      <c r="F9656">
        <v>2356</v>
      </c>
      <c r="G9656">
        <v>4</v>
      </c>
      <c r="H9656">
        <v>2</v>
      </c>
      <c r="I9656">
        <v>1951</v>
      </c>
      <c r="J9656">
        <v>0</v>
      </c>
      <c r="K9656">
        <v>1</v>
      </c>
      <c r="L9656">
        <v>0</v>
      </c>
      <c r="M9656">
        <v>10</v>
      </c>
      <c r="N9656" t="s">
        <v>26</v>
      </c>
      <c r="O9656" t="s">
        <v>30</v>
      </c>
      <c r="P9656">
        <v>12.111875110558</v>
      </c>
      <c r="Q9656">
        <v>1.5800240453140899</v>
      </c>
      <c r="R9656">
        <v>6.0132155537535796</v>
      </c>
      <c r="S9656">
        <v>97</v>
      </c>
      <c r="T9656">
        <v>52</v>
      </c>
      <c r="U9656">
        <v>967.99831029325901</v>
      </c>
      <c r="V9656">
        <v>4.2444821731748702E-3</v>
      </c>
      <c r="W9656">
        <v>2603468.2397347302</v>
      </c>
      <c r="X9656" t="s">
        <v>43</v>
      </c>
      <c r="Y9656">
        <f>1-882-303-4676</f>
        <v>-5860</v>
      </c>
    </row>
    <row r="9657" spans="1:25" x14ac:dyDescent="0.35">
      <c r="A9657">
        <v>38.423346921313602</v>
      </c>
      <c r="B9657">
        <v>-123.877741478931</v>
      </c>
      <c r="C9657" t="s">
        <v>25</v>
      </c>
      <c r="D9657">
        <v>37.203850490680999</v>
      </c>
      <c r="E9657">
        <v>5</v>
      </c>
      <c r="F9657">
        <v>4830</v>
      </c>
      <c r="G9657">
        <v>3</v>
      </c>
      <c r="H9657">
        <v>3</v>
      </c>
      <c r="I9657">
        <v>1981</v>
      </c>
      <c r="J9657">
        <v>1</v>
      </c>
      <c r="K9657">
        <v>1</v>
      </c>
      <c r="L9657">
        <v>1</v>
      </c>
      <c r="M9657">
        <v>8</v>
      </c>
      <c r="N9657" t="s">
        <v>35</v>
      </c>
      <c r="O9657" t="s">
        <v>30</v>
      </c>
      <c r="P9657">
        <v>13.437181426948399</v>
      </c>
      <c r="Q9657">
        <v>2.4028473053653299</v>
      </c>
      <c r="R9657">
        <v>6.9595951479861897</v>
      </c>
      <c r="S9657">
        <v>99</v>
      </c>
      <c r="T9657">
        <v>65</v>
      </c>
      <c r="U9657">
        <v>753.67138556389295</v>
      </c>
      <c r="V9657">
        <v>1.65631469979296E-3</v>
      </c>
      <c r="W9657">
        <v>4033911.7366945902</v>
      </c>
      <c r="X9657" t="s">
        <v>44</v>
      </c>
      <c r="Y9657">
        <f>1-905-223-6594</f>
        <v>-7721</v>
      </c>
    </row>
    <row r="9658" spans="1:25" x14ac:dyDescent="0.35">
      <c r="A9658">
        <v>38.030190039092197</v>
      </c>
      <c r="B9658">
        <v>-119.812331412844</v>
      </c>
      <c r="C9658" t="s">
        <v>34</v>
      </c>
      <c r="D9658">
        <v>34.052462910806099</v>
      </c>
      <c r="E9658">
        <v>3</v>
      </c>
      <c r="F9658">
        <v>1199</v>
      </c>
      <c r="G9658">
        <v>5</v>
      </c>
      <c r="H9658">
        <v>3</v>
      </c>
      <c r="I9658">
        <v>1958</v>
      </c>
      <c r="J9658">
        <v>1</v>
      </c>
      <c r="K9658">
        <v>0</v>
      </c>
      <c r="L9658">
        <v>1</v>
      </c>
      <c r="M9658">
        <v>7</v>
      </c>
      <c r="N9658" t="s">
        <v>37</v>
      </c>
      <c r="O9658" t="s">
        <v>32</v>
      </c>
      <c r="P9658">
        <v>11.367477326598101</v>
      </c>
      <c r="Q9658">
        <v>2.14677380575178</v>
      </c>
      <c r="R9658">
        <v>2.7066410201468498</v>
      </c>
      <c r="S9658">
        <v>184</v>
      </c>
      <c r="T9658">
        <v>23</v>
      </c>
      <c r="U9658">
        <v>639.04645762776101</v>
      </c>
      <c r="V9658">
        <v>5.8381984987489503E-3</v>
      </c>
      <c r="W9658">
        <v>1197708.4317926599</v>
      </c>
      <c r="X9658" t="s">
        <v>43</v>
      </c>
      <c r="Y9658">
        <f>1-481-204-2771</f>
        <v>-3455</v>
      </c>
    </row>
    <row r="9659" spans="1:25" x14ac:dyDescent="0.35">
      <c r="A9659">
        <v>35.420181427063</v>
      </c>
      <c r="B9659">
        <v>-115.439359019316</v>
      </c>
      <c r="C9659" t="s">
        <v>34</v>
      </c>
      <c r="D9659">
        <v>28.451342947036601</v>
      </c>
      <c r="E9659">
        <v>4</v>
      </c>
      <c r="F9659">
        <v>4163</v>
      </c>
      <c r="G9659">
        <v>3</v>
      </c>
      <c r="H9659">
        <v>2</v>
      </c>
      <c r="I9659">
        <v>1976</v>
      </c>
      <c r="J9659">
        <v>0</v>
      </c>
      <c r="K9659">
        <v>1</v>
      </c>
      <c r="L9659">
        <v>0</v>
      </c>
      <c r="M9659">
        <v>9</v>
      </c>
      <c r="N9659" t="s">
        <v>26</v>
      </c>
      <c r="O9659" t="s">
        <v>30</v>
      </c>
      <c r="P9659">
        <v>6.4304093118033103</v>
      </c>
      <c r="Q9659">
        <v>1.59695173412402</v>
      </c>
      <c r="R9659">
        <v>2.4341626230340498</v>
      </c>
      <c r="S9659">
        <v>181</v>
      </c>
      <c r="T9659">
        <v>31</v>
      </c>
      <c r="U9659">
        <v>203.25259776610599</v>
      </c>
      <c r="V9659">
        <v>2.1619024741772702E-3</v>
      </c>
      <c r="W9659">
        <v>1113019.03375764</v>
      </c>
      <c r="X9659" t="s">
        <v>28</v>
      </c>
      <c r="Y9659">
        <f>1-791-808-7668</f>
        <v>-9266</v>
      </c>
    </row>
    <row r="9660" spans="1:25" x14ac:dyDescent="0.35">
      <c r="A9660">
        <v>41.621320264489697</v>
      </c>
      <c r="B9660">
        <v>-122.53583026816599</v>
      </c>
      <c r="C9660" t="s">
        <v>34</v>
      </c>
      <c r="D9660">
        <v>28.737063435489102</v>
      </c>
      <c r="E9660">
        <v>5</v>
      </c>
      <c r="F9660">
        <v>3324</v>
      </c>
      <c r="G9660">
        <v>2</v>
      </c>
      <c r="H9660">
        <v>3</v>
      </c>
      <c r="I9660">
        <v>1960</v>
      </c>
      <c r="J9660">
        <v>0</v>
      </c>
      <c r="K9660">
        <v>1</v>
      </c>
      <c r="L9660">
        <v>0</v>
      </c>
      <c r="M9660">
        <v>14</v>
      </c>
      <c r="N9660" t="s">
        <v>37</v>
      </c>
      <c r="O9660" t="s">
        <v>32</v>
      </c>
      <c r="P9660">
        <v>14.745031819393301</v>
      </c>
      <c r="Q9660">
        <v>2.3199695291676701</v>
      </c>
      <c r="R9660">
        <v>9.2101563810033902</v>
      </c>
      <c r="S9660">
        <v>37</v>
      </c>
      <c r="T9660">
        <v>26</v>
      </c>
      <c r="U9660">
        <v>607.95428978702705</v>
      </c>
      <c r="V9660">
        <v>4.2117930204572801E-3</v>
      </c>
      <c r="W9660">
        <v>2296174.4152450501</v>
      </c>
      <c r="X9660" t="s">
        <v>28</v>
      </c>
      <c r="Y9660">
        <f>1-884-754-2808</f>
        <v>-4445</v>
      </c>
    </row>
    <row r="9661" spans="1:25" x14ac:dyDescent="0.35">
      <c r="A9661">
        <v>41.517440215862301</v>
      </c>
      <c r="B9661">
        <v>-122.61512088443899</v>
      </c>
      <c r="C9661" t="s">
        <v>34</v>
      </c>
      <c r="D9661">
        <v>46.477701143380898</v>
      </c>
      <c r="E9661">
        <v>9</v>
      </c>
      <c r="F9661">
        <v>3134</v>
      </c>
      <c r="G9661">
        <v>4</v>
      </c>
      <c r="H9661">
        <v>2</v>
      </c>
      <c r="I9661">
        <v>1975</v>
      </c>
      <c r="J9661">
        <v>0</v>
      </c>
      <c r="K9661">
        <v>1</v>
      </c>
      <c r="L9661">
        <v>1</v>
      </c>
      <c r="M9661">
        <v>2</v>
      </c>
      <c r="N9661" t="s">
        <v>35</v>
      </c>
      <c r="O9661" t="s">
        <v>27</v>
      </c>
      <c r="P9661">
        <v>6.3760278600983202</v>
      </c>
      <c r="Q9661">
        <v>2.3248861743117102</v>
      </c>
      <c r="R9661">
        <v>4.0017001590978003</v>
      </c>
      <c r="S9661">
        <v>175</v>
      </c>
      <c r="T9661">
        <v>26</v>
      </c>
      <c r="U9661">
        <v>522.10362725255402</v>
      </c>
      <c r="V9661">
        <v>6.38162093171665E-4</v>
      </c>
      <c r="W9661">
        <v>1896094.65096958</v>
      </c>
      <c r="X9661" t="s">
        <v>39</v>
      </c>
      <c r="Y9661">
        <f>1-469-930-2438</f>
        <v>-3836</v>
      </c>
    </row>
    <row r="9662" spans="1:25" x14ac:dyDescent="0.35">
      <c r="A9662">
        <v>39.370846448305898</v>
      </c>
      <c r="B9662">
        <v>-124.497431372306</v>
      </c>
      <c r="C9662" t="s">
        <v>34</v>
      </c>
      <c r="D9662">
        <v>26.744215805110802</v>
      </c>
      <c r="E9662">
        <v>6</v>
      </c>
      <c r="F9662">
        <v>883</v>
      </c>
      <c r="G9662">
        <v>2</v>
      </c>
      <c r="H9662">
        <v>2</v>
      </c>
      <c r="I9662">
        <v>1986</v>
      </c>
      <c r="J9662">
        <v>1</v>
      </c>
      <c r="K9662">
        <v>0</v>
      </c>
      <c r="L9662">
        <v>1</v>
      </c>
      <c r="M9662">
        <v>13</v>
      </c>
      <c r="N9662" t="s">
        <v>35</v>
      </c>
      <c r="O9662" t="s">
        <v>30</v>
      </c>
      <c r="P9662">
        <v>6.8588470985409398</v>
      </c>
      <c r="Q9662">
        <v>2.4012281103360502</v>
      </c>
      <c r="R9662">
        <v>7.6795136748265502</v>
      </c>
      <c r="S9662">
        <v>167</v>
      </c>
      <c r="T9662">
        <v>45</v>
      </c>
      <c r="U9662">
        <v>817.27783370084501</v>
      </c>
      <c r="V9662">
        <v>1.4722536806342E-2</v>
      </c>
      <c r="W9662">
        <v>911808.92255274695</v>
      </c>
      <c r="X9662" t="s">
        <v>44</v>
      </c>
      <c r="Y9662">
        <f>1-435-993-3867</f>
        <v>-5294</v>
      </c>
    </row>
    <row r="9663" spans="1:25" x14ac:dyDescent="0.35">
      <c r="A9663">
        <v>36.213704933967001</v>
      </c>
      <c r="B9663">
        <v>-124.203649218558</v>
      </c>
      <c r="C9663" t="s">
        <v>29</v>
      </c>
      <c r="D9663">
        <v>2.1324901458758601</v>
      </c>
      <c r="E9663">
        <v>6</v>
      </c>
      <c r="F9663">
        <v>752</v>
      </c>
      <c r="G9663">
        <v>4</v>
      </c>
      <c r="H9663">
        <v>2</v>
      </c>
      <c r="I9663">
        <v>1997</v>
      </c>
      <c r="J9663">
        <v>1</v>
      </c>
      <c r="K9663">
        <v>1</v>
      </c>
      <c r="L9663">
        <v>0</v>
      </c>
      <c r="M9663">
        <v>7</v>
      </c>
      <c r="N9663" t="s">
        <v>41</v>
      </c>
      <c r="O9663" t="s">
        <v>27</v>
      </c>
      <c r="P9663">
        <v>14.0345348225386</v>
      </c>
      <c r="Q9663">
        <v>0.94003248343641599</v>
      </c>
      <c r="R9663">
        <v>3.6083439481296402</v>
      </c>
      <c r="S9663">
        <v>190</v>
      </c>
      <c r="T9663">
        <v>38</v>
      </c>
      <c r="U9663">
        <v>720.37018816490195</v>
      </c>
      <c r="V9663">
        <v>9.3085106382978702E-3</v>
      </c>
      <c r="W9663">
        <v>999999.72329509701</v>
      </c>
      <c r="X9663" t="s">
        <v>33</v>
      </c>
      <c r="Y9663">
        <f>1-688-492-6337</f>
        <v>-7516</v>
      </c>
    </row>
    <row r="9664" spans="1:25" x14ac:dyDescent="0.35">
      <c r="A9664">
        <v>40.745031523581403</v>
      </c>
      <c r="B9664">
        <v>-115.51639395167599</v>
      </c>
      <c r="C9664" t="s">
        <v>34</v>
      </c>
      <c r="D9664">
        <v>24.609165809887202</v>
      </c>
      <c r="E9664">
        <v>4</v>
      </c>
      <c r="F9664">
        <v>3771</v>
      </c>
      <c r="G9664">
        <v>3</v>
      </c>
      <c r="H9664">
        <v>3</v>
      </c>
      <c r="I9664">
        <v>1989</v>
      </c>
      <c r="J9664">
        <v>1</v>
      </c>
      <c r="K9664">
        <v>1</v>
      </c>
      <c r="L9664">
        <v>0</v>
      </c>
      <c r="M9664">
        <v>5</v>
      </c>
      <c r="N9664" t="s">
        <v>37</v>
      </c>
      <c r="O9664" t="s">
        <v>32</v>
      </c>
      <c r="P9664">
        <v>4.6937896817854403</v>
      </c>
      <c r="Q9664">
        <v>0.73321575521340498</v>
      </c>
      <c r="R9664">
        <v>1.93925915811455</v>
      </c>
      <c r="S9664">
        <v>113</v>
      </c>
      <c r="T9664">
        <v>33</v>
      </c>
      <c r="U9664">
        <v>304.20770401850001</v>
      </c>
      <c r="V9664">
        <v>1.32590824714929E-3</v>
      </c>
      <c r="W9664">
        <v>1469022.02129567</v>
      </c>
      <c r="X9664" t="s">
        <v>33</v>
      </c>
      <c r="Y9664">
        <f>1-771-400-7977</f>
        <v>-9147</v>
      </c>
    </row>
    <row r="9665" spans="1:25" x14ac:dyDescent="0.35">
      <c r="A9665">
        <v>38.828904803188799</v>
      </c>
      <c r="B9665">
        <v>-118.811549219497</v>
      </c>
      <c r="C9665" t="s">
        <v>25</v>
      </c>
      <c r="D9665">
        <v>30.231261963620302</v>
      </c>
      <c r="E9665">
        <v>5</v>
      </c>
      <c r="F9665">
        <v>1136</v>
      </c>
      <c r="G9665">
        <v>3</v>
      </c>
      <c r="H9665">
        <v>3</v>
      </c>
      <c r="I9665">
        <v>1970</v>
      </c>
      <c r="J9665">
        <v>0</v>
      </c>
      <c r="K9665">
        <v>1</v>
      </c>
      <c r="L9665">
        <v>1</v>
      </c>
      <c r="M9665">
        <v>5</v>
      </c>
      <c r="N9665" t="s">
        <v>26</v>
      </c>
      <c r="O9665" t="s">
        <v>32</v>
      </c>
      <c r="P9665">
        <v>5.6025348349594797</v>
      </c>
      <c r="Q9665">
        <v>1.5576654544338999</v>
      </c>
      <c r="R9665">
        <v>7.9718700354919099</v>
      </c>
      <c r="S9665">
        <v>40</v>
      </c>
      <c r="T9665">
        <v>65</v>
      </c>
      <c r="U9665">
        <v>955.57458770886399</v>
      </c>
      <c r="V9665">
        <v>4.4014084507042204E-3</v>
      </c>
      <c r="W9665">
        <v>1406635.70394423</v>
      </c>
      <c r="X9665" t="s">
        <v>31</v>
      </c>
      <c r="Y9665">
        <f>1-471-512-6329</f>
        <v>-7311</v>
      </c>
    </row>
    <row r="9666" spans="1:25" x14ac:dyDescent="0.35">
      <c r="A9666">
        <v>41.684662455094099</v>
      </c>
      <c r="B9666">
        <v>-117.538871554059</v>
      </c>
      <c r="C9666" t="s">
        <v>34</v>
      </c>
      <c r="D9666">
        <v>28.2878780515782</v>
      </c>
      <c r="E9666">
        <v>8</v>
      </c>
      <c r="F9666">
        <v>4714</v>
      </c>
      <c r="G9666">
        <v>1</v>
      </c>
      <c r="H9666">
        <v>1</v>
      </c>
      <c r="I9666">
        <v>2018</v>
      </c>
      <c r="J9666">
        <v>1</v>
      </c>
      <c r="K9666">
        <v>0</v>
      </c>
      <c r="L9666">
        <v>1</v>
      </c>
      <c r="M9666">
        <v>13</v>
      </c>
      <c r="N9666" t="s">
        <v>35</v>
      </c>
      <c r="O9666" t="s">
        <v>30</v>
      </c>
      <c r="P9666">
        <v>9.4661757272036997</v>
      </c>
      <c r="Q9666">
        <v>1.97382197615082</v>
      </c>
      <c r="R9666">
        <v>6.66856556874923</v>
      </c>
      <c r="S9666">
        <v>17</v>
      </c>
      <c r="T9666">
        <v>21</v>
      </c>
      <c r="U9666">
        <v>463.83673078680101</v>
      </c>
      <c r="V9666">
        <v>2.7577428935086899E-3</v>
      </c>
      <c r="W9666">
        <v>2422745.5016157702</v>
      </c>
      <c r="X9666" t="s">
        <v>28</v>
      </c>
      <c r="Y9666">
        <f>1-742-339-8681</f>
        <v>-9761</v>
      </c>
    </row>
    <row r="9667" spans="1:25" x14ac:dyDescent="0.35">
      <c r="A9667">
        <v>41.778334664335297</v>
      </c>
      <c r="B9667">
        <v>-123.652507572342</v>
      </c>
      <c r="C9667" t="s">
        <v>25</v>
      </c>
      <c r="D9667">
        <v>42.024438371898697</v>
      </c>
      <c r="E9667">
        <v>1</v>
      </c>
      <c r="F9667">
        <v>1623</v>
      </c>
      <c r="G9667">
        <v>1</v>
      </c>
      <c r="H9667">
        <v>2</v>
      </c>
      <c r="I9667">
        <v>1958</v>
      </c>
      <c r="J9667">
        <v>1</v>
      </c>
      <c r="K9667">
        <v>1</v>
      </c>
      <c r="L9667">
        <v>0</v>
      </c>
      <c r="M9667">
        <v>4</v>
      </c>
      <c r="N9667" t="s">
        <v>26</v>
      </c>
      <c r="O9667" t="s">
        <v>27</v>
      </c>
      <c r="P9667">
        <v>14.8490651467761</v>
      </c>
      <c r="Q9667">
        <v>2.2399598825536602</v>
      </c>
      <c r="R9667">
        <v>2.1070120532562902</v>
      </c>
      <c r="S9667">
        <v>166</v>
      </c>
      <c r="T9667">
        <v>47</v>
      </c>
      <c r="U9667">
        <v>317.55726381312502</v>
      </c>
      <c r="V9667">
        <v>2.4645717806531099E-3</v>
      </c>
      <c r="W9667">
        <v>813971.90263944794</v>
      </c>
      <c r="X9667" t="s">
        <v>42</v>
      </c>
      <c r="Y9667">
        <f>1-740-761-8050</f>
        <v>-9550</v>
      </c>
    </row>
    <row r="9668" spans="1:25" x14ac:dyDescent="0.35">
      <c r="A9668">
        <v>37.983472815044401</v>
      </c>
      <c r="B9668">
        <v>-122.635455166574</v>
      </c>
      <c r="C9668" t="s">
        <v>29</v>
      </c>
      <c r="D9668">
        <v>24.8435436886103</v>
      </c>
      <c r="E9668">
        <v>5</v>
      </c>
      <c r="F9668">
        <v>868</v>
      </c>
      <c r="G9668">
        <v>4</v>
      </c>
      <c r="H9668">
        <v>1</v>
      </c>
      <c r="I9668">
        <v>1976</v>
      </c>
      <c r="J9668">
        <v>1</v>
      </c>
      <c r="K9668">
        <v>0</v>
      </c>
      <c r="L9668">
        <v>1</v>
      </c>
      <c r="M9668">
        <v>6</v>
      </c>
      <c r="N9668" t="s">
        <v>26</v>
      </c>
      <c r="O9668" t="s">
        <v>32</v>
      </c>
      <c r="P9668">
        <v>9.7271978300221704</v>
      </c>
      <c r="Q9668">
        <v>1.64826176843256</v>
      </c>
      <c r="R9668">
        <v>1.58488566343939</v>
      </c>
      <c r="S9668">
        <v>83</v>
      </c>
      <c r="T9668">
        <v>41</v>
      </c>
      <c r="U9668">
        <v>754.43351641640197</v>
      </c>
      <c r="V9668">
        <v>6.9124423963133601E-3</v>
      </c>
      <c r="W9668">
        <v>1004214.07179969</v>
      </c>
      <c r="X9668" t="s">
        <v>40</v>
      </c>
      <c r="Y9668">
        <f>1-559-210-3006</f>
        <v>-3774</v>
      </c>
    </row>
    <row r="9669" spans="1:25" x14ac:dyDescent="0.35">
      <c r="A9669">
        <v>39.455899087137396</v>
      </c>
      <c r="B9669">
        <v>-122.254691683033</v>
      </c>
      <c r="C9669" t="s">
        <v>34</v>
      </c>
      <c r="D9669">
        <v>47.5222069039175</v>
      </c>
      <c r="E9669">
        <v>5</v>
      </c>
      <c r="F9669">
        <v>4770</v>
      </c>
      <c r="G9669">
        <v>5</v>
      </c>
      <c r="H9669">
        <v>3</v>
      </c>
      <c r="I9669">
        <v>1967</v>
      </c>
      <c r="J9669">
        <v>1</v>
      </c>
      <c r="K9669">
        <v>0</v>
      </c>
      <c r="L9669">
        <v>1</v>
      </c>
      <c r="M9669">
        <v>2</v>
      </c>
      <c r="N9669" t="s">
        <v>35</v>
      </c>
      <c r="O9669" t="s">
        <v>32</v>
      </c>
      <c r="P9669">
        <v>4.5978959406389404</v>
      </c>
      <c r="Q9669">
        <v>0.85241661512329803</v>
      </c>
      <c r="R9669">
        <v>4.9685234006018302</v>
      </c>
      <c r="S9669">
        <v>19</v>
      </c>
      <c r="T9669">
        <v>77</v>
      </c>
      <c r="U9669">
        <v>488.80940847199901</v>
      </c>
      <c r="V9669">
        <v>4.1928721174004099E-4</v>
      </c>
      <c r="W9669">
        <v>2705515.1733156401</v>
      </c>
      <c r="X9669" t="s">
        <v>28</v>
      </c>
      <c r="Y9669">
        <f>1-234-709-9763</f>
        <v>-10705</v>
      </c>
    </row>
    <row r="9670" spans="1:25" x14ac:dyDescent="0.35">
      <c r="A9670">
        <v>38.268878704794901</v>
      </c>
      <c r="B9670">
        <v>-119.373300816502</v>
      </c>
      <c r="C9670" t="s">
        <v>25</v>
      </c>
      <c r="D9670">
        <v>34.867713269940801</v>
      </c>
      <c r="E9670">
        <v>0</v>
      </c>
      <c r="F9670">
        <v>2784</v>
      </c>
      <c r="G9670">
        <v>1</v>
      </c>
      <c r="H9670">
        <v>1</v>
      </c>
      <c r="I9670">
        <v>1985</v>
      </c>
      <c r="J9670">
        <v>1</v>
      </c>
      <c r="K9670">
        <v>0</v>
      </c>
      <c r="L9670">
        <v>1</v>
      </c>
      <c r="M9670">
        <v>5</v>
      </c>
      <c r="N9670" t="s">
        <v>35</v>
      </c>
      <c r="O9670" t="s">
        <v>27</v>
      </c>
      <c r="P9670">
        <v>6.5895835926559396</v>
      </c>
      <c r="Q9670">
        <v>1.4915289021137701</v>
      </c>
      <c r="R9670">
        <v>1.4959903190986299</v>
      </c>
      <c r="S9670">
        <v>35</v>
      </c>
      <c r="T9670">
        <v>37</v>
      </c>
      <c r="U9670">
        <v>466.83608983929298</v>
      </c>
      <c r="V9670">
        <v>1.79597701149425E-3</v>
      </c>
      <c r="W9670">
        <v>1495977.6900379199</v>
      </c>
      <c r="X9670" t="s">
        <v>31</v>
      </c>
      <c r="Y9670">
        <f>1-670-481-7568</f>
        <v>-8718</v>
      </c>
    </row>
    <row r="9671" spans="1:25" x14ac:dyDescent="0.35">
      <c r="A9671">
        <v>34.5388619092559</v>
      </c>
      <c r="B9671">
        <v>-114.637855932175</v>
      </c>
      <c r="C9671" t="s">
        <v>25</v>
      </c>
      <c r="D9671">
        <v>41.792750478667401</v>
      </c>
      <c r="E9671">
        <v>0</v>
      </c>
      <c r="F9671">
        <v>1720</v>
      </c>
      <c r="G9671">
        <v>2</v>
      </c>
      <c r="H9671">
        <v>2</v>
      </c>
      <c r="I9671">
        <v>1991</v>
      </c>
      <c r="J9671">
        <v>0</v>
      </c>
      <c r="K9671">
        <v>1</v>
      </c>
      <c r="L9671">
        <v>1</v>
      </c>
      <c r="M9671">
        <v>8</v>
      </c>
      <c r="N9671" t="s">
        <v>41</v>
      </c>
      <c r="O9671" t="s">
        <v>30</v>
      </c>
      <c r="P9671">
        <v>12.7584014448651</v>
      </c>
      <c r="Q9671">
        <v>1.0654544604752201</v>
      </c>
      <c r="R9671">
        <v>8.1614163005190097</v>
      </c>
      <c r="S9671">
        <v>39</v>
      </c>
      <c r="T9671">
        <v>24</v>
      </c>
      <c r="U9671">
        <v>932.56240656671002</v>
      </c>
      <c r="V9671">
        <v>4.65116279069767E-3</v>
      </c>
      <c r="W9671">
        <v>1901248.3720533899</v>
      </c>
      <c r="X9671" t="s">
        <v>33</v>
      </c>
      <c r="Y9671">
        <f>1-470-309-1049</f>
        <v>-1827</v>
      </c>
    </row>
    <row r="9672" spans="1:25" x14ac:dyDescent="0.35">
      <c r="A9672">
        <v>33.753098045672999</v>
      </c>
      <c r="B9672">
        <v>-114.588723447711</v>
      </c>
      <c r="C9672" t="s">
        <v>29</v>
      </c>
      <c r="D9672">
        <v>23.128416333956601</v>
      </c>
      <c r="E9672">
        <v>0</v>
      </c>
      <c r="F9672">
        <v>684</v>
      </c>
      <c r="G9672">
        <v>1</v>
      </c>
      <c r="H9672">
        <v>2</v>
      </c>
      <c r="I9672">
        <v>1979</v>
      </c>
      <c r="J9672">
        <v>0</v>
      </c>
      <c r="K9672">
        <v>0</v>
      </c>
      <c r="L9672">
        <v>1</v>
      </c>
      <c r="M9672">
        <v>3</v>
      </c>
      <c r="N9672" t="s">
        <v>26</v>
      </c>
      <c r="O9672" t="s">
        <v>30</v>
      </c>
      <c r="P9672">
        <v>11.7486225800904</v>
      </c>
      <c r="Q9672">
        <v>1.96830611388833</v>
      </c>
      <c r="R9672">
        <v>7.3759908982485003</v>
      </c>
      <c r="S9672">
        <v>71</v>
      </c>
      <c r="T9672">
        <v>64</v>
      </c>
      <c r="U9672">
        <v>796.81431038159201</v>
      </c>
      <c r="V9672">
        <v>4.3859649122806998E-3</v>
      </c>
      <c r="W9672">
        <v>756485.34157025395</v>
      </c>
      <c r="X9672" t="s">
        <v>42</v>
      </c>
      <c r="Y9672">
        <f>1-294-835-8134</f>
        <v>-9262</v>
      </c>
    </row>
    <row r="9673" spans="1:25" x14ac:dyDescent="0.35">
      <c r="A9673">
        <v>41.349686136169701</v>
      </c>
      <c r="B9673">
        <v>-124.15052584713401</v>
      </c>
      <c r="C9673" t="s">
        <v>25</v>
      </c>
      <c r="D9673">
        <v>34.6257238729291</v>
      </c>
      <c r="E9673">
        <v>6</v>
      </c>
      <c r="F9673">
        <v>2847</v>
      </c>
      <c r="G9673">
        <v>3</v>
      </c>
      <c r="H9673">
        <v>2</v>
      </c>
      <c r="I9673">
        <v>1967</v>
      </c>
      <c r="J9673">
        <v>1</v>
      </c>
      <c r="K9673">
        <v>0</v>
      </c>
      <c r="L9673">
        <v>0</v>
      </c>
      <c r="M9673">
        <v>3</v>
      </c>
      <c r="N9673" t="s">
        <v>37</v>
      </c>
      <c r="O9673" t="s">
        <v>32</v>
      </c>
      <c r="P9673">
        <v>3.8628845431627901</v>
      </c>
      <c r="Q9673">
        <v>1.1868668372303299</v>
      </c>
      <c r="R9673">
        <v>4.6202218054474304</v>
      </c>
      <c r="S9673">
        <v>21</v>
      </c>
      <c r="T9673">
        <v>73</v>
      </c>
      <c r="U9673">
        <v>323.01656210530501</v>
      </c>
      <c r="V9673">
        <v>1.05374077976817E-3</v>
      </c>
      <c r="W9673">
        <v>1055444.8741077101</v>
      </c>
      <c r="X9673" t="s">
        <v>33</v>
      </c>
      <c r="Y9673">
        <f>1-283-945-5792</f>
        <v>-7019</v>
      </c>
    </row>
    <row r="9674" spans="1:25" x14ac:dyDescent="0.35">
      <c r="A9674">
        <v>39.030204568564699</v>
      </c>
      <c r="B9674">
        <v>-117.453452216939</v>
      </c>
      <c r="C9674" t="s">
        <v>34</v>
      </c>
      <c r="D9674">
        <v>45.346999334774701</v>
      </c>
      <c r="E9674">
        <v>2</v>
      </c>
      <c r="F9674">
        <v>616</v>
      </c>
      <c r="G9674">
        <v>1</v>
      </c>
      <c r="H9674">
        <v>3</v>
      </c>
      <c r="I9674">
        <v>2018</v>
      </c>
      <c r="J9674">
        <v>0</v>
      </c>
      <c r="K9674">
        <v>1</v>
      </c>
      <c r="L9674">
        <v>1</v>
      </c>
      <c r="M9674">
        <v>9</v>
      </c>
      <c r="N9674" t="s">
        <v>26</v>
      </c>
      <c r="O9674" t="s">
        <v>27</v>
      </c>
      <c r="P9674">
        <v>9.6977924314521307</v>
      </c>
      <c r="Q9674">
        <v>1.7129192938681399</v>
      </c>
      <c r="R9674">
        <v>4.2862853638369103</v>
      </c>
      <c r="S9674">
        <v>168</v>
      </c>
      <c r="T9674">
        <v>24</v>
      </c>
      <c r="U9674">
        <v>815.96138863852798</v>
      </c>
      <c r="V9674">
        <v>1.46103896103896E-2</v>
      </c>
      <c r="W9674">
        <v>786478.73900765995</v>
      </c>
      <c r="X9674" t="s">
        <v>38</v>
      </c>
      <c r="Y9674">
        <f>1-683-815-8430</f>
        <v>-9927</v>
      </c>
    </row>
    <row r="9675" spans="1:25" x14ac:dyDescent="0.35">
      <c r="A9675">
        <v>33.175017141197401</v>
      </c>
      <c r="B9675">
        <v>-118.427107714095</v>
      </c>
      <c r="C9675" t="s">
        <v>34</v>
      </c>
      <c r="D9675">
        <v>13.5536284696596</v>
      </c>
      <c r="E9675">
        <v>0</v>
      </c>
      <c r="F9675">
        <v>2487</v>
      </c>
      <c r="G9675">
        <v>2</v>
      </c>
      <c r="H9675">
        <v>1</v>
      </c>
      <c r="I9675">
        <v>1965</v>
      </c>
      <c r="J9675">
        <v>0</v>
      </c>
      <c r="K9675">
        <v>1</v>
      </c>
      <c r="L9675">
        <v>0</v>
      </c>
      <c r="M9675">
        <v>13</v>
      </c>
      <c r="N9675" t="s">
        <v>35</v>
      </c>
      <c r="O9675" t="s">
        <v>30</v>
      </c>
      <c r="P9675">
        <v>10.5255956563854</v>
      </c>
      <c r="Q9675">
        <v>0.98348331408178602</v>
      </c>
      <c r="R9675">
        <v>3.3043244126937301</v>
      </c>
      <c r="S9675">
        <v>192</v>
      </c>
      <c r="T9675">
        <v>49</v>
      </c>
      <c r="U9675">
        <v>216.18403567139501</v>
      </c>
      <c r="V9675">
        <v>5.2271813429835097E-3</v>
      </c>
      <c r="W9675">
        <v>750764.61077582499</v>
      </c>
      <c r="X9675" t="s">
        <v>43</v>
      </c>
      <c r="Y9675">
        <f>1-408-928-3429</f>
        <v>-4764</v>
      </c>
    </row>
    <row r="9676" spans="1:25" x14ac:dyDescent="0.35">
      <c r="A9676">
        <v>35.847230878581598</v>
      </c>
      <c r="B9676">
        <v>-122.232619112321</v>
      </c>
      <c r="C9676" t="s">
        <v>34</v>
      </c>
      <c r="D9676">
        <v>37.364147938977197</v>
      </c>
      <c r="E9676">
        <v>6</v>
      </c>
      <c r="F9676">
        <v>2655</v>
      </c>
      <c r="G9676">
        <v>1</v>
      </c>
      <c r="H9676">
        <v>3</v>
      </c>
      <c r="I9676">
        <v>1988</v>
      </c>
      <c r="J9676">
        <v>0</v>
      </c>
      <c r="K9676">
        <v>0</v>
      </c>
      <c r="L9676">
        <v>0</v>
      </c>
      <c r="M9676">
        <v>7</v>
      </c>
      <c r="N9676" t="s">
        <v>26</v>
      </c>
      <c r="O9676" t="s">
        <v>32</v>
      </c>
      <c r="P9676">
        <v>3.72816520873263</v>
      </c>
      <c r="Q9676">
        <v>1.0341429343205799</v>
      </c>
      <c r="R9676">
        <v>8.2885244367178199</v>
      </c>
      <c r="S9676">
        <v>27</v>
      </c>
      <c r="T9676">
        <v>74</v>
      </c>
      <c r="U9676">
        <v>231.24231267188699</v>
      </c>
      <c r="V9676">
        <v>2.63653483992467E-3</v>
      </c>
      <c r="W9676">
        <v>718788.91170351801</v>
      </c>
      <c r="X9676" t="s">
        <v>36</v>
      </c>
      <c r="Y9676">
        <f>1-362-474-1624</f>
        <v>-2459</v>
      </c>
    </row>
    <row r="9677" spans="1:25" x14ac:dyDescent="0.35">
      <c r="A9677">
        <v>37.388132799044001</v>
      </c>
      <c r="B9677">
        <v>-119.578838396005</v>
      </c>
      <c r="C9677" t="s">
        <v>34</v>
      </c>
      <c r="D9677">
        <v>36.501980156212802</v>
      </c>
      <c r="E9677">
        <v>7</v>
      </c>
      <c r="F9677">
        <v>1144</v>
      </c>
      <c r="G9677">
        <v>5</v>
      </c>
      <c r="H9677">
        <v>1</v>
      </c>
      <c r="I9677">
        <v>1973</v>
      </c>
      <c r="J9677">
        <v>0</v>
      </c>
      <c r="K9677">
        <v>1</v>
      </c>
      <c r="L9677">
        <v>1</v>
      </c>
      <c r="M9677">
        <v>12</v>
      </c>
      <c r="N9677" t="s">
        <v>26</v>
      </c>
      <c r="O9677" t="s">
        <v>27</v>
      </c>
      <c r="P9677">
        <v>7.5877589565806298</v>
      </c>
      <c r="Q9677">
        <v>2.4426694949361698</v>
      </c>
      <c r="R9677">
        <v>2.1269127702316299</v>
      </c>
      <c r="S9677">
        <v>194</v>
      </c>
      <c r="T9677">
        <v>76</v>
      </c>
      <c r="U9677">
        <v>280.79697521065998</v>
      </c>
      <c r="V9677">
        <v>1.04895104895104E-2</v>
      </c>
      <c r="W9677">
        <v>667597.359769759</v>
      </c>
      <c r="X9677" t="s">
        <v>33</v>
      </c>
      <c r="Y9677">
        <f>1-662-691-3573</f>
        <v>-4925</v>
      </c>
    </row>
    <row r="9678" spans="1:25" x14ac:dyDescent="0.35">
      <c r="A9678">
        <v>38.595294077283597</v>
      </c>
      <c r="B9678">
        <v>-115.016269928318</v>
      </c>
      <c r="C9678" t="s">
        <v>29</v>
      </c>
      <c r="D9678">
        <v>41.151770976654099</v>
      </c>
      <c r="E9678">
        <v>1</v>
      </c>
      <c r="F9678">
        <v>2033</v>
      </c>
      <c r="G9678">
        <v>3</v>
      </c>
      <c r="H9678">
        <v>2</v>
      </c>
      <c r="I9678">
        <v>2022</v>
      </c>
      <c r="J9678">
        <v>1</v>
      </c>
      <c r="K9678">
        <v>1</v>
      </c>
      <c r="L9678">
        <v>1</v>
      </c>
      <c r="M9678">
        <v>13</v>
      </c>
      <c r="N9678" t="s">
        <v>35</v>
      </c>
      <c r="O9678" t="s">
        <v>27</v>
      </c>
      <c r="P9678">
        <v>8.0573202848198893</v>
      </c>
      <c r="Q9678">
        <v>0.78850235351854403</v>
      </c>
      <c r="R9678">
        <v>7.6657941484756797</v>
      </c>
      <c r="S9678">
        <v>135</v>
      </c>
      <c r="T9678">
        <v>69</v>
      </c>
      <c r="U9678">
        <v>431.167166422143</v>
      </c>
      <c r="V9678">
        <v>6.3944909001475599E-3</v>
      </c>
      <c r="W9678">
        <v>1315792.04333359</v>
      </c>
      <c r="X9678" t="s">
        <v>36</v>
      </c>
      <c r="Y9678">
        <f>1-395-192-1314</f>
        <v>-1900</v>
      </c>
    </row>
    <row r="9679" spans="1:25" x14ac:dyDescent="0.35">
      <c r="A9679">
        <v>34.332911869822702</v>
      </c>
      <c r="B9679">
        <v>-119.010899844938</v>
      </c>
      <c r="C9679" t="s">
        <v>34</v>
      </c>
      <c r="D9679">
        <v>48.291187130570897</v>
      </c>
      <c r="E9679">
        <v>9</v>
      </c>
      <c r="F9679">
        <v>2382</v>
      </c>
      <c r="G9679">
        <v>3</v>
      </c>
      <c r="H9679">
        <v>1</v>
      </c>
      <c r="I9679">
        <v>2015</v>
      </c>
      <c r="J9679">
        <v>1</v>
      </c>
      <c r="K9679">
        <v>0</v>
      </c>
      <c r="L9679">
        <v>1</v>
      </c>
      <c r="M9679">
        <v>6</v>
      </c>
      <c r="N9679" t="s">
        <v>37</v>
      </c>
      <c r="O9679" t="s">
        <v>30</v>
      </c>
      <c r="P9679">
        <v>14.4637723767589</v>
      </c>
      <c r="Q9679">
        <v>2.22600484921223</v>
      </c>
      <c r="R9679">
        <v>2.9362725332968198</v>
      </c>
      <c r="S9679">
        <v>90</v>
      </c>
      <c r="T9679">
        <v>31</v>
      </c>
      <c r="U9679">
        <v>347.16200133035397</v>
      </c>
      <c r="V9679">
        <v>2.5188916876574298E-3</v>
      </c>
      <c r="W9679">
        <v>1145611.2350562101</v>
      </c>
      <c r="X9679" t="s">
        <v>38</v>
      </c>
      <c r="Y9679">
        <f>1-994-409-1820</f>
        <v>-3222</v>
      </c>
    </row>
    <row r="9680" spans="1:25" x14ac:dyDescent="0.35">
      <c r="A9680">
        <v>35.474065754811498</v>
      </c>
      <c r="B9680">
        <v>-117.652445330918</v>
      </c>
      <c r="C9680" t="s">
        <v>25</v>
      </c>
      <c r="D9680">
        <v>48.897645639971103</v>
      </c>
      <c r="E9680">
        <v>2</v>
      </c>
      <c r="F9680">
        <v>2453</v>
      </c>
      <c r="G9680">
        <v>5</v>
      </c>
      <c r="H9680">
        <v>3</v>
      </c>
      <c r="I9680">
        <v>2013</v>
      </c>
      <c r="J9680">
        <v>0</v>
      </c>
      <c r="K9680">
        <v>1</v>
      </c>
      <c r="L9680">
        <v>1</v>
      </c>
      <c r="M9680">
        <v>10</v>
      </c>
      <c r="N9680" t="s">
        <v>37</v>
      </c>
      <c r="O9680" t="s">
        <v>32</v>
      </c>
      <c r="P9680">
        <v>11.757013958827001</v>
      </c>
      <c r="Q9680">
        <v>0.62822741621115497</v>
      </c>
      <c r="R9680">
        <v>8.5753446777262798</v>
      </c>
      <c r="S9680">
        <v>8</v>
      </c>
      <c r="T9680">
        <v>68</v>
      </c>
      <c r="U9680">
        <v>651.75575630663002</v>
      </c>
      <c r="V9680">
        <v>4.0766408479412904E-3</v>
      </c>
      <c r="W9680">
        <v>2065310.1346056601</v>
      </c>
      <c r="X9680" t="s">
        <v>31</v>
      </c>
      <c r="Y9680">
        <f>1-344-754-7662</f>
        <v>-8759</v>
      </c>
    </row>
    <row r="9681" spans="1:25" x14ac:dyDescent="0.35">
      <c r="A9681">
        <v>41.489682268496502</v>
      </c>
      <c r="B9681">
        <v>-119.83215476284801</v>
      </c>
      <c r="C9681" t="s">
        <v>34</v>
      </c>
      <c r="D9681">
        <v>10.1806034094918</v>
      </c>
      <c r="E9681">
        <v>7</v>
      </c>
      <c r="F9681">
        <v>4959</v>
      </c>
      <c r="G9681">
        <v>5</v>
      </c>
      <c r="H9681">
        <v>2</v>
      </c>
      <c r="I9681">
        <v>2011</v>
      </c>
      <c r="J9681">
        <v>1</v>
      </c>
      <c r="K9681">
        <v>0</v>
      </c>
      <c r="L9681">
        <v>0</v>
      </c>
      <c r="M9681">
        <v>12</v>
      </c>
      <c r="N9681" t="s">
        <v>35</v>
      </c>
      <c r="O9681" t="s">
        <v>32</v>
      </c>
      <c r="P9681">
        <v>4.1798796159792202</v>
      </c>
      <c r="Q9681">
        <v>0.71985819774742299</v>
      </c>
      <c r="R9681">
        <v>8.4566022535364205</v>
      </c>
      <c r="S9681">
        <v>166</v>
      </c>
      <c r="T9681">
        <v>53</v>
      </c>
      <c r="U9681">
        <v>690.64820223943605</v>
      </c>
      <c r="V9681">
        <v>2.41984271022383E-3</v>
      </c>
      <c r="W9681">
        <v>3724153.4786899099</v>
      </c>
      <c r="X9681" t="s">
        <v>28</v>
      </c>
      <c r="Y9681">
        <f>1-275-592-8175</f>
        <v>-9041</v>
      </c>
    </row>
    <row r="9682" spans="1:25" x14ac:dyDescent="0.35">
      <c r="A9682">
        <v>41.473080348855099</v>
      </c>
      <c r="B9682">
        <v>-122.82130325889101</v>
      </c>
      <c r="C9682" t="s">
        <v>25</v>
      </c>
      <c r="D9682">
        <v>40.513220163683101</v>
      </c>
      <c r="E9682">
        <v>0</v>
      </c>
      <c r="F9682">
        <v>1156</v>
      </c>
      <c r="G9682">
        <v>5</v>
      </c>
      <c r="H9682">
        <v>2</v>
      </c>
      <c r="I9682">
        <v>2015</v>
      </c>
      <c r="J9682">
        <v>0</v>
      </c>
      <c r="K9682">
        <v>1</v>
      </c>
      <c r="L9682">
        <v>1</v>
      </c>
      <c r="M9682">
        <v>12</v>
      </c>
      <c r="N9682" t="s">
        <v>37</v>
      </c>
      <c r="O9682" t="s">
        <v>27</v>
      </c>
      <c r="P9682">
        <v>14.190508249813799</v>
      </c>
      <c r="Q9682">
        <v>1.892082099299</v>
      </c>
      <c r="R9682">
        <v>0.51204481558866699</v>
      </c>
      <c r="S9682">
        <v>165</v>
      </c>
      <c r="T9682">
        <v>43</v>
      </c>
      <c r="U9682">
        <v>341.78667057604201</v>
      </c>
      <c r="V9682">
        <v>1.03806228373702E-2</v>
      </c>
      <c r="W9682">
        <v>1057149.90101328</v>
      </c>
      <c r="X9682" t="s">
        <v>28</v>
      </c>
      <c r="Y9682">
        <f>1-943-722-4765</f>
        <v>-6429</v>
      </c>
    </row>
    <row r="9683" spans="1:25" x14ac:dyDescent="0.35">
      <c r="A9683">
        <v>36.623274204622099</v>
      </c>
      <c r="B9683">
        <v>-117.282981540751</v>
      </c>
      <c r="C9683" t="s">
        <v>29</v>
      </c>
      <c r="D9683">
        <v>37.983229625582602</v>
      </c>
      <c r="E9683">
        <v>6</v>
      </c>
      <c r="F9683">
        <v>3890</v>
      </c>
      <c r="G9683">
        <v>3</v>
      </c>
      <c r="H9683">
        <v>1</v>
      </c>
      <c r="I9683">
        <v>1958</v>
      </c>
      <c r="J9683">
        <v>0</v>
      </c>
      <c r="K9683">
        <v>0</v>
      </c>
      <c r="L9683">
        <v>1</v>
      </c>
      <c r="M9683">
        <v>10</v>
      </c>
      <c r="N9683" t="s">
        <v>26</v>
      </c>
      <c r="O9683" t="s">
        <v>32</v>
      </c>
      <c r="P9683">
        <v>7.1793351424437999</v>
      </c>
      <c r="Q9683">
        <v>1.07481531136402</v>
      </c>
      <c r="R9683">
        <v>5.7241208054503598</v>
      </c>
      <c r="S9683">
        <v>58</v>
      </c>
      <c r="T9683">
        <v>21</v>
      </c>
      <c r="U9683">
        <v>656.25958381611395</v>
      </c>
      <c r="V9683">
        <v>2.5706940874035901E-3</v>
      </c>
      <c r="W9683">
        <v>2795085.5272536399</v>
      </c>
      <c r="X9683" t="s">
        <v>40</v>
      </c>
      <c r="Y9683">
        <f>1-295-683-3538</f>
        <v>-4515</v>
      </c>
    </row>
    <row r="9684" spans="1:25" x14ac:dyDescent="0.35">
      <c r="A9684">
        <v>33.353983672811403</v>
      </c>
      <c r="B9684">
        <v>-121.105310348985</v>
      </c>
      <c r="C9684" t="s">
        <v>34</v>
      </c>
      <c r="D9684">
        <v>26.264854250877999</v>
      </c>
      <c r="E9684">
        <v>4</v>
      </c>
      <c r="F9684">
        <v>3201</v>
      </c>
      <c r="G9684">
        <v>2</v>
      </c>
      <c r="H9684">
        <v>3</v>
      </c>
      <c r="I9684">
        <v>1988</v>
      </c>
      <c r="J9684">
        <v>1</v>
      </c>
      <c r="K9684">
        <v>1</v>
      </c>
      <c r="L9684">
        <v>0</v>
      </c>
      <c r="M9684">
        <v>6</v>
      </c>
      <c r="N9684" t="s">
        <v>35</v>
      </c>
      <c r="O9684" t="s">
        <v>32</v>
      </c>
      <c r="P9684">
        <v>7.9630879813536497</v>
      </c>
      <c r="Q9684">
        <v>1.12405034140064</v>
      </c>
      <c r="R9684">
        <v>6.2344845734751102</v>
      </c>
      <c r="S9684">
        <v>108</v>
      </c>
      <c r="T9684">
        <v>37</v>
      </c>
      <c r="U9684">
        <v>739.26003333030496</v>
      </c>
      <c r="V9684">
        <v>1.8744142455482599E-3</v>
      </c>
      <c r="W9684">
        <v>2634697.98189724</v>
      </c>
      <c r="X9684" t="s">
        <v>40</v>
      </c>
      <c r="Y9684">
        <f>1-212-467-9704</f>
        <v>-10382</v>
      </c>
    </row>
    <row r="9685" spans="1:25" x14ac:dyDescent="0.35">
      <c r="A9685">
        <v>34.496796274262302</v>
      </c>
      <c r="B9685">
        <v>-123.384089320432</v>
      </c>
      <c r="C9685" t="s">
        <v>29</v>
      </c>
      <c r="D9685">
        <v>31.773627874087399</v>
      </c>
      <c r="E9685">
        <v>6</v>
      </c>
      <c r="F9685">
        <v>3205</v>
      </c>
      <c r="G9685">
        <v>3</v>
      </c>
      <c r="H9685">
        <v>2</v>
      </c>
      <c r="I9685">
        <v>1999</v>
      </c>
      <c r="J9685">
        <v>0</v>
      </c>
      <c r="K9685">
        <v>1</v>
      </c>
      <c r="L9685">
        <v>0</v>
      </c>
      <c r="M9685">
        <v>3</v>
      </c>
      <c r="N9685" t="s">
        <v>26</v>
      </c>
      <c r="O9685" t="s">
        <v>32</v>
      </c>
      <c r="P9685">
        <v>9.3949145251062092</v>
      </c>
      <c r="Q9685">
        <v>1.09484213328203</v>
      </c>
      <c r="R9685">
        <v>9.7049469474769392</v>
      </c>
      <c r="S9685">
        <v>138</v>
      </c>
      <c r="T9685">
        <v>62</v>
      </c>
      <c r="U9685">
        <v>441.52099265531803</v>
      </c>
      <c r="V9685">
        <v>9.3603744149765996E-4</v>
      </c>
      <c r="W9685">
        <v>1800057.96707419</v>
      </c>
      <c r="X9685" t="s">
        <v>43</v>
      </c>
      <c r="Y9685">
        <f>1-339-263-2883</f>
        <v>-3484</v>
      </c>
    </row>
    <row r="9686" spans="1:25" x14ac:dyDescent="0.35">
      <c r="A9686">
        <v>38.0606107229843</v>
      </c>
      <c r="B9686">
        <v>-123.183221901858</v>
      </c>
      <c r="C9686" t="s">
        <v>25</v>
      </c>
      <c r="D9686">
        <v>30.230150641692301</v>
      </c>
      <c r="E9686">
        <v>2</v>
      </c>
      <c r="F9686">
        <v>3371</v>
      </c>
      <c r="G9686">
        <v>4</v>
      </c>
      <c r="H9686">
        <v>2</v>
      </c>
      <c r="I9686">
        <v>1990</v>
      </c>
      <c r="J9686">
        <v>0</v>
      </c>
      <c r="K9686">
        <v>0</v>
      </c>
      <c r="L9686">
        <v>0</v>
      </c>
      <c r="M9686">
        <v>8</v>
      </c>
      <c r="N9686" t="s">
        <v>37</v>
      </c>
      <c r="O9686" t="s">
        <v>27</v>
      </c>
      <c r="P9686">
        <v>12.059700528876901</v>
      </c>
      <c r="Q9686">
        <v>2.1070698767838301</v>
      </c>
      <c r="R9686">
        <v>0.58913926377399295</v>
      </c>
      <c r="S9686">
        <v>31</v>
      </c>
      <c r="T9686">
        <v>76</v>
      </c>
      <c r="U9686">
        <v>456.529077342265</v>
      </c>
      <c r="V9686">
        <v>2.3731830317413201E-3</v>
      </c>
      <c r="W9686">
        <v>1898846.83224265</v>
      </c>
      <c r="X9686" t="s">
        <v>28</v>
      </c>
      <c r="Y9686">
        <f>1-953-631-5683</f>
        <v>-7266</v>
      </c>
    </row>
    <row r="9687" spans="1:25" x14ac:dyDescent="0.35">
      <c r="A9687">
        <v>40.211475429216598</v>
      </c>
      <c r="B9687">
        <v>-120.768589032926</v>
      </c>
      <c r="C9687" t="s">
        <v>34</v>
      </c>
      <c r="D9687">
        <v>3.6121597131461902</v>
      </c>
      <c r="E9687">
        <v>4</v>
      </c>
      <c r="F9687">
        <v>4912</v>
      </c>
      <c r="G9687">
        <v>5</v>
      </c>
      <c r="H9687">
        <v>2</v>
      </c>
      <c r="I9687">
        <v>1969</v>
      </c>
      <c r="J9687">
        <v>0</v>
      </c>
      <c r="K9687">
        <v>1</v>
      </c>
      <c r="L9687">
        <v>1</v>
      </c>
      <c r="M9687">
        <v>12</v>
      </c>
      <c r="N9687" t="s">
        <v>35</v>
      </c>
      <c r="O9687" t="s">
        <v>27</v>
      </c>
      <c r="P9687">
        <v>6.9164453062435998</v>
      </c>
      <c r="Q9687">
        <v>1.5685968015070999</v>
      </c>
      <c r="R9687">
        <v>3.7686755566324099</v>
      </c>
      <c r="S9687">
        <v>133</v>
      </c>
      <c r="T9687">
        <v>33</v>
      </c>
      <c r="U9687">
        <v>671.628967172373</v>
      </c>
      <c r="V9687">
        <v>2.442996742671E-3</v>
      </c>
      <c r="W9687">
        <v>3757057.55105587</v>
      </c>
      <c r="X9687" t="s">
        <v>42</v>
      </c>
      <c r="Y9687">
        <f>1-765-125-1837</f>
        <v>-2726</v>
      </c>
    </row>
    <row r="9688" spans="1:25" x14ac:dyDescent="0.35">
      <c r="A9688">
        <v>40.618313614861599</v>
      </c>
      <c r="B9688">
        <v>-114.539903846073</v>
      </c>
      <c r="C9688" t="s">
        <v>34</v>
      </c>
      <c r="D9688">
        <v>12.268301242666301</v>
      </c>
      <c r="E9688">
        <v>6</v>
      </c>
      <c r="F9688">
        <v>2373</v>
      </c>
      <c r="G9688">
        <v>5</v>
      </c>
      <c r="H9688">
        <v>1</v>
      </c>
      <c r="I9688">
        <v>1951</v>
      </c>
      <c r="J9688">
        <v>0</v>
      </c>
      <c r="K9688">
        <v>0</v>
      </c>
      <c r="L9688">
        <v>0</v>
      </c>
      <c r="M9688">
        <v>9</v>
      </c>
      <c r="N9688" t="s">
        <v>37</v>
      </c>
      <c r="O9688" t="s">
        <v>32</v>
      </c>
      <c r="P9688">
        <v>7.4375901730841303</v>
      </c>
      <c r="Q9688">
        <v>1.99659301634286</v>
      </c>
      <c r="R9688">
        <v>8.4000273107448695</v>
      </c>
      <c r="S9688">
        <v>151</v>
      </c>
      <c r="T9688">
        <v>39</v>
      </c>
      <c r="U9688">
        <v>224.83465294716299</v>
      </c>
      <c r="V9688">
        <v>3.79266750948166E-3</v>
      </c>
      <c r="W9688">
        <v>757588.72629068105</v>
      </c>
      <c r="X9688" t="s">
        <v>33</v>
      </c>
      <c r="Y9688">
        <f>1-972-925-2375</f>
        <v>-4271</v>
      </c>
    </row>
    <row r="9689" spans="1:25" x14ac:dyDescent="0.35">
      <c r="A9689">
        <v>34.239738046687499</v>
      </c>
      <c r="B9689">
        <v>-117.50209370159899</v>
      </c>
      <c r="C9689" t="s">
        <v>25</v>
      </c>
      <c r="D9689">
        <v>25.1137655136475</v>
      </c>
      <c r="E9689">
        <v>0</v>
      </c>
      <c r="F9689">
        <v>769</v>
      </c>
      <c r="G9689">
        <v>3</v>
      </c>
      <c r="H9689">
        <v>2</v>
      </c>
      <c r="I9689">
        <v>1979</v>
      </c>
      <c r="J9689">
        <v>1</v>
      </c>
      <c r="K9689">
        <v>1</v>
      </c>
      <c r="L9689">
        <v>0</v>
      </c>
      <c r="M9689">
        <v>2</v>
      </c>
      <c r="N9689" t="s">
        <v>41</v>
      </c>
      <c r="O9689" t="s">
        <v>30</v>
      </c>
      <c r="P9689">
        <v>13.0866300621291</v>
      </c>
      <c r="Q9689">
        <v>2.14729784305892</v>
      </c>
      <c r="R9689">
        <v>7.8400079821044502</v>
      </c>
      <c r="S9689">
        <v>24</v>
      </c>
      <c r="T9689">
        <v>36</v>
      </c>
      <c r="U9689">
        <v>831.79707939294099</v>
      </c>
      <c r="V9689">
        <v>2.6007802340702198E-3</v>
      </c>
      <c r="W9689">
        <v>1045472.3260713801</v>
      </c>
      <c r="X9689" t="s">
        <v>40</v>
      </c>
      <c r="Y9689">
        <f>1-233-627-7057</f>
        <v>-7916</v>
      </c>
    </row>
    <row r="9690" spans="1:25" x14ac:dyDescent="0.35">
      <c r="A9690">
        <v>36.536592768842802</v>
      </c>
      <c r="B9690">
        <v>-122.840816426362</v>
      </c>
      <c r="C9690" t="s">
        <v>34</v>
      </c>
      <c r="D9690">
        <v>20.448451903949199</v>
      </c>
      <c r="E9690">
        <v>7</v>
      </c>
      <c r="F9690">
        <v>3319</v>
      </c>
      <c r="G9690">
        <v>5</v>
      </c>
      <c r="H9690">
        <v>2</v>
      </c>
      <c r="I9690">
        <v>2002</v>
      </c>
      <c r="J9690">
        <v>0</v>
      </c>
      <c r="K9690">
        <v>0</v>
      </c>
      <c r="L9690">
        <v>1</v>
      </c>
      <c r="M9690">
        <v>8</v>
      </c>
      <c r="N9690" t="s">
        <v>26</v>
      </c>
      <c r="O9690" t="s">
        <v>30</v>
      </c>
      <c r="P9690">
        <v>11.192520008959701</v>
      </c>
      <c r="Q9690">
        <v>0.96821083199465796</v>
      </c>
      <c r="R9690">
        <v>6.7833150739000301</v>
      </c>
      <c r="S9690">
        <v>194</v>
      </c>
      <c r="T9690">
        <v>79</v>
      </c>
      <c r="U9690">
        <v>498.70040512089997</v>
      </c>
      <c r="V9690">
        <v>2.41036456764085E-3</v>
      </c>
      <c r="W9690">
        <v>2035300.4816264601</v>
      </c>
      <c r="X9690" t="s">
        <v>28</v>
      </c>
      <c r="Y9690">
        <f>1-812-572-3596</f>
        <v>-4979</v>
      </c>
    </row>
    <row r="9691" spans="1:25" x14ac:dyDescent="0.35">
      <c r="A9691">
        <v>36.313407873176402</v>
      </c>
      <c r="B9691">
        <v>-116.370899750718</v>
      </c>
      <c r="C9691" t="s">
        <v>29</v>
      </c>
      <c r="D9691">
        <v>1.23267422160611</v>
      </c>
      <c r="E9691">
        <v>3</v>
      </c>
      <c r="F9691">
        <v>1085</v>
      </c>
      <c r="G9691">
        <v>1</v>
      </c>
      <c r="H9691">
        <v>1</v>
      </c>
      <c r="I9691">
        <v>1967</v>
      </c>
      <c r="J9691">
        <v>1</v>
      </c>
      <c r="K9691">
        <v>1</v>
      </c>
      <c r="L9691">
        <v>1</v>
      </c>
      <c r="M9691">
        <v>2</v>
      </c>
      <c r="N9691" t="s">
        <v>41</v>
      </c>
      <c r="O9691" t="s">
        <v>30</v>
      </c>
      <c r="P9691">
        <v>11.834425458359201</v>
      </c>
      <c r="Q9691">
        <v>1.0411392879325001</v>
      </c>
      <c r="R9691">
        <v>0.24629430917769299</v>
      </c>
      <c r="S9691">
        <v>118</v>
      </c>
      <c r="T9691">
        <v>44</v>
      </c>
      <c r="U9691">
        <v>405.48470607821997</v>
      </c>
      <c r="V9691">
        <v>1.84331797235023E-3</v>
      </c>
      <c r="W9691">
        <v>713808.59209576901</v>
      </c>
      <c r="X9691" t="s">
        <v>39</v>
      </c>
      <c r="Y9691">
        <f>1-362-759-8056</f>
        <v>-9176</v>
      </c>
    </row>
    <row r="9692" spans="1:25" x14ac:dyDescent="0.35">
      <c r="A9692">
        <v>36.1017992964576</v>
      </c>
      <c r="B9692">
        <v>-123.60789629450301</v>
      </c>
      <c r="C9692" t="s">
        <v>29</v>
      </c>
      <c r="D9692">
        <v>35.259808579004797</v>
      </c>
      <c r="E9692">
        <v>5</v>
      </c>
      <c r="F9692">
        <v>4646</v>
      </c>
      <c r="G9692">
        <v>2</v>
      </c>
      <c r="H9692">
        <v>2</v>
      </c>
      <c r="I9692">
        <v>1959</v>
      </c>
      <c r="J9692">
        <v>0</v>
      </c>
      <c r="K9692">
        <v>1</v>
      </c>
      <c r="L9692">
        <v>0</v>
      </c>
      <c r="M9692">
        <v>4</v>
      </c>
      <c r="N9692" t="s">
        <v>35</v>
      </c>
      <c r="O9692" t="s">
        <v>32</v>
      </c>
      <c r="P9692">
        <v>9.4320642262174506</v>
      </c>
      <c r="Q9692">
        <v>2.0208216548714</v>
      </c>
      <c r="R9692">
        <v>3.5519473571442099</v>
      </c>
      <c r="S9692">
        <v>99</v>
      </c>
      <c r="T9692">
        <v>62</v>
      </c>
      <c r="U9692">
        <v>435.43814301795499</v>
      </c>
      <c r="V9692">
        <v>8.6095566078346901E-4</v>
      </c>
      <c r="W9692">
        <v>2168053.5714124199</v>
      </c>
      <c r="X9692" t="s">
        <v>44</v>
      </c>
      <c r="Y9692">
        <f>1-986-528-9020</f>
        <v>-10533</v>
      </c>
    </row>
    <row r="9693" spans="1:25" x14ac:dyDescent="0.35">
      <c r="A9693">
        <v>36.436466307410001</v>
      </c>
      <c r="B9693">
        <v>-115.559964708881</v>
      </c>
      <c r="C9693" t="s">
        <v>25</v>
      </c>
      <c r="D9693">
        <v>15.6947778090931</v>
      </c>
      <c r="E9693">
        <v>1</v>
      </c>
      <c r="F9693">
        <v>3161</v>
      </c>
      <c r="G9693">
        <v>4</v>
      </c>
      <c r="H9693">
        <v>1</v>
      </c>
      <c r="I9693">
        <v>2015</v>
      </c>
      <c r="J9693">
        <v>1</v>
      </c>
      <c r="K9693">
        <v>1</v>
      </c>
      <c r="L9693">
        <v>1</v>
      </c>
      <c r="M9693">
        <v>12</v>
      </c>
      <c r="N9693" t="s">
        <v>26</v>
      </c>
      <c r="O9693" t="s">
        <v>32</v>
      </c>
      <c r="P9693">
        <v>12.003455964798</v>
      </c>
      <c r="Q9693">
        <v>2.22530365692216</v>
      </c>
      <c r="R9693">
        <v>9.3389810101195696</v>
      </c>
      <c r="S9693">
        <v>134</v>
      </c>
      <c r="T9693">
        <v>43</v>
      </c>
      <c r="U9693">
        <v>236.67160992209</v>
      </c>
      <c r="V9693">
        <v>3.7962670041126198E-3</v>
      </c>
      <c r="W9693">
        <v>1115468.96169517</v>
      </c>
      <c r="X9693" t="s">
        <v>40</v>
      </c>
      <c r="Y9693">
        <f>1-704-345-1779</f>
        <v>-2827</v>
      </c>
    </row>
    <row r="9694" spans="1:25" x14ac:dyDescent="0.35">
      <c r="A9694">
        <v>32.958913703784198</v>
      </c>
      <c r="B9694">
        <v>-116.170369321564</v>
      </c>
      <c r="C9694" t="s">
        <v>29</v>
      </c>
      <c r="D9694">
        <v>37.922059127551897</v>
      </c>
      <c r="E9694">
        <v>6</v>
      </c>
      <c r="F9694">
        <v>2752</v>
      </c>
      <c r="G9694">
        <v>1</v>
      </c>
      <c r="H9694">
        <v>3</v>
      </c>
      <c r="I9694">
        <v>1996</v>
      </c>
      <c r="J9694">
        <v>1</v>
      </c>
      <c r="K9694">
        <v>0</v>
      </c>
      <c r="L9694">
        <v>0</v>
      </c>
      <c r="M9694">
        <v>13</v>
      </c>
      <c r="N9694" t="s">
        <v>37</v>
      </c>
      <c r="O9694" t="s">
        <v>32</v>
      </c>
      <c r="P9694">
        <v>10.0884830483368</v>
      </c>
      <c r="Q9694">
        <v>1.6467716211643899</v>
      </c>
      <c r="R9694">
        <v>3.7295655063123498</v>
      </c>
      <c r="S9694">
        <v>49</v>
      </c>
      <c r="T9694">
        <v>36</v>
      </c>
      <c r="U9694">
        <v>690.89771629867801</v>
      </c>
      <c r="V9694">
        <v>4.7238372093023201E-3</v>
      </c>
      <c r="W9694">
        <v>2126972.2098611598</v>
      </c>
      <c r="X9694" t="s">
        <v>39</v>
      </c>
      <c r="Y9694">
        <f>1-767-673-1482</f>
        <v>-2921</v>
      </c>
    </row>
    <row r="9695" spans="1:25" x14ac:dyDescent="0.35">
      <c r="A9695">
        <v>35.332398458877798</v>
      </c>
      <c r="B9695">
        <v>-117.80486670871601</v>
      </c>
      <c r="C9695" t="s">
        <v>25</v>
      </c>
      <c r="D9695">
        <v>42.334622352870703</v>
      </c>
      <c r="E9695">
        <v>1</v>
      </c>
      <c r="F9695">
        <v>1477</v>
      </c>
      <c r="G9695">
        <v>1</v>
      </c>
      <c r="H9695">
        <v>2</v>
      </c>
      <c r="I9695">
        <v>2010</v>
      </c>
      <c r="J9695">
        <v>1</v>
      </c>
      <c r="K9695">
        <v>0</v>
      </c>
      <c r="L9695">
        <v>1</v>
      </c>
      <c r="M9695">
        <v>5</v>
      </c>
      <c r="N9695" t="s">
        <v>41</v>
      </c>
      <c r="O9695" t="s">
        <v>32</v>
      </c>
      <c r="P9695">
        <v>8.3439562504384703</v>
      </c>
      <c r="Q9695">
        <v>2.2521262658082901</v>
      </c>
      <c r="R9695">
        <v>0.55888495886773604</v>
      </c>
      <c r="S9695">
        <v>83</v>
      </c>
      <c r="T9695">
        <v>53</v>
      </c>
      <c r="U9695">
        <v>673.26807615692701</v>
      </c>
      <c r="V9695">
        <v>3.3852403520649899E-3</v>
      </c>
      <c r="W9695">
        <v>1212371.06451763</v>
      </c>
      <c r="X9695" t="s">
        <v>43</v>
      </c>
      <c r="Y9695">
        <f>1-893-474-5216</f>
        <v>-6582</v>
      </c>
    </row>
    <row r="9696" spans="1:25" x14ac:dyDescent="0.35">
      <c r="A9696">
        <v>34.8979276725563</v>
      </c>
      <c r="B9696">
        <v>-114.880045438986</v>
      </c>
      <c r="C9696" t="s">
        <v>25</v>
      </c>
      <c r="D9696">
        <v>1.19529300882613</v>
      </c>
      <c r="E9696">
        <v>7</v>
      </c>
      <c r="F9696">
        <v>1302</v>
      </c>
      <c r="G9696">
        <v>5</v>
      </c>
      <c r="H9696">
        <v>3</v>
      </c>
      <c r="I9696">
        <v>1974</v>
      </c>
      <c r="J9696">
        <v>1</v>
      </c>
      <c r="K9696">
        <v>0</v>
      </c>
      <c r="L9696">
        <v>1</v>
      </c>
      <c r="M9696">
        <v>8</v>
      </c>
      <c r="N9696" t="s">
        <v>41</v>
      </c>
      <c r="O9696" t="s">
        <v>30</v>
      </c>
      <c r="P9696">
        <v>11.360797847403299</v>
      </c>
      <c r="Q9696">
        <v>1.00784191066068</v>
      </c>
      <c r="R9696">
        <v>2.1828183324207999</v>
      </c>
      <c r="S9696">
        <v>163</v>
      </c>
      <c r="T9696">
        <v>66</v>
      </c>
      <c r="U9696">
        <v>715.26135207539301</v>
      </c>
      <c r="V9696">
        <v>6.1443932411674304E-3</v>
      </c>
      <c r="W9696">
        <v>1327284.8767500101</v>
      </c>
      <c r="X9696" t="s">
        <v>40</v>
      </c>
      <c r="Y9696">
        <f>1-755-283-2372</f>
        <v>-3409</v>
      </c>
    </row>
    <row r="9697" spans="1:25" x14ac:dyDescent="0.35">
      <c r="A9697">
        <v>38.002045375078801</v>
      </c>
      <c r="B9697">
        <v>-120.726418395138</v>
      </c>
      <c r="C9697" t="s">
        <v>25</v>
      </c>
      <c r="D9697">
        <v>25.4829340744928</v>
      </c>
      <c r="E9697">
        <v>4</v>
      </c>
      <c r="F9697">
        <v>2207</v>
      </c>
      <c r="G9697">
        <v>4</v>
      </c>
      <c r="H9697">
        <v>2</v>
      </c>
      <c r="I9697">
        <v>2012</v>
      </c>
      <c r="J9697">
        <v>1</v>
      </c>
      <c r="K9697">
        <v>1</v>
      </c>
      <c r="L9697">
        <v>1</v>
      </c>
      <c r="M9697">
        <v>9</v>
      </c>
      <c r="N9697" t="s">
        <v>26</v>
      </c>
      <c r="O9697" t="s">
        <v>30</v>
      </c>
      <c r="P9697">
        <v>9.8907738956675892</v>
      </c>
      <c r="Q9697">
        <v>1.01859319548343</v>
      </c>
      <c r="R9697">
        <v>0.44287592057563302</v>
      </c>
      <c r="S9697">
        <v>40</v>
      </c>
      <c r="T9697">
        <v>68</v>
      </c>
      <c r="U9697">
        <v>995.64749721411397</v>
      </c>
      <c r="V9697">
        <v>4.0779338468509198E-3</v>
      </c>
      <c r="W9697">
        <v>2758764.6426940602</v>
      </c>
      <c r="X9697" t="s">
        <v>43</v>
      </c>
      <c r="Y9697">
        <f>1-661-105-1606</f>
        <v>-2371</v>
      </c>
    </row>
    <row r="9698" spans="1:25" x14ac:dyDescent="0.35">
      <c r="A9698">
        <v>38.901249680007602</v>
      </c>
      <c r="B9698">
        <v>-121.89209248679001</v>
      </c>
      <c r="C9698" t="s">
        <v>29</v>
      </c>
      <c r="D9698">
        <v>33.857149197617098</v>
      </c>
      <c r="E9698">
        <v>8</v>
      </c>
      <c r="F9698">
        <v>2248</v>
      </c>
      <c r="G9698">
        <v>2</v>
      </c>
      <c r="H9698">
        <v>3</v>
      </c>
      <c r="I9698">
        <v>1992</v>
      </c>
      <c r="J9698">
        <v>0</v>
      </c>
      <c r="K9698">
        <v>1</v>
      </c>
      <c r="L9698">
        <v>0</v>
      </c>
      <c r="M9698">
        <v>11</v>
      </c>
      <c r="N9698" t="s">
        <v>26</v>
      </c>
      <c r="O9698" t="s">
        <v>30</v>
      </c>
      <c r="P9698">
        <v>11.192604720652101</v>
      </c>
      <c r="Q9698">
        <v>1.92413430387034</v>
      </c>
      <c r="R9698">
        <v>4.5864580867273901</v>
      </c>
      <c r="S9698">
        <v>78</v>
      </c>
      <c r="T9698">
        <v>25</v>
      </c>
      <c r="U9698">
        <v>536.07525306685602</v>
      </c>
      <c r="V9698">
        <v>4.8932384341637001E-3</v>
      </c>
      <c r="W9698">
        <v>1546437.27876963</v>
      </c>
      <c r="X9698" t="s">
        <v>43</v>
      </c>
      <c r="Y9698">
        <f>1-211-976-6406</f>
        <v>-7592</v>
      </c>
    </row>
    <row r="9699" spans="1:25" x14ac:dyDescent="0.35">
      <c r="A9699">
        <v>36.7198242763953</v>
      </c>
      <c r="B9699">
        <v>-118.945149285442</v>
      </c>
      <c r="C9699" t="s">
        <v>25</v>
      </c>
      <c r="D9699">
        <v>29.419765130328098</v>
      </c>
      <c r="E9699">
        <v>3</v>
      </c>
      <c r="F9699">
        <v>3522</v>
      </c>
      <c r="G9699">
        <v>2</v>
      </c>
      <c r="H9699">
        <v>2</v>
      </c>
      <c r="I9699">
        <v>1980</v>
      </c>
      <c r="J9699">
        <v>0</v>
      </c>
      <c r="K9699">
        <v>0</v>
      </c>
      <c r="L9699">
        <v>0</v>
      </c>
      <c r="M9699">
        <v>8</v>
      </c>
      <c r="N9699" t="s">
        <v>35</v>
      </c>
      <c r="O9699" t="s">
        <v>30</v>
      </c>
      <c r="P9699">
        <v>10.889146650717</v>
      </c>
      <c r="Q9699">
        <v>2.1364727495022602</v>
      </c>
      <c r="R9699">
        <v>6.5334886813894002</v>
      </c>
      <c r="S9699">
        <v>41</v>
      </c>
      <c r="T9699">
        <v>22</v>
      </c>
      <c r="U9699">
        <v>861.864795068023</v>
      </c>
      <c r="V9699">
        <v>2.2714366837024401E-3</v>
      </c>
      <c r="W9699">
        <v>3138259.33690817</v>
      </c>
      <c r="X9699" t="s">
        <v>33</v>
      </c>
      <c r="Y9699">
        <f>1-695-184-2544</f>
        <v>-3422</v>
      </c>
    </row>
    <row r="9700" spans="1:25" x14ac:dyDescent="0.35">
      <c r="A9700">
        <v>41.634674174342699</v>
      </c>
      <c r="B9700">
        <v>-118.25528320858599</v>
      </c>
      <c r="C9700" t="s">
        <v>25</v>
      </c>
      <c r="D9700">
        <v>17.937220982866702</v>
      </c>
      <c r="E9700">
        <v>6</v>
      </c>
      <c r="F9700">
        <v>4961</v>
      </c>
      <c r="G9700">
        <v>4</v>
      </c>
      <c r="H9700">
        <v>3</v>
      </c>
      <c r="I9700">
        <v>1970</v>
      </c>
      <c r="J9700">
        <v>1</v>
      </c>
      <c r="K9700">
        <v>0</v>
      </c>
      <c r="L9700">
        <v>1</v>
      </c>
      <c r="M9700">
        <v>5</v>
      </c>
      <c r="N9700" t="s">
        <v>35</v>
      </c>
      <c r="O9700" t="s">
        <v>27</v>
      </c>
      <c r="P9700">
        <v>13.492318419621901</v>
      </c>
      <c r="Q9700">
        <v>2.2737158544854101</v>
      </c>
      <c r="R9700">
        <v>6.3622039748449497</v>
      </c>
      <c r="S9700">
        <v>89</v>
      </c>
      <c r="T9700">
        <v>61</v>
      </c>
      <c r="U9700">
        <v>940.84216534228506</v>
      </c>
      <c r="V9700">
        <v>1.0078613182826E-3</v>
      </c>
      <c r="W9700">
        <v>5049834.9476106996</v>
      </c>
      <c r="X9700" t="s">
        <v>28</v>
      </c>
      <c r="Y9700">
        <f>1-858-531-1960</f>
        <v>-3348</v>
      </c>
    </row>
    <row r="9701" spans="1:25" x14ac:dyDescent="0.35">
      <c r="A9701">
        <v>39.781343699181299</v>
      </c>
      <c r="B9701">
        <v>-124.052836098417</v>
      </c>
      <c r="C9701" t="s">
        <v>25</v>
      </c>
      <c r="D9701">
        <v>36.939078238001002</v>
      </c>
      <c r="E9701">
        <v>7</v>
      </c>
      <c r="F9701">
        <v>4293</v>
      </c>
      <c r="G9701">
        <v>4</v>
      </c>
      <c r="H9701">
        <v>1</v>
      </c>
      <c r="I9701">
        <v>1995</v>
      </c>
      <c r="J9701">
        <v>1</v>
      </c>
      <c r="K9701">
        <v>0</v>
      </c>
      <c r="L9701">
        <v>1</v>
      </c>
      <c r="M9701">
        <v>2</v>
      </c>
      <c r="N9701" t="s">
        <v>35</v>
      </c>
      <c r="O9701" t="s">
        <v>30</v>
      </c>
      <c r="P9701">
        <v>9.6979328264377997</v>
      </c>
      <c r="Q9701">
        <v>2.1092243024863699</v>
      </c>
      <c r="R9701">
        <v>1.94417590223144</v>
      </c>
      <c r="S9701">
        <v>88</v>
      </c>
      <c r="T9701">
        <v>63</v>
      </c>
      <c r="U9701">
        <v>258.95628552162498</v>
      </c>
      <c r="V9701">
        <v>4.6587467971115701E-4</v>
      </c>
      <c r="W9701">
        <v>1441985.5656421599</v>
      </c>
      <c r="X9701" t="s">
        <v>36</v>
      </c>
      <c r="Y9701">
        <f>1-695-101-7355</f>
        <v>-8150</v>
      </c>
    </row>
    <row r="9702" spans="1:25" x14ac:dyDescent="0.35">
      <c r="A9702">
        <v>39.509425621640098</v>
      </c>
      <c r="B9702">
        <v>-121.584741644348</v>
      </c>
      <c r="C9702" t="s">
        <v>34</v>
      </c>
      <c r="D9702">
        <v>30.554074645892101</v>
      </c>
      <c r="E9702">
        <v>1</v>
      </c>
      <c r="F9702">
        <v>4513</v>
      </c>
      <c r="G9702">
        <v>2</v>
      </c>
      <c r="H9702">
        <v>2</v>
      </c>
      <c r="I9702">
        <v>1952</v>
      </c>
      <c r="J9702">
        <v>1</v>
      </c>
      <c r="K9702">
        <v>0</v>
      </c>
      <c r="L9702">
        <v>0</v>
      </c>
      <c r="M9702">
        <v>14</v>
      </c>
      <c r="N9702" t="s">
        <v>26</v>
      </c>
      <c r="O9702" t="s">
        <v>30</v>
      </c>
      <c r="P9702">
        <v>5.5388661666247696</v>
      </c>
      <c r="Q9702">
        <v>2.3299261841115699</v>
      </c>
      <c r="R9702">
        <v>6.9708807848976004</v>
      </c>
      <c r="S9702">
        <v>124</v>
      </c>
      <c r="T9702">
        <v>28</v>
      </c>
      <c r="U9702">
        <v>963.95096664881896</v>
      </c>
      <c r="V9702">
        <v>3.1021493463328099E-3</v>
      </c>
      <c r="W9702">
        <v>4517458.3905641604</v>
      </c>
      <c r="X9702" t="s">
        <v>36</v>
      </c>
      <c r="Y9702">
        <f>1-997-607-5888</f>
        <v>-7491</v>
      </c>
    </row>
    <row r="9703" spans="1:25" x14ac:dyDescent="0.35">
      <c r="A9703">
        <v>35.948048650192099</v>
      </c>
      <c r="B9703">
        <v>-115.311722583823</v>
      </c>
      <c r="C9703" t="s">
        <v>34</v>
      </c>
      <c r="D9703">
        <v>29.301666019597501</v>
      </c>
      <c r="E9703">
        <v>2</v>
      </c>
      <c r="F9703">
        <v>4742</v>
      </c>
      <c r="G9703">
        <v>4</v>
      </c>
      <c r="H9703">
        <v>3</v>
      </c>
      <c r="I9703">
        <v>1984</v>
      </c>
      <c r="J9703">
        <v>0</v>
      </c>
      <c r="K9703">
        <v>0</v>
      </c>
      <c r="L9703">
        <v>1</v>
      </c>
      <c r="M9703">
        <v>11</v>
      </c>
      <c r="N9703" t="s">
        <v>26</v>
      </c>
      <c r="O9703" t="s">
        <v>32</v>
      </c>
      <c r="P9703">
        <v>9.6472119310669893</v>
      </c>
      <c r="Q9703">
        <v>1.1244785606099801</v>
      </c>
      <c r="R9703">
        <v>2.1023233868706299</v>
      </c>
      <c r="S9703">
        <v>94</v>
      </c>
      <c r="T9703">
        <v>62</v>
      </c>
      <c r="U9703">
        <v>680.67414439662195</v>
      </c>
      <c r="V9703">
        <v>2.31969633066216E-3</v>
      </c>
      <c r="W9703">
        <v>3513801.3393559302</v>
      </c>
      <c r="X9703" t="s">
        <v>40</v>
      </c>
      <c r="Y9703">
        <f>1-964-847-5634</f>
        <v>-7444</v>
      </c>
    </row>
    <row r="9704" spans="1:25" x14ac:dyDescent="0.35">
      <c r="A9704">
        <v>37.274636998166201</v>
      </c>
      <c r="B9704">
        <v>-122.922506632839</v>
      </c>
      <c r="C9704" t="s">
        <v>34</v>
      </c>
      <c r="D9704">
        <v>27.446699164057499</v>
      </c>
      <c r="E9704">
        <v>7</v>
      </c>
      <c r="F9704">
        <v>3169</v>
      </c>
      <c r="G9704">
        <v>1</v>
      </c>
      <c r="H9704">
        <v>3</v>
      </c>
      <c r="I9704">
        <v>1988</v>
      </c>
      <c r="J9704">
        <v>0</v>
      </c>
      <c r="K9704">
        <v>1</v>
      </c>
      <c r="L9704">
        <v>0</v>
      </c>
      <c r="M9704">
        <v>10</v>
      </c>
      <c r="N9704" t="s">
        <v>26</v>
      </c>
      <c r="O9704" t="s">
        <v>32</v>
      </c>
      <c r="P9704">
        <v>7.0434769930840204</v>
      </c>
      <c r="Q9704">
        <v>2.4163198300500701</v>
      </c>
      <c r="R9704">
        <v>9.4046229892242792</v>
      </c>
      <c r="S9704">
        <v>123</v>
      </c>
      <c r="T9704">
        <v>61</v>
      </c>
      <c r="U9704">
        <v>834.51766234592003</v>
      </c>
      <c r="V9704">
        <v>3.1555695803092399E-3</v>
      </c>
      <c r="W9704">
        <v>2831457.8145266701</v>
      </c>
      <c r="X9704" t="s">
        <v>38</v>
      </c>
      <c r="Y9704">
        <f>1-311-268-2641</f>
        <v>-3219</v>
      </c>
    </row>
    <row r="9705" spans="1:25" x14ac:dyDescent="0.35">
      <c r="A9705">
        <v>40.244553742314501</v>
      </c>
      <c r="B9705">
        <v>-117.975291671414</v>
      </c>
      <c r="C9705" t="s">
        <v>25</v>
      </c>
      <c r="D9705">
        <v>30.376681632880601</v>
      </c>
      <c r="E9705">
        <v>2</v>
      </c>
      <c r="F9705">
        <v>3152</v>
      </c>
      <c r="G9705">
        <v>4</v>
      </c>
      <c r="H9705">
        <v>1</v>
      </c>
      <c r="I9705">
        <v>1983</v>
      </c>
      <c r="J9705">
        <v>0</v>
      </c>
      <c r="K9705">
        <v>0</v>
      </c>
      <c r="L9705">
        <v>0</v>
      </c>
      <c r="M9705">
        <v>3</v>
      </c>
      <c r="N9705" t="s">
        <v>35</v>
      </c>
      <c r="O9705" t="s">
        <v>32</v>
      </c>
      <c r="P9705">
        <v>7.1257186128496901</v>
      </c>
      <c r="Q9705">
        <v>1.71310381251304</v>
      </c>
      <c r="R9705">
        <v>2.2107637099114301</v>
      </c>
      <c r="S9705">
        <v>145</v>
      </c>
      <c r="T9705">
        <v>68</v>
      </c>
      <c r="U9705">
        <v>389.50740360972497</v>
      </c>
      <c r="V9705">
        <v>9.5177664974619195E-4</v>
      </c>
      <c r="W9705">
        <v>1330020.21815889</v>
      </c>
      <c r="X9705" t="s">
        <v>31</v>
      </c>
      <c r="Y9705">
        <f>1-654-347-8444</f>
        <v>-9444</v>
      </c>
    </row>
    <row r="9706" spans="1:25" x14ac:dyDescent="0.35">
      <c r="A9706">
        <v>33.9662541178525</v>
      </c>
      <c r="B9706">
        <v>-122.445483862298</v>
      </c>
      <c r="C9706" t="s">
        <v>25</v>
      </c>
      <c r="D9706">
        <v>22.669964218842399</v>
      </c>
      <c r="E9706">
        <v>3</v>
      </c>
      <c r="F9706">
        <v>4211</v>
      </c>
      <c r="G9706">
        <v>4</v>
      </c>
      <c r="H9706">
        <v>1</v>
      </c>
      <c r="I9706">
        <v>1972</v>
      </c>
      <c r="J9706">
        <v>1</v>
      </c>
      <c r="K9706">
        <v>0</v>
      </c>
      <c r="L9706">
        <v>1</v>
      </c>
      <c r="M9706">
        <v>14</v>
      </c>
      <c r="N9706" t="s">
        <v>26</v>
      </c>
      <c r="O9706" t="s">
        <v>27</v>
      </c>
      <c r="P9706">
        <v>14.9212890668807</v>
      </c>
      <c r="Q9706">
        <v>2.2082137815884</v>
      </c>
      <c r="R9706">
        <v>6.1747728739352397</v>
      </c>
      <c r="S9706">
        <v>145</v>
      </c>
      <c r="T9706">
        <v>55</v>
      </c>
      <c r="U9706">
        <v>989.33264505643501</v>
      </c>
      <c r="V9706">
        <v>3.3246259795772898E-3</v>
      </c>
      <c r="W9706">
        <v>4434857.3218129501</v>
      </c>
      <c r="X9706" t="s">
        <v>38</v>
      </c>
      <c r="Y9706">
        <f>1-565-594-5654</f>
        <v>-6812</v>
      </c>
    </row>
    <row r="9707" spans="1:25" x14ac:dyDescent="0.35">
      <c r="A9707">
        <v>32.517353497802198</v>
      </c>
      <c r="B9707">
        <v>-119.02992897375201</v>
      </c>
      <c r="C9707" t="s">
        <v>34</v>
      </c>
      <c r="D9707">
        <v>29.9914870247324</v>
      </c>
      <c r="E9707">
        <v>7</v>
      </c>
      <c r="F9707">
        <v>701</v>
      </c>
      <c r="G9707">
        <v>2</v>
      </c>
      <c r="H9707">
        <v>1</v>
      </c>
      <c r="I9707">
        <v>2016</v>
      </c>
      <c r="J9707">
        <v>1</v>
      </c>
      <c r="K9707">
        <v>0</v>
      </c>
      <c r="L9707">
        <v>1</v>
      </c>
      <c r="M9707">
        <v>10</v>
      </c>
      <c r="N9707" t="s">
        <v>26</v>
      </c>
      <c r="O9707" t="s">
        <v>32</v>
      </c>
      <c r="P9707">
        <v>5.5527564433417798</v>
      </c>
      <c r="Q9707">
        <v>0.91105682818890699</v>
      </c>
      <c r="R9707">
        <v>1.8513693605743899</v>
      </c>
      <c r="S9707">
        <v>159</v>
      </c>
      <c r="T9707">
        <v>57</v>
      </c>
      <c r="U9707">
        <v>738.63564763872205</v>
      </c>
      <c r="V9707">
        <v>1.4265335235378001E-2</v>
      </c>
      <c r="W9707">
        <v>736262.01630346198</v>
      </c>
      <c r="X9707" t="s">
        <v>43</v>
      </c>
      <c r="Y9707">
        <f>1-409-926-9918</f>
        <v>-11252</v>
      </c>
    </row>
    <row r="9708" spans="1:25" x14ac:dyDescent="0.35">
      <c r="A9708">
        <v>36.441841695049497</v>
      </c>
      <c r="B9708">
        <v>-121.56943781071701</v>
      </c>
      <c r="C9708" t="s">
        <v>25</v>
      </c>
      <c r="D9708">
        <v>3.3100587047427599</v>
      </c>
      <c r="E9708">
        <v>5</v>
      </c>
      <c r="F9708">
        <v>4874</v>
      </c>
      <c r="G9708">
        <v>4</v>
      </c>
      <c r="H9708">
        <v>3</v>
      </c>
      <c r="I9708">
        <v>1987</v>
      </c>
      <c r="J9708">
        <v>1</v>
      </c>
      <c r="K9708">
        <v>1</v>
      </c>
      <c r="L9708">
        <v>0</v>
      </c>
      <c r="M9708">
        <v>5</v>
      </c>
      <c r="N9708" t="s">
        <v>35</v>
      </c>
      <c r="O9708" t="s">
        <v>32</v>
      </c>
      <c r="P9708">
        <v>4.6261781181783803</v>
      </c>
      <c r="Q9708">
        <v>0.66051083145099698</v>
      </c>
      <c r="R9708">
        <v>1.7887230813433701</v>
      </c>
      <c r="S9708">
        <v>183</v>
      </c>
      <c r="T9708">
        <v>44</v>
      </c>
      <c r="U9708">
        <v>961.08020955773702</v>
      </c>
      <c r="V9708">
        <v>1.02585145670906E-3</v>
      </c>
      <c r="W9708">
        <v>4999165.2671950599</v>
      </c>
      <c r="X9708" t="s">
        <v>28</v>
      </c>
      <c r="Y9708">
        <f>1-253-679-4178</f>
        <v>-5109</v>
      </c>
    </row>
    <row r="9709" spans="1:25" x14ac:dyDescent="0.35">
      <c r="A9709">
        <v>40.488471606825698</v>
      </c>
      <c r="B9709">
        <v>-124.22968499533</v>
      </c>
      <c r="C9709" t="s">
        <v>29</v>
      </c>
      <c r="D9709">
        <v>9.4351716970713095</v>
      </c>
      <c r="E9709">
        <v>5</v>
      </c>
      <c r="F9709">
        <v>2264</v>
      </c>
      <c r="G9709">
        <v>1</v>
      </c>
      <c r="H9709">
        <v>1</v>
      </c>
      <c r="I9709">
        <v>2017</v>
      </c>
      <c r="J9709">
        <v>1</v>
      </c>
      <c r="K9709">
        <v>1</v>
      </c>
      <c r="L9709">
        <v>1</v>
      </c>
      <c r="M9709">
        <v>9</v>
      </c>
      <c r="N9709" t="s">
        <v>41</v>
      </c>
      <c r="O9709" t="s">
        <v>27</v>
      </c>
      <c r="P9709">
        <v>6.6633771169243801</v>
      </c>
      <c r="Q9709">
        <v>2.4500097837138601</v>
      </c>
      <c r="R9709">
        <v>9.2343213336085892</v>
      </c>
      <c r="S9709">
        <v>46</v>
      </c>
      <c r="T9709">
        <v>66</v>
      </c>
      <c r="U9709">
        <v>697.62017894499104</v>
      </c>
      <c r="V9709">
        <v>3.9752650176678398E-3</v>
      </c>
      <c r="W9709">
        <v>1810117.55384224</v>
      </c>
      <c r="X9709" t="s">
        <v>36</v>
      </c>
      <c r="Y9709">
        <f>1-662-563-6474</f>
        <v>-7698</v>
      </c>
    </row>
    <row r="9710" spans="1:25" x14ac:dyDescent="0.35">
      <c r="A9710">
        <v>37.187775069838601</v>
      </c>
      <c r="B9710">
        <v>-122.867054989691</v>
      </c>
      <c r="C9710" t="s">
        <v>29</v>
      </c>
      <c r="D9710">
        <v>39.412017578001901</v>
      </c>
      <c r="E9710">
        <v>4</v>
      </c>
      <c r="F9710">
        <v>3629</v>
      </c>
      <c r="G9710">
        <v>5</v>
      </c>
      <c r="H9710">
        <v>1</v>
      </c>
      <c r="I9710">
        <v>2011</v>
      </c>
      <c r="J9710">
        <v>1</v>
      </c>
      <c r="K9710">
        <v>1</v>
      </c>
      <c r="L9710">
        <v>0</v>
      </c>
      <c r="M9710">
        <v>4</v>
      </c>
      <c r="N9710" t="s">
        <v>35</v>
      </c>
      <c r="O9710" t="s">
        <v>30</v>
      </c>
      <c r="P9710">
        <v>13.876778616153899</v>
      </c>
      <c r="Q9710">
        <v>2.3330250599317002</v>
      </c>
      <c r="R9710">
        <v>5.7870607938690704</v>
      </c>
      <c r="S9710">
        <v>168</v>
      </c>
      <c r="T9710">
        <v>20</v>
      </c>
      <c r="U9710">
        <v>952.14532266818298</v>
      </c>
      <c r="V9710">
        <v>1.10223201984017E-3</v>
      </c>
      <c r="W9710">
        <v>3990054.5075399401</v>
      </c>
      <c r="X9710" t="s">
        <v>28</v>
      </c>
      <c r="Y9710">
        <f>1-470-330-6219</f>
        <v>-7018</v>
      </c>
    </row>
    <row r="9711" spans="1:25" x14ac:dyDescent="0.35">
      <c r="A9711">
        <v>35.748881478068</v>
      </c>
      <c r="B9711">
        <v>-122.637292602847</v>
      </c>
      <c r="C9711" t="s">
        <v>34</v>
      </c>
      <c r="D9711">
        <v>10.464537830324399</v>
      </c>
      <c r="E9711">
        <v>5</v>
      </c>
      <c r="F9711">
        <v>2351</v>
      </c>
      <c r="G9711">
        <v>5</v>
      </c>
      <c r="H9711">
        <v>1</v>
      </c>
      <c r="I9711">
        <v>1956</v>
      </c>
      <c r="J9711">
        <v>1</v>
      </c>
      <c r="K9711">
        <v>0</v>
      </c>
      <c r="L9711">
        <v>1</v>
      </c>
      <c r="M9711">
        <v>12</v>
      </c>
      <c r="N9711" t="s">
        <v>35</v>
      </c>
      <c r="O9711" t="s">
        <v>30</v>
      </c>
      <c r="P9711">
        <v>9.2965839865085798</v>
      </c>
      <c r="Q9711">
        <v>1.0834167943308499</v>
      </c>
      <c r="R9711">
        <v>7.6202758548265699</v>
      </c>
      <c r="S9711">
        <v>162</v>
      </c>
      <c r="T9711">
        <v>59</v>
      </c>
      <c r="U9711">
        <v>921.12766418283798</v>
      </c>
      <c r="V9711">
        <v>5.10421097405359E-3</v>
      </c>
      <c r="W9711">
        <v>2460787.6240887698</v>
      </c>
      <c r="X9711" t="s">
        <v>31</v>
      </c>
      <c r="Y9711">
        <f>1-543-841-5474</f>
        <v>-6857</v>
      </c>
    </row>
    <row r="9712" spans="1:25" x14ac:dyDescent="0.35">
      <c r="A9712">
        <v>36.265644836807603</v>
      </c>
      <c r="B9712">
        <v>-115.78581321383</v>
      </c>
      <c r="C9712" t="s">
        <v>34</v>
      </c>
      <c r="D9712">
        <v>4.03918117529631</v>
      </c>
      <c r="E9712">
        <v>5</v>
      </c>
      <c r="F9712">
        <v>2480</v>
      </c>
      <c r="G9712">
        <v>3</v>
      </c>
      <c r="H9712">
        <v>2</v>
      </c>
      <c r="I9712">
        <v>1984</v>
      </c>
      <c r="J9712">
        <v>1</v>
      </c>
      <c r="K9712">
        <v>1</v>
      </c>
      <c r="L9712">
        <v>0</v>
      </c>
      <c r="M9712">
        <v>13</v>
      </c>
      <c r="N9712" t="s">
        <v>35</v>
      </c>
      <c r="O9712" t="s">
        <v>32</v>
      </c>
      <c r="P9712">
        <v>3.9659712591520502</v>
      </c>
      <c r="Q9712">
        <v>2.4230344736178901</v>
      </c>
      <c r="R9712">
        <v>6.6830472627246502</v>
      </c>
      <c r="S9712">
        <v>150</v>
      </c>
      <c r="T9712">
        <v>52</v>
      </c>
      <c r="U9712">
        <v>527.06670736727904</v>
      </c>
      <c r="V9712">
        <v>5.2419354838709603E-3</v>
      </c>
      <c r="W9712">
        <v>1637327.3244844801</v>
      </c>
      <c r="X9712" t="s">
        <v>43</v>
      </c>
      <c r="Y9712">
        <f>1-748-344-5152</f>
        <v>-6243</v>
      </c>
    </row>
    <row r="9713" spans="1:25" x14ac:dyDescent="0.35">
      <c r="A9713">
        <v>33.5689046735408</v>
      </c>
      <c r="B9713">
        <v>-123.11870306334001</v>
      </c>
      <c r="C9713" t="s">
        <v>29</v>
      </c>
      <c r="D9713">
        <v>36.826148720571297</v>
      </c>
      <c r="E9713">
        <v>8</v>
      </c>
      <c r="F9713">
        <v>2496</v>
      </c>
      <c r="G9713">
        <v>5</v>
      </c>
      <c r="H9713">
        <v>2</v>
      </c>
      <c r="I9713">
        <v>1970</v>
      </c>
      <c r="J9713">
        <v>1</v>
      </c>
      <c r="K9713">
        <v>0</v>
      </c>
      <c r="L9713">
        <v>1</v>
      </c>
      <c r="M9713">
        <v>11</v>
      </c>
      <c r="N9713" t="s">
        <v>26</v>
      </c>
      <c r="O9713" t="s">
        <v>30</v>
      </c>
      <c r="P9713">
        <v>9.0873649010799191</v>
      </c>
      <c r="Q9713">
        <v>1.5320195055376</v>
      </c>
      <c r="R9713">
        <v>3.4317418814207299</v>
      </c>
      <c r="S9713">
        <v>158</v>
      </c>
      <c r="T9713">
        <v>22</v>
      </c>
      <c r="U9713">
        <v>246.40866172563199</v>
      </c>
      <c r="V9713">
        <v>4.4070512820512803E-3</v>
      </c>
      <c r="W9713">
        <v>939378.83613740106</v>
      </c>
      <c r="X9713" t="s">
        <v>43</v>
      </c>
      <c r="Y9713">
        <f>1-592-523-3569</f>
        <v>-4683</v>
      </c>
    </row>
    <row r="9714" spans="1:25" x14ac:dyDescent="0.35">
      <c r="A9714">
        <v>41.458247292322497</v>
      </c>
      <c r="B9714">
        <v>-122.190180635215</v>
      </c>
      <c r="C9714" t="s">
        <v>34</v>
      </c>
      <c r="D9714">
        <v>36.892463182455501</v>
      </c>
      <c r="E9714">
        <v>7</v>
      </c>
      <c r="F9714">
        <v>4473</v>
      </c>
      <c r="G9714">
        <v>2</v>
      </c>
      <c r="H9714">
        <v>1</v>
      </c>
      <c r="I9714">
        <v>2014</v>
      </c>
      <c r="J9714">
        <v>0</v>
      </c>
      <c r="K9714">
        <v>1</v>
      </c>
      <c r="L9714">
        <v>1</v>
      </c>
      <c r="M9714">
        <v>7</v>
      </c>
      <c r="N9714" t="s">
        <v>26</v>
      </c>
      <c r="O9714" t="s">
        <v>30</v>
      </c>
      <c r="P9714">
        <v>14.518340061210401</v>
      </c>
      <c r="Q9714">
        <v>1.21888463249745</v>
      </c>
      <c r="R9714">
        <v>9.5587645023189491</v>
      </c>
      <c r="S9714">
        <v>132</v>
      </c>
      <c r="T9714">
        <v>79</v>
      </c>
      <c r="U9714">
        <v>521.24101099677296</v>
      </c>
      <c r="V9714">
        <v>1.5649452269170499E-3</v>
      </c>
      <c r="W9714">
        <v>2698154.9698966099</v>
      </c>
      <c r="X9714" t="s">
        <v>28</v>
      </c>
      <c r="Y9714">
        <f>1-251-354-5619</f>
        <v>-6223</v>
      </c>
    </row>
    <row r="9715" spans="1:25" x14ac:dyDescent="0.35">
      <c r="A9715">
        <v>38.163956443937302</v>
      </c>
      <c r="B9715">
        <v>-116.52139566604799</v>
      </c>
      <c r="C9715" t="s">
        <v>29</v>
      </c>
      <c r="D9715">
        <v>20.645165323058201</v>
      </c>
      <c r="E9715">
        <v>6</v>
      </c>
      <c r="F9715">
        <v>3975</v>
      </c>
      <c r="G9715">
        <v>1</v>
      </c>
      <c r="H9715">
        <v>1</v>
      </c>
      <c r="I9715">
        <v>2014</v>
      </c>
      <c r="J9715">
        <v>0</v>
      </c>
      <c r="K9715">
        <v>1</v>
      </c>
      <c r="L9715">
        <v>0</v>
      </c>
      <c r="M9715">
        <v>11</v>
      </c>
      <c r="N9715" t="s">
        <v>41</v>
      </c>
      <c r="O9715" t="s">
        <v>27</v>
      </c>
      <c r="P9715">
        <v>4.6747924939501004</v>
      </c>
      <c r="Q9715">
        <v>1.8496574437528599</v>
      </c>
      <c r="R9715">
        <v>2.41669511488776</v>
      </c>
      <c r="S9715">
        <v>146</v>
      </c>
      <c r="T9715">
        <v>39</v>
      </c>
      <c r="U9715">
        <v>320.41108683384198</v>
      </c>
      <c r="V9715">
        <v>2.7672955974842699E-3</v>
      </c>
      <c r="W9715">
        <v>1465831.48532958</v>
      </c>
      <c r="X9715" t="s">
        <v>36</v>
      </c>
      <c r="Y9715">
        <f>1-265-285-4709</f>
        <v>-5258</v>
      </c>
    </row>
    <row r="9716" spans="1:25" x14ac:dyDescent="0.35">
      <c r="A9716">
        <v>34.230655282598597</v>
      </c>
      <c r="B9716">
        <v>-116.795317441554</v>
      </c>
      <c r="C9716" t="s">
        <v>29</v>
      </c>
      <c r="D9716">
        <v>7.5449025464339901</v>
      </c>
      <c r="E9716">
        <v>3</v>
      </c>
      <c r="F9716">
        <v>3530</v>
      </c>
      <c r="G9716">
        <v>5</v>
      </c>
      <c r="H9716">
        <v>1</v>
      </c>
      <c r="I9716">
        <v>1975</v>
      </c>
      <c r="J9716">
        <v>1</v>
      </c>
      <c r="K9716">
        <v>0</v>
      </c>
      <c r="L9716">
        <v>1</v>
      </c>
      <c r="M9716">
        <v>12</v>
      </c>
      <c r="N9716" t="s">
        <v>35</v>
      </c>
      <c r="O9716" t="s">
        <v>27</v>
      </c>
      <c r="P9716">
        <v>2.3954108714159701</v>
      </c>
      <c r="Q9716">
        <v>2.4010232677544101</v>
      </c>
      <c r="R9716">
        <v>7.1922921161876596</v>
      </c>
      <c r="S9716">
        <v>90</v>
      </c>
      <c r="T9716">
        <v>44</v>
      </c>
      <c r="U9716">
        <v>483.69573323765798</v>
      </c>
      <c r="V9716">
        <v>3.3994334277620301E-3</v>
      </c>
      <c r="W9716">
        <v>1943024.3234592599</v>
      </c>
      <c r="X9716" t="s">
        <v>39</v>
      </c>
      <c r="Y9716">
        <f>1-285-682-6834</f>
        <v>-7800</v>
      </c>
    </row>
    <row r="9717" spans="1:25" x14ac:dyDescent="0.35">
      <c r="A9717">
        <v>39.784572164253603</v>
      </c>
      <c r="B9717">
        <v>-114.348872363469</v>
      </c>
      <c r="C9717" t="s">
        <v>29</v>
      </c>
      <c r="D9717">
        <v>42.439472070958502</v>
      </c>
      <c r="E9717">
        <v>8</v>
      </c>
      <c r="F9717">
        <v>3370</v>
      </c>
      <c r="G9717">
        <v>2</v>
      </c>
      <c r="H9717">
        <v>3</v>
      </c>
      <c r="I9717">
        <v>1968</v>
      </c>
      <c r="J9717">
        <v>1</v>
      </c>
      <c r="K9717">
        <v>1</v>
      </c>
      <c r="L9717">
        <v>1</v>
      </c>
      <c r="M9717">
        <v>5</v>
      </c>
      <c r="N9717" t="s">
        <v>37</v>
      </c>
      <c r="O9717" t="s">
        <v>27</v>
      </c>
      <c r="P9717">
        <v>4.0334325651039302</v>
      </c>
      <c r="Q9717">
        <v>1.1120494957462199</v>
      </c>
      <c r="R9717">
        <v>6.3593185010355304</v>
      </c>
      <c r="S9717">
        <v>13</v>
      </c>
      <c r="T9717">
        <v>57</v>
      </c>
      <c r="U9717">
        <v>210.70566007030399</v>
      </c>
      <c r="V9717">
        <v>1.48367952522255E-3</v>
      </c>
      <c r="W9717">
        <v>1091889.4505892701</v>
      </c>
      <c r="X9717" t="s">
        <v>43</v>
      </c>
      <c r="Y9717">
        <f>1-361-752-7421</f>
        <v>-8533</v>
      </c>
    </row>
    <row r="9718" spans="1:25" x14ac:dyDescent="0.35">
      <c r="A9718">
        <v>37.409525989791398</v>
      </c>
      <c r="B9718">
        <v>-120.830231650035</v>
      </c>
      <c r="C9718" t="s">
        <v>34</v>
      </c>
      <c r="D9718">
        <v>7.3324601873462596</v>
      </c>
      <c r="E9718">
        <v>2</v>
      </c>
      <c r="F9718">
        <v>3860</v>
      </c>
      <c r="G9718">
        <v>4</v>
      </c>
      <c r="H9718">
        <v>2</v>
      </c>
      <c r="I9718">
        <v>1964</v>
      </c>
      <c r="J9718">
        <v>0</v>
      </c>
      <c r="K9718">
        <v>0</v>
      </c>
      <c r="L9718">
        <v>1</v>
      </c>
      <c r="M9718">
        <v>12</v>
      </c>
      <c r="N9718" t="s">
        <v>35</v>
      </c>
      <c r="O9718" t="s">
        <v>32</v>
      </c>
      <c r="P9718">
        <v>14.756036453845301</v>
      </c>
      <c r="Q9718">
        <v>2.4658042592248401</v>
      </c>
      <c r="R9718">
        <v>1.5550043871619099</v>
      </c>
      <c r="S9718">
        <v>174</v>
      </c>
      <c r="T9718">
        <v>35</v>
      </c>
      <c r="U9718">
        <v>898.25011772305197</v>
      </c>
      <c r="V9718">
        <v>3.1088082901554398E-3</v>
      </c>
      <c r="W9718">
        <v>3731305.4815479498</v>
      </c>
      <c r="X9718" t="s">
        <v>44</v>
      </c>
      <c r="Y9718">
        <f>1-741-687-9703</f>
        <v>-11130</v>
      </c>
    </row>
    <row r="9719" spans="1:25" x14ac:dyDescent="0.35">
      <c r="A9719">
        <v>39.263153754863602</v>
      </c>
      <c r="B9719">
        <v>-118.08208414594201</v>
      </c>
      <c r="C9719" t="s">
        <v>29</v>
      </c>
      <c r="D9719">
        <v>30.756435491754502</v>
      </c>
      <c r="E9719">
        <v>4</v>
      </c>
      <c r="F9719">
        <v>768</v>
      </c>
      <c r="G9719">
        <v>1</v>
      </c>
      <c r="H9719">
        <v>3</v>
      </c>
      <c r="I9719">
        <v>1957</v>
      </c>
      <c r="J9719">
        <v>1</v>
      </c>
      <c r="K9719">
        <v>1</v>
      </c>
      <c r="L9719">
        <v>0</v>
      </c>
      <c r="M9719">
        <v>13</v>
      </c>
      <c r="N9719" t="s">
        <v>41</v>
      </c>
      <c r="O9719" t="s">
        <v>27</v>
      </c>
      <c r="P9719">
        <v>11.6738828044243</v>
      </c>
      <c r="Q9719">
        <v>2.2685008368245798</v>
      </c>
      <c r="R9719">
        <v>4.6722050030320297</v>
      </c>
      <c r="S9719">
        <v>79</v>
      </c>
      <c r="T9719">
        <v>31</v>
      </c>
      <c r="U9719">
        <v>597.26136339993104</v>
      </c>
      <c r="V9719">
        <v>1.6927083333333301E-2</v>
      </c>
      <c r="W9719">
        <v>742820.32822600601</v>
      </c>
      <c r="X9719" t="s">
        <v>38</v>
      </c>
      <c r="Y9719">
        <f>1-530-276-3084</f>
        <v>-3889</v>
      </c>
    </row>
    <row r="9720" spans="1:25" x14ac:dyDescent="0.35">
      <c r="A9720">
        <v>41.546285840566199</v>
      </c>
      <c r="B9720">
        <v>-122.149838763066</v>
      </c>
      <c r="C9720" t="s">
        <v>34</v>
      </c>
      <c r="D9720">
        <v>26.497784949644199</v>
      </c>
      <c r="E9720">
        <v>6</v>
      </c>
      <c r="F9720">
        <v>727</v>
      </c>
      <c r="G9720">
        <v>5</v>
      </c>
      <c r="H9720">
        <v>1</v>
      </c>
      <c r="I9720">
        <v>2003</v>
      </c>
      <c r="J9720">
        <v>0</v>
      </c>
      <c r="K9720">
        <v>1</v>
      </c>
      <c r="L9720">
        <v>0</v>
      </c>
      <c r="M9720">
        <v>7</v>
      </c>
      <c r="N9720" t="s">
        <v>26</v>
      </c>
      <c r="O9720" t="s">
        <v>32</v>
      </c>
      <c r="P9720">
        <v>12.803264905458899</v>
      </c>
      <c r="Q9720">
        <v>2.2071227942010498</v>
      </c>
      <c r="R9720">
        <v>6.8335039963442901</v>
      </c>
      <c r="S9720">
        <v>144</v>
      </c>
      <c r="T9720">
        <v>22</v>
      </c>
      <c r="U9720">
        <v>620.03662468190703</v>
      </c>
      <c r="V9720">
        <v>9.6286107290233808E-3</v>
      </c>
      <c r="W9720">
        <v>948556.34771924396</v>
      </c>
      <c r="X9720" t="s">
        <v>39</v>
      </c>
      <c r="Y9720">
        <f>1-533-773-3067</f>
        <v>-4372</v>
      </c>
    </row>
    <row r="9721" spans="1:25" x14ac:dyDescent="0.35">
      <c r="A9721">
        <v>41.165053097918801</v>
      </c>
      <c r="B9721">
        <v>-122.628526970349</v>
      </c>
      <c r="C9721" t="s">
        <v>29</v>
      </c>
      <c r="D9721">
        <v>25.7165652452979</v>
      </c>
      <c r="E9721">
        <v>1</v>
      </c>
      <c r="F9721">
        <v>2861</v>
      </c>
      <c r="G9721">
        <v>1</v>
      </c>
      <c r="H9721">
        <v>2</v>
      </c>
      <c r="I9721">
        <v>2020</v>
      </c>
      <c r="J9721">
        <v>1</v>
      </c>
      <c r="K9721">
        <v>0</v>
      </c>
      <c r="L9721">
        <v>0</v>
      </c>
      <c r="M9721">
        <v>12</v>
      </c>
      <c r="N9721" t="s">
        <v>37</v>
      </c>
      <c r="O9721" t="s">
        <v>32</v>
      </c>
      <c r="P9721">
        <v>12.255576187765399</v>
      </c>
      <c r="Q9721">
        <v>1.932042056747</v>
      </c>
      <c r="R9721">
        <v>2.9518366456835299</v>
      </c>
      <c r="S9721">
        <v>97</v>
      </c>
      <c r="T9721">
        <v>35</v>
      </c>
      <c r="U9721">
        <v>381.780798772823</v>
      </c>
      <c r="V9721">
        <v>4.1943376441803499E-3</v>
      </c>
      <c r="W9721">
        <v>1362029.6451632199</v>
      </c>
      <c r="X9721" t="s">
        <v>38</v>
      </c>
      <c r="Y9721">
        <f>1-838-636-6952</f>
        <v>-8425</v>
      </c>
    </row>
    <row r="9722" spans="1:25" x14ac:dyDescent="0.35">
      <c r="A9722">
        <v>40.652903884689898</v>
      </c>
      <c r="B9722">
        <v>-117.007887891729</v>
      </c>
      <c r="C9722" t="s">
        <v>34</v>
      </c>
      <c r="D9722">
        <v>18.8022984668007</v>
      </c>
      <c r="E9722">
        <v>7</v>
      </c>
      <c r="F9722">
        <v>3101</v>
      </c>
      <c r="G9722">
        <v>2</v>
      </c>
      <c r="H9722">
        <v>2</v>
      </c>
      <c r="I9722">
        <v>1950</v>
      </c>
      <c r="J9722">
        <v>1</v>
      </c>
      <c r="K9722">
        <v>0</v>
      </c>
      <c r="L9722">
        <v>0</v>
      </c>
      <c r="M9722">
        <v>10</v>
      </c>
      <c r="N9722" t="s">
        <v>41</v>
      </c>
      <c r="O9722" t="s">
        <v>27</v>
      </c>
      <c r="P9722">
        <v>6.6185677834764904</v>
      </c>
      <c r="Q9722">
        <v>1.2080824526009699</v>
      </c>
      <c r="R9722">
        <v>1.8276079183016301</v>
      </c>
      <c r="S9722">
        <v>117</v>
      </c>
      <c r="T9722">
        <v>53</v>
      </c>
      <c r="U9722">
        <v>360.33499830895101</v>
      </c>
      <c r="V9722">
        <v>3.2247662044501699E-3</v>
      </c>
      <c r="W9722">
        <v>1290302.8974839</v>
      </c>
      <c r="X9722" t="s">
        <v>39</v>
      </c>
      <c r="Y9722">
        <f>1-572-646-5174</f>
        <v>-6391</v>
      </c>
    </row>
    <row r="9723" spans="1:25" x14ac:dyDescent="0.35">
      <c r="A9723">
        <v>41.435090949537702</v>
      </c>
      <c r="B9723">
        <v>-122.691334908188</v>
      </c>
      <c r="C9723" t="s">
        <v>34</v>
      </c>
      <c r="D9723">
        <v>17.924881277790298</v>
      </c>
      <c r="E9723">
        <v>8</v>
      </c>
      <c r="F9723">
        <v>4228</v>
      </c>
      <c r="G9723">
        <v>1</v>
      </c>
      <c r="H9723">
        <v>2</v>
      </c>
      <c r="I9723">
        <v>2022</v>
      </c>
      <c r="J9723">
        <v>1</v>
      </c>
      <c r="K9723">
        <v>1</v>
      </c>
      <c r="L9723">
        <v>1</v>
      </c>
      <c r="M9723">
        <v>3</v>
      </c>
      <c r="N9723" t="s">
        <v>35</v>
      </c>
      <c r="O9723" t="s">
        <v>30</v>
      </c>
      <c r="P9723">
        <v>6.4769465947641196</v>
      </c>
      <c r="Q9723">
        <v>1.54626490009071</v>
      </c>
      <c r="R9723">
        <v>6.0141299220466502</v>
      </c>
      <c r="S9723">
        <v>114</v>
      </c>
      <c r="T9723">
        <v>61</v>
      </c>
      <c r="U9723">
        <v>846.493873874663</v>
      </c>
      <c r="V9723">
        <v>7.0955534531693396E-4</v>
      </c>
      <c r="W9723">
        <v>3844298.21178097</v>
      </c>
      <c r="X9723" t="s">
        <v>28</v>
      </c>
      <c r="Y9723">
        <f>1-931-246-6164</f>
        <v>-7340</v>
      </c>
    </row>
    <row r="9724" spans="1:25" x14ac:dyDescent="0.35">
      <c r="A9724">
        <v>39.397447758429003</v>
      </c>
      <c r="B9724">
        <v>-123.97188597586199</v>
      </c>
      <c r="C9724" t="s">
        <v>29</v>
      </c>
      <c r="D9724">
        <v>6.27724730923424</v>
      </c>
      <c r="E9724">
        <v>2</v>
      </c>
      <c r="F9724">
        <v>734</v>
      </c>
      <c r="G9724">
        <v>5</v>
      </c>
      <c r="H9724">
        <v>1</v>
      </c>
      <c r="I9724">
        <v>1950</v>
      </c>
      <c r="J9724">
        <v>0</v>
      </c>
      <c r="K9724">
        <v>0</v>
      </c>
      <c r="L9724">
        <v>1</v>
      </c>
      <c r="M9724">
        <v>6</v>
      </c>
      <c r="N9724" t="s">
        <v>41</v>
      </c>
      <c r="O9724" t="s">
        <v>30</v>
      </c>
      <c r="P9724">
        <v>13.1011366369325</v>
      </c>
      <c r="Q9724">
        <v>2.2452931026111198</v>
      </c>
      <c r="R9724">
        <v>8.0273525070956193</v>
      </c>
      <c r="S9724">
        <v>113</v>
      </c>
      <c r="T9724">
        <v>79</v>
      </c>
      <c r="U9724">
        <v>537.30695934580103</v>
      </c>
      <c r="V9724">
        <v>8.1743869209809205E-3</v>
      </c>
      <c r="W9724">
        <v>648007.88859394402</v>
      </c>
      <c r="X9724" t="s">
        <v>43</v>
      </c>
      <c r="Y9724">
        <f>1-594-757-9139</f>
        <v>-10489</v>
      </c>
    </row>
    <row r="9725" spans="1:25" x14ac:dyDescent="0.35">
      <c r="A9725">
        <v>35.901755150632901</v>
      </c>
      <c r="B9725">
        <v>-117.862279826933</v>
      </c>
      <c r="C9725" t="s">
        <v>29</v>
      </c>
      <c r="D9725">
        <v>11.5967003481703</v>
      </c>
      <c r="E9725">
        <v>6</v>
      </c>
      <c r="F9725">
        <v>4912</v>
      </c>
      <c r="G9725">
        <v>3</v>
      </c>
      <c r="H9725">
        <v>3</v>
      </c>
      <c r="I9725">
        <v>1999</v>
      </c>
      <c r="J9725">
        <v>1</v>
      </c>
      <c r="K9725">
        <v>0</v>
      </c>
      <c r="L9725">
        <v>0</v>
      </c>
      <c r="M9725">
        <v>8</v>
      </c>
      <c r="N9725" t="s">
        <v>35</v>
      </c>
      <c r="O9725" t="s">
        <v>32</v>
      </c>
      <c r="P9725">
        <v>10.610828334445699</v>
      </c>
      <c r="Q9725">
        <v>1.63777259350093</v>
      </c>
      <c r="R9725">
        <v>1.9908176832596201</v>
      </c>
      <c r="S9725">
        <v>92</v>
      </c>
      <c r="T9725">
        <v>50</v>
      </c>
      <c r="U9725">
        <v>686.29408373403305</v>
      </c>
      <c r="V9725">
        <v>1.6286644951140001E-3</v>
      </c>
      <c r="W9725">
        <v>3658106.98912714</v>
      </c>
      <c r="X9725" t="s">
        <v>38</v>
      </c>
      <c r="Y9725">
        <f>1-680-458-7423</f>
        <v>-8560</v>
      </c>
    </row>
    <row r="9726" spans="1:25" x14ac:dyDescent="0.35">
      <c r="A9726">
        <v>37.8065727930408</v>
      </c>
      <c r="B9726">
        <v>-122.79668138743099</v>
      </c>
      <c r="C9726" t="s">
        <v>34</v>
      </c>
      <c r="D9726">
        <v>25.846554882623099</v>
      </c>
      <c r="E9726">
        <v>6</v>
      </c>
      <c r="F9726">
        <v>1578</v>
      </c>
      <c r="G9726">
        <v>5</v>
      </c>
      <c r="H9726">
        <v>3</v>
      </c>
      <c r="I9726">
        <v>1955</v>
      </c>
      <c r="J9726">
        <v>1</v>
      </c>
      <c r="K9726">
        <v>1</v>
      </c>
      <c r="L9726">
        <v>1</v>
      </c>
      <c r="M9726">
        <v>11</v>
      </c>
      <c r="N9726" t="s">
        <v>35</v>
      </c>
      <c r="O9726" t="s">
        <v>27</v>
      </c>
      <c r="P9726">
        <v>3.5704738206515501</v>
      </c>
      <c r="Q9726">
        <v>0.54479800274539503</v>
      </c>
      <c r="R9726">
        <v>2.3652471005195799</v>
      </c>
      <c r="S9726">
        <v>94</v>
      </c>
      <c r="T9726">
        <v>26</v>
      </c>
      <c r="U9726">
        <v>732.56127139692603</v>
      </c>
      <c r="V9726">
        <v>6.9708491761723704E-3</v>
      </c>
      <c r="W9726">
        <v>1609818.8126352499</v>
      </c>
      <c r="X9726" t="s">
        <v>43</v>
      </c>
      <c r="Y9726">
        <f>1-628-741-5285</f>
        <v>-6653</v>
      </c>
    </row>
    <row r="9727" spans="1:25" x14ac:dyDescent="0.35">
      <c r="A9727">
        <v>38.474173316066299</v>
      </c>
      <c r="B9727">
        <v>-114.098730079036</v>
      </c>
      <c r="C9727" t="s">
        <v>34</v>
      </c>
      <c r="D9727">
        <v>20.638247508536399</v>
      </c>
      <c r="E9727">
        <v>2</v>
      </c>
      <c r="F9727">
        <v>3288</v>
      </c>
      <c r="G9727">
        <v>2</v>
      </c>
      <c r="H9727">
        <v>2</v>
      </c>
      <c r="I9727">
        <v>1991</v>
      </c>
      <c r="J9727">
        <v>0</v>
      </c>
      <c r="K9727">
        <v>0</v>
      </c>
      <c r="L9727">
        <v>1</v>
      </c>
      <c r="M9727">
        <v>7</v>
      </c>
      <c r="N9727" t="s">
        <v>35</v>
      </c>
      <c r="O9727" t="s">
        <v>32</v>
      </c>
      <c r="P9727">
        <v>8.5608674730663896</v>
      </c>
      <c r="Q9727">
        <v>1.53668252104301</v>
      </c>
      <c r="R9727">
        <v>1.6849905551812401</v>
      </c>
      <c r="S9727">
        <v>20</v>
      </c>
      <c r="T9727">
        <v>74</v>
      </c>
      <c r="U9727">
        <v>833.57609337044403</v>
      </c>
      <c r="V9727">
        <v>2.1289537712895299E-3</v>
      </c>
      <c r="W9727">
        <v>2975227.3928174698</v>
      </c>
      <c r="X9727" t="s">
        <v>43</v>
      </c>
      <c r="Y9727">
        <f>1-470-836-5530</f>
        <v>-6835</v>
      </c>
    </row>
    <row r="9728" spans="1:25" x14ac:dyDescent="0.35">
      <c r="A9728">
        <v>37.297632985457298</v>
      </c>
      <c r="B9728">
        <v>-119.919451587205</v>
      </c>
      <c r="C9728" t="s">
        <v>25</v>
      </c>
      <c r="D9728">
        <v>25.286155898346799</v>
      </c>
      <c r="E9728">
        <v>4</v>
      </c>
      <c r="F9728">
        <v>3205</v>
      </c>
      <c r="G9728">
        <v>4</v>
      </c>
      <c r="H9728">
        <v>1</v>
      </c>
      <c r="I9728">
        <v>1968</v>
      </c>
      <c r="J9728">
        <v>0</v>
      </c>
      <c r="K9728">
        <v>0</v>
      </c>
      <c r="L9728">
        <v>0</v>
      </c>
      <c r="M9728">
        <v>9</v>
      </c>
      <c r="N9728" t="s">
        <v>41</v>
      </c>
      <c r="O9728" t="s">
        <v>30</v>
      </c>
      <c r="P9728">
        <v>5.8807974222941901</v>
      </c>
      <c r="Q9728">
        <v>1.15559999510307</v>
      </c>
      <c r="R9728">
        <v>3.0225573612768</v>
      </c>
      <c r="S9728">
        <v>105</v>
      </c>
      <c r="T9728">
        <v>33</v>
      </c>
      <c r="U9728">
        <v>994.611792216754</v>
      </c>
      <c r="V9728">
        <v>2.80811232449297E-3</v>
      </c>
      <c r="W9728">
        <v>3400036.9015881498</v>
      </c>
      <c r="X9728" t="s">
        <v>36</v>
      </c>
      <c r="Y9728">
        <f>1-486-996-2649</f>
        <v>-4130</v>
      </c>
    </row>
    <row r="9729" spans="1:25" x14ac:dyDescent="0.35">
      <c r="A9729">
        <v>33.087537851840501</v>
      </c>
      <c r="B9729">
        <v>-114.089266938592</v>
      </c>
      <c r="C9729" t="s">
        <v>34</v>
      </c>
      <c r="D9729">
        <v>39.302745379489203</v>
      </c>
      <c r="E9729">
        <v>7</v>
      </c>
      <c r="F9729">
        <v>1899</v>
      </c>
      <c r="G9729">
        <v>2</v>
      </c>
      <c r="H9729">
        <v>2</v>
      </c>
      <c r="I9729">
        <v>2017</v>
      </c>
      <c r="J9729">
        <v>1</v>
      </c>
      <c r="K9729">
        <v>1</v>
      </c>
      <c r="L9729">
        <v>0</v>
      </c>
      <c r="M9729">
        <v>10</v>
      </c>
      <c r="N9729" t="s">
        <v>26</v>
      </c>
      <c r="O9729" t="s">
        <v>27</v>
      </c>
      <c r="P9729">
        <v>8.0680591135939004</v>
      </c>
      <c r="Q9729">
        <v>2.3550319823714898</v>
      </c>
      <c r="R9729">
        <v>3.8076133331735602</v>
      </c>
      <c r="S9729">
        <v>179</v>
      </c>
      <c r="T9729">
        <v>54</v>
      </c>
      <c r="U9729">
        <v>426.36805568078199</v>
      </c>
      <c r="V9729">
        <v>5.2659294365455496E-3</v>
      </c>
      <c r="W9729">
        <v>1085585.1626655301</v>
      </c>
      <c r="X9729" t="s">
        <v>40</v>
      </c>
      <c r="Y9729">
        <f>1-680-267-1331</f>
        <v>-2277</v>
      </c>
    </row>
    <row r="9730" spans="1:25" x14ac:dyDescent="0.35">
      <c r="A9730">
        <v>35.320256112464598</v>
      </c>
      <c r="B9730">
        <v>-123.92088314438</v>
      </c>
      <c r="C9730" t="s">
        <v>25</v>
      </c>
      <c r="D9730">
        <v>28.274253679240999</v>
      </c>
      <c r="E9730">
        <v>7</v>
      </c>
      <c r="F9730">
        <v>1041</v>
      </c>
      <c r="G9730">
        <v>3</v>
      </c>
      <c r="H9730">
        <v>1</v>
      </c>
      <c r="I9730">
        <v>1988</v>
      </c>
      <c r="J9730">
        <v>0</v>
      </c>
      <c r="K9730">
        <v>1</v>
      </c>
      <c r="L9730">
        <v>1</v>
      </c>
      <c r="M9730">
        <v>6</v>
      </c>
      <c r="N9730" t="s">
        <v>26</v>
      </c>
      <c r="O9730" t="s">
        <v>27</v>
      </c>
      <c r="P9730">
        <v>10.1173504271433</v>
      </c>
      <c r="Q9730">
        <v>0.82459089391940499</v>
      </c>
      <c r="R9730">
        <v>2.0892786485885702</v>
      </c>
      <c r="S9730">
        <v>21</v>
      </c>
      <c r="T9730">
        <v>29</v>
      </c>
      <c r="U9730">
        <v>706.75182679044099</v>
      </c>
      <c r="V9730">
        <v>5.76368876080691E-3</v>
      </c>
      <c r="W9730">
        <v>1057635.4278438699</v>
      </c>
      <c r="X9730" t="s">
        <v>33</v>
      </c>
      <c r="Y9730">
        <f>1-906-528-4697</f>
        <v>-6130</v>
      </c>
    </row>
    <row r="9731" spans="1:25" x14ac:dyDescent="0.35">
      <c r="A9731">
        <v>33.8297206092126</v>
      </c>
      <c r="B9731">
        <v>-114.242613467674</v>
      </c>
      <c r="C9731" t="s">
        <v>29</v>
      </c>
      <c r="D9731">
        <v>4.5595199280398901</v>
      </c>
      <c r="E9731">
        <v>5</v>
      </c>
      <c r="F9731">
        <v>3387</v>
      </c>
      <c r="G9731">
        <v>4</v>
      </c>
      <c r="H9731">
        <v>1</v>
      </c>
      <c r="I9731">
        <v>2015</v>
      </c>
      <c r="J9731">
        <v>0</v>
      </c>
      <c r="K9731">
        <v>0</v>
      </c>
      <c r="L9731">
        <v>0</v>
      </c>
      <c r="M9731">
        <v>8</v>
      </c>
      <c r="N9731" t="s">
        <v>35</v>
      </c>
      <c r="O9731" t="s">
        <v>32</v>
      </c>
      <c r="P9731">
        <v>10.237501305789699</v>
      </c>
      <c r="Q9731">
        <v>1.6254371359464801</v>
      </c>
      <c r="R9731">
        <v>9.7823848528661603</v>
      </c>
      <c r="S9731">
        <v>193</v>
      </c>
      <c r="T9731">
        <v>39</v>
      </c>
      <c r="U9731">
        <v>460.36676708602897</v>
      </c>
      <c r="V9731">
        <v>2.3619722468260999E-3</v>
      </c>
      <c r="W9731">
        <v>1808375.42361816</v>
      </c>
      <c r="X9731" t="s">
        <v>39</v>
      </c>
      <c r="Y9731">
        <f>1-891-796-6680</f>
        <v>-8366</v>
      </c>
    </row>
    <row r="9732" spans="1:25" x14ac:dyDescent="0.35">
      <c r="A9732">
        <v>37.452323864747598</v>
      </c>
      <c r="B9732">
        <v>-117.433131045442</v>
      </c>
      <c r="C9732" t="s">
        <v>34</v>
      </c>
      <c r="D9732">
        <v>18.362700072459901</v>
      </c>
      <c r="E9732">
        <v>8</v>
      </c>
      <c r="F9732">
        <v>4336</v>
      </c>
      <c r="G9732">
        <v>1</v>
      </c>
      <c r="H9732">
        <v>3</v>
      </c>
      <c r="I9732">
        <v>2021</v>
      </c>
      <c r="J9732">
        <v>0</v>
      </c>
      <c r="K9732">
        <v>1</v>
      </c>
      <c r="L9732">
        <v>0</v>
      </c>
      <c r="M9732">
        <v>11</v>
      </c>
      <c r="N9732" t="s">
        <v>35</v>
      </c>
      <c r="O9732" t="s">
        <v>32</v>
      </c>
      <c r="P9732">
        <v>3.3357055015730399</v>
      </c>
      <c r="Q9732">
        <v>1.0304217166812999</v>
      </c>
      <c r="R9732">
        <v>6.9648356737300396</v>
      </c>
      <c r="S9732">
        <v>47</v>
      </c>
      <c r="T9732">
        <v>46</v>
      </c>
      <c r="U9732">
        <v>444.71395261243799</v>
      </c>
      <c r="V9732">
        <v>2.5369003690036899E-3</v>
      </c>
      <c r="W9732">
        <v>2187222.2094065999</v>
      </c>
      <c r="X9732" t="s">
        <v>40</v>
      </c>
      <c r="Y9732">
        <f>1-714-398-7934</f>
        <v>-9045</v>
      </c>
    </row>
    <row r="9733" spans="1:25" x14ac:dyDescent="0.35">
      <c r="A9733">
        <v>39.8515441197668</v>
      </c>
      <c r="B9733">
        <v>-123.574971681901</v>
      </c>
      <c r="C9733" t="s">
        <v>25</v>
      </c>
      <c r="D9733">
        <v>49.806070224223397</v>
      </c>
      <c r="E9733">
        <v>0</v>
      </c>
      <c r="F9733">
        <v>2036</v>
      </c>
      <c r="G9733">
        <v>4</v>
      </c>
      <c r="H9733">
        <v>2</v>
      </c>
      <c r="I9733">
        <v>2018</v>
      </c>
      <c r="J9733">
        <v>0</v>
      </c>
      <c r="K9733">
        <v>0</v>
      </c>
      <c r="L9733">
        <v>1</v>
      </c>
      <c r="M9733">
        <v>8</v>
      </c>
      <c r="N9733" t="s">
        <v>41</v>
      </c>
      <c r="O9733" t="s">
        <v>30</v>
      </c>
      <c r="P9733">
        <v>9.9903404738099102</v>
      </c>
      <c r="Q9733">
        <v>2.1098557692445401</v>
      </c>
      <c r="R9733">
        <v>1.16528749415028</v>
      </c>
      <c r="S9733">
        <v>74</v>
      </c>
      <c r="T9733">
        <v>62</v>
      </c>
      <c r="U9733">
        <v>753.19809286936197</v>
      </c>
      <c r="V9733">
        <v>3.9292730844793702E-3</v>
      </c>
      <c r="W9733">
        <v>1912841.37310794</v>
      </c>
      <c r="X9733" t="s">
        <v>28</v>
      </c>
      <c r="Y9733">
        <f>1-552-162-1818</f>
        <v>-2531</v>
      </c>
    </row>
    <row r="9734" spans="1:25" x14ac:dyDescent="0.35">
      <c r="A9734">
        <v>32.593258633571097</v>
      </c>
      <c r="B9734">
        <v>-118.29475187188</v>
      </c>
      <c r="C9734" t="s">
        <v>25</v>
      </c>
      <c r="D9734">
        <v>19.714591829145899</v>
      </c>
      <c r="E9734">
        <v>3</v>
      </c>
      <c r="F9734">
        <v>4447</v>
      </c>
      <c r="G9734">
        <v>4</v>
      </c>
      <c r="H9734">
        <v>3</v>
      </c>
      <c r="I9734">
        <v>2006</v>
      </c>
      <c r="J9734">
        <v>0</v>
      </c>
      <c r="K9734">
        <v>0</v>
      </c>
      <c r="L9734">
        <v>0</v>
      </c>
      <c r="M9734">
        <v>5</v>
      </c>
      <c r="N9734" t="s">
        <v>41</v>
      </c>
      <c r="O9734" t="s">
        <v>32</v>
      </c>
      <c r="P9734">
        <v>12.421676996965701</v>
      </c>
      <c r="Q9734">
        <v>1.0979481593161999</v>
      </c>
      <c r="R9734">
        <v>9.5069260713755295</v>
      </c>
      <c r="S9734">
        <v>189</v>
      </c>
      <c r="T9734">
        <v>56</v>
      </c>
      <c r="U9734">
        <v>439.00488913849102</v>
      </c>
      <c r="V9734">
        <v>1.1243534967393699E-3</v>
      </c>
      <c r="W9734">
        <v>2272793.7511578901</v>
      </c>
      <c r="X9734" t="s">
        <v>31</v>
      </c>
      <c r="Y9734">
        <f>1-488-678-7089</f>
        <v>-8254</v>
      </c>
    </row>
    <row r="9735" spans="1:25" x14ac:dyDescent="0.35">
      <c r="A9735">
        <v>35.554584203287199</v>
      </c>
      <c r="B9735">
        <v>-118.51980262004101</v>
      </c>
      <c r="C9735" t="s">
        <v>29</v>
      </c>
      <c r="D9735">
        <v>45.6423763655784</v>
      </c>
      <c r="E9735">
        <v>8</v>
      </c>
      <c r="F9735">
        <v>3672</v>
      </c>
      <c r="G9735">
        <v>2</v>
      </c>
      <c r="H9735">
        <v>3</v>
      </c>
      <c r="I9735">
        <v>1979</v>
      </c>
      <c r="J9735">
        <v>0</v>
      </c>
      <c r="K9735">
        <v>0</v>
      </c>
      <c r="L9735">
        <v>1</v>
      </c>
      <c r="M9735">
        <v>12</v>
      </c>
      <c r="N9735" t="s">
        <v>26</v>
      </c>
      <c r="O9735" t="s">
        <v>32</v>
      </c>
      <c r="P9735">
        <v>3.0566136348214901</v>
      </c>
      <c r="Q9735">
        <v>1.19031711985082</v>
      </c>
      <c r="R9735">
        <v>5.2818776970070296</v>
      </c>
      <c r="S9735">
        <v>110</v>
      </c>
      <c r="T9735">
        <v>71</v>
      </c>
      <c r="U9735">
        <v>414.31564128104401</v>
      </c>
      <c r="V9735">
        <v>3.26797385620915E-3</v>
      </c>
      <c r="W9735">
        <v>1625755.43341353</v>
      </c>
      <c r="X9735" t="s">
        <v>36</v>
      </c>
      <c r="Y9735">
        <f>1-320-228-4044</f>
        <v>-4591</v>
      </c>
    </row>
    <row r="9736" spans="1:25" x14ac:dyDescent="0.35">
      <c r="A9736">
        <v>33.606601546856901</v>
      </c>
      <c r="B9736">
        <v>-119.182110643524</v>
      </c>
      <c r="C9736" t="s">
        <v>25</v>
      </c>
      <c r="D9736">
        <v>19.093395245596401</v>
      </c>
      <c r="E9736">
        <v>5</v>
      </c>
      <c r="F9736">
        <v>3332</v>
      </c>
      <c r="G9736">
        <v>4</v>
      </c>
      <c r="H9736">
        <v>3</v>
      </c>
      <c r="I9736">
        <v>1982</v>
      </c>
      <c r="J9736">
        <v>1</v>
      </c>
      <c r="K9736">
        <v>1</v>
      </c>
      <c r="L9736">
        <v>0</v>
      </c>
      <c r="M9736">
        <v>11</v>
      </c>
      <c r="N9736" t="s">
        <v>26</v>
      </c>
      <c r="O9736" t="s">
        <v>30</v>
      </c>
      <c r="P9736">
        <v>9.4977584429512003</v>
      </c>
      <c r="Q9736">
        <v>1.8812673585356099</v>
      </c>
      <c r="R9736">
        <v>4.5373292963968297E-2</v>
      </c>
      <c r="S9736">
        <v>85</v>
      </c>
      <c r="T9736">
        <v>45</v>
      </c>
      <c r="U9736">
        <v>382.63504712206901</v>
      </c>
      <c r="V9736">
        <v>3.3013205282112798E-3</v>
      </c>
      <c r="W9736">
        <v>1744186.8635949399</v>
      </c>
      <c r="X9736" t="s">
        <v>44</v>
      </c>
      <c r="Y9736">
        <f>1-955-682-4480</f>
        <v>-6116</v>
      </c>
    </row>
    <row r="9737" spans="1:25" x14ac:dyDescent="0.35">
      <c r="A9737">
        <v>37.032527163832199</v>
      </c>
      <c r="B9737">
        <v>-114.933593604706</v>
      </c>
      <c r="C9737" t="s">
        <v>34</v>
      </c>
      <c r="D9737">
        <v>25.615302094307701</v>
      </c>
      <c r="E9737">
        <v>8</v>
      </c>
      <c r="F9737">
        <v>2695</v>
      </c>
      <c r="G9737">
        <v>4</v>
      </c>
      <c r="H9737">
        <v>3</v>
      </c>
      <c r="I9737">
        <v>2009</v>
      </c>
      <c r="J9737">
        <v>1</v>
      </c>
      <c r="K9737">
        <v>1</v>
      </c>
      <c r="L9737">
        <v>0</v>
      </c>
      <c r="M9737">
        <v>5</v>
      </c>
      <c r="N9737" t="s">
        <v>37</v>
      </c>
      <c r="O9737" t="s">
        <v>32</v>
      </c>
      <c r="P9737">
        <v>12.786403948656901</v>
      </c>
      <c r="Q9737">
        <v>2.0599499083686199</v>
      </c>
      <c r="R9737">
        <v>9.2187542631431203</v>
      </c>
      <c r="S9737">
        <v>131</v>
      </c>
      <c r="T9737">
        <v>28</v>
      </c>
      <c r="U9737">
        <v>285.92377728462702</v>
      </c>
      <c r="V9737">
        <v>1.85528756957328E-3</v>
      </c>
      <c r="W9737">
        <v>1270000.79906406</v>
      </c>
      <c r="X9737" t="s">
        <v>42</v>
      </c>
      <c r="Y9737">
        <f>1-618-234-5737</f>
        <v>-6588</v>
      </c>
    </row>
    <row r="9738" spans="1:25" x14ac:dyDescent="0.35">
      <c r="A9738">
        <v>40.052755092359298</v>
      </c>
      <c r="B9738">
        <v>-121.083448299165</v>
      </c>
      <c r="C9738" t="s">
        <v>34</v>
      </c>
      <c r="D9738">
        <v>25.3172332901018</v>
      </c>
      <c r="E9738">
        <v>1</v>
      </c>
      <c r="F9738">
        <v>4539</v>
      </c>
      <c r="G9738">
        <v>5</v>
      </c>
      <c r="H9738">
        <v>2</v>
      </c>
      <c r="I9738">
        <v>1967</v>
      </c>
      <c r="J9738">
        <v>1</v>
      </c>
      <c r="K9738">
        <v>1</v>
      </c>
      <c r="L9738">
        <v>1</v>
      </c>
      <c r="M9738">
        <v>9</v>
      </c>
      <c r="N9738" t="s">
        <v>41</v>
      </c>
      <c r="O9738" t="s">
        <v>30</v>
      </c>
      <c r="P9738">
        <v>2.4406363340264399</v>
      </c>
      <c r="Q9738">
        <v>0.99984766208081299</v>
      </c>
      <c r="R9738">
        <v>9.8897737445136205</v>
      </c>
      <c r="S9738">
        <v>145</v>
      </c>
      <c r="T9738">
        <v>74</v>
      </c>
      <c r="U9738">
        <v>758.69664934763398</v>
      </c>
      <c r="V9738">
        <v>1.9828155981493701E-3</v>
      </c>
      <c r="W9738">
        <v>3773664.0344318701</v>
      </c>
      <c r="X9738" t="s">
        <v>43</v>
      </c>
      <c r="Y9738">
        <f>1-505-983-1638</f>
        <v>-3125</v>
      </c>
    </row>
    <row r="9739" spans="1:25" x14ac:dyDescent="0.35">
      <c r="A9739">
        <v>33.922833833810799</v>
      </c>
      <c r="B9739">
        <v>-119.437858560539</v>
      </c>
      <c r="C9739" t="s">
        <v>25</v>
      </c>
      <c r="D9739">
        <v>37.221725729919001</v>
      </c>
      <c r="E9739">
        <v>3</v>
      </c>
      <c r="F9739">
        <v>1637</v>
      </c>
      <c r="G9739">
        <v>1</v>
      </c>
      <c r="H9739">
        <v>2</v>
      </c>
      <c r="I9739">
        <v>1977</v>
      </c>
      <c r="J9739">
        <v>1</v>
      </c>
      <c r="K9739">
        <v>1</v>
      </c>
      <c r="L9739">
        <v>0</v>
      </c>
      <c r="M9739">
        <v>9</v>
      </c>
      <c r="N9739" t="s">
        <v>41</v>
      </c>
      <c r="O9739" t="s">
        <v>30</v>
      </c>
      <c r="P9739">
        <v>2.8497379604575799</v>
      </c>
      <c r="Q9739">
        <v>2.0916595879355802</v>
      </c>
      <c r="R9739">
        <v>1.7886911750494801</v>
      </c>
      <c r="S9739">
        <v>111</v>
      </c>
      <c r="T9739">
        <v>77</v>
      </c>
      <c r="U9739">
        <v>572.22120171340305</v>
      </c>
      <c r="V9739">
        <v>5.4978619425778801E-3</v>
      </c>
      <c r="W9739">
        <v>1098758.12175109</v>
      </c>
      <c r="X9739" t="s">
        <v>40</v>
      </c>
      <c r="Y9739">
        <f>1-410-607-7092</f>
        <v>-8108</v>
      </c>
    </row>
    <row r="9740" spans="1:25" x14ac:dyDescent="0.35">
      <c r="A9740">
        <v>37.257181541899499</v>
      </c>
      <c r="B9740">
        <v>-123.09914791214</v>
      </c>
      <c r="C9740" t="s">
        <v>25</v>
      </c>
      <c r="D9740">
        <v>7.1057497016153999</v>
      </c>
      <c r="E9740">
        <v>4</v>
      </c>
      <c r="F9740">
        <v>603</v>
      </c>
      <c r="G9740">
        <v>3</v>
      </c>
      <c r="H9740">
        <v>3</v>
      </c>
      <c r="I9740">
        <v>2000</v>
      </c>
      <c r="J9740">
        <v>1</v>
      </c>
      <c r="K9740">
        <v>1</v>
      </c>
      <c r="L9740">
        <v>1</v>
      </c>
      <c r="M9740">
        <v>6</v>
      </c>
      <c r="N9740" t="s">
        <v>35</v>
      </c>
      <c r="O9740" t="s">
        <v>32</v>
      </c>
      <c r="P9740">
        <v>4.5369223164192496</v>
      </c>
      <c r="Q9740">
        <v>2.3529813430564399</v>
      </c>
      <c r="R9740">
        <v>6.5091012934651298</v>
      </c>
      <c r="S9740">
        <v>65</v>
      </c>
      <c r="T9740">
        <v>48</v>
      </c>
      <c r="U9740">
        <v>974.72879436194398</v>
      </c>
      <c r="V9740">
        <v>9.9502487562189001E-3</v>
      </c>
      <c r="W9740">
        <v>940477.22627981799</v>
      </c>
      <c r="X9740" t="s">
        <v>39</v>
      </c>
      <c r="Y9740">
        <f>1-435-414-3270</f>
        <v>-4118</v>
      </c>
    </row>
    <row r="9741" spans="1:25" x14ac:dyDescent="0.35">
      <c r="A9741">
        <v>39.465024141410701</v>
      </c>
      <c r="B9741">
        <v>-121.926512376004</v>
      </c>
      <c r="C9741" t="s">
        <v>34</v>
      </c>
      <c r="D9741">
        <v>31.5358133649409</v>
      </c>
      <c r="E9741">
        <v>2</v>
      </c>
      <c r="F9741">
        <v>3424</v>
      </c>
      <c r="G9741">
        <v>4</v>
      </c>
      <c r="H9741">
        <v>3</v>
      </c>
      <c r="I9741">
        <v>2017</v>
      </c>
      <c r="J9741">
        <v>1</v>
      </c>
      <c r="K9741">
        <v>0</v>
      </c>
      <c r="L9741">
        <v>0</v>
      </c>
      <c r="M9741">
        <v>13</v>
      </c>
      <c r="N9741" t="s">
        <v>37</v>
      </c>
      <c r="O9741" t="s">
        <v>27</v>
      </c>
      <c r="P9741">
        <v>4.4546665889456598</v>
      </c>
      <c r="Q9741">
        <v>1.4592088067544</v>
      </c>
      <c r="R9741">
        <v>3.8693238475870002</v>
      </c>
      <c r="S9741">
        <v>6</v>
      </c>
      <c r="T9741">
        <v>36</v>
      </c>
      <c r="U9741">
        <v>844.73579472563597</v>
      </c>
      <c r="V9741">
        <v>3.7967289719626099E-3</v>
      </c>
      <c r="W9741">
        <v>3194577.1108034598</v>
      </c>
      <c r="X9741" t="s">
        <v>40</v>
      </c>
      <c r="Y9741">
        <f>1-407-984-8374</f>
        <v>-9764</v>
      </c>
    </row>
    <row r="9742" spans="1:25" x14ac:dyDescent="0.35">
      <c r="A9742">
        <v>35.414761531849202</v>
      </c>
      <c r="B9742">
        <v>-117.22359176044699</v>
      </c>
      <c r="C9742" t="s">
        <v>29</v>
      </c>
      <c r="D9742">
        <v>47.5731867792272</v>
      </c>
      <c r="E9742">
        <v>0</v>
      </c>
      <c r="F9742">
        <v>1873</v>
      </c>
      <c r="G9742">
        <v>5</v>
      </c>
      <c r="H9742">
        <v>1</v>
      </c>
      <c r="I9742">
        <v>1951</v>
      </c>
      <c r="J9742">
        <v>0</v>
      </c>
      <c r="K9742">
        <v>0</v>
      </c>
      <c r="L9742">
        <v>0</v>
      </c>
      <c r="M9742">
        <v>8</v>
      </c>
      <c r="N9742" t="s">
        <v>35</v>
      </c>
      <c r="O9742" t="s">
        <v>27</v>
      </c>
      <c r="P9742">
        <v>7.6583115472319996</v>
      </c>
      <c r="Q9742">
        <v>1.14471177328088</v>
      </c>
      <c r="R9742">
        <v>1.1954857422290599</v>
      </c>
      <c r="S9742">
        <v>145</v>
      </c>
      <c r="T9742">
        <v>60</v>
      </c>
      <c r="U9742">
        <v>718.98339285360396</v>
      </c>
      <c r="V9742">
        <v>4.2712226374799697E-3</v>
      </c>
      <c r="W9742">
        <v>1480503.93599645</v>
      </c>
      <c r="X9742" t="s">
        <v>33</v>
      </c>
      <c r="Y9742">
        <f>1-451-129-5528</f>
        <v>-6107</v>
      </c>
    </row>
    <row r="9743" spans="1:25" x14ac:dyDescent="0.35">
      <c r="A9743">
        <v>37.888634189448801</v>
      </c>
      <c r="B9743">
        <v>-124.188351590605</v>
      </c>
      <c r="C9743" t="s">
        <v>25</v>
      </c>
      <c r="D9743">
        <v>18.417706465301599</v>
      </c>
      <c r="E9743">
        <v>2</v>
      </c>
      <c r="F9743">
        <v>2308</v>
      </c>
      <c r="G9743">
        <v>4</v>
      </c>
      <c r="H9743">
        <v>3</v>
      </c>
      <c r="I9743">
        <v>1972</v>
      </c>
      <c r="J9743">
        <v>0</v>
      </c>
      <c r="K9743">
        <v>1</v>
      </c>
      <c r="L9743">
        <v>0</v>
      </c>
      <c r="M9743">
        <v>4</v>
      </c>
      <c r="N9743" t="s">
        <v>41</v>
      </c>
      <c r="O9743" t="s">
        <v>27</v>
      </c>
      <c r="P9743">
        <v>14.922373037228899</v>
      </c>
      <c r="Q9743">
        <v>0.91679353192288204</v>
      </c>
      <c r="R9743">
        <v>0.66889088389933504</v>
      </c>
      <c r="S9743">
        <v>168</v>
      </c>
      <c r="T9743">
        <v>59</v>
      </c>
      <c r="U9743">
        <v>881.90433630354698</v>
      </c>
      <c r="V9743">
        <v>1.73310225303292E-3</v>
      </c>
      <c r="W9743">
        <v>2466111.8996347701</v>
      </c>
      <c r="X9743" t="s">
        <v>44</v>
      </c>
      <c r="Y9743">
        <f>1-750-908-1228</f>
        <v>-2885</v>
      </c>
    </row>
    <row r="9744" spans="1:25" x14ac:dyDescent="0.35">
      <c r="A9744">
        <v>33.814955113652097</v>
      </c>
      <c r="B9744">
        <v>-118.049704710283</v>
      </c>
      <c r="C9744" t="s">
        <v>34</v>
      </c>
      <c r="D9744">
        <v>32.457742450863996</v>
      </c>
      <c r="E9744">
        <v>0</v>
      </c>
      <c r="F9744">
        <v>715</v>
      </c>
      <c r="G9744">
        <v>2</v>
      </c>
      <c r="H9744">
        <v>3</v>
      </c>
      <c r="I9744">
        <v>1959</v>
      </c>
      <c r="J9744">
        <v>0</v>
      </c>
      <c r="K9744">
        <v>0</v>
      </c>
      <c r="L9744">
        <v>0</v>
      </c>
      <c r="M9744">
        <v>4</v>
      </c>
      <c r="N9744" t="s">
        <v>26</v>
      </c>
      <c r="O9744" t="s">
        <v>32</v>
      </c>
      <c r="P9744">
        <v>13.957257089937</v>
      </c>
      <c r="Q9744">
        <v>0.99592795833046799</v>
      </c>
      <c r="R9744">
        <v>5.5415014386490498</v>
      </c>
      <c r="S9744">
        <v>161</v>
      </c>
      <c r="T9744">
        <v>46</v>
      </c>
      <c r="U9744">
        <v>370.77761178376301</v>
      </c>
      <c r="V9744">
        <v>5.5944055944055901E-3</v>
      </c>
      <c r="W9744">
        <v>367030.16811598401</v>
      </c>
      <c r="X9744" t="s">
        <v>39</v>
      </c>
      <c r="Y9744">
        <f>1-716-272-7580</f>
        <v>-8567</v>
      </c>
    </row>
    <row r="9745" spans="1:25" x14ac:dyDescent="0.35">
      <c r="A9745">
        <v>34.1115989976023</v>
      </c>
      <c r="B9745">
        <v>-122.22329222846101</v>
      </c>
      <c r="C9745" t="s">
        <v>34</v>
      </c>
      <c r="D9745">
        <v>21.6522675358279</v>
      </c>
      <c r="E9745">
        <v>2</v>
      </c>
      <c r="F9745">
        <v>1890</v>
      </c>
      <c r="G9745">
        <v>2</v>
      </c>
      <c r="H9745">
        <v>2</v>
      </c>
      <c r="I9745">
        <v>2014</v>
      </c>
      <c r="J9745">
        <v>1</v>
      </c>
      <c r="K9745">
        <v>0</v>
      </c>
      <c r="L9745">
        <v>1</v>
      </c>
      <c r="M9745">
        <v>7</v>
      </c>
      <c r="N9745" t="s">
        <v>35</v>
      </c>
      <c r="O9745" t="s">
        <v>27</v>
      </c>
      <c r="P9745">
        <v>2.35384729122157</v>
      </c>
      <c r="Q9745">
        <v>1.98030915189143</v>
      </c>
      <c r="R9745">
        <v>1.4873603813163401</v>
      </c>
      <c r="S9745">
        <v>170</v>
      </c>
      <c r="T9745">
        <v>60</v>
      </c>
      <c r="U9745">
        <v>714.11288054520799</v>
      </c>
      <c r="V9745">
        <v>3.7037037037036999E-3</v>
      </c>
      <c r="W9745">
        <v>1581103.28061454</v>
      </c>
      <c r="X9745" t="s">
        <v>39</v>
      </c>
      <c r="Y9745">
        <f>1-594-451-3778</f>
        <v>-4822</v>
      </c>
    </row>
    <row r="9746" spans="1:25" x14ac:dyDescent="0.35">
      <c r="A9746">
        <v>33.604091483305503</v>
      </c>
      <c r="B9746">
        <v>-118.42918976601</v>
      </c>
      <c r="C9746" t="s">
        <v>34</v>
      </c>
      <c r="D9746">
        <v>43.654525250109103</v>
      </c>
      <c r="E9746">
        <v>5</v>
      </c>
      <c r="F9746">
        <v>3253</v>
      </c>
      <c r="G9746">
        <v>3</v>
      </c>
      <c r="H9746">
        <v>3</v>
      </c>
      <c r="I9746">
        <v>1957</v>
      </c>
      <c r="J9746">
        <v>1</v>
      </c>
      <c r="K9746">
        <v>1</v>
      </c>
      <c r="L9746">
        <v>1</v>
      </c>
      <c r="M9746">
        <v>10</v>
      </c>
      <c r="N9746" t="s">
        <v>41</v>
      </c>
      <c r="O9746" t="s">
        <v>32</v>
      </c>
      <c r="P9746">
        <v>8.8691282848400892</v>
      </c>
      <c r="Q9746">
        <v>0.72337382454779997</v>
      </c>
      <c r="R9746">
        <v>5.9037534923386801</v>
      </c>
      <c r="S9746">
        <v>133</v>
      </c>
      <c r="T9746">
        <v>65</v>
      </c>
      <c r="U9746">
        <v>545.89216629778605</v>
      </c>
      <c r="V9746">
        <v>3.0740854595757701E-3</v>
      </c>
      <c r="W9746">
        <v>2151108.4334180001</v>
      </c>
      <c r="X9746" t="s">
        <v>36</v>
      </c>
      <c r="Y9746">
        <f>1-471-746-7442</f>
        <v>-8658</v>
      </c>
    </row>
    <row r="9747" spans="1:25" x14ac:dyDescent="0.35">
      <c r="A9747">
        <v>36.532548207606801</v>
      </c>
      <c r="B9747">
        <v>-115.37749630656801</v>
      </c>
      <c r="C9747" t="s">
        <v>25</v>
      </c>
      <c r="D9747">
        <v>4.7299492454459502</v>
      </c>
      <c r="E9747">
        <v>9</v>
      </c>
      <c r="F9747">
        <v>3013</v>
      </c>
      <c r="G9747">
        <v>3</v>
      </c>
      <c r="H9747">
        <v>3</v>
      </c>
      <c r="I9747">
        <v>1964</v>
      </c>
      <c r="J9747">
        <v>1</v>
      </c>
      <c r="K9747">
        <v>0</v>
      </c>
      <c r="L9747">
        <v>0</v>
      </c>
      <c r="M9747">
        <v>5</v>
      </c>
      <c r="N9747" t="s">
        <v>35</v>
      </c>
      <c r="O9747" t="s">
        <v>30</v>
      </c>
      <c r="P9747">
        <v>11.5873838225596</v>
      </c>
      <c r="Q9747">
        <v>1.5250424132851801</v>
      </c>
      <c r="R9747">
        <v>0.224897825415527</v>
      </c>
      <c r="S9747">
        <v>122</v>
      </c>
      <c r="T9747">
        <v>79</v>
      </c>
      <c r="U9747">
        <v>375.37645312238499</v>
      </c>
      <c r="V9747">
        <v>1.6594756057085899E-3</v>
      </c>
      <c r="W9747">
        <v>1373654.4954222499</v>
      </c>
      <c r="X9747" t="s">
        <v>42</v>
      </c>
      <c r="Y9747">
        <f>1-373-158-8467</f>
        <v>-8997</v>
      </c>
    </row>
    <row r="9748" spans="1:25" x14ac:dyDescent="0.35">
      <c r="A9748">
        <v>39.818058237400002</v>
      </c>
      <c r="B9748">
        <v>-122.93527779549299</v>
      </c>
      <c r="C9748" t="s">
        <v>34</v>
      </c>
      <c r="D9748">
        <v>16.748698855589101</v>
      </c>
      <c r="E9748">
        <v>1</v>
      </c>
      <c r="F9748">
        <v>1352</v>
      </c>
      <c r="G9748">
        <v>5</v>
      </c>
      <c r="H9748">
        <v>3</v>
      </c>
      <c r="I9748">
        <v>1972</v>
      </c>
      <c r="J9748">
        <v>0</v>
      </c>
      <c r="K9748">
        <v>1</v>
      </c>
      <c r="L9748">
        <v>0</v>
      </c>
      <c r="M9748">
        <v>9</v>
      </c>
      <c r="N9748" t="s">
        <v>37</v>
      </c>
      <c r="O9748" t="s">
        <v>27</v>
      </c>
      <c r="P9748">
        <v>5.9532514727896499</v>
      </c>
      <c r="Q9748">
        <v>1.0945037280266201</v>
      </c>
      <c r="R9748">
        <v>1.38935038838338</v>
      </c>
      <c r="S9748">
        <v>182</v>
      </c>
      <c r="T9748">
        <v>51</v>
      </c>
      <c r="U9748">
        <v>766.973255245823</v>
      </c>
      <c r="V9748">
        <v>6.65680473372781E-3</v>
      </c>
      <c r="W9748">
        <v>1384373.7745147999</v>
      </c>
      <c r="X9748" t="s">
        <v>33</v>
      </c>
      <c r="Y9748">
        <f>1-253-100-6378</f>
        <v>-6730</v>
      </c>
    </row>
    <row r="9749" spans="1:25" x14ac:dyDescent="0.35">
      <c r="A9749">
        <v>40.216627312689198</v>
      </c>
      <c r="B9749">
        <v>-124.07775674913999</v>
      </c>
      <c r="C9749" t="s">
        <v>34</v>
      </c>
      <c r="D9749">
        <v>7.1676695293504702</v>
      </c>
      <c r="E9749">
        <v>3</v>
      </c>
      <c r="F9749">
        <v>4891</v>
      </c>
      <c r="G9749">
        <v>1</v>
      </c>
      <c r="H9749">
        <v>3</v>
      </c>
      <c r="I9749">
        <v>1958</v>
      </c>
      <c r="J9749">
        <v>0</v>
      </c>
      <c r="K9749">
        <v>0</v>
      </c>
      <c r="L9749">
        <v>0</v>
      </c>
      <c r="M9749">
        <v>9</v>
      </c>
      <c r="N9749" t="s">
        <v>37</v>
      </c>
      <c r="O9749" t="s">
        <v>30</v>
      </c>
      <c r="P9749">
        <v>7.6542636287279198</v>
      </c>
      <c r="Q9749">
        <v>0.76665644855427795</v>
      </c>
      <c r="R9749">
        <v>6.4636418285269999</v>
      </c>
      <c r="S9749">
        <v>122</v>
      </c>
      <c r="T9749">
        <v>62</v>
      </c>
      <c r="U9749">
        <v>619.70691728276199</v>
      </c>
      <c r="V9749">
        <v>1.8401144960130799E-3</v>
      </c>
      <c r="W9749">
        <v>3119401.6236983901</v>
      </c>
      <c r="X9749" t="s">
        <v>38</v>
      </c>
      <c r="Y9749">
        <f>1-906-483-8888</f>
        <v>-10276</v>
      </c>
    </row>
    <row r="9750" spans="1:25" x14ac:dyDescent="0.35">
      <c r="A9750">
        <v>41.581092221994197</v>
      </c>
      <c r="B9750">
        <v>-114.766452124143</v>
      </c>
      <c r="C9750" t="s">
        <v>34</v>
      </c>
      <c r="D9750">
        <v>12.229275943672601</v>
      </c>
      <c r="E9750">
        <v>4</v>
      </c>
      <c r="F9750">
        <v>699</v>
      </c>
      <c r="G9750">
        <v>3</v>
      </c>
      <c r="H9750">
        <v>1</v>
      </c>
      <c r="I9750">
        <v>1965</v>
      </c>
      <c r="J9750">
        <v>1</v>
      </c>
      <c r="K9750">
        <v>0</v>
      </c>
      <c r="L9750">
        <v>1</v>
      </c>
      <c r="M9750">
        <v>5</v>
      </c>
      <c r="N9750" t="s">
        <v>41</v>
      </c>
      <c r="O9750" t="s">
        <v>27</v>
      </c>
      <c r="P9750">
        <v>12.640205129350599</v>
      </c>
      <c r="Q9750">
        <v>2.2678249259880201</v>
      </c>
      <c r="R9750">
        <v>7.5477817926346704</v>
      </c>
      <c r="S9750">
        <v>181</v>
      </c>
      <c r="T9750">
        <v>43</v>
      </c>
      <c r="U9750">
        <v>550.47966056196503</v>
      </c>
      <c r="V9750">
        <v>7.1530758226037196E-3</v>
      </c>
      <c r="W9750">
        <v>566424.94182225305</v>
      </c>
      <c r="X9750" t="s">
        <v>38</v>
      </c>
      <c r="Y9750">
        <f>1-222-784-7675</f>
        <v>-8680</v>
      </c>
    </row>
    <row r="9751" spans="1:25" x14ac:dyDescent="0.35">
      <c r="A9751">
        <v>39.236915873381903</v>
      </c>
      <c r="B9751">
        <v>-121.37127035172</v>
      </c>
      <c r="C9751" t="s">
        <v>29</v>
      </c>
      <c r="D9751">
        <v>6.8142387303703202</v>
      </c>
      <c r="E9751">
        <v>7</v>
      </c>
      <c r="F9751">
        <v>2582</v>
      </c>
      <c r="G9751">
        <v>2</v>
      </c>
      <c r="H9751">
        <v>1</v>
      </c>
      <c r="I9751">
        <v>2019</v>
      </c>
      <c r="J9751">
        <v>1</v>
      </c>
      <c r="K9751">
        <v>0</v>
      </c>
      <c r="L9751">
        <v>0</v>
      </c>
      <c r="M9751">
        <v>8</v>
      </c>
      <c r="N9751" t="s">
        <v>26</v>
      </c>
      <c r="O9751" t="s">
        <v>30</v>
      </c>
      <c r="P9751">
        <v>12.964995378958401</v>
      </c>
      <c r="Q9751">
        <v>2.4217521784944198</v>
      </c>
      <c r="R9751">
        <v>6.6273714400144002</v>
      </c>
      <c r="S9751">
        <v>116</v>
      </c>
      <c r="T9751">
        <v>61</v>
      </c>
      <c r="U9751">
        <v>613.01168965770398</v>
      </c>
      <c r="V9751">
        <v>3.0983733539891498E-3</v>
      </c>
      <c r="W9751">
        <v>1743634.19071617</v>
      </c>
      <c r="X9751" t="s">
        <v>28</v>
      </c>
      <c r="Y9751">
        <f>1-505-818-2579</f>
        <v>-3901</v>
      </c>
    </row>
    <row r="9752" spans="1:25" x14ac:dyDescent="0.35">
      <c r="A9752">
        <v>33.700125887754197</v>
      </c>
      <c r="B9752">
        <v>-123.28912786374001</v>
      </c>
      <c r="C9752" t="s">
        <v>25</v>
      </c>
      <c r="D9752">
        <v>15.6689641799989</v>
      </c>
      <c r="E9752">
        <v>9</v>
      </c>
      <c r="F9752">
        <v>2965</v>
      </c>
      <c r="G9752">
        <v>3</v>
      </c>
      <c r="H9752">
        <v>2</v>
      </c>
      <c r="I9752">
        <v>1997</v>
      </c>
      <c r="J9752">
        <v>0</v>
      </c>
      <c r="K9752">
        <v>1</v>
      </c>
      <c r="L9752">
        <v>1</v>
      </c>
      <c r="M9752">
        <v>10</v>
      </c>
      <c r="N9752" t="s">
        <v>35</v>
      </c>
      <c r="O9752" t="s">
        <v>32</v>
      </c>
      <c r="P9752">
        <v>3.9284777235550301</v>
      </c>
      <c r="Q9752">
        <v>2.05490611395782</v>
      </c>
      <c r="R9752">
        <v>4.4443303962430996</v>
      </c>
      <c r="S9752">
        <v>54</v>
      </c>
      <c r="T9752">
        <v>54</v>
      </c>
      <c r="U9752">
        <v>729.34529370808104</v>
      </c>
      <c r="V9752">
        <v>3.3726812816188799E-3</v>
      </c>
      <c r="W9752">
        <v>2529595.2330521001</v>
      </c>
      <c r="X9752" t="s">
        <v>36</v>
      </c>
      <c r="Y9752">
        <f>1-993-789-7240</f>
        <v>-9021</v>
      </c>
    </row>
    <row r="9753" spans="1:25" x14ac:dyDescent="0.35">
      <c r="A9753">
        <v>35.267103569153299</v>
      </c>
      <c r="B9753">
        <v>-114.370817717828</v>
      </c>
      <c r="C9753" t="s">
        <v>29</v>
      </c>
      <c r="D9753">
        <v>18.9676669800258</v>
      </c>
      <c r="E9753">
        <v>2</v>
      </c>
      <c r="F9753">
        <v>2828</v>
      </c>
      <c r="G9753">
        <v>2</v>
      </c>
      <c r="H9753">
        <v>2</v>
      </c>
      <c r="I9753">
        <v>1985</v>
      </c>
      <c r="J9753">
        <v>0</v>
      </c>
      <c r="K9753">
        <v>0</v>
      </c>
      <c r="L9753">
        <v>1</v>
      </c>
      <c r="M9753">
        <v>8</v>
      </c>
      <c r="N9753" t="s">
        <v>37</v>
      </c>
      <c r="O9753" t="s">
        <v>30</v>
      </c>
      <c r="P9753">
        <v>3.8777762855229998</v>
      </c>
      <c r="Q9753">
        <v>1.55603641428949</v>
      </c>
      <c r="R9753">
        <v>6.2783242978847804</v>
      </c>
      <c r="S9753">
        <v>191</v>
      </c>
      <c r="T9753">
        <v>27</v>
      </c>
      <c r="U9753">
        <v>837.09076475174697</v>
      </c>
      <c r="V9753">
        <v>2.8288543140028198E-3</v>
      </c>
      <c r="W9753">
        <v>2444414.9389523002</v>
      </c>
      <c r="X9753" t="s">
        <v>43</v>
      </c>
      <c r="Y9753">
        <f>1-990-831-4431</f>
        <v>-6251</v>
      </c>
    </row>
    <row r="9754" spans="1:25" x14ac:dyDescent="0.35">
      <c r="A9754">
        <v>33.7660325936071</v>
      </c>
      <c r="B9754">
        <v>-121.563009083534</v>
      </c>
      <c r="C9754" t="s">
        <v>29</v>
      </c>
      <c r="D9754">
        <v>11.801401449890401</v>
      </c>
      <c r="E9754">
        <v>1</v>
      </c>
      <c r="F9754">
        <v>1156</v>
      </c>
      <c r="G9754">
        <v>4</v>
      </c>
      <c r="H9754">
        <v>2</v>
      </c>
      <c r="I9754">
        <v>1999</v>
      </c>
      <c r="J9754">
        <v>1</v>
      </c>
      <c r="K9754">
        <v>1</v>
      </c>
      <c r="L9754">
        <v>1</v>
      </c>
      <c r="M9754">
        <v>14</v>
      </c>
      <c r="N9754" t="s">
        <v>41</v>
      </c>
      <c r="O9754" t="s">
        <v>32</v>
      </c>
      <c r="P9754">
        <v>12.0164636002661</v>
      </c>
      <c r="Q9754">
        <v>0.88802840560271501</v>
      </c>
      <c r="R9754">
        <v>4.2541682324790697</v>
      </c>
      <c r="S9754">
        <v>9</v>
      </c>
      <c r="T9754">
        <v>32</v>
      </c>
      <c r="U9754">
        <v>731.40765979748505</v>
      </c>
      <c r="V9754">
        <v>1.21107266435986E-2</v>
      </c>
      <c r="W9754">
        <v>1297140.5888124399</v>
      </c>
      <c r="X9754" t="s">
        <v>42</v>
      </c>
      <c r="Y9754">
        <f>1-282-956-9003</f>
        <v>-10240</v>
      </c>
    </row>
    <row r="9755" spans="1:25" x14ac:dyDescent="0.35">
      <c r="A9755">
        <v>39.734064383674699</v>
      </c>
      <c r="B9755">
        <v>-120.14385816957</v>
      </c>
      <c r="C9755" t="s">
        <v>34</v>
      </c>
      <c r="D9755">
        <v>23.083333576535299</v>
      </c>
      <c r="E9755">
        <v>0</v>
      </c>
      <c r="F9755">
        <v>4738</v>
      </c>
      <c r="G9755">
        <v>4</v>
      </c>
      <c r="H9755">
        <v>1</v>
      </c>
      <c r="I9755">
        <v>2001</v>
      </c>
      <c r="J9755">
        <v>1</v>
      </c>
      <c r="K9755">
        <v>0</v>
      </c>
      <c r="L9755">
        <v>0</v>
      </c>
      <c r="M9755">
        <v>6</v>
      </c>
      <c r="N9755" t="s">
        <v>37</v>
      </c>
      <c r="O9755" t="s">
        <v>30</v>
      </c>
      <c r="P9755">
        <v>13.9463540239712</v>
      </c>
      <c r="Q9755">
        <v>2.2601407731815102</v>
      </c>
      <c r="R9755">
        <v>8.0616278095144907</v>
      </c>
      <c r="S9755">
        <v>184</v>
      </c>
      <c r="T9755">
        <v>36</v>
      </c>
      <c r="U9755">
        <v>614.45099556420996</v>
      </c>
      <c r="V9755">
        <v>1.2663571127057799E-3</v>
      </c>
      <c r="W9755">
        <v>3235287.6257400201</v>
      </c>
      <c r="X9755" t="s">
        <v>38</v>
      </c>
      <c r="Y9755">
        <f>1-520-345-8319</f>
        <v>-9183</v>
      </c>
    </row>
    <row r="9756" spans="1:25" x14ac:dyDescent="0.35">
      <c r="A9756">
        <v>32.845782789502103</v>
      </c>
      <c r="B9756">
        <v>-120.46121284229</v>
      </c>
      <c r="C9756" t="s">
        <v>29</v>
      </c>
      <c r="D9756">
        <v>10.9775674891204</v>
      </c>
      <c r="E9756">
        <v>1</v>
      </c>
      <c r="F9756">
        <v>2055</v>
      </c>
      <c r="G9756">
        <v>5</v>
      </c>
      <c r="H9756">
        <v>3</v>
      </c>
      <c r="I9756">
        <v>1973</v>
      </c>
      <c r="J9756">
        <v>1</v>
      </c>
      <c r="K9756">
        <v>0</v>
      </c>
      <c r="L9756">
        <v>0</v>
      </c>
      <c r="M9756">
        <v>10</v>
      </c>
      <c r="N9756" t="s">
        <v>35</v>
      </c>
      <c r="O9756" t="s">
        <v>30</v>
      </c>
      <c r="P9756">
        <v>4.7229947632599902</v>
      </c>
      <c r="Q9756">
        <v>0.78890834564727597</v>
      </c>
      <c r="R9756">
        <v>5.7414054676739203</v>
      </c>
      <c r="S9756">
        <v>51</v>
      </c>
      <c r="T9756">
        <v>25</v>
      </c>
      <c r="U9756">
        <v>822.26051634199996</v>
      </c>
      <c r="V9756">
        <v>4.8661800486617997E-3</v>
      </c>
      <c r="W9756">
        <v>1906412.84864363</v>
      </c>
      <c r="X9756" t="s">
        <v>40</v>
      </c>
      <c r="Y9756">
        <f>1-531-821-8716</f>
        <v>-10067</v>
      </c>
    </row>
    <row r="9757" spans="1:25" x14ac:dyDescent="0.35">
      <c r="A9757">
        <v>39.298198164678404</v>
      </c>
      <c r="B9757">
        <v>-123.985890649007</v>
      </c>
      <c r="C9757" t="s">
        <v>25</v>
      </c>
      <c r="D9757">
        <v>7.0683367473816796</v>
      </c>
      <c r="E9757">
        <v>3</v>
      </c>
      <c r="F9757">
        <v>2417</v>
      </c>
      <c r="G9757">
        <v>4</v>
      </c>
      <c r="H9757">
        <v>3</v>
      </c>
      <c r="I9757">
        <v>2011</v>
      </c>
      <c r="J9757">
        <v>0</v>
      </c>
      <c r="K9757">
        <v>1</v>
      </c>
      <c r="L9757">
        <v>0</v>
      </c>
      <c r="M9757">
        <v>9</v>
      </c>
      <c r="N9757" t="s">
        <v>37</v>
      </c>
      <c r="O9757" t="s">
        <v>30</v>
      </c>
      <c r="P9757">
        <v>13.5205866108045</v>
      </c>
      <c r="Q9757">
        <v>2.04940822777978</v>
      </c>
      <c r="R9757">
        <v>6.5057650377797804</v>
      </c>
      <c r="S9757">
        <v>112</v>
      </c>
      <c r="T9757">
        <v>76</v>
      </c>
      <c r="U9757">
        <v>534.98797144161404</v>
      </c>
      <c r="V9757">
        <v>3.72362432767894E-3</v>
      </c>
      <c r="W9757">
        <v>1748621.7853625601</v>
      </c>
      <c r="X9757" t="s">
        <v>43</v>
      </c>
      <c r="Y9757">
        <f>1-744-241-9384</f>
        <v>-10368</v>
      </c>
    </row>
    <row r="9758" spans="1:25" x14ac:dyDescent="0.35">
      <c r="A9758">
        <v>38.261572433790597</v>
      </c>
      <c r="B9758">
        <v>-120.621594366547</v>
      </c>
      <c r="C9758" t="s">
        <v>25</v>
      </c>
      <c r="D9758">
        <v>46.283212929838498</v>
      </c>
      <c r="E9758">
        <v>2</v>
      </c>
      <c r="F9758">
        <v>619</v>
      </c>
      <c r="G9758">
        <v>3</v>
      </c>
      <c r="H9758">
        <v>2</v>
      </c>
      <c r="I9758">
        <v>1985</v>
      </c>
      <c r="J9758">
        <v>1</v>
      </c>
      <c r="K9758">
        <v>1</v>
      </c>
      <c r="L9758">
        <v>0</v>
      </c>
      <c r="M9758">
        <v>5</v>
      </c>
      <c r="N9758" t="s">
        <v>37</v>
      </c>
      <c r="O9758" t="s">
        <v>30</v>
      </c>
      <c r="P9758">
        <v>3.8892962781998901</v>
      </c>
      <c r="Q9758">
        <v>0.63325817975475296</v>
      </c>
      <c r="R9758">
        <v>5.2070841636660496</v>
      </c>
      <c r="S9758">
        <v>20</v>
      </c>
      <c r="T9758">
        <v>70</v>
      </c>
      <c r="U9758">
        <v>739.46413942657398</v>
      </c>
      <c r="V9758">
        <v>8.0775444264943406E-3</v>
      </c>
      <c r="W9758">
        <v>821753.18383269</v>
      </c>
      <c r="X9758" t="s">
        <v>44</v>
      </c>
      <c r="Y9758">
        <f>1-200-176-7125</f>
        <v>-7500</v>
      </c>
    </row>
    <row r="9759" spans="1:25" x14ac:dyDescent="0.35">
      <c r="A9759">
        <v>37.704967958494599</v>
      </c>
      <c r="B9759">
        <v>-121.70231892063001</v>
      </c>
      <c r="C9759" t="s">
        <v>29</v>
      </c>
      <c r="D9759">
        <v>15.8356011170644</v>
      </c>
      <c r="E9759">
        <v>1</v>
      </c>
      <c r="F9759">
        <v>2753</v>
      </c>
      <c r="G9759">
        <v>3</v>
      </c>
      <c r="H9759">
        <v>2</v>
      </c>
      <c r="I9759">
        <v>1954</v>
      </c>
      <c r="J9759">
        <v>1</v>
      </c>
      <c r="K9759">
        <v>0</v>
      </c>
      <c r="L9759">
        <v>0</v>
      </c>
      <c r="M9759">
        <v>12</v>
      </c>
      <c r="N9759" t="s">
        <v>37</v>
      </c>
      <c r="O9759" t="s">
        <v>27</v>
      </c>
      <c r="P9759">
        <v>10.958935697956001</v>
      </c>
      <c r="Q9759">
        <v>1.30059972201312</v>
      </c>
      <c r="R9759">
        <v>1.97728687227764</v>
      </c>
      <c r="S9759">
        <v>78</v>
      </c>
      <c r="T9759">
        <v>34</v>
      </c>
      <c r="U9759">
        <v>410.47836974654302</v>
      </c>
      <c r="V9759">
        <v>4.3588812204867402E-3</v>
      </c>
      <c r="W9759">
        <v>1371886.3599020401</v>
      </c>
      <c r="X9759" t="s">
        <v>44</v>
      </c>
      <c r="Y9759">
        <f>1-876-905-6410</f>
        <v>-8190</v>
      </c>
    </row>
    <row r="9760" spans="1:25" x14ac:dyDescent="0.35">
      <c r="A9760">
        <v>33.834664434939398</v>
      </c>
      <c r="B9760">
        <v>-122.571072167707</v>
      </c>
      <c r="C9760" t="s">
        <v>34</v>
      </c>
      <c r="D9760">
        <v>15.395488618606</v>
      </c>
      <c r="E9760">
        <v>8</v>
      </c>
      <c r="F9760">
        <v>4064</v>
      </c>
      <c r="G9760">
        <v>4</v>
      </c>
      <c r="H9760">
        <v>3</v>
      </c>
      <c r="I9760">
        <v>2011</v>
      </c>
      <c r="J9760">
        <v>0</v>
      </c>
      <c r="K9760">
        <v>0</v>
      </c>
      <c r="L9760">
        <v>1</v>
      </c>
      <c r="M9760">
        <v>10</v>
      </c>
      <c r="N9760" t="s">
        <v>26</v>
      </c>
      <c r="O9760" t="s">
        <v>30</v>
      </c>
      <c r="P9760">
        <v>2.2903126849256599</v>
      </c>
      <c r="Q9760">
        <v>1.5700475024207201</v>
      </c>
      <c r="R9760">
        <v>3.52348915093495</v>
      </c>
      <c r="S9760">
        <v>164</v>
      </c>
      <c r="T9760">
        <v>75</v>
      </c>
      <c r="U9760">
        <v>757.59893546322803</v>
      </c>
      <c r="V9760">
        <v>2.4606299212598399E-3</v>
      </c>
      <c r="W9760">
        <v>3346730.4757048902</v>
      </c>
      <c r="X9760" t="s">
        <v>39</v>
      </c>
      <c r="Y9760">
        <f>1-872-549-8165</f>
        <v>-9585</v>
      </c>
    </row>
    <row r="9761" spans="1:25" x14ac:dyDescent="0.35">
      <c r="A9761">
        <v>41.092514586081698</v>
      </c>
      <c r="B9761">
        <v>-122.53619637333</v>
      </c>
      <c r="C9761" t="s">
        <v>34</v>
      </c>
      <c r="D9761">
        <v>42.911578736544499</v>
      </c>
      <c r="E9761">
        <v>5</v>
      </c>
      <c r="F9761">
        <v>3736</v>
      </c>
      <c r="G9761">
        <v>5</v>
      </c>
      <c r="H9761">
        <v>1</v>
      </c>
      <c r="I9761">
        <v>1992</v>
      </c>
      <c r="J9761">
        <v>0</v>
      </c>
      <c r="K9761">
        <v>1</v>
      </c>
      <c r="L9761">
        <v>1</v>
      </c>
      <c r="M9761">
        <v>5</v>
      </c>
      <c r="N9761" t="s">
        <v>41</v>
      </c>
      <c r="O9761" t="s">
        <v>32</v>
      </c>
      <c r="P9761">
        <v>2.1285252034001401</v>
      </c>
      <c r="Q9761">
        <v>1.6041736682221399</v>
      </c>
      <c r="R9761">
        <v>8.7098277369180099</v>
      </c>
      <c r="S9761">
        <v>90</v>
      </c>
      <c r="T9761">
        <v>40</v>
      </c>
      <c r="U9761">
        <v>276.72343126909402</v>
      </c>
      <c r="V9761">
        <v>1.3383297644539601E-3</v>
      </c>
      <c r="W9761">
        <v>1436764.0228111399</v>
      </c>
      <c r="X9761" t="s">
        <v>36</v>
      </c>
      <c r="Y9761">
        <f>1-316-631-4411</f>
        <v>-5357</v>
      </c>
    </row>
    <row r="9762" spans="1:25" x14ac:dyDescent="0.35">
      <c r="A9762">
        <v>39.391067444341097</v>
      </c>
      <c r="B9762">
        <v>-121.61717594940001</v>
      </c>
      <c r="C9762" t="s">
        <v>29</v>
      </c>
      <c r="D9762">
        <v>45.850112248520396</v>
      </c>
      <c r="E9762">
        <v>4</v>
      </c>
      <c r="F9762">
        <v>2632</v>
      </c>
      <c r="G9762">
        <v>5</v>
      </c>
      <c r="H9762">
        <v>1</v>
      </c>
      <c r="I9762">
        <v>1969</v>
      </c>
      <c r="J9762">
        <v>1</v>
      </c>
      <c r="K9762">
        <v>1</v>
      </c>
      <c r="L9762">
        <v>0</v>
      </c>
      <c r="M9762">
        <v>3</v>
      </c>
      <c r="N9762" t="s">
        <v>26</v>
      </c>
      <c r="O9762" t="s">
        <v>32</v>
      </c>
      <c r="P9762">
        <v>3.5094464568963</v>
      </c>
      <c r="Q9762">
        <v>1.7710910905516899</v>
      </c>
      <c r="R9762">
        <v>1.72181577712473</v>
      </c>
      <c r="S9762">
        <v>32</v>
      </c>
      <c r="T9762">
        <v>41</v>
      </c>
      <c r="U9762">
        <v>524.03881292317601</v>
      </c>
      <c r="V9762">
        <v>1.1398176291793299E-3</v>
      </c>
      <c r="W9762">
        <v>1805626.1264168399</v>
      </c>
      <c r="X9762" t="s">
        <v>38</v>
      </c>
      <c r="Y9762">
        <f>1-618-923-8432</f>
        <v>-9972</v>
      </c>
    </row>
    <row r="9763" spans="1:25" x14ac:dyDescent="0.35">
      <c r="A9763">
        <v>38.8035585034863</v>
      </c>
      <c r="B9763">
        <v>-120.132574568545</v>
      </c>
      <c r="C9763" t="s">
        <v>34</v>
      </c>
      <c r="D9763">
        <v>23.340080792631301</v>
      </c>
      <c r="E9763">
        <v>4</v>
      </c>
      <c r="F9763">
        <v>3588</v>
      </c>
      <c r="G9763">
        <v>1</v>
      </c>
      <c r="H9763">
        <v>3</v>
      </c>
      <c r="I9763">
        <v>1982</v>
      </c>
      <c r="J9763">
        <v>0</v>
      </c>
      <c r="K9763">
        <v>0</v>
      </c>
      <c r="L9763">
        <v>1</v>
      </c>
      <c r="M9763">
        <v>10</v>
      </c>
      <c r="N9763" t="s">
        <v>41</v>
      </c>
      <c r="O9763" t="s">
        <v>32</v>
      </c>
      <c r="P9763">
        <v>14.1608362581867</v>
      </c>
      <c r="Q9763">
        <v>1.66998634358749</v>
      </c>
      <c r="R9763">
        <v>5.3737778258498201</v>
      </c>
      <c r="S9763">
        <v>163</v>
      </c>
      <c r="T9763">
        <v>33</v>
      </c>
      <c r="U9763">
        <v>254.91056817009101</v>
      </c>
      <c r="V9763">
        <v>2.7870680044592999E-3</v>
      </c>
      <c r="W9763">
        <v>1130349.5983369499</v>
      </c>
      <c r="X9763" t="s">
        <v>44</v>
      </c>
      <c r="Y9763">
        <f>1-556-814-1056</f>
        <v>-2425</v>
      </c>
    </row>
    <row r="9764" spans="1:25" x14ac:dyDescent="0.35">
      <c r="A9764">
        <v>33.306760125401802</v>
      </c>
      <c r="B9764">
        <v>-117.43810765965399</v>
      </c>
      <c r="C9764" t="s">
        <v>25</v>
      </c>
      <c r="D9764">
        <v>14.555808426262301</v>
      </c>
      <c r="E9764">
        <v>7</v>
      </c>
      <c r="F9764">
        <v>4504</v>
      </c>
      <c r="G9764">
        <v>3</v>
      </c>
      <c r="H9764">
        <v>3</v>
      </c>
      <c r="I9764">
        <v>1961</v>
      </c>
      <c r="J9764">
        <v>0</v>
      </c>
      <c r="K9764">
        <v>1</v>
      </c>
      <c r="L9764">
        <v>1</v>
      </c>
      <c r="M9764">
        <v>3</v>
      </c>
      <c r="N9764" t="s">
        <v>35</v>
      </c>
      <c r="O9764" t="s">
        <v>32</v>
      </c>
      <c r="P9764">
        <v>12.142760222942</v>
      </c>
      <c r="Q9764">
        <v>1.74966922367311</v>
      </c>
      <c r="R9764">
        <v>8.2029429996776795</v>
      </c>
      <c r="S9764">
        <v>124</v>
      </c>
      <c r="T9764">
        <v>52</v>
      </c>
      <c r="U9764">
        <v>433.34053508976803</v>
      </c>
      <c r="V9764">
        <v>6.6607460035523905E-4</v>
      </c>
      <c r="W9764">
        <v>2287301.4125663699</v>
      </c>
      <c r="X9764" t="s">
        <v>28</v>
      </c>
      <c r="Y9764">
        <f>1-567-231-1205</f>
        <v>-2002</v>
      </c>
    </row>
    <row r="9765" spans="1:25" x14ac:dyDescent="0.35">
      <c r="A9765">
        <v>32.5251146378992</v>
      </c>
      <c r="B9765">
        <v>-120.97116434430799</v>
      </c>
      <c r="C9765" t="s">
        <v>25</v>
      </c>
      <c r="D9765">
        <v>9.6655284624289308</v>
      </c>
      <c r="E9765">
        <v>7</v>
      </c>
      <c r="F9765">
        <v>812</v>
      </c>
      <c r="G9765">
        <v>4</v>
      </c>
      <c r="H9765">
        <v>2</v>
      </c>
      <c r="I9765">
        <v>2012</v>
      </c>
      <c r="J9765">
        <v>1</v>
      </c>
      <c r="K9765">
        <v>0</v>
      </c>
      <c r="L9765">
        <v>0</v>
      </c>
      <c r="M9765">
        <v>4</v>
      </c>
      <c r="N9765" t="s">
        <v>35</v>
      </c>
      <c r="O9765" t="s">
        <v>27</v>
      </c>
      <c r="P9765">
        <v>2.1189541688326901</v>
      </c>
      <c r="Q9765">
        <v>0.61705700001543196</v>
      </c>
      <c r="R9765">
        <v>0.71651007405480605</v>
      </c>
      <c r="S9765">
        <v>111</v>
      </c>
      <c r="T9765">
        <v>57</v>
      </c>
      <c r="U9765">
        <v>945.29892686536596</v>
      </c>
      <c r="V9765">
        <v>4.9261083743842296E-3</v>
      </c>
      <c r="W9765">
        <v>992170.00521099602</v>
      </c>
      <c r="X9765" t="s">
        <v>31</v>
      </c>
      <c r="Y9765">
        <f>1-699-347-4091</f>
        <v>-5136</v>
      </c>
    </row>
    <row r="9766" spans="1:25" x14ac:dyDescent="0.35">
      <c r="A9766">
        <v>41.621226155624797</v>
      </c>
      <c r="B9766">
        <v>-119.044606004679</v>
      </c>
      <c r="C9766" t="s">
        <v>29</v>
      </c>
      <c r="D9766">
        <v>37.980347540380698</v>
      </c>
      <c r="E9766">
        <v>8</v>
      </c>
      <c r="F9766">
        <v>989</v>
      </c>
      <c r="G9766">
        <v>1</v>
      </c>
      <c r="H9766">
        <v>2</v>
      </c>
      <c r="I9766">
        <v>2016</v>
      </c>
      <c r="J9766">
        <v>1</v>
      </c>
      <c r="K9766">
        <v>0</v>
      </c>
      <c r="L9766">
        <v>0</v>
      </c>
      <c r="M9766">
        <v>10</v>
      </c>
      <c r="N9766" t="s">
        <v>35</v>
      </c>
      <c r="O9766" t="s">
        <v>32</v>
      </c>
      <c r="P9766">
        <v>5.608394644504</v>
      </c>
      <c r="Q9766">
        <v>1.91499200330788</v>
      </c>
      <c r="R9766">
        <v>8.5972174350820794</v>
      </c>
      <c r="S9766">
        <v>39</v>
      </c>
      <c r="T9766">
        <v>45</v>
      </c>
      <c r="U9766">
        <v>276.535648480936</v>
      </c>
      <c r="V9766">
        <v>1.01112234580384E-2</v>
      </c>
      <c r="W9766">
        <v>402680.53779250599</v>
      </c>
      <c r="X9766" t="s">
        <v>28</v>
      </c>
      <c r="Y9766">
        <f>1-640-963-2274</f>
        <v>-3876</v>
      </c>
    </row>
    <row r="9767" spans="1:25" x14ac:dyDescent="0.35">
      <c r="A9767">
        <v>33.457573219858297</v>
      </c>
      <c r="B9767">
        <v>-118.683794173061</v>
      </c>
      <c r="C9767" t="s">
        <v>25</v>
      </c>
      <c r="D9767">
        <v>31.683756923594402</v>
      </c>
      <c r="E9767">
        <v>1</v>
      </c>
      <c r="F9767">
        <v>2320</v>
      </c>
      <c r="G9767">
        <v>5</v>
      </c>
      <c r="H9767">
        <v>1</v>
      </c>
      <c r="I9767">
        <v>2000</v>
      </c>
      <c r="J9767">
        <v>1</v>
      </c>
      <c r="K9767">
        <v>0</v>
      </c>
      <c r="L9767">
        <v>1</v>
      </c>
      <c r="M9767">
        <v>9</v>
      </c>
      <c r="N9767" t="s">
        <v>35</v>
      </c>
      <c r="O9767" t="s">
        <v>30</v>
      </c>
      <c r="P9767">
        <v>2.7413532518964199</v>
      </c>
      <c r="Q9767">
        <v>2.4977207164617101</v>
      </c>
      <c r="R9767">
        <v>0.96357672774381897</v>
      </c>
      <c r="S9767">
        <v>14</v>
      </c>
      <c r="T9767">
        <v>61</v>
      </c>
      <c r="U9767">
        <v>728.455936270807</v>
      </c>
      <c r="V9767">
        <v>3.8793103448275801E-3</v>
      </c>
      <c r="W9767">
        <v>1994482.58706414</v>
      </c>
      <c r="X9767" t="s">
        <v>38</v>
      </c>
      <c r="Y9767">
        <f>1-590-729-4410</f>
        <v>-5728</v>
      </c>
    </row>
    <row r="9768" spans="1:25" x14ac:dyDescent="0.35">
      <c r="A9768">
        <v>36.495007187289303</v>
      </c>
      <c r="B9768">
        <v>-119.61851176686601</v>
      </c>
      <c r="C9768" t="s">
        <v>29</v>
      </c>
      <c r="D9768">
        <v>34.337135097553698</v>
      </c>
      <c r="E9768">
        <v>1</v>
      </c>
      <c r="F9768">
        <v>847</v>
      </c>
      <c r="G9768">
        <v>2</v>
      </c>
      <c r="H9768">
        <v>1</v>
      </c>
      <c r="I9768">
        <v>2008</v>
      </c>
      <c r="J9768">
        <v>0</v>
      </c>
      <c r="K9768">
        <v>0</v>
      </c>
      <c r="L9768">
        <v>1</v>
      </c>
      <c r="M9768">
        <v>5</v>
      </c>
      <c r="N9768" t="s">
        <v>35</v>
      </c>
      <c r="O9768" t="s">
        <v>27</v>
      </c>
      <c r="P9768">
        <v>9.19169163981684</v>
      </c>
      <c r="Q9768">
        <v>1.98665593069284</v>
      </c>
      <c r="R9768">
        <v>4.9724572849082698</v>
      </c>
      <c r="S9768">
        <v>108</v>
      </c>
      <c r="T9768">
        <v>78</v>
      </c>
      <c r="U9768">
        <v>723.68694406366501</v>
      </c>
      <c r="V9768">
        <v>5.9031877213695299E-3</v>
      </c>
      <c r="W9768">
        <v>729313.56247696304</v>
      </c>
      <c r="X9768" t="s">
        <v>39</v>
      </c>
      <c r="Y9768">
        <f>1-276-569-6770</f>
        <v>-7614</v>
      </c>
    </row>
    <row r="9769" spans="1:25" x14ac:dyDescent="0.35">
      <c r="A9769">
        <v>35.9480013252834</v>
      </c>
      <c r="B9769">
        <v>-117.63064665736999</v>
      </c>
      <c r="C9769" t="s">
        <v>25</v>
      </c>
      <c r="D9769">
        <v>6.2439308121516897</v>
      </c>
      <c r="E9769">
        <v>1</v>
      </c>
      <c r="F9769">
        <v>4914</v>
      </c>
      <c r="G9769">
        <v>4</v>
      </c>
      <c r="H9769">
        <v>2</v>
      </c>
      <c r="I9769">
        <v>1955</v>
      </c>
      <c r="J9769">
        <v>1</v>
      </c>
      <c r="K9769">
        <v>1</v>
      </c>
      <c r="L9769">
        <v>1</v>
      </c>
      <c r="M9769">
        <v>7</v>
      </c>
      <c r="N9769" t="s">
        <v>41</v>
      </c>
      <c r="O9769" t="s">
        <v>32</v>
      </c>
      <c r="P9769">
        <v>8.3612922248282295</v>
      </c>
      <c r="Q9769">
        <v>1.93891172595721</v>
      </c>
      <c r="R9769">
        <v>4.8651100876039797</v>
      </c>
      <c r="S9769">
        <v>151</v>
      </c>
      <c r="T9769">
        <v>47</v>
      </c>
      <c r="U9769">
        <v>603.61046814107203</v>
      </c>
      <c r="V9769">
        <v>1.42450142450142E-3</v>
      </c>
      <c r="W9769">
        <v>3347926.1120484201</v>
      </c>
      <c r="X9769" t="s">
        <v>42</v>
      </c>
      <c r="Y9769">
        <f>1-672-621-3405</f>
        <v>-4697</v>
      </c>
    </row>
    <row r="9770" spans="1:25" x14ac:dyDescent="0.35">
      <c r="A9770">
        <v>34.852749507509998</v>
      </c>
      <c r="B9770">
        <v>-120.657851857214</v>
      </c>
      <c r="C9770" t="s">
        <v>29</v>
      </c>
      <c r="D9770">
        <v>9.5611860383375795</v>
      </c>
      <c r="E9770">
        <v>4</v>
      </c>
      <c r="F9770">
        <v>3018</v>
      </c>
      <c r="G9770">
        <v>3</v>
      </c>
      <c r="H9770">
        <v>1</v>
      </c>
      <c r="I9770">
        <v>1953</v>
      </c>
      <c r="J9770">
        <v>1</v>
      </c>
      <c r="K9770">
        <v>1</v>
      </c>
      <c r="L9770">
        <v>0</v>
      </c>
      <c r="M9770">
        <v>3</v>
      </c>
      <c r="N9770" t="s">
        <v>37</v>
      </c>
      <c r="O9770" t="s">
        <v>30</v>
      </c>
      <c r="P9770">
        <v>11.4699335810735</v>
      </c>
      <c r="Q9770">
        <v>0.78129220569862001</v>
      </c>
      <c r="R9770">
        <v>6.5448691141940198</v>
      </c>
      <c r="S9770">
        <v>139</v>
      </c>
      <c r="T9770">
        <v>34</v>
      </c>
      <c r="U9770">
        <v>242.456156142803</v>
      </c>
      <c r="V9770">
        <v>9.9403578528827006E-4</v>
      </c>
      <c r="W9770">
        <v>1050049.29465252</v>
      </c>
      <c r="X9770" t="s">
        <v>36</v>
      </c>
      <c r="Y9770">
        <f>1-939-371-3171</f>
        <v>-4480</v>
      </c>
    </row>
    <row r="9771" spans="1:25" x14ac:dyDescent="0.35">
      <c r="A9771">
        <v>39.744336619717799</v>
      </c>
      <c r="B9771">
        <v>-122.464256366326</v>
      </c>
      <c r="C9771" t="s">
        <v>34</v>
      </c>
      <c r="D9771">
        <v>40.815565185649703</v>
      </c>
      <c r="E9771">
        <v>8</v>
      </c>
      <c r="F9771">
        <v>1830</v>
      </c>
      <c r="G9771">
        <v>2</v>
      </c>
      <c r="H9771">
        <v>2</v>
      </c>
      <c r="I9771">
        <v>1978</v>
      </c>
      <c r="J9771">
        <v>1</v>
      </c>
      <c r="K9771">
        <v>0</v>
      </c>
      <c r="L9771">
        <v>1</v>
      </c>
      <c r="M9771">
        <v>5</v>
      </c>
      <c r="N9771" t="s">
        <v>37</v>
      </c>
      <c r="O9771" t="s">
        <v>30</v>
      </c>
      <c r="P9771">
        <v>14.3173593913901</v>
      </c>
      <c r="Q9771">
        <v>1.04067075794728</v>
      </c>
      <c r="R9771">
        <v>9.78496876274607</v>
      </c>
      <c r="S9771">
        <v>118</v>
      </c>
      <c r="T9771">
        <v>23</v>
      </c>
      <c r="U9771">
        <v>360.34601700188699</v>
      </c>
      <c r="V9771">
        <v>2.7322404371584699E-3</v>
      </c>
      <c r="W9771">
        <v>855425.45976689295</v>
      </c>
      <c r="X9771" t="s">
        <v>40</v>
      </c>
      <c r="Y9771">
        <f>1-444-801-3430</f>
        <v>-4674</v>
      </c>
    </row>
    <row r="9772" spans="1:25" x14ac:dyDescent="0.35">
      <c r="A9772">
        <v>38.002958584080503</v>
      </c>
      <c r="B9772">
        <v>-123.327377756047</v>
      </c>
      <c r="C9772" t="s">
        <v>34</v>
      </c>
      <c r="D9772">
        <v>45.392683614849098</v>
      </c>
      <c r="E9772">
        <v>1</v>
      </c>
      <c r="F9772">
        <v>4612</v>
      </c>
      <c r="G9772">
        <v>4</v>
      </c>
      <c r="H9772">
        <v>1</v>
      </c>
      <c r="I9772">
        <v>1955</v>
      </c>
      <c r="J9772">
        <v>1</v>
      </c>
      <c r="K9772">
        <v>1</v>
      </c>
      <c r="L9772">
        <v>1</v>
      </c>
      <c r="M9772">
        <v>13</v>
      </c>
      <c r="N9772" t="s">
        <v>26</v>
      </c>
      <c r="O9772" t="s">
        <v>27</v>
      </c>
      <c r="P9772">
        <v>11.271254719598099</v>
      </c>
      <c r="Q9772">
        <v>1.26816678616574</v>
      </c>
      <c r="R9772">
        <v>6.19420323686629</v>
      </c>
      <c r="S9772">
        <v>101</v>
      </c>
      <c r="T9772">
        <v>51</v>
      </c>
      <c r="U9772">
        <v>447.41884707282497</v>
      </c>
      <c r="V9772">
        <v>2.8187337380745801E-3</v>
      </c>
      <c r="W9772">
        <v>2414466.5494142999</v>
      </c>
      <c r="X9772" t="s">
        <v>38</v>
      </c>
      <c r="Y9772">
        <f>1-540-799-5727</f>
        <v>-7065</v>
      </c>
    </row>
    <row r="9773" spans="1:25" x14ac:dyDescent="0.35">
      <c r="A9773">
        <v>38.353328251475602</v>
      </c>
      <c r="B9773">
        <v>-115.87212697040501</v>
      </c>
      <c r="C9773" t="s">
        <v>25</v>
      </c>
      <c r="D9773">
        <v>39.325844190362403</v>
      </c>
      <c r="E9773">
        <v>3</v>
      </c>
      <c r="F9773">
        <v>4058</v>
      </c>
      <c r="G9773">
        <v>2</v>
      </c>
      <c r="H9773">
        <v>1</v>
      </c>
      <c r="I9773">
        <v>1952</v>
      </c>
      <c r="J9773">
        <v>1</v>
      </c>
      <c r="K9773">
        <v>1</v>
      </c>
      <c r="L9773">
        <v>1</v>
      </c>
      <c r="M9773">
        <v>9</v>
      </c>
      <c r="N9773" t="s">
        <v>41</v>
      </c>
      <c r="O9773" t="s">
        <v>27</v>
      </c>
      <c r="P9773">
        <v>10.5489528985172</v>
      </c>
      <c r="Q9773">
        <v>2.0818926449389199</v>
      </c>
      <c r="R9773">
        <v>8.3848781753117994</v>
      </c>
      <c r="S9773">
        <v>4</v>
      </c>
      <c r="T9773">
        <v>26</v>
      </c>
      <c r="U9773">
        <v>417.41788870216698</v>
      </c>
      <c r="V9773">
        <v>2.2178413011335598E-3</v>
      </c>
      <c r="W9773">
        <v>1963168.6995288699</v>
      </c>
      <c r="X9773" t="s">
        <v>38</v>
      </c>
      <c r="Y9773">
        <f>1-415-205-1168</f>
        <v>-1787</v>
      </c>
    </row>
    <row r="9774" spans="1:25" x14ac:dyDescent="0.35">
      <c r="A9774">
        <v>35.342337893046597</v>
      </c>
      <c r="B9774">
        <v>-121.970331285079</v>
      </c>
      <c r="C9774" t="s">
        <v>29</v>
      </c>
      <c r="D9774">
        <v>18.979712549191401</v>
      </c>
      <c r="E9774">
        <v>7</v>
      </c>
      <c r="F9774">
        <v>1763</v>
      </c>
      <c r="G9774">
        <v>1</v>
      </c>
      <c r="H9774">
        <v>2</v>
      </c>
      <c r="I9774">
        <v>2017</v>
      </c>
      <c r="J9774">
        <v>1</v>
      </c>
      <c r="K9774">
        <v>1</v>
      </c>
      <c r="L9774">
        <v>0</v>
      </c>
      <c r="M9774">
        <v>3</v>
      </c>
      <c r="N9774" t="s">
        <v>41</v>
      </c>
      <c r="O9774" t="s">
        <v>27</v>
      </c>
      <c r="P9774">
        <v>3.7006293893957798</v>
      </c>
      <c r="Q9774">
        <v>1.5774347177857599</v>
      </c>
      <c r="R9774">
        <v>1.0827609604207</v>
      </c>
      <c r="S9774">
        <v>174</v>
      </c>
      <c r="T9774">
        <v>24</v>
      </c>
      <c r="U9774">
        <v>966.95164397901897</v>
      </c>
      <c r="V9774">
        <v>1.70164492342597E-3</v>
      </c>
      <c r="W9774">
        <v>1912349.34990948</v>
      </c>
      <c r="X9774" t="s">
        <v>36</v>
      </c>
      <c r="Y9774">
        <f>1-960-982-3005</f>
        <v>-4946</v>
      </c>
    </row>
    <row r="9775" spans="1:25" x14ac:dyDescent="0.35">
      <c r="A9775">
        <v>40.819450294838198</v>
      </c>
      <c r="B9775">
        <v>-121.828430096774</v>
      </c>
      <c r="C9775" t="s">
        <v>34</v>
      </c>
      <c r="D9775">
        <v>42.365065174350903</v>
      </c>
      <c r="E9775">
        <v>3</v>
      </c>
      <c r="F9775">
        <v>927</v>
      </c>
      <c r="G9775">
        <v>4</v>
      </c>
      <c r="H9775">
        <v>2</v>
      </c>
      <c r="I9775">
        <v>1980</v>
      </c>
      <c r="J9775">
        <v>0</v>
      </c>
      <c r="K9775">
        <v>0</v>
      </c>
      <c r="L9775">
        <v>1</v>
      </c>
      <c r="M9775">
        <v>4</v>
      </c>
      <c r="N9775" t="s">
        <v>37</v>
      </c>
      <c r="O9775" t="s">
        <v>32</v>
      </c>
      <c r="P9775">
        <v>12.4947148158529</v>
      </c>
      <c r="Q9775">
        <v>1.7400646473177499</v>
      </c>
      <c r="R9775">
        <v>6.8092650677353301</v>
      </c>
      <c r="S9775">
        <v>121</v>
      </c>
      <c r="T9775">
        <v>26</v>
      </c>
      <c r="U9775">
        <v>971.72060245208502</v>
      </c>
      <c r="V9775">
        <v>4.3149946062567401E-3</v>
      </c>
      <c r="W9775">
        <v>1236345.0543466399</v>
      </c>
      <c r="X9775" t="s">
        <v>43</v>
      </c>
      <c r="Y9775">
        <f>1-842-485-4940</f>
        <v>-6266</v>
      </c>
    </row>
    <row r="9776" spans="1:25" x14ac:dyDescent="0.35">
      <c r="A9776">
        <v>37.552885911775697</v>
      </c>
      <c r="B9776">
        <v>-118.50405822268699</v>
      </c>
      <c r="C9776" t="s">
        <v>34</v>
      </c>
      <c r="D9776">
        <v>31.312955859205399</v>
      </c>
      <c r="E9776">
        <v>1</v>
      </c>
      <c r="F9776">
        <v>4707</v>
      </c>
      <c r="G9776">
        <v>3</v>
      </c>
      <c r="H9776">
        <v>3</v>
      </c>
      <c r="I9776">
        <v>1957</v>
      </c>
      <c r="J9776">
        <v>0</v>
      </c>
      <c r="K9776">
        <v>0</v>
      </c>
      <c r="L9776">
        <v>0</v>
      </c>
      <c r="M9776">
        <v>6</v>
      </c>
      <c r="N9776" t="s">
        <v>37</v>
      </c>
      <c r="O9776" t="s">
        <v>27</v>
      </c>
      <c r="P9776">
        <v>13.341567420146999</v>
      </c>
      <c r="Q9776">
        <v>1.31236189305535</v>
      </c>
      <c r="R9776">
        <v>8.1049977605200496</v>
      </c>
      <c r="S9776">
        <v>97</v>
      </c>
      <c r="T9776">
        <v>64</v>
      </c>
      <c r="U9776">
        <v>882.11142157512995</v>
      </c>
      <c r="V9776">
        <v>1.2746972594008901E-3</v>
      </c>
      <c r="W9776">
        <v>4398040.9403448803</v>
      </c>
      <c r="X9776" t="s">
        <v>40</v>
      </c>
      <c r="Y9776">
        <f>1-684-208-8993</f>
        <v>-9884</v>
      </c>
    </row>
    <row r="9777" spans="1:25" x14ac:dyDescent="0.35">
      <c r="A9777">
        <v>35.757197854573803</v>
      </c>
      <c r="B9777">
        <v>-117.886956254369</v>
      </c>
      <c r="C9777" t="s">
        <v>34</v>
      </c>
      <c r="D9777">
        <v>10.165286655857001</v>
      </c>
      <c r="E9777">
        <v>2</v>
      </c>
      <c r="F9777">
        <v>1452</v>
      </c>
      <c r="G9777">
        <v>4</v>
      </c>
      <c r="H9777">
        <v>2</v>
      </c>
      <c r="I9777">
        <v>1987</v>
      </c>
      <c r="J9777">
        <v>0</v>
      </c>
      <c r="K9777">
        <v>0</v>
      </c>
      <c r="L9777">
        <v>1</v>
      </c>
      <c r="M9777">
        <v>5</v>
      </c>
      <c r="N9777" t="s">
        <v>37</v>
      </c>
      <c r="O9777" t="s">
        <v>30</v>
      </c>
      <c r="P9777">
        <v>11.768700375197801</v>
      </c>
      <c r="Q9777">
        <v>1.7047643991421599</v>
      </c>
      <c r="R9777">
        <v>8.6901277916973001</v>
      </c>
      <c r="S9777">
        <v>166</v>
      </c>
      <c r="T9777">
        <v>63</v>
      </c>
      <c r="U9777">
        <v>226.42179318526701</v>
      </c>
      <c r="V9777">
        <v>3.4435261707988899E-3</v>
      </c>
      <c r="W9777">
        <v>614523.64833398396</v>
      </c>
      <c r="X9777" t="s">
        <v>38</v>
      </c>
      <c r="Y9777">
        <f>1-604-997-9180</f>
        <v>-10780</v>
      </c>
    </row>
    <row r="9778" spans="1:25" x14ac:dyDescent="0.35">
      <c r="A9778">
        <v>36.209578522956598</v>
      </c>
      <c r="B9778">
        <v>-117.223088531244</v>
      </c>
      <c r="C9778" t="s">
        <v>29</v>
      </c>
      <c r="D9778">
        <v>8.5670473305978305</v>
      </c>
      <c r="E9778">
        <v>0</v>
      </c>
      <c r="F9778">
        <v>4824</v>
      </c>
      <c r="G9778">
        <v>2</v>
      </c>
      <c r="H9778">
        <v>3</v>
      </c>
      <c r="I9778">
        <v>1993</v>
      </c>
      <c r="J9778">
        <v>0</v>
      </c>
      <c r="K9778">
        <v>1</v>
      </c>
      <c r="L9778">
        <v>1</v>
      </c>
      <c r="M9778">
        <v>5</v>
      </c>
      <c r="N9778" t="s">
        <v>26</v>
      </c>
      <c r="O9778" t="s">
        <v>27</v>
      </c>
      <c r="P9778">
        <v>13.2639763537228</v>
      </c>
      <c r="Q9778">
        <v>1.29461364795685</v>
      </c>
      <c r="R9778">
        <v>1.1024908065508101</v>
      </c>
      <c r="S9778">
        <v>130</v>
      </c>
      <c r="T9778">
        <v>37</v>
      </c>
      <c r="U9778">
        <v>400.60434269125</v>
      </c>
      <c r="V9778">
        <v>1.03648424543946E-3</v>
      </c>
      <c r="W9778">
        <v>2285893.7691824101</v>
      </c>
      <c r="X9778" t="s">
        <v>42</v>
      </c>
      <c r="Y9778">
        <f>1-591-437-5175</f>
        <v>-6202</v>
      </c>
    </row>
    <row r="9779" spans="1:25" x14ac:dyDescent="0.35">
      <c r="A9779">
        <v>35.7363261462732</v>
      </c>
      <c r="B9779">
        <v>-121.077945898946</v>
      </c>
      <c r="C9779" t="s">
        <v>29</v>
      </c>
      <c r="D9779">
        <v>44.685367903717399</v>
      </c>
      <c r="E9779">
        <v>8</v>
      </c>
      <c r="F9779">
        <v>2854</v>
      </c>
      <c r="G9779">
        <v>3</v>
      </c>
      <c r="H9779">
        <v>2</v>
      </c>
      <c r="I9779">
        <v>1998</v>
      </c>
      <c r="J9779">
        <v>1</v>
      </c>
      <c r="K9779">
        <v>0</v>
      </c>
      <c r="L9779">
        <v>1</v>
      </c>
      <c r="M9779">
        <v>3</v>
      </c>
      <c r="N9779" t="s">
        <v>35</v>
      </c>
      <c r="O9779" t="s">
        <v>27</v>
      </c>
      <c r="P9779">
        <v>9.4753506592308305</v>
      </c>
      <c r="Q9779">
        <v>0.73831770995451396</v>
      </c>
      <c r="R9779">
        <v>4.2002835660365596</v>
      </c>
      <c r="S9779">
        <v>151</v>
      </c>
      <c r="T9779">
        <v>38</v>
      </c>
      <c r="U9779">
        <v>766.14362245774896</v>
      </c>
      <c r="V9779">
        <v>1.05115627189908E-3</v>
      </c>
      <c r="W9779">
        <v>2518331.05408746</v>
      </c>
      <c r="X9779" t="s">
        <v>43</v>
      </c>
      <c r="Y9779">
        <f>1-549-683-6815</f>
        <v>-8046</v>
      </c>
    </row>
    <row r="9780" spans="1:25" x14ac:dyDescent="0.35">
      <c r="A9780">
        <v>33.265108839344798</v>
      </c>
      <c r="B9780">
        <v>-120.081756165298</v>
      </c>
      <c r="C9780" t="s">
        <v>34</v>
      </c>
      <c r="D9780">
        <v>16.786870909851</v>
      </c>
      <c r="E9780">
        <v>5</v>
      </c>
      <c r="F9780">
        <v>978</v>
      </c>
      <c r="G9780">
        <v>1</v>
      </c>
      <c r="H9780">
        <v>3</v>
      </c>
      <c r="I9780">
        <v>1967</v>
      </c>
      <c r="J9780">
        <v>1</v>
      </c>
      <c r="K9780">
        <v>0</v>
      </c>
      <c r="L9780">
        <v>0</v>
      </c>
      <c r="M9780">
        <v>8</v>
      </c>
      <c r="N9780" t="s">
        <v>26</v>
      </c>
      <c r="O9780" t="s">
        <v>30</v>
      </c>
      <c r="P9780">
        <v>11.789623548191001</v>
      </c>
      <c r="Q9780">
        <v>0.67889581103086905</v>
      </c>
      <c r="R9780">
        <v>4.3207466115499198</v>
      </c>
      <c r="S9780">
        <v>191</v>
      </c>
      <c r="T9780">
        <v>55</v>
      </c>
      <c r="U9780">
        <v>421.33364030414998</v>
      </c>
      <c r="V9780">
        <v>8.1799591002044997E-3</v>
      </c>
      <c r="W9780">
        <v>574987.93603780004</v>
      </c>
      <c r="X9780" t="s">
        <v>33</v>
      </c>
      <c r="Y9780">
        <f>1-642-688-5447</f>
        <v>-6776</v>
      </c>
    </row>
    <row r="9781" spans="1:25" x14ac:dyDescent="0.35">
      <c r="A9781">
        <v>37.985659442575297</v>
      </c>
      <c r="B9781">
        <v>-120.802073124271</v>
      </c>
      <c r="C9781" t="s">
        <v>34</v>
      </c>
      <c r="D9781">
        <v>8.6715545328997496</v>
      </c>
      <c r="E9781">
        <v>8</v>
      </c>
      <c r="F9781">
        <v>4934</v>
      </c>
      <c r="G9781">
        <v>4</v>
      </c>
      <c r="H9781">
        <v>3</v>
      </c>
      <c r="I9781">
        <v>1975</v>
      </c>
      <c r="J9781">
        <v>0</v>
      </c>
      <c r="K9781">
        <v>0</v>
      </c>
      <c r="L9781">
        <v>1</v>
      </c>
      <c r="M9781">
        <v>11</v>
      </c>
      <c r="N9781" t="s">
        <v>37</v>
      </c>
      <c r="O9781" t="s">
        <v>27</v>
      </c>
      <c r="P9781">
        <v>4.1077864189859303</v>
      </c>
      <c r="Q9781">
        <v>2.4582339782459002</v>
      </c>
      <c r="R9781">
        <v>9.4840076037856793</v>
      </c>
      <c r="S9781">
        <v>169</v>
      </c>
      <c r="T9781">
        <v>27</v>
      </c>
      <c r="U9781">
        <v>816.08160468999995</v>
      </c>
      <c r="V9781">
        <v>2.2294284556141001E-3</v>
      </c>
      <c r="W9781">
        <v>4299903.3701029001</v>
      </c>
      <c r="X9781" t="s">
        <v>33</v>
      </c>
      <c r="Y9781">
        <f>1-476-109-6491</f>
        <v>-7075</v>
      </c>
    </row>
    <row r="9782" spans="1:25" x14ac:dyDescent="0.35">
      <c r="A9782">
        <v>32.6698650731771</v>
      </c>
      <c r="B9782">
        <v>-123.310930168669</v>
      </c>
      <c r="C9782" t="s">
        <v>29</v>
      </c>
      <c r="D9782">
        <v>14.5953504898942</v>
      </c>
      <c r="E9782">
        <v>5</v>
      </c>
      <c r="F9782">
        <v>4855</v>
      </c>
      <c r="G9782">
        <v>2</v>
      </c>
      <c r="H9782">
        <v>2</v>
      </c>
      <c r="I9782">
        <v>2019</v>
      </c>
      <c r="J9782">
        <v>1</v>
      </c>
      <c r="K9782">
        <v>1</v>
      </c>
      <c r="L9782">
        <v>0</v>
      </c>
      <c r="M9782">
        <v>11</v>
      </c>
      <c r="N9782" t="s">
        <v>26</v>
      </c>
      <c r="O9782" t="s">
        <v>32</v>
      </c>
      <c r="P9782">
        <v>14.219863169928701</v>
      </c>
      <c r="Q9782">
        <v>1.97438281937903</v>
      </c>
      <c r="R9782">
        <v>2.6081350087697199</v>
      </c>
      <c r="S9782">
        <v>67</v>
      </c>
      <c r="T9782">
        <v>46</v>
      </c>
      <c r="U9782">
        <v>361.65872945443499</v>
      </c>
      <c r="V9782">
        <v>2.2657054582904202E-3</v>
      </c>
      <c r="W9782">
        <v>2175435.8873785501</v>
      </c>
      <c r="X9782" t="s">
        <v>42</v>
      </c>
      <c r="Y9782">
        <f>1-298-643-7301</f>
        <v>-8241</v>
      </c>
    </row>
    <row r="9783" spans="1:25" x14ac:dyDescent="0.35">
      <c r="A9783">
        <v>35.5595509591937</v>
      </c>
      <c r="B9783">
        <v>-120.189024496648</v>
      </c>
      <c r="C9783" t="s">
        <v>29</v>
      </c>
      <c r="D9783">
        <v>38.582001444838397</v>
      </c>
      <c r="E9783">
        <v>3</v>
      </c>
      <c r="F9783">
        <v>2015</v>
      </c>
      <c r="G9783">
        <v>5</v>
      </c>
      <c r="H9783">
        <v>2</v>
      </c>
      <c r="I9783">
        <v>2009</v>
      </c>
      <c r="J9783">
        <v>0</v>
      </c>
      <c r="K9783">
        <v>1</v>
      </c>
      <c r="L9783">
        <v>1</v>
      </c>
      <c r="M9783">
        <v>5</v>
      </c>
      <c r="N9783" t="s">
        <v>35</v>
      </c>
      <c r="O9783" t="s">
        <v>32</v>
      </c>
      <c r="P9783">
        <v>14.7396770762216</v>
      </c>
      <c r="Q9783">
        <v>1.5023188094064499</v>
      </c>
      <c r="R9783">
        <v>5.8736056227992899</v>
      </c>
      <c r="S9783">
        <v>12</v>
      </c>
      <c r="T9783">
        <v>72</v>
      </c>
      <c r="U9783">
        <v>968.21966699060101</v>
      </c>
      <c r="V9783">
        <v>2.48138957816377E-3</v>
      </c>
      <c r="W9783">
        <v>2517208.9482011502</v>
      </c>
      <c r="X9783" t="s">
        <v>43</v>
      </c>
      <c r="Y9783">
        <f>1-901-347-7451</f>
        <v>-8698</v>
      </c>
    </row>
    <row r="9784" spans="1:25" x14ac:dyDescent="0.35">
      <c r="A9784">
        <v>37.249289629283702</v>
      </c>
      <c r="B9784">
        <v>-121.10584928044101</v>
      </c>
      <c r="C9784" t="s">
        <v>25</v>
      </c>
      <c r="D9784">
        <v>17.274480955452201</v>
      </c>
      <c r="E9784">
        <v>0</v>
      </c>
      <c r="F9784">
        <v>3893</v>
      </c>
      <c r="G9784">
        <v>1</v>
      </c>
      <c r="H9784">
        <v>2</v>
      </c>
      <c r="I9784">
        <v>1957</v>
      </c>
      <c r="J9784">
        <v>0</v>
      </c>
      <c r="K9784">
        <v>1</v>
      </c>
      <c r="L9784">
        <v>0</v>
      </c>
      <c r="M9784">
        <v>14</v>
      </c>
      <c r="N9784" t="s">
        <v>26</v>
      </c>
      <c r="O9784" t="s">
        <v>30</v>
      </c>
      <c r="P9784">
        <v>7.3436832149020503</v>
      </c>
      <c r="Q9784">
        <v>0.98745580219311102</v>
      </c>
      <c r="R9784">
        <v>2.8804794387316299</v>
      </c>
      <c r="S9784">
        <v>36</v>
      </c>
      <c r="T9784">
        <v>34</v>
      </c>
      <c r="U9784">
        <v>523.16658594089995</v>
      </c>
      <c r="V9784">
        <v>3.5961983046493701E-3</v>
      </c>
      <c r="W9784">
        <v>2206180.9583987398</v>
      </c>
      <c r="X9784" t="s">
        <v>31</v>
      </c>
      <c r="Y9784">
        <f>1-809-444-4210</f>
        <v>-5462</v>
      </c>
    </row>
    <row r="9785" spans="1:25" x14ac:dyDescent="0.35">
      <c r="A9785">
        <v>34.167527165459902</v>
      </c>
      <c r="B9785">
        <v>-122.965187234073</v>
      </c>
      <c r="C9785" t="s">
        <v>29</v>
      </c>
      <c r="D9785">
        <v>39.225484444631299</v>
      </c>
      <c r="E9785">
        <v>0</v>
      </c>
      <c r="F9785">
        <v>4177</v>
      </c>
      <c r="G9785">
        <v>5</v>
      </c>
      <c r="H9785">
        <v>3</v>
      </c>
      <c r="I9785">
        <v>2021</v>
      </c>
      <c r="J9785">
        <v>1</v>
      </c>
      <c r="K9785">
        <v>1</v>
      </c>
      <c r="L9785">
        <v>1</v>
      </c>
      <c r="M9785">
        <v>11</v>
      </c>
      <c r="N9785" t="s">
        <v>26</v>
      </c>
      <c r="O9785" t="s">
        <v>30</v>
      </c>
      <c r="P9785">
        <v>13.221941767275499</v>
      </c>
      <c r="Q9785">
        <v>2.3928832234773099</v>
      </c>
      <c r="R9785">
        <v>3.5445271736428898</v>
      </c>
      <c r="S9785">
        <v>53</v>
      </c>
      <c r="T9785">
        <v>66</v>
      </c>
      <c r="U9785">
        <v>374.75573783518797</v>
      </c>
      <c r="V9785">
        <v>2.6334689968877099E-3</v>
      </c>
      <c r="W9785">
        <v>2184171.67685484</v>
      </c>
      <c r="X9785" t="s">
        <v>44</v>
      </c>
      <c r="Y9785">
        <f>1-634-113-6786</f>
        <v>-7532</v>
      </c>
    </row>
    <row r="9786" spans="1:25" x14ac:dyDescent="0.35">
      <c r="A9786">
        <v>40.697310351929197</v>
      </c>
      <c r="B9786">
        <v>-122.339169203789</v>
      </c>
      <c r="C9786" t="s">
        <v>34</v>
      </c>
      <c r="D9786">
        <v>33.321939939172402</v>
      </c>
      <c r="E9786">
        <v>3</v>
      </c>
      <c r="F9786">
        <v>2729</v>
      </c>
      <c r="G9786">
        <v>4</v>
      </c>
      <c r="H9786">
        <v>3</v>
      </c>
      <c r="I9786">
        <v>1999</v>
      </c>
      <c r="J9786">
        <v>1</v>
      </c>
      <c r="K9786">
        <v>1</v>
      </c>
      <c r="L9786">
        <v>1</v>
      </c>
      <c r="M9786">
        <v>8</v>
      </c>
      <c r="N9786" t="s">
        <v>26</v>
      </c>
      <c r="O9786" t="s">
        <v>27</v>
      </c>
      <c r="P9786">
        <v>4.9626014649316597</v>
      </c>
      <c r="Q9786">
        <v>2.49010825351148</v>
      </c>
      <c r="R9786">
        <v>1.99153499595692</v>
      </c>
      <c r="S9786">
        <v>159</v>
      </c>
      <c r="T9786">
        <v>65</v>
      </c>
      <c r="U9786">
        <v>637.18646674581805</v>
      </c>
      <c r="V9786">
        <v>2.9314767314034401E-3</v>
      </c>
      <c r="W9786">
        <v>2149013.9987460701</v>
      </c>
      <c r="X9786" t="s">
        <v>42</v>
      </c>
      <c r="Y9786">
        <f>1-776-806-4507</f>
        <v>-6088</v>
      </c>
    </row>
    <row r="9787" spans="1:25" x14ac:dyDescent="0.35">
      <c r="A9787">
        <v>37.052865520487302</v>
      </c>
      <c r="B9787">
        <v>-118.935369734354</v>
      </c>
      <c r="C9787" t="s">
        <v>25</v>
      </c>
      <c r="D9787">
        <v>6.6818508681803799</v>
      </c>
      <c r="E9787">
        <v>4</v>
      </c>
      <c r="F9787">
        <v>4670</v>
      </c>
      <c r="G9787">
        <v>4</v>
      </c>
      <c r="H9787">
        <v>2</v>
      </c>
      <c r="I9787">
        <v>1962</v>
      </c>
      <c r="J9787">
        <v>0</v>
      </c>
      <c r="K9787">
        <v>1</v>
      </c>
      <c r="L9787">
        <v>0</v>
      </c>
      <c r="M9787">
        <v>2</v>
      </c>
      <c r="N9787" t="s">
        <v>35</v>
      </c>
      <c r="O9787" t="s">
        <v>32</v>
      </c>
      <c r="P9787">
        <v>4.5976105633416697</v>
      </c>
      <c r="Q9787">
        <v>1.77361842772917</v>
      </c>
      <c r="R9787">
        <v>1.8115127564469999</v>
      </c>
      <c r="S9787">
        <v>117</v>
      </c>
      <c r="T9787">
        <v>62</v>
      </c>
      <c r="U9787">
        <v>412.07140883524301</v>
      </c>
      <c r="V9787">
        <v>4.28265524625267E-4</v>
      </c>
      <c r="W9787">
        <v>2167478.9599722801</v>
      </c>
      <c r="X9787" t="s">
        <v>40</v>
      </c>
      <c r="Y9787">
        <f>1-941-465-1215</f>
        <v>-2620</v>
      </c>
    </row>
    <row r="9788" spans="1:25" x14ac:dyDescent="0.35">
      <c r="A9788">
        <v>36.228870380117698</v>
      </c>
      <c r="B9788">
        <v>-119.871424029934</v>
      </c>
      <c r="C9788" t="s">
        <v>25</v>
      </c>
      <c r="D9788">
        <v>14.059656643093801</v>
      </c>
      <c r="E9788">
        <v>4</v>
      </c>
      <c r="F9788">
        <v>3538</v>
      </c>
      <c r="G9788">
        <v>1</v>
      </c>
      <c r="H9788">
        <v>2</v>
      </c>
      <c r="I9788">
        <v>1952</v>
      </c>
      <c r="J9788">
        <v>1</v>
      </c>
      <c r="K9788">
        <v>0</v>
      </c>
      <c r="L9788">
        <v>1</v>
      </c>
      <c r="M9788">
        <v>7</v>
      </c>
      <c r="N9788" t="s">
        <v>37</v>
      </c>
      <c r="O9788" t="s">
        <v>30</v>
      </c>
      <c r="P9788">
        <v>6.3249421445917502</v>
      </c>
      <c r="Q9788">
        <v>0.78084973649096201</v>
      </c>
      <c r="R9788">
        <v>7.5564509196129004</v>
      </c>
      <c r="S9788">
        <v>30</v>
      </c>
      <c r="T9788">
        <v>39</v>
      </c>
      <c r="U9788">
        <v>847.87961625385105</v>
      </c>
      <c r="V9788">
        <v>1.9785189372526798E-3</v>
      </c>
      <c r="W9788">
        <v>3102070.7949421601</v>
      </c>
      <c r="X9788" t="s">
        <v>42</v>
      </c>
      <c r="Y9788">
        <f>1-909-226-2794</f>
        <v>-3928</v>
      </c>
    </row>
    <row r="9789" spans="1:25" x14ac:dyDescent="0.35">
      <c r="A9789">
        <v>41.413421183712401</v>
      </c>
      <c r="B9789">
        <v>-115.20249648049899</v>
      </c>
      <c r="C9789" t="s">
        <v>29</v>
      </c>
      <c r="D9789">
        <v>14.733569942439001</v>
      </c>
      <c r="E9789">
        <v>8</v>
      </c>
      <c r="F9789">
        <v>1150</v>
      </c>
      <c r="G9789">
        <v>5</v>
      </c>
      <c r="H9789">
        <v>1</v>
      </c>
      <c r="I9789">
        <v>2002</v>
      </c>
      <c r="J9789">
        <v>1</v>
      </c>
      <c r="K9789">
        <v>0</v>
      </c>
      <c r="L9789">
        <v>0</v>
      </c>
      <c r="M9789">
        <v>4</v>
      </c>
      <c r="N9789" t="s">
        <v>35</v>
      </c>
      <c r="O9789" t="s">
        <v>30</v>
      </c>
      <c r="P9789">
        <v>5.21980875423389</v>
      </c>
      <c r="Q9789">
        <v>2.4243742098921301</v>
      </c>
      <c r="R9789">
        <v>8.2529040477701994</v>
      </c>
      <c r="S9789">
        <v>49</v>
      </c>
      <c r="T9789">
        <v>42</v>
      </c>
      <c r="U9789">
        <v>566.62684639756503</v>
      </c>
      <c r="V9789">
        <v>3.4782608695652101E-3</v>
      </c>
      <c r="W9789">
        <v>1016097.89680238</v>
      </c>
      <c r="X9789" t="s">
        <v>31</v>
      </c>
      <c r="Y9789">
        <f>1-724-109-2791</f>
        <v>-3623</v>
      </c>
    </row>
    <row r="9790" spans="1:25" x14ac:dyDescent="0.35">
      <c r="A9790">
        <v>34.634917283289802</v>
      </c>
      <c r="B9790">
        <v>-121.62686461339899</v>
      </c>
      <c r="C9790" t="s">
        <v>29</v>
      </c>
      <c r="D9790">
        <v>5.5725993115015502</v>
      </c>
      <c r="E9790">
        <v>3</v>
      </c>
      <c r="F9790">
        <v>1017</v>
      </c>
      <c r="G9790">
        <v>4</v>
      </c>
      <c r="H9790">
        <v>2</v>
      </c>
      <c r="I9790">
        <v>1976</v>
      </c>
      <c r="J9790">
        <v>0</v>
      </c>
      <c r="K9790">
        <v>1</v>
      </c>
      <c r="L9790">
        <v>0</v>
      </c>
      <c r="M9790">
        <v>10</v>
      </c>
      <c r="N9790" t="s">
        <v>37</v>
      </c>
      <c r="O9790" t="s">
        <v>30</v>
      </c>
      <c r="P9790">
        <v>4.79906777774847</v>
      </c>
      <c r="Q9790">
        <v>1.78455893843166</v>
      </c>
      <c r="R9790">
        <v>5.1862860285092998</v>
      </c>
      <c r="S9790">
        <v>186</v>
      </c>
      <c r="T9790">
        <v>53</v>
      </c>
      <c r="U9790">
        <v>216.60818591707601</v>
      </c>
      <c r="V9790">
        <v>9.8328416912487702E-3</v>
      </c>
      <c r="W9790">
        <v>417746.62033758097</v>
      </c>
      <c r="X9790" t="s">
        <v>31</v>
      </c>
      <c r="Y9790">
        <f>1-563-429-4335</f>
        <v>-5326</v>
      </c>
    </row>
    <row r="9791" spans="1:25" x14ac:dyDescent="0.35">
      <c r="A9791">
        <v>32.667527343142801</v>
      </c>
      <c r="B9791">
        <v>-114.878924578477</v>
      </c>
      <c r="C9791" t="s">
        <v>34</v>
      </c>
      <c r="D9791">
        <v>44.119446699806602</v>
      </c>
      <c r="E9791">
        <v>5</v>
      </c>
      <c r="F9791">
        <v>3081</v>
      </c>
      <c r="G9791">
        <v>3</v>
      </c>
      <c r="H9791">
        <v>3</v>
      </c>
      <c r="I9791">
        <v>2013</v>
      </c>
      <c r="J9791">
        <v>1</v>
      </c>
      <c r="K9791">
        <v>1</v>
      </c>
      <c r="L9791">
        <v>0</v>
      </c>
      <c r="M9791">
        <v>5</v>
      </c>
      <c r="N9791" t="s">
        <v>26</v>
      </c>
      <c r="O9791" t="s">
        <v>32</v>
      </c>
      <c r="P9791">
        <v>13.7047724592191</v>
      </c>
      <c r="Q9791">
        <v>1.99876758051918</v>
      </c>
      <c r="R9791">
        <v>8.0273453140573405</v>
      </c>
      <c r="S9791">
        <v>10</v>
      </c>
      <c r="T9791">
        <v>22</v>
      </c>
      <c r="U9791">
        <v>473.873568048381</v>
      </c>
      <c r="V9791">
        <v>1.6228497241155401E-3</v>
      </c>
      <c r="W9791">
        <v>1841686.5606800099</v>
      </c>
      <c r="X9791" t="s">
        <v>43</v>
      </c>
      <c r="Y9791">
        <f>1-866-228-3695</f>
        <v>-4788</v>
      </c>
    </row>
    <row r="9792" spans="1:25" x14ac:dyDescent="0.35">
      <c r="A9792">
        <v>39.310415359308301</v>
      </c>
      <c r="B9792">
        <v>-115.837061603161</v>
      </c>
      <c r="C9792" t="s">
        <v>25</v>
      </c>
      <c r="D9792">
        <v>31.6445043624805</v>
      </c>
      <c r="E9792">
        <v>3</v>
      </c>
      <c r="F9792">
        <v>1965</v>
      </c>
      <c r="G9792">
        <v>5</v>
      </c>
      <c r="H9792">
        <v>2</v>
      </c>
      <c r="I9792">
        <v>1992</v>
      </c>
      <c r="J9792">
        <v>1</v>
      </c>
      <c r="K9792">
        <v>0</v>
      </c>
      <c r="L9792">
        <v>1</v>
      </c>
      <c r="M9792">
        <v>8</v>
      </c>
      <c r="N9792" t="s">
        <v>37</v>
      </c>
      <c r="O9792" t="s">
        <v>27</v>
      </c>
      <c r="P9792">
        <v>6.2822040224612996</v>
      </c>
      <c r="Q9792">
        <v>0.69806155536870795</v>
      </c>
      <c r="R9792">
        <v>3.76905686549979</v>
      </c>
      <c r="S9792">
        <v>199</v>
      </c>
      <c r="T9792">
        <v>56</v>
      </c>
      <c r="U9792">
        <v>229.32057692029699</v>
      </c>
      <c r="V9792">
        <v>4.0712468193384197E-3</v>
      </c>
      <c r="W9792">
        <v>841471.19984019303</v>
      </c>
      <c r="X9792" t="s">
        <v>33</v>
      </c>
      <c r="Y9792">
        <f>1-636-339-4340</f>
        <v>-5314</v>
      </c>
    </row>
    <row r="9793" spans="1:25" x14ac:dyDescent="0.35">
      <c r="A9793">
        <v>41.116730638306201</v>
      </c>
      <c r="B9793">
        <v>-119.572793305316</v>
      </c>
      <c r="C9793" t="s">
        <v>34</v>
      </c>
      <c r="D9793">
        <v>11.2607724892835</v>
      </c>
      <c r="E9793">
        <v>7</v>
      </c>
      <c r="F9793">
        <v>651</v>
      </c>
      <c r="G9793">
        <v>5</v>
      </c>
      <c r="H9793">
        <v>1</v>
      </c>
      <c r="I9793">
        <v>1953</v>
      </c>
      <c r="J9793">
        <v>0</v>
      </c>
      <c r="K9793">
        <v>1</v>
      </c>
      <c r="L9793">
        <v>1</v>
      </c>
      <c r="M9793">
        <v>11</v>
      </c>
      <c r="N9793" t="s">
        <v>35</v>
      </c>
      <c r="O9793" t="s">
        <v>30</v>
      </c>
      <c r="P9793">
        <v>13.716728117341299</v>
      </c>
      <c r="Q9793">
        <v>1.44533978503836</v>
      </c>
      <c r="R9793">
        <v>3.5463825328326801</v>
      </c>
      <c r="S9793">
        <v>96</v>
      </c>
      <c r="T9793">
        <v>67</v>
      </c>
      <c r="U9793">
        <v>753.00053911703503</v>
      </c>
      <c r="V9793">
        <v>1.6897081413210401E-2</v>
      </c>
      <c r="W9793">
        <v>971919.52595036605</v>
      </c>
      <c r="X9793" t="s">
        <v>40</v>
      </c>
      <c r="Y9793">
        <f>1-881-659-3862</f>
        <v>-5401</v>
      </c>
    </row>
    <row r="9794" spans="1:25" x14ac:dyDescent="0.35">
      <c r="A9794">
        <v>38.830147070168003</v>
      </c>
      <c r="B9794">
        <v>-118.651378039929</v>
      </c>
      <c r="C9794" t="s">
        <v>34</v>
      </c>
      <c r="D9794">
        <v>4.4232030381923</v>
      </c>
      <c r="E9794">
        <v>4</v>
      </c>
      <c r="F9794">
        <v>2986</v>
      </c>
      <c r="G9794">
        <v>1</v>
      </c>
      <c r="H9794">
        <v>3</v>
      </c>
      <c r="I9794">
        <v>2011</v>
      </c>
      <c r="J9794">
        <v>0</v>
      </c>
      <c r="K9794">
        <v>0</v>
      </c>
      <c r="L9794">
        <v>1</v>
      </c>
      <c r="M9794">
        <v>9</v>
      </c>
      <c r="N9794" t="s">
        <v>41</v>
      </c>
      <c r="O9794" t="s">
        <v>30</v>
      </c>
      <c r="P9794">
        <v>12.5704757138259</v>
      </c>
      <c r="Q9794">
        <v>2.32572657398295</v>
      </c>
      <c r="R9794">
        <v>2.9784533659821801</v>
      </c>
      <c r="S9794">
        <v>45</v>
      </c>
      <c r="T9794">
        <v>29</v>
      </c>
      <c r="U9794">
        <v>714.03551159990502</v>
      </c>
      <c r="V9794">
        <v>3.0140656396516999E-3</v>
      </c>
      <c r="W9794">
        <v>2417956.2474649199</v>
      </c>
      <c r="X9794" t="s">
        <v>38</v>
      </c>
      <c r="Y9794">
        <f>1-549-338-8581</f>
        <v>-9467</v>
      </c>
    </row>
    <row r="9795" spans="1:25" x14ac:dyDescent="0.35">
      <c r="A9795">
        <v>36.189426323008298</v>
      </c>
      <c r="B9795">
        <v>-114.737014677031</v>
      </c>
      <c r="C9795" t="s">
        <v>25</v>
      </c>
      <c r="D9795">
        <v>6.4415096045166598</v>
      </c>
      <c r="E9795">
        <v>5</v>
      </c>
      <c r="F9795">
        <v>2615</v>
      </c>
      <c r="G9795">
        <v>3</v>
      </c>
      <c r="H9795">
        <v>2</v>
      </c>
      <c r="I9795">
        <v>1996</v>
      </c>
      <c r="J9795">
        <v>0</v>
      </c>
      <c r="K9795">
        <v>1</v>
      </c>
      <c r="L9795">
        <v>1</v>
      </c>
      <c r="M9795">
        <v>13</v>
      </c>
      <c r="N9795" t="s">
        <v>35</v>
      </c>
      <c r="O9795" t="s">
        <v>32</v>
      </c>
      <c r="P9795">
        <v>3.2071846456572599</v>
      </c>
      <c r="Q9795">
        <v>2.0100107647743699</v>
      </c>
      <c r="R9795">
        <v>5.8353796906838804</v>
      </c>
      <c r="S9795">
        <v>75</v>
      </c>
      <c r="T9795">
        <v>50</v>
      </c>
      <c r="U9795">
        <v>672.77866861443499</v>
      </c>
      <c r="V9795">
        <v>4.9713193116634798E-3</v>
      </c>
      <c r="W9795">
        <v>1971962.2239778801</v>
      </c>
      <c r="X9795" t="s">
        <v>33</v>
      </c>
      <c r="Y9795">
        <f>1-491-502-5941</f>
        <v>-6933</v>
      </c>
    </row>
    <row r="9796" spans="1:25" x14ac:dyDescent="0.35">
      <c r="A9796">
        <v>33.770240832247403</v>
      </c>
      <c r="B9796">
        <v>-119.707448768492</v>
      </c>
      <c r="C9796" t="s">
        <v>34</v>
      </c>
      <c r="D9796">
        <v>39.4720316728203</v>
      </c>
      <c r="E9796">
        <v>7</v>
      </c>
      <c r="F9796">
        <v>4590</v>
      </c>
      <c r="G9796">
        <v>3</v>
      </c>
      <c r="H9796">
        <v>1</v>
      </c>
      <c r="I9796">
        <v>1983</v>
      </c>
      <c r="J9796">
        <v>0</v>
      </c>
      <c r="K9796">
        <v>1</v>
      </c>
      <c r="L9796">
        <v>0</v>
      </c>
      <c r="M9796">
        <v>12</v>
      </c>
      <c r="N9796" t="s">
        <v>41</v>
      </c>
      <c r="O9796" t="s">
        <v>30</v>
      </c>
      <c r="P9796">
        <v>6.4950576545927898</v>
      </c>
      <c r="Q9796">
        <v>0.86099737379464603</v>
      </c>
      <c r="R9796">
        <v>3.9842686899020001</v>
      </c>
      <c r="S9796">
        <v>105</v>
      </c>
      <c r="T9796">
        <v>23</v>
      </c>
      <c r="U9796">
        <v>445.32268727452998</v>
      </c>
      <c r="V9796">
        <v>2.6143790849673201E-3</v>
      </c>
      <c r="W9796">
        <v>2265325.4900907399</v>
      </c>
      <c r="X9796" t="s">
        <v>31</v>
      </c>
      <c r="Y9796">
        <f>1-783-494-9650</f>
        <v>-10926</v>
      </c>
    </row>
    <row r="9797" spans="1:25" x14ac:dyDescent="0.35">
      <c r="A9797">
        <v>35.546731458827303</v>
      </c>
      <c r="B9797">
        <v>-120.343569277347</v>
      </c>
      <c r="C9797" t="s">
        <v>29</v>
      </c>
      <c r="D9797">
        <v>30.669838976812098</v>
      </c>
      <c r="E9797">
        <v>0</v>
      </c>
      <c r="F9797">
        <v>3411</v>
      </c>
      <c r="G9797">
        <v>2</v>
      </c>
      <c r="H9797">
        <v>3</v>
      </c>
      <c r="I9797">
        <v>1955</v>
      </c>
      <c r="J9797">
        <v>1</v>
      </c>
      <c r="K9797">
        <v>1</v>
      </c>
      <c r="L9797">
        <v>0</v>
      </c>
      <c r="M9797">
        <v>9</v>
      </c>
      <c r="N9797" t="s">
        <v>37</v>
      </c>
      <c r="O9797" t="s">
        <v>27</v>
      </c>
      <c r="P9797">
        <v>13.160010964157401</v>
      </c>
      <c r="Q9797">
        <v>1.868025591056</v>
      </c>
      <c r="R9797">
        <v>3.7510589701174499</v>
      </c>
      <c r="S9797">
        <v>70</v>
      </c>
      <c r="T9797">
        <v>65</v>
      </c>
      <c r="U9797">
        <v>419.57070677603502</v>
      </c>
      <c r="V9797">
        <v>2.6385224274406301E-3</v>
      </c>
      <c r="W9797">
        <v>1869453.2486429201</v>
      </c>
      <c r="X9797" t="s">
        <v>36</v>
      </c>
      <c r="Y9797">
        <f>1-325-787-9738</f>
        <v>-10849</v>
      </c>
    </row>
    <row r="9798" spans="1:25" x14ac:dyDescent="0.35">
      <c r="A9798">
        <v>38.583148123737999</v>
      </c>
      <c r="B9798">
        <v>-123.582971387638</v>
      </c>
      <c r="C9798" t="s">
        <v>25</v>
      </c>
      <c r="D9798">
        <v>9.7808330453973795</v>
      </c>
      <c r="E9798">
        <v>9</v>
      </c>
      <c r="F9798">
        <v>3616</v>
      </c>
      <c r="G9798">
        <v>5</v>
      </c>
      <c r="H9798">
        <v>1</v>
      </c>
      <c r="I9798">
        <v>1999</v>
      </c>
      <c r="J9798">
        <v>0</v>
      </c>
      <c r="K9798">
        <v>0</v>
      </c>
      <c r="L9798">
        <v>1</v>
      </c>
      <c r="M9798">
        <v>6</v>
      </c>
      <c r="N9798" t="s">
        <v>41</v>
      </c>
      <c r="O9798" t="s">
        <v>27</v>
      </c>
      <c r="P9798">
        <v>10.1767011658972</v>
      </c>
      <c r="Q9798">
        <v>2.3692694692958902</v>
      </c>
      <c r="R9798">
        <v>0.812226643782609</v>
      </c>
      <c r="S9798">
        <v>8</v>
      </c>
      <c r="T9798">
        <v>46</v>
      </c>
      <c r="U9798">
        <v>742.71802377871302</v>
      </c>
      <c r="V9798">
        <v>1.6592920353982301E-3</v>
      </c>
      <c r="W9798">
        <v>3068595.6055168598</v>
      </c>
      <c r="X9798" t="s">
        <v>31</v>
      </c>
      <c r="Y9798">
        <f>1-582-304-5267</f>
        <v>-6152</v>
      </c>
    </row>
    <row r="9799" spans="1:25" x14ac:dyDescent="0.35">
      <c r="A9799">
        <v>35.279534403280103</v>
      </c>
      <c r="B9799">
        <v>-123.739715935951</v>
      </c>
      <c r="C9799" t="s">
        <v>25</v>
      </c>
      <c r="D9799">
        <v>18.975197761498801</v>
      </c>
      <c r="E9799">
        <v>4</v>
      </c>
      <c r="F9799">
        <v>2893</v>
      </c>
      <c r="G9799">
        <v>2</v>
      </c>
      <c r="H9799">
        <v>2</v>
      </c>
      <c r="I9799">
        <v>2001</v>
      </c>
      <c r="J9799">
        <v>1</v>
      </c>
      <c r="K9799">
        <v>0</v>
      </c>
      <c r="L9799">
        <v>0</v>
      </c>
      <c r="M9799">
        <v>11</v>
      </c>
      <c r="N9799" t="s">
        <v>37</v>
      </c>
      <c r="O9799" t="s">
        <v>30</v>
      </c>
      <c r="P9799">
        <v>8.5142916542876907</v>
      </c>
      <c r="Q9799">
        <v>0.60678633953540495</v>
      </c>
      <c r="R9799">
        <v>3.9139855203376701</v>
      </c>
      <c r="S9799">
        <v>169</v>
      </c>
      <c r="T9799">
        <v>27</v>
      </c>
      <c r="U9799">
        <v>873.84415314764601</v>
      </c>
      <c r="V9799">
        <v>3.8022813688212902E-3</v>
      </c>
      <c r="W9799">
        <v>2690033.2707923902</v>
      </c>
      <c r="X9799" t="s">
        <v>36</v>
      </c>
      <c r="Y9799">
        <f>1-468-577-1832</f>
        <v>-2876</v>
      </c>
    </row>
    <row r="9800" spans="1:25" x14ac:dyDescent="0.35">
      <c r="A9800">
        <v>33.016801996416802</v>
      </c>
      <c r="B9800">
        <v>-119.76288707140201</v>
      </c>
      <c r="C9800" t="s">
        <v>29</v>
      </c>
      <c r="D9800">
        <v>1.7916382035312901</v>
      </c>
      <c r="E9800">
        <v>5</v>
      </c>
      <c r="F9800">
        <v>3913</v>
      </c>
      <c r="G9800">
        <v>4</v>
      </c>
      <c r="H9800">
        <v>2</v>
      </c>
      <c r="I9800">
        <v>1982</v>
      </c>
      <c r="J9800">
        <v>1</v>
      </c>
      <c r="K9800">
        <v>1</v>
      </c>
      <c r="L9800">
        <v>1</v>
      </c>
      <c r="M9800">
        <v>10</v>
      </c>
      <c r="N9800" t="s">
        <v>35</v>
      </c>
      <c r="O9800" t="s">
        <v>32</v>
      </c>
      <c r="P9800">
        <v>11.7929162315121</v>
      </c>
      <c r="Q9800">
        <v>2.4482214275466401</v>
      </c>
      <c r="R9800">
        <v>3.3843753761400701</v>
      </c>
      <c r="S9800">
        <v>33</v>
      </c>
      <c r="T9800">
        <v>57</v>
      </c>
      <c r="U9800">
        <v>613.58786804712099</v>
      </c>
      <c r="V9800">
        <v>2.5555839509327802E-3</v>
      </c>
      <c r="W9800">
        <v>2787091.5040245899</v>
      </c>
      <c r="X9800" t="s">
        <v>31</v>
      </c>
      <c r="Y9800">
        <f>1-480-456-9353</f>
        <v>-10288</v>
      </c>
    </row>
    <row r="9801" spans="1:25" x14ac:dyDescent="0.35">
      <c r="A9801">
        <v>36.199738042562103</v>
      </c>
      <c r="B9801">
        <v>-118.676655559808</v>
      </c>
      <c r="C9801" t="s">
        <v>34</v>
      </c>
      <c r="D9801">
        <v>23.880566955048501</v>
      </c>
      <c r="E9801">
        <v>4</v>
      </c>
      <c r="F9801">
        <v>4738</v>
      </c>
      <c r="G9801">
        <v>3</v>
      </c>
      <c r="H9801">
        <v>2</v>
      </c>
      <c r="I9801">
        <v>2012</v>
      </c>
      <c r="J9801">
        <v>0</v>
      </c>
      <c r="K9801">
        <v>1</v>
      </c>
      <c r="L9801">
        <v>1</v>
      </c>
      <c r="M9801">
        <v>8</v>
      </c>
      <c r="N9801" t="s">
        <v>35</v>
      </c>
      <c r="O9801" t="s">
        <v>27</v>
      </c>
      <c r="P9801">
        <v>14.433457073107499</v>
      </c>
      <c r="Q9801">
        <v>2.4419702356925601</v>
      </c>
      <c r="R9801">
        <v>2.12107401469554</v>
      </c>
      <c r="S9801">
        <v>146</v>
      </c>
      <c r="T9801">
        <v>74</v>
      </c>
      <c r="U9801">
        <v>444.48622578433702</v>
      </c>
      <c r="V9801">
        <v>1.6884761502743699E-3</v>
      </c>
      <c r="W9801">
        <v>2550794.21442628</v>
      </c>
      <c r="X9801" t="s">
        <v>31</v>
      </c>
      <c r="Y9801">
        <f>1-731-224-6854</f>
        <v>-7808</v>
      </c>
    </row>
    <row r="9802" spans="1:25" x14ac:dyDescent="0.35">
      <c r="A9802">
        <v>39.301985889458699</v>
      </c>
      <c r="B9802">
        <v>-119.318749131617</v>
      </c>
      <c r="C9802" t="s">
        <v>34</v>
      </c>
      <c r="D9802">
        <v>44.606824217788699</v>
      </c>
      <c r="E9802">
        <v>0</v>
      </c>
      <c r="F9802">
        <v>2164</v>
      </c>
      <c r="G9802">
        <v>5</v>
      </c>
      <c r="H9802">
        <v>3</v>
      </c>
      <c r="I9802">
        <v>1960</v>
      </c>
      <c r="J9802">
        <v>1</v>
      </c>
      <c r="K9802">
        <v>1</v>
      </c>
      <c r="L9802">
        <v>1</v>
      </c>
      <c r="M9802">
        <v>11</v>
      </c>
      <c r="N9802" t="s">
        <v>37</v>
      </c>
      <c r="O9802" t="s">
        <v>27</v>
      </c>
      <c r="P9802">
        <v>6.72917215232542</v>
      </c>
      <c r="Q9802">
        <v>2.36784089333654</v>
      </c>
      <c r="R9802">
        <v>7.8814968319905798</v>
      </c>
      <c r="S9802">
        <v>99</v>
      </c>
      <c r="T9802">
        <v>43</v>
      </c>
      <c r="U9802">
        <v>310.279726407613</v>
      </c>
      <c r="V9802">
        <v>5.0831792975970401E-3</v>
      </c>
      <c r="W9802">
        <v>1019877.81114229</v>
      </c>
      <c r="X9802" t="s">
        <v>33</v>
      </c>
      <c r="Y9802">
        <f>1-565-760-8402</f>
        <v>-9726</v>
      </c>
    </row>
    <row r="9803" spans="1:25" x14ac:dyDescent="0.35">
      <c r="A9803">
        <v>34.5836364498969</v>
      </c>
      <c r="B9803">
        <v>-121.051620133943</v>
      </c>
      <c r="C9803" t="s">
        <v>29</v>
      </c>
      <c r="D9803">
        <v>17.476646079817002</v>
      </c>
      <c r="E9803">
        <v>5</v>
      </c>
      <c r="F9803">
        <v>717</v>
      </c>
      <c r="G9803">
        <v>1</v>
      </c>
      <c r="H9803">
        <v>1</v>
      </c>
      <c r="I9803">
        <v>1959</v>
      </c>
      <c r="J9803">
        <v>1</v>
      </c>
      <c r="K9803">
        <v>0</v>
      </c>
      <c r="L9803">
        <v>0</v>
      </c>
      <c r="M9803">
        <v>14</v>
      </c>
      <c r="N9803" t="s">
        <v>26</v>
      </c>
      <c r="O9803" t="s">
        <v>32</v>
      </c>
      <c r="P9803">
        <v>7.9752915227683703</v>
      </c>
      <c r="Q9803">
        <v>0.68117441629005204</v>
      </c>
      <c r="R9803">
        <v>1.7348392320095001</v>
      </c>
      <c r="S9803">
        <v>170</v>
      </c>
      <c r="T9803">
        <v>23</v>
      </c>
      <c r="U9803">
        <v>622.50895101494405</v>
      </c>
      <c r="V9803">
        <v>1.95258019525801E-2</v>
      </c>
      <c r="W9803">
        <v>544778.93632958003</v>
      </c>
      <c r="X9803" t="s">
        <v>39</v>
      </c>
      <c r="Y9803">
        <f>1-311-305-8084</f>
        <v>-8699</v>
      </c>
    </row>
    <row r="9804" spans="1:25" x14ac:dyDescent="0.35">
      <c r="A9804">
        <v>41.110476509362201</v>
      </c>
      <c r="B9804">
        <v>-121.018787186475</v>
      </c>
      <c r="C9804" t="s">
        <v>34</v>
      </c>
      <c r="D9804">
        <v>38.443199287778903</v>
      </c>
      <c r="E9804">
        <v>7</v>
      </c>
      <c r="F9804">
        <v>724</v>
      </c>
      <c r="G9804">
        <v>2</v>
      </c>
      <c r="H9804">
        <v>2</v>
      </c>
      <c r="I9804">
        <v>2006</v>
      </c>
      <c r="J9804">
        <v>0</v>
      </c>
      <c r="K9804">
        <v>0</v>
      </c>
      <c r="L9804">
        <v>0</v>
      </c>
      <c r="M9804">
        <v>4</v>
      </c>
      <c r="N9804" t="s">
        <v>41</v>
      </c>
      <c r="O9804" t="s">
        <v>27</v>
      </c>
      <c r="P9804">
        <v>6.3712893210480797</v>
      </c>
      <c r="Q9804">
        <v>1.26814261060394</v>
      </c>
      <c r="R9804">
        <v>3.0727550855664498</v>
      </c>
      <c r="S9804">
        <v>80</v>
      </c>
      <c r="T9804">
        <v>34</v>
      </c>
      <c r="U9804">
        <v>495.04558245103999</v>
      </c>
      <c r="V9804">
        <v>5.5248618784530298E-3</v>
      </c>
      <c r="W9804">
        <v>484967.66376692802</v>
      </c>
      <c r="X9804" t="s">
        <v>36</v>
      </c>
      <c r="Y9804">
        <f>1-610-758-7363</f>
        <v>-8730</v>
      </c>
    </row>
    <row r="9805" spans="1:25" x14ac:dyDescent="0.35">
      <c r="A9805">
        <v>39.051383974778197</v>
      </c>
      <c r="B9805">
        <v>-120.482615667903</v>
      </c>
      <c r="C9805" t="s">
        <v>25</v>
      </c>
      <c r="D9805">
        <v>18.263290175983698</v>
      </c>
      <c r="E9805">
        <v>7</v>
      </c>
      <c r="F9805">
        <v>686</v>
      </c>
      <c r="G9805">
        <v>5</v>
      </c>
      <c r="H9805">
        <v>3</v>
      </c>
      <c r="I9805">
        <v>1971</v>
      </c>
      <c r="J9805">
        <v>0</v>
      </c>
      <c r="K9805">
        <v>0</v>
      </c>
      <c r="L9805">
        <v>0</v>
      </c>
      <c r="M9805">
        <v>13</v>
      </c>
      <c r="N9805" t="s">
        <v>35</v>
      </c>
      <c r="O9805" t="s">
        <v>27</v>
      </c>
      <c r="P9805">
        <v>9.8908389034137194</v>
      </c>
      <c r="Q9805">
        <v>1.2938522004384401</v>
      </c>
      <c r="R9805">
        <v>2.3828725910219002</v>
      </c>
      <c r="S9805">
        <v>61</v>
      </c>
      <c r="T9805">
        <v>67</v>
      </c>
      <c r="U9805">
        <v>984.45178748499097</v>
      </c>
      <c r="V9805">
        <v>1.8950437317784199E-2</v>
      </c>
      <c r="W9805">
        <v>1050380.6935286799</v>
      </c>
      <c r="X9805" t="s">
        <v>33</v>
      </c>
      <c r="Y9805">
        <f>1-543-592-3986</f>
        <v>-5120</v>
      </c>
    </row>
    <row r="9806" spans="1:25" x14ac:dyDescent="0.35">
      <c r="A9806">
        <v>37.0502303749847</v>
      </c>
      <c r="B9806">
        <v>-115.095120428119</v>
      </c>
      <c r="C9806" t="s">
        <v>34</v>
      </c>
      <c r="D9806">
        <v>29.137712735616098</v>
      </c>
      <c r="E9806">
        <v>9</v>
      </c>
      <c r="F9806">
        <v>3413</v>
      </c>
      <c r="G9806">
        <v>4</v>
      </c>
      <c r="H9806">
        <v>1</v>
      </c>
      <c r="I9806">
        <v>1971</v>
      </c>
      <c r="J9806">
        <v>0</v>
      </c>
      <c r="K9806">
        <v>1</v>
      </c>
      <c r="L9806">
        <v>1</v>
      </c>
      <c r="M9806">
        <v>6</v>
      </c>
      <c r="N9806" t="s">
        <v>37</v>
      </c>
      <c r="O9806" t="s">
        <v>27</v>
      </c>
      <c r="P9806">
        <v>10.1485314760544</v>
      </c>
      <c r="Q9806">
        <v>1.14521329897374</v>
      </c>
      <c r="R9806">
        <v>3.94604707217453</v>
      </c>
      <c r="S9806">
        <v>16</v>
      </c>
      <c r="T9806">
        <v>76</v>
      </c>
      <c r="U9806">
        <v>392.51674383586601</v>
      </c>
      <c r="V9806">
        <v>1.7579841781423899E-3</v>
      </c>
      <c r="W9806">
        <v>1684883.7787151299</v>
      </c>
      <c r="X9806" t="s">
        <v>44</v>
      </c>
      <c r="Y9806">
        <f>1-331-908-2246</f>
        <v>-3484</v>
      </c>
    </row>
    <row r="9807" spans="1:25" x14ac:dyDescent="0.35">
      <c r="A9807">
        <v>40.369335455346402</v>
      </c>
      <c r="B9807">
        <v>-118.03230129452901</v>
      </c>
      <c r="C9807" t="s">
        <v>29</v>
      </c>
      <c r="D9807">
        <v>45.397624987448303</v>
      </c>
      <c r="E9807">
        <v>7</v>
      </c>
      <c r="F9807">
        <v>3851</v>
      </c>
      <c r="G9807">
        <v>2</v>
      </c>
      <c r="H9807">
        <v>2</v>
      </c>
      <c r="I9807">
        <v>1951</v>
      </c>
      <c r="J9807">
        <v>1</v>
      </c>
      <c r="K9807">
        <v>0</v>
      </c>
      <c r="L9807">
        <v>0</v>
      </c>
      <c r="M9807">
        <v>14</v>
      </c>
      <c r="N9807" t="s">
        <v>37</v>
      </c>
      <c r="O9807" t="s">
        <v>32</v>
      </c>
      <c r="P9807">
        <v>13.9864009141097</v>
      </c>
      <c r="Q9807">
        <v>2.0642138216925101</v>
      </c>
      <c r="R9807">
        <v>8.0143903307817297</v>
      </c>
      <c r="S9807">
        <v>81</v>
      </c>
      <c r="T9807">
        <v>72</v>
      </c>
      <c r="U9807">
        <v>796.06091181370596</v>
      </c>
      <c r="V9807">
        <v>3.6354193715917899E-3</v>
      </c>
      <c r="W9807">
        <v>3260514.6352502601</v>
      </c>
      <c r="X9807" t="s">
        <v>40</v>
      </c>
      <c r="Y9807">
        <f>1-209-876-1608</f>
        <v>-2692</v>
      </c>
    </row>
    <row r="9808" spans="1:25" x14ac:dyDescent="0.35">
      <c r="A9808">
        <v>39.051979197743499</v>
      </c>
      <c r="B9808">
        <v>-117.84442944586699</v>
      </c>
      <c r="C9808" t="s">
        <v>29</v>
      </c>
      <c r="D9808">
        <v>34.357852503756199</v>
      </c>
      <c r="E9808">
        <v>0</v>
      </c>
      <c r="F9808">
        <v>2246</v>
      </c>
      <c r="G9808">
        <v>1</v>
      </c>
      <c r="H9808">
        <v>3</v>
      </c>
      <c r="I9808">
        <v>1996</v>
      </c>
      <c r="J9808">
        <v>1</v>
      </c>
      <c r="K9808">
        <v>0</v>
      </c>
      <c r="L9808">
        <v>0</v>
      </c>
      <c r="M9808">
        <v>14</v>
      </c>
      <c r="N9808" t="s">
        <v>35</v>
      </c>
      <c r="O9808" t="s">
        <v>30</v>
      </c>
      <c r="P9808">
        <v>2.7527313239816298</v>
      </c>
      <c r="Q9808">
        <v>2.4011269747124402</v>
      </c>
      <c r="R9808">
        <v>5.6248077330458903</v>
      </c>
      <c r="S9808">
        <v>29</v>
      </c>
      <c r="T9808">
        <v>27</v>
      </c>
      <c r="U9808">
        <v>496.82811185270799</v>
      </c>
      <c r="V9808">
        <v>6.2333036509349899E-3</v>
      </c>
      <c r="W9808">
        <v>1227726.8112321801</v>
      </c>
      <c r="X9808" t="s">
        <v>36</v>
      </c>
      <c r="Y9808">
        <f>1-425-356-6362</f>
        <v>-7142</v>
      </c>
    </row>
    <row r="9809" spans="1:25" x14ac:dyDescent="0.35">
      <c r="A9809">
        <v>34.906919106806001</v>
      </c>
      <c r="B9809">
        <v>-124.211310610284</v>
      </c>
      <c r="C9809" t="s">
        <v>34</v>
      </c>
      <c r="D9809">
        <v>4.5632963788157097</v>
      </c>
      <c r="E9809">
        <v>7</v>
      </c>
      <c r="F9809">
        <v>3558</v>
      </c>
      <c r="G9809">
        <v>2</v>
      </c>
      <c r="H9809">
        <v>3</v>
      </c>
      <c r="I9809">
        <v>2012</v>
      </c>
      <c r="J9809">
        <v>1</v>
      </c>
      <c r="K9809">
        <v>1</v>
      </c>
      <c r="L9809">
        <v>1</v>
      </c>
      <c r="M9809">
        <v>3</v>
      </c>
      <c r="N9809" t="s">
        <v>37</v>
      </c>
      <c r="O9809" t="s">
        <v>32</v>
      </c>
      <c r="P9809">
        <v>10.3296256348693</v>
      </c>
      <c r="Q9809">
        <v>1.1450141172578201</v>
      </c>
      <c r="R9809">
        <v>7.2230463808584497</v>
      </c>
      <c r="S9809">
        <v>70</v>
      </c>
      <c r="T9809">
        <v>63</v>
      </c>
      <c r="U9809">
        <v>620.50990910701296</v>
      </c>
      <c r="V9809">
        <v>8.4317032040472095E-4</v>
      </c>
      <c r="W9809">
        <v>2592813.4583322098</v>
      </c>
      <c r="X9809" t="s">
        <v>38</v>
      </c>
      <c r="Y9809">
        <f>1-219-641-8811</f>
        <v>-9670</v>
      </c>
    </row>
    <row r="9810" spans="1:25" x14ac:dyDescent="0.35">
      <c r="A9810">
        <v>35.449292867916697</v>
      </c>
      <c r="B9810">
        <v>-118.878887551275</v>
      </c>
      <c r="C9810" t="s">
        <v>25</v>
      </c>
      <c r="D9810">
        <v>41.045863995752498</v>
      </c>
      <c r="E9810">
        <v>0</v>
      </c>
      <c r="F9810">
        <v>579</v>
      </c>
      <c r="G9810">
        <v>3</v>
      </c>
      <c r="H9810">
        <v>2</v>
      </c>
      <c r="I9810">
        <v>1960</v>
      </c>
      <c r="J9810">
        <v>1</v>
      </c>
      <c r="K9810">
        <v>0</v>
      </c>
      <c r="L9810">
        <v>1</v>
      </c>
      <c r="M9810">
        <v>9</v>
      </c>
      <c r="N9810" t="s">
        <v>35</v>
      </c>
      <c r="O9810" t="s">
        <v>32</v>
      </c>
      <c r="P9810">
        <v>14.309905332030899</v>
      </c>
      <c r="Q9810">
        <v>2.2652521403965098</v>
      </c>
      <c r="R9810">
        <v>5.9907996382938</v>
      </c>
      <c r="S9810">
        <v>178</v>
      </c>
      <c r="T9810">
        <v>49</v>
      </c>
      <c r="U9810">
        <v>398.48799375894498</v>
      </c>
      <c r="V9810">
        <v>1.55440414507772E-2</v>
      </c>
      <c r="W9810">
        <v>535703.58384233399</v>
      </c>
      <c r="X9810" t="s">
        <v>31</v>
      </c>
      <c r="Y9810">
        <f>1-714-822-4192</f>
        <v>-5727</v>
      </c>
    </row>
    <row r="9811" spans="1:25" x14ac:dyDescent="0.35">
      <c r="A9811">
        <v>35.480963875585402</v>
      </c>
      <c r="B9811">
        <v>-117.991388087182</v>
      </c>
      <c r="C9811" t="s">
        <v>34</v>
      </c>
      <c r="D9811">
        <v>10.7678203758005</v>
      </c>
      <c r="E9811">
        <v>3</v>
      </c>
      <c r="F9811">
        <v>1416</v>
      </c>
      <c r="G9811">
        <v>4</v>
      </c>
      <c r="H9811">
        <v>3</v>
      </c>
      <c r="I9811">
        <v>2002</v>
      </c>
      <c r="J9811">
        <v>1</v>
      </c>
      <c r="K9811">
        <v>0</v>
      </c>
      <c r="L9811">
        <v>1</v>
      </c>
      <c r="M9811">
        <v>10</v>
      </c>
      <c r="N9811" t="s">
        <v>37</v>
      </c>
      <c r="O9811" t="s">
        <v>30</v>
      </c>
      <c r="P9811">
        <v>2.8251030986176699</v>
      </c>
      <c r="Q9811">
        <v>0.51636875207965005</v>
      </c>
      <c r="R9811">
        <v>9.6068060015204804</v>
      </c>
      <c r="S9811">
        <v>38</v>
      </c>
      <c r="T9811">
        <v>36</v>
      </c>
      <c r="U9811">
        <v>776.86217658916303</v>
      </c>
      <c r="V9811">
        <v>7.0621468926553603E-3</v>
      </c>
      <c r="W9811">
        <v>1414839.78784125</v>
      </c>
      <c r="X9811" t="s">
        <v>33</v>
      </c>
      <c r="Y9811">
        <f>1-381-419-2001</f>
        <v>-2800</v>
      </c>
    </row>
    <row r="9812" spans="1:25" x14ac:dyDescent="0.35">
      <c r="A9812">
        <v>38.989198805551297</v>
      </c>
      <c r="B9812">
        <v>-116.356175470899</v>
      </c>
      <c r="C9812" t="s">
        <v>29</v>
      </c>
      <c r="D9812">
        <v>37.249369231198699</v>
      </c>
      <c r="E9812">
        <v>0</v>
      </c>
      <c r="F9812">
        <v>3238</v>
      </c>
      <c r="G9812">
        <v>1</v>
      </c>
      <c r="H9812">
        <v>3</v>
      </c>
      <c r="I9812">
        <v>1979</v>
      </c>
      <c r="J9812">
        <v>1</v>
      </c>
      <c r="K9812">
        <v>1</v>
      </c>
      <c r="L9812">
        <v>1</v>
      </c>
      <c r="M9812">
        <v>4</v>
      </c>
      <c r="N9812" t="s">
        <v>41</v>
      </c>
      <c r="O9812" t="s">
        <v>27</v>
      </c>
      <c r="P9812">
        <v>3.2800480129180301</v>
      </c>
      <c r="Q9812">
        <v>1.0405900743813801</v>
      </c>
      <c r="R9812">
        <v>3.01540679502182</v>
      </c>
      <c r="S9812">
        <v>60</v>
      </c>
      <c r="T9812">
        <v>74</v>
      </c>
      <c r="U9812">
        <v>405.487560746832</v>
      </c>
      <c r="V9812">
        <v>1.2353304508956101E-3</v>
      </c>
      <c r="W9812">
        <v>1515196.8507759899</v>
      </c>
      <c r="X9812" t="s">
        <v>33</v>
      </c>
      <c r="Y9812">
        <f>1-575-949-1737</f>
        <v>-3260</v>
      </c>
    </row>
    <row r="9813" spans="1:25" x14ac:dyDescent="0.35">
      <c r="A9813">
        <v>38.6893521615536</v>
      </c>
      <c r="B9813">
        <v>-116.00089321926301</v>
      </c>
      <c r="C9813" t="s">
        <v>29</v>
      </c>
      <c r="D9813">
        <v>48.259230271856701</v>
      </c>
      <c r="E9813">
        <v>9</v>
      </c>
      <c r="F9813">
        <v>1062</v>
      </c>
      <c r="G9813">
        <v>5</v>
      </c>
      <c r="H9813">
        <v>1</v>
      </c>
      <c r="I9813">
        <v>1962</v>
      </c>
      <c r="J9813">
        <v>1</v>
      </c>
      <c r="K9813">
        <v>0</v>
      </c>
      <c r="L9813">
        <v>0</v>
      </c>
      <c r="M9813">
        <v>11</v>
      </c>
      <c r="N9813" t="s">
        <v>35</v>
      </c>
      <c r="O9813" t="s">
        <v>27</v>
      </c>
      <c r="P9813">
        <v>5.8524141070123203</v>
      </c>
      <c r="Q9813">
        <v>0.83966405028495605</v>
      </c>
      <c r="R9813">
        <v>1.7309524202691899</v>
      </c>
      <c r="S9813">
        <v>32</v>
      </c>
      <c r="T9813">
        <v>51</v>
      </c>
      <c r="U9813">
        <v>854.77543842677005</v>
      </c>
      <c r="V9813">
        <v>1.0357815442561201E-2</v>
      </c>
      <c r="W9813">
        <v>1131983.31743116</v>
      </c>
      <c r="X9813" t="s">
        <v>38</v>
      </c>
      <c r="Y9813">
        <f>1-996-480-6045</f>
        <v>-7520</v>
      </c>
    </row>
    <row r="9814" spans="1:25" x14ac:dyDescent="0.35">
      <c r="A9814">
        <v>34.610290519785103</v>
      </c>
      <c r="B9814">
        <v>-118.282877755575</v>
      </c>
      <c r="C9814" t="s">
        <v>25</v>
      </c>
      <c r="D9814">
        <v>34.024732946686903</v>
      </c>
      <c r="E9814">
        <v>8</v>
      </c>
      <c r="F9814">
        <v>3698</v>
      </c>
      <c r="G9814">
        <v>1</v>
      </c>
      <c r="H9814">
        <v>2</v>
      </c>
      <c r="I9814">
        <v>1958</v>
      </c>
      <c r="J9814">
        <v>1</v>
      </c>
      <c r="K9814">
        <v>1</v>
      </c>
      <c r="L9814">
        <v>1</v>
      </c>
      <c r="M9814">
        <v>3</v>
      </c>
      <c r="N9814" t="s">
        <v>41</v>
      </c>
      <c r="O9814" t="s">
        <v>32</v>
      </c>
      <c r="P9814">
        <v>8.7969401004709695</v>
      </c>
      <c r="Q9814">
        <v>1.0210042168895099</v>
      </c>
      <c r="R9814">
        <v>8.9306763194841707</v>
      </c>
      <c r="S9814">
        <v>21</v>
      </c>
      <c r="T9814">
        <v>67</v>
      </c>
      <c r="U9814">
        <v>661.15513628707595</v>
      </c>
      <c r="V9814">
        <v>8.1124932395889595E-4</v>
      </c>
      <c r="W9814">
        <v>2689821.8707900601</v>
      </c>
      <c r="X9814" t="s">
        <v>31</v>
      </c>
      <c r="Y9814">
        <f>1-878-101-2259</f>
        <v>-3237</v>
      </c>
    </row>
    <row r="9815" spans="1:25" x14ac:dyDescent="0.35">
      <c r="A9815">
        <v>33.260654020177697</v>
      </c>
      <c r="B9815">
        <v>-118.379889374108</v>
      </c>
      <c r="C9815" t="s">
        <v>29</v>
      </c>
      <c r="D9815">
        <v>35.5496458504999</v>
      </c>
      <c r="E9815">
        <v>3</v>
      </c>
      <c r="F9815">
        <v>1415</v>
      </c>
      <c r="G9815">
        <v>3</v>
      </c>
      <c r="H9815">
        <v>3</v>
      </c>
      <c r="I9815">
        <v>1983</v>
      </c>
      <c r="J9815">
        <v>1</v>
      </c>
      <c r="K9815">
        <v>0</v>
      </c>
      <c r="L9815">
        <v>0</v>
      </c>
      <c r="M9815">
        <v>13</v>
      </c>
      <c r="N9815" t="s">
        <v>35</v>
      </c>
      <c r="O9815" t="s">
        <v>32</v>
      </c>
      <c r="P9815">
        <v>2.0216958040350002</v>
      </c>
      <c r="Q9815">
        <v>1.2577300680528101</v>
      </c>
      <c r="R9815">
        <v>5.6534967162904701</v>
      </c>
      <c r="S9815">
        <v>145</v>
      </c>
      <c r="T9815">
        <v>22</v>
      </c>
      <c r="U9815">
        <v>387.79088851042701</v>
      </c>
      <c r="V9815">
        <v>9.1872791519434591E-3</v>
      </c>
      <c r="W9815">
        <v>753892.65108514205</v>
      </c>
      <c r="X9815" t="s">
        <v>39</v>
      </c>
      <c r="Y9815">
        <f>1-554-609-2863</f>
        <v>-4025</v>
      </c>
    </row>
    <row r="9816" spans="1:25" x14ac:dyDescent="0.35">
      <c r="A9816">
        <v>35.041182731799502</v>
      </c>
      <c r="B9816">
        <v>-121.193303200554</v>
      </c>
      <c r="C9816" t="s">
        <v>34</v>
      </c>
      <c r="D9816">
        <v>43.848795996029502</v>
      </c>
      <c r="E9816">
        <v>1</v>
      </c>
      <c r="F9816">
        <v>4540</v>
      </c>
      <c r="G9816">
        <v>1</v>
      </c>
      <c r="H9816">
        <v>2</v>
      </c>
      <c r="I9816">
        <v>1978</v>
      </c>
      <c r="J9816">
        <v>1</v>
      </c>
      <c r="K9816">
        <v>0</v>
      </c>
      <c r="L9816">
        <v>0</v>
      </c>
      <c r="M9816">
        <v>2</v>
      </c>
      <c r="N9816" t="s">
        <v>41</v>
      </c>
      <c r="O9816" t="s">
        <v>27</v>
      </c>
      <c r="P9816">
        <v>6.8361279341620502</v>
      </c>
      <c r="Q9816">
        <v>1.28878607469549</v>
      </c>
      <c r="R9816">
        <v>0.57093469321232704</v>
      </c>
      <c r="S9816">
        <v>1</v>
      </c>
      <c r="T9816">
        <v>61</v>
      </c>
      <c r="U9816">
        <v>879.46758019861295</v>
      </c>
      <c r="V9816">
        <v>4.4052863436123301E-4</v>
      </c>
      <c r="W9816">
        <v>4114212.3950897902</v>
      </c>
      <c r="X9816" t="s">
        <v>44</v>
      </c>
      <c r="Y9816">
        <f>1-896-435-3443</f>
        <v>-4773</v>
      </c>
    </row>
    <row r="9817" spans="1:25" x14ac:dyDescent="0.35">
      <c r="A9817">
        <v>33.168977052897901</v>
      </c>
      <c r="B9817">
        <v>-121.97785013015999</v>
      </c>
      <c r="C9817" t="s">
        <v>25</v>
      </c>
      <c r="D9817">
        <v>38.662974323903001</v>
      </c>
      <c r="E9817">
        <v>7</v>
      </c>
      <c r="F9817">
        <v>2767</v>
      </c>
      <c r="G9817">
        <v>4</v>
      </c>
      <c r="H9817">
        <v>1</v>
      </c>
      <c r="I9817">
        <v>1962</v>
      </c>
      <c r="J9817">
        <v>0</v>
      </c>
      <c r="K9817">
        <v>0</v>
      </c>
      <c r="L9817">
        <v>0</v>
      </c>
      <c r="M9817">
        <v>8</v>
      </c>
      <c r="N9817" t="s">
        <v>35</v>
      </c>
      <c r="O9817" t="s">
        <v>30</v>
      </c>
      <c r="P9817">
        <v>13.2224786671782</v>
      </c>
      <c r="Q9817">
        <v>2.0410076965855799</v>
      </c>
      <c r="R9817">
        <v>2.1661527343313001</v>
      </c>
      <c r="S9817">
        <v>173</v>
      </c>
      <c r="T9817">
        <v>22</v>
      </c>
      <c r="U9817">
        <v>510.46935912061002</v>
      </c>
      <c r="V9817">
        <v>2.8912179255511298E-3</v>
      </c>
      <c r="W9817">
        <v>1591875.80833284</v>
      </c>
      <c r="X9817" t="s">
        <v>33</v>
      </c>
      <c r="Y9817">
        <f>1-232-469-8254</f>
        <v>-8954</v>
      </c>
    </row>
    <row r="9818" spans="1:25" x14ac:dyDescent="0.35">
      <c r="A9818">
        <v>41.203083173694502</v>
      </c>
      <c r="B9818">
        <v>-115.85145709541101</v>
      </c>
      <c r="C9818" t="s">
        <v>29</v>
      </c>
      <c r="D9818">
        <v>13.733004828384001</v>
      </c>
      <c r="E9818">
        <v>2</v>
      </c>
      <c r="F9818">
        <v>4000</v>
      </c>
      <c r="G9818">
        <v>1</v>
      </c>
      <c r="H9818">
        <v>2</v>
      </c>
      <c r="I9818">
        <v>1951</v>
      </c>
      <c r="J9818">
        <v>1</v>
      </c>
      <c r="K9818">
        <v>0</v>
      </c>
      <c r="L9818">
        <v>1</v>
      </c>
      <c r="M9818">
        <v>4</v>
      </c>
      <c r="N9818" t="s">
        <v>35</v>
      </c>
      <c r="O9818" t="s">
        <v>32</v>
      </c>
      <c r="P9818">
        <v>14.0634735098579</v>
      </c>
      <c r="Q9818">
        <v>0.84227887267616097</v>
      </c>
      <c r="R9818">
        <v>2.8052584701385199</v>
      </c>
      <c r="S9818">
        <v>111</v>
      </c>
      <c r="T9818">
        <v>31</v>
      </c>
      <c r="U9818">
        <v>466.67627481765498</v>
      </c>
      <c r="V9818">
        <v>1E-3</v>
      </c>
      <c r="W9818">
        <v>2057542.6571396301</v>
      </c>
      <c r="X9818" t="s">
        <v>44</v>
      </c>
      <c r="Y9818">
        <f>1-602-199-9681</f>
        <v>-10481</v>
      </c>
    </row>
    <row r="9819" spans="1:25" x14ac:dyDescent="0.35">
      <c r="A9819">
        <v>35.4959320915166</v>
      </c>
      <c r="B9819">
        <v>-114.06150749589899</v>
      </c>
      <c r="C9819" t="s">
        <v>25</v>
      </c>
      <c r="D9819">
        <v>33.757247750329498</v>
      </c>
      <c r="E9819">
        <v>5</v>
      </c>
      <c r="F9819">
        <v>4022</v>
      </c>
      <c r="G9819">
        <v>5</v>
      </c>
      <c r="H9819">
        <v>1</v>
      </c>
      <c r="I9819">
        <v>1966</v>
      </c>
      <c r="J9819">
        <v>0</v>
      </c>
      <c r="K9819">
        <v>0</v>
      </c>
      <c r="L9819">
        <v>1</v>
      </c>
      <c r="M9819">
        <v>5</v>
      </c>
      <c r="N9819" t="s">
        <v>35</v>
      </c>
      <c r="O9819" t="s">
        <v>32</v>
      </c>
      <c r="P9819">
        <v>7.5535173732521903</v>
      </c>
      <c r="Q9819">
        <v>2.0634558795078002</v>
      </c>
      <c r="R9819">
        <v>5.7566682074221198</v>
      </c>
      <c r="S9819">
        <v>168</v>
      </c>
      <c r="T9819">
        <v>43</v>
      </c>
      <c r="U9819">
        <v>747.34490196706304</v>
      </c>
      <c r="V9819">
        <v>1.2431626056688199E-3</v>
      </c>
      <c r="W9819">
        <v>3291111.913226</v>
      </c>
      <c r="X9819" t="s">
        <v>44</v>
      </c>
      <c r="Y9819">
        <f>1-480-582-7667</f>
        <v>-8728</v>
      </c>
    </row>
    <row r="9820" spans="1:25" x14ac:dyDescent="0.35">
      <c r="A9820">
        <v>33.629241716632301</v>
      </c>
      <c r="B9820">
        <v>-117.760892549896</v>
      </c>
      <c r="C9820" t="s">
        <v>29</v>
      </c>
      <c r="D9820">
        <v>2.2755142517293399</v>
      </c>
      <c r="E9820">
        <v>6</v>
      </c>
      <c r="F9820">
        <v>3388</v>
      </c>
      <c r="G9820">
        <v>4</v>
      </c>
      <c r="H9820">
        <v>3</v>
      </c>
      <c r="I9820">
        <v>2005</v>
      </c>
      <c r="J9820">
        <v>1</v>
      </c>
      <c r="K9820">
        <v>1</v>
      </c>
      <c r="L9820">
        <v>0</v>
      </c>
      <c r="M9820">
        <v>10</v>
      </c>
      <c r="N9820" t="s">
        <v>35</v>
      </c>
      <c r="O9820" t="s">
        <v>32</v>
      </c>
      <c r="P9820">
        <v>9.0779839161887903</v>
      </c>
      <c r="Q9820">
        <v>2.4103155501853202</v>
      </c>
      <c r="R9820">
        <v>8.6660096504786495</v>
      </c>
      <c r="S9820">
        <v>102</v>
      </c>
      <c r="T9820">
        <v>48</v>
      </c>
      <c r="U9820">
        <v>794.42967010841096</v>
      </c>
      <c r="V9820">
        <v>2.9515938606847602E-3</v>
      </c>
      <c r="W9820">
        <v>3128139.6132960301</v>
      </c>
      <c r="X9820" t="s">
        <v>44</v>
      </c>
      <c r="Y9820">
        <f>1-802-906-7574</f>
        <v>-9281</v>
      </c>
    </row>
    <row r="9821" spans="1:25" x14ac:dyDescent="0.35">
      <c r="A9821">
        <v>40.8498331883197</v>
      </c>
      <c r="B9821">
        <v>-123.967450675603</v>
      </c>
      <c r="C9821" t="s">
        <v>25</v>
      </c>
      <c r="D9821">
        <v>44.895414293166503</v>
      </c>
      <c r="E9821">
        <v>5</v>
      </c>
      <c r="F9821">
        <v>3298</v>
      </c>
      <c r="G9821">
        <v>3</v>
      </c>
      <c r="H9821">
        <v>3</v>
      </c>
      <c r="I9821">
        <v>1999</v>
      </c>
      <c r="J9821">
        <v>0</v>
      </c>
      <c r="K9821">
        <v>0</v>
      </c>
      <c r="L9821">
        <v>1</v>
      </c>
      <c r="M9821">
        <v>9</v>
      </c>
      <c r="N9821" t="s">
        <v>41</v>
      </c>
      <c r="O9821" t="s">
        <v>27</v>
      </c>
      <c r="P9821">
        <v>5.8014465156495998</v>
      </c>
      <c r="Q9821">
        <v>1.03107907190361</v>
      </c>
      <c r="R9821">
        <v>8.8408301937469194</v>
      </c>
      <c r="S9821">
        <v>12</v>
      </c>
      <c r="T9821">
        <v>63</v>
      </c>
      <c r="U9821">
        <v>281.49400409605897</v>
      </c>
      <c r="V9821">
        <v>2.7289266221952602E-3</v>
      </c>
      <c r="W9821">
        <v>1191253.3490213701</v>
      </c>
      <c r="X9821" t="s">
        <v>39</v>
      </c>
      <c r="Y9821">
        <f>1-298-319-7532</f>
        <v>-8148</v>
      </c>
    </row>
    <row r="9822" spans="1:25" x14ac:dyDescent="0.35">
      <c r="A9822">
        <v>35.023301105959298</v>
      </c>
      <c r="B9822">
        <v>-116.865532740733</v>
      </c>
      <c r="C9822" t="s">
        <v>34</v>
      </c>
      <c r="D9822">
        <v>8.5124495969995895</v>
      </c>
      <c r="E9822">
        <v>7</v>
      </c>
      <c r="F9822">
        <v>2525</v>
      </c>
      <c r="G9822">
        <v>4</v>
      </c>
      <c r="H9822">
        <v>2</v>
      </c>
      <c r="I9822">
        <v>1983</v>
      </c>
      <c r="J9822">
        <v>0</v>
      </c>
      <c r="K9822">
        <v>1</v>
      </c>
      <c r="L9822">
        <v>1</v>
      </c>
      <c r="M9822">
        <v>3</v>
      </c>
      <c r="N9822" t="s">
        <v>41</v>
      </c>
      <c r="O9822" t="s">
        <v>32</v>
      </c>
      <c r="P9822">
        <v>14.930299147947199</v>
      </c>
      <c r="Q9822">
        <v>1.98941443106155</v>
      </c>
      <c r="R9822">
        <v>8.1846770835221498</v>
      </c>
      <c r="S9822">
        <v>183</v>
      </c>
      <c r="T9822">
        <v>54</v>
      </c>
      <c r="U9822">
        <v>246.805502991189</v>
      </c>
      <c r="V9822">
        <v>1.1881188118811801E-3</v>
      </c>
      <c r="W9822">
        <v>980128.44740670605</v>
      </c>
      <c r="X9822" t="s">
        <v>38</v>
      </c>
      <c r="Y9822">
        <f>1-643-242-3136</f>
        <v>-4020</v>
      </c>
    </row>
    <row r="9823" spans="1:25" x14ac:dyDescent="0.35">
      <c r="A9823">
        <v>39.773397033659201</v>
      </c>
      <c r="B9823">
        <v>-121.73832593800699</v>
      </c>
      <c r="C9823" t="s">
        <v>34</v>
      </c>
      <c r="D9823">
        <v>19.390061647512301</v>
      </c>
      <c r="E9823">
        <v>0</v>
      </c>
      <c r="F9823">
        <v>1063</v>
      </c>
      <c r="G9823">
        <v>4</v>
      </c>
      <c r="H9823">
        <v>2</v>
      </c>
      <c r="I9823">
        <v>2012</v>
      </c>
      <c r="J9823">
        <v>0</v>
      </c>
      <c r="K9823">
        <v>1</v>
      </c>
      <c r="L9823">
        <v>0</v>
      </c>
      <c r="M9823">
        <v>6</v>
      </c>
      <c r="N9823" t="s">
        <v>41</v>
      </c>
      <c r="O9823" t="s">
        <v>27</v>
      </c>
      <c r="P9823">
        <v>2.4524990977840702</v>
      </c>
      <c r="Q9823">
        <v>2.2300824834402602</v>
      </c>
      <c r="R9823">
        <v>7.94202751296221</v>
      </c>
      <c r="S9823">
        <v>41</v>
      </c>
      <c r="T9823">
        <v>70</v>
      </c>
      <c r="U9823">
        <v>671.769951878651</v>
      </c>
      <c r="V9823">
        <v>5.6444026340545603E-3</v>
      </c>
      <c r="W9823">
        <v>974684.74044345401</v>
      </c>
      <c r="X9823" t="s">
        <v>43</v>
      </c>
      <c r="Y9823">
        <f>1-989-462-6136</f>
        <v>-7586</v>
      </c>
    </row>
    <row r="9824" spans="1:25" x14ac:dyDescent="0.35">
      <c r="A9824">
        <v>39.281312712879497</v>
      </c>
      <c r="B9824">
        <v>-120.462318285831</v>
      </c>
      <c r="C9824" t="s">
        <v>29</v>
      </c>
      <c r="D9824">
        <v>23.4480495163223</v>
      </c>
      <c r="E9824">
        <v>9</v>
      </c>
      <c r="F9824">
        <v>2792</v>
      </c>
      <c r="G9824">
        <v>1</v>
      </c>
      <c r="H9824">
        <v>2</v>
      </c>
      <c r="I9824">
        <v>1992</v>
      </c>
      <c r="J9824">
        <v>0</v>
      </c>
      <c r="K9824">
        <v>1</v>
      </c>
      <c r="L9824">
        <v>0</v>
      </c>
      <c r="M9824">
        <v>5</v>
      </c>
      <c r="N9824" t="s">
        <v>41</v>
      </c>
      <c r="O9824" t="s">
        <v>27</v>
      </c>
      <c r="P9824">
        <v>10.1315906513243</v>
      </c>
      <c r="Q9824">
        <v>2.22514415873473</v>
      </c>
      <c r="R9824">
        <v>1.84651353918262</v>
      </c>
      <c r="S9824">
        <v>136</v>
      </c>
      <c r="T9824">
        <v>22</v>
      </c>
      <c r="U9824">
        <v>743.80758122011105</v>
      </c>
      <c r="V9824">
        <v>1.79083094555873E-3</v>
      </c>
      <c r="W9824">
        <v>2348759.44972623</v>
      </c>
      <c r="X9824" t="s">
        <v>39</v>
      </c>
      <c r="Y9824">
        <f>1-222-120-5278</f>
        <v>-5619</v>
      </c>
    </row>
    <row r="9825" spans="1:25" x14ac:dyDescent="0.35">
      <c r="A9825">
        <v>33.434106993261203</v>
      </c>
      <c r="B9825">
        <v>-119.615040949141</v>
      </c>
      <c r="C9825" t="s">
        <v>29</v>
      </c>
      <c r="D9825">
        <v>48.642175255637198</v>
      </c>
      <c r="E9825">
        <v>8</v>
      </c>
      <c r="F9825">
        <v>4417</v>
      </c>
      <c r="G9825">
        <v>1</v>
      </c>
      <c r="H9825">
        <v>1</v>
      </c>
      <c r="I9825">
        <v>1976</v>
      </c>
      <c r="J9825">
        <v>0</v>
      </c>
      <c r="K9825">
        <v>1</v>
      </c>
      <c r="L9825">
        <v>0</v>
      </c>
      <c r="M9825">
        <v>4</v>
      </c>
      <c r="N9825" t="s">
        <v>26</v>
      </c>
      <c r="O9825" t="s">
        <v>32</v>
      </c>
      <c r="P9825">
        <v>8.4815140266918405</v>
      </c>
      <c r="Q9825">
        <v>1.6078942377898999</v>
      </c>
      <c r="R9825">
        <v>1.5415378231974199</v>
      </c>
      <c r="S9825">
        <v>180</v>
      </c>
      <c r="T9825">
        <v>46</v>
      </c>
      <c r="U9825">
        <v>567.56461843392105</v>
      </c>
      <c r="V9825">
        <v>9.05592030790129E-4</v>
      </c>
      <c r="W9825">
        <v>2649841.7325449302</v>
      </c>
      <c r="X9825" t="s">
        <v>40</v>
      </c>
      <c r="Y9825">
        <f>1-952-646-3285</f>
        <v>-4882</v>
      </c>
    </row>
    <row r="9826" spans="1:25" x14ac:dyDescent="0.35">
      <c r="A9826">
        <v>35.379648691528203</v>
      </c>
      <c r="B9826">
        <v>-120.820159173628</v>
      </c>
      <c r="C9826" t="s">
        <v>29</v>
      </c>
      <c r="D9826">
        <v>18.9419206017688</v>
      </c>
      <c r="E9826">
        <v>9</v>
      </c>
      <c r="F9826">
        <v>4207</v>
      </c>
      <c r="G9826">
        <v>4</v>
      </c>
      <c r="H9826">
        <v>1</v>
      </c>
      <c r="I9826">
        <v>1979</v>
      </c>
      <c r="J9826">
        <v>1</v>
      </c>
      <c r="K9826">
        <v>0</v>
      </c>
      <c r="L9826">
        <v>0</v>
      </c>
      <c r="M9826">
        <v>10</v>
      </c>
      <c r="N9826" t="s">
        <v>37</v>
      </c>
      <c r="O9826" t="s">
        <v>30</v>
      </c>
      <c r="P9826">
        <v>2.0631175922739402</v>
      </c>
      <c r="Q9826">
        <v>2.1327585039683901</v>
      </c>
      <c r="R9826">
        <v>4.4273611622575002</v>
      </c>
      <c r="S9826">
        <v>49</v>
      </c>
      <c r="T9826">
        <v>41</v>
      </c>
      <c r="U9826">
        <v>596.90390342889498</v>
      </c>
      <c r="V9826">
        <v>2.3769907297361498E-3</v>
      </c>
      <c r="W9826">
        <v>2760559.8319383198</v>
      </c>
      <c r="X9826" t="s">
        <v>31</v>
      </c>
      <c r="Y9826">
        <f>1-452-275-9791</f>
        <v>-10517</v>
      </c>
    </row>
    <row r="9827" spans="1:25" x14ac:dyDescent="0.35">
      <c r="A9827">
        <v>38.960520001482301</v>
      </c>
      <c r="B9827">
        <v>-124.391961063661</v>
      </c>
      <c r="C9827" t="s">
        <v>34</v>
      </c>
      <c r="D9827">
        <v>4.5675619006846802</v>
      </c>
      <c r="E9827">
        <v>7</v>
      </c>
      <c r="F9827">
        <v>794</v>
      </c>
      <c r="G9827">
        <v>5</v>
      </c>
      <c r="H9827">
        <v>3</v>
      </c>
      <c r="I9827">
        <v>1965</v>
      </c>
      <c r="J9827">
        <v>0</v>
      </c>
      <c r="K9827">
        <v>0</v>
      </c>
      <c r="L9827">
        <v>0</v>
      </c>
      <c r="M9827">
        <v>5</v>
      </c>
      <c r="N9827" t="s">
        <v>41</v>
      </c>
      <c r="O9827" t="s">
        <v>32</v>
      </c>
      <c r="P9827">
        <v>12.805612903947999</v>
      </c>
      <c r="Q9827">
        <v>1.0546130782547301</v>
      </c>
      <c r="R9827">
        <v>2.7907079194940798</v>
      </c>
      <c r="S9827">
        <v>145</v>
      </c>
      <c r="T9827">
        <v>23</v>
      </c>
      <c r="U9827">
        <v>217.38884788698201</v>
      </c>
      <c r="V9827">
        <v>6.2972292191435702E-3</v>
      </c>
      <c r="W9827">
        <v>593079.159808842</v>
      </c>
      <c r="X9827" t="s">
        <v>31</v>
      </c>
      <c r="Y9827">
        <f>1-511-762-2292</f>
        <v>-3564</v>
      </c>
    </row>
    <row r="9828" spans="1:25" x14ac:dyDescent="0.35">
      <c r="A9828">
        <v>38.850007998698999</v>
      </c>
      <c r="B9828">
        <v>-124.302858694916</v>
      </c>
      <c r="C9828" t="s">
        <v>25</v>
      </c>
      <c r="D9828">
        <v>30.177072122775702</v>
      </c>
      <c r="E9828">
        <v>1</v>
      </c>
      <c r="F9828">
        <v>3109</v>
      </c>
      <c r="G9828">
        <v>1</v>
      </c>
      <c r="H9828">
        <v>2</v>
      </c>
      <c r="I9828">
        <v>2012</v>
      </c>
      <c r="J9828">
        <v>1</v>
      </c>
      <c r="K9828">
        <v>0</v>
      </c>
      <c r="L9828">
        <v>0</v>
      </c>
      <c r="M9828">
        <v>12</v>
      </c>
      <c r="N9828" t="s">
        <v>26</v>
      </c>
      <c r="O9828" t="s">
        <v>32</v>
      </c>
      <c r="P9828">
        <v>14.1475229471106</v>
      </c>
      <c r="Q9828">
        <v>2.1896792226222401</v>
      </c>
      <c r="R9828">
        <v>9.1697970974912906</v>
      </c>
      <c r="S9828">
        <v>46</v>
      </c>
      <c r="T9828">
        <v>72</v>
      </c>
      <c r="U9828">
        <v>394.77765312624302</v>
      </c>
      <c r="V9828">
        <v>3.8597619813444798E-3</v>
      </c>
      <c r="W9828">
        <v>1531951.3505875501</v>
      </c>
      <c r="X9828" t="s">
        <v>33</v>
      </c>
      <c r="Y9828">
        <f>1-780-356-5608</f>
        <v>-6743</v>
      </c>
    </row>
    <row r="9829" spans="1:25" x14ac:dyDescent="0.35">
      <c r="A9829">
        <v>32.521314073121097</v>
      </c>
      <c r="B9829">
        <v>-118.640270673129</v>
      </c>
      <c r="C9829" t="s">
        <v>25</v>
      </c>
      <c r="D9829">
        <v>23.549872536333901</v>
      </c>
      <c r="E9829">
        <v>0</v>
      </c>
      <c r="F9829">
        <v>1405</v>
      </c>
      <c r="G9829">
        <v>2</v>
      </c>
      <c r="H9829">
        <v>1</v>
      </c>
      <c r="I9829">
        <v>1987</v>
      </c>
      <c r="J9829">
        <v>0</v>
      </c>
      <c r="K9829">
        <v>0</v>
      </c>
      <c r="L9829">
        <v>0</v>
      </c>
      <c r="M9829">
        <v>3</v>
      </c>
      <c r="N9829" t="s">
        <v>41</v>
      </c>
      <c r="O9829" t="s">
        <v>27</v>
      </c>
      <c r="P9829">
        <v>3.5916952949268302</v>
      </c>
      <c r="Q9829">
        <v>2.4204528580182201</v>
      </c>
      <c r="R9829">
        <v>0.77450113472336202</v>
      </c>
      <c r="S9829">
        <v>20</v>
      </c>
      <c r="T9829">
        <v>39</v>
      </c>
      <c r="U9829">
        <v>268.27173491851403</v>
      </c>
      <c r="V9829">
        <v>2.1352313167259701E-3</v>
      </c>
      <c r="W9829">
        <v>422294.57228814298</v>
      </c>
      <c r="X9829" t="s">
        <v>28</v>
      </c>
      <c r="Y9829">
        <f>1-818-670-1117</f>
        <v>-2604</v>
      </c>
    </row>
    <row r="9830" spans="1:25" x14ac:dyDescent="0.35">
      <c r="A9830">
        <v>36.077357283397099</v>
      </c>
      <c r="B9830">
        <v>-122.79681435038999</v>
      </c>
      <c r="C9830" t="s">
        <v>25</v>
      </c>
      <c r="D9830">
        <v>3.7197653216569799</v>
      </c>
      <c r="E9830">
        <v>0</v>
      </c>
      <c r="F9830">
        <v>2870</v>
      </c>
      <c r="G9830">
        <v>1</v>
      </c>
      <c r="H9830">
        <v>2</v>
      </c>
      <c r="I9830">
        <v>2018</v>
      </c>
      <c r="J9830">
        <v>0</v>
      </c>
      <c r="K9830">
        <v>1</v>
      </c>
      <c r="L9830">
        <v>0</v>
      </c>
      <c r="M9830">
        <v>5</v>
      </c>
      <c r="N9830" t="s">
        <v>35</v>
      </c>
      <c r="O9830" t="s">
        <v>27</v>
      </c>
      <c r="P9830">
        <v>13.5921928791961</v>
      </c>
      <c r="Q9830">
        <v>0.91390821505351505</v>
      </c>
      <c r="R9830">
        <v>8.4136345880010897</v>
      </c>
      <c r="S9830">
        <v>158</v>
      </c>
      <c r="T9830">
        <v>22</v>
      </c>
      <c r="U9830">
        <v>766.483364311429</v>
      </c>
      <c r="V9830">
        <v>1.74216027874564E-3</v>
      </c>
      <c r="W9830">
        <v>2522828.5491932901</v>
      </c>
      <c r="X9830" t="s">
        <v>42</v>
      </c>
      <c r="Y9830">
        <f>1-514-712-5644</f>
        <v>-6869</v>
      </c>
    </row>
    <row r="9831" spans="1:25" x14ac:dyDescent="0.35">
      <c r="A9831">
        <v>37.936267868874303</v>
      </c>
      <c r="B9831">
        <v>-120.756454896596</v>
      </c>
      <c r="C9831" t="s">
        <v>29</v>
      </c>
      <c r="D9831">
        <v>35.508698142298996</v>
      </c>
      <c r="E9831">
        <v>8</v>
      </c>
      <c r="F9831">
        <v>3330</v>
      </c>
      <c r="G9831">
        <v>5</v>
      </c>
      <c r="H9831">
        <v>2</v>
      </c>
      <c r="I9831">
        <v>1974</v>
      </c>
      <c r="J9831">
        <v>1</v>
      </c>
      <c r="K9831">
        <v>1</v>
      </c>
      <c r="L9831">
        <v>0</v>
      </c>
      <c r="M9831">
        <v>11</v>
      </c>
      <c r="N9831" t="s">
        <v>26</v>
      </c>
      <c r="O9831" t="s">
        <v>30</v>
      </c>
      <c r="P9831">
        <v>10.8779035288731</v>
      </c>
      <c r="Q9831">
        <v>2.02961176037094</v>
      </c>
      <c r="R9831">
        <v>7.9515540648985397</v>
      </c>
      <c r="S9831">
        <v>109</v>
      </c>
      <c r="T9831">
        <v>38</v>
      </c>
      <c r="U9831">
        <v>925.20026718055203</v>
      </c>
      <c r="V9831">
        <v>3.3033033033033001E-3</v>
      </c>
      <c r="W9831">
        <v>3545549.9977830499</v>
      </c>
      <c r="X9831" t="s">
        <v>39</v>
      </c>
      <c r="Y9831">
        <f>1-502-660-3506</f>
        <v>-4667</v>
      </c>
    </row>
    <row r="9832" spans="1:25" x14ac:dyDescent="0.35">
      <c r="A9832">
        <v>38.226492343600398</v>
      </c>
      <c r="B9832">
        <v>-116.61435732578801</v>
      </c>
      <c r="C9832" t="s">
        <v>25</v>
      </c>
      <c r="D9832">
        <v>4.14052516647258</v>
      </c>
      <c r="E9832">
        <v>7</v>
      </c>
      <c r="F9832">
        <v>4712</v>
      </c>
      <c r="G9832">
        <v>4</v>
      </c>
      <c r="H9832">
        <v>2</v>
      </c>
      <c r="I9832">
        <v>1978</v>
      </c>
      <c r="J9832">
        <v>0</v>
      </c>
      <c r="K9832">
        <v>0</v>
      </c>
      <c r="L9832">
        <v>1</v>
      </c>
      <c r="M9832">
        <v>13</v>
      </c>
      <c r="N9832" t="s">
        <v>35</v>
      </c>
      <c r="O9832" t="s">
        <v>30</v>
      </c>
      <c r="P9832">
        <v>5.1908908933193301</v>
      </c>
      <c r="Q9832">
        <v>2.00573561484725</v>
      </c>
      <c r="R9832">
        <v>1.8523811803024599</v>
      </c>
      <c r="S9832">
        <v>56</v>
      </c>
      <c r="T9832">
        <v>57</v>
      </c>
      <c r="U9832">
        <v>579.13746483956697</v>
      </c>
      <c r="V9832">
        <v>2.7589134125636599E-3</v>
      </c>
      <c r="W9832">
        <v>2950954.1261590901</v>
      </c>
      <c r="X9832" t="s">
        <v>36</v>
      </c>
      <c r="Y9832">
        <f>1-997-297-8098</f>
        <v>-9391</v>
      </c>
    </row>
    <row r="9833" spans="1:25" x14ac:dyDescent="0.35">
      <c r="A9833">
        <v>33.2209525857782</v>
      </c>
      <c r="B9833">
        <v>-115.779766344793</v>
      </c>
      <c r="C9833" t="s">
        <v>25</v>
      </c>
      <c r="D9833">
        <v>40.571359959380302</v>
      </c>
      <c r="E9833">
        <v>6</v>
      </c>
      <c r="F9833">
        <v>1875</v>
      </c>
      <c r="G9833">
        <v>5</v>
      </c>
      <c r="H9833">
        <v>3</v>
      </c>
      <c r="I9833">
        <v>1982</v>
      </c>
      <c r="J9833">
        <v>1</v>
      </c>
      <c r="K9833">
        <v>1</v>
      </c>
      <c r="L9833">
        <v>0</v>
      </c>
      <c r="M9833">
        <v>5</v>
      </c>
      <c r="N9833" t="s">
        <v>41</v>
      </c>
      <c r="O9833" t="s">
        <v>32</v>
      </c>
      <c r="P9833">
        <v>12.969498239497</v>
      </c>
      <c r="Q9833">
        <v>2.28469498092455</v>
      </c>
      <c r="R9833">
        <v>4.7073534919978597</v>
      </c>
      <c r="S9833">
        <v>159</v>
      </c>
      <c r="T9833">
        <v>63</v>
      </c>
      <c r="U9833">
        <v>479.76377699804601</v>
      </c>
      <c r="V9833">
        <v>2.6666666666666601E-3</v>
      </c>
      <c r="W9833">
        <v>1385244.1315940199</v>
      </c>
      <c r="X9833" t="s">
        <v>40</v>
      </c>
      <c r="Y9833">
        <f>1-438-727-4870</f>
        <v>-6034</v>
      </c>
    </row>
    <row r="9834" spans="1:25" x14ac:dyDescent="0.35">
      <c r="A9834">
        <v>36.684353583227399</v>
      </c>
      <c r="B9834">
        <v>-122.56256648272</v>
      </c>
      <c r="C9834" t="s">
        <v>29</v>
      </c>
      <c r="D9834">
        <v>40.852830616556297</v>
      </c>
      <c r="E9834">
        <v>9</v>
      </c>
      <c r="F9834">
        <v>1889</v>
      </c>
      <c r="G9834">
        <v>1</v>
      </c>
      <c r="H9834">
        <v>2</v>
      </c>
      <c r="I9834">
        <v>2013</v>
      </c>
      <c r="J9834">
        <v>1</v>
      </c>
      <c r="K9834">
        <v>1</v>
      </c>
      <c r="L9834">
        <v>1</v>
      </c>
      <c r="M9834">
        <v>9</v>
      </c>
      <c r="N9834" t="s">
        <v>37</v>
      </c>
      <c r="O9834" t="s">
        <v>32</v>
      </c>
      <c r="P9834">
        <v>4.48565518699293</v>
      </c>
      <c r="Q9834">
        <v>2.3001083222187102</v>
      </c>
      <c r="R9834">
        <v>5.33948938312545</v>
      </c>
      <c r="S9834">
        <v>169</v>
      </c>
      <c r="T9834">
        <v>45</v>
      </c>
      <c r="U9834">
        <v>344.02578530540899</v>
      </c>
      <c r="V9834">
        <v>4.7644256220222298E-3</v>
      </c>
      <c r="W9834">
        <v>920875.56863764196</v>
      </c>
      <c r="X9834" t="s">
        <v>40</v>
      </c>
      <c r="Y9834">
        <f>1-356-726-9760</f>
        <v>-10841</v>
      </c>
    </row>
    <row r="9835" spans="1:25" x14ac:dyDescent="0.35">
      <c r="A9835">
        <v>40.597810966385403</v>
      </c>
      <c r="B9835">
        <v>-118.471980881967</v>
      </c>
      <c r="C9835" t="s">
        <v>25</v>
      </c>
      <c r="D9835">
        <v>27.5549915205325</v>
      </c>
      <c r="E9835">
        <v>2</v>
      </c>
      <c r="F9835">
        <v>2929</v>
      </c>
      <c r="G9835">
        <v>1</v>
      </c>
      <c r="H9835">
        <v>3</v>
      </c>
      <c r="I9835">
        <v>1990</v>
      </c>
      <c r="J9835">
        <v>1</v>
      </c>
      <c r="K9835">
        <v>1</v>
      </c>
      <c r="L9835">
        <v>1</v>
      </c>
      <c r="M9835">
        <v>3</v>
      </c>
      <c r="N9835" t="s">
        <v>37</v>
      </c>
      <c r="O9835" t="s">
        <v>32</v>
      </c>
      <c r="P9835">
        <v>6.4589447564119098</v>
      </c>
      <c r="Q9835">
        <v>2.0561378511895598</v>
      </c>
      <c r="R9835">
        <v>8.6640587199213392</v>
      </c>
      <c r="S9835">
        <v>17</v>
      </c>
      <c r="T9835">
        <v>32</v>
      </c>
      <c r="U9835">
        <v>885.02952725509397</v>
      </c>
      <c r="V9835">
        <v>1.02424035506998E-3</v>
      </c>
      <c r="W9835">
        <v>2909409.50702088</v>
      </c>
      <c r="X9835" t="s">
        <v>39</v>
      </c>
      <c r="Y9835">
        <f>1-720-257-8658</f>
        <v>-9634</v>
      </c>
    </row>
    <row r="9836" spans="1:25" x14ac:dyDescent="0.35">
      <c r="A9836">
        <v>41.459718010823401</v>
      </c>
      <c r="B9836">
        <v>-123.278250417463</v>
      </c>
      <c r="C9836" t="s">
        <v>25</v>
      </c>
      <c r="D9836">
        <v>29.7446756913398</v>
      </c>
      <c r="E9836">
        <v>5</v>
      </c>
      <c r="F9836">
        <v>2360</v>
      </c>
      <c r="G9836">
        <v>5</v>
      </c>
      <c r="H9836">
        <v>2</v>
      </c>
      <c r="I9836">
        <v>1952</v>
      </c>
      <c r="J9836">
        <v>0</v>
      </c>
      <c r="K9836">
        <v>0</v>
      </c>
      <c r="L9836">
        <v>1</v>
      </c>
      <c r="M9836">
        <v>12</v>
      </c>
      <c r="N9836" t="s">
        <v>35</v>
      </c>
      <c r="O9836" t="s">
        <v>27</v>
      </c>
      <c r="P9836">
        <v>3.4025800799508201</v>
      </c>
      <c r="Q9836">
        <v>1.0506901953693999</v>
      </c>
      <c r="R9836">
        <v>4.4357198355099703</v>
      </c>
      <c r="S9836">
        <v>20</v>
      </c>
      <c r="T9836">
        <v>79</v>
      </c>
      <c r="U9836">
        <v>245.21382501250201</v>
      </c>
      <c r="V9836">
        <v>5.0847457627118597E-3</v>
      </c>
      <c r="W9836">
        <v>847731.46334022598</v>
      </c>
      <c r="X9836" t="s">
        <v>38</v>
      </c>
      <c r="Y9836">
        <f>1-891-467-2942</f>
        <v>-4299</v>
      </c>
    </row>
    <row r="9837" spans="1:25" x14ac:dyDescent="0.35">
      <c r="A9837">
        <v>35.255408360252197</v>
      </c>
      <c r="B9837">
        <v>-116.443103950324</v>
      </c>
      <c r="C9837" t="s">
        <v>25</v>
      </c>
      <c r="D9837">
        <v>28.319895360515702</v>
      </c>
      <c r="E9837">
        <v>8</v>
      </c>
      <c r="F9837">
        <v>1591</v>
      </c>
      <c r="G9837">
        <v>1</v>
      </c>
      <c r="H9837">
        <v>2</v>
      </c>
      <c r="I9837">
        <v>1999</v>
      </c>
      <c r="J9837">
        <v>0</v>
      </c>
      <c r="K9837">
        <v>0</v>
      </c>
      <c r="L9837">
        <v>1</v>
      </c>
      <c r="M9837">
        <v>7</v>
      </c>
      <c r="N9837" t="s">
        <v>37</v>
      </c>
      <c r="O9837" t="s">
        <v>32</v>
      </c>
      <c r="P9837">
        <v>7.6125086104521298</v>
      </c>
      <c r="Q9837">
        <v>1.22256661459701</v>
      </c>
      <c r="R9837">
        <v>9.2131186119525097</v>
      </c>
      <c r="S9837">
        <v>54</v>
      </c>
      <c r="T9837">
        <v>61</v>
      </c>
      <c r="U9837">
        <v>756.74637449298598</v>
      </c>
      <c r="V9837">
        <v>4.3997485857950897E-3</v>
      </c>
      <c r="W9837">
        <v>1334972.5865261899</v>
      </c>
      <c r="X9837" t="s">
        <v>31</v>
      </c>
      <c r="Y9837">
        <f>1-880-431-6906</f>
        <v>-8216</v>
      </c>
    </row>
    <row r="9838" spans="1:25" x14ac:dyDescent="0.35">
      <c r="A9838">
        <v>33.090057580832003</v>
      </c>
      <c r="B9838">
        <v>-120.084815157256</v>
      </c>
      <c r="C9838" t="s">
        <v>25</v>
      </c>
      <c r="D9838">
        <v>42.360517723731803</v>
      </c>
      <c r="E9838">
        <v>1</v>
      </c>
      <c r="F9838">
        <v>2068</v>
      </c>
      <c r="G9838">
        <v>4</v>
      </c>
      <c r="H9838">
        <v>1</v>
      </c>
      <c r="I9838">
        <v>1966</v>
      </c>
      <c r="J9838">
        <v>0</v>
      </c>
      <c r="K9838">
        <v>1</v>
      </c>
      <c r="L9838">
        <v>1</v>
      </c>
      <c r="M9838">
        <v>2</v>
      </c>
      <c r="N9838" t="s">
        <v>37</v>
      </c>
      <c r="O9838" t="s">
        <v>27</v>
      </c>
      <c r="P9838">
        <v>4.6714843268709103</v>
      </c>
      <c r="Q9838">
        <v>2.4888413138054202</v>
      </c>
      <c r="R9838">
        <v>4.3247293759185901</v>
      </c>
      <c r="S9838">
        <v>179</v>
      </c>
      <c r="T9838">
        <v>67</v>
      </c>
      <c r="U9838">
        <v>313.94873308656003</v>
      </c>
      <c r="V9838">
        <v>9.6711798839458404E-4</v>
      </c>
      <c r="W9838">
        <v>912787.65923213796</v>
      </c>
      <c r="X9838" t="s">
        <v>39</v>
      </c>
      <c r="Y9838">
        <f>1-830-513-1898</f>
        <v>-3240</v>
      </c>
    </row>
    <row r="9839" spans="1:25" x14ac:dyDescent="0.35">
      <c r="A9839">
        <v>33.976562892534503</v>
      </c>
      <c r="B9839">
        <v>-122.762003487176</v>
      </c>
      <c r="C9839" t="s">
        <v>25</v>
      </c>
      <c r="D9839">
        <v>1.9708901995687</v>
      </c>
      <c r="E9839">
        <v>1</v>
      </c>
      <c r="F9839">
        <v>3648</v>
      </c>
      <c r="G9839">
        <v>2</v>
      </c>
      <c r="H9839">
        <v>1</v>
      </c>
      <c r="I9839">
        <v>1996</v>
      </c>
      <c r="J9839">
        <v>0</v>
      </c>
      <c r="K9839">
        <v>1</v>
      </c>
      <c r="L9839">
        <v>0</v>
      </c>
      <c r="M9839">
        <v>12</v>
      </c>
      <c r="N9839" t="s">
        <v>26</v>
      </c>
      <c r="O9839" t="s">
        <v>27</v>
      </c>
      <c r="P9839">
        <v>12.245154492949601</v>
      </c>
      <c r="Q9839">
        <v>2.4153083391011401</v>
      </c>
      <c r="R9839">
        <v>5.0301186111118303</v>
      </c>
      <c r="S9839">
        <v>76</v>
      </c>
      <c r="T9839">
        <v>64</v>
      </c>
      <c r="U9839">
        <v>998.90809466047199</v>
      </c>
      <c r="V9839">
        <v>3.2894736842105201E-3</v>
      </c>
      <c r="W9839">
        <v>3858062.1083925301</v>
      </c>
      <c r="X9839" t="s">
        <v>39</v>
      </c>
      <c r="Y9839">
        <f>1-678-350-7627</f>
        <v>-8654</v>
      </c>
    </row>
    <row r="9840" spans="1:25" x14ac:dyDescent="0.35">
      <c r="A9840">
        <v>35.857316645242101</v>
      </c>
      <c r="B9840">
        <v>-120.70684998220401</v>
      </c>
      <c r="C9840" t="s">
        <v>34</v>
      </c>
      <c r="D9840">
        <v>2.86856770477001</v>
      </c>
      <c r="E9840">
        <v>7</v>
      </c>
      <c r="F9840">
        <v>4528</v>
      </c>
      <c r="G9840">
        <v>2</v>
      </c>
      <c r="H9840">
        <v>1</v>
      </c>
      <c r="I9840">
        <v>1980</v>
      </c>
      <c r="J9840">
        <v>1</v>
      </c>
      <c r="K9840">
        <v>0</v>
      </c>
      <c r="L9840">
        <v>1</v>
      </c>
      <c r="M9840">
        <v>13</v>
      </c>
      <c r="N9840" t="s">
        <v>35</v>
      </c>
      <c r="O9840" t="s">
        <v>32</v>
      </c>
      <c r="P9840">
        <v>6.7027653599250696</v>
      </c>
      <c r="Q9840">
        <v>2.1243300572699799</v>
      </c>
      <c r="R9840">
        <v>1.7516448195587599</v>
      </c>
      <c r="S9840">
        <v>18</v>
      </c>
      <c r="T9840">
        <v>38</v>
      </c>
      <c r="U9840">
        <v>221.06543288507399</v>
      </c>
      <c r="V9840">
        <v>2.87102473498233E-3</v>
      </c>
      <c r="W9840">
        <v>1109889.5685916001</v>
      </c>
      <c r="X9840" t="s">
        <v>39</v>
      </c>
      <c r="Y9840">
        <f>1-352-103-8489</f>
        <v>-8943</v>
      </c>
    </row>
    <row r="9841" spans="1:25" x14ac:dyDescent="0.35">
      <c r="A9841">
        <v>41.3431385630983</v>
      </c>
      <c r="B9841">
        <v>-122.630271824104</v>
      </c>
      <c r="C9841" t="s">
        <v>34</v>
      </c>
      <c r="D9841">
        <v>24.958988441952499</v>
      </c>
      <c r="E9841">
        <v>7</v>
      </c>
      <c r="F9841">
        <v>1695</v>
      </c>
      <c r="G9841">
        <v>1</v>
      </c>
      <c r="H9841">
        <v>2</v>
      </c>
      <c r="I9841">
        <v>2011</v>
      </c>
      <c r="J9841">
        <v>1</v>
      </c>
      <c r="K9841">
        <v>1</v>
      </c>
      <c r="L9841">
        <v>0</v>
      </c>
      <c r="M9841">
        <v>7</v>
      </c>
      <c r="N9841" t="s">
        <v>26</v>
      </c>
      <c r="O9841" t="s">
        <v>32</v>
      </c>
      <c r="P9841">
        <v>6.2648254527021097</v>
      </c>
      <c r="Q9841">
        <v>1.13874696789021</v>
      </c>
      <c r="R9841">
        <v>1.19339229647292</v>
      </c>
      <c r="S9841">
        <v>160</v>
      </c>
      <c r="T9841">
        <v>50</v>
      </c>
      <c r="U9841">
        <v>658.988982272356</v>
      </c>
      <c r="V9841">
        <v>4.1297935103244802E-3</v>
      </c>
      <c r="W9841">
        <v>1369012.36513312</v>
      </c>
      <c r="X9841" t="s">
        <v>31</v>
      </c>
      <c r="Y9841">
        <f>1-496-527-1940</f>
        <v>-2962</v>
      </c>
    </row>
    <row r="9842" spans="1:25" x14ac:dyDescent="0.35">
      <c r="A9842">
        <v>33.858637348544697</v>
      </c>
      <c r="B9842">
        <v>-114.274517223469</v>
      </c>
      <c r="C9842" t="s">
        <v>34</v>
      </c>
      <c r="D9842">
        <v>29.518228937287201</v>
      </c>
      <c r="E9842">
        <v>5</v>
      </c>
      <c r="F9842">
        <v>2772</v>
      </c>
      <c r="G9842">
        <v>5</v>
      </c>
      <c r="H9842">
        <v>3</v>
      </c>
      <c r="I9842">
        <v>1974</v>
      </c>
      <c r="J9842">
        <v>0</v>
      </c>
      <c r="K9842">
        <v>0</v>
      </c>
      <c r="L9842">
        <v>1</v>
      </c>
      <c r="M9842">
        <v>9</v>
      </c>
      <c r="N9842" t="s">
        <v>35</v>
      </c>
      <c r="O9842" t="s">
        <v>32</v>
      </c>
      <c r="P9842">
        <v>4.1580860202784704</v>
      </c>
      <c r="Q9842">
        <v>2.3049360324603998</v>
      </c>
      <c r="R9842">
        <v>6.4311337782076503</v>
      </c>
      <c r="S9842">
        <v>106</v>
      </c>
      <c r="T9842">
        <v>55</v>
      </c>
      <c r="U9842">
        <v>385.59208935392098</v>
      </c>
      <c r="V9842">
        <v>3.24675324675324E-3</v>
      </c>
      <c r="W9842">
        <v>1400803.30267331</v>
      </c>
      <c r="X9842" t="s">
        <v>28</v>
      </c>
      <c r="Y9842">
        <f>1-712-522-3550</f>
        <v>-4783</v>
      </c>
    </row>
    <row r="9843" spans="1:25" x14ac:dyDescent="0.35">
      <c r="A9843">
        <v>36.348343961477902</v>
      </c>
      <c r="B9843">
        <v>-120.166413505889</v>
      </c>
      <c r="C9843" t="s">
        <v>29</v>
      </c>
      <c r="D9843">
        <v>12.9647520080237</v>
      </c>
      <c r="E9843">
        <v>0</v>
      </c>
      <c r="F9843">
        <v>1054</v>
      </c>
      <c r="G9843">
        <v>2</v>
      </c>
      <c r="H9843">
        <v>2</v>
      </c>
      <c r="I9843">
        <v>1999</v>
      </c>
      <c r="J9843">
        <v>1</v>
      </c>
      <c r="K9843">
        <v>0</v>
      </c>
      <c r="L9843">
        <v>0</v>
      </c>
      <c r="M9843">
        <v>2</v>
      </c>
      <c r="N9843" t="s">
        <v>37</v>
      </c>
      <c r="O9843" t="s">
        <v>32</v>
      </c>
      <c r="P9843">
        <v>5.2631512021711302</v>
      </c>
      <c r="Q9843">
        <v>0.58326835683259803</v>
      </c>
      <c r="R9843">
        <v>7.7890119692459496</v>
      </c>
      <c r="S9843">
        <v>68</v>
      </c>
      <c r="T9843">
        <v>39</v>
      </c>
      <c r="U9843">
        <v>713.91820245707595</v>
      </c>
      <c r="V9843">
        <v>1.89753320683111E-3</v>
      </c>
      <c r="W9843">
        <v>980754.42766186805</v>
      </c>
      <c r="X9843" t="s">
        <v>31</v>
      </c>
      <c r="Y9843">
        <f>1-335-867-5701</f>
        <v>-6902</v>
      </c>
    </row>
    <row r="9844" spans="1:25" x14ac:dyDescent="0.35">
      <c r="A9844">
        <v>32.704988987716</v>
      </c>
      <c r="B9844">
        <v>-116.991375349446</v>
      </c>
      <c r="C9844" t="s">
        <v>25</v>
      </c>
      <c r="D9844">
        <v>9.2612085405928894</v>
      </c>
      <c r="E9844">
        <v>3</v>
      </c>
      <c r="F9844">
        <v>1247</v>
      </c>
      <c r="G9844">
        <v>5</v>
      </c>
      <c r="H9844">
        <v>3</v>
      </c>
      <c r="I9844">
        <v>2020</v>
      </c>
      <c r="J9844">
        <v>1</v>
      </c>
      <c r="K9844">
        <v>1</v>
      </c>
      <c r="L9844">
        <v>0</v>
      </c>
      <c r="M9844">
        <v>7</v>
      </c>
      <c r="N9844" t="s">
        <v>41</v>
      </c>
      <c r="O9844" t="s">
        <v>30</v>
      </c>
      <c r="P9844">
        <v>2.12980245435618</v>
      </c>
      <c r="Q9844">
        <v>1.8362295455498301</v>
      </c>
      <c r="R9844">
        <v>4.2408864395155996</v>
      </c>
      <c r="S9844">
        <v>199</v>
      </c>
      <c r="T9844">
        <v>64</v>
      </c>
      <c r="U9844">
        <v>780.69033022141605</v>
      </c>
      <c r="V9844">
        <v>5.6134723336006397E-3</v>
      </c>
      <c r="W9844">
        <v>1413249.7046338499</v>
      </c>
      <c r="X9844" t="s">
        <v>33</v>
      </c>
      <c r="Y9844">
        <f>1-418-414-2286</f>
        <v>-3117</v>
      </c>
    </row>
    <row r="9845" spans="1:25" x14ac:dyDescent="0.35">
      <c r="A9845">
        <v>33.650397132591003</v>
      </c>
      <c r="B9845">
        <v>-117.135946031495</v>
      </c>
      <c r="C9845" t="s">
        <v>25</v>
      </c>
      <c r="D9845">
        <v>14.1515526946253</v>
      </c>
      <c r="E9845">
        <v>1</v>
      </c>
      <c r="F9845">
        <v>3128</v>
      </c>
      <c r="G9845">
        <v>4</v>
      </c>
      <c r="H9845">
        <v>3</v>
      </c>
      <c r="I9845">
        <v>1983</v>
      </c>
      <c r="J9845">
        <v>0</v>
      </c>
      <c r="K9845">
        <v>1</v>
      </c>
      <c r="L9845">
        <v>1</v>
      </c>
      <c r="M9845">
        <v>13</v>
      </c>
      <c r="N9845" t="s">
        <v>41</v>
      </c>
      <c r="O9845" t="s">
        <v>32</v>
      </c>
      <c r="P9845">
        <v>10.2446101977743</v>
      </c>
      <c r="Q9845">
        <v>1.09817438794128</v>
      </c>
      <c r="R9845">
        <v>8.5448009461437007</v>
      </c>
      <c r="S9845">
        <v>11</v>
      </c>
      <c r="T9845">
        <v>51</v>
      </c>
      <c r="U9845">
        <v>426.32061755254</v>
      </c>
      <c r="V9845">
        <v>4.1560102301790199E-3</v>
      </c>
      <c r="W9845">
        <v>1695640.3992306599</v>
      </c>
      <c r="X9845" t="s">
        <v>43</v>
      </c>
      <c r="Y9845">
        <f>1-822-693-9717</f>
        <v>-11231</v>
      </c>
    </row>
    <row r="9846" spans="1:25" x14ac:dyDescent="0.35">
      <c r="A9846">
        <v>41.217224389429603</v>
      </c>
      <c r="B9846">
        <v>-117.743620554279</v>
      </c>
      <c r="C9846" t="s">
        <v>29</v>
      </c>
      <c r="D9846">
        <v>47.838544116868803</v>
      </c>
      <c r="E9846">
        <v>7</v>
      </c>
      <c r="F9846">
        <v>2433</v>
      </c>
      <c r="G9846">
        <v>4</v>
      </c>
      <c r="H9846">
        <v>1</v>
      </c>
      <c r="I9846">
        <v>2005</v>
      </c>
      <c r="J9846">
        <v>0</v>
      </c>
      <c r="K9846">
        <v>0</v>
      </c>
      <c r="L9846">
        <v>0</v>
      </c>
      <c r="M9846">
        <v>7</v>
      </c>
      <c r="N9846" t="s">
        <v>41</v>
      </c>
      <c r="O9846" t="s">
        <v>30</v>
      </c>
      <c r="P9846">
        <v>12.4725610758813</v>
      </c>
      <c r="Q9846">
        <v>2.3124663799462302</v>
      </c>
      <c r="R9846">
        <v>8.5082559545550396</v>
      </c>
      <c r="S9846">
        <v>103</v>
      </c>
      <c r="T9846">
        <v>32</v>
      </c>
      <c r="U9846">
        <v>929.64701831483603</v>
      </c>
      <c r="V9846">
        <v>2.8771064529387498E-3</v>
      </c>
      <c r="W9846">
        <v>2567962.38708281</v>
      </c>
      <c r="X9846" t="s">
        <v>43</v>
      </c>
      <c r="Y9846">
        <f>1-575-977-6955</f>
        <v>-8506</v>
      </c>
    </row>
    <row r="9847" spans="1:25" x14ac:dyDescent="0.35">
      <c r="A9847">
        <v>34.929489192181599</v>
      </c>
      <c r="B9847">
        <v>-116.92554060312</v>
      </c>
      <c r="C9847" t="s">
        <v>25</v>
      </c>
      <c r="D9847">
        <v>33.4441872699689</v>
      </c>
      <c r="E9847">
        <v>2</v>
      </c>
      <c r="F9847">
        <v>864</v>
      </c>
      <c r="G9847">
        <v>1</v>
      </c>
      <c r="H9847">
        <v>3</v>
      </c>
      <c r="I9847">
        <v>2011</v>
      </c>
      <c r="J9847">
        <v>1</v>
      </c>
      <c r="K9847">
        <v>1</v>
      </c>
      <c r="L9847">
        <v>0</v>
      </c>
      <c r="M9847">
        <v>8</v>
      </c>
      <c r="N9847" t="s">
        <v>35</v>
      </c>
      <c r="O9847" t="s">
        <v>32</v>
      </c>
      <c r="P9847">
        <v>11.8612785067946</v>
      </c>
      <c r="Q9847">
        <v>0.63763795879419705</v>
      </c>
      <c r="R9847">
        <v>6.3626363512941202</v>
      </c>
      <c r="S9847">
        <v>189</v>
      </c>
      <c r="T9847">
        <v>75</v>
      </c>
      <c r="U9847">
        <v>393.45588736048802</v>
      </c>
      <c r="V9847">
        <v>9.2592592592592501E-3</v>
      </c>
      <c r="W9847">
        <v>634949.12239592394</v>
      </c>
      <c r="X9847" t="s">
        <v>36</v>
      </c>
      <c r="Y9847">
        <f>1-875-652-3325</f>
        <v>-4851</v>
      </c>
    </row>
    <row r="9848" spans="1:25" x14ac:dyDescent="0.35">
      <c r="A9848">
        <v>32.627151052842201</v>
      </c>
      <c r="B9848">
        <v>-122.394072697105</v>
      </c>
      <c r="C9848" t="s">
        <v>29</v>
      </c>
      <c r="D9848">
        <v>32.068733667597201</v>
      </c>
      <c r="E9848">
        <v>8</v>
      </c>
      <c r="F9848">
        <v>4487</v>
      </c>
      <c r="G9848">
        <v>2</v>
      </c>
      <c r="H9848">
        <v>2</v>
      </c>
      <c r="I9848">
        <v>1974</v>
      </c>
      <c r="J9848">
        <v>0</v>
      </c>
      <c r="K9848">
        <v>1</v>
      </c>
      <c r="L9848">
        <v>1</v>
      </c>
      <c r="M9848">
        <v>13</v>
      </c>
      <c r="N9848" t="s">
        <v>41</v>
      </c>
      <c r="O9848" t="s">
        <v>32</v>
      </c>
      <c r="P9848">
        <v>12.9106449496155</v>
      </c>
      <c r="Q9848">
        <v>1.48111919306064</v>
      </c>
      <c r="R9848">
        <v>4.5688885113223501</v>
      </c>
      <c r="S9848">
        <v>147</v>
      </c>
      <c r="T9848">
        <v>34</v>
      </c>
      <c r="U9848">
        <v>323.16090816148699</v>
      </c>
      <c r="V9848">
        <v>2.8972587474927502E-3</v>
      </c>
      <c r="W9848">
        <v>1733230.59219102</v>
      </c>
      <c r="X9848" t="s">
        <v>42</v>
      </c>
      <c r="Y9848">
        <f>1-751-601-6237</f>
        <v>-7588</v>
      </c>
    </row>
    <row r="9849" spans="1:25" x14ac:dyDescent="0.35">
      <c r="A9849">
        <v>37.312530763762901</v>
      </c>
      <c r="B9849">
        <v>-121.576416346524</v>
      </c>
      <c r="C9849" t="s">
        <v>25</v>
      </c>
      <c r="D9849">
        <v>41.0907914706127</v>
      </c>
      <c r="E9849">
        <v>2</v>
      </c>
      <c r="F9849">
        <v>4451</v>
      </c>
      <c r="G9849">
        <v>2</v>
      </c>
      <c r="H9849">
        <v>1</v>
      </c>
      <c r="I9849">
        <v>2017</v>
      </c>
      <c r="J9849">
        <v>1</v>
      </c>
      <c r="K9849">
        <v>0</v>
      </c>
      <c r="L9849">
        <v>1</v>
      </c>
      <c r="M9849">
        <v>12</v>
      </c>
      <c r="N9849" t="s">
        <v>41</v>
      </c>
      <c r="O9849" t="s">
        <v>32</v>
      </c>
      <c r="P9849">
        <v>4.6598037107444297</v>
      </c>
      <c r="Q9849">
        <v>1.00736146510917</v>
      </c>
      <c r="R9849">
        <v>8.8763233135872106</v>
      </c>
      <c r="S9849">
        <v>98</v>
      </c>
      <c r="T9849">
        <v>48</v>
      </c>
      <c r="U9849">
        <v>222.42646502263</v>
      </c>
      <c r="V9849">
        <v>2.69602336553583E-3</v>
      </c>
      <c r="W9849">
        <v>1099225.4349312601</v>
      </c>
      <c r="X9849" t="s">
        <v>38</v>
      </c>
      <c r="Y9849">
        <f>1-610-807-9312</f>
        <v>-10728</v>
      </c>
    </row>
    <row r="9850" spans="1:25" x14ac:dyDescent="0.35">
      <c r="A9850">
        <v>37.946778753052897</v>
      </c>
      <c r="B9850">
        <v>-118.354335512059</v>
      </c>
      <c r="C9850" t="s">
        <v>34</v>
      </c>
      <c r="D9850">
        <v>2.2981926464693299</v>
      </c>
      <c r="E9850">
        <v>7</v>
      </c>
      <c r="F9850">
        <v>3211</v>
      </c>
      <c r="G9850">
        <v>5</v>
      </c>
      <c r="H9850">
        <v>1</v>
      </c>
      <c r="I9850">
        <v>1974</v>
      </c>
      <c r="J9850">
        <v>0</v>
      </c>
      <c r="K9850">
        <v>0</v>
      </c>
      <c r="L9850">
        <v>1</v>
      </c>
      <c r="M9850">
        <v>9</v>
      </c>
      <c r="N9850" t="s">
        <v>37</v>
      </c>
      <c r="O9850" t="s">
        <v>32</v>
      </c>
      <c r="P9850">
        <v>5.5468116179862896</v>
      </c>
      <c r="Q9850">
        <v>0.78147059467544799</v>
      </c>
      <c r="R9850">
        <v>6.6996822842566903</v>
      </c>
      <c r="S9850">
        <v>4</v>
      </c>
      <c r="T9850">
        <v>20</v>
      </c>
      <c r="U9850">
        <v>452.55463546584599</v>
      </c>
      <c r="V9850">
        <v>2.8028651510432802E-3</v>
      </c>
      <c r="W9850">
        <v>1712161.2755106799</v>
      </c>
      <c r="X9850" t="s">
        <v>33</v>
      </c>
      <c r="Y9850">
        <f>1-300-680-7024</f>
        <v>-8003</v>
      </c>
    </row>
    <row r="9851" spans="1:25" x14ac:dyDescent="0.35">
      <c r="A9851">
        <v>40.506794790947502</v>
      </c>
      <c r="B9851">
        <v>-121.12316218985001</v>
      </c>
      <c r="C9851" t="s">
        <v>34</v>
      </c>
      <c r="D9851">
        <v>40.6292564429694</v>
      </c>
      <c r="E9851">
        <v>0</v>
      </c>
      <c r="F9851">
        <v>3870</v>
      </c>
      <c r="G9851">
        <v>4</v>
      </c>
      <c r="H9851">
        <v>2</v>
      </c>
      <c r="I9851">
        <v>2019</v>
      </c>
      <c r="J9851">
        <v>0</v>
      </c>
      <c r="K9851">
        <v>1</v>
      </c>
      <c r="L9851">
        <v>0</v>
      </c>
      <c r="M9851">
        <v>12</v>
      </c>
      <c r="N9851" t="s">
        <v>35</v>
      </c>
      <c r="O9851" t="s">
        <v>27</v>
      </c>
      <c r="P9851">
        <v>4.0180642735966901</v>
      </c>
      <c r="Q9851">
        <v>1.0583428722575401</v>
      </c>
      <c r="R9851">
        <v>6.7158868641023401</v>
      </c>
      <c r="S9851">
        <v>152</v>
      </c>
      <c r="T9851">
        <v>49</v>
      </c>
      <c r="U9851">
        <v>361.38254491684398</v>
      </c>
      <c r="V9851">
        <v>3.10077519379844E-3</v>
      </c>
      <c r="W9851">
        <v>1757365.12796735</v>
      </c>
      <c r="X9851" t="s">
        <v>39</v>
      </c>
      <c r="Y9851">
        <f>1-483-792-4358</f>
        <v>-5632</v>
      </c>
    </row>
    <row r="9852" spans="1:25" x14ac:dyDescent="0.35">
      <c r="A9852">
        <v>33.256506024890001</v>
      </c>
      <c r="B9852">
        <v>-115.560023729812</v>
      </c>
      <c r="C9852" t="s">
        <v>25</v>
      </c>
      <c r="D9852">
        <v>16.629900727945099</v>
      </c>
      <c r="E9852">
        <v>5</v>
      </c>
      <c r="F9852">
        <v>1763</v>
      </c>
      <c r="G9852">
        <v>4</v>
      </c>
      <c r="H9852">
        <v>3</v>
      </c>
      <c r="I9852">
        <v>1975</v>
      </c>
      <c r="J9852">
        <v>0</v>
      </c>
      <c r="K9852">
        <v>0</v>
      </c>
      <c r="L9852">
        <v>1</v>
      </c>
      <c r="M9852">
        <v>10</v>
      </c>
      <c r="N9852" t="s">
        <v>35</v>
      </c>
      <c r="O9852" t="s">
        <v>32</v>
      </c>
      <c r="P9852">
        <v>8.5671924198606497</v>
      </c>
      <c r="Q9852">
        <v>1.4167745869786601</v>
      </c>
      <c r="R9852">
        <v>8.7814395122385207</v>
      </c>
      <c r="S9852">
        <v>73</v>
      </c>
      <c r="T9852">
        <v>29</v>
      </c>
      <c r="U9852">
        <v>409.10836502906102</v>
      </c>
      <c r="V9852">
        <v>5.6721497447532604E-3</v>
      </c>
      <c r="W9852">
        <v>970686.25646939699</v>
      </c>
      <c r="X9852" t="s">
        <v>33</v>
      </c>
      <c r="Y9852">
        <f>1-405-845-8370</f>
        <v>-9619</v>
      </c>
    </row>
    <row r="9853" spans="1:25" x14ac:dyDescent="0.35">
      <c r="A9853">
        <v>40.993787891796003</v>
      </c>
      <c r="B9853">
        <v>-118.78929120133</v>
      </c>
      <c r="C9853" t="s">
        <v>25</v>
      </c>
      <c r="D9853">
        <v>45.267631655491101</v>
      </c>
      <c r="E9853">
        <v>1</v>
      </c>
      <c r="F9853">
        <v>2359</v>
      </c>
      <c r="G9853">
        <v>1</v>
      </c>
      <c r="H9853">
        <v>3</v>
      </c>
      <c r="I9853">
        <v>2017</v>
      </c>
      <c r="J9853">
        <v>0</v>
      </c>
      <c r="K9853">
        <v>1</v>
      </c>
      <c r="L9853">
        <v>0</v>
      </c>
      <c r="M9853">
        <v>5</v>
      </c>
      <c r="N9853" t="s">
        <v>41</v>
      </c>
      <c r="O9853" t="s">
        <v>32</v>
      </c>
      <c r="P9853">
        <v>13.173195822556</v>
      </c>
      <c r="Q9853">
        <v>2.3013275432458098</v>
      </c>
      <c r="R9853">
        <v>4.1497130901251902</v>
      </c>
      <c r="S9853">
        <v>67</v>
      </c>
      <c r="T9853">
        <v>78</v>
      </c>
      <c r="U9853">
        <v>489.87746433474598</v>
      </c>
      <c r="V9853">
        <v>2.1195421788893598E-3</v>
      </c>
      <c r="W9853">
        <v>1453876.3450360899</v>
      </c>
      <c r="X9853" t="s">
        <v>44</v>
      </c>
      <c r="Y9853">
        <f>1-405-690-7034</f>
        <v>-8128</v>
      </c>
    </row>
    <row r="9854" spans="1:25" x14ac:dyDescent="0.35">
      <c r="A9854">
        <v>36.349767773327201</v>
      </c>
      <c r="B9854">
        <v>-116.18844152128599</v>
      </c>
      <c r="C9854" t="s">
        <v>25</v>
      </c>
      <c r="D9854">
        <v>29.890252586308101</v>
      </c>
      <c r="E9854">
        <v>6</v>
      </c>
      <c r="F9854">
        <v>4314</v>
      </c>
      <c r="G9854">
        <v>3</v>
      </c>
      <c r="H9854">
        <v>2</v>
      </c>
      <c r="I9854">
        <v>2011</v>
      </c>
      <c r="J9854">
        <v>0</v>
      </c>
      <c r="K9854">
        <v>0</v>
      </c>
      <c r="L9854">
        <v>1</v>
      </c>
      <c r="M9854">
        <v>3</v>
      </c>
      <c r="N9854" t="s">
        <v>37</v>
      </c>
      <c r="O9854" t="s">
        <v>32</v>
      </c>
      <c r="P9854">
        <v>5.4900110269297304</v>
      </c>
      <c r="Q9854">
        <v>2.2168510857414501</v>
      </c>
      <c r="R9854">
        <v>4.8694921475742001</v>
      </c>
      <c r="S9854">
        <v>5</v>
      </c>
      <c r="T9854">
        <v>63</v>
      </c>
      <c r="U9854">
        <v>720.20436915625601</v>
      </c>
      <c r="V9854">
        <v>6.9541029207232199E-4</v>
      </c>
      <c r="W9854">
        <v>3409136.8413109002</v>
      </c>
      <c r="X9854" t="s">
        <v>33</v>
      </c>
      <c r="Y9854">
        <f>1-342-779-4627</f>
        <v>-5747</v>
      </c>
    </row>
    <row r="9855" spans="1:25" x14ac:dyDescent="0.35">
      <c r="A9855">
        <v>35.7099616157358</v>
      </c>
      <c r="B9855">
        <v>-120.23882902616199</v>
      </c>
      <c r="C9855" t="s">
        <v>34</v>
      </c>
      <c r="D9855">
        <v>1.2368589606277101</v>
      </c>
      <c r="E9855">
        <v>1</v>
      </c>
      <c r="F9855">
        <v>524</v>
      </c>
      <c r="G9855">
        <v>5</v>
      </c>
      <c r="H9855">
        <v>3</v>
      </c>
      <c r="I9855">
        <v>1958</v>
      </c>
      <c r="J9855">
        <v>1</v>
      </c>
      <c r="K9855">
        <v>0</v>
      </c>
      <c r="L9855">
        <v>1</v>
      </c>
      <c r="M9855">
        <v>2</v>
      </c>
      <c r="N9855" t="s">
        <v>35</v>
      </c>
      <c r="O9855" t="s">
        <v>27</v>
      </c>
      <c r="P9855">
        <v>14.936540940801001</v>
      </c>
      <c r="Q9855">
        <v>2.32893328474294</v>
      </c>
      <c r="R9855">
        <v>3.85046464548144</v>
      </c>
      <c r="S9855">
        <v>6</v>
      </c>
      <c r="T9855">
        <v>50</v>
      </c>
      <c r="U9855">
        <v>867.41966059797505</v>
      </c>
      <c r="V9855">
        <v>3.81679389312977E-3</v>
      </c>
      <c r="W9855">
        <v>940883.47999242204</v>
      </c>
      <c r="X9855" t="s">
        <v>40</v>
      </c>
      <c r="Y9855">
        <f>1-238-361-6806</f>
        <v>-7404</v>
      </c>
    </row>
    <row r="9856" spans="1:25" x14ac:dyDescent="0.35">
      <c r="A9856">
        <v>38.9055385055266</v>
      </c>
      <c r="B9856">
        <v>-118.90474083679599</v>
      </c>
      <c r="C9856" t="s">
        <v>34</v>
      </c>
      <c r="D9856">
        <v>21.933559530204601</v>
      </c>
      <c r="E9856">
        <v>7</v>
      </c>
      <c r="F9856">
        <v>3085</v>
      </c>
      <c r="G9856">
        <v>3</v>
      </c>
      <c r="H9856">
        <v>3</v>
      </c>
      <c r="I9856">
        <v>2009</v>
      </c>
      <c r="J9856">
        <v>0</v>
      </c>
      <c r="K9856">
        <v>0</v>
      </c>
      <c r="L9856">
        <v>1</v>
      </c>
      <c r="M9856">
        <v>5</v>
      </c>
      <c r="N9856" t="s">
        <v>26</v>
      </c>
      <c r="O9856" t="s">
        <v>30</v>
      </c>
      <c r="P9856">
        <v>10.7177888607066</v>
      </c>
      <c r="Q9856">
        <v>0.56390533904664597</v>
      </c>
      <c r="R9856">
        <v>8.65880562325043</v>
      </c>
      <c r="S9856">
        <v>155</v>
      </c>
      <c r="T9856">
        <v>66</v>
      </c>
      <c r="U9856">
        <v>456.75854858753002</v>
      </c>
      <c r="V9856">
        <v>1.6207455429497501E-3</v>
      </c>
      <c r="W9856">
        <v>1674904.6324080899</v>
      </c>
      <c r="X9856" t="s">
        <v>38</v>
      </c>
      <c r="Y9856">
        <f>1-769-287-7795</f>
        <v>-8850</v>
      </c>
    </row>
    <row r="9857" spans="1:25" x14ac:dyDescent="0.35">
      <c r="A9857">
        <v>40.245977582536497</v>
      </c>
      <c r="B9857">
        <v>-119.121514281321</v>
      </c>
      <c r="C9857" t="s">
        <v>29</v>
      </c>
      <c r="D9857">
        <v>31.587253493632701</v>
      </c>
      <c r="E9857">
        <v>1</v>
      </c>
      <c r="F9857">
        <v>2689</v>
      </c>
      <c r="G9857">
        <v>2</v>
      </c>
      <c r="H9857">
        <v>2</v>
      </c>
      <c r="I9857">
        <v>1963</v>
      </c>
      <c r="J9857">
        <v>0</v>
      </c>
      <c r="K9857">
        <v>1</v>
      </c>
      <c r="L9857">
        <v>0</v>
      </c>
      <c r="M9857">
        <v>14</v>
      </c>
      <c r="N9857" t="s">
        <v>35</v>
      </c>
      <c r="O9857" t="s">
        <v>30</v>
      </c>
      <c r="P9857">
        <v>9.9352408912460408</v>
      </c>
      <c r="Q9857">
        <v>1.7688803596902201</v>
      </c>
      <c r="R9857">
        <v>3.7948495683778898</v>
      </c>
      <c r="S9857">
        <v>5</v>
      </c>
      <c r="T9857">
        <v>21</v>
      </c>
      <c r="U9857">
        <v>880.45798655893998</v>
      </c>
      <c r="V9857">
        <v>5.2063964298995902E-3</v>
      </c>
      <c r="W9857">
        <v>2521161.7536326898</v>
      </c>
      <c r="X9857" t="s">
        <v>33</v>
      </c>
      <c r="Y9857">
        <f>1-469-366-8746</f>
        <v>-9580</v>
      </c>
    </row>
    <row r="9858" spans="1:25" x14ac:dyDescent="0.35">
      <c r="A9858">
        <v>35.763354317836701</v>
      </c>
      <c r="B9858">
        <v>-117.637258975189</v>
      </c>
      <c r="C9858" t="s">
        <v>34</v>
      </c>
      <c r="D9858">
        <v>36.2752739071897</v>
      </c>
      <c r="E9858">
        <v>7</v>
      </c>
      <c r="F9858">
        <v>1781</v>
      </c>
      <c r="G9858">
        <v>3</v>
      </c>
      <c r="H9858">
        <v>3</v>
      </c>
      <c r="I9858">
        <v>1991</v>
      </c>
      <c r="J9858">
        <v>1</v>
      </c>
      <c r="K9858">
        <v>1</v>
      </c>
      <c r="L9858">
        <v>1</v>
      </c>
      <c r="M9858">
        <v>14</v>
      </c>
      <c r="N9858" t="s">
        <v>41</v>
      </c>
      <c r="O9858" t="s">
        <v>27</v>
      </c>
      <c r="P9858">
        <v>3.7276344995896298</v>
      </c>
      <c r="Q9858">
        <v>2.2549503469682701</v>
      </c>
      <c r="R9858">
        <v>7.2475871424016702</v>
      </c>
      <c r="S9858">
        <v>40</v>
      </c>
      <c r="T9858">
        <v>39</v>
      </c>
      <c r="U9858">
        <v>499.075392086389</v>
      </c>
      <c r="V9858">
        <v>7.8607523862998293E-3</v>
      </c>
      <c r="W9858">
        <v>1308116.8145556699</v>
      </c>
      <c r="X9858" t="s">
        <v>38</v>
      </c>
      <c r="Y9858">
        <f>1-612-281-8562</f>
        <v>-9454</v>
      </c>
    </row>
    <row r="9859" spans="1:25" x14ac:dyDescent="0.35">
      <c r="A9859">
        <v>41.794648976160403</v>
      </c>
      <c r="B9859">
        <v>-122.522479112102</v>
      </c>
      <c r="C9859" t="s">
        <v>25</v>
      </c>
      <c r="D9859">
        <v>21.4705607022373</v>
      </c>
      <c r="E9859">
        <v>6</v>
      </c>
      <c r="F9859">
        <v>4418</v>
      </c>
      <c r="G9859">
        <v>4</v>
      </c>
      <c r="H9859">
        <v>1</v>
      </c>
      <c r="I9859">
        <v>1994</v>
      </c>
      <c r="J9859">
        <v>0</v>
      </c>
      <c r="K9859">
        <v>1</v>
      </c>
      <c r="L9859">
        <v>1</v>
      </c>
      <c r="M9859">
        <v>3</v>
      </c>
      <c r="N9859" t="s">
        <v>26</v>
      </c>
      <c r="O9859" t="s">
        <v>32</v>
      </c>
      <c r="P9859">
        <v>12.183613464674499</v>
      </c>
      <c r="Q9859">
        <v>1.21210092250708</v>
      </c>
      <c r="R9859">
        <v>8.3550618840901194</v>
      </c>
      <c r="S9859">
        <v>151</v>
      </c>
      <c r="T9859">
        <v>65</v>
      </c>
      <c r="U9859">
        <v>598.846211956037</v>
      </c>
      <c r="V9859">
        <v>6.79040289723857E-4</v>
      </c>
      <c r="W9859">
        <v>3045049.1279083001</v>
      </c>
      <c r="X9859" t="s">
        <v>38</v>
      </c>
      <c r="Y9859">
        <f>1-382-757-6329</f>
        <v>-7467</v>
      </c>
    </row>
    <row r="9860" spans="1:25" x14ac:dyDescent="0.35">
      <c r="A9860">
        <v>33.409000393127499</v>
      </c>
      <c r="B9860">
        <v>-121.429363039162</v>
      </c>
      <c r="C9860" t="s">
        <v>29</v>
      </c>
      <c r="D9860">
        <v>39.121747561337799</v>
      </c>
      <c r="E9860">
        <v>3</v>
      </c>
      <c r="F9860">
        <v>4305</v>
      </c>
      <c r="G9860">
        <v>4</v>
      </c>
      <c r="H9860">
        <v>1</v>
      </c>
      <c r="I9860">
        <v>1962</v>
      </c>
      <c r="J9860">
        <v>1</v>
      </c>
      <c r="K9860">
        <v>0</v>
      </c>
      <c r="L9860">
        <v>1</v>
      </c>
      <c r="M9860">
        <v>13</v>
      </c>
      <c r="N9860" t="s">
        <v>35</v>
      </c>
      <c r="O9860" t="s">
        <v>27</v>
      </c>
      <c r="P9860">
        <v>7.6840707881957204</v>
      </c>
      <c r="Q9860">
        <v>2.2171486113626702</v>
      </c>
      <c r="R9860">
        <v>6.7929186664454102</v>
      </c>
      <c r="S9860">
        <v>20</v>
      </c>
      <c r="T9860">
        <v>30</v>
      </c>
      <c r="U9860">
        <v>979.549900355207</v>
      </c>
      <c r="V9860">
        <v>3.0197444831591099E-3</v>
      </c>
      <c r="W9860">
        <v>4436643.7481569303</v>
      </c>
      <c r="X9860" t="s">
        <v>42</v>
      </c>
      <c r="Y9860">
        <f>1-914-577-3162</f>
        <v>-4652</v>
      </c>
    </row>
    <row r="9861" spans="1:25" x14ac:dyDescent="0.35">
      <c r="A9861">
        <v>38.446229172769002</v>
      </c>
      <c r="B9861">
        <v>-119.72202957944999</v>
      </c>
      <c r="C9861" t="s">
        <v>29</v>
      </c>
      <c r="D9861">
        <v>27.146352138635699</v>
      </c>
      <c r="E9861">
        <v>6</v>
      </c>
      <c r="F9861">
        <v>3957</v>
      </c>
      <c r="G9861">
        <v>3</v>
      </c>
      <c r="H9861">
        <v>3</v>
      </c>
      <c r="I9861">
        <v>2008</v>
      </c>
      <c r="J9861">
        <v>0</v>
      </c>
      <c r="K9861">
        <v>1</v>
      </c>
      <c r="L9861">
        <v>1</v>
      </c>
      <c r="M9861">
        <v>9</v>
      </c>
      <c r="N9861" t="s">
        <v>41</v>
      </c>
      <c r="O9861" t="s">
        <v>30</v>
      </c>
      <c r="P9861">
        <v>4.9024432246437204</v>
      </c>
      <c r="Q9861">
        <v>1.0283278089999901</v>
      </c>
      <c r="R9861">
        <v>9.1294457144603207</v>
      </c>
      <c r="S9861">
        <v>125</v>
      </c>
      <c r="T9861">
        <v>67</v>
      </c>
      <c r="U9861">
        <v>679.77174651856103</v>
      </c>
      <c r="V9861">
        <v>2.2744503411675498E-3</v>
      </c>
      <c r="W9861">
        <v>3010615.25936034</v>
      </c>
      <c r="X9861" t="s">
        <v>40</v>
      </c>
      <c r="Y9861">
        <f>1-731-854-5774</f>
        <v>-7358</v>
      </c>
    </row>
    <row r="9862" spans="1:25" x14ac:dyDescent="0.35">
      <c r="A9862">
        <v>37.368695668480797</v>
      </c>
      <c r="B9862">
        <v>-115.58164044216601</v>
      </c>
      <c r="C9862" t="s">
        <v>25</v>
      </c>
      <c r="D9862">
        <v>41.893054267666699</v>
      </c>
      <c r="E9862">
        <v>9</v>
      </c>
      <c r="F9862">
        <v>1661</v>
      </c>
      <c r="G9862">
        <v>4</v>
      </c>
      <c r="H9862">
        <v>3</v>
      </c>
      <c r="I9862">
        <v>2021</v>
      </c>
      <c r="J9862">
        <v>0</v>
      </c>
      <c r="K9862">
        <v>0</v>
      </c>
      <c r="L9862">
        <v>0</v>
      </c>
      <c r="M9862">
        <v>7</v>
      </c>
      <c r="N9862" t="s">
        <v>35</v>
      </c>
      <c r="O9862" t="s">
        <v>27</v>
      </c>
      <c r="P9862">
        <v>7.1023564619103698</v>
      </c>
      <c r="Q9862">
        <v>0.81290618566790596</v>
      </c>
      <c r="R9862">
        <v>1.2340458878157501</v>
      </c>
      <c r="S9862">
        <v>24</v>
      </c>
      <c r="T9862">
        <v>73</v>
      </c>
      <c r="U9862">
        <v>627.52237432203299</v>
      </c>
      <c r="V9862">
        <v>4.2143287176399698E-3</v>
      </c>
      <c r="W9862">
        <v>1402888.0076635</v>
      </c>
      <c r="X9862" t="s">
        <v>39</v>
      </c>
      <c r="Y9862">
        <f>1-635-769-4486</f>
        <v>-5889</v>
      </c>
    </row>
    <row r="9863" spans="1:25" x14ac:dyDescent="0.35">
      <c r="A9863">
        <v>41.547332102151103</v>
      </c>
      <c r="B9863">
        <v>-117.11293742136201</v>
      </c>
      <c r="C9863" t="s">
        <v>29</v>
      </c>
      <c r="D9863">
        <v>39.622937344538897</v>
      </c>
      <c r="E9863">
        <v>4</v>
      </c>
      <c r="F9863">
        <v>4098</v>
      </c>
      <c r="G9863">
        <v>2</v>
      </c>
      <c r="H9863">
        <v>3</v>
      </c>
      <c r="I9863">
        <v>1978</v>
      </c>
      <c r="J9863">
        <v>0</v>
      </c>
      <c r="K9863">
        <v>0</v>
      </c>
      <c r="L9863">
        <v>0</v>
      </c>
      <c r="M9863">
        <v>6</v>
      </c>
      <c r="N9863" t="s">
        <v>41</v>
      </c>
      <c r="O9863" t="s">
        <v>30</v>
      </c>
      <c r="P9863">
        <v>4.5714815355274396</v>
      </c>
      <c r="Q9863">
        <v>1.23242651548645</v>
      </c>
      <c r="R9863">
        <v>6.4910929907251704</v>
      </c>
      <c r="S9863">
        <v>190</v>
      </c>
      <c r="T9863">
        <v>75</v>
      </c>
      <c r="U9863">
        <v>688.95215520024999</v>
      </c>
      <c r="V9863">
        <v>1.4641288433382099E-3</v>
      </c>
      <c r="W9863">
        <v>2819663.35723201</v>
      </c>
      <c r="X9863" t="s">
        <v>44</v>
      </c>
      <c r="Y9863">
        <f>1-918-884-5274</f>
        <v>-7075</v>
      </c>
    </row>
    <row r="9864" spans="1:25" x14ac:dyDescent="0.35">
      <c r="A9864">
        <v>35.3816581012942</v>
      </c>
      <c r="B9864">
        <v>-118.391376034568</v>
      </c>
      <c r="C9864" t="s">
        <v>34</v>
      </c>
      <c r="D9864">
        <v>3.0456806262394198</v>
      </c>
      <c r="E9864">
        <v>3</v>
      </c>
      <c r="F9864">
        <v>971</v>
      </c>
      <c r="G9864">
        <v>1</v>
      </c>
      <c r="H9864">
        <v>3</v>
      </c>
      <c r="I9864">
        <v>2011</v>
      </c>
      <c r="J9864">
        <v>0</v>
      </c>
      <c r="K9864">
        <v>0</v>
      </c>
      <c r="L9864">
        <v>1</v>
      </c>
      <c r="M9864">
        <v>14</v>
      </c>
      <c r="N9864" t="s">
        <v>26</v>
      </c>
      <c r="O9864" t="s">
        <v>30</v>
      </c>
      <c r="P9864">
        <v>10.033695591608</v>
      </c>
      <c r="Q9864">
        <v>2.3905309574944602</v>
      </c>
      <c r="R9864">
        <v>3.74223142591415</v>
      </c>
      <c r="S9864">
        <v>121</v>
      </c>
      <c r="T9864">
        <v>28</v>
      </c>
      <c r="U9864">
        <v>636.78614643239905</v>
      </c>
      <c r="V9864">
        <v>1.4418125643666299E-2</v>
      </c>
      <c r="W9864">
        <v>738125.284560884</v>
      </c>
      <c r="X9864" t="s">
        <v>28</v>
      </c>
      <c r="Y9864">
        <f>1-922-861-2816</f>
        <v>-4598</v>
      </c>
    </row>
    <row r="9865" spans="1:25" x14ac:dyDescent="0.35">
      <c r="A9865">
        <v>40.838726993107699</v>
      </c>
      <c r="B9865">
        <v>-115.529277787655</v>
      </c>
      <c r="C9865" t="s">
        <v>29</v>
      </c>
      <c r="D9865">
        <v>1.79351106585387</v>
      </c>
      <c r="E9865">
        <v>1</v>
      </c>
      <c r="F9865">
        <v>1041</v>
      </c>
      <c r="G9865">
        <v>1</v>
      </c>
      <c r="H9865">
        <v>3</v>
      </c>
      <c r="I9865">
        <v>1973</v>
      </c>
      <c r="J9865">
        <v>1</v>
      </c>
      <c r="K9865">
        <v>1</v>
      </c>
      <c r="L9865">
        <v>0</v>
      </c>
      <c r="M9865">
        <v>10</v>
      </c>
      <c r="N9865" t="s">
        <v>41</v>
      </c>
      <c r="O9865" t="s">
        <v>32</v>
      </c>
      <c r="P9865">
        <v>10.5607067318657</v>
      </c>
      <c r="Q9865">
        <v>0.58749002564054897</v>
      </c>
      <c r="R9865">
        <v>7.8590514103423796</v>
      </c>
      <c r="S9865">
        <v>144</v>
      </c>
      <c r="T9865">
        <v>54</v>
      </c>
      <c r="U9865">
        <v>430.67372151354698</v>
      </c>
      <c r="V9865">
        <v>9.6061479346781897E-3</v>
      </c>
      <c r="W9865">
        <v>744710.01803723804</v>
      </c>
      <c r="X9865" t="s">
        <v>43</v>
      </c>
      <c r="Y9865">
        <f>1-548-503-4118</f>
        <v>-5168</v>
      </c>
    </row>
    <row r="9866" spans="1:25" x14ac:dyDescent="0.35">
      <c r="A9866">
        <v>33.4851454803648</v>
      </c>
      <c r="B9866">
        <v>-120.463589473852</v>
      </c>
      <c r="C9866" t="s">
        <v>34</v>
      </c>
      <c r="D9866">
        <v>15.9780017075358</v>
      </c>
      <c r="E9866">
        <v>4</v>
      </c>
      <c r="F9866">
        <v>4992</v>
      </c>
      <c r="G9866">
        <v>2</v>
      </c>
      <c r="H9866">
        <v>1</v>
      </c>
      <c r="I9866">
        <v>2000</v>
      </c>
      <c r="J9866">
        <v>0</v>
      </c>
      <c r="K9866">
        <v>1</v>
      </c>
      <c r="L9866">
        <v>1</v>
      </c>
      <c r="M9866">
        <v>11</v>
      </c>
      <c r="N9866" t="s">
        <v>41</v>
      </c>
      <c r="O9866" t="s">
        <v>27</v>
      </c>
      <c r="P9866">
        <v>7.1695480805186804</v>
      </c>
      <c r="Q9866">
        <v>1.98503205033291</v>
      </c>
      <c r="R9866">
        <v>9.6776903072674401</v>
      </c>
      <c r="S9866">
        <v>98</v>
      </c>
      <c r="T9866">
        <v>45</v>
      </c>
      <c r="U9866">
        <v>388.68879100095103</v>
      </c>
      <c r="V9866">
        <v>2.2035256410256401E-3</v>
      </c>
      <c r="W9866">
        <v>2166366.8765267301</v>
      </c>
      <c r="X9866" t="s">
        <v>36</v>
      </c>
      <c r="Y9866">
        <f>1-339-394-4564</f>
        <v>-5296</v>
      </c>
    </row>
    <row r="9867" spans="1:25" x14ac:dyDescent="0.35">
      <c r="A9867">
        <v>37.886846650180303</v>
      </c>
      <c r="B9867">
        <v>-115.253376641749</v>
      </c>
      <c r="C9867" t="s">
        <v>34</v>
      </c>
      <c r="D9867">
        <v>8.7584511570632202</v>
      </c>
      <c r="E9867">
        <v>3</v>
      </c>
      <c r="F9867">
        <v>2633</v>
      </c>
      <c r="G9867">
        <v>5</v>
      </c>
      <c r="H9867">
        <v>1</v>
      </c>
      <c r="I9867">
        <v>1962</v>
      </c>
      <c r="J9867">
        <v>1</v>
      </c>
      <c r="K9867">
        <v>1</v>
      </c>
      <c r="L9867">
        <v>1</v>
      </c>
      <c r="M9867">
        <v>13</v>
      </c>
      <c r="N9867" t="s">
        <v>35</v>
      </c>
      <c r="O9867" t="s">
        <v>32</v>
      </c>
      <c r="P9867">
        <v>13.1816162760247</v>
      </c>
      <c r="Q9867">
        <v>0.83953143661076102</v>
      </c>
      <c r="R9867">
        <v>7.8479205857642702</v>
      </c>
      <c r="S9867">
        <v>69</v>
      </c>
      <c r="T9867">
        <v>34</v>
      </c>
      <c r="U9867">
        <v>950.47962803608596</v>
      </c>
      <c r="V9867">
        <v>4.9373338397265404E-3</v>
      </c>
      <c r="W9867">
        <v>2977643.1573626199</v>
      </c>
      <c r="X9867" t="s">
        <v>40</v>
      </c>
      <c r="Y9867">
        <f>1-517-302-1144</f>
        <v>-1962</v>
      </c>
    </row>
    <row r="9868" spans="1:25" x14ac:dyDescent="0.35">
      <c r="A9868">
        <v>40.5674787611485</v>
      </c>
      <c r="B9868">
        <v>-124.017302494125</v>
      </c>
      <c r="C9868" t="s">
        <v>25</v>
      </c>
      <c r="D9868">
        <v>34.6584385668652</v>
      </c>
      <c r="E9868">
        <v>2</v>
      </c>
      <c r="F9868">
        <v>4878</v>
      </c>
      <c r="G9868">
        <v>3</v>
      </c>
      <c r="H9868">
        <v>3</v>
      </c>
      <c r="I9868">
        <v>1986</v>
      </c>
      <c r="J9868">
        <v>0</v>
      </c>
      <c r="K9868">
        <v>1</v>
      </c>
      <c r="L9868">
        <v>1</v>
      </c>
      <c r="M9868">
        <v>14</v>
      </c>
      <c r="N9868" t="s">
        <v>35</v>
      </c>
      <c r="O9868" t="s">
        <v>27</v>
      </c>
      <c r="P9868">
        <v>3.4805669363519902</v>
      </c>
      <c r="Q9868">
        <v>0.86865466367767796</v>
      </c>
      <c r="R9868">
        <v>8.8974699928120202</v>
      </c>
      <c r="S9868">
        <v>68</v>
      </c>
      <c r="T9868">
        <v>26</v>
      </c>
      <c r="U9868">
        <v>986.16297454465905</v>
      </c>
      <c r="V9868">
        <v>2.870028700287E-3</v>
      </c>
      <c r="W9868">
        <v>5202492.9125851197</v>
      </c>
      <c r="X9868" t="s">
        <v>31</v>
      </c>
      <c r="Y9868">
        <f>1-796-490-5548</f>
        <v>-6833</v>
      </c>
    </row>
    <row r="9869" spans="1:25" x14ac:dyDescent="0.35">
      <c r="A9869">
        <v>36.721682884639399</v>
      </c>
      <c r="B9869">
        <v>-115.84882108629201</v>
      </c>
      <c r="C9869" t="s">
        <v>34</v>
      </c>
      <c r="D9869">
        <v>43.033883796088297</v>
      </c>
      <c r="E9869">
        <v>0</v>
      </c>
      <c r="F9869">
        <v>4207</v>
      </c>
      <c r="G9869">
        <v>2</v>
      </c>
      <c r="H9869">
        <v>2</v>
      </c>
      <c r="I9869">
        <v>1982</v>
      </c>
      <c r="J9869">
        <v>1</v>
      </c>
      <c r="K9869">
        <v>1</v>
      </c>
      <c r="L9869">
        <v>1</v>
      </c>
      <c r="M9869">
        <v>4</v>
      </c>
      <c r="N9869" t="s">
        <v>41</v>
      </c>
      <c r="O9869" t="s">
        <v>27</v>
      </c>
      <c r="P9869">
        <v>5.4737162086801501</v>
      </c>
      <c r="Q9869">
        <v>1.77323703505859</v>
      </c>
      <c r="R9869">
        <v>5.5021548933581901</v>
      </c>
      <c r="S9869">
        <v>189</v>
      </c>
      <c r="T9869">
        <v>42</v>
      </c>
      <c r="U9869">
        <v>654.28180120660204</v>
      </c>
      <c r="V9869">
        <v>9.5079629189446103E-4</v>
      </c>
      <c r="W9869">
        <v>3086961.1820090902</v>
      </c>
      <c r="X9869" t="s">
        <v>31</v>
      </c>
      <c r="Y9869">
        <f>1-783-518-6449</f>
        <v>-7749</v>
      </c>
    </row>
    <row r="9870" spans="1:25" x14ac:dyDescent="0.35">
      <c r="A9870">
        <v>36.763004677172098</v>
      </c>
      <c r="B9870">
        <v>-123.79426518000901</v>
      </c>
      <c r="C9870" t="s">
        <v>34</v>
      </c>
      <c r="D9870">
        <v>30.1943917309206</v>
      </c>
      <c r="E9870">
        <v>7</v>
      </c>
      <c r="F9870">
        <v>1421</v>
      </c>
      <c r="G9870">
        <v>4</v>
      </c>
      <c r="H9870">
        <v>3</v>
      </c>
      <c r="I9870">
        <v>1976</v>
      </c>
      <c r="J9870">
        <v>1</v>
      </c>
      <c r="K9870">
        <v>0</v>
      </c>
      <c r="L9870">
        <v>1</v>
      </c>
      <c r="M9870">
        <v>5</v>
      </c>
      <c r="N9870" t="s">
        <v>26</v>
      </c>
      <c r="O9870" t="s">
        <v>30</v>
      </c>
      <c r="P9870">
        <v>10.1639809026448</v>
      </c>
      <c r="Q9870">
        <v>0.69719794338126295</v>
      </c>
      <c r="R9870">
        <v>1.6991414805646099</v>
      </c>
      <c r="S9870">
        <v>99</v>
      </c>
      <c r="T9870">
        <v>56</v>
      </c>
      <c r="U9870">
        <v>212.6135563341</v>
      </c>
      <c r="V9870">
        <v>3.51864883884588E-3</v>
      </c>
      <c r="W9870">
        <v>658264.97674788896</v>
      </c>
      <c r="X9870" t="s">
        <v>43</v>
      </c>
      <c r="Y9870">
        <f>1-755-247-4272</f>
        <v>-5273</v>
      </c>
    </row>
    <row r="9871" spans="1:25" x14ac:dyDescent="0.35">
      <c r="A9871">
        <v>38.663635208097801</v>
      </c>
      <c r="B9871">
        <v>-119.28943213901999</v>
      </c>
      <c r="C9871" t="s">
        <v>34</v>
      </c>
      <c r="D9871">
        <v>40.549808285527497</v>
      </c>
      <c r="E9871">
        <v>8</v>
      </c>
      <c r="F9871">
        <v>3982</v>
      </c>
      <c r="G9871">
        <v>1</v>
      </c>
      <c r="H9871">
        <v>1</v>
      </c>
      <c r="I9871">
        <v>1981</v>
      </c>
      <c r="J9871">
        <v>1</v>
      </c>
      <c r="K9871">
        <v>0</v>
      </c>
      <c r="L9871">
        <v>0</v>
      </c>
      <c r="M9871">
        <v>9</v>
      </c>
      <c r="N9871" t="s">
        <v>37</v>
      </c>
      <c r="O9871" t="s">
        <v>30</v>
      </c>
      <c r="P9871">
        <v>9.1786939209780094</v>
      </c>
      <c r="Q9871">
        <v>1.77452383506324</v>
      </c>
      <c r="R9871">
        <v>9.3699346862255393</v>
      </c>
      <c r="S9871">
        <v>70</v>
      </c>
      <c r="T9871">
        <v>73</v>
      </c>
      <c r="U9871">
        <v>476.20783930946999</v>
      </c>
      <c r="V9871">
        <v>2.2601707684580599E-3</v>
      </c>
      <c r="W9871">
        <v>1920962.4461230901</v>
      </c>
      <c r="X9871" t="s">
        <v>38</v>
      </c>
      <c r="Y9871">
        <f>1-309-726-3144</f>
        <v>-4178</v>
      </c>
    </row>
    <row r="9872" spans="1:25" x14ac:dyDescent="0.35">
      <c r="A9872">
        <v>38.284673445126003</v>
      </c>
      <c r="B9872">
        <v>-123.61824225034999</v>
      </c>
      <c r="C9872" t="s">
        <v>29</v>
      </c>
      <c r="D9872">
        <v>26.038994618809198</v>
      </c>
      <c r="E9872">
        <v>3</v>
      </c>
      <c r="F9872">
        <v>4179</v>
      </c>
      <c r="G9872">
        <v>1</v>
      </c>
      <c r="H9872">
        <v>3</v>
      </c>
      <c r="I9872">
        <v>1983</v>
      </c>
      <c r="J9872">
        <v>1</v>
      </c>
      <c r="K9872">
        <v>1</v>
      </c>
      <c r="L9872">
        <v>0</v>
      </c>
      <c r="M9872">
        <v>7</v>
      </c>
      <c r="N9872" t="s">
        <v>26</v>
      </c>
      <c r="O9872" t="s">
        <v>30</v>
      </c>
      <c r="P9872">
        <v>8.0598922382270697</v>
      </c>
      <c r="Q9872">
        <v>1.66952360996635</v>
      </c>
      <c r="R9872">
        <v>1.8055341441275901</v>
      </c>
      <c r="S9872">
        <v>118</v>
      </c>
      <c r="T9872">
        <v>60</v>
      </c>
      <c r="U9872">
        <v>255.01917274759899</v>
      </c>
      <c r="V9872">
        <v>1.6750418760468999E-3</v>
      </c>
      <c r="W9872">
        <v>1408278.0669974601</v>
      </c>
      <c r="X9872" t="s">
        <v>36</v>
      </c>
      <c r="Y9872">
        <f>1-570-498-7976</f>
        <v>-9043</v>
      </c>
    </row>
    <row r="9873" spans="1:25" x14ac:dyDescent="0.35">
      <c r="A9873">
        <v>36.833953570682901</v>
      </c>
      <c r="B9873">
        <v>-116.309466940595</v>
      </c>
      <c r="C9873" t="s">
        <v>25</v>
      </c>
      <c r="D9873">
        <v>3.1828850259835</v>
      </c>
      <c r="E9873">
        <v>1</v>
      </c>
      <c r="F9873">
        <v>1334</v>
      </c>
      <c r="G9873">
        <v>3</v>
      </c>
      <c r="H9873">
        <v>2</v>
      </c>
      <c r="I9873">
        <v>1967</v>
      </c>
      <c r="J9873">
        <v>1</v>
      </c>
      <c r="K9873">
        <v>1</v>
      </c>
      <c r="L9873">
        <v>0</v>
      </c>
      <c r="M9873">
        <v>7</v>
      </c>
      <c r="N9873" t="s">
        <v>41</v>
      </c>
      <c r="O9873" t="s">
        <v>32</v>
      </c>
      <c r="P9873">
        <v>3.9189592034361702</v>
      </c>
      <c r="Q9873">
        <v>0.81446798543907295</v>
      </c>
      <c r="R9873">
        <v>4.0998675682007999</v>
      </c>
      <c r="S9873">
        <v>15</v>
      </c>
      <c r="T9873">
        <v>48</v>
      </c>
      <c r="U9873">
        <v>549.51160402576897</v>
      </c>
      <c r="V9873">
        <v>5.2473763118440703E-3</v>
      </c>
      <c r="W9873">
        <v>995267.49100164196</v>
      </c>
      <c r="X9873" t="s">
        <v>31</v>
      </c>
      <c r="Y9873">
        <f>1-430-464-9700</f>
        <v>-10593</v>
      </c>
    </row>
    <row r="9874" spans="1:25" x14ac:dyDescent="0.35">
      <c r="A9874">
        <v>40.577747843170101</v>
      </c>
      <c r="B9874">
        <v>-121.738516857834</v>
      </c>
      <c r="C9874" t="s">
        <v>25</v>
      </c>
      <c r="D9874">
        <v>10.4363653087223</v>
      </c>
      <c r="E9874">
        <v>6</v>
      </c>
      <c r="F9874">
        <v>3913</v>
      </c>
      <c r="G9874">
        <v>1</v>
      </c>
      <c r="H9874">
        <v>3</v>
      </c>
      <c r="I9874">
        <v>1951</v>
      </c>
      <c r="J9874">
        <v>0</v>
      </c>
      <c r="K9874">
        <v>1</v>
      </c>
      <c r="L9874">
        <v>1</v>
      </c>
      <c r="M9874">
        <v>5</v>
      </c>
      <c r="N9874" t="s">
        <v>35</v>
      </c>
      <c r="O9874" t="s">
        <v>27</v>
      </c>
      <c r="P9874">
        <v>3.2551999567190899</v>
      </c>
      <c r="Q9874">
        <v>1.52608363294618</v>
      </c>
      <c r="R9874">
        <v>3.8635234608434099</v>
      </c>
      <c r="S9874">
        <v>157</v>
      </c>
      <c r="T9874">
        <v>47</v>
      </c>
      <c r="U9874">
        <v>309.75539211562602</v>
      </c>
      <c r="V9874">
        <v>1.2777919754663901E-3</v>
      </c>
      <c r="W9874">
        <v>1301665.2845271199</v>
      </c>
      <c r="X9874" t="s">
        <v>36</v>
      </c>
      <c r="Y9874">
        <f>1-681-149-1747</f>
        <v>-2576</v>
      </c>
    </row>
    <row r="9875" spans="1:25" x14ac:dyDescent="0.35">
      <c r="A9875">
        <v>33.999688671070402</v>
      </c>
      <c r="B9875">
        <v>-121.296507546051</v>
      </c>
      <c r="C9875" t="s">
        <v>25</v>
      </c>
      <c r="D9875">
        <v>31.0486763875934</v>
      </c>
      <c r="E9875">
        <v>2</v>
      </c>
      <c r="F9875">
        <v>860</v>
      </c>
      <c r="G9875">
        <v>4</v>
      </c>
      <c r="H9875">
        <v>2</v>
      </c>
      <c r="I9875">
        <v>1984</v>
      </c>
      <c r="J9875">
        <v>0</v>
      </c>
      <c r="K9875">
        <v>0</v>
      </c>
      <c r="L9875">
        <v>0</v>
      </c>
      <c r="M9875">
        <v>4</v>
      </c>
      <c r="N9875" t="s">
        <v>37</v>
      </c>
      <c r="O9875" t="s">
        <v>32</v>
      </c>
      <c r="P9875">
        <v>14.8349367870089</v>
      </c>
      <c r="Q9875">
        <v>1.1107786708815599</v>
      </c>
      <c r="R9875">
        <v>5.3877393371876998</v>
      </c>
      <c r="S9875">
        <v>64</v>
      </c>
      <c r="T9875">
        <v>25</v>
      </c>
      <c r="U9875">
        <v>732.12908133595204</v>
      </c>
      <c r="V9875">
        <v>4.65116279069767E-3</v>
      </c>
      <c r="W9875">
        <v>870248.14673738705</v>
      </c>
      <c r="X9875" t="s">
        <v>44</v>
      </c>
      <c r="Y9875">
        <f>1-405-177-6910</f>
        <v>-7491</v>
      </c>
    </row>
    <row r="9876" spans="1:25" x14ac:dyDescent="0.35">
      <c r="A9876">
        <v>37.672259536368998</v>
      </c>
      <c r="B9876">
        <v>-118.043360963617</v>
      </c>
      <c r="C9876" t="s">
        <v>25</v>
      </c>
      <c r="D9876">
        <v>29.375985769642099</v>
      </c>
      <c r="E9876">
        <v>4</v>
      </c>
      <c r="F9876">
        <v>1914</v>
      </c>
      <c r="G9876">
        <v>1</v>
      </c>
      <c r="H9876">
        <v>2</v>
      </c>
      <c r="I9876">
        <v>1967</v>
      </c>
      <c r="J9876">
        <v>0</v>
      </c>
      <c r="K9876">
        <v>0</v>
      </c>
      <c r="L9876">
        <v>1</v>
      </c>
      <c r="M9876">
        <v>11</v>
      </c>
      <c r="N9876" t="s">
        <v>37</v>
      </c>
      <c r="O9876" t="s">
        <v>27</v>
      </c>
      <c r="P9876">
        <v>11.810354113079001</v>
      </c>
      <c r="Q9876">
        <v>1.00828627359584</v>
      </c>
      <c r="R9876">
        <v>5.41233022323659</v>
      </c>
      <c r="S9876">
        <v>157</v>
      </c>
      <c r="T9876">
        <v>20</v>
      </c>
      <c r="U9876">
        <v>322.88700954682201</v>
      </c>
      <c r="V9876">
        <v>5.7471264367815996E-3</v>
      </c>
      <c r="W9876">
        <v>707458.30012055801</v>
      </c>
      <c r="X9876" t="s">
        <v>43</v>
      </c>
      <c r="Y9876">
        <f>1-387-579-8129</f>
        <v>-9094</v>
      </c>
    </row>
    <row r="9877" spans="1:25" x14ac:dyDescent="0.35">
      <c r="A9877">
        <v>35.913806120532001</v>
      </c>
      <c r="B9877">
        <v>-123.439773619373</v>
      </c>
      <c r="C9877" t="s">
        <v>34</v>
      </c>
      <c r="D9877">
        <v>29.850641023703599</v>
      </c>
      <c r="E9877">
        <v>1</v>
      </c>
      <c r="F9877">
        <v>3725</v>
      </c>
      <c r="G9877">
        <v>2</v>
      </c>
      <c r="H9877">
        <v>3</v>
      </c>
      <c r="I9877">
        <v>1951</v>
      </c>
      <c r="J9877">
        <v>0</v>
      </c>
      <c r="K9877">
        <v>1</v>
      </c>
      <c r="L9877">
        <v>1</v>
      </c>
      <c r="M9877">
        <v>4</v>
      </c>
      <c r="N9877" t="s">
        <v>26</v>
      </c>
      <c r="O9877" t="s">
        <v>30</v>
      </c>
      <c r="P9877">
        <v>14.8385261358798</v>
      </c>
      <c r="Q9877">
        <v>1.3175221210915</v>
      </c>
      <c r="R9877">
        <v>8.4868697922824605</v>
      </c>
      <c r="S9877">
        <v>199</v>
      </c>
      <c r="T9877">
        <v>36</v>
      </c>
      <c r="U9877">
        <v>877.90915823381101</v>
      </c>
      <c r="V9877">
        <v>1.0738255033557E-3</v>
      </c>
      <c r="W9877">
        <v>3601585.7157951798</v>
      </c>
      <c r="X9877" t="s">
        <v>42</v>
      </c>
      <c r="Y9877">
        <f>1-579-187-1603</f>
        <v>-2368</v>
      </c>
    </row>
    <row r="9878" spans="1:25" x14ac:dyDescent="0.35">
      <c r="A9878">
        <v>36.621008275711603</v>
      </c>
      <c r="B9878">
        <v>-122.021821239069</v>
      </c>
      <c r="C9878" t="s">
        <v>29</v>
      </c>
      <c r="D9878">
        <v>3.5512896334552302</v>
      </c>
      <c r="E9878">
        <v>8</v>
      </c>
      <c r="F9878">
        <v>3383</v>
      </c>
      <c r="G9878">
        <v>3</v>
      </c>
      <c r="H9878">
        <v>1</v>
      </c>
      <c r="I9878">
        <v>2020</v>
      </c>
      <c r="J9878">
        <v>1</v>
      </c>
      <c r="K9878">
        <v>0</v>
      </c>
      <c r="L9878">
        <v>0</v>
      </c>
      <c r="M9878">
        <v>13</v>
      </c>
      <c r="N9878" t="s">
        <v>26</v>
      </c>
      <c r="O9878" t="s">
        <v>30</v>
      </c>
      <c r="P9878">
        <v>3.7869377001670701</v>
      </c>
      <c r="Q9878">
        <v>0.81317561162785501</v>
      </c>
      <c r="R9878">
        <v>3.2075326641259401</v>
      </c>
      <c r="S9878">
        <v>160</v>
      </c>
      <c r="T9878">
        <v>73</v>
      </c>
      <c r="U9878">
        <v>759.04682536185499</v>
      </c>
      <c r="V9878">
        <v>3.8427431274017099E-3</v>
      </c>
      <c r="W9878">
        <v>2723382.4245877699</v>
      </c>
      <c r="X9878" t="s">
        <v>39</v>
      </c>
      <c r="Y9878">
        <f>1-431-671-1603</f>
        <v>-2704</v>
      </c>
    </row>
    <row r="9879" spans="1:25" x14ac:dyDescent="0.35">
      <c r="A9879">
        <v>40.493068031320199</v>
      </c>
      <c r="B9879">
        <v>-117.822907208186</v>
      </c>
      <c r="C9879" t="s">
        <v>29</v>
      </c>
      <c r="D9879">
        <v>3.53911726867292</v>
      </c>
      <c r="E9879">
        <v>4</v>
      </c>
      <c r="F9879">
        <v>4359</v>
      </c>
      <c r="G9879">
        <v>2</v>
      </c>
      <c r="H9879">
        <v>3</v>
      </c>
      <c r="I9879">
        <v>2018</v>
      </c>
      <c r="J9879">
        <v>0</v>
      </c>
      <c r="K9879">
        <v>1</v>
      </c>
      <c r="L9879">
        <v>1</v>
      </c>
      <c r="M9879">
        <v>7</v>
      </c>
      <c r="N9879" t="s">
        <v>26</v>
      </c>
      <c r="O9879" t="s">
        <v>27</v>
      </c>
      <c r="P9879">
        <v>10.2085747272892</v>
      </c>
      <c r="Q9879">
        <v>1.3933888539108601</v>
      </c>
      <c r="R9879">
        <v>1.85826676169906</v>
      </c>
      <c r="S9879">
        <v>83</v>
      </c>
      <c r="T9879">
        <v>45</v>
      </c>
      <c r="U9879">
        <v>884.64827806429901</v>
      </c>
      <c r="V9879">
        <v>1.6058729066299601E-3</v>
      </c>
      <c r="W9879">
        <v>4246744.2014811998</v>
      </c>
      <c r="X9879" t="s">
        <v>38</v>
      </c>
      <c r="Y9879">
        <f>1-272-898-9871</f>
        <v>-11040</v>
      </c>
    </row>
    <row r="9880" spans="1:25" x14ac:dyDescent="0.35">
      <c r="A9880">
        <v>37.731162171364801</v>
      </c>
      <c r="B9880">
        <v>-119.18958820377399</v>
      </c>
      <c r="C9880" t="s">
        <v>25</v>
      </c>
      <c r="D9880">
        <v>44.535164588782898</v>
      </c>
      <c r="E9880">
        <v>4</v>
      </c>
      <c r="F9880">
        <v>2960</v>
      </c>
      <c r="G9880">
        <v>4</v>
      </c>
      <c r="H9880">
        <v>1</v>
      </c>
      <c r="I9880">
        <v>1996</v>
      </c>
      <c r="J9880">
        <v>1</v>
      </c>
      <c r="K9880">
        <v>0</v>
      </c>
      <c r="L9880">
        <v>0</v>
      </c>
      <c r="M9880">
        <v>10</v>
      </c>
      <c r="N9880" t="s">
        <v>41</v>
      </c>
      <c r="O9880" t="s">
        <v>30</v>
      </c>
      <c r="P9880">
        <v>11.8035328224606</v>
      </c>
      <c r="Q9880">
        <v>1.1280721839593599</v>
      </c>
      <c r="R9880">
        <v>3.22881799914187</v>
      </c>
      <c r="S9880">
        <v>73</v>
      </c>
      <c r="T9880">
        <v>25</v>
      </c>
      <c r="U9880">
        <v>639.09694350558095</v>
      </c>
      <c r="V9880">
        <v>3.3783783783783699E-3</v>
      </c>
      <c r="W9880">
        <v>2150662.3892106898</v>
      </c>
      <c r="X9880" t="s">
        <v>40</v>
      </c>
      <c r="Y9880">
        <f>1-395-395-9898</f>
        <v>-10687</v>
      </c>
    </row>
    <row r="9881" spans="1:25" x14ac:dyDescent="0.35">
      <c r="A9881">
        <v>34.710027201965801</v>
      </c>
      <c r="B9881">
        <v>-117.162439758017</v>
      </c>
      <c r="C9881" t="s">
        <v>29</v>
      </c>
      <c r="D9881">
        <v>47.893546704134401</v>
      </c>
      <c r="E9881">
        <v>0</v>
      </c>
      <c r="F9881">
        <v>2714</v>
      </c>
      <c r="G9881">
        <v>4</v>
      </c>
      <c r="H9881">
        <v>1</v>
      </c>
      <c r="I9881">
        <v>2011</v>
      </c>
      <c r="J9881">
        <v>0</v>
      </c>
      <c r="K9881">
        <v>0</v>
      </c>
      <c r="L9881">
        <v>0</v>
      </c>
      <c r="M9881">
        <v>5</v>
      </c>
      <c r="N9881" t="s">
        <v>37</v>
      </c>
      <c r="O9881" t="s">
        <v>27</v>
      </c>
      <c r="P9881">
        <v>3.9874124297693601</v>
      </c>
      <c r="Q9881">
        <v>1.6655089438378901</v>
      </c>
      <c r="R9881">
        <v>3.23889117023892</v>
      </c>
      <c r="S9881">
        <v>125</v>
      </c>
      <c r="T9881">
        <v>72</v>
      </c>
      <c r="U9881">
        <v>850.40706385348801</v>
      </c>
      <c r="V9881">
        <v>1.84229918938835E-3</v>
      </c>
      <c r="W9881">
        <v>2578571.6119557</v>
      </c>
      <c r="X9881" t="s">
        <v>33</v>
      </c>
      <c r="Y9881">
        <f>1-575-198-3255</f>
        <v>-4027</v>
      </c>
    </row>
    <row r="9882" spans="1:25" x14ac:dyDescent="0.35">
      <c r="A9882">
        <v>39.826455317441898</v>
      </c>
      <c r="B9882">
        <v>-122.719516079415</v>
      </c>
      <c r="C9882" t="s">
        <v>25</v>
      </c>
      <c r="D9882">
        <v>44.984669795856902</v>
      </c>
      <c r="E9882">
        <v>8</v>
      </c>
      <c r="F9882">
        <v>1959</v>
      </c>
      <c r="G9882">
        <v>3</v>
      </c>
      <c r="H9882">
        <v>3</v>
      </c>
      <c r="I9882">
        <v>1970</v>
      </c>
      <c r="J9882">
        <v>0</v>
      </c>
      <c r="K9882">
        <v>0</v>
      </c>
      <c r="L9882">
        <v>0</v>
      </c>
      <c r="M9882">
        <v>2</v>
      </c>
      <c r="N9882" t="s">
        <v>35</v>
      </c>
      <c r="O9882" t="s">
        <v>32</v>
      </c>
      <c r="P9882">
        <v>9.9298849271802503</v>
      </c>
      <c r="Q9882">
        <v>1.0726975136274799</v>
      </c>
      <c r="R9882">
        <v>3.45409475403055</v>
      </c>
      <c r="S9882">
        <v>159</v>
      </c>
      <c r="T9882">
        <v>77</v>
      </c>
      <c r="U9882">
        <v>376.479030534456</v>
      </c>
      <c r="V9882">
        <v>1.02092904543134E-3</v>
      </c>
      <c r="W9882">
        <v>858725.25944603002</v>
      </c>
      <c r="X9882" t="s">
        <v>44</v>
      </c>
      <c r="Y9882">
        <f>1-638-232-1447</f>
        <v>-2316</v>
      </c>
    </row>
    <row r="9883" spans="1:25" x14ac:dyDescent="0.35">
      <c r="A9883">
        <v>34.877763292396303</v>
      </c>
      <c r="B9883">
        <v>-117.560664772474</v>
      </c>
      <c r="C9883" t="s">
        <v>34</v>
      </c>
      <c r="D9883">
        <v>24.545517642596401</v>
      </c>
      <c r="E9883">
        <v>5</v>
      </c>
      <c r="F9883">
        <v>1027</v>
      </c>
      <c r="G9883">
        <v>3</v>
      </c>
      <c r="H9883">
        <v>2</v>
      </c>
      <c r="I9883">
        <v>1964</v>
      </c>
      <c r="J9883">
        <v>1</v>
      </c>
      <c r="K9883">
        <v>0</v>
      </c>
      <c r="L9883">
        <v>0</v>
      </c>
      <c r="M9883">
        <v>5</v>
      </c>
      <c r="N9883" t="s">
        <v>26</v>
      </c>
      <c r="O9883" t="s">
        <v>27</v>
      </c>
      <c r="P9883">
        <v>3.0975300621242101</v>
      </c>
      <c r="Q9883">
        <v>2.0549252407493102</v>
      </c>
      <c r="R9883">
        <v>2.9528503516550599</v>
      </c>
      <c r="S9883">
        <v>122</v>
      </c>
      <c r="T9883">
        <v>76</v>
      </c>
      <c r="U9883">
        <v>495.23921307065899</v>
      </c>
      <c r="V9883">
        <v>4.8685491723466402E-3</v>
      </c>
      <c r="W9883">
        <v>617873.23301973601</v>
      </c>
      <c r="X9883" t="s">
        <v>43</v>
      </c>
      <c r="Y9883">
        <f>1-682-760-1034</f>
        <v>-2475</v>
      </c>
    </row>
    <row r="9884" spans="1:25" x14ac:dyDescent="0.35">
      <c r="A9884">
        <v>37.186490052425299</v>
      </c>
      <c r="B9884">
        <v>-123.693151191765</v>
      </c>
      <c r="C9884" t="s">
        <v>34</v>
      </c>
      <c r="D9884">
        <v>6.2504391839833602</v>
      </c>
      <c r="E9884">
        <v>7</v>
      </c>
      <c r="F9884">
        <v>4194</v>
      </c>
      <c r="G9884">
        <v>5</v>
      </c>
      <c r="H9884">
        <v>2</v>
      </c>
      <c r="I9884">
        <v>1992</v>
      </c>
      <c r="J9884">
        <v>1</v>
      </c>
      <c r="K9884">
        <v>0</v>
      </c>
      <c r="L9884">
        <v>0</v>
      </c>
      <c r="M9884">
        <v>12</v>
      </c>
      <c r="N9884" t="s">
        <v>35</v>
      </c>
      <c r="O9884" t="s">
        <v>30</v>
      </c>
      <c r="P9884">
        <v>10.4132202729359</v>
      </c>
      <c r="Q9884">
        <v>0.74656987718626999</v>
      </c>
      <c r="R9884">
        <v>2.4170003023590798</v>
      </c>
      <c r="S9884">
        <v>191</v>
      </c>
      <c r="T9884">
        <v>79</v>
      </c>
      <c r="U9884">
        <v>372.81506587760902</v>
      </c>
      <c r="V9884">
        <v>2.86123032904148E-3</v>
      </c>
      <c r="W9884">
        <v>1961384.08426945</v>
      </c>
      <c r="X9884" t="s">
        <v>31</v>
      </c>
      <c r="Y9884">
        <f>1-656-375-7867</f>
        <v>-8897</v>
      </c>
    </row>
    <row r="9885" spans="1:25" x14ac:dyDescent="0.35">
      <c r="A9885">
        <v>34.688261821414002</v>
      </c>
      <c r="B9885">
        <v>-120.928572726827</v>
      </c>
      <c r="C9885" t="s">
        <v>25</v>
      </c>
      <c r="D9885">
        <v>7.7266931073191101</v>
      </c>
      <c r="E9885">
        <v>5</v>
      </c>
      <c r="F9885">
        <v>4933</v>
      </c>
      <c r="G9885">
        <v>3</v>
      </c>
      <c r="H9885">
        <v>2</v>
      </c>
      <c r="I9885">
        <v>1972</v>
      </c>
      <c r="J9885">
        <v>0</v>
      </c>
      <c r="K9885">
        <v>1</v>
      </c>
      <c r="L9885">
        <v>0</v>
      </c>
      <c r="M9885">
        <v>13</v>
      </c>
      <c r="N9885" t="s">
        <v>26</v>
      </c>
      <c r="O9885" t="s">
        <v>30</v>
      </c>
      <c r="P9885">
        <v>9.0947630464457703</v>
      </c>
      <c r="Q9885">
        <v>1.90047574506588</v>
      </c>
      <c r="R9885">
        <v>9.9612985418771292</v>
      </c>
      <c r="S9885">
        <v>117</v>
      </c>
      <c r="T9885">
        <v>75</v>
      </c>
      <c r="U9885">
        <v>726.035037138961</v>
      </c>
      <c r="V9885">
        <v>2.6353131968376198E-3</v>
      </c>
      <c r="W9885">
        <v>3749554.8775782101</v>
      </c>
      <c r="X9885" t="s">
        <v>38</v>
      </c>
      <c r="Y9885">
        <f>1-909-717-7067</f>
        <v>-8692</v>
      </c>
    </row>
    <row r="9886" spans="1:25" x14ac:dyDescent="0.35">
      <c r="A9886">
        <v>35.617263685055299</v>
      </c>
      <c r="B9886">
        <v>-120.744125066317</v>
      </c>
      <c r="C9886" t="s">
        <v>25</v>
      </c>
      <c r="D9886">
        <v>31.469733754406001</v>
      </c>
      <c r="E9886">
        <v>5</v>
      </c>
      <c r="F9886">
        <v>3523</v>
      </c>
      <c r="G9886">
        <v>1</v>
      </c>
      <c r="H9886">
        <v>3</v>
      </c>
      <c r="I9886">
        <v>2015</v>
      </c>
      <c r="J9886">
        <v>0</v>
      </c>
      <c r="K9886">
        <v>0</v>
      </c>
      <c r="L9886">
        <v>1</v>
      </c>
      <c r="M9886">
        <v>3</v>
      </c>
      <c r="N9886" t="s">
        <v>26</v>
      </c>
      <c r="O9886" t="s">
        <v>27</v>
      </c>
      <c r="P9886">
        <v>6.3886492515086202</v>
      </c>
      <c r="Q9886">
        <v>0.64743795246165603</v>
      </c>
      <c r="R9886">
        <v>8.6883069784389004</v>
      </c>
      <c r="S9886">
        <v>86</v>
      </c>
      <c r="T9886">
        <v>44</v>
      </c>
      <c r="U9886">
        <v>484.83604751552002</v>
      </c>
      <c r="V9886">
        <v>8.5154697700823105E-4</v>
      </c>
      <c r="W9886">
        <v>1931271.9937964201</v>
      </c>
      <c r="X9886" t="s">
        <v>44</v>
      </c>
      <c r="Y9886">
        <f>1-299-814-3671</f>
        <v>-4783</v>
      </c>
    </row>
    <row r="9887" spans="1:25" x14ac:dyDescent="0.35">
      <c r="A9887">
        <v>33.995382326498301</v>
      </c>
      <c r="B9887">
        <v>-117.247074633452</v>
      </c>
      <c r="C9887" t="s">
        <v>29</v>
      </c>
      <c r="D9887">
        <v>29.7750599520141</v>
      </c>
      <c r="E9887">
        <v>5</v>
      </c>
      <c r="F9887">
        <v>4708</v>
      </c>
      <c r="G9887">
        <v>1</v>
      </c>
      <c r="H9887">
        <v>3</v>
      </c>
      <c r="I9887">
        <v>1970</v>
      </c>
      <c r="J9887">
        <v>0</v>
      </c>
      <c r="K9887">
        <v>1</v>
      </c>
      <c r="L9887">
        <v>1</v>
      </c>
      <c r="M9887">
        <v>9</v>
      </c>
      <c r="N9887" t="s">
        <v>26</v>
      </c>
      <c r="O9887" t="s">
        <v>32</v>
      </c>
      <c r="P9887">
        <v>5.7932979837395102</v>
      </c>
      <c r="Q9887">
        <v>1.2020748932815899</v>
      </c>
      <c r="R9887">
        <v>9.4751893421814408</v>
      </c>
      <c r="S9887">
        <v>154</v>
      </c>
      <c r="T9887">
        <v>66</v>
      </c>
      <c r="U9887">
        <v>292.28093746117702</v>
      </c>
      <c r="V9887">
        <v>1.9116397621070499E-3</v>
      </c>
      <c r="W9887">
        <v>1525164.00739962</v>
      </c>
      <c r="X9887" t="s">
        <v>28</v>
      </c>
      <c r="Y9887">
        <f>1-230-334-2067</f>
        <v>-2630</v>
      </c>
    </row>
    <row r="9888" spans="1:25" x14ac:dyDescent="0.35">
      <c r="A9888">
        <v>32.723939381554999</v>
      </c>
      <c r="B9888">
        <v>-120.35008672209101</v>
      </c>
      <c r="C9888" t="s">
        <v>34</v>
      </c>
      <c r="D9888">
        <v>46.395045052106397</v>
      </c>
      <c r="E9888">
        <v>7</v>
      </c>
      <c r="F9888">
        <v>1548</v>
      </c>
      <c r="G9888">
        <v>4</v>
      </c>
      <c r="H9888">
        <v>3</v>
      </c>
      <c r="I9888">
        <v>1992</v>
      </c>
      <c r="J9888">
        <v>0</v>
      </c>
      <c r="K9888">
        <v>1</v>
      </c>
      <c r="L9888">
        <v>1</v>
      </c>
      <c r="M9888">
        <v>10</v>
      </c>
      <c r="N9888" t="s">
        <v>41</v>
      </c>
      <c r="O9888" t="s">
        <v>30</v>
      </c>
      <c r="P9888">
        <v>11.306413826319901</v>
      </c>
      <c r="Q9888">
        <v>1.05673698088172</v>
      </c>
      <c r="R9888">
        <v>9.0284607470083706</v>
      </c>
      <c r="S9888">
        <v>141</v>
      </c>
      <c r="T9888">
        <v>63</v>
      </c>
      <c r="U9888">
        <v>814.56495429561903</v>
      </c>
      <c r="V9888">
        <v>6.4599483204134302E-3</v>
      </c>
      <c r="W9888">
        <v>1670181.9102459</v>
      </c>
      <c r="X9888" t="s">
        <v>38</v>
      </c>
      <c r="Y9888">
        <f>1-714-473-2414</f>
        <v>-3600</v>
      </c>
    </row>
    <row r="9889" spans="1:25" x14ac:dyDescent="0.35">
      <c r="A9889">
        <v>36.7964536810317</v>
      </c>
      <c r="B9889">
        <v>-114.296151826695</v>
      </c>
      <c r="C9889" t="s">
        <v>25</v>
      </c>
      <c r="D9889">
        <v>4.1484915272855902</v>
      </c>
      <c r="E9889">
        <v>9</v>
      </c>
      <c r="F9889">
        <v>1571</v>
      </c>
      <c r="G9889">
        <v>1</v>
      </c>
      <c r="H9889">
        <v>2</v>
      </c>
      <c r="I9889">
        <v>1978</v>
      </c>
      <c r="J9889">
        <v>0</v>
      </c>
      <c r="K9889">
        <v>1</v>
      </c>
      <c r="L9889">
        <v>1</v>
      </c>
      <c r="M9889">
        <v>11</v>
      </c>
      <c r="N9889" t="s">
        <v>37</v>
      </c>
      <c r="O9889" t="s">
        <v>27</v>
      </c>
      <c r="P9889">
        <v>10.2691684730194</v>
      </c>
      <c r="Q9889">
        <v>1.3657816435516299</v>
      </c>
      <c r="R9889">
        <v>0.44424700176042298</v>
      </c>
      <c r="S9889">
        <v>179</v>
      </c>
      <c r="T9889">
        <v>62</v>
      </c>
      <c r="U9889">
        <v>540.07042346154105</v>
      </c>
      <c r="V9889">
        <v>7.0019096117122804E-3</v>
      </c>
      <c r="W9889">
        <v>1009614.88901733</v>
      </c>
      <c r="X9889" t="s">
        <v>38</v>
      </c>
      <c r="Y9889">
        <f>1-364-905-6242</f>
        <v>-7510</v>
      </c>
    </row>
    <row r="9890" spans="1:25" x14ac:dyDescent="0.35">
      <c r="A9890">
        <v>34.839615779515199</v>
      </c>
      <c r="B9890">
        <v>-114.080639225741</v>
      </c>
      <c r="C9890" t="s">
        <v>29</v>
      </c>
      <c r="D9890">
        <v>43.786282933466197</v>
      </c>
      <c r="E9890">
        <v>3</v>
      </c>
      <c r="F9890">
        <v>4055</v>
      </c>
      <c r="G9890">
        <v>3</v>
      </c>
      <c r="H9890">
        <v>2</v>
      </c>
      <c r="I9890">
        <v>2011</v>
      </c>
      <c r="J9890">
        <v>1</v>
      </c>
      <c r="K9890">
        <v>1</v>
      </c>
      <c r="L9890">
        <v>1</v>
      </c>
      <c r="M9890">
        <v>8</v>
      </c>
      <c r="N9890" t="s">
        <v>37</v>
      </c>
      <c r="O9890" t="s">
        <v>32</v>
      </c>
      <c r="P9890">
        <v>13.5451306306582</v>
      </c>
      <c r="Q9890">
        <v>0.88146807120215098</v>
      </c>
      <c r="R9890">
        <v>2.6893618822113199</v>
      </c>
      <c r="S9890">
        <v>85</v>
      </c>
      <c r="T9890">
        <v>65</v>
      </c>
      <c r="U9890">
        <v>914.31633419072398</v>
      </c>
      <c r="V9890">
        <v>1.97287299630086E-3</v>
      </c>
      <c r="W9890">
        <v>4150750.5111952401</v>
      </c>
      <c r="X9890" t="s">
        <v>43</v>
      </c>
      <c r="Y9890">
        <f>1-674-912-7954</f>
        <v>-9539</v>
      </c>
    </row>
    <row r="9891" spans="1:25" x14ac:dyDescent="0.35">
      <c r="A9891">
        <v>41.269785980083</v>
      </c>
      <c r="B9891">
        <v>-121.45872690066</v>
      </c>
      <c r="C9891" t="s">
        <v>29</v>
      </c>
      <c r="D9891">
        <v>48.616886822849096</v>
      </c>
      <c r="E9891">
        <v>5</v>
      </c>
      <c r="F9891">
        <v>3576</v>
      </c>
      <c r="G9891">
        <v>2</v>
      </c>
      <c r="H9891">
        <v>3</v>
      </c>
      <c r="I9891">
        <v>1973</v>
      </c>
      <c r="J9891">
        <v>0</v>
      </c>
      <c r="K9891">
        <v>1</v>
      </c>
      <c r="L9891">
        <v>0</v>
      </c>
      <c r="M9891">
        <v>7</v>
      </c>
      <c r="N9891" t="s">
        <v>41</v>
      </c>
      <c r="O9891" t="s">
        <v>27</v>
      </c>
      <c r="P9891">
        <v>13.0395099086969</v>
      </c>
      <c r="Q9891">
        <v>2.2289970511727599</v>
      </c>
      <c r="R9891">
        <v>9.1877886928606305</v>
      </c>
      <c r="S9891">
        <v>118</v>
      </c>
      <c r="T9891">
        <v>28</v>
      </c>
      <c r="U9891">
        <v>400.588193125884</v>
      </c>
      <c r="V9891">
        <v>1.9574944071588298E-3</v>
      </c>
      <c r="W9891">
        <v>1736555.35148502</v>
      </c>
      <c r="X9891" t="s">
        <v>28</v>
      </c>
      <c r="Y9891">
        <f>1-465-860-7240</f>
        <v>-8564</v>
      </c>
    </row>
    <row r="9892" spans="1:25" x14ac:dyDescent="0.35">
      <c r="A9892">
        <v>34.748281984131303</v>
      </c>
      <c r="B9892">
        <v>-114.51418292747501</v>
      </c>
      <c r="C9892" t="s">
        <v>34</v>
      </c>
      <c r="D9892">
        <v>48.568370318656498</v>
      </c>
      <c r="E9892">
        <v>4</v>
      </c>
      <c r="F9892">
        <v>2336</v>
      </c>
      <c r="G9892">
        <v>4</v>
      </c>
      <c r="H9892">
        <v>1</v>
      </c>
      <c r="I9892">
        <v>1956</v>
      </c>
      <c r="J9892">
        <v>0</v>
      </c>
      <c r="K9892">
        <v>0</v>
      </c>
      <c r="L9892">
        <v>0</v>
      </c>
      <c r="M9892">
        <v>9</v>
      </c>
      <c r="N9892" t="s">
        <v>37</v>
      </c>
      <c r="O9892" t="s">
        <v>32</v>
      </c>
      <c r="P9892">
        <v>3.2584386867788599</v>
      </c>
      <c r="Q9892">
        <v>1.4286218905533601</v>
      </c>
      <c r="R9892">
        <v>0.11387624685445499</v>
      </c>
      <c r="S9892">
        <v>61</v>
      </c>
      <c r="T9892">
        <v>62</v>
      </c>
      <c r="U9892">
        <v>993.11006991067495</v>
      </c>
      <c r="V9892">
        <v>3.8527397260273901E-3</v>
      </c>
      <c r="W9892">
        <v>2402029.7559594</v>
      </c>
      <c r="X9892" t="s">
        <v>43</v>
      </c>
      <c r="Y9892">
        <f>1-248-818-9159</f>
        <v>-10224</v>
      </c>
    </row>
    <row r="9893" spans="1:25" x14ac:dyDescent="0.35">
      <c r="A9893">
        <v>34.8137079822556</v>
      </c>
      <c r="B9893">
        <v>-123.48065620733099</v>
      </c>
      <c r="C9893" t="s">
        <v>25</v>
      </c>
      <c r="D9893">
        <v>46.132346454861498</v>
      </c>
      <c r="E9893">
        <v>7</v>
      </c>
      <c r="F9893">
        <v>4609</v>
      </c>
      <c r="G9893">
        <v>1</v>
      </c>
      <c r="H9893">
        <v>3</v>
      </c>
      <c r="I9893">
        <v>2006</v>
      </c>
      <c r="J9893">
        <v>1</v>
      </c>
      <c r="K9893">
        <v>1</v>
      </c>
      <c r="L9893">
        <v>1</v>
      </c>
      <c r="M9893">
        <v>9</v>
      </c>
      <c r="N9893" t="s">
        <v>41</v>
      </c>
      <c r="O9893" t="s">
        <v>27</v>
      </c>
      <c r="P9893">
        <v>12.760638107281499</v>
      </c>
      <c r="Q9893">
        <v>1.6317515503165601</v>
      </c>
      <c r="R9893">
        <v>8.3379996161800207</v>
      </c>
      <c r="S9893">
        <v>190</v>
      </c>
      <c r="T9893">
        <v>51</v>
      </c>
      <c r="U9893">
        <v>759.21945415701202</v>
      </c>
      <c r="V9893">
        <v>1.9527012367107799E-3</v>
      </c>
      <c r="W9893">
        <v>3904562.95330839</v>
      </c>
      <c r="X9893" t="s">
        <v>31</v>
      </c>
      <c r="Y9893">
        <f>1-649-175-1981</f>
        <v>-2804</v>
      </c>
    </row>
    <row r="9894" spans="1:25" x14ac:dyDescent="0.35">
      <c r="A9894">
        <v>33.122673429710098</v>
      </c>
      <c r="B9894">
        <v>-122.713096741763</v>
      </c>
      <c r="C9894" t="s">
        <v>29</v>
      </c>
      <c r="D9894">
        <v>31.746492965239302</v>
      </c>
      <c r="E9894">
        <v>6</v>
      </c>
      <c r="F9894">
        <v>3274</v>
      </c>
      <c r="G9894">
        <v>5</v>
      </c>
      <c r="H9894">
        <v>3</v>
      </c>
      <c r="I9894">
        <v>1964</v>
      </c>
      <c r="J9894">
        <v>1</v>
      </c>
      <c r="K9894">
        <v>0</v>
      </c>
      <c r="L9894">
        <v>1</v>
      </c>
      <c r="M9894">
        <v>8</v>
      </c>
      <c r="N9894" t="s">
        <v>35</v>
      </c>
      <c r="O9894" t="s">
        <v>32</v>
      </c>
      <c r="P9894">
        <v>5.1870499209481702</v>
      </c>
      <c r="Q9894">
        <v>2.1460856776581099</v>
      </c>
      <c r="R9894">
        <v>5.6002217893267696</v>
      </c>
      <c r="S9894">
        <v>122</v>
      </c>
      <c r="T9894">
        <v>50</v>
      </c>
      <c r="U9894">
        <v>416.079046345878</v>
      </c>
      <c r="V9894">
        <v>2.4434941967012799E-3</v>
      </c>
      <c r="W9894">
        <v>1604336.55589956</v>
      </c>
      <c r="X9894" t="s">
        <v>38</v>
      </c>
      <c r="Y9894">
        <f>1-418-565-5550</f>
        <v>-6532</v>
      </c>
    </row>
    <row r="9895" spans="1:25" x14ac:dyDescent="0.35">
      <c r="A9895">
        <v>32.801694398080002</v>
      </c>
      <c r="B9895">
        <v>-119.543453124861</v>
      </c>
      <c r="C9895" t="s">
        <v>29</v>
      </c>
      <c r="D9895">
        <v>45.962909921830502</v>
      </c>
      <c r="E9895">
        <v>7</v>
      </c>
      <c r="F9895">
        <v>3478</v>
      </c>
      <c r="G9895">
        <v>2</v>
      </c>
      <c r="H9895">
        <v>2</v>
      </c>
      <c r="I9895">
        <v>1953</v>
      </c>
      <c r="J9895">
        <v>1</v>
      </c>
      <c r="K9895">
        <v>0</v>
      </c>
      <c r="L9895">
        <v>0</v>
      </c>
      <c r="M9895">
        <v>13</v>
      </c>
      <c r="N9895" t="s">
        <v>26</v>
      </c>
      <c r="O9895" t="s">
        <v>30</v>
      </c>
      <c r="P9895">
        <v>4.6933594382638004</v>
      </c>
      <c r="Q9895">
        <v>1.85925662613924</v>
      </c>
      <c r="R9895">
        <v>6.8816743935030296</v>
      </c>
      <c r="S9895">
        <v>161</v>
      </c>
      <c r="T9895">
        <v>31</v>
      </c>
      <c r="U9895">
        <v>343.127430441314</v>
      </c>
      <c r="V9895">
        <v>3.7377803335250101E-3</v>
      </c>
      <c r="W9895">
        <v>1257582.86871414</v>
      </c>
      <c r="X9895" t="s">
        <v>36</v>
      </c>
      <c r="Y9895">
        <f>1-767-436-2049</f>
        <v>-3251</v>
      </c>
    </row>
    <row r="9896" spans="1:25" x14ac:dyDescent="0.35">
      <c r="A9896">
        <v>34.693351818378197</v>
      </c>
      <c r="B9896">
        <v>-122.80915722687</v>
      </c>
      <c r="C9896" t="s">
        <v>25</v>
      </c>
      <c r="D9896">
        <v>28.700070803588901</v>
      </c>
      <c r="E9896">
        <v>5</v>
      </c>
      <c r="F9896">
        <v>3983</v>
      </c>
      <c r="G9896">
        <v>3</v>
      </c>
      <c r="H9896">
        <v>2</v>
      </c>
      <c r="I9896">
        <v>1976</v>
      </c>
      <c r="J9896">
        <v>0</v>
      </c>
      <c r="K9896">
        <v>1</v>
      </c>
      <c r="L9896">
        <v>1</v>
      </c>
      <c r="M9896">
        <v>10</v>
      </c>
      <c r="N9896" t="s">
        <v>37</v>
      </c>
      <c r="O9896" t="s">
        <v>32</v>
      </c>
      <c r="P9896">
        <v>3.4543877243987402</v>
      </c>
      <c r="Q9896">
        <v>1.5367580522131401</v>
      </c>
      <c r="R9896">
        <v>1.7204207573180501</v>
      </c>
      <c r="S9896">
        <v>106</v>
      </c>
      <c r="T9896">
        <v>23</v>
      </c>
      <c r="U9896">
        <v>273.47905717242702</v>
      </c>
      <c r="V9896">
        <v>2.5106703489831701E-3</v>
      </c>
      <c r="W9896">
        <v>1431378.23376817</v>
      </c>
      <c r="X9896" t="s">
        <v>39</v>
      </c>
      <c r="Y9896">
        <f>1-257-684-8495</f>
        <v>-9435</v>
      </c>
    </row>
    <row r="9897" spans="1:25" x14ac:dyDescent="0.35">
      <c r="A9897">
        <v>34.214836078822202</v>
      </c>
      <c r="B9897">
        <v>-123.231353735284</v>
      </c>
      <c r="C9897" t="s">
        <v>25</v>
      </c>
      <c r="D9897">
        <v>5.2218214851914002</v>
      </c>
      <c r="E9897">
        <v>0</v>
      </c>
      <c r="F9897">
        <v>3456</v>
      </c>
      <c r="G9897">
        <v>2</v>
      </c>
      <c r="H9897">
        <v>3</v>
      </c>
      <c r="I9897">
        <v>1965</v>
      </c>
      <c r="J9897">
        <v>0</v>
      </c>
      <c r="K9897">
        <v>0</v>
      </c>
      <c r="L9897">
        <v>1</v>
      </c>
      <c r="M9897">
        <v>6</v>
      </c>
      <c r="N9897" t="s">
        <v>35</v>
      </c>
      <c r="O9897" t="s">
        <v>27</v>
      </c>
      <c r="P9897">
        <v>14.799831634789699</v>
      </c>
      <c r="Q9897">
        <v>1.2182785959712701</v>
      </c>
      <c r="R9897">
        <v>8.1945144967966002</v>
      </c>
      <c r="S9897">
        <v>44</v>
      </c>
      <c r="T9897">
        <v>25</v>
      </c>
      <c r="U9897">
        <v>544.87447735552701</v>
      </c>
      <c r="V9897">
        <v>1.7361111111111099E-3</v>
      </c>
      <c r="W9897">
        <v>2153861.2873157202</v>
      </c>
      <c r="X9897" t="s">
        <v>43</v>
      </c>
      <c r="Y9897">
        <f>1-224-707-5843</f>
        <v>-6773</v>
      </c>
    </row>
    <row r="9898" spans="1:25" x14ac:dyDescent="0.35">
      <c r="A9898">
        <v>35.802753197006297</v>
      </c>
      <c r="B9898">
        <v>-115.440156982817</v>
      </c>
      <c r="C9898" t="s">
        <v>25</v>
      </c>
      <c r="D9898">
        <v>5.2637925452637599</v>
      </c>
      <c r="E9898">
        <v>5</v>
      </c>
      <c r="F9898">
        <v>1010</v>
      </c>
      <c r="G9898">
        <v>3</v>
      </c>
      <c r="H9898">
        <v>1</v>
      </c>
      <c r="I9898">
        <v>1990</v>
      </c>
      <c r="J9898">
        <v>1</v>
      </c>
      <c r="K9898">
        <v>0</v>
      </c>
      <c r="L9898">
        <v>0</v>
      </c>
      <c r="M9898">
        <v>7</v>
      </c>
      <c r="N9898" t="s">
        <v>37</v>
      </c>
      <c r="O9898" t="s">
        <v>30</v>
      </c>
      <c r="P9898">
        <v>14.4075150800237</v>
      </c>
      <c r="Q9898">
        <v>2.2306920970145998</v>
      </c>
      <c r="R9898">
        <v>4.0099006270792001</v>
      </c>
      <c r="S9898">
        <v>124</v>
      </c>
      <c r="T9898">
        <v>71</v>
      </c>
      <c r="U9898">
        <v>646.05179355770497</v>
      </c>
      <c r="V9898">
        <v>6.9306930693069299E-3</v>
      </c>
      <c r="W9898">
        <v>1015089.32765227</v>
      </c>
      <c r="X9898" t="s">
        <v>39</v>
      </c>
      <c r="Y9898">
        <f>1-530-163-5979</f>
        <v>-6671</v>
      </c>
    </row>
    <row r="9899" spans="1:25" x14ac:dyDescent="0.35">
      <c r="A9899">
        <v>35.2204502203872</v>
      </c>
      <c r="B9899">
        <v>-116.61201626690401</v>
      </c>
      <c r="C9899" t="s">
        <v>29</v>
      </c>
      <c r="D9899">
        <v>38.932869263440502</v>
      </c>
      <c r="E9899">
        <v>6</v>
      </c>
      <c r="F9899">
        <v>2742</v>
      </c>
      <c r="G9899">
        <v>2</v>
      </c>
      <c r="H9899">
        <v>3</v>
      </c>
      <c r="I9899">
        <v>1965</v>
      </c>
      <c r="J9899">
        <v>0</v>
      </c>
      <c r="K9899">
        <v>0</v>
      </c>
      <c r="L9899">
        <v>0</v>
      </c>
      <c r="M9899">
        <v>13</v>
      </c>
      <c r="N9899" t="s">
        <v>35</v>
      </c>
      <c r="O9899" t="s">
        <v>27</v>
      </c>
      <c r="P9899">
        <v>12.302496811689201</v>
      </c>
      <c r="Q9899">
        <v>1.9849721767845101</v>
      </c>
      <c r="R9899">
        <v>6.0994930655756399</v>
      </c>
      <c r="S9899">
        <v>65</v>
      </c>
      <c r="T9899">
        <v>39</v>
      </c>
      <c r="U9899">
        <v>246.181794570725</v>
      </c>
      <c r="V9899">
        <v>4.74106491611962E-3</v>
      </c>
      <c r="W9899">
        <v>858063.82716181199</v>
      </c>
      <c r="X9899" t="s">
        <v>42</v>
      </c>
      <c r="Y9899">
        <f>1-460-371-4693</f>
        <v>-5523</v>
      </c>
    </row>
    <row r="9900" spans="1:25" x14ac:dyDescent="0.35">
      <c r="A9900">
        <v>41.152326138671398</v>
      </c>
      <c r="B9900">
        <v>-119.163279979588</v>
      </c>
      <c r="C9900" t="s">
        <v>34</v>
      </c>
      <c r="D9900">
        <v>42.680159539002702</v>
      </c>
      <c r="E9900">
        <v>7</v>
      </c>
      <c r="F9900">
        <v>2005</v>
      </c>
      <c r="G9900">
        <v>3</v>
      </c>
      <c r="H9900">
        <v>2</v>
      </c>
      <c r="I9900">
        <v>2007</v>
      </c>
      <c r="J9900">
        <v>0</v>
      </c>
      <c r="K9900">
        <v>1</v>
      </c>
      <c r="L9900">
        <v>1</v>
      </c>
      <c r="M9900">
        <v>8</v>
      </c>
      <c r="N9900" t="s">
        <v>35</v>
      </c>
      <c r="O9900" t="s">
        <v>27</v>
      </c>
      <c r="P9900">
        <v>5.0648545452525804</v>
      </c>
      <c r="Q9900">
        <v>1.5419044950171099</v>
      </c>
      <c r="R9900">
        <v>1.7096131997742401</v>
      </c>
      <c r="S9900">
        <v>1</v>
      </c>
      <c r="T9900">
        <v>34</v>
      </c>
      <c r="U9900">
        <v>546.17600866425198</v>
      </c>
      <c r="V9900">
        <v>3.9900249376558601E-3</v>
      </c>
      <c r="W9900">
        <v>1432060.607205</v>
      </c>
      <c r="X9900" t="s">
        <v>40</v>
      </c>
      <c r="Y9900">
        <f>1-494-171-6036</f>
        <v>-6700</v>
      </c>
    </row>
    <row r="9901" spans="1:25" x14ac:dyDescent="0.35">
      <c r="A9901">
        <v>38.197921403676403</v>
      </c>
      <c r="B9901">
        <v>-119.312411612869</v>
      </c>
      <c r="C9901" t="s">
        <v>25</v>
      </c>
      <c r="D9901">
        <v>21.511965106946001</v>
      </c>
      <c r="E9901">
        <v>9</v>
      </c>
      <c r="F9901">
        <v>1865</v>
      </c>
      <c r="G9901">
        <v>2</v>
      </c>
      <c r="H9901">
        <v>2</v>
      </c>
      <c r="I9901">
        <v>1951</v>
      </c>
      <c r="J9901">
        <v>0</v>
      </c>
      <c r="K9901">
        <v>0</v>
      </c>
      <c r="L9901">
        <v>1</v>
      </c>
      <c r="M9901">
        <v>13</v>
      </c>
      <c r="N9901" t="s">
        <v>35</v>
      </c>
      <c r="O9901" t="s">
        <v>27</v>
      </c>
      <c r="P9901">
        <v>6.6649704248317603</v>
      </c>
      <c r="Q9901">
        <v>1.8025395405082401</v>
      </c>
      <c r="R9901">
        <v>6.2106230540441896</v>
      </c>
      <c r="S9901">
        <v>92</v>
      </c>
      <c r="T9901">
        <v>77</v>
      </c>
      <c r="U9901">
        <v>379.10527644003599</v>
      </c>
      <c r="V9901">
        <v>6.9705093833780096E-3</v>
      </c>
      <c r="W9901">
        <v>745701.99861318094</v>
      </c>
      <c r="X9901" t="s">
        <v>38</v>
      </c>
      <c r="Y9901">
        <f>1-978-175-5996</f>
        <v>-7148</v>
      </c>
    </row>
    <row r="9902" spans="1:25" x14ac:dyDescent="0.35">
      <c r="A9902">
        <v>35.448772423964598</v>
      </c>
      <c r="B9902">
        <v>-117.219503498503</v>
      </c>
      <c r="C9902" t="s">
        <v>29</v>
      </c>
      <c r="D9902">
        <v>44.2948579748562</v>
      </c>
      <c r="E9902">
        <v>4</v>
      </c>
      <c r="F9902">
        <v>4934</v>
      </c>
      <c r="G9902">
        <v>3</v>
      </c>
      <c r="H9902">
        <v>1</v>
      </c>
      <c r="I9902">
        <v>1972</v>
      </c>
      <c r="J9902">
        <v>1</v>
      </c>
      <c r="K9902">
        <v>1</v>
      </c>
      <c r="L9902">
        <v>1</v>
      </c>
      <c r="M9902">
        <v>4</v>
      </c>
      <c r="N9902" t="s">
        <v>35</v>
      </c>
      <c r="O9902" t="s">
        <v>27</v>
      </c>
      <c r="P9902">
        <v>10.1058617200926</v>
      </c>
      <c r="Q9902">
        <v>1.4625116003704599</v>
      </c>
      <c r="R9902">
        <v>4.6884398728410703</v>
      </c>
      <c r="S9902">
        <v>23</v>
      </c>
      <c r="T9902">
        <v>27</v>
      </c>
      <c r="U9902">
        <v>375.92590461507501</v>
      </c>
      <c r="V9902">
        <v>8.1070125658694705E-4</v>
      </c>
      <c r="W9902">
        <v>2303106.4514247002</v>
      </c>
      <c r="X9902" t="s">
        <v>39</v>
      </c>
      <c r="Y9902">
        <f>1-295-185-9258</f>
        <v>-9737</v>
      </c>
    </row>
    <row r="9903" spans="1:25" x14ac:dyDescent="0.35">
      <c r="A9903">
        <v>37.082600168664399</v>
      </c>
      <c r="B9903">
        <v>-122.126898087489</v>
      </c>
      <c r="C9903" t="s">
        <v>34</v>
      </c>
      <c r="D9903">
        <v>30.571548043734801</v>
      </c>
      <c r="E9903">
        <v>3</v>
      </c>
      <c r="F9903">
        <v>1836</v>
      </c>
      <c r="G9903">
        <v>4</v>
      </c>
      <c r="H9903">
        <v>3</v>
      </c>
      <c r="I9903">
        <v>1970</v>
      </c>
      <c r="J9903">
        <v>0</v>
      </c>
      <c r="K9903">
        <v>1</v>
      </c>
      <c r="L9903">
        <v>0</v>
      </c>
      <c r="M9903">
        <v>13</v>
      </c>
      <c r="N9903" t="s">
        <v>37</v>
      </c>
      <c r="O9903" t="s">
        <v>27</v>
      </c>
      <c r="P9903">
        <v>8.2987005269529597</v>
      </c>
      <c r="Q9903">
        <v>1.1119552325703801</v>
      </c>
      <c r="R9903">
        <v>9.9233823887984496</v>
      </c>
      <c r="S9903">
        <v>46</v>
      </c>
      <c r="T9903">
        <v>73</v>
      </c>
      <c r="U9903">
        <v>562.96159334760603</v>
      </c>
      <c r="V9903">
        <v>7.0806100217864903E-3</v>
      </c>
      <c r="W9903">
        <v>1260313.2701328199</v>
      </c>
      <c r="X9903" t="s">
        <v>40</v>
      </c>
      <c r="Y9903">
        <f>1-788-207-9076</f>
        <v>-10070</v>
      </c>
    </row>
    <row r="9904" spans="1:25" x14ac:dyDescent="0.35">
      <c r="A9904">
        <v>32.924921211365202</v>
      </c>
      <c r="B9904">
        <v>-115.432451344752</v>
      </c>
      <c r="C9904" t="s">
        <v>29</v>
      </c>
      <c r="D9904">
        <v>48.737265910593798</v>
      </c>
      <c r="E9904">
        <v>5</v>
      </c>
      <c r="F9904">
        <v>3944</v>
      </c>
      <c r="G9904">
        <v>1</v>
      </c>
      <c r="H9904">
        <v>2</v>
      </c>
      <c r="I9904">
        <v>1958</v>
      </c>
      <c r="J9904">
        <v>1</v>
      </c>
      <c r="K9904">
        <v>0</v>
      </c>
      <c r="L9904">
        <v>0</v>
      </c>
      <c r="M9904">
        <v>2</v>
      </c>
      <c r="N9904" t="s">
        <v>41</v>
      </c>
      <c r="O9904" t="s">
        <v>32</v>
      </c>
      <c r="P9904">
        <v>14.133748908329601</v>
      </c>
      <c r="Q9904">
        <v>1.12669855945877</v>
      </c>
      <c r="R9904">
        <v>8.7775794298170506</v>
      </c>
      <c r="S9904">
        <v>151</v>
      </c>
      <c r="T9904">
        <v>73</v>
      </c>
      <c r="U9904">
        <v>788.483386246495</v>
      </c>
      <c r="V9904">
        <v>5.0709939148073E-4</v>
      </c>
      <c r="W9904">
        <v>3165858.83478978</v>
      </c>
      <c r="X9904" t="s">
        <v>31</v>
      </c>
      <c r="Y9904">
        <f>1-932-259-7849</f>
        <v>-9039</v>
      </c>
    </row>
    <row r="9905" spans="1:25" x14ac:dyDescent="0.35">
      <c r="A9905">
        <v>35.9895505024868</v>
      </c>
      <c r="B9905">
        <v>-122.843240009886</v>
      </c>
      <c r="C9905" t="s">
        <v>25</v>
      </c>
      <c r="D9905">
        <v>47.680874184681102</v>
      </c>
      <c r="E9905">
        <v>7</v>
      </c>
      <c r="F9905">
        <v>4640</v>
      </c>
      <c r="G9905">
        <v>1</v>
      </c>
      <c r="H9905">
        <v>3</v>
      </c>
      <c r="I9905">
        <v>1975</v>
      </c>
      <c r="J9905">
        <v>0</v>
      </c>
      <c r="K9905">
        <v>0</v>
      </c>
      <c r="L9905">
        <v>1</v>
      </c>
      <c r="M9905">
        <v>13</v>
      </c>
      <c r="N9905" t="s">
        <v>41</v>
      </c>
      <c r="O9905" t="s">
        <v>32</v>
      </c>
      <c r="P9905">
        <v>13.4535707130782</v>
      </c>
      <c r="Q9905">
        <v>2.0860248596053599</v>
      </c>
      <c r="R9905">
        <v>4.1216557746516198</v>
      </c>
      <c r="S9905">
        <v>111</v>
      </c>
      <c r="T9905">
        <v>53</v>
      </c>
      <c r="U9905">
        <v>310.674961786464</v>
      </c>
      <c r="V9905">
        <v>2.8017241379310301E-3</v>
      </c>
      <c r="W9905">
        <v>1642147.9525873901</v>
      </c>
      <c r="X9905" t="s">
        <v>43</v>
      </c>
      <c r="Y9905">
        <f>1-381-559-8995</f>
        <v>-9934</v>
      </c>
    </row>
    <row r="9906" spans="1:25" x14ac:dyDescent="0.35">
      <c r="A9906">
        <v>36.773172128364699</v>
      </c>
      <c r="B9906">
        <v>-114.72126809013</v>
      </c>
      <c r="C9906" t="s">
        <v>29</v>
      </c>
      <c r="D9906">
        <v>7.5187731989842197</v>
      </c>
      <c r="E9906">
        <v>8</v>
      </c>
      <c r="F9906">
        <v>2878</v>
      </c>
      <c r="G9906">
        <v>5</v>
      </c>
      <c r="H9906">
        <v>3</v>
      </c>
      <c r="I9906">
        <v>1957</v>
      </c>
      <c r="J9906">
        <v>1</v>
      </c>
      <c r="K9906">
        <v>0</v>
      </c>
      <c r="L9906">
        <v>0</v>
      </c>
      <c r="M9906">
        <v>13</v>
      </c>
      <c r="N9906" t="s">
        <v>37</v>
      </c>
      <c r="O9906" t="s">
        <v>30</v>
      </c>
      <c r="P9906">
        <v>9.0013201726386605</v>
      </c>
      <c r="Q9906">
        <v>0.67030015067475501</v>
      </c>
      <c r="R9906">
        <v>1.23230395996233</v>
      </c>
      <c r="S9906">
        <v>67</v>
      </c>
      <c r="T9906">
        <v>36</v>
      </c>
      <c r="U9906">
        <v>643.15500995350101</v>
      </c>
      <c r="V9906">
        <v>4.5170257123001998E-3</v>
      </c>
      <c r="W9906">
        <v>2190966.25162913</v>
      </c>
      <c r="X9906" t="s">
        <v>31</v>
      </c>
      <c r="Y9906">
        <f>1-974-508-9241</f>
        <v>-10722</v>
      </c>
    </row>
    <row r="9907" spans="1:25" x14ac:dyDescent="0.35">
      <c r="A9907">
        <v>36.974511995493799</v>
      </c>
      <c r="B9907">
        <v>-118.345322599982</v>
      </c>
      <c r="C9907" t="s">
        <v>25</v>
      </c>
      <c r="D9907">
        <v>15.7879614555701</v>
      </c>
      <c r="E9907">
        <v>9</v>
      </c>
      <c r="F9907">
        <v>3162</v>
      </c>
      <c r="G9907">
        <v>4</v>
      </c>
      <c r="H9907">
        <v>3</v>
      </c>
      <c r="I9907">
        <v>1968</v>
      </c>
      <c r="J9907">
        <v>0</v>
      </c>
      <c r="K9907">
        <v>1</v>
      </c>
      <c r="L9907">
        <v>1</v>
      </c>
      <c r="M9907">
        <v>12</v>
      </c>
      <c r="N9907" t="s">
        <v>37</v>
      </c>
      <c r="O9907" t="s">
        <v>32</v>
      </c>
      <c r="P9907">
        <v>7.1064710593814899</v>
      </c>
      <c r="Q9907">
        <v>1.9337567940065199</v>
      </c>
      <c r="R9907">
        <v>3.3567361830149398</v>
      </c>
      <c r="S9907">
        <v>87</v>
      </c>
      <c r="T9907">
        <v>20</v>
      </c>
      <c r="U9907">
        <v>589.18664841899204</v>
      </c>
      <c r="V9907">
        <v>3.7950664136622301E-3</v>
      </c>
      <c r="W9907">
        <v>2248388.4433658998</v>
      </c>
      <c r="X9907" t="s">
        <v>39</v>
      </c>
      <c r="Y9907">
        <f>1-479-968-9485</f>
        <v>-10931</v>
      </c>
    </row>
    <row r="9908" spans="1:25" x14ac:dyDescent="0.35">
      <c r="A9908">
        <v>37.941192397165601</v>
      </c>
      <c r="B9908">
        <v>-120.850098587487</v>
      </c>
      <c r="C9908" t="s">
        <v>29</v>
      </c>
      <c r="D9908">
        <v>15.562555119747101</v>
      </c>
      <c r="E9908">
        <v>0</v>
      </c>
      <c r="F9908">
        <v>1635</v>
      </c>
      <c r="G9908">
        <v>3</v>
      </c>
      <c r="H9908">
        <v>2</v>
      </c>
      <c r="I9908">
        <v>1983</v>
      </c>
      <c r="J9908">
        <v>1</v>
      </c>
      <c r="K9908">
        <v>0</v>
      </c>
      <c r="L9908">
        <v>0</v>
      </c>
      <c r="M9908">
        <v>11</v>
      </c>
      <c r="N9908" t="s">
        <v>37</v>
      </c>
      <c r="O9908" t="s">
        <v>27</v>
      </c>
      <c r="P9908">
        <v>4.4629473863113098</v>
      </c>
      <c r="Q9908">
        <v>0.63712672500607903</v>
      </c>
      <c r="R9908">
        <v>8.8754034670442703</v>
      </c>
      <c r="S9908">
        <v>113</v>
      </c>
      <c r="T9908">
        <v>54</v>
      </c>
      <c r="U9908">
        <v>855.65315202499301</v>
      </c>
      <c r="V9908">
        <v>6.7278287461773698E-3</v>
      </c>
      <c r="W9908">
        <v>1516944.7182417801</v>
      </c>
      <c r="X9908" t="s">
        <v>36</v>
      </c>
      <c r="Y9908">
        <f>1-573-480-5616</f>
        <v>-6668</v>
      </c>
    </row>
    <row r="9909" spans="1:25" x14ac:dyDescent="0.35">
      <c r="A9909">
        <v>40.165663588795297</v>
      </c>
      <c r="B9909">
        <v>-120.19664352771601</v>
      </c>
      <c r="C9909" t="s">
        <v>34</v>
      </c>
      <c r="D9909">
        <v>35.5208524406805</v>
      </c>
      <c r="E9909">
        <v>5</v>
      </c>
      <c r="F9909">
        <v>4996</v>
      </c>
      <c r="G9909">
        <v>4</v>
      </c>
      <c r="H9909">
        <v>1</v>
      </c>
      <c r="I9909">
        <v>2005</v>
      </c>
      <c r="J9909">
        <v>1</v>
      </c>
      <c r="K9909">
        <v>1</v>
      </c>
      <c r="L9909">
        <v>1</v>
      </c>
      <c r="M9909">
        <v>4</v>
      </c>
      <c r="N9909" t="s">
        <v>26</v>
      </c>
      <c r="O9909" t="s">
        <v>30</v>
      </c>
      <c r="P9909">
        <v>2.9501576461735799</v>
      </c>
      <c r="Q9909">
        <v>1.1562742188689299</v>
      </c>
      <c r="R9909">
        <v>5.4562725689013396</v>
      </c>
      <c r="S9909">
        <v>82</v>
      </c>
      <c r="T9909">
        <v>33</v>
      </c>
      <c r="U9909">
        <v>263.56027137640098</v>
      </c>
      <c r="V9909">
        <v>8.0064051240992702E-4</v>
      </c>
      <c r="W9909">
        <v>1680316.72539629</v>
      </c>
      <c r="X9909" t="s">
        <v>28</v>
      </c>
      <c r="Y9909">
        <f>1-681-688-2782</f>
        <v>-4150</v>
      </c>
    </row>
    <row r="9910" spans="1:25" x14ac:dyDescent="0.35">
      <c r="A9910">
        <v>40.918969174069296</v>
      </c>
      <c r="B9910">
        <v>-117.248789335794</v>
      </c>
      <c r="C9910" t="s">
        <v>34</v>
      </c>
      <c r="D9910">
        <v>44.902901240047697</v>
      </c>
      <c r="E9910">
        <v>6</v>
      </c>
      <c r="F9910">
        <v>2143</v>
      </c>
      <c r="G9910">
        <v>4</v>
      </c>
      <c r="H9910">
        <v>2</v>
      </c>
      <c r="I9910">
        <v>2018</v>
      </c>
      <c r="J9910">
        <v>0</v>
      </c>
      <c r="K9910">
        <v>1</v>
      </c>
      <c r="L9910">
        <v>1</v>
      </c>
      <c r="M9910">
        <v>3</v>
      </c>
      <c r="N9910" t="s">
        <v>35</v>
      </c>
      <c r="O9910" t="s">
        <v>30</v>
      </c>
      <c r="P9910">
        <v>7.0189286383671003</v>
      </c>
      <c r="Q9910">
        <v>1.3986974566735</v>
      </c>
      <c r="R9910">
        <v>6.8137677072526701</v>
      </c>
      <c r="S9910">
        <v>24</v>
      </c>
      <c r="T9910">
        <v>51</v>
      </c>
      <c r="U9910">
        <v>767.64222005474005</v>
      </c>
      <c r="V9910">
        <v>1.39990667288847E-3</v>
      </c>
      <c r="W9910">
        <v>2073933.10509694</v>
      </c>
      <c r="X9910" t="s">
        <v>42</v>
      </c>
      <c r="Y9910">
        <f>1-362-695-7639</f>
        <v>-8695</v>
      </c>
    </row>
    <row r="9911" spans="1:25" x14ac:dyDescent="0.35">
      <c r="A9911">
        <v>36.238473095385402</v>
      </c>
      <c r="B9911">
        <v>-117.169231966345</v>
      </c>
      <c r="C9911" t="s">
        <v>25</v>
      </c>
      <c r="D9911">
        <v>35.966200223320598</v>
      </c>
      <c r="E9911">
        <v>9</v>
      </c>
      <c r="F9911">
        <v>2328</v>
      </c>
      <c r="G9911">
        <v>5</v>
      </c>
      <c r="H9911">
        <v>1</v>
      </c>
      <c r="I9911">
        <v>1990</v>
      </c>
      <c r="J9911">
        <v>1</v>
      </c>
      <c r="K9911">
        <v>0</v>
      </c>
      <c r="L9911">
        <v>0</v>
      </c>
      <c r="M9911">
        <v>6</v>
      </c>
      <c r="N9911" t="s">
        <v>37</v>
      </c>
      <c r="O9911" t="s">
        <v>32</v>
      </c>
      <c r="P9911">
        <v>9.0099572070043692</v>
      </c>
      <c r="Q9911">
        <v>0.87240463899452503</v>
      </c>
      <c r="R9911">
        <v>4.5500831741179697</v>
      </c>
      <c r="S9911">
        <v>33</v>
      </c>
      <c r="T9911">
        <v>22</v>
      </c>
      <c r="U9911">
        <v>569.96200032526099</v>
      </c>
      <c r="V9911">
        <v>2.5773195876288599E-3</v>
      </c>
      <c r="W9911">
        <v>1710293.5287456301</v>
      </c>
      <c r="X9911" t="s">
        <v>31</v>
      </c>
      <c r="Y9911">
        <f>1-437-214-5134</f>
        <v>-5784</v>
      </c>
    </row>
    <row r="9912" spans="1:25" x14ac:dyDescent="0.35">
      <c r="A9912">
        <v>39.715824215777999</v>
      </c>
      <c r="B9912">
        <v>-114.67291883663999</v>
      </c>
      <c r="C9912" t="s">
        <v>25</v>
      </c>
      <c r="D9912">
        <v>6.3465529442932196</v>
      </c>
      <c r="E9912">
        <v>3</v>
      </c>
      <c r="F9912">
        <v>3718</v>
      </c>
      <c r="G9912">
        <v>2</v>
      </c>
      <c r="H9912">
        <v>2</v>
      </c>
      <c r="I9912">
        <v>1995</v>
      </c>
      <c r="J9912">
        <v>0</v>
      </c>
      <c r="K9912">
        <v>1</v>
      </c>
      <c r="L9912">
        <v>0</v>
      </c>
      <c r="M9912">
        <v>8</v>
      </c>
      <c r="N9912" t="s">
        <v>35</v>
      </c>
      <c r="O9912" t="s">
        <v>27</v>
      </c>
      <c r="P9912">
        <v>5.3452093235382803</v>
      </c>
      <c r="Q9912">
        <v>1.4283867629018501</v>
      </c>
      <c r="R9912">
        <v>9.6176637026488692</v>
      </c>
      <c r="S9912">
        <v>123</v>
      </c>
      <c r="T9912">
        <v>76</v>
      </c>
      <c r="U9912">
        <v>620.077420873297</v>
      </c>
      <c r="V9912">
        <v>2.15169445938676E-3</v>
      </c>
      <c r="W9912">
        <v>2589851.0901722298</v>
      </c>
      <c r="X9912" t="s">
        <v>38</v>
      </c>
      <c r="Y9912">
        <f>1-568-961-5912</f>
        <v>-7440</v>
      </c>
    </row>
    <row r="9913" spans="1:25" x14ac:dyDescent="0.35">
      <c r="A9913">
        <v>33.8864258826069</v>
      </c>
      <c r="B9913">
        <v>-118.717597299837</v>
      </c>
      <c r="C9913" t="s">
        <v>29</v>
      </c>
      <c r="D9913">
        <v>31.7980330210974</v>
      </c>
      <c r="E9913">
        <v>3</v>
      </c>
      <c r="F9913">
        <v>976</v>
      </c>
      <c r="G9913">
        <v>4</v>
      </c>
      <c r="H9913">
        <v>2</v>
      </c>
      <c r="I9913">
        <v>2012</v>
      </c>
      <c r="J9913">
        <v>1</v>
      </c>
      <c r="K9913">
        <v>0</v>
      </c>
      <c r="L9913">
        <v>1</v>
      </c>
      <c r="M9913">
        <v>10</v>
      </c>
      <c r="N9913" t="s">
        <v>35</v>
      </c>
      <c r="O9913" t="s">
        <v>27</v>
      </c>
      <c r="P9913">
        <v>5.3308962785619398</v>
      </c>
      <c r="Q9913">
        <v>2.4191430638166</v>
      </c>
      <c r="R9913">
        <v>6.1640842259004902</v>
      </c>
      <c r="S9913">
        <v>198</v>
      </c>
      <c r="T9913">
        <v>39</v>
      </c>
      <c r="U9913">
        <v>411.15885753349897</v>
      </c>
      <c r="V9913">
        <v>1.0245901639344201E-2</v>
      </c>
      <c r="W9913">
        <v>671983.60007759905</v>
      </c>
      <c r="X9913" t="s">
        <v>36</v>
      </c>
      <c r="Y9913">
        <f>1-477-436-9082</f>
        <v>-9994</v>
      </c>
    </row>
    <row r="9914" spans="1:25" x14ac:dyDescent="0.35">
      <c r="A9914">
        <v>39.103651652285201</v>
      </c>
      <c r="B9914">
        <v>-117.67282614245001</v>
      </c>
      <c r="C9914" t="s">
        <v>34</v>
      </c>
      <c r="D9914">
        <v>37.173833168716001</v>
      </c>
      <c r="E9914">
        <v>9</v>
      </c>
      <c r="F9914">
        <v>2123</v>
      </c>
      <c r="G9914">
        <v>2</v>
      </c>
      <c r="H9914">
        <v>2</v>
      </c>
      <c r="I9914">
        <v>1969</v>
      </c>
      <c r="J9914">
        <v>1</v>
      </c>
      <c r="K9914">
        <v>1</v>
      </c>
      <c r="L9914">
        <v>0</v>
      </c>
      <c r="M9914">
        <v>9</v>
      </c>
      <c r="N9914" t="s">
        <v>37</v>
      </c>
      <c r="O9914" t="s">
        <v>30</v>
      </c>
      <c r="P9914">
        <v>8.0331568282691599</v>
      </c>
      <c r="Q9914">
        <v>0.82975098902800504</v>
      </c>
      <c r="R9914">
        <v>1.56741408287067</v>
      </c>
      <c r="S9914">
        <v>116</v>
      </c>
      <c r="T9914">
        <v>42</v>
      </c>
      <c r="U9914">
        <v>346.18951939179902</v>
      </c>
      <c r="V9914">
        <v>4.2392840320301401E-3</v>
      </c>
      <c r="W9914">
        <v>920694.75927190203</v>
      </c>
      <c r="X9914" t="s">
        <v>40</v>
      </c>
      <c r="Y9914">
        <f>1-894-824-9759</f>
        <v>-11476</v>
      </c>
    </row>
    <row r="9915" spans="1:25" x14ac:dyDescent="0.35">
      <c r="A9915">
        <v>33.098323337786297</v>
      </c>
      <c r="B9915">
        <v>-117.231338729398</v>
      </c>
      <c r="C9915" t="s">
        <v>34</v>
      </c>
      <c r="D9915">
        <v>13.256024948313099</v>
      </c>
      <c r="E9915">
        <v>1</v>
      </c>
      <c r="F9915">
        <v>3686</v>
      </c>
      <c r="G9915">
        <v>3</v>
      </c>
      <c r="H9915">
        <v>1</v>
      </c>
      <c r="I9915">
        <v>1995</v>
      </c>
      <c r="J9915">
        <v>1</v>
      </c>
      <c r="K9915">
        <v>0</v>
      </c>
      <c r="L9915">
        <v>1</v>
      </c>
      <c r="M9915">
        <v>10</v>
      </c>
      <c r="N9915" t="s">
        <v>37</v>
      </c>
      <c r="O9915" t="s">
        <v>30</v>
      </c>
      <c r="P9915">
        <v>6.9944491274357299</v>
      </c>
      <c r="Q9915">
        <v>0.81727981905980096</v>
      </c>
      <c r="R9915">
        <v>3.27043706063471</v>
      </c>
      <c r="S9915">
        <v>129</v>
      </c>
      <c r="T9915">
        <v>34</v>
      </c>
      <c r="U9915">
        <v>542.28663301628399</v>
      </c>
      <c r="V9915">
        <v>2.7129679869777501E-3</v>
      </c>
      <c r="W9915">
        <v>2275450.9708976899</v>
      </c>
      <c r="X9915" t="s">
        <v>42</v>
      </c>
      <c r="Y9915">
        <f>1-977-852-5179</f>
        <v>-7007</v>
      </c>
    </row>
    <row r="9916" spans="1:25" x14ac:dyDescent="0.35">
      <c r="A9916">
        <v>40.758219679673402</v>
      </c>
      <c r="B9916">
        <v>-119.44961681620001</v>
      </c>
      <c r="C9916" t="s">
        <v>25</v>
      </c>
      <c r="D9916">
        <v>4.8019718765050996</v>
      </c>
      <c r="E9916">
        <v>8</v>
      </c>
      <c r="F9916">
        <v>2525</v>
      </c>
      <c r="G9916">
        <v>3</v>
      </c>
      <c r="H9916">
        <v>3</v>
      </c>
      <c r="I9916">
        <v>1996</v>
      </c>
      <c r="J9916">
        <v>1</v>
      </c>
      <c r="K9916">
        <v>0</v>
      </c>
      <c r="L9916">
        <v>0</v>
      </c>
      <c r="M9916">
        <v>5</v>
      </c>
      <c r="N9916" t="s">
        <v>26</v>
      </c>
      <c r="O9916" t="s">
        <v>30</v>
      </c>
      <c r="P9916">
        <v>9.8874248510705005</v>
      </c>
      <c r="Q9916">
        <v>1.77628192308695</v>
      </c>
      <c r="R9916">
        <v>4.4813240829099197</v>
      </c>
      <c r="S9916">
        <v>68</v>
      </c>
      <c r="T9916">
        <v>65</v>
      </c>
      <c r="U9916">
        <v>221.26025386974899</v>
      </c>
      <c r="V9916">
        <v>1.9801980198019798E-3</v>
      </c>
      <c r="W9916">
        <v>923349.54087563104</v>
      </c>
      <c r="X9916" t="s">
        <v>31</v>
      </c>
      <c r="Y9916">
        <f>1-375-396-1578</f>
        <v>-2348</v>
      </c>
    </row>
    <row r="9917" spans="1:25" x14ac:dyDescent="0.35">
      <c r="A9917">
        <v>41.922979429464398</v>
      </c>
      <c r="B9917">
        <v>-123.866683444834</v>
      </c>
      <c r="C9917" t="s">
        <v>25</v>
      </c>
      <c r="D9917">
        <v>39.035497202494597</v>
      </c>
      <c r="E9917">
        <v>1</v>
      </c>
      <c r="F9917">
        <v>4891</v>
      </c>
      <c r="G9917">
        <v>2</v>
      </c>
      <c r="H9917">
        <v>2</v>
      </c>
      <c r="I9917">
        <v>2001</v>
      </c>
      <c r="J9917">
        <v>0</v>
      </c>
      <c r="K9917">
        <v>0</v>
      </c>
      <c r="L9917">
        <v>1</v>
      </c>
      <c r="M9917">
        <v>4</v>
      </c>
      <c r="N9917" t="s">
        <v>26</v>
      </c>
      <c r="O9917" t="s">
        <v>32</v>
      </c>
      <c r="P9917">
        <v>5.4997242152427201</v>
      </c>
      <c r="Q9917">
        <v>1.3522035242774999</v>
      </c>
      <c r="R9917">
        <v>9.8525369341582092</v>
      </c>
      <c r="S9917">
        <v>46</v>
      </c>
      <c r="T9917">
        <v>62</v>
      </c>
      <c r="U9917">
        <v>414.54916489328798</v>
      </c>
      <c r="V9917">
        <v>8.1782866489470401E-4</v>
      </c>
      <c r="W9917">
        <v>2271761.76439009</v>
      </c>
      <c r="X9917" t="s">
        <v>33</v>
      </c>
      <c r="Y9917">
        <f>1-705-314-5525</f>
        <v>-6543</v>
      </c>
    </row>
    <row r="9918" spans="1:25" x14ac:dyDescent="0.35">
      <c r="A9918">
        <v>37.698184733187603</v>
      </c>
      <c r="B9918">
        <v>-119.487084714695</v>
      </c>
      <c r="C9918" t="s">
        <v>29</v>
      </c>
      <c r="D9918">
        <v>19.393527177984701</v>
      </c>
      <c r="E9918">
        <v>2</v>
      </c>
      <c r="F9918">
        <v>1701</v>
      </c>
      <c r="G9918">
        <v>1</v>
      </c>
      <c r="H9918">
        <v>1</v>
      </c>
      <c r="I9918">
        <v>1986</v>
      </c>
      <c r="J9918">
        <v>0</v>
      </c>
      <c r="K9918">
        <v>1</v>
      </c>
      <c r="L9918">
        <v>1</v>
      </c>
      <c r="M9918">
        <v>5</v>
      </c>
      <c r="N9918" t="s">
        <v>35</v>
      </c>
      <c r="O9918" t="s">
        <v>30</v>
      </c>
      <c r="P9918">
        <v>9.2185957481303902</v>
      </c>
      <c r="Q9918">
        <v>0.789012638209735</v>
      </c>
      <c r="R9918">
        <v>2.74468746602505</v>
      </c>
      <c r="S9918">
        <v>73</v>
      </c>
      <c r="T9918">
        <v>21</v>
      </c>
      <c r="U9918">
        <v>374.37542483129198</v>
      </c>
      <c r="V9918">
        <v>2.9394473838918198E-3</v>
      </c>
      <c r="W9918">
        <v>928744.02876000002</v>
      </c>
      <c r="X9918" t="s">
        <v>31</v>
      </c>
      <c r="Y9918">
        <f>1-779-925-2778</f>
        <v>-4481</v>
      </c>
    </row>
    <row r="9919" spans="1:25" x14ac:dyDescent="0.35">
      <c r="A9919">
        <v>33.3309840363981</v>
      </c>
      <c r="B9919">
        <v>-118.077290850845</v>
      </c>
      <c r="C9919" t="s">
        <v>34</v>
      </c>
      <c r="D9919">
        <v>39.153758898448601</v>
      </c>
      <c r="E9919">
        <v>2</v>
      </c>
      <c r="F9919">
        <v>3619</v>
      </c>
      <c r="G9919">
        <v>1</v>
      </c>
      <c r="H9919">
        <v>1</v>
      </c>
      <c r="I9919">
        <v>1950</v>
      </c>
      <c r="J9919">
        <v>0</v>
      </c>
      <c r="K9919">
        <v>1</v>
      </c>
      <c r="L9919">
        <v>1</v>
      </c>
      <c r="M9919">
        <v>4</v>
      </c>
      <c r="N9919" t="s">
        <v>41</v>
      </c>
      <c r="O9919" t="s">
        <v>32</v>
      </c>
      <c r="P9919">
        <v>9.0014581808767709</v>
      </c>
      <c r="Q9919">
        <v>1.7841045647790299</v>
      </c>
      <c r="R9919">
        <v>1.6641427239119899</v>
      </c>
      <c r="S9919">
        <v>127</v>
      </c>
      <c r="T9919">
        <v>50</v>
      </c>
      <c r="U9919">
        <v>317.02295428039997</v>
      </c>
      <c r="V9919">
        <v>1.1052777010223799E-3</v>
      </c>
      <c r="W9919">
        <v>1363522.66090456</v>
      </c>
      <c r="X9919" t="s">
        <v>43</v>
      </c>
      <c r="Y9919">
        <f>1-286-559-8539</f>
        <v>-9383</v>
      </c>
    </row>
    <row r="9920" spans="1:25" x14ac:dyDescent="0.35">
      <c r="A9920">
        <v>34.4248637205432</v>
      </c>
      <c r="B9920">
        <v>-124.496644076629</v>
      </c>
      <c r="C9920" t="s">
        <v>25</v>
      </c>
      <c r="D9920">
        <v>11.1708306681486</v>
      </c>
      <c r="E9920">
        <v>2</v>
      </c>
      <c r="F9920">
        <v>2260</v>
      </c>
      <c r="G9920">
        <v>1</v>
      </c>
      <c r="H9920">
        <v>2</v>
      </c>
      <c r="I9920">
        <v>1968</v>
      </c>
      <c r="J9920">
        <v>1</v>
      </c>
      <c r="K9920">
        <v>0</v>
      </c>
      <c r="L9920">
        <v>1</v>
      </c>
      <c r="M9920">
        <v>14</v>
      </c>
      <c r="N9920" t="s">
        <v>35</v>
      </c>
      <c r="O9920" t="s">
        <v>32</v>
      </c>
      <c r="P9920">
        <v>2.2674669176218001</v>
      </c>
      <c r="Q9920">
        <v>2.4904591221727701</v>
      </c>
      <c r="R9920">
        <v>8.1017021209878504</v>
      </c>
      <c r="S9920">
        <v>12</v>
      </c>
      <c r="T9920">
        <v>61</v>
      </c>
      <c r="U9920">
        <v>385.58832581619498</v>
      </c>
      <c r="V9920">
        <v>6.1946902654867204E-3</v>
      </c>
      <c r="W9920">
        <v>1003679.05684328</v>
      </c>
      <c r="X9920" t="s">
        <v>33</v>
      </c>
      <c r="Y9920">
        <f>1-549-593-4019</f>
        <v>-5160</v>
      </c>
    </row>
    <row r="9921" spans="1:25" x14ac:dyDescent="0.35">
      <c r="A9921">
        <v>39.5390884373356</v>
      </c>
      <c r="B9921">
        <v>-121.392975373114</v>
      </c>
      <c r="C9921" t="s">
        <v>34</v>
      </c>
      <c r="D9921">
        <v>18.465977119650798</v>
      </c>
      <c r="E9921">
        <v>3</v>
      </c>
      <c r="F9921">
        <v>666</v>
      </c>
      <c r="G9921">
        <v>4</v>
      </c>
      <c r="H9921">
        <v>1</v>
      </c>
      <c r="I9921">
        <v>1979</v>
      </c>
      <c r="J9921">
        <v>1</v>
      </c>
      <c r="K9921">
        <v>1</v>
      </c>
      <c r="L9921">
        <v>1</v>
      </c>
      <c r="M9921">
        <v>2</v>
      </c>
      <c r="N9921" t="s">
        <v>26</v>
      </c>
      <c r="O9921" t="s">
        <v>27</v>
      </c>
      <c r="P9921">
        <v>11.5070299742258</v>
      </c>
      <c r="Q9921">
        <v>1.33616695062336</v>
      </c>
      <c r="R9921">
        <v>5.69156951206614</v>
      </c>
      <c r="S9921">
        <v>161</v>
      </c>
      <c r="T9921">
        <v>33</v>
      </c>
      <c r="U9921">
        <v>713.92547388559296</v>
      </c>
      <c r="V9921">
        <v>3.0030030030029999E-3</v>
      </c>
      <c r="W9921">
        <v>810471.73389250401</v>
      </c>
      <c r="X9921" t="s">
        <v>39</v>
      </c>
      <c r="Y9921">
        <f>1-718-446-6367</f>
        <v>-7530</v>
      </c>
    </row>
    <row r="9922" spans="1:25" x14ac:dyDescent="0.35">
      <c r="A9922">
        <v>36.1236321288224</v>
      </c>
      <c r="B9922">
        <v>-120.92459108400899</v>
      </c>
      <c r="C9922" t="s">
        <v>34</v>
      </c>
      <c r="D9922">
        <v>3.8372428615050498</v>
      </c>
      <c r="E9922">
        <v>1</v>
      </c>
      <c r="F9922">
        <v>3249</v>
      </c>
      <c r="G9922">
        <v>4</v>
      </c>
      <c r="H9922">
        <v>2</v>
      </c>
      <c r="I9922">
        <v>2020</v>
      </c>
      <c r="J9922">
        <v>1</v>
      </c>
      <c r="K9922">
        <v>0</v>
      </c>
      <c r="L9922">
        <v>1</v>
      </c>
      <c r="M9922">
        <v>8</v>
      </c>
      <c r="N9922" t="s">
        <v>41</v>
      </c>
      <c r="O9922" t="s">
        <v>32</v>
      </c>
      <c r="P9922">
        <v>2.7400969004394402</v>
      </c>
      <c r="Q9922">
        <v>1.38043142301618</v>
      </c>
      <c r="R9922">
        <v>3.9201968011022701</v>
      </c>
      <c r="S9922">
        <v>81</v>
      </c>
      <c r="T9922">
        <v>20</v>
      </c>
      <c r="U9922">
        <v>946.38772553640194</v>
      </c>
      <c r="V9922">
        <v>2.4622960911049501E-3</v>
      </c>
      <c r="W9922">
        <v>3445204.4870949499</v>
      </c>
      <c r="X9922" t="s">
        <v>28</v>
      </c>
      <c r="Y9922">
        <f>1-321-695-2266</f>
        <v>-3281</v>
      </c>
    </row>
    <row r="9923" spans="1:25" x14ac:dyDescent="0.35">
      <c r="A9923">
        <v>41.557812369673499</v>
      </c>
      <c r="B9923">
        <v>-117.75640083850099</v>
      </c>
      <c r="C9923" t="s">
        <v>25</v>
      </c>
      <c r="D9923">
        <v>31.951105710227999</v>
      </c>
      <c r="E9923">
        <v>2</v>
      </c>
      <c r="F9923">
        <v>3593</v>
      </c>
      <c r="G9923">
        <v>5</v>
      </c>
      <c r="H9923">
        <v>3</v>
      </c>
      <c r="I9923">
        <v>1954</v>
      </c>
      <c r="J9923">
        <v>1</v>
      </c>
      <c r="K9923">
        <v>0</v>
      </c>
      <c r="L9923">
        <v>1</v>
      </c>
      <c r="M9923">
        <v>9</v>
      </c>
      <c r="N9923" t="s">
        <v>26</v>
      </c>
      <c r="O9923" t="s">
        <v>30</v>
      </c>
      <c r="P9923">
        <v>5.8866940509466197</v>
      </c>
      <c r="Q9923">
        <v>0.59929329101295403</v>
      </c>
      <c r="R9923">
        <v>7.5330160433664703</v>
      </c>
      <c r="S9923">
        <v>30</v>
      </c>
      <c r="T9923">
        <v>60</v>
      </c>
      <c r="U9923">
        <v>743.75672114368194</v>
      </c>
      <c r="V9923">
        <v>2.5048705816866101E-3</v>
      </c>
      <c r="W9923">
        <v>3023232.2079578498</v>
      </c>
      <c r="X9923" t="s">
        <v>31</v>
      </c>
      <c r="Y9923">
        <f>1-403-124-1633</f>
        <v>-2159</v>
      </c>
    </row>
    <row r="9924" spans="1:25" x14ac:dyDescent="0.35">
      <c r="A9924">
        <v>34.799403744628997</v>
      </c>
      <c r="B9924">
        <v>-117.290840364326</v>
      </c>
      <c r="C9924" t="s">
        <v>25</v>
      </c>
      <c r="D9924">
        <v>17.748013309605401</v>
      </c>
      <c r="E9924">
        <v>3</v>
      </c>
      <c r="F9924">
        <v>4063</v>
      </c>
      <c r="G9924">
        <v>2</v>
      </c>
      <c r="H9924">
        <v>3</v>
      </c>
      <c r="I9924">
        <v>1996</v>
      </c>
      <c r="J9924">
        <v>0</v>
      </c>
      <c r="K9924">
        <v>1</v>
      </c>
      <c r="L9924">
        <v>1</v>
      </c>
      <c r="M9924">
        <v>10</v>
      </c>
      <c r="N9924" t="s">
        <v>26</v>
      </c>
      <c r="O9924" t="s">
        <v>32</v>
      </c>
      <c r="P9924">
        <v>14.116645549584501</v>
      </c>
      <c r="Q9924">
        <v>0.75804227179776995</v>
      </c>
      <c r="R9924">
        <v>0.69202134945712301</v>
      </c>
      <c r="S9924">
        <v>58</v>
      </c>
      <c r="T9924">
        <v>52</v>
      </c>
      <c r="U9924">
        <v>284.20597774461697</v>
      </c>
      <c r="V9924">
        <v>2.4612355402411999E-3</v>
      </c>
      <c r="W9924">
        <v>1518799.1574145299</v>
      </c>
      <c r="X9924" t="s">
        <v>28</v>
      </c>
      <c r="Y9924">
        <f>1-279-193-9748</f>
        <v>-10219</v>
      </c>
    </row>
    <row r="9925" spans="1:25" x14ac:dyDescent="0.35">
      <c r="A9925">
        <v>41.7478137283507</v>
      </c>
      <c r="B9925">
        <v>-123.889274512574</v>
      </c>
      <c r="C9925" t="s">
        <v>29</v>
      </c>
      <c r="D9925">
        <v>30.409690312731598</v>
      </c>
      <c r="E9925">
        <v>7</v>
      </c>
      <c r="F9925">
        <v>2889</v>
      </c>
      <c r="G9925">
        <v>1</v>
      </c>
      <c r="H9925">
        <v>1</v>
      </c>
      <c r="I9925">
        <v>1996</v>
      </c>
      <c r="J9925">
        <v>0</v>
      </c>
      <c r="K9925">
        <v>0</v>
      </c>
      <c r="L9925">
        <v>0</v>
      </c>
      <c r="M9925">
        <v>4</v>
      </c>
      <c r="N9925" t="s">
        <v>26</v>
      </c>
      <c r="O9925" t="s">
        <v>30</v>
      </c>
      <c r="P9925">
        <v>9.8235447816005799</v>
      </c>
      <c r="Q9925">
        <v>2.42699419878236</v>
      </c>
      <c r="R9925">
        <v>5.0849207185603396</v>
      </c>
      <c r="S9925">
        <v>36</v>
      </c>
      <c r="T9925">
        <v>71</v>
      </c>
      <c r="U9925">
        <v>282.89425803127801</v>
      </c>
      <c r="V9925">
        <v>1.38456213222568E-3</v>
      </c>
      <c r="W9925">
        <v>910892.11307868105</v>
      </c>
      <c r="X9925" t="s">
        <v>36</v>
      </c>
      <c r="Y9925">
        <f>1-913-275-8298</f>
        <v>-9485</v>
      </c>
    </row>
    <row r="9926" spans="1:25" x14ac:dyDescent="0.35">
      <c r="A9926">
        <v>41.0151014143648</v>
      </c>
      <c r="B9926">
        <v>-121.283253747911</v>
      </c>
      <c r="C9926" t="s">
        <v>34</v>
      </c>
      <c r="D9926">
        <v>12.498806678457999</v>
      </c>
      <c r="E9926">
        <v>3</v>
      </c>
      <c r="F9926">
        <v>1264</v>
      </c>
      <c r="G9926">
        <v>3</v>
      </c>
      <c r="H9926">
        <v>2</v>
      </c>
      <c r="I9926">
        <v>1962</v>
      </c>
      <c r="J9926">
        <v>0</v>
      </c>
      <c r="K9926">
        <v>0</v>
      </c>
      <c r="L9926">
        <v>0</v>
      </c>
      <c r="M9926">
        <v>4</v>
      </c>
      <c r="N9926" t="s">
        <v>41</v>
      </c>
      <c r="O9926" t="s">
        <v>27</v>
      </c>
      <c r="P9926">
        <v>5.2712482652182704</v>
      </c>
      <c r="Q9926">
        <v>1.59286819050015</v>
      </c>
      <c r="R9926">
        <v>5.3668708566352699</v>
      </c>
      <c r="S9926">
        <v>112</v>
      </c>
      <c r="T9926">
        <v>64</v>
      </c>
      <c r="U9926">
        <v>974.69605546589503</v>
      </c>
      <c r="V9926">
        <v>3.1645569620253099E-3</v>
      </c>
      <c r="W9926">
        <v>1289136.2828701099</v>
      </c>
      <c r="X9926" t="s">
        <v>38</v>
      </c>
      <c r="Y9926">
        <f>1-313-751-2638</f>
        <v>-3701</v>
      </c>
    </row>
    <row r="9927" spans="1:25" x14ac:dyDescent="0.35">
      <c r="A9927">
        <v>36.657344020936797</v>
      </c>
      <c r="B9927">
        <v>-115.735986527656</v>
      </c>
      <c r="C9927" t="s">
        <v>29</v>
      </c>
      <c r="D9927">
        <v>25.840957975257101</v>
      </c>
      <c r="E9927">
        <v>1</v>
      </c>
      <c r="F9927">
        <v>2179</v>
      </c>
      <c r="G9927">
        <v>1</v>
      </c>
      <c r="H9927">
        <v>2</v>
      </c>
      <c r="I9927">
        <v>1967</v>
      </c>
      <c r="J9927">
        <v>1</v>
      </c>
      <c r="K9927">
        <v>1</v>
      </c>
      <c r="L9927">
        <v>0</v>
      </c>
      <c r="M9927">
        <v>12</v>
      </c>
      <c r="N9927" t="s">
        <v>37</v>
      </c>
      <c r="O9927" t="s">
        <v>27</v>
      </c>
      <c r="P9927">
        <v>10.385180160307799</v>
      </c>
      <c r="Q9927">
        <v>1.33848255360335</v>
      </c>
      <c r="R9927">
        <v>9.4089992534993101</v>
      </c>
      <c r="S9927">
        <v>74</v>
      </c>
      <c r="T9927">
        <v>73</v>
      </c>
      <c r="U9927">
        <v>797.80387843035896</v>
      </c>
      <c r="V9927">
        <v>5.5071133547498798E-3</v>
      </c>
      <c r="W9927">
        <v>1929677.8705452101</v>
      </c>
      <c r="X9927" t="s">
        <v>39</v>
      </c>
      <c r="Y9927">
        <f>1-708-997-7826</f>
        <v>-9530</v>
      </c>
    </row>
    <row r="9928" spans="1:25" x14ac:dyDescent="0.35">
      <c r="A9928">
        <v>33.188029610574503</v>
      </c>
      <c r="B9928">
        <v>-119.12098757607301</v>
      </c>
      <c r="C9928" t="s">
        <v>34</v>
      </c>
      <c r="D9928">
        <v>49.506541553630399</v>
      </c>
      <c r="E9928">
        <v>5</v>
      </c>
      <c r="F9928">
        <v>772</v>
      </c>
      <c r="G9928">
        <v>2</v>
      </c>
      <c r="H9928">
        <v>1</v>
      </c>
      <c r="I9928">
        <v>1976</v>
      </c>
      <c r="J9928">
        <v>1</v>
      </c>
      <c r="K9928">
        <v>1</v>
      </c>
      <c r="L9928">
        <v>0</v>
      </c>
      <c r="M9928">
        <v>3</v>
      </c>
      <c r="N9928" t="s">
        <v>41</v>
      </c>
      <c r="O9928" t="s">
        <v>32</v>
      </c>
      <c r="P9928">
        <v>13.659836306849</v>
      </c>
      <c r="Q9928">
        <v>2.2450127134940199</v>
      </c>
      <c r="R9928">
        <v>6.9108236684148796</v>
      </c>
      <c r="S9928">
        <v>127</v>
      </c>
      <c r="T9928">
        <v>68</v>
      </c>
      <c r="U9928">
        <v>801.74873745259697</v>
      </c>
      <c r="V9928">
        <v>3.8860103626943E-3</v>
      </c>
      <c r="W9928">
        <v>932372.05067029304</v>
      </c>
      <c r="X9928" t="s">
        <v>44</v>
      </c>
      <c r="Y9928">
        <f>1-899-387-1155</f>
        <v>-2440</v>
      </c>
    </row>
    <row r="9929" spans="1:25" x14ac:dyDescent="0.35">
      <c r="A9929">
        <v>41.717513145119</v>
      </c>
      <c r="B9929">
        <v>-117.96712077316199</v>
      </c>
      <c r="C9929" t="s">
        <v>34</v>
      </c>
      <c r="D9929">
        <v>41.390526570899802</v>
      </c>
      <c r="E9929">
        <v>6</v>
      </c>
      <c r="F9929">
        <v>687</v>
      </c>
      <c r="G9929">
        <v>4</v>
      </c>
      <c r="H9929">
        <v>2</v>
      </c>
      <c r="I9929">
        <v>2020</v>
      </c>
      <c r="J9929">
        <v>1</v>
      </c>
      <c r="K9929">
        <v>0</v>
      </c>
      <c r="L9929">
        <v>0</v>
      </c>
      <c r="M9929">
        <v>3</v>
      </c>
      <c r="N9929" t="s">
        <v>41</v>
      </c>
      <c r="O9929" t="s">
        <v>30</v>
      </c>
      <c r="P9929">
        <v>8.792013706593</v>
      </c>
      <c r="Q9929">
        <v>0.95145357326587598</v>
      </c>
      <c r="R9929">
        <v>1.83224160280964</v>
      </c>
      <c r="S9929">
        <v>164</v>
      </c>
      <c r="T9929">
        <v>64</v>
      </c>
      <c r="U9929">
        <v>826.54716578821797</v>
      </c>
      <c r="V9929">
        <v>4.3668122270742304E-3</v>
      </c>
      <c r="W9929">
        <v>973882.12577342195</v>
      </c>
      <c r="X9929" t="s">
        <v>44</v>
      </c>
      <c r="Y9929">
        <f>1-387-953-8210</f>
        <v>-9549</v>
      </c>
    </row>
    <row r="9930" spans="1:25" x14ac:dyDescent="0.35">
      <c r="A9930">
        <v>35.086302486940703</v>
      </c>
      <c r="B9930">
        <v>-119.873304508191</v>
      </c>
      <c r="C9930" t="s">
        <v>25</v>
      </c>
      <c r="D9930">
        <v>33.1803881722753</v>
      </c>
      <c r="E9930">
        <v>7</v>
      </c>
      <c r="F9930">
        <v>4814</v>
      </c>
      <c r="G9930">
        <v>5</v>
      </c>
      <c r="H9930">
        <v>1</v>
      </c>
      <c r="I9930">
        <v>2014</v>
      </c>
      <c r="J9930">
        <v>0</v>
      </c>
      <c r="K9930">
        <v>1</v>
      </c>
      <c r="L9930">
        <v>1</v>
      </c>
      <c r="M9930">
        <v>9</v>
      </c>
      <c r="N9930" t="s">
        <v>26</v>
      </c>
      <c r="O9930" t="s">
        <v>32</v>
      </c>
      <c r="P9930">
        <v>4.9973122582493996</v>
      </c>
      <c r="Q9930">
        <v>2.3945502832596</v>
      </c>
      <c r="R9930">
        <v>5.6624742183425401</v>
      </c>
      <c r="S9930">
        <v>27</v>
      </c>
      <c r="T9930">
        <v>41</v>
      </c>
      <c r="U9930">
        <v>386.56333372315601</v>
      </c>
      <c r="V9930">
        <v>1.86954715413377E-3</v>
      </c>
      <c r="W9930">
        <v>2234832.39289418</v>
      </c>
      <c r="X9930" t="s">
        <v>42</v>
      </c>
      <c r="Y9930">
        <f>1-396-326-8726</f>
        <v>-9447</v>
      </c>
    </row>
    <row r="9931" spans="1:25" x14ac:dyDescent="0.35">
      <c r="A9931">
        <v>36.482469863025699</v>
      </c>
      <c r="B9931">
        <v>-122.274479742244</v>
      </c>
      <c r="C9931" t="s">
        <v>29</v>
      </c>
      <c r="D9931">
        <v>35.0788121548471</v>
      </c>
      <c r="E9931">
        <v>4</v>
      </c>
      <c r="F9931">
        <v>763</v>
      </c>
      <c r="G9931">
        <v>1</v>
      </c>
      <c r="H9931">
        <v>2</v>
      </c>
      <c r="I9931">
        <v>1971</v>
      </c>
      <c r="J9931">
        <v>1</v>
      </c>
      <c r="K9931">
        <v>1</v>
      </c>
      <c r="L9931">
        <v>1</v>
      </c>
      <c r="M9931">
        <v>2</v>
      </c>
      <c r="N9931" t="s">
        <v>41</v>
      </c>
      <c r="O9931" t="s">
        <v>27</v>
      </c>
      <c r="P9931">
        <v>2.0479884653732001</v>
      </c>
      <c r="Q9931">
        <v>1.7834337275301699</v>
      </c>
      <c r="R9931">
        <v>3.8229637089701898</v>
      </c>
      <c r="S9931">
        <v>142</v>
      </c>
      <c r="T9931">
        <v>31</v>
      </c>
      <c r="U9931">
        <v>720.14237722400003</v>
      </c>
      <c r="V9931">
        <v>2.6212319790301399E-3</v>
      </c>
      <c r="W9931">
        <v>728870.67966080795</v>
      </c>
      <c r="X9931" t="s">
        <v>40</v>
      </c>
      <c r="Y9931">
        <f>1-586-120-7209</f>
        <v>-7914</v>
      </c>
    </row>
    <row r="9932" spans="1:25" x14ac:dyDescent="0.35">
      <c r="A9932">
        <v>34.404907469165202</v>
      </c>
      <c r="B9932">
        <v>-119.20253411613299</v>
      </c>
      <c r="C9932" t="s">
        <v>29</v>
      </c>
      <c r="D9932">
        <v>39.124789658041301</v>
      </c>
      <c r="E9932">
        <v>4</v>
      </c>
      <c r="F9932">
        <v>4329</v>
      </c>
      <c r="G9932">
        <v>3</v>
      </c>
      <c r="H9932">
        <v>1</v>
      </c>
      <c r="I9932">
        <v>1950</v>
      </c>
      <c r="J9932">
        <v>1</v>
      </c>
      <c r="K9932">
        <v>0</v>
      </c>
      <c r="L9932">
        <v>0</v>
      </c>
      <c r="M9932">
        <v>4</v>
      </c>
      <c r="N9932" t="s">
        <v>41</v>
      </c>
      <c r="O9932" t="s">
        <v>27</v>
      </c>
      <c r="P9932">
        <v>13.699507325316199</v>
      </c>
      <c r="Q9932">
        <v>2.05094667049128</v>
      </c>
      <c r="R9932">
        <v>6.4542372984547596</v>
      </c>
      <c r="S9932">
        <v>132</v>
      </c>
      <c r="T9932">
        <v>24</v>
      </c>
      <c r="U9932">
        <v>873.37432349883602</v>
      </c>
      <c r="V9932">
        <v>9.2400092400092397E-4</v>
      </c>
      <c r="W9932">
        <v>4025915.8815383702</v>
      </c>
      <c r="X9932" t="s">
        <v>42</v>
      </c>
      <c r="Y9932">
        <f>1-397-784-2227</f>
        <v>-3407</v>
      </c>
    </row>
    <row r="9933" spans="1:25" x14ac:dyDescent="0.35">
      <c r="A9933">
        <v>39.504153218211698</v>
      </c>
      <c r="B9933">
        <v>-123.884803677273</v>
      </c>
      <c r="C9933" t="s">
        <v>34</v>
      </c>
      <c r="D9933">
        <v>23.797652268183899</v>
      </c>
      <c r="E9933">
        <v>2</v>
      </c>
      <c r="F9933">
        <v>534</v>
      </c>
      <c r="G9933">
        <v>5</v>
      </c>
      <c r="H9933">
        <v>3</v>
      </c>
      <c r="I9933">
        <v>1979</v>
      </c>
      <c r="J9933">
        <v>0</v>
      </c>
      <c r="K9933">
        <v>1</v>
      </c>
      <c r="L9933">
        <v>1</v>
      </c>
      <c r="M9933">
        <v>4</v>
      </c>
      <c r="N9933" t="s">
        <v>41</v>
      </c>
      <c r="O9933" t="s">
        <v>27</v>
      </c>
      <c r="P9933">
        <v>11.121721287266601</v>
      </c>
      <c r="Q9933">
        <v>1.34517600214983</v>
      </c>
      <c r="R9933">
        <v>4.7613026067302204</v>
      </c>
      <c r="S9933">
        <v>145</v>
      </c>
      <c r="T9933">
        <v>72</v>
      </c>
      <c r="U9933">
        <v>783.92113182744197</v>
      </c>
      <c r="V9933">
        <v>7.4906367041198503E-3</v>
      </c>
      <c r="W9933">
        <v>874307.36761848698</v>
      </c>
      <c r="X9933" t="s">
        <v>31</v>
      </c>
      <c r="Y9933">
        <f>1-266-393-9698</f>
        <v>-10356</v>
      </c>
    </row>
    <row r="9934" spans="1:25" x14ac:dyDescent="0.35">
      <c r="A9934">
        <v>40.987685076888198</v>
      </c>
      <c r="B9934">
        <v>-122.99217589826399</v>
      </c>
      <c r="C9934" t="s">
        <v>34</v>
      </c>
      <c r="D9934">
        <v>40.388145192845499</v>
      </c>
      <c r="E9934">
        <v>0</v>
      </c>
      <c r="F9934">
        <v>2554</v>
      </c>
      <c r="G9934">
        <v>1</v>
      </c>
      <c r="H9934">
        <v>2</v>
      </c>
      <c r="I9934">
        <v>1973</v>
      </c>
      <c r="J9934">
        <v>1</v>
      </c>
      <c r="K9934">
        <v>1</v>
      </c>
      <c r="L9934">
        <v>0</v>
      </c>
      <c r="M9934">
        <v>12</v>
      </c>
      <c r="N9934" t="s">
        <v>35</v>
      </c>
      <c r="O9934" t="s">
        <v>30</v>
      </c>
      <c r="P9934">
        <v>10.041716065725501</v>
      </c>
      <c r="Q9934">
        <v>1.4898875763514701</v>
      </c>
      <c r="R9934">
        <v>9.9164684888421206</v>
      </c>
      <c r="S9934">
        <v>21</v>
      </c>
      <c r="T9934">
        <v>46</v>
      </c>
      <c r="U9934">
        <v>889.56696737058599</v>
      </c>
      <c r="V9934">
        <v>4.6985121378230197E-3</v>
      </c>
      <c r="W9934">
        <v>2556406.6619985299</v>
      </c>
      <c r="X9934" t="s">
        <v>43</v>
      </c>
      <c r="Y9934">
        <f>1-509-875-7341</f>
        <v>-8724</v>
      </c>
    </row>
    <row r="9935" spans="1:25" x14ac:dyDescent="0.35">
      <c r="A9935">
        <v>39.154512531127502</v>
      </c>
      <c r="B9935">
        <v>-121.262506428786</v>
      </c>
      <c r="C9935" t="s">
        <v>29</v>
      </c>
      <c r="D9935">
        <v>33.175921069622703</v>
      </c>
      <c r="E9935">
        <v>4</v>
      </c>
      <c r="F9935">
        <v>1732</v>
      </c>
      <c r="G9935">
        <v>4</v>
      </c>
      <c r="H9935">
        <v>1</v>
      </c>
      <c r="I9935">
        <v>1966</v>
      </c>
      <c r="J9935">
        <v>0</v>
      </c>
      <c r="K9935">
        <v>0</v>
      </c>
      <c r="L9935">
        <v>0</v>
      </c>
      <c r="M9935">
        <v>7</v>
      </c>
      <c r="N9935" t="s">
        <v>37</v>
      </c>
      <c r="O9935" t="s">
        <v>32</v>
      </c>
      <c r="P9935">
        <v>8.7906261786842492</v>
      </c>
      <c r="Q9935">
        <v>2.2744108194278998</v>
      </c>
      <c r="R9935">
        <v>0.14142887509180099</v>
      </c>
      <c r="S9935">
        <v>125</v>
      </c>
      <c r="T9935">
        <v>62</v>
      </c>
      <c r="U9935">
        <v>426.65100695904499</v>
      </c>
      <c r="V9935">
        <v>4.0415704387990704E-3</v>
      </c>
      <c r="W9935">
        <v>996814.07509665599</v>
      </c>
      <c r="X9935" t="s">
        <v>40</v>
      </c>
      <c r="Y9935">
        <f>1-850-436-8514</f>
        <v>-9799</v>
      </c>
    </row>
    <row r="9936" spans="1:25" x14ac:dyDescent="0.35">
      <c r="A9936">
        <v>37.225614018885899</v>
      </c>
      <c r="B9936">
        <v>-123.74488013125099</v>
      </c>
      <c r="C9936" t="s">
        <v>29</v>
      </c>
      <c r="D9936">
        <v>11.131334704537799</v>
      </c>
      <c r="E9936">
        <v>0</v>
      </c>
      <c r="F9936">
        <v>2348</v>
      </c>
      <c r="G9936">
        <v>2</v>
      </c>
      <c r="H9936">
        <v>1</v>
      </c>
      <c r="I9936">
        <v>1977</v>
      </c>
      <c r="J9936">
        <v>1</v>
      </c>
      <c r="K9936">
        <v>1</v>
      </c>
      <c r="L9936">
        <v>0</v>
      </c>
      <c r="M9936">
        <v>6</v>
      </c>
      <c r="N9936" t="s">
        <v>26</v>
      </c>
      <c r="O9936" t="s">
        <v>32</v>
      </c>
      <c r="P9936">
        <v>5.82712497516117</v>
      </c>
      <c r="Q9936">
        <v>1.40511630451125</v>
      </c>
      <c r="R9936">
        <v>8.0537935425983491</v>
      </c>
      <c r="S9936">
        <v>0</v>
      </c>
      <c r="T9936">
        <v>23</v>
      </c>
      <c r="U9936">
        <v>571.02398586228503</v>
      </c>
      <c r="V9936">
        <v>2.5553662691652399E-3</v>
      </c>
      <c r="W9936">
        <v>1543899.1901100699</v>
      </c>
      <c r="X9936" t="s">
        <v>33</v>
      </c>
      <c r="Y9936">
        <f>1-729-679-1420</f>
        <v>-2827</v>
      </c>
    </row>
    <row r="9937" spans="1:25" x14ac:dyDescent="0.35">
      <c r="A9937">
        <v>39.816724095994701</v>
      </c>
      <c r="B9937">
        <v>-117.552402112564</v>
      </c>
      <c r="C9937" t="s">
        <v>29</v>
      </c>
      <c r="D9937">
        <v>12.3590765584553</v>
      </c>
      <c r="E9937">
        <v>1</v>
      </c>
      <c r="F9937">
        <v>2585</v>
      </c>
      <c r="G9937">
        <v>3</v>
      </c>
      <c r="H9937">
        <v>1</v>
      </c>
      <c r="I9937">
        <v>1962</v>
      </c>
      <c r="J9937">
        <v>0</v>
      </c>
      <c r="K9937">
        <v>0</v>
      </c>
      <c r="L9937">
        <v>1</v>
      </c>
      <c r="M9937">
        <v>2</v>
      </c>
      <c r="N9937" t="s">
        <v>26</v>
      </c>
      <c r="O9937" t="s">
        <v>27</v>
      </c>
      <c r="P9937">
        <v>4.9328644626641402</v>
      </c>
      <c r="Q9937">
        <v>0.91736222598724004</v>
      </c>
      <c r="R9937">
        <v>5.31896136300508</v>
      </c>
      <c r="S9937">
        <v>134</v>
      </c>
      <c r="T9937">
        <v>66</v>
      </c>
      <c r="U9937">
        <v>850.06107969200502</v>
      </c>
      <c r="V9937">
        <v>7.7369439071566697E-4</v>
      </c>
      <c r="W9937">
        <v>2301065.6574055799</v>
      </c>
      <c r="X9937" t="s">
        <v>38</v>
      </c>
      <c r="Y9937">
        <f>1-477-391-1048</f>
        <v>-1915</v>
      </c>
    </row>
    <row r="9938" spans="1:25" x14ac:dyDescent="0.35">
      <c r="A9938">
        <v>33.900970102258597</v>
      </c>
      <c r="B9938">
        <v>-120.583560603211</v>
      </c>
      <c r="C9938" t="s">
        <v>25</v>
      </c>
      <c r="D9938">
        <v>48.118595852371698</v>
      </c>
      <c r="E9938">
        <v>8</v>
      </c>
      <c r="F9938">
        <v>3977</v>
      </c>
      <c r="G9938">
        <v>1</v>
      </c>
      <c r="H9938">
        <v>1</v>
      </c>
      <c r="I9938">
        <v>2003</v>
      </c>
      <c r="J9938">
        <v>0</v>
      </c>
      <c r="K9938">
        <v>1</v>
      </c>
      <c r="L9938">
        <v>0</v>
      </c>
      <c r="M9938">
        <v>7</v>
      </c>
      <c r="N9938" t="s">
        <v>26</v>
      </c>
      <c r="O9938" t="s">
        <v>27</v>
      </c>
      <c r="P9938">
        <v>2.5046734518754601</v>
      </c>
      <c r="Q9938">
        <v>1.7286312697527699</v>
      </c>
      <c r="R9938">
        <v>0.46943459058887699</v>
      </c>
      <c r="S9938">
        <v>148</v>
      </c>
      <c r="T9938">
        <v>51</v>
      </c>
      <c r="U9938">
        <v>746.63992455042398</v>
      </c>
      <c r="V9938">
        <v>1.76012069399044E-3</v>
      </c>
      <c r="W9938">
        <v>3150883.2024694001</v>
      </c>
      <c r="X9938" t="s">
        <v>36</v>
      </c>
      <c r="Y9938">
        <f>1-283-432-8641</f>
        <v>-9355</v>
      </c>
    </row>
    <row r="9939" spans="1:25" x14ac:dyDescent="0.35">
      <c r="A9939">
        <v>39.194272030895803</v>
      </c>
      <c r="B9939">
        <v>-123.759050692649</v>
      </c>
      <c r="C9939" t="s">
        <v>25</v>
      </c>
      <c r="D9939">
        <v>39.909450446554601</v>
      </c>
      <c r="E9939">
        <v>6</v>
      </c>
      <c r="F9939">
        <v>3159</v>
      </c>
      <c r="G9939">
        <v>3</v>
      </c>
      <c r="H9939">
        <v>1</v>
      </c>
      <c r="I9939">
        <v>1975</v>
      </c>
      <c r="J9939">
        <v>0</v>
      </c>
      <c r="K9939">
        <v>1</v>
      </c>
      <c r="L9939">
        <v>1</v>
      </c>
      <c r="M9939">
        <v>10</v>
      </c>
      <c r="N9939" t="s">
        <v>35</v>
      </c>
      <c r="O9939" t="s">
        <v>32</v>
      </c>
      <c r="P9939">
        <v>13.1201358131747</v>
      </c>
      <c r="Q9939">
        <v>2.4745019427038399</v>
      </c>
      <c r="R9939">
        <v>3.8036782935664801</v>
      </c>
      <c r="S9939">
        <v>190</v>
      </c>
      <c r="T9939">
        <v>25</v>
      </c>
      <c r="U9939">
        <v>942.05258838095597</v>
      </c>
      <c r="V9939">
        <v>3.16555872111427E-3</v>
      </c>
      <c r="W9939">
        <v>3294075.2703391099</v>
      </c>
      <c r="X9939" t="s">
        <v>40</v>
      </c>
      <c r="Y9939">
        <f>1-843-529-9328</f>
        <v>-10699</v>
      </c>
    </row>
    <row r="9940" spans="1:25" x14ac:dyDescent="0.35">
      <c r="A9940">
        <v>34.305596654576398</v>
      </c>
      <c r="B9940">
        <v>-116.739458582878</v>
      </c>
      <c r="C9940" t="s">
        <v>25</v>
      </c>
      <c r="D9940">
        <v>49.874869512670202</v>
      </c>
      <c r="E9940">
        <v>9</v>
      </c>
      <c r="F9940">
        <v>3188</v>
      </c>
      <c r="G9940">
        <v>3</v>
      </c>
      <c r="H9940">
        <v>1</v>
      </c>
      <c r="I9940">
        <v>1987</v>
      </c>
      <c r="J9940">
        <v>0</v>
      </c>
      <c r="K9940">
        <v>0</v>
      </c>
      <c r="L9940">
        <v>1</v>
      </c>
      <c r="M9940">
        <v>13</v>
      </c>
      <c r="N9940" t="s">
        <v>41</v>
      </c>
      <c r="O9940" t="s">
        <v>30</v>
      </c>
      <c r="P9940">
        <v>5.1402436535588496</v>
      </c>
      <c r="Q9940">
        <v>1.2692825807741199</v>
      </c>
      <c r="R9940">
        <v>7.0864377891935399</v>
      </c>
      <c r="S9940">
        <v>175</v>
      </c>
      <c r="T9940">
        <v>68</v>
      </c>
      <c r="U9940">
        <v>528.870352335897</v>
      </c>
      <c r="V9940">
        <v>4.0777917189460397E-3</v>
      </c>
      <c r="W9940">
        <v>1838928.9382740799</v>
      </c>
      <c r="X9940" t="s">
        <v>38</v>
      </c>
      <c r="Y9940">
        <f>1-674-129-2337</f>
        <v>-3139</v>
      </c>
    </row>
    <row r="9941" spans="1:25" x14ac:dyDescent="0.35">
      <c r="A9941">
        <v>41.674356485398</v>
      </c>
      <c r="B9941">
        <v>-122.720647277452</v>
      </c>
      <c r="C9941" t="s">
        <v>29</v>
      </c>
      <c r="D9941">
        <v>46.003730300899797</v>
      </c>
      <c r="E9941">
        <v>9</v>
      </c>
      <c r="F9941">
        <v>1410</v>
      </c>
      <c r="G9941">
        <v>1</v>
      </c>
      <c r="H9941">
        <v>1</v>
      </c>
      <c r="I9941">
        <v>2008</v>
      </c>
      <c r="J9941">
        <v>0</v>
      </c>
      <c r="K9941">
        <v>1</v>
      </c>
      <c r="L9941">
        <v>1</v>
      </c>
      <c r="M9941">
        <v>8</v>
      </c>
      <c r="N9941" t="s">
        <v>35</v>
      </c>
      <c r="O9941" t="s">
        <v>30</v>
      </c>
      <c r="P9941">
        <v>7.0103193339919203</v>
      </c>
      <c r="Q9941">
        <v>1.43484988743577</v>
      </c>
      <c r="R9941">
        <v>1.8513995879221601</v>
      </c>
      <c r="S9941">
        <v>172</v>
      </c>
      <c r="T9941">
        <v>54</v>
      </c>
      <c r="U9941">
        <v>335.24318699222499</v>
      </c>
      <c r="V9941">
        <v>5.6737588652482204E-3</v>
      </c>
      <c r="W9941">
        <v>699206.74877491698</v>
      </c>
      <c r="X9941" t="s">
        <v>36</v>
      </c>
      <c r="Y9941">
        <f>1-370-858-6178</f>
        <v>-7405</v>
      </c>
    </row>
    <row r="9942" spans="1:25" x14ac:dyDescent="0.35">
      <c r="A9942">
        <v>35.563160841637298</v>
      </c>
      <c r="B9942">
        <v>-114.283728475678</v>
      </c>
      <c r="C9942" t="s">
        <v>29</v>
      </c>
      <c r="D9942">
        <v>24.2017525299011</v>
      </c>
      <c r="E9942">
        <v>4</v>
      </c>
      <c r="F9942">
        <v>4465</v>
      </c>
      <c r="G9942">
        <v>2</v>
      </c>
      <c r="H9942">
        <v>3</v>
      </c>
      <c r="I9942">
        <v>1977</v>
      </c>
      <c r="J9942">
        <v>0</v>
      </c>
      <c r="K9942">
        <v>0</v>
      </c>
      <c r="L9942">
        <v>0</v>
      </c>
      <c r="M9942">
        <v>3</v>
      </c>
      <c r="N9942" t="s">
        <v>26</v>
      </c>
      <c r="O9942" t="s">
        <v>32</v>
      </c>
      <c r="P9942">
        <v>8.7627012445394392</v>
      </c>
      <c r="Q9942">
        <v>0.936857749941166</v>
      </c>
      <c r="R9942">
        <v>4.6008323400085702</v>
      </c>
      <c r="S9942">
        <v>196</v>
      </c>
      <c r="T9942">
        <v>76</v>
      </c>
      <c r="U9942">
        <v>541.65864758621399</v>
      </c>
      <c r="V9942">
        <v>6.7189249720044704E-4</v>
      </c>
      <c r="W9942">
        <v>2621365.1058995598</v>
      </c>
      <c r="X9942" t="s">
        <v>44</v>
      </c>
      <c r="Y9942">
        <f>1-868-395-7507</f>
        <v>-8769</v>
      </c>
    </row>
    <row r="9943" spans="1:25" x14ac:dyDescent="0.35">
      <c r="A9943">
        <v>40.082251116986001</v>
      </c>
      <c r="B9943">
        <v>-117.23889304775</v>
      </c>
      <c r="C9943" t="s">
        <v>29</v>
      </c>
      <c r="D9943">
        <v>47.122656533408197</v>
      </c>
      <c r="E9943">
        <v>0</v>
      </c>
      <c r="F9943">
        <v>1498</v>
      </c>
      <c r="G9943">
        <v>3</v>
      </c>
      <c r="H9943">
        <v>1</v>
      </c>
      <c r="I9943">
        <v>1959</v>
      </c>
      <c r="J9943">
        <v>1</v>
      </c>
      <c r="K9943">
        <v>1</v>
      </c>
      <c r="L9943">
        <v>1</v>
      </c>
      <c r="M9943">
        <v>5</v>
      </c>
      <c r="N9943" t="s">
        <v>35</v>
      </c>
      <c r="O9943" t="s">
        <v>30</v>
      </c>
      <c r="P9943">
        <v>10.282147950816899</v>
      </c>
      <c r="Q9943">
        <v>1.76030574179181</v>
      </c>
      <c r="R9943">
        <v>5.8180550395242303</v>
      </c>
      <c r="S9943">
        <v>64</v>
      </c>
      <c r="T9943">
        <v>40</v>
      </c>
      <c r="U9943">
        <v>988.06860842558501</v>
      </c>
      <c r="V9943">
        <v>3.3377837116154801E-3</v>
      </c>
      <c r="W9943">
        <v>1742423.8636054299</v>
      </c>
      <c r="X9943" t="s">
        <v>40</v>
      </c>
      <c r="Y9943">
        <f>1-483-646-9683</f>
        <v>-10811</v>
      </c>
    </row>
    <row r="9944" spans="1:25" x14ac:dyDescent="0.35">
      <c r="A9944">
        <v>37.2834718709897</v>
      </c>
      <c r="B9944">
        <v>-118.860937657355</v>
      </c>
      <c r="C9944" t="s">
        <v>25</v>
      </c>
      <c r="D9944">
        <v>14.43180904419</v>
      </c>
      <c r="E9944">
        <v>2</v>
      </c>
      <c r="F9944">
        <v>2006</v>
      </c>
      <c r="G9944">
        <v>4</v>
      </c>
      <c r="H9944">
        <v>2</v>
      </c>
      <c r="I9944">
        <v>1953</v>
      </c>
      <c r="J9944">
        <v>1</v>
      </c>
      <c r="K9944">
        <v>1</v>
      </c>
      <c r="L9944">
        <v>1</v>
      </c>
      <c r="M9944">
        <v>11</v>
      </c>
      <c r="N9944" t="s">
        <v>26</v>
      </c>
      <c r="O9944" t="s">
        <v>32</v>
      </c>
      <c r="P9944">
        <v>5.4348844621737902</v>
      </c>
      <c r="Q9944">
        <v>0.67975543159860796</v>
      </c>
      <c r="R9944">
        <v>5.3323486073955904</v>
      </c>
      <c r="S9944">
        <v>195</v>
      </c>
      <c r="T9944">
        <v>65</v>
      </c>
      <c r="U9944">
        <v>616.35822938203501</v>
      </c>
      <c r="V9944">
        <v>5.4835493519441603E-3</v>
      </c>
      <c r="W9944">
        <v>1540306.30524725</v>
      </c>
      <c r="X9944" t="s">
        <v>40</v>
      </c>
      <c r="Y9944">
        <f>1-798-806-7438</f>
        <v>-9041</v>
      </c>
    </row>
    <row r="9945" spans="1:25" x14ac:dyDescent="0.35">
      <c r="A9945">
        <v>40.842046459313998</v>
      </c>
      <c r="B9945">
        <v>-120.815261798538</v>
      </c>
      <c r="C9945" t="s">
        <v>29</v>
      </c>
      <c r="D9945">
        <v>28.408645248908599</v>
      </c>
      <c r="E9945">
        <v>8</v>
      </c>
      <c r="F9945">
        <v>1768</v>
      </c>
      <c r="G9945">
        <v>5</v>
      </c>
      <c r="H9945">
        <v>2</v>
      </c>
      <c r="I9945">
        <v>2012</v>
      </c>
      <c r="J9945">
        <v>1</v>
      </c>
      <c r="K9945">
        <v>1</v>
      </c>
      <c r="L9945">
        <v>0</v>
      </c>
      <c r="M9945">
        <v>6</v>
      </c>
      <c r="N9945" t="s">
        <v>35</v>
      </c>
      <c r="O9945" t="s">
        <v>30</v>
      </c>
      <c r="P9945">
        <v>14.7782747665856</v>
      </c>
      <c r="Q9945">
        <v>0.62409359873294701</v>
      </c>
      <c r="R9945">
        <v>6.67555418954871</v>
      </c>
      <c r="S9945">
        <v>27</v>
      </c>
      <c r="T9945">
        <v>42</v>
      </c>
      <c r="U9945">
        <v>643.10144270618696</v>
      </c>
      <c r="V9945">
        <v>3.3936651583710399E-3</v>
      </c>
      <c r="W9945">
        <v>1618538.2962139701</v>
      </c>
      <c r="X9945" t="s">
        <v>42</v>
      </c>
      <c r="Y9945">
        <f>1-892-708-7179</f>
        <v>-8778</v>
      </c>
    </row>
    <row r="9946" spans="1:25" x14ac:dyDescent="0.35">
      <c r="A9946">
        <v>35.934318335440302</v>
      </c>
      <c r="B9946">
        <v>-114.472028112722</v>
      </c>
      <c r="C9946" t="s">
        <v>25</v>
      </c>
      <c r="D9946">
        <v>2.2629964609530102</v>
      </c>
      <c r="E9946">
        <v>2</v>
      </c>
      <c r="F9946">
        <v>995</v>
      </c>
      <c r="G9946">
        <v>1</v>
      </c>
      <c r="H9946">
        <v>1</v>
      </c>
      <c r="I9946">
        <v>2016</v>
      </c>
      <c r="J9946">
        <v>1</v>
      </c>
      <c r="K9946">
        <v>0</v>
      </c>
      <c r="L9946">
        <v>1</v>
      </c>
      <c r="M9946">
        <v>5</v>
      </c>
      <c r="N9946" t="s">
        <v>37</v>
      </c>
      <c r="O9946" t="s">
        <v>32</v>
      </c>
      <c r="P9946">
        <v>9.1422784188507293</v>
      </c>
      <c r="Q9946">
        <v>0.96015441480240205</v>
      </c>
      <c r="R9946">
        <v>5.8735290906401101</v>
      </c>
      <c r="S9946">
        <v>88</v>
      </c>
      <c r="T9946">
        <v>50</v>
      </c>
      <c r="U9946">
        <v>904.48448428968595</v>
      </c>
      <c r="V9946">
        <v>5.0251256281407001E-3</v>
      </c>
      <c r="W9946">
        <v>1041061.81885278</v>
      </c>
      <c r="X9946" t="s">
        <v>42</v>
      </c>
      <c r="Y9946">
        <f>1-693-841-2538</f>
        <v>-4071</v>
      </c>
    </row>
    <row r="9947" spans="1:25" x14ac:dyDescent="0.35">
      <c r="A9947">
        <v>34.722644154762001</v>
      </c>
      <c r="B9947">
        <v>-116.27260420998</v>
      </c>
      <c r="C9947" t="s">
        <v>34</v>
      </c>
      <c r="D9947">
        <v>16.7224830748705</v>
      </c>
      <c r="E9947">
        <v>8</v>
      </c>
      <c r="F9947">
        <v>4204</v>
      </c>
      <c r="G9947">
        <v>1</v>
      </c>
      <c r="H9947">
        <v>1</v>
      </c>
      <c r="I9947">
        <v>1966</v>
      </c>
      <c r="J9947">
        <v>0</v>
      </c>
      <c r="K9947">
        <v>1</v>
      </c>
      <c r="L9947">
        <v>0</v>
      </c>
      <c r="M9947">
        <v>2</v>
      </c>
      <c r="N9947" t="s">
        <v>41</v>
      </c>
      <c r="O9947" t="s">
        <v>30</v>
      </c>
      <c r="P9947">
        <v>4.6799961512606796</v>
      </c>
      <c r="Q9947">
        <v>0.55904898556765004</v>
      </c>
      <c r="R9947">
        <v>2.0466424635617599</v>
      </c>
      <c r="S9947">
        <v>26</v>
      </c>
      <c r="T9947">
        <v>68</v>
      </c>
      <c r="U9947">
        <v>970.36188916861897</v>
      </c>
      <c r="V9947">
        <v>4.7573739295908601E-4</v>
      </c>
      <c r="W9947">
        <v>4289196.5837744595</v>
      </c>
      <c r="X9947" t="s">
        <v>31</v>
      </c>
      <c r="Y9947">
        <f>1-612-949-2544</f>
        <v>-4104</v>
      </c>
    </row>
    <row r="9948" spans="1:25" x14ac:dyDescent="0.35">
      <c r="A9948">
        <v>35.966530778125403</v>
      </c>
      <c r="B9948">
        <v>-114.078065691281</v>
      </c>
      <c r="C9948" t="s">
        <v>25</v>
      </c>
      <c r="D9948">
        <v>47.665498809915697</v>
      </c>
      <c r="E9948">
        <v>7</v>
      </c>
      <c r="F9948">
        <v>3498</v>
      </c>
      <c r="G9948">
        <v>3</v>
      </c>
      <c r="H9948">
        <v>1</v>
      </c>
      <c r="I9948">
        <v>2004</v>
      </c>
      <c r="J9948">
        <v>1</v>
      </c>
      <c r="K9948">
        <v>0</v>
      </c>
      <c r="L9948">
        <v>0</v>
      </c>
      <c r="M9948">
        <v>10</v>
      </c>
      <c r="N9948" t="s">
        <v>26</v>
      </c>
      <c r="O9948" t="s">
        <v>27</v>
      </c>
      <c r="P9948">
        <v>10.639795755876399</v>
      </c>
      <c r="Q9948">
        <v>2.1634070409756698</v>
      </c>
      <c r="R9948">
        <v>6.2249741826793903</v>
      </c>
      <c r="S9948">
        <v>188</v>
      </c>
      <c r="T9948">
        <v>73</v>
      </c>
      <c r="U9948">
        <v>293.46641662548097</v>
      </c>
      <c r="V9948">
        <v>2.8587764436821001E-3</v>
      </c>
      <c r="W9948">
        <v>1223394.21355733</v>
      </c>
      <c r="X9948" t="s">
        <v>36</v>
      </c>
      <c r="Y9948">
        <f>1-359-148-6428</f>
        <v>-6934</v>
      </c>
    </row>
    <row r="9949" spans="1:25" x14ac:dyDescent="0.35">
      <c r="A9949">
        <v>35.423687454029903</v>
      </c>
      <c r="B9949">
        <v>-118.075435746069</v>
      </c>
      <c r="C9949" t="s">
        <v>34</v>
      </c>
      <c r="D9949">
        <v>5.1217407158509802</v>
      </c>
      <c r="E9949">
        <v>1</v>
      </c>
      <c r="F9949">
        <v>4344</v>
      </c>
      <c r="G9949">
        <v>2</v>
      </c>
      <c r="H9949">
        <v>2</v>
      </c>
      <c r="I9949">
        <v>2004</v>
      </c>
      <c r="J9949">
        <v>1</v>
      </c>
      <c r="K9949">
        <v>0</v>
      </c>
      <c r="L9949">
        <v>1</v>
      </c>
      <c r="M9949">
        <v>13</v>
      </c>
      <c r="N9949" t="s">
        <v>35</v>
      </c>
      <c r="O9949" t="s">
        <v>30</v>
      </c>
      <c r="P9949">
        <v>11.2140646294527</v>
      </c>
      <c r="Q9949">
        <v>1.7559930466498399</v>
      </c>
      <c r="R9949">
        <v>4.0218821063208701</v>
      </c>
      <c r="S9949">
        <v>72</v>
      </c>
      <c r="T9949">
        <v>69</v>
      </c>
      <c r="U9949">
        <v>914.32154202533502</v>
      </c>
      <c r="V9949">
        <v>2.99263351749539E-3</v>
      </c>
      <c r="W9949">
        <v>4395942.5325436201</v>
      </c>
      <c r="X9949" t="s">
        <v>36</v>
      </c>
      <c r="Y9949">
        <f>1-478-722-6742</f>
        <v>-7941</v>
      </c>
    </row>
    <row r="9950" spans="1:25" x14ac:dyDescent="0.35">
      <c r="A9950">
        <v>33.171025825582703</v>
      </c>
      <c r="B9950">
        <v>-120.29282932022601</v>
      </c>
      <c r="C9950" t="s">
        <v>34</v>
      </c>
      <c r="D9950">
        <v>35.2713875015966</v>
      </c>
      <c r="E9950">
        <v>8</v>
      </c>
      <c r="F9950">
        <v>2535</v>
      </c>
      <c r="G9950">
        <v>4</v>
      </c>
      <c r="H9950">
        <v>3</v>
      </c>
      <c r="I9950">
        <v>2020</v>
      </c>
      <c r="J9950">
        <v>1</v>
      </c>
      <c r="K9950">
        <v>1</v>
      </c>
      <c r="L9950">
        <v>1</v>
      </c>
      <c r="M9950">
        <v>7</v>
      </c>
      <c r="N9950" t="s">
        <v>35</v>
      </c>
      <c r="O9950" t="s">
        <v>30</v>
      </c>
      <c r="P9950">
        <v>5.2964667430440402</v>
      </c>
      <c r="Q9950">
        <v>1.03519829587653</v>
      </c>
      <c r="R9950">
        <v>5.4089183293539396</v>
      </c>
      <c r="S9950">
        <v>102</v>
      </c>
      <c r="T9950">
        <v>49</v>
      </c>
      <c r="U9950">
        <v>579.34860225288298</v>
      </c>
      <c r="V9950">
        <v>2.76134122287968E-3</v>
      </c>
      <c r="W9950">
        <v>1914348.06342278</v>
      </c>
      <c r="X9950" t="s">
        <v>31</v>
      </c>
      <c r="Y9950">
        <f>1-946-833-1981</f>
        <v>-3759</v>
      </c>
    </row>
    <row r="9951" spans="1:25" x14ac:dyDescent="0.35">
      <c r="A9951">
        <v>37.705290680515702</v>
      </c>
      <c r="B9951">
        <v>-124.300252149892</v>
      </c>
      <c r="C9951" t="s">
        <v>34</v>
      </c>
      <c r="D9951">
        <v>41.3103251164843</v>
      </c>
      <c r="E9951">
        <v>1</v>
      </c>
      <c r="F9951">
        <v>766</v>
      </c>
      <c r="G9951">
        <v>1</v>
      </c>
      <c r="H9951">
        <v>1</v>
      </c>
      <c r="I9951">
        <v>2020</v>
      </c>
      <c r="J9951">
        <v>0</v>
      </c>
      <c r="K9951">
        <v>1</v>
      </c>
      <c r="L9951">
        <v>1</v>
      </c>
      <c r="M9951">
        <v>11</v>
      </c>
      <c r="N9951" t="s">
        <v>37</v>
      </c>
      <c r="O9951" t="s">
        <v>27</v>
      </c>
      <c r="P9951">
        <v>2.5067282691553898</v>
      </c>
      <c r="Q9951">
        <v>2.0775122368629302</v>
      </c>
      <c r="R9951">
        <v>5.8071708916924702</v>
      </c>
      <c r="S9951">
        <v>64</v>
      </c>
      <c r="T9951">
        <v>53</v>
      </c>
      <c r="U9951">
        <v>799.43465020018095</v>
      </c>
      <c r="V9951">
        <v>1.43603133159268E-2</v>
      </c>
      <c r="W9951">
        <v>752734.387420994</v>
      </c>
      <c r="X9951" t="s">
        <v>28</v>
      </c>
      <c r="Y9951">
        <f>1-651-924-5542</f>
        <v>-7116</v>
      </c>
    </row>
    <row r="9952" spans="1:25" x14ac:dyDescent="0.35">
      <c r="A9952">
        <v>39.401462352658001</v>
      </c>
      <c r="B9952">
        <v>-119.47264933932701</v>
      </c>
      <c r="C9952" t="s">
        <v>34</v>
      </c>
      <c r="D9952">
        <v>8.0885363505818795</v>
      </c>
      <c r="E9952">
        <v>6</v>
      </c>
      <c r="F9952">
        <v>2809</v>
      </c>
      <c r="G9952">
        <v>2</v>
      </c>
      <c r="H9952">
        <v>2</v>
      </c>
      <c r="I9952">
        <v>1983</v>
      </c>
      <c r="J9952">
        <v>0</v>
      </c>
      <c r="K9952">
        <v>1</v>
      </c>
      <c r="L9952">
        <v>0</v>
      </c>
      <c r="M9952">
        <v>8</v>
      </c>
      <c r="N9952" t="s">
        <v>26</v>
      </c>
      <c r="O9952" t="s">
        <v>30</v>
      </c>
      <c r="P9952">
        <v>5.05729657281457</v>
      </c>
      <c r="Q9952">
        <v>1.1150743595413399</v>
      </c>
      <c r="R9952">
        <v>7.1363838137622198</v>
      </c>
      <c r="S9952">
        <v>132</v>
      </c>
      <c r="T9952">
        <v>64</v>
      </c>
      <c r="U9952">
        <v>551.80292570240397</v>
      </c>
      <c r="V9952">
        <v>2.8479886080455602E-3</v>
      </c>
      <c r="W9952">
        <v>1660555.2851030901</v>
      </c>
      <c r="X9952" t="s">
        <v>44</v>
      </c>
      <c r="Y9952">
        <f>1-577-769-7064</f>
        <v>-8409</v>
      </c>
    </row>
    <row r="9953" spans="1:25" x14ac:dyDescent="0.35">
      <c r="A9953">
        <v>36.225869976825102</v>
      </c>
      <c r="B9953">
        <v>-117.138128781136</v>
      </c>
      <c r="C9953" t="s">
        <v>34</v>
      </c>
      <c r="D9953">
        <v>13.812756513123301</v>
      </c>
      <c r="E9953">
        <v>9</v>
      </c>
      <c r="F9953">
        <v>4144</v>
      </c>
      <c r="G9953">
        <v>5</v>
      </c>
      <c r="H9953">
        <v>2</v>
      </c>
      <c r="I9953">
        <v>1962</v>
      </c>
      <c r="J9953">
        <v>1</v>
      </c>
      <c r="K9953">
        <v>0</v>
      </c>
      <c r="L9953">
        <v>1</v>
      </c>
      <c r="M9953">
        <v>2</v>
      </c>
      <c r="N9953" t="s">
        <v>26</v>
      </c>
      <c r="O9953" t="s">
        <v>32</v>
      </c>
      <c r="P9953">
        <v>10.8348471251173</v>
      </c>
      <c r="Q9953">
        <v>2.0932752296607999</v>
      </c>
      <c r="R9953">
        <v>0.416251181854014</v>
      </c>
      <c r="S9953">
        <v>13</v>
      </c>
      <c r="T9953">
        <v>48</v>
      </c>
      <c r="U9953">
        <v>535.591271683483</v>
      </c>
      <c r="V9953">
        <v>4.8262548262548199E-4</v>
      </c>
      <c r="W9953">
        <v>2588813.6104078698</v>
      </c>
      <c r="X9953" t="s">
        <v>36</v>
      </c>
      <c r="Y9953">
        <f>1-470-346-7772</f>
        <v>-8587</v>
      </c>
    </row>
    <row r="9954" spans="1:25" x14ac:dyDescent="0.35">
      <c r="A9954">
        <v>37.7702280894041</v>
      </c>
      <c r="B9954">
        <v>-119.608970083087</v>
      </c>
      <c r="C9954" t="s">
        <v>29</v>
      </c>
      <c r="D9954">
        <v>33.3308268177638</v>
      </c>
      <c r="E9954">
        <v>7</v>
      </c>
      <c r="F9954">
        <v>4906</v>
      </c>
      <c r="G9954">
        <v>1</v>
      </c>
      <c r="H9954">
        <v>3</v>
      </c>
      <c r="I9954">
        <v>1951</v>
      </c>
      <c r="J9954">
        <v>0</v>
      </c>
      <c r="K9954">
        <v>0</v>
      </c>
      <c r="L9954">
        <v>0</v>
      </c>
      <c r="M9954">
        <v>9</v>
      </c>
      <c r="N9954" t="s">
        <v>26</v>
      </c>
      <c r="O9954" t="s">
        <v>27</v>
      </c>
      <c r="P9954">
        <v>4.0862449437744104</v>
      </c>
      <c r="Q9954">
        <v>0.74629818611055398</v>
      </c>
      <c r="R9954">
        <v>5.07199775382818</v>
      </c>
      <c r="S9954">
        <v>142</v>
      </c>
      <c r="T9954">
        <v>30</v>
      </c>
      <c r="U9954">
        <v>907.86822154757101</v>
      </c>
      <c r="V9954">
        <v>1.83448838157358E-3</v>
      </c>
      <c r="W9954">
        <v>4486129.3851154996</v>
      </c>
      <c r="X9954" t="s">
        <v>40</v>
      </c>
      <c r="Y9954">
        <f>1-486-414-5138</f>
        <v>-6037</v>
      </c>
    </row>
    <row r="9955" spans="1:25" x14ac:dyDescent="0.35">
      <c r="A9955">
        <v>40.745591459538304</v>
      </c>
      <c r="B9955">
        <v>-119.901375901061</v>
      </c>
      <c r="C9955" t="s">
        <v>25</v>
      </c>
      <c r="D9955">
        <v>30.9789133235119</v>
      </c>
      <c r="E9955">
        <v>8</v>
      </c>
      <c r="F9955">
        <v>2951</v>
      </c>
      <c r="G9955">
        <v>4</v>
      </c>
      <c r="H9955">
        <v>2</v>
      </c>
      <c r="I9955">
        <v>2013</v>
      </c>
      <c r="J9955">
        <v>1</v>
      </c>
      <c r="K9955">
        <v>0</v>
      </c>
      <c r="L9955">
        <v>1</v>
      </c>
      <c r="M9955">
        <v>9</v>
      </c>
      <c r="N9955" t="s">
        <v>41</v>
      </c>
      <c r="O9955" t="s">
        <v>30</v>
      </c>
      <c r="P9955">
        <v>9.0064027067330503</v>
      </c>
      <c r="Q9955">
        <v>1.1905276010266601</v>
      </c>
      <c r="R9955">
        <v>8.79864919583855</v>
      </c>
      <c r="S9955">
        <v>72</v>
      </c>
      <c r="T9955">
        <v>28</v>
      </c>
      <c r="U9955">
        <v>713.55575427069903</v>
      </c>
      <c r="V9955">
        <v>3.0498136225008401E-3</v>
      </c>
      <c r="W9955">
        <v>2409345.41480025</v>
      </c>
      <c r="X9955" t="s">
        <v>36</v>
      </c>
      <c r="Y9955">
        <f>1-389-548-6483</f>
        <v>-7419</v>
      </c>
    </row>
    <row r="9956" spans="1:25" x14ac:dyDescent="0.35">
      <c r="A9956">
        <v>34.855792289914703</v>
      </c>
      <c r="B9956">
        <v>-124.095253444216</v>
      </c>
      <c r="C9956" t="s">
        <v>34</v>
      </c>
      <c r="D9956">
        <v>12.913209469371299</v>
      </c>
      <c r="E9956">
        <v>7</v>
      </c>
      <c r="F9956">
        <v>1397</v>
      </c>
      <c r="G9956">
        <v>4</v>
      </c>
      <c r="H9956">
        <v>2</v>
      </c>
      <c r="I9956">
        <v>1995</v>
      </c>
      <c r="J9956">
        <v>1</v>
      </c>
      <c r="K9956">
        <v>1</v>
      </c>
      <c r="L9956">
        <v>1</v>
      </c>
      <c r="M9956">
        <v>12</v>
      </c>
      <c r="N9956" t="s">
        <v>26</v>
      </c>
      <c r="O9956" t="s">
        <v>27</v>
      </c>
      <c r="P9956">
        <v>9.5732510477121302</v>
      </c>
      <c r="Q9956">
        <v>0.70717508236195303</v>
      </c>
      <c r="R9956">
        <v>6.7844659481843896</v>
      </c>
      <c r="S9956">
        <v>80</v>
      </c>
      <c r="T9956">
        <v>30</v>
      </c>
      <c r="U9956">
        <v>602.85965390528497</v>
      </c>
      <c r="V9956">
        <v>8.5898353614889001E-3</v>
      </c>
      <c r="W9956">
        <v>1153529.7470456699</v>
      </c>
      <c r="X9956" t="s">
        <v>40</v>
      </c>
      <c r="Y9956">
        <f>1-734-656-5527</f>
        <v>-6916</v>
      </c>
    </row>
    <row r="9957" spans="1:25" x14ac:dyDescent="0.35">
      <c r="A9957">
        <v>41.252805935010201</v>
      </c>
      <c r="B9957">
        <v>-116.246375680303</v>
      </c>
      <c r="C9957" t="s">
        <v>34</v>
      </c>
      <c r="D9957">
        <v>8.5896594225897598</v>
      </c>
      <c r="E9957">
        <v>7</v>
      </c>
      <c r="F9957">
        <v>3482</v>
      </c>
      <c r="G9957">
        <v>1</v>
      </c>
      <c r="H9957">
        <v>1</v>
      </c>
      <c r="I9957">
        <v>1976</v>
      </c>
      <c r="J9957">
        <v>0</v>
      </c>
      <c r="K9957">
        <v>1</v>
      </c>
      <c r="L9957">
        <v>0</v>
      </c>
      <c r="M9957">
        <v>4</v>
      </c>
      <c r="N9957" t="s">
        <v>41</v>
      </c>
      <c r="O9957" t="s">
        <v>32</v>
      </c>
      <c r="P9957">
        <v>5.5076475161029403</v>
      </c>
      <c r="Q9957">
        <v>1.16962991876425</v>
      </c>
      <c r="R9957">
        <v>6.84726484358126</v>
      </c>
      <c r="S9957">
        <v>168</v>
      </c>
      <c r="T9957">
        <v>58</v>
      </c>
      <c r="U9957">
        <v>640.10354142548101</v>
      </c>
      <c r="V9957">
        <v>1.1487650775416399E-3</v>
      </c>
      <c r="W9957">
        <v>2302470.0123305898</v>
      </c>
      <c r="X9957" t="s">
        <v>33</v>
      </c>
      <c r="Y9957">
        <f>1-257-935-5899</f>
        <v>-7090</v>
      </c>
    </row>
    <row r="9958" spans="1:25" x14ac:dyDescent="0.35">
      <c r="A9958">
        <v>33.818793262052402</v>
      </c>
      <c r="B9958">
        <v>-120.76124521228201</v>
      </c>
      <c r="C9958" t="s">
        <v>29</v>
      </c>
      <c r="D9958">
        <v>9.0434436240925997</v>
      </c>
      <c r="E9958">
        <v>5</v>
      </c>
      <c r="F9958">
        <v>2513</v>
      </c>
      <c r="G9958">
        <v>3</v>
      </c>
      <c r="H9958">
        <v>2</v>
      </c>
      <c r="I9958">
        <v>1975</v>
      </c>
      <c r="J9958">
        <v>1</v>
      </c>
      <c r="K9958">
        <v>0</v>
      </c>
      <c r="L9958">
        <v>1</v>
      </c>
      <c r="M9958">
        <v>2</v>
      </c>
      <c r="N9958" t="s">
        <v>41</v>
      </c>
      <c r="O9958" t="s">
        <v>30</v>
      </c>
      <c r="P9958">
        <v>7.8252565714420497</v>
      </c>
      <c r="Q9958">
        <v>1.39664518392916</v>
      </c>
      <c r="R9958">
        <v>3.6752121976868599</v>
      </c>
      <c r="S9958">
        <v>103</v>
      </c>
      <c r="T9958">
        <v>61</v>
      </c>
      <c r="U9958">
        <v>578.34454258064898</v>
      </c>
      <c r="V9958">
        <v>7.9586152009550304E-4</v>
      </c>
      <c r="W9958">
        <v>1642219.4504207501</v>
      </c>
      <c r="X9958" t="s">
        <v>44</v>
      </c>
      <c r="Y9958">
        <f>1-906-165-3062</f>
        <v>-4132</v>
      </c>
    </row>
    <row r="9959" spans="1:25" x14ac:dyDescent="0.35">
      <c r="A9959">
        <v>36.520240799136701</v>
      </c>
      <c r="B9959">
        <v>-117.960643712913</v>
      </c>
      <c r="C9959" t="s">
        <v>25</v>
      </c>
      <c r="D9959">
        <v>34.498816467264398</v>
      </c>
      <c r="E9959">
        <v>6</v>
      </c>
      <c r="F9959">
        <v>1023</v>
      </c>
      <c r="G9959">
        <v>5</v>
      </c>
      <c r="H9959">
        <v>1</v>
      </c>
      <c r="I9959">
        <v>1996</v>
      </c>
      <c r="J9959">
        <v>0</v>
      </c>
      <c r="K9959">
        <v>0</v>
      </c>
      <c r="L9959">
        <v>0</v>
      </c>
      <c r="M9959">
        <v>5</v>
      </c>
      <c r="N9959" t="s">
        <v>26</v>
      </c>
      <c r="O9959" t="s">
        <v>27</v>
      </c>
      <c r="P9959">
        <v>3.1439406186856602</v>
      </c>
      <c r="Q9959">
        <v>1.18822400205741</v>
      </c>
      <c r="R9959">
        <v>6.2529906124038597</v>
      </c>
      <c r="S9959">
        <v>113</v>
      </c>
      <c r="T9959">
        <v>61</v>
      </c>
      <c r="U9959">
        <v>845.14089656627004</v>
      </c>
      <c r="V9959">
        <v>4.8875855327468196E-3</v>
      </c>
      <c r="W9959">
        <v>1110689.98310369</v>
      </c>
      <c r="X9959" t="s">
        <v>31</v>
      </c>
      <c r="Y9959">
        <f>1-239-476-6275</f>
        <v>-6989</v>
      </c>
    </row>
    <row r="9960" spans="1:25" x14ac:dyDescent="0.35">
      <c r="A9960">
        <v>37.062173643106703</v>
      </c>
      <c r="B9960">
        <v>-118.474981348992</v>
      </c>
      <c r="C9960" t="s">
        <v>25</v>
      </c>
      <c r="D9960">
        <v>15.9913720107894</v>
      </c>
      <c r="E9960">
        <v>8</v>
      </c>
      <c r="F9960">
        <v>1431</v>
      </c>
      <c r="G9960">
        <v>2</v>
      </c>
      <c r="H9960">
        <v>2</v>
      </c>
      <c r="I9960">
        <v>1990</v>
      </c>
      <c r="J9960">
        <v>1</v>
      </c>
      <c r="K9960">
        <v>0</v>
      </c>
      <c r="L9960">
        <v>1</v>
      </c>
      <c r="M9960">
        <v>14</v>
      </c>
      <c r="N9960" t="s">
        <v>41</v>
      </c>
      <c r="O9960" t="s">
        <v>27</v>
      </c>
      <c r="P9960">
        <v>7.1489261619301399</v>
      </c>
      <c r="Q9960">
        <v>0.71747543134444103</v>
      </c>
      <c r="R9960">
        <v>1.4729785151425101</v>
      </c>
      <c r="S9960">
        <v>188</v>
      </c>
      <c r="T9960">
        <v>22</v>
      </c>
      <c r="U9960">
        <v>586.24579898725301</v>
      </c>
      <c r="V9960">
        <v>9.7833682739343099E-3</v>
      </c>
      <c r="W9960">
        <v>948885.76899801497</v>
      </c>
      <c r="X9960" t="s">
        <v>38</v>
      </c>
      <c r="Y9960">
        <f>1-900-484-6993</f>
        <v>-8376</v>
      </c>
    </row>
    <row r="9961" spans="1:25" x14ac:dyDescent="0.35">
      <c r="A9961">
        <v>34.975001652000401</v>
      </c>
      <c r="B9961">
        <v>-120.97884706587099</v>
      </c>
      <c r="C9961" t="s">
        <v>34</v>
      </c>
      <c r="D9961">
        <v>40.164679164632197</v>
      </c>
      <c r="E9961">
        <v>7</v>
      </c>
      <c r="F9961">
        <v>681</v>
      </c>
      <c r="G9961">
        <v>3</v>
      </c>
      <c r="H9961">
        <v>1</v>
      </c>
      <c r="I9961">
        <v>1955</v>
      </c>
      <c r="J9961">
        <v>1</v>
      </c>
      <c r="K9961">
        <v>1</v>
      </c>
      <c r="L9961">
        <v>0</v>
      </c>
      <c r="M9961">
        <v>4</v>
      </c>
      <c r="N9961" t="s">
        <v>35</v>
      </c>
      <c r="O9961" t="s">
        <v>32</v>
      </c>
      <c r="P9961">
        <v>4.4987526642501603</v>
      </c>
      <c r="Q9961">
        <v>1.7016611401297199</v>
      </c>
      <c r="R9961">
        <v>1.8331740466695801</v>
      </c>
      <c r="S9961">
        <v>18</v>
      </c>
      <c r="T9961">
        <v>79</v>
      </c>
      <c r="U9961">
        <v>819.14361106412002</v>
      </c>
      <c r="V9961">
        <v>5.87371512481644E-3</v>
      </c>
      <c r="W9961">
        <v>898451.885272788</v>
      </c>
      <c r="X9961" t="s">
        <v>43</v>
      </c>
      <c r="Y9961">
        <f>1-260-740-4498</f>
        <v>-5497</v>
      </c>
    </row>
    <row r="9962" spans="1:25" x14ac:dyDescent="0.35">
      <c r="A9962">
        <v>35.921281312867599</v>
      </c>
      <c r="B9962">
        <v>-118.259812835585</v>
      </c>
      <c r="C9962" t="s">
        <v>29</v>
      </c>
      <c r="D9962">
        <v>12.188241856320399</v>
      </c>
      <c r="E9962">
        <v>7</v>
      </c>
      <c r="F9962">
        <v>4219</v>
      </c>
      <c r="G9962">
        <v>3</v>
      </c>
      <c r="H9962">
        <v>2</v>
      </c>
      <c r="I9962">
        <v>1965</v>
      </c>
      <c r="J9962">
        <v>1</v>
      </c>
      <c r="K9962">
        <v>0</v>
      </c>
      <c r="L9962">
        <v>0</v>
      </c>
      <c r="M9962">
        <v>8</v>
      </c>
      <c r="N9962" t="s">
        <v>26</v>
      </c>
      <c r="O9962" t="s">
        <v>30</v>
      </c>
      <c r="P9962">
        <v>14.3362265164579</v>
      </c>
      <c r="Q9962">
        <v>2.3010720705455698</v>
      </c>
      <c r="R9962">
        <v>9.5818606114949798</v>
      </c>
      <c r="S9962">
        <v>117</v>
      </c>
      <c r="T9962">
        <v>25</v>
      </c>
      <c r="U9962">
        <v>938.44265624727905</v>
      </c>
      <c r="V9962">
        <v>1.89618392984119E-3</v>
      </c>
      <c r="W9962">
        <v>4296140.8916394999</v>
      </c>
      <c r="X9962" t="s">
        <v>31</v>
      </c>
      <c r="Y9962">
        <f>1-993-127-3715</f>
        <v>-4834</v>
      </c>
    </row>
    <row r="9963" spans="1:25" x14ac:dyDescent="0.35">
      <c r="A9963">
        <v>34.858892802547203</v>
      </c>
      <c r="B9963">
        <v>-114.106719604513</v>
      </c>
      <c r="C9963" t="s">
        <v>34</v>
      </c>
      <c r="D9963">
        <v>15.9163763677328</v>
      </c>
      <c r="E9963">
        <v>3</v>
      </c>
      <c r="F9963">
        <v>3105</v>
      </c>
      <c r="G9963">
        <v>1</v>
      </c>
      <c r="H9963">
        <v>2</v>
      </c>
      <c r="I9963">
        <v>1968</v>
      </c>
      <c r="J9963">
        <v>1</v>
      </c>
      <c r="K9963">
        <v>0</v>
      </c>
      <c r="L9963">
        <v>0</v>
      </c>
      <c r="M9963">
        <v>2</v>
      </c>
      <c r="N9963" t="s">
        <v>41</v>
      </c>
      <c r="O9963" t="s">
        <v>32</v>
      </c>
      <c r="P9963">
        <v>7.3265951473145803</v>
      </c>
      <c r="Q9963">
        <v>1.8590022867481899</v>
      </c>
      <c r="R9963">
        <v>6.8639294297823801</v>
      </c>
      <c r="S9963">
        <v>106</v>
      </c>
      <c r="T9963">
        <v>31</v>
      </c>
      <c r="U9963">
        <v>922.70381516666498</v>
      </c>
      <c r="V9963">
        <v>6.4412238325281795E-4</v>
      </c>
      <c r="W9963">
        <v>3052058.1762346802</v>
      </c>
      <c r="X9963" t="s">
        <v>31</v>
      </c>
      <c r="Y9963">
        <f>1-830-189-6996</f>
        <v>-8014</v>
      </c>
    </row>
    <row r="9964" spans="1:25" x14ac:dyDescent="0.35">
      <c r="A9964">
        <v>39.960818371258902</v>
      </c>
      <c r="B9964">
        <v>-120.109694681528</v>
      </c>
      <c r="C9964" t="s">
        <v>25</v>
      </c>
      <c r="D9964">
        <v>9.5620992142115195</v>
      </c>
      <c r="E9964">
        <v>8</v>
      </c>
      <c r="F9964">
        <v>3804</v>
      </c>
      <c r="G9964">
        <v>4</v>
      </c>
      <c r="H9964">
        <v>3</v>
      </c>
      <c r="I9964">
        <v>1953</v>
      </c>
      <c r="J9964">
        <v>1</v>
      </c>
      <c r="K9964">
        <v>1</v>
      </c>
      <c r="L9964">
        <v>1</v>
      </c>
      <c r="M9964">
        <v>14</v>
      </c>
      <c r="N9964" t="s">
        <v>26</v>
      </c>
      <c r="O9964" t="s">
        <v>30</v>
      </c>
      <c r="P9964">
        <v>14.960881985757</v>
      </c>
      <c r="Q9964">
        <v>0.70002876670323599</v>
      </c>
      <c r="R9964">
        <v>6.4278286443988097</v>
      </c>
      <c r="S9964">
        <v>136</v>
      </c>
      <c r="T9964">
        <v>28</v>
      </c>
      <c r="U9964">
        <v>777.84578761766102</v>
      </c>
      <c r="V9964">
        <v>3.6803364879074599E-3</v>
      </c>
      <c r="W9964">
        <v>3384185.4858384901</v>
      </c>
      <c r="X9964" t="s">
        <v>44</v>
      </c>
      <c r="Y9964">
        <f>1-417-647-1439</f>
        <v>-2502</v>
      </c>
    </row>
    <row r="9965" spans="1:25" x14ac:dyDescent="0.35">
      <c r="A9965">
        <v>32.916325682712802</v>
      </c>
      <c r="B9965">
        <v>-119.778089749599</v>
      </c>
      <c r="C9965" t="s">
        <v>29</v>
      </c>
      <c r="D9965">
        <v>29.3838887884705</v>
      </c>
      <c r="E9965">
        <v>0</v>
      </c>
      <c r="F9965">
        <v>2563</v>
      </c>
      <c r="G9965">
        <v>3</v>
      </c>
      <c r="H9965">
        <v>3</v>
      </c>
      <c r="I9965">
        <v>1995</v>
      </c>
      <c r="J9965">
        <v>1</v>
      </c>
      <c r="K9965">
        <v>1</v>
      </c>
      <c r="L9965">
        <v>0</v>
      </c>
      <c r="M9965">
        <v>7</v>
      </c>
      <c r="N9965" t="s">
        <v>26</v>
      </c>
      <c r="O9965" t="s">
        <v>32</v>
      </c>
      <c r="P9965">
        <v>12.5912827047619</v>
      </c>
      <c r="Q9965">
        <v>0.85730844948198104</v>
      </c>
      <c r="R9965">
        <v>7.67770894605703</v>
      </c>
      <c r="S9965">
        <v>181</v>
      </c>
      <c r="T9965">
        <v>27</v>
      </c>
      <c r="U9965">
        <v>991.77976732296099</v>
      </c>
      <c r="V9965">
        <v>2.7311744049941401E-3</v>
      </c>
      <c r="W9965">
        <v>2958743.4243074399</v>
      </c>
      <c r="X9965" t="s">
        <v>40</v>
      </c>
      <c r="Y9965">
        <f>1-623-889-6933</f>
        <v>-8444</v>
      </c>
    </row>
    <row r="9966" spans="1:25" x14ac:dyDescent="0.35">
      <c r="A9966">
        <v>33.234550153136297</v>
      </c>
      <c r="B9966">
        <v>-118.30795517048399</v>
      </c>
      <c r="C9966" t="s">
        <v>29</v>
      </c>
      <c r="D9966">
        <v>38.7980345353659</v>
      </c>
      <c r="E9966">
        <v>6</v>
      </c>
      <c r="F9966">
        <v>730</v>
      </c>
      <c r="G9966">
        <v>5</v>
      </c>
      <c r="H9966">
        <v>2</v>
      </c>
      <c r="I9966">
        <v>1970</v>
      </c>
      <c r="J9966">
        <v>1</v>
      </c>
      <c r="K9966">
        <v>0</v>
      </c>
      <c r="L9966">
        <v>1</v>
      </c>
      <c r="M9966">
        <v>2</v>
      </c>
      <c r="N9966" t="s">
        <v>37</v>
      </c>
      <c r="O9966" t="s">
        <v>27</v>
      </c>
      <c r="P9966">
        <v>13.1573490604752</v>
      </c>
      <c r="Q9966">
        <v>1.2195539378812399</v>
      </c>
      <c r="R9966">
        <v>3.2775356647484002</v>
      </c>
      <c r="S9966">
        <v>48</v>
      </c>
      <c r="T9966">
        <v>40</v>
      </c>
      <c r="U9966">
        <v>910.20592782386097</v>
      </c>
      <c r="V9966">
        <v>2.7397260273972599E-3</v>
      </c>
      <c r="W9966">
        <v>1148474.3274162</v>
      </c>
      <c r="X9966" t="s">
        <v>43</v>
      </c>
      <c r="Y9966">
        <f>1-670-223-1861</f>
        <v>-2753</v>
      </c>
    </row>
    <row r="9967" spans="1:25" x14ac:dyDescent="0.35">
      <c r="A9967">
        <v>41.449435784474097</v>
      </c>
      <c r="B9967">
        <v>-119.862947344836</v>
      </c>
      <c r="C9967" t="s">
        <v>29</v>
      </c>
      <c r="D9967">
        <v>9.3512143210351795</v>
      </c>
      <c r="E9967">
        <v>0</v>
      </c>
      <c r="F9967">
        <v>2949</v>
      </c>
      <c r="G9967">
        <v>2</v>
      </c>
      <c r="H9967">
        <v>1</v>
      </c>
      <c r="I9967">
        <v>2016</v>
      </c>
      <c r="J9967">
        <v>1</v>
      </c>
      <c r="K9967">
        <v>0</v>
      </c>
      <c r="L9967">
        <v>1</v>
      </c>
      <c r="M9967">
        <v>11</v>
      </c>
      <c r="N9967" t="s">
        <v>26</v>
      </c>
      <c r="O9967" t="s">
        <v>27</v>
      </c>
      <c r="P9967">
        <v>13.5521168130372</v>
      </c>
      <c r="Q9967">
        <v>1.4357723559608</v>
      </c>
      <c r="R9967">
        <v>5.5042571278840704</v>
      </c>
      <c r="S9967">
        <v>118</v>
      </c>
      <c r="T9967">
        <v>26</v>
      </c>
      <c r="U9967">
        <v>761.306774878086</v>
      </c>
      <c r="V9967">
        <v>3.7300779925398399E-3</v>
      </c>
      <c r="W9967">
        <v>2587294.7605888001</v>
      </c>
      <c r="X9967" t="s">
        <v>43</v>
      </c>
      <c r="Y9967">
        <f>1-895-984-4800</f>
        <v>-6678</v>
      </c>
    </row>
    <row r="9968" spans="1:25" x14ac:dyDescent="0.35">
      <c r="A9968">
        <v>40.847686934483697</v>
      </c>
      <c r="B9968">
        <v>-120.60545465266</v>
      </c>
      <c r="C9968" t="s">
        <v>25</v>
      </c>
      <c r="D9968">
        <v>9.6420950939349197</v>
      </c>
      <c r="E9968">
        <v>7</v>
      </c>
      <c r="F9968">
        <v>3272</v>
      </c>
      <c r="G9968">
        <v>3</v>
      </c>
      <c r="H9968">
        <v>2</v>
      </c>
      <c r="I9968">
        <v>1956</v>
      </c>
      <c r="J9968">
        <v>0</v>
      </c>
      <c r="K9968">
        <v>1</v>
      </c>
      <c r="L9968">
        <v>1</v>
      </c>
      <c r="M9968">
        <v>9</v>
      </c>
      <c r="N9968" t="s">
        <v>41</v>
      </c>
      <c r="O9968" t="s">
        <v>27</v>
      </c>
      <c r="P9968">
        <v>6.25945454591165</v>
      </c>
      <c r="Q9968">
        <v>0.57028497758646102</v>
      </c>
      <c r="R9968">
        <v>1.07461809345175</v>
      </c>
      <c r="S9968">
        <v>83</v>
      </c>
      <c r="T9968">
        <v>60</v>
      </c>
      <c r="U9968">
        <v>856.30660477333299</v>
      </c>
      <c r="V9968">
        <v>2.7506112469437602E-3</v>
      </c>
      <c r="W9968">
        <v>3116390.1846717601</v>
      </c>
      <c r="X9968" t="s">
        <v>40</v>
      </c>
      <c r="Y9968">
        <f>1-356-783-6890</f>
        <v>-8028</v>
      </c>
    </row>
    <row r="9969" spans="1:25" x14ac:dyDescent="0.35">
      <c r="A9969">
        <v>33.667398822046799</v>
      </c>
      <c r="B9969">
        <v>-114.257790218704</v>
      </c>
      <c r="C9969" t="s">
        <v>29</v>
      </c>
      <c r="D9969">
        <v>26.441393354454899</v>
      </c>
      <c r="E9969">
        <v>6</v>
      </c>
      <c r="F9969">
        <v>4875</v>
      </c>
      <c r="G9969">
        <v>3</v>
      </c>
      <c r="H9969">
        <v>3</v>
      </c>
      <c r="I9969">
        <v>2008</v>
      </c>
      <c r="J9969">
        <v>1</v>
      </c>
      <c r="K9969">
        <v>1</v>
      </c>
      <c r="L9969">
        <v>0</v>
      </c>
      <c r="M9969">
        <v>11</v>
      </c>
      <c r="N9969" t="s">
        <v>37</v>
      </c>
      <c r="O9969" t="s">
        <v>30</v>
      </c>
      <c r="P9969">
        <v>5.3674252969918097</v>
      </c>
      <c r="Q9969">
        <v>2.1670811803555798</v>
      </c>
      <c r="R9969">
        <v>7.1637251389015697</v>
      </c>
      <c r="S9969">
        <v>191</v>
      </c>
      <c r="T9969">
        <v>39</v>
      </c>
      <c r="U9969">
        <v>308.94108760565803</v>
      </c>
      <c r="V9969">
        <v>2.2564102564102502E-3</v>
      </c>
      <c r="W9969">
        <v>1764725.49129531</v>
      </c>
      <c r="X9969" t="s">
        <v>28</v>
      </c>
      <c r="Y9969">
        <f>1-415-939-6656</f>
        <v>-8009</v>
      </c>
    </row>
    <row r="9970" spans="1:25" x14ac:dyDescent="0.35">
      <c r="A9970">
        <v>33.820979539905601</v>
      </c>
      <c r="B9970">
        <v>-119.745237751023</v>
      </c>
      <c r="C9970" t="s">
        <v>25</v>
      </c>
      <c r="D9970">
        <v>31.069922415028898</v>
      </c>
      <c r="E9970">
        <v>9</v>
      </c>
      <c r="F9970">
        <v>2514</v>
      </c>
      <c r="G9970">
        <v>2</v>
      </c>
      <c r="H9970">
        <v>2</v>
      </c>
      <c r="I9970">
        <v>1971</v>
      </c>
      <c r="J9970">
        <v>0</v>
      </c>
      <c r="K9970">
        <v>1</v>
      </c>
      <c r="L9970">
        <v>0</v>
      </c>
      <c r="M9970">
        <v>4</v>
      </c>
      <c r="N9970" t="s">
        <v>37</v>
      </c>
      <c r="O9970" t="s">
        <v>30</v>
      </c>
      <c r="P9970">
        <v>7.3403889057507996</v>
      </c>
      <c r="Q9970">
        <v>0.613468356555251</v>
      </c>
      <c r="R9970">
        <v>6.1555229502180397</v>
      </c>
      <c r="S9970">
        <v>177</v>
      </c>
      <c r="T9970">
        <v>51</v>
      </c>
      <c r="U9970">
        <v>581.09596842565202</v>
      </c>
      <c r="V9970">
        <v>1.5910898965791501E-3</v>
      </c>
      <c r="W9970">
        <v>1656807.78093247</v>
      </c>
      <c r="X9970" t="s">
        <v>38</v>
      </c>
      <c r="Y9970">
        <f>1-399-452-7904</f>
        <v>-8754</v>
      </c>
    </row>
    <row r="9971" spans="1:25" x14ac:dyDescent="0.35">
      <c r="A9971">
        <v>38.344621838379901</v>
      </c>
      <c r="B9971">
        <v>-116.060313959689</v>
      </c>
      <c r="C9971" t="s">
        <v>29</v>
      </c>
      <c r="D9971">
        <v>47.069817966996901</v>
      </c>
      <c r="E9971">
        <v>3</v>
      </c>
      <c r="F9971">
        <v>4957</v>
      </c>
      <c r="G9971">
        <v>1</v>
      </c>
      <c r="H9971">
        <v>2</v>
      </c>
      <c r="I9971">
        <v>1989</v>
      </c>
      <c r="J9971">
        <v>0</v>
      </c>
      <c r="K9971">
        <v>0</v>
      </c>
      <c r="L9971">
        <v>0</v>
      </c>
      <c r="M9971">
        <v>11</v>
      </c>
      <c r="N9971" t="s">
        <v>41</v>
      </c>
      <c r="O9971" t="s">
        <v>27</v>
      </c>
      <c r="P9971">
        <v>8.2310821922756094</v>
      </c>
      <c r="Q9971">
        <v>0.57467178294661103</v>
      </c>
      <c r="R9971">
        <v>9.3660772804219992</v>
      </c>
      <c r="S9971">
        <v>163</v>
      </c>
      <c r="T9971">
        <v>47</v>
      </c>
      <c r="U9971">
        <v>571.28565281889996</v>
      </c>
      <c r="V9971">
        <v>2.21908412346177E-3</v>
      </c>
      <c r="W9971">
        <v>2927410.7693919102</v>
      </c>
      <c r="X9971" t="s">
        <v>40</v>
      </c>
      <c r="Y9971">
        <f>1-645-505-9422</f>
        <v>-10571</v>
      </c>
    </row>
    <row r="9972" spans="1:25" x14ac:dyDescent="0.35">
      <c r="A9972">
        <v>41.589586348269897</v>
      </c>
      <c r="B9972">
        <v>-124.352788519914</v>
      </c>
      <c r="C9972" t="s">
        <v>34</v>
      </c>
      <c r="D9972">
        <v>3.0663517060686898</v>
      </c>
      <c r="E9972">
        <v>5</v>
      </c>
      <c r="F9972">
        <v>2280</v>
      </c>
      <c r="G9972">
        <v>4</v>
      </c>
      <c r="H9972">
        <v>3</v>
      </c>
      <c r="I9972">
        <v>1962</v>
      </c>
      <c r="J9972">
        <v>0</v>
      </c>
      <c r="K9972">
        <v>1</v>
      </c>
      <c r="L9972">
        <v>0</v>
      </c>
      <c r="M9972">
        <v>13</v>
      </c>
      <c r="N9972" t="s">
        <v>37</v>
      </c>
      <c r="O9972" t="s">
        <v>32</v>
      </c>
      <c r="P9972">
        <v>2.38481043252097</v>
      </c>
      <c r="Q9972">
        <v>2.2957663029369799</v>
      </c>
      <c r="R9972">
        <v>8.5591131548946908</v>
      </c>
      <c r="S9972">
        <v>137</v>
      </c>
      <c r="T9972">
        <v>77</v>
      </c>
      <c r="U9972">
        <v>793.00555397724304</v>
      </c>
      <c r="V9972">
        <v>5.7017543859649101E-3</v>
      </c>
      <c r="W9972">
        <v>2053672.00898663</v>
      </c>
      <c r="X9972" t="s">
        <v>33</v>
      </c>
      <c r="Y9972">
        <f>1-599-613-3539</f>
        <v>-4750</v>
      </c>
    </row>
    <row r="9973" spans="1:25" x14ac:dyDescent="0.35">
      <c r="A9973">
        <v>34.532980679162101</v>
      </c>
      <c r="B9973">
        <v>-119.785173528017</v>
      </c>
      <c r="C9973" t="s">
        <v>34</v>
      </c>
      <c r="D9973">
        <v>8.5587724272048096</v>
      </c>
      <c r="E9973">
        <v>2</v>
      </c>
      <c r="F9973">
        <v>829</v>
      </c>
      <c r="G9973">
        <v>5</v>
      </c>
      <c r="H9973">
        <v>2</v>
      </c>
      <c r="I9973">
        <v>1983</v>
      </c>
      <c r="J9973">
        <v>1</v>
      </c>
      <c r="K9973">
        <v>0</v>
      </c>
      <c r="L9973">
        <v>1</v>
      </c>
      <c r="M9973">
        <v>2</v>
      </c>
      <c r="N9973" t="s">
        <v>26</v>
      </c>
      <c r="O9973" t="s">
        <v>32</v>
      </c>
      <c r="P9973">
        <v>6.5208304707073204</v>
      </c>
      <c r="Q9973">
        <v>1.60545815264445</v>
      </c>
      <c r="R9973">
        <v>0.67399528099393402</v>
      </c>
      <c r="S9973">
        <v>111</v>
      </c>
      <c r="T9973">
        <v>60</v>
      </c>
      <c r="U9973">
        <v>583.87261817520402</v>
      </c>
      <c r="V9973">
        <v>2.4125452352231598E-3</v>
      </c>
      <c r="W9973">
        <v>799519.20296126604</v>
      </c>
      <c r="X9973" t="s">
        <v>44</v>
      </c>
      <c r="Y9973">
        <f>1-962-740-8932</f>
        <v>-10633</v>
      </c>
    </row>
    <row r="9974" spans="1:25" x14ac:dyDescent="0.35">
      <c r="A9974">
        <v>37.499052469980697</v>
      </c>
      <c r="B9974">
        <v>-124.46161955151101</v>
      </c>
      <c r="C9974" t="s">
        <v>34</v>
      </c>
      <c r="D9974">
        <v>32.968078973081099</v>
      </c>
      <c r="E9974">
        <v>0</v>
      </c>
      <c r="F9974">
        <v>3006</v>
      </c>
      <c r="G9974">
        <v>1</v>
      </c>
      <c r="H9974">
        <v>3</v>
      </c>
      <c r="I9974">
        <v>1989</v>
      </c>
      <c r="J9974">
        <v>0</v>
      </c>
      <c r="K9974">
        <v>1</v>
      </c>
      <c r="L9974">
        <v>0</v>
      </c>
      <c r="M9974">
        <v>8</v>
      </c>
      <c r="N9974" t="s">
        <v>26</v>
      </c>
      <c r="O9974" t="s">
        <v>27</v>
      </c>
      <c r="P9974">
        <v>10.3471244672065</v>
      </c>
      <c r="Q9974">
        <v>1.7380462450902201</v>
      </c>
      <c r="R9974">
        <v>8.1626335772351197</v>
      </c>
      <c r="S9974">
        <v>40</v>
      </c>
      <c r="T9974">
        <v>24</v>
      </c>
      <c r="U9974">
        <v>708.00125289592802</v>
      </c>
      <c r="V9974">
        <v>2.66134397870924E-3</v>
      </c>
      <c r="W9974">
        <v>2364676.5618557599</v>
      </c>
      <c r="X9974" t="s">
        <v>39</v>
      </c>
      <c r="Y9974">
        <f>1-256-704-4192</f>
        <v>-5151</v>
      </c>
    </row>
    <row r="9975" spans="1:25" x14ac:dyDescent="0.35">
      <c r="A9975">
        <v>37.011677575787203</v>
      </c>
      <c r="B9975">
        <v>-123.91651606889801</v>
      </c>
      <c r="C9975" t="s">
        <v>29</v>
      </c>
      <c r="D9975">
        <v>10.935740806107701</v>
      </c>
      <c r="E9975">
        <v>4</v>
      </c>
      <c r="F9975">
        <v>1840</v>
      </c>
      <c r="G9975">
        <v>4</v>
      </c>
      <c r="H9975">
        <v>3</v>
      </c>
      <c r="I9975">
        <v>1970</v>
      </c>
      <c r="J9975">
        <v>0</v>
      </c>
      <c r="K9975">
        <v>0</v>
      </c>
      <c r="L9975">
        <v>0</v>
      </c>
      <c r="M9975">
        <v>13</v>
      </c>
      <c r="N9975" t="s">
        <v>26</v>
      </c>
      <c r="O9975" t="s">
        <v>30</v>
      </c>
      <c r="P9975">
        <v>5.5786063661584597</v>
      </c>
      <c r="Q9975">
        <v>2.47667243074706</v>
      </c>
      <c r="R9975">
        <v>9.2820599974813298</v>
      </c>
      <c r="S9975">
        <v>166</v>
      </c>
      <c r="T9975">
        <v>23</v>
      </c>
      <c r="U9975">
        <v>907.39970624860803</v>
      </c>
      <c r="V9975">
        <v>7.06521739130434E-3</v>
      </c>
      <c r="W9975">
        <v>1877461.9341289201</v>
      </c>
      <c r="X9975" t="s">
        <v>43</v>
      </c>
      <c r="Y9975">
        <f>1-978-600-1731</f>
        <v>-3308</v>
      </c>
    </row>
    <row r="9976" spans="1:25" x14ac:dyDescent="0.35">
      <c r="A9976">
        <v>41.9673908839315</v>
      </c>
      <c r="B9976">
        <v>-114.353837326502</v>
      </c>
      <c r="C9976" t="s">
        <v>34</v>
      </c>
      <c r="D9976">
        <v>11.079746448803601</v>
      </c>
      <c r="E9976">
        <v>5</v>
      </c>
      <c r="F9976">
        <v>616</v>
      </c>
      <c r="G9976">
        <v>2</v>
      </c>
      <c r="H9976">
        <v>1</v>
      </c>
      <c r="I9976">
        <v>1986</v>
      </c>
      <c r="J9976">
        <v>1</v>
      </c>
      <c r="K9976">
        <v>0</v>
      </c>
      <c r="L9976">
        <v>0</v>
      </c>
      <c r="M9976">
        <v>3</v>
      </c>
      <c r="N9976" t="s">
        <v>41</v>
      </c>
      <c r="O9976" t="s">
        <v>30</v>
      </c>
      <c r="P9976">
        <v>3.42568719759287</v>
      </c>
      <c r="Q9976">
        <v>1.7884217366678099</v>
      </c>
      <c r="R9976">
        <v>5.0507181789981397</v>
      </c>
      <c r="S9976">
        <v>29</v>
      </c>
      <c r="T9976">
        <v>21</v>
      </c>
      <c r="U9976">
        <v>479.149696504806</v>
      </c>
      <c r="V9976">
        <v>4.87012987012987E-3</v>
      </c>
      <c r="W9976">
        <v>410723.07162011199</v>
      </c>
      <c r="X9976" t="s">
        <v>42</v>
      </c>
      <c r="Y9976">
        <f>1-770-462-3548</f>
        <v>-4779</v>
      </c>
    </row>
    <row r="9977" spans="1:25" x14ac:dyDescent="0.35">
      <c r="A9977">
        <v>40.783834570510798</v>
      </c>
      <c r="B9977">
        <v>-124.172200956015</v>
      </c>
      <c r="C9977" t="s">
        <v>34</v>
      </c>
      <c r="D9977">
        <v>26.658705901220898</v>
      </c>
      <c r="E9977">
        <v>8</v>
      </c>
      <c r="F9977">
        <v>2133</v>
      </c>
      <c r="G9977">
        <v>3</v>
      </c>
      <c r="H9977">
        <v>1</v>
      </c>
      <c r="I9977">
        <v>1966</v>
      </c>
      <c r="J9977">
        <v>0</v>
      </c>
      <c r="K9977">
        <v>0</v>
      </c>
      <c r="L9977">
        <v>0</v>
      </c>
      <c r="M9977">
        <v>13</v>
      </c>
      <c r="N9977" t="s">
        <v>41</v>
      </c>
      <c r="O9977" t="s">
        <v>27</v>
      </c>
      <c r="P9977">
        <v>2.5097017483997099</v>
      </c>
      <c r="Q9977">
        <v>1.3140346417987101</v>
      </c>
      <c r="R9977">
        <v>3.9472791292704801</v>
      </c>
      <c r="S9977">
        <v>32</v>
      </c>
      <c r="T9977">
        <v>30</v>
      </c>
      <c r="U9977">
        <v>358.20807804760898</v>
      </c>
      <c r="V9977">
        <v>6.0947022972339402E-3</v>
      </c>
      <c r="W9977">
        <v>840763.60188640701</v>
      </c>
      <c r="X9977" t="s">
        <v>31</v>
      </c>
      <c r="Y9977">
        <f>1-952-124-4158</f>
        <v>-5233</v>
      </c>
    </row>
    <row r="9978" spans="1:25" x14ac:dyDescent="0.35">
      <c r="A9978">
        <v>38.554463910780598</v>
      </c>
      <c r="B9978">
        <v>-120.727180379234</v>
      </c>
      <c r="C9978" t="s">
        <v>34</v>
      </c>
      <c r="D9978">
        <v>47.051755554175699</v>
      </c>
      <c r="E9978">
        <v>4</v>
      </c>
      <c r="F9978">
        <v>562</v>
      </c>
      <c r="G9978">
        <v>4</v>
      </c>
      <c r="H9978">
        <v>1</v>
      </c>
      <c r="I9978">
        <v>2010</v>
      </c>
      <c r="J9978">
        <v>0</v>
      </c>
      <c r="K9978">
        <v>1</v>
      </c>
      <c r="L9978">
        <v>1</v>
      </c>
      <c r="M9978">
        <v>8</v>
      </c>
      <c r="N9978" t="s">
        <v>35</v>
      </c>
      <c r="O9978" t="s">
        <v>27</v>
      </c>
      <c r="P9978">
        <v>7.3180885599673902</v>
      </c>
      <c r="Q9978">
        <v>0.66093896997524404</v>
      </c>
      <c r="R9978">
        <v>5.5684111925083002</v>
      </c>
      <c r="S9978">
        <v>139</v>
      </c>
      <c r="T9978">
        <v>56</v>
      </c>
      <c r="U9978">
        <v>843.84151134038996</v>
      </c>
      <c r="V9978">
        <v>1.42348754448398E-2</v>
      </c>
      <c r="W9978">
        <v>811732.71284077899</v>
      </c>
      <c r="X9978" t="s">
        <v>42</v>
      </c>
      <c r="Y9978">
        <f>1-437-789-3547</f>
        <v>-4772</v>
      </c>
    </row>
    <row r="9979" spans="1:25" x14ac:dyDescent="0.35">
      <c r="A9979">
        <v>39.700914917700601</v>
      </c>
      <c r="B9979">
        <v>-122.73555199833</v>
      </c>
      <c r="C9979" t="s">
        <v>34</v>
      </c>
      <c r="D9979">
        <v>15.3999479041955</v>
      </c>
      <c r="E9979">
        <v>5</v>
      </c>
      <c r="F9979">
        <v>948</v>
      </c>
      <c r="G9979">
        <v>2</v>
      </c>
      <c r="H9979">
        <v>2</v>
      </c>
      <c r="I9979">
        <v>1990</v>
      </c>
      <c r="J9979">
        <v>0</v>
      </c>
      <c r="K9979">
        <v>0</v>
      </c>
      <c r="L9979">
        <v>0</v>
      </c>
      <c r="M9979">
        <v>9</v>
      </c>
      <c r="N9979" t="s">
        <v>37</v>
      </c>
      <c r="O9979" t="s">
        <v>27</v>
      </c>
      <c r="P9979">
        <v>10.2482228170593</v>
      </c>
      <c r="Q9979">
        <v>1.0415811978246401</v>
      </c>
      <c r="R9979">
        <v>2.3325124781401998</v>
      </c>
      <c r="S9979">
        <v>1</v>
      </c>
      <c r="T9979">
        <v>34</v>
      </c>
      <c r="U9979">
        <v>872.28352248070303</v>
      </c>
      <c r="V9979">
        <v>9.4936708860759497E-3</v>
      </c>
      <c r="W9979">
        <v>1050534.9703341201</v>
      </c>
      <c r="X9979" t="s">
        <v>33</v>
      </c>
      <c r="Y9979">
        <f>1-396-440-5931</f>
        <v>-6766</v>
      </c>
    </row>
    <row r="9980" spans="1:25" x14ac:dyDescent="0.35">
      <c r="A9980">
        <v>34.549234441035701</v>
      </c>
      <c r="B9980">
        <v>-117.488022816713</v>
      </c>
      <c r="C9980" t="s">
        <v>34</v>
      </c>
      <c r="D9980">
        <v>22.477760164650299</v>
      </c>
      <c r="E9980">
        <v>7</v>
      </c>
      <c r="F9980">
        <v>1875</v>
      </c>
      <c r="G9980">
        <v>5</v>
      </c>
      <c r="H9980">
        <v>1</v>
      </c>
      <c r="I9980">
        <v>1952</v>
      </c>
      <c r="J9980">
        <v>1</v>
      </c>
      <c r="K9980">
        <v>0</v>
      </c>
      <c r="L9980">
        <v>1</v>
      </c>
      <c r="M9980">
        <v>8</v>
      </c>
      <c r="N9980" t="s">
        <v>37</v>
      </c>
      <c r="O9980" t="s">
        <v>32</v>
      </c>
      <c r="P9980">
        <v>10.4818217146124</v>
      </c>
      <c r="Q9980">
        <v>1.4865697016757</v>
      </c>
      <c r="R9980">
        <v>5.8101022137738996</v>
      </c>
      <c r="S9980">
        <v>12</v>
      </c>
      <c r="T9980">
        <v>22</v>
      </c>
      <c r="U9980">
        <v>446.06435930112201</v>
      </c>
      <c r="V9980">
        <v>4.2666666666666599E-3</v>
      </c>
      <c r="W9980">
        <v>1062605.0219816</v>
      </c>
      <c r="X9980" t="s">
        <v>39</v>
      </c>
      <c r="Y9980">
        <f>1-668-876-4050</f>
        <v>-5593</v>
      </c>
    </row>
    <row r="9981" spans="1:25" x14ac:dyDescent="0.35">
      <c r="A9981">
        <v>35.673181056432298</v>
      </c>
      <c r="B9981">
        <v>-120.091692502665</v>
      </c>
      <c r="C9981" t="s">
        <v>34</v>
      </c>
      <c r="D9981">
        <v>44.845275783526702</v>
      </c>
      <c r="E9981">
        <v>5</v>
      </c>
      <c r="F9981">
        <v>3418</v>
      </c>
      <c r="G9981">
        <v>5</v>
      </c>
      <c r="H9981">
        <v>1</v>
      </c>
      <c r="I9981">
        <v>1970</v>
      </c>
      <c r="J9981">
        <v>1</v>
      </c>
      <c r="K9981">
        <v>0</v>
      </c>
      <c r="L9981">
        <v>0</v>
      </c>
      <c r="M9981">
        <v>8</v>
      </c>
      <c r="N9981" t="s">
        <v>26</v>
      </c>
      <c r="O9981" t="s">
        <v>30</v>
      </c>
      <c r="P9981">
        <v>7.4118903174746702</v>
      </c>
      <c r="Q9981">
        <v>2.2319811360733199</v>
      </c>
      <c r="R9981">
        <v>6.7274682770452703</v>
      </c>
      <c r="S9981">
        <v>25</v>
      </c>
      <c r="T9981">
        <v>48</v>
      </c>
      <c r="U9981">
        <v>780.27149997019603</v>
      </c>
      <c r="V9981">
        <v>2.3405500292568702E-3</v>
      </c>
      <c r="W9981">
        <v>2957889.8852133099</v>
      </c>
      <c r="X9981" t="s">
        <v>43</v>
      </c>
      <c r="Y9981">
        <f>1-669-311-4989</f>
        <v>-5968</v>
      </c>
    </row>
    <row r="9982" spans="1:25" x14ac:dyDescent="0.35">
      <c r="A9982">
        <v>38.8597343683576</v>
      </c>
      <c r="B9982">
        <v>-124.02307535049501</v>
      </c>
      <c r="C9982" t="s">
        <v>25</v>
      </c>
      <c r="D9982">
        <v>7.5313791011226199</v>
      </c>
      <c r="E9982">
        <v>0</v>
      </c>
      <c r="F9982">
        <v>2023</v>
      </c>
      <c r="G9982">
        <v>2</v>
      </c>
      <c r="H9982">
        <v>2</v>
      </c>
      <c r="I9982">
        <v>1957</v>
      </c>
      <c r="J9982">
        <v>1</v>
      </c>
      <c r="K9982">
        <v>0</v>
      </c>
      <c r="L9982">
        <v>0</v>
      </c>
      <c r="M9982">
        <v>14</v>
      </c>
      <c r="N9982" t="s">
        <v>35</v>
      </c>
      <c r="O9982" t="s">
        <v>30</v>
      </c>
      <c r="P9982">
        <v>14.649679070315701</v>
      </c>
      <c r="Q9982">
        <v>1.74811060354675</v>
      </c>
      <c r="R9982">
        <v>6.3564046102115404</v>
      </c>
      <c r="S9982">
        <v>182</v>
      </c>
      <c r="T9982">
        <v>69</v>
      </c>
      <c r="U9982">
        <v>889.89219943492697</v>
      </c>
      <c r="V9982">
        <v>6.9204152249134898E-3</v>
      </c>
      <c r="W9982">
        <v>2030770.32674403</v>
      </c>
      <c r="X9982" t="s">
        <v>28</v>
      </c>
      <c r="Y9982">
        <f>1-927-182-3307</f>
        <v>-4415</v>
      </c>
    </row>
    <row r="9983" spans="1:25" x14ac:dyDescent="0.35">
      <c r="A9983">
        <v>40.114533137429</v>
      </c>
      <c r="B9983">
        <v>-124.422200958708</v>
      </c>
      <c r="C9983" t="s">
        <v>29</v>
      </c>
      <c r="D9983">
        <v>22.842391005623501</v>
      </c>
      <c r="E9983">
        <v>5</v>
      </c>
      <c r="F9983">
        <v>2403</v>
      </c>
      <c r="G9983">
        <v>5</v>
      </c>
      <c r="H9983">
        <v>1</v>
      </c>
      <c r="I9983">
        <v>2014</v>
      </c>
      <c r="J9983">
        <v>0</v>
      </c>
      <c r="K9983">
        <v>1</v>
      </c>
      <c r="L9983">
        <v>1</v>
      </c>
      <c r="M9983">
        <v>3</v>
      </c>
      <c r="N9983" t="s">
        <v>41</v>
      </c>
      <c r="O9983" t="s">
        <v>27</v>
      </c>
      <c r="P9983">
        <v>8.4190428597946703</v>
      </c>
      <c r="Q9983">
        <v>2.2250377770249701</v>
      </c>
      <c r="R9983">
        <v>5.6713829718726503</v>
      </c>
      <c r="S9983">
        <v>192</v>
      </c>
      <c r="T9983">
        <v>65</v>
      </c>
      <c r="U9983">
        <v>754.418990955038</v>
      </c>
      <c r="V9983">
        <v>1.24843945068664E-3</v>
      </c>
      <c r="W9983">
        <v>2153597.8807388102</v>
      </c>
      <c r="X9983" t="s">
        <v>42</v>
      </c>
      <c r="Y9983">
        <f>1-479-280-6522</f>
        <v>-7280</v>
      </c>
    </row>
    <row r="9984" spans="1:25" x14ac:dyDescent="0.35">
      <c r="A9984">
        <v>36.935111603801403</v>
      </c>
      <c r="B9984">
        <v>-119.822778115923</v>
      </c>
      <c r="C9984" t="s">
        <v>29</v>
      </c>
      <c r="D9984">
        <v>1.04336676749563</v>
      </c>
      <c r="E9984">
        <v>9</v>
      </c>
      <c r="F9984">
        <v>3724</v>
      </c>
      <c r="G9984">
        <v>3</v>
      </c>
      <c r="H9984">
        <v>2</v>
      </c>
      <c r="I9984">
        <v>1999</v>
      </c>
      <c r="J9984">
        <v>1</v>
      </c>
      <c r="K9984">
        <v>1</v>
      </c>
      <c r="L9984">
        <v>0</v>
      </c>
      <c r="M9984">
        <v>5</v>
      </c>
      <c r="N9984" t="s">
        <v>35</v>
      </c>
      <c r="O9984" t="s">
        <v>30</v>
      </c>
      <c r="P9984">
        <v>7.5286782563344499</v>
      </c>
      <c r="Q9984">
        <v>1.51115057077968</v>
      </c>
      <c r="R9984">
        <v>9.7308285745321896</v>
      </c>
      <c r="S9984">
        <v>192</v>
      </c>
      <c r="T9984">
        <v>57</v>
      </c>
      <c r="U9984">
        <v>342.520519666729</v>
      </c>
      <c r="V9984">
        <v>1.34264232008592E-3</v>
      </c>
      <c r="W9984">
        <v>1584253.2507295201</v>
      </c>
      <c r="X9984" t="s">
        <v>40</v>
      </c>
      <c r="Y9984">
        <f>1-619-157-8895</f>
        <v>-9670</v>
      </c>
    </row>
    <row r="9985" spans="1:25" x14ac:dyDescent="0.35">
      <c r="A9985">
        <v>33.197546702303399</v>
      </c>
      <c r="B9985">
        <v>-121.73419171713201</v>
      </c>
      <c r="C9985" t="s">
        <v>34</v>
      </c>
      <c r="D9985">
        <v>36.106440021839397</v>
      </c>
      <c r="E9985">
        <v>7</v>
      </c>
      <c r="F9985">
        <v>2042</v>
      </c>
      <c r="G9985">
        <v>1</v>
      </c>
      <c r="H9985">
        <v>3</v>
      </c>
      <c r="I9985">
        <v>1989</v>
      </c>
      <c r="J9985">
        <v>0</v>
      </c>
      <c r="K9985">
        <v>0</v>
      </c>
      <c r="L9985">
        <v>1</v>
      </c>
      <c r="M9985">
        <v>9</v>
      </c>
      <c r="N9985" t="s">
        <v>37</v>
      </c>
      <c r="O9985" t="s">
        <v>27</v>
      </c>
      <c r="P9985">
        <v>9.9749004904390404</v>
      </c>
      <c r="Q9985">
        <v>1.9079302430521701</v>
      </c>
      <c r="R9985">
        <v>3.28130090431622</v>
      </c>
      <c r="S9985">
        <v>24</v>
      </c>
      <c r="T9985">
        <v>39</v>
      </c>
      <c r="U9985">
        <v>634.12748412296105</v>
      </c>
      <c r="V9985">
        <v>4.4074436826640499E-3</v>
      </c>
      <c r="W9985">
        <v>1520669.4409751601</v>
      </c>
      <c r="X9985" t="s">
        <v>36</v>
      </c>
      <c r="Y9985">
        <f>1-502-954-1397</f>
        <v>-2852</v>
      </c>
    </row>
    <row r="9986" spans="1:25" x14ac:dyDescent="0.35">
      <c r="A9986">
        <v>36.850575208490703</v>
      </c>
      <c r="B9986">
        <v>-123.293127616116</v>
      </c>
      <c r="C9986" t="s">
        <v>29</v>
      </c>
      <c r="D9986">
        <v>45.319827857192102</v>
      </c>
      <c r="E9986">
        <v>6</v>
      </c>
      <c r="F9986">
        <v>4728</v>
      </c>
      <c r="G9986">
        <v>4</v>
      </c>
      <c r="H9986">
        <v>2</v>
      </c>
      <c r="I9986">
        <v>1972</v>
      </c>
      <c r="J9986">
        <v>0</v>
      </c>
      <c r="K9986">
        <v>1</v>
      </c>
      <c r="L9986">
        <v>1</v>
      </c>
      <c r="M9986">
        <v>6</v>
      </c>
      <c r="N9986" t="s">
        <v>37</v>
      </c>
      <c r="O9986" t="s">
        <v>32</v>
      </c>
      <c r="P9986">
        <v>11.964293578273001</v>
      </c>
      <c r="Q9986">
        <v>1.2561916990187301</v>
      </c>
      <c r="R9986">
        <v>3.2911674975696301</v>
      </c>
      <c r="S9986">
        <v>5</v>
      </c>
      <c r="T9986">
        <v>40</v>
      </c>
      <c r="U9986">
        <v>833.16437657429901</v>
      </c>
      <c r="V9986">
        <v>1.2690355329949201E-3</v>
      </c>
      <c r="W9986">
        <v>4342806.5271667</v>
      </c>
      <c r="X9986" t="s">
        <v>33</v>
      </c>
      <c r="Y9986">
        <f>1-820-346-5916</f>
        <v>-7081</v>
      </c>
    </row>
    <row r="9987" spans="1:25" x14ac:dyDescent="0.35">
      <c r="A9987">
        <v>37.439397743506703</v>
      </c>
      <c r="B9987">
        <v>-123.671808672108</v>
      </c>
      <c r="C9987" t="s">
        <v>29</v>
      </c>
      <c r="D9987">
        <v>30.202094755400001</v>
      </c>
      <c r="E9987">
        <v>4</v>
      </c>
      <c r="F9987">
        <v>3093</v>
      </c>
      <c r="G9987">
        <v>3</v>
      </c>
      <c r="H9987">
        <v>1</v>
      </c>
      <c r="I9987">
        <v>2018</v>
      </c>
      <c r="J9987">
        <v>0</v>
      </c>
      <c r="K9987">
        <v>0</v>
      </c>
      <c r="L9987">
        <v>0</v>
      </c>
      <c r="M9987">
        <v>14</v>
      </c>
      <c r="N9987" t="s">
        <v>41</v>
      </c>
      <c r="O9987" t="s">
        <v>30</v>
      </c>
      <c r="P9987">
        <v>3.9518810346123399</v>
      </c>
      <c r="Q9987">
        <v>0.92329708049873505</v>
      </c>
      <c r="R9987">
        <v>8.4894051868633191</v>
      </c>
      <c r="S9987">
        <v>105</v>
      </c>
      <c r="T9987">
        <v>72</v>
      </c>
      <c r="U9987">
        <v>269.04431159749703</v>
      </c>
      <c r="V9987">
        <v>4.5263498221791102E-3</v>
      </c>
      <c r="W9987">
        <v>931514.647076105</v>
      </c>
      <c r="X9987" t="s">
        <v>33</v>
      </c>
      <c r="Y9987">
        <f>1-204-316-2084</f>
        <v>-2603</v>
      </c>
    </row>
    <row r="9988" spans="1:25" x14ac:dyDescent="0.35">
      <c r="A9988">
        <v>40.232828681238502</v>
      </c>
      <c r="B9988">
        <v>-122.074388601444</v>
      </c>
      <c r="C9988" t="s">
        <v>34</v>
      </c>
      <c r="D9988">
        <v>18.779180115823799</v>
      </c>
      <c r="E9988">
        <v>1</v>
      </c>
      <c r="F9988">
        <v>2164</v>
      </c>
      <c r="G9988">
        <v>2</v>
      </c>
      <c r="H9988">
        <v>1</v>
      </c>
      <c r="I9988">
        <v>1976</v>
      </c>
      <c r="J9988">
        <v>1</v>
      </c>
      <c r="K9988">
        <v>0</v>
      </c>
      <c r="L9988">
        <v>0</v>
      </c>
      <c r="M9988">
        <v>14</v>
      </c>
      <c r="N9988" t="s">
        <v>37</v>
      </c>
      <c r="O9988" t="s">
        <v>30</v>
      </c>
      <c r="P9988">
        <v>3.8432067491053501</v>
      </c>
      <c r="Q9988">
        <v>2.4301093778991101</v>
      </c>
      <c r="R9988">
        <v>3.8232607391031599</v>
      </c>
      <c r="S9988">
        <v>185</v>
      </c>
      <c r="T9988">
        <v>68</v>
      </c>
      <c r="U9988">
        <v>643.312449515249</v>
      </c>
      <c r="V9988">
        <v>6.4695009242144103E-3</v>
      </c>
      <c r="W9988">
        <v>1522086.9996847401</v>
      </c>
      <c r="X9988" t="s">
        <v>31</v>
      </c>
      <c r="Y9988">
        <f>1-383-770-2755</f>
        <v>-3907</v>
      </c>
    </row>
    <row r="9989" spans="1:25" x14ac:dyDescent="0.35">
      <c r="A9989">
        <v>40.840953865071398</v>
      </c>
      <c r="B9989">
        <v>-117.00769377748099</v>
      </c>
      <c r="C9989" t="s">
        <v>25</v>
      </c>
      <c r="D9989">
        <v>7.0576933280122596</v>
      </c>
      <c r="E9989">
        <v>3</v>
      </c>
      <c r="F9989">
        <v>2454</v>
      </c>
      <c r="G9989">
        <v>2</v>
      </c>
      <c r="H9989">
        <v>1</v>
      </c>
      <c r="I9989">
        <v>1982</v>
      </c>
      <c r="J9989">
        <v>1</v>
      </c>
      <c r="K9989">
        <v>1</v>
      </c>
      <c r="L9989">
        <v>0</v>
      </c>
      <c r="M9989">
        <v>12</v>
      </c>
      <c r="N9989" t="s">
        <v>37</v>
      </c>
      <c r="O9989" t="s">
        <v>30</v>
      </c>
      <c r="P9989">
        <v>8.7936028862189399</v>
      </c>
      <c r="Q9989">
        <v>1.92773050726661</v>
      </c>
      <c r="R9989">
        <v>9.5712052063503297</v>
      </c>
      <c r="S9989">
        <v>146</v>
      </c>
      <c r="T9989">
        <v>73</v>
      </c>
      <c r="U9989">
        <v>636.07915756489604</v>
      </c>
      <c r="V9989">
        <v>4.8899755501222398E-3</v>
      </c>
      <c r="W9989">
        <v>1776642.6696941301</v>
      </c>
      <c r="X9989" t="s">
        <v>39</v>
      </c>
      <c r="Y9989">
        <f>1-919-813-3952</f>
        <v>-5683</v>
      </c>
    </row>
    <row r="9990" spans="1:25" x14ac:dyDescent="0.35">
      <c r="A9990">
        <v>34.177772034678398</v>
      </c>
      <c r="B9990">
        <v>-121.26133815348101</v>
      </c>
      <c r="C9990" t="s">
        <v>25</v>
      </c>
      <c r="D9990">
        <v>30.220848466635601</v>
      </c>
      <c r="E9990">
        <v>7</v>
      </c>
      <c r="F9990">
        <v>1710</v>
      </c>
      <c r="G9990">
        <v>1</v>
      </c>
      <c r="H9990">
        <v>2</v>
      </c>
      <c r="I9990">
        <v>1984</v>
      </c>
      <c r="J9990">
        <v>1</v>
      </c>
      <c r="K9990">
        <v>0</v>
      </c>
      <c r="L9990">
        <v>0</v>
      </c>
      <c r="M9990">
        <v>11</v>
      </c>
      <c r="N9990" t="s">
        <v>41</v>
      </c>
      <c r="O9990" t="s">
        <v>30</v>
      </c>
      <c r="P9990">
        <v>2.7360896823314498</v>
      </c>
      <c r="Q9990">
        <v>1.2530725269741101</v>
      </c>
      <c r="R9990">
        <v>6.9525586949937601</v>
      </c>
      <c r="S9990">
        <v>164</v>
      </c>
      <c r="T9990">
        <v>38</v>
      </c>
      <c r="U9990">
        <v>517.34937232976404</v>
      </c>
      <c r="V9990">
        <v>6.4327485380116902E-3</v>
      </c>
      <c r="W9990">
        <v>948455.84531195101</v>
      </c>
      <c r="X9990" t="s">
        <v>42</v>
      </c>
      <c r="Y9990">
        <f>1-902-709-7672</f>
        <v>-9282</v>
      </c>
    </row>
    <row r="9991" spans="1:25" x14ac:dyDescent="0.35">
      <c r="A9991">
        <v>38.305310663820002</v>
      </c>
      <c r="B9991">
        <v>-116.606859278179</v>
      </c>
      <c r="C9991" t="s">
        <v>29</v>
      </c>
      <c r="D9991">
        <v>42.037976555057199</v>
      </c>
      <c r="E9991">
        <v>0</v>
      </c>
      <c r="F9991">
        <v>4340</v>
      </c>
      <c r="G9991">
        <v>2</v>
      </c>
      <c r="H9991">
        <v>2</v>
      </c>
      <c r="I9991">
        <v>2019</v>
      </c>
      <c r="J9991">
        <v>1</v>
      </c>
      <c r="K9991">
        <v>1</v>
      </c>
      <c r="L9991">
        <v>1</v>
      </c>
      <c r="M9991">
        <v>7</v>
      </c>
      <c r="N9991" t="s">
        <v>41</v>
      </c>
      <c r="O9991" t="s">
        <v>30</v>
      </c>
      <c r="P9991">
        <v>8.7912802479264407</v>
      </c>
      <c r="Q9991">
        <v>0.75410656767318995</v>
      </c>
      <c r="R9991">
        <v>7.6244839894316199</v>
      </c>
      <c r="S9991">
        <v>20</v>
      </c>
      <c r="T9991">
        <v>46</v>
      </c>
      <c r="U9991">
        <v>363.234522920063</v>
      </c>
      <c r="V9991">
        <v>1.6129032258064501E-3</v>
      </c>
      <c r="W9991">
        <v>2079235.0066986</v>
      </c>
      <c r="X9991" t="s">
        <v>42</v>
      </c>
      <c r="Y9991">
        <f>1-656-283-6007</f>
        <v>-6945</v>
      </c>
    </row>
    <row r="9992" spans="1:25" x14ac:dyDescent="0.35">
      <c r="A9992">
        <v>40.670954954548399</v>
      </c>
      <c r="B9992">
        <v>-121.972957236376</v>
      </c>
      <c r="C9992" t="s">
        <v>29</v>
      </c>
      <c r="D9992">
        <v>33.917328300531203</v>
      </c>
      <c r="E9992">
        <v>3</v>
      </c>
      <c r="F9992">
        <v>2983</v>
      </c>
      <c r="G9992">
        <v>4</v>
      </c>
      <c r="H9992">
        <v>3</v>
      </c>
      <c r="I9992">
        <v>1989</v>
      </c>
      <c r="J9992">
        <v>1</v>
      </c>
      <c r="K9992">
        <v>0</v>
      </c>
      <c r="L9992">
        <v>1</v>
      </c>
      <c r="M9992">
        <v>9</v>
      </c>
      <c r="N9992" t="s">
        <v>41</v>
      </c>
      <c r="O9992" t="s">
        <v>27</v>
      </c>
      <c r="P9992">
        <v>9.0430447680335106</v>
      </c>
      <c r="Q9992">
        <v>2.3810128747616202</v>
      </c>
      <c r="R9992">
        <v>2.68581521885858</v>
      </c>
      <c r="S9992">
        <v>197</v>
      </c>
      <c r="T9992">
        <v>61</v>
      </c>
      <c r="U9992">
        <v>740.00685803538101</v>
      </c>
      <c r="V9992">
        <v>3.0170968823332199E-3</v>
      </c>
      <c r="W9992">
        <v>2496936.1716842302</v>
      </c>
      <c r="X9992" t="s">
        <v>38</v>
      </c>
      <c r="Y9992">
        <f>1-393-108-7840</f>
        <v>-8340</v>
      </c>
    </row>
    <row r="9993" spans="1:25" x14ac:dyDescent="0.35">
      <c r="A9993">
        <v>33.641631511843499</v>
      </c>
      <c r="B9993">
        <v>-118.465149164118</v>
      </c>
      <c r="C9993" t="s">
        <v>34</v>
      </c>
      <c r="D9993">
        <v>16.1400619561444</v>
      </c>
      <c r="E9993">
        <v>5</v>
      </c>
      <c r="F9993">
        <v>2776</v>
      </c>
      <c r="G9993">
        <v>2</v>
      </c>
      <c r="H9993">
        <v>3</v>
      </c>
      <c r="I9993">
        <v>1978</v>
      </c>
      <c r="J9993">
        <v>0</v>
      </c>
      <c r="K9993">
        <v>0</v>
      </c>
      <c r="L9993">
        <v>1</v>
      </c>
      <c r="M9993">
        <v>11</v>
      </c>
      <c r="N9993" t="s">
        <v>26</v>
      </c>
      <c r="O9993" t="s">
        <v>30</v>
      </c>
      <c r="P9993">
        <v>12.571313161253499</v>
      </c>
      <c r="Q9993">
        <v>1.48997747519709</v>
      </c>
      <c r="R9993">
        <v>2.03032893294561</v>
      </c>
      <c r="S9993">
        <v>92</v>
      </c>
      <c r="T9993">
        <v>63</v>
      </c>
      <c r="U9993">
        <v>354.42235219674302</v>
      </c>
      <c r="V9993">
        <v>3.96253602305475E-3</v>
      </c>
      <c r="W9993">
        <v>1268194.86647758</v>
      </c>
      <c r="X9993" t="s">
        <v>28</v>
      </c>
      <c r="Y9993">
        <f>1-949-276-4016</f>
        <v>-5240</v>
      </c>
    </row>
    <row r="9994" spans="1:25" x14ac:dyDescent="0.35">
      <c r="A9994">
        <v>39.790311242111699</v>
      </c>
      <c r="B9994">
        <v>-118.46229268663301</v>
      </c>
      <c r="C9994" t="s">
        <v>29</v>
      </c>
      <c r="D9994">
        <v>11.878400926994001</v>
      </c>
      <c r="E9994">
        <v>3</v>
      </c>
      <c r="F9994">
        <v>4054</v>
      </c>
      <c r="G9994">
        <v>3</v>
      </c>
      <c r="H9994">
        <v>3</v>
      </c>
      <c r="I9994">
        <v>1980</v>
      </c>
      <c r="J9994">
        <v>0</v>
      </c>
      <c r="K9994">
        <v>0</v>
      </c>
      <c r="L9994">
        <v>1</v>
      </c>
      <c r="M9994">
        <v>5</v>
      </c>
      <c r="N9994" t="s">
        <v>26</v>
      </c>
      <c r="O9994" t="s">
        <v>27</v>
      </c>
      <c r="P9994">
        <v>2.4370611091637699</v>
      </c>
      <c r="Q9994">
        <v>2.3556300764970999</v>
      </c>
      <c r="R9994">
        <v>5.6365893702490997</v>
      </c>
      <c r="S9994">
        <v>111</v>
      </c>
      <c r="T9994">
        <v>71</v>
      </c>
      <c r="U9994">
        <v>864.34160285989299</v>
      </c>
      <c r="V9994">
        <v>1.23334977799704E-3</v>
      </c>
      <c r="W9994">
        <v>3574174.7571910899</v>
      </c>
      <c r="X9994" t="s">
        <v>31</v>
      </c>
      <c r="Y9994">
        <f>1-998-597-7599</f>
        <v>-9193</v>
      </c>
    </row>
    <row r="9995" spans="1:25" x14ac:dyDescent="0.35">
      <c r="A9995">
        <v>37.831737738797898</v>
      </c>
      <c r="B9995">
        <v>-116.59082621749801</v>
      </c>
      <c r="C9995" t="s">
        <v>25</v>
      </c>
      <c r="D9995">
        <v>42.311611045564398</v>
      </c>
      <c r="E9995">
        <v>5</v>
      </c>
      <c r="F9995">
        <v>1467</v>
      </c>
      <c r="G9995">
        <v>3</v>
      </c>
      <c r="H9995">
        <v>1</v>
      </c>
      <c r="I9995">
        <v>1962</v>
      </c>
      <c r="J9995">
        <v>1</v>
      </c>
      <c r="K9995">
        <v>0</v>
      </c>
      <c r="L9995">
        <v>1</v>
      </c>
      <c r="M9995">
        <v>6</v>
      </c>
      <c r="N9995" t="s">
        <v>37</v>
      </c>
      <c r="O9995" t="s">
        <v>32</v>
      </c>
      <c r="P9995">
        <v>10.1477648044301</v>
      </c>
      <c r="Q9995">
        <v>0.99701154126302605</v>
      </c>
      <c r="R9995">
        <v>0.310303915415725</v>
      </c>
      <c r="S9995">
        <v>38</v>
      </c>
      <c r="T9995">
        <v>44</v>
      </c>
      <c r="U9995">
        <v>517.19542364848996</v>
      </c>
      <c r="V9995">
        <v>4.0899795501022499E-3</v>
      </c>
      <c r="W9995">
        <v>961636.53672434599</v>
      </c>
      <c r="X9995" t="s">
        <v>40</v>
      </c>
      <c r="Y9995">
        <f>1-425-774-6572</f>
        <v>-7770</v>
      </c>
    </row>
    <row r="9996" spans="1:25" x14ac:dyDescent="0.35">
      <c r="A9996">
        <v>37.871771631763103</v>
      </c>
      <c r="B9996">
        <v>-114.410550098179</v>
      </c>
      <c r="C9996" t="s">
        <v>29</v>
      </c>
      <c r="D9996">
        <v>43.544919618763998</v>
      </c>
      <c r="E9996">
        <v>2</v>
      </c>
      <c r="F9996">
        <v>3345</v>
      </c>
      <c r="G9996">
        <v>3</v>
      </c>
      <c r="H9996">
        <v>2</v>
      </c>
      <c r="I9996">
        <v>1982</v>
      </c>
      <c r="J9996">
        <v>0</v>
      </c>
      <c r="K9996">
        <v>0</v>
      </c>
      <c r="L9996">
        <v>0</v>
      </c>
      <c r="M9996">
        <v>14</v>
      </c>
      <c r="N9996" t="s">
        <v>37</v>
      </c>
      <c r="O9996" t="s">
        <v>32</v>
      </c>
      <c r="P9996">
        <v>2.9738872121364399</v>
      </c>
      <c r="Q9996">
        <v>1.6174350383368701</v>
      </c>
      <c r="R9996">
        <v>8.3879784944253295</v>
      </c>
      <c r="S9996">
        <v>171</v>
      </c>
      <c r="T9996">
        <v>26</v>
      </c>
      <c r="U9996">
        <v>446.025522491267</v>
      </c>
      <c r="V9996">
        <v>4.1853512705530603E-3</v>
      </c>
      <c r="W9996">
        <v>1577190.92661861</v>
      </c>
      <c r="X9996" t="s">
        <v>39</v>
      </c>
      <c r="Y9996">
        <f>1-905-998-1740</f>
        <v>-3642</v>
      </c>
    </row>
    <row r="9997" spans="1:25" x14ac:dyDescent="0.35">
      <c r="A9997">
        <v>34.647075353851399</v>
      </c>
      <c r="B9997">
        <v>-121.408630619146</v>
      </c>
      <c r="C9997" t="s">
        <v>25</v>
      </c>
      <c r="D9997">
        <v>34.2812535943455</v>
      </c>
      <c r="E9997">
        <v>9</v>
      </c>
      <c r="F9997">
        <v>4827</v>
      </c>
      <c r="G9997">
        <v>3</v>
      </c>
      <c r="H9997">
        <v>1</v>
      </c>
      <c r="I9997">
        <v>1979</v>
      </c>
      <c r="J9997">
        <v>0</v>
      </c>
      <c r="K9997">
        <v>1</v>
      </c>
      <c r="L9997">
        <v>1</v>
      </c>
      <c r="M9997">
        <v>10</v>
      </c>
      <c r="N9997" t="s">
        <v>35</v>
      </c>
      <c r="O9997" t="s">
        <v>30</v>
      </c>
      <c r="P9997">
        <v>2.1314770114013202</v>
      </c>
      <c r="Q9997">
        <v>1.3797588027408401</v>
      </c>
      <c r="R9997">
        <v>1.16555827365988</v>
      </c>
      <c r="S9997">
        <v>178</v>
      </c>
      <c r="T9997">
        <v>56</v>
      </c>
      <c r="U9997">
        <v>207.19129266577701</v>
      </c>
      <c r="V9997">
        <v>2.0716801325875202E-3</v>
      </c>
      <c r="W9997">
        <v>1308063.7878034899</v>
      </c>
      <c r="X9997" t="s">
        <v>43</v>
      </c>
      <c r="Y9997">
        <f>1-434-602-5447</f>
        <v>-6482</v>
      </c>
    </row>
    <row r="9998" spans="1:25" x14ac:dyDescent="0.35">
      <c r="A9998">
        <v>34.0955726917772</v>
      </c>
      <c r="B9998">
        <v>-121.859255084392</v>
      </c>
      <c r="C9998" t="s">
        <v>25</v>
      </c>
      <c r="D9998">
        <v>13.056926029999699</v>
      </c>
      <c r="E9998">
        <v>7</v>
      </c>
      <c r="F9998">
        <v>1757</v>
      </c>
      <c r="G9998">
        <v>2</v>
      </c>
      <c r="H9998">
        <v>2</v>
      </c>
      <c r="I9998">
        <v>1954</v>
      </c>
      <c r="J9998">
        <v>0</v>
      </c>
      <c r="K9998">
        <v>0</v>
      </c>
      <c r="L9998">
        <v>1</v>
      </c>
      <c r="M9998">
        <v>4</v>
      </c>
      <c r="N9998" t="s">
        <v>37</v>
      </c>
      <c r="O9998" t="s">
        <v>30</v>
      </c>
      <c r="P9998">
        <v>5.6218820952376101</v>
      </c>
      <c r="Q9998">
        <v>1.7427744386889701</v>
      </c>
      <c r="R9998">
        <v>6.9701875528421597</v>
      </c>
      <c r="S9998">
        <v>0</v>
      </c>
      <c r="T9998">
        <v>27</v>
      </c>
      <c r="U9998">
        <v>827.29211637518495</v>
      </c>
      <c r="V9998">
        <v>2.27660785429709E-3</v>
      </c>
      <c r="W9998">
        <v>1572863.5248163801</v>
      </c>
      <c r="X9998" t="s">
        <v>43</v>
      </c>
      <c r="Y9998">
        <f>1-519-982-5431</f>
        <v>-6931</v>
      </c>
    </row>
    <row r="9999" spans="1:25" x14ac:dyDescent="0.35">
      <c r="A9999">
        <v>37.814912114178902</v>
      </c>
      <c r="B9999">
        <v>-117.31751501928299</v>
      </c>
      <c r="C9999" t="s">
        <v>29</v>
      </c>
      <c r="D9999">
        <v>46.458063019304298</v>
      </c>
      <c r="E9999">
        <v>9</v>
      </c>
      <c r="F9999">
        <v>4436</v>
      </c>
      <c r="G9999">
        <v>1</v>
      </c>
      <c r="H9999">
        <v>1</v>
      </c>
      <c r="I9999">
        <v>2012</v>
      </c>
      <c r="J9999">
        <v>0</v>
      </c>
      <c r="K9999">
        <v>1</v>
      </c>
      <c r="L9999">
        <v>1</v>
      </c>
      <c r="M9999">
        <v>4</v>
      </c>
      <c r="N9999" t="s">
        <v>26</v>
      </c>
      <c r="O9999" t="s">
        <v>30</v>
      </c>
      <c r="P9999">
        <v>6.6980932015099803</v>
      </c>
      <c r="Q9999">
        <v>2.20748989897454</v>
      </c>
      <c r="R9999">
        <v>6.2784381909360798</v>
      </c>
      <c r="S9999">
        <v>91</v>
      </c>
      <c r="T9999">
        <v>21</v>
      </c>
      <c r="U9999">
        <v>478.23960707034502</v>
      </c>
      <c r="V9999">
        <v>9.0171325518485096E-4</v>
      </c>
      <c r="W9999">
        <v>2320177.9660271201</v>
      </c>
      <c r="X9999" t="s">
        <v>36</v>
      </c>
      <c r="Y9999">
        <f>1-397-321-5337</f>
        <v>-6054</v>
      </c>
    </row>
    <row r="10000" spans="1:25" x14ac:dyDescent="0.35">
      <c r="A10000">
        <v>37.246876752468602</v>
      </c>
      <c r="B10000">
        <v>-116.69403981649801</v>
      </c>
      <c r="C10000" t="s">
        <v>34</v>
      </c>
      <c r="D10000">
        <v>18.006901175480401</v>
      </c>
      <c r="E10000">
        <v>4</v>
      </c>
      <c r="F10000">
        <v>1651</v>
      </c>
      <c r="G10000">
        <v>2</v>
      </c>
      <c r="H10000">
        <v>2</v>
      </c>
      <c r="I10000">
        <v>2017</v>
      </c>
      <c r="J10000">
        <v>1</v>
      </c>
      <c r="K10000">
        <v>1</v>
      </c>
      <c r="L10000">
        <v>1</v>
      </c>
      <c r="M10000">
        <v>14</v>
      </c>
      <c r="N10000" t="s">
        <v>26</v>
      </c>
      <c r="O10000" t="s">
        <v>27</v>
      </c>
      <c r="P10000">
        <v>8.3251600842228708</v>
      </c>
      <c r="Q10000">
        <v>1.9968610634272299</v>
      </c>
      <c r="R10000">
        <v>3.6709937350538699</v>
      </c>
      <c r="S10000">
        <v>138</v>
      </c>
      <c r="T10000">
        <v>48</v>
      </c>
      <c r="U10000">
        <v>248.84544209421699</v>
      </c>
      <c r="V10000">
        <v>8.4797092671108406E-3</v>
      </c>
      <c r="W10000">
        <v>846308.74269577896</v>
      </c>
      <c r="X10000" t="s">
        <v>39</v>
      </c>
      <c r="Y10000">
        <f>1-274-738-6912</f>
        <v>-7923</v>
      </c>
    </row>
    <row r="10001" spans="1:25" x14ac:dyDescent="0.35">
      <c r="A10001">
        <v>37.2096394236085</v>
      </c>
      <c r="B10001">
        <v>-124.366848961264</v>
      </c>
      <c r="C10001" t="s">
        <v>25</v>
      </c>
      <c r="D10001">
        <v>6.9604276334459501</v>
      </c>
      <c r="E10001">
        <v>9</v>
      </c>
      <c r="F10001">
        <v>4096</v>
      </c>
      <c r="G10001">
        <v>4</v>
      </c>
      <c r="H10001">
        <v>2</v>
      </c>
      <c r="I10001">
        <v>1956</v>
      </c>
      <c r="J10001">
        <v>0</v>
      </c>
      <c r="K10001">
        <v>1</v>
      </c>
      <c r="L10001">
        <v>0</v>
      </c>
      <c r="M10001">
        <v>11</v>
      </c>
      <c r="N10001" t="s">
        <v>37</v>
      </c>
      <c r="O10001" t="s">
        <v>32</v>
      </c>
      <c r="P10001">
        <v>7.7574534382151699</v>
      </c>
      <c r="Q10001">
        <v>2.29560627241296</v>
      </c>
      <c r="R10001">
        <v>7.6036068909614301</v>
      </c>
      <c r="S10001">
        <v>175</v>
      </c>
      <c r="T10001">
        <v>57</v>
      </c>
      <c r="U10001">
        <v>218.419448341026</v>
      </c>
      <c r="V10001">
        <v>2.685546875E-3</v>
      </c>
      <c r="W10001">
        <v>1139953.1871968701</v>
      </c>
      <c r="X10001" t="s">
        <v>31</v>
      </c>
      <c r="Y10001">
        <f>1-315-916-9595</f>
        <v>-10825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updated_real_estate_dataset_wit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dhinakaran</dc:creator>
  <cp:lastModifiedBy>dhina dhamu d</cp:lastModifiedBy>
  <dcterms:created xsi:type="dcterms:W3CDTF">2025-02-05T07:19:06Z</dcterms:created>
  <dcterms:modified xsi:type="dcterms:W3CDTF">2025-02-06T05:46:41Z</dcterms:modified>
</cp:coreProperties>
</file>